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Sprint Resource" sheetId="2" r:id="rId6"/>
    <sheet state="visible" name="Resource Allocate" sheetId="3" r:id="rId7"/>
    <sheet state="visible" name="Billing 2025" sheetId="4" r:id="rId8"/>
    <sheet state="visible" name="Forecast Billing 2026" sheetId="5" r:id="rId9"/>
    <sheet state="visible" name="Summarize Sprint 26" sheetId="6" r:id="rId10"/>
    <sheet state="visible" name="Sprint 26" sheetId="7" r:id="rId11"/>
    <sheet state="visible" name="Summarize Sprint 25" sheetId="8" r:id="rId12"/>
    <sheet state="visible" name="Sprint 25" sheetId="9" r:id="rId13"/>
    <sheet state="visible" name="Summarize Sprint 24" sheetId="10" r:id="rId14"/>
    <sheet state="visible" name="Sprint 24" sheetId="11" r:id="rId15"/>
    <sheet state="visible" name="Summarize Sprint 23" sheetId="12" r:id="rId16"/>
    <sheet state="visible" name="Sprint 23" sheetId="13" r:id="rId17"/>
    <sheet state="visible" name="Summarize Sprint 22" sheetId="14" r:id="rId18"/>
    <sheet state="visible" name="Sprint 22" sheetId="15" r:id="rId19"/>
    <sheet state="visible" name="Summarize Sprint 21" sheetId="16" r:id="rId20"/>
    <sheet state="visible" name="Sprint 21" sheetId="17" r:id="rId21"/>
    <sheet state="visible" name="Summarize Sprint 20" sheetId="18" r:id="rId22"/>
    <sheet state="visible" name="Sprint 20" sheetId="19" r:id="rId23"/>
    <sheet state="visible" name="Summarize Sprint 19" sheetId="20" r:id="rId24"/>
    <sheet state="visible" name="Sprint 19" sheetId="21" r:id="rId25"/>
    <sheet state="visible" name="Summarize Sprint 18" sheetId="22" r:id="rId26"/>
    <sheet state="visible" name="Sprint 18" sheetId="23" r:id="rId27"/>
    <sheet state="visible" name="Summarize Sprint 17" sheetId="24" r:id="rId28"/>
    <sheet state="visible" name="Sprint 17" sheetId="25" r:id="rId29"/>
    <sheet state="visible" name="Summarize Sprint 16" sheetId="26" r:id="rId30"/>
    <sheet state="visible" name="Sprint 16" sheetId="27" r:id="rId31"/>
    <sheet state="visible" name="Summarize Sprint 15" sheetId="28" r:id="rId32"/>
    <sheet state="visible" name="Sprint 15" sheetId="29" r:id="rId33"/>
    <sheet state="visible" name="Summarize Sprint 14" sheetId="30" r:id="rId34"/>
    <sheet state="visible" name="Sprint 14" sheetId="31" r:id="rId35"/>
    <sheet state="visible" name="Summarize Sprint 13" sheetId="32" r:id="rId36"/>
    <sheet state="visible" name="Sprint 13" sheetId="33" r:id="rId37"/>
    <sheet state="visible" name="Summarize Sprint 12" sheetId="34" r:id="rId38"/>
    <sheet state="visible" name="Sprint 12" sheetId="35" r:id="rId39"/>
    <sheet state="visible" name="Summarize Sprint 11" sheetId="36" r:id="rId40"/>
    <sheet state="visible" name="Sprint 11" sheetId="37" r:id="rId41"/>
    <sheet state="visible" name="Summarize Sprint 10" sheetId="38" r:id="rId42"/>
    <sheet state="visible" name="Sprint 10" sheetId="39" r:id="rId43"/>
    <sheet state="visible" name="Summarize Sprint 9" sheetId="40" r:id="rId44"/>
    <sheet state="visible" name="Sprint 9" sheetId="41" r:id="rId45"/>
    <sheet state="visible" name="Summarize Sprint 8" sheetId="42" r:id="rId46"/>
    <sheet state="visible" name="Sprint 8" sheetId="43" r:id="rId47"/>
    <sheet state="visible" name="Summarize Sprint 7" sheetId="44" r:id="rId48"/>
    <sheet state="visible" name="Sprint 7" sheetId="45" r:id="rId49"/>
    <sheet state="visible" name="Summarize Sprint 6" sheetId="46" r:id="rId50"/>
    <sheet state="visible" name="Sprint 6" sheetId="47" r:id="rId51"/>
    <sheet state="visible" name="Summarize Sprint 5" sheetId="48" r:id="rId52"/>
    <sheet state="visible" name="Sprint 5" sheetId="49" r:id="rId53"/>
    <sheet state="visible" name="Summarize Sprint 4" sheetId="50" r:id="rId54"/>
    <sheet state="visible" name="Summarize Sprint 3" sheetId="51" r:id="rId55"/>
    <sheet state="visible" name="Summarize Sprint 2" sheetId="52" r:id="rId56"/>
    <sheet state="visible" name="Summarize Sprint 1" sheetId="53" r:id="rId57"/>
    <sheet state="visible" name="Sprint 4" sheetId="54" r:id="rId58"/>
    <sheet state="visible" name="Sprint 3" sheetId="55" r:id="rId59"/>
    <sheet state="visible" name="Sprint 2" sheetId="56" r:id="rId60"/>
    <sheet state="visible" name="Sprint 1" sheetId="57" r:id="rId61"/>
    <sheet state="visible" name="Bck Resource Allocate" sheetId="58" r:id="rId62"/>
    <sheet state="visible" name="Sprint Resource (old)" sheetId="59" r:id="rId63"/>
    <sheet state="visible" name="SSO Members" sheetId="60" r:id="rId64"/>
    <sheet state="visible" name="Sheet2" sheetId="61" r:id="rId65"/>
  </sheets>
  <definedNames>
    <definedName hidden="1" localSheetId="6" name="_xlnm._FilterDatabase">'Sprint 26'!$A$1:$BM$2004</definedName>
    <definedName hidden="1" localSheetId="8" name="_xlnm._FilterDatabase">'Sprint 25'!$A$1:$BM$2004</definedName>
    <definedName hidden="1" localSheetId="10" name="_xlnm._FilterDatabase">'Sprint 24'!$A$1:$BM$2004</definedName>
    <definedName hidden="1" localSheetId="12" name="_xlnm._FilterDatabase">'Sprint 23'!$A$1:$BM$2004</definedName>
    <definedName hidden="1" localSheetId="14" name="_xlnm._FilterDatabase">'Sprint 22'!$A$1:$BM$2004</definedName>
    <definedName hidden="1" localSheetId="16" name="_xlnm._FilterDatabase">'Sprint 21'!$A$1:$BM$2004</definedName>
    <definedName hidden="1" localSheetId="18" name="_xlnm._FilterDatabase">'Sprint 20'!$A$1:$BM$2004</definedName>
    <definedName hidden="1" localSheetId="20" name="_xlnm._FilterDatabase">'Sprint 19'!$A$1:$BJ$2004</definedName>
    <definedName hidden="1" localSheetId="22" name="_xlnm._FilterDatabase">'Sprint 18'!$A$1:$BG$2004</definedName>
    <definedName hidden="1" localSheetId="24" name="_xlnm._FilterDatabase">'Sprint 17'!$A$1:$BD$2004</definedName>
    <definedName hidden="1" localSheetId="26" name="_xlnm._FilterDatabase">'Sprint 16'!$A$1:$BD$2004</definedName>
    <definedName hidden="1" localSheetId="28" name="_xlnm._FilterDatabase">'Sprint 15'!$A$1:$BA$2004</definedName>
    <definedName hidden="1" localSheetId="30" name="_xlnm._FilterDatabase">'Sprint 14'!$A$1:$AX$2004</definedName>
    <definedName hidden="1" localSheetId="32" name="_xlnm._FilterDatabase">'Sprint 13'!$A$1:$AU$2004</definedName>
    <definedName hidden="1" localSheetId="34" name="_xlnm._FilterDatabase">'Sprint 12'!$A$1:$AR$2004</definedName>
    <definedName hidden="1" localSheetId="36" name="_xlnm._FilterDatabase">'Sprint 11'!$A$1:$AR$2004</definedName>
    <definedName hidden="1" localSheetId="38" name="_xlnm._FilterDatabase">'Sprint 10'!$A$1:$AO$2004</definedName>
    <definedName hidden="1" localSheetId="40" name="_xlnm._FilterDatabase">'Sprint 9'!$A$1:$AL$1021</definedName>
    <definedName hidden="1" localSheetId="42" name="_xlnm._FilterDatabase">'Sprint 8'!$A$1:$AI$1004</definedName>
    <definedName hidden="1" localSheetId="44" name="_xlnm._FilterDatabase">'Sprint 7'!$A$1:$AF$1000</definedName>
    <definedName hidden="1" localSheetId="46" name="_xlnm._FilterDatabase">'Sprint 6'!$A$1:$U$1000</definedName>
    <definedName hidden="1" localSheetId="48" name="_xlnm._FilterDatabase">'Sprint 5'!$A$1:$Z$1000</definedName>
    <definedName hidden="1" localSheetId="53" name="_xlnm._FilterDatabase">'Sprint 4'!$A$1:$Z$1000</definedName>
    <definedName hidden="1" localSheetId="54" name="_xlnm._FilterDatabase">'Sprint 3'!$A$1:$Z$1000</definedName>
    <definedName hidden="1" localSheetId="55" name="_xlnm._FilterDatabase">'Sprint 2'!$A$1:$Z$1000</definedName>
    <definedName hidden="1" localSheetId="56" name="_xlnm._FilterDatabase">'Sprint 1'!$A$1:$Z$1000</definedName>
  </definedNames>
  <calcPr/>
</workbook>
</file>

<file path=xl/sharedStrings.xml><?xml version="1.0" encoding="utf-8"?>
<sst xmlns="http://schemas.openxmlformats.org/spreadsheetml/2006/main" count="80376" uniqueCount="12633">
  <si>
    <t>RD Projects</t>
  </si>
  <si>
    <t>#</t>
  </si>
  <si>
    <t>Projects</t>
  </si>
  <si>
    <t>PM</t>
  </si>
  <si>
    <t>TASK COMPLETE</t>
  </si>
  <si>
    <t>Status</t>
  </si>
  <si>
    <t>Note</t>
  </si>
  <si>
    <t>Month 2025 - 2026</t>
  </si>
  <si>
    <t>Month 2026 - 2027</t>
  </si>
  <si>
    <t>1</t>
  </si>
  <si>
    <t>Features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</si>
  <si>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</si>
  <si>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</si>
  <si>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</si>
  <si>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</si>
  <si>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</si>
  <si>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</si>
  <si>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</si>
  <si>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</si>
  <si>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</si>
  <si>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</si>
  <si>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</si>
  <si>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</si>
  <si>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Adjust</t>
  </si>
  <si>
    <t>Zan</t>
  </si>
  <si>
    <t>Mean</t>
  </si>
  <si>
    <t>Done</t>
  </si>
  <si>
    <t>CleverTap</t>
  </si>
  <si>
    <t>Jack</t>
  </si>
  <si>
    <t>Ecommerce Shopify</t>
  </si>
  <si>
    <t>Aek</t>
  </si>
  <si>
    <t>AWS Migration</t>
  </si>
  <si>
    <t>A</t>
  </si>
  <si>
    <t>Win</t>
  </si>
  <si>
    <t>In Progress</t>
  </si>
  <si>
    <t>Timeline</t>
  </si>
  <si>
    <t>Dev 85%, UAT 0%, Prod 0%</t>
  </si>
  <si>
    <t>Thana Datamart API 
(New Datamart)</t>
  </si>
  <si>
    <t>- Token Light Speed (Dev sp21)
Lightspeed Token
[5P] Create OM API Connect
[5P] Integrate new token flow to light speed service and retest send data
- [3P] Update mapping light speed enhancement (Dev sp21)
- API send to CT (SA est sp21, Dev sp22)</t>
  </si>
  <si>
    <t>dev env</t>
  </si>
  <si>
    <t>Thana City (Out of Scope OM)</t>
  </si>
  <si>
    <t>Zan, Aek</t>
  </si>
  <si>
    <t>- POS transaction API ของ Light Speed 
- POS Master data (End of Feb TBC)
- Shopify webhook and View tables</t>
  </si>
  <si>
    <t>sa,
dev</t>
  </si>
  <si>
    <t>Vimi Termination</t>
  </si>
  <si>
    <t>https://docs.google.com/spreadsheets/d/1HlvYW4TgA-JaRO8mMb0kbMwip2YzqJ738MSP5CJ1sls/edit?gid=1729294108#gid=1729294108</t>
  </si>
  <si>
    <t>api 13</t>
  </si>
  <si>
    <t>submit app 30/31 Mar , Release 3 April</t>
  </si>
  <si>
    <t>New Point Engine</t>
  </si>
  <si>
    <t>Aom, Jack</t>
  </si>
  <si>
    <t>Mook</t>
  </si>
  <si>
    <t>Subscription Short-Distance (Support App, A920)</t>
  </si>
  <si>
    <t>Aek, Zan</t>
  </si>
  <si>
    <t>RR App and A920 (ไม่ต้องทำแล้ว รอ confirm)</t>
  </si>
  <si>
    <t>monitoring 1 - 3 apr</t>
  </si>
  <si>
    <t>Pay with Point</t>
  </si>
  <si>
    <t>Aom, Zan</t>
  </si>
  <si>
    <t>P'Pop</t>
  </si>
  <si>
    <t>Turtle Plus member tier upgrade &amp; downgrade</t>
  </si>
  <si>
    <t>Upgrade ใช้ solution เดิม(ตอนนี้), Downgrade -&gt; ทำไฟล์ run script</t>
  </si>
  <si>
    <t>PayPoint (Point Marketplace) integration</t>
  </si>
  <si>
    <t>Provided spec</t>
  </si>
  <si>
    <t>SSO Migration</t>
  </si>
  <si>
    <t>To Do</t>
  </si>
  <si>
    <t>Cloud Samsung</t>
  </si>
  <si>
    <t>Review App Handover document</t>
  </si>
  <si>
    <t>Unified App</t>
  </si>
  <si>
    <t>Rcash PLoan</t>
  </si>
  <si>
    <t>Tech Debt</t>
  </si>
  <si>
    <t>Total Manhour/Sprint</t>
  </si>
  <si>
    <t>Sprint</t>
  </si>
  <si>
    <t>Date</t>
  </si>
  <si>
    <t>Aom</t>
  </si>
  <si>
    <t>Mai</t>
  </si>
  <si>
    <t>Mac</t>
  </si>
  <si>
    <t>Mos</t>
  </si>
  <si>
    <t>Nim</t>
  </si>
  <si>
    <t>Arm</t>
  </si>
  <si>
    <t>Total All</t>
  </si>
  <si>
    <t>Total Dev</t>
  </si>
  <si>
    <t>Stories Point : Dev</t>
  </si>
  <si>
    <t>Remark</t>
  </si>
  <si>
    <t>25 Aug - 5 Sep</t>
  </si>
  <si>
    <t>1 -&gt; 2h -&gt; 7200</t>
  </si>
  <si>
    <t>day</t>
  </si>
  <si>
    <t>มีวันหยุด 0 วัน</t>
  </si>
  <si>
    <t>2 -&gt; 4h -&gt; 14400</t>
  </si>
  <si>
    <t>hour</t>
  </si>
  <si>
    <r>
      <rPr>
        <rFont val="Arial"/>
        <color theme="1"/>
      </rPr>
      <t xml:space="preserve">Aom 0.5, Zan 0.5, Aek 0.5, A 0.5, </t>
    </r>
    <r>
      <rPr>
        <rFont val="Arial"/>
        <color rgb="FFEA9999"/>
      </rPr>
      <t>Mos 1</t>
    </r>
  </si>
  <si>
    <t>3 -&gt; 1d -&gt; 28800</t>
  </si>
  <si>
    <t>8 Sep - 19 Sep</t>
  </si>
  <si>
    <t>5 -&gt; 2d -&gt; 57600</t>
  </si>
  <si>
    <t>8 -&gt; 3d -&gt; 86400</t>
  </si>
  <si>
    <r>
      <rPr>
        <rFont val="Arial"/>
        <color theme="1"/>
      </rPr>
      <t xml:space="preserve">Aom 0.5, </t>
    </r>
    <r>
      <rPr>
        <rFont val="Arial"/>
        <color rgb="FF0000FF"/>
      </rPr>
      <t>Mos 0.5</t>
    </r>
    <r>
      <rPr>
        <rFont val="Arial"/>
        <color theme="1"/>
      </rPr>
      <t xml:space="preserve">, </t>
    </r>
    <r>
      <rPr>
        <rFont val="Arial"/>
        <color rgb="FFEA9999"/>
      </rPr>
      <t>Nim 1</t>
    </r>
  </si>
  <si>
    <t>22 Sep - 3 Oct</t>
  </si>
  <si>
    <t>Mos 7.5</t>
  </si>
  <si>
    <t>Nim 5</t>
  </si>
  <si>
    <t>Aek 1, Aom 1, Mai 1, Jack 1</t>
  </si>
  <si>
    <t>Arm 4</t>
  </si>
  <si>
    <t>6 Oct - 17 Oct</t>
  </si>
  <si>
    <t>มีวันหยุด 1 วัน</t>
  </si>
  <si>
    <r>
      <rPr>
        <rFont val="Arial"/>
        <color theme="1"/>
      </rPr>
      <t xml:space="preserve">Aek 2.5, Zan 2, Mai 4, Jack 1, </t>
    </r>
    <r>
      <rPr>
        <rFont val="Arial"/>
        <color rgb="FF0000FF"/>
      </rPr>
      <t>Mos 0.5</t>
    </r>
  </si>
  <si>
    <t>point</t>
  </si>
  <si>
    <t>20 Oct - 31 Oct</t>
  </si>
  <si>
    <t>Aek 1, Jack 2, A 1</t>
  </si>
  <si>
    <t>3 Nov - 14 Nov</t>
  </si>
  <si>
    <r>
      <rPr>
        <rFont val="Arial"/>
        <color theme="1"/>
      </rPr>
      <t xml:space="preserve">Jack 1, </t>
    </r>
    <r>
      <rPr>
        <rFont val="Arial"/>
        <color rgb="FFEA9999"/>
      </rPr>
      <t>Nim 1</t>
    </r>
    <r>
      <rPr>
        <rFont val="Arial"/>
        <color theme="1"/>
      </rPr>
      <t xml:space="preserve">, Mac 2, Aek 1, Aom 1, Arm 1, A 0.5, </t>
    </r>
    <r>
      <rPr>
        <rFont val="Arial"/>
        <color rgb="FF0000FF"/>
      </rPr>
      <t>Mos 1.5</t>
    </r>
  </si>
  <si>
    <t>17 Nov - 28 Nov</t>
  </si>
  <si>
    <r>
      <rPr>
        <rFont val="Arial"/>
        <color theme="1"/>
      </rPr>
      <t xml:space="preserve">Zan 1, Aom 2, </t>
    </r>
    <r>
      <rPr>
        <rFont val="Arial"/>
        <color rgb="FF0000FF"/>
      </rPr>
      <t>Mos 2</t>
    </r>
    <r>
      <rPr>
        <rFont val="Arial"/>
        <color theme="1"/>
      </rPr>
      <t xml:space="preserve">, A 0.5, </t>
    </r>
    <r>
      <rPr>
        <rFont val="Arial"/>
        <color rgb="FFEA9999"/>
      </rPr>
      <t>Arm 2</t>
    </r>
  </si>
  <si>
    <t>1 Dec - 12 Dec</t>
  </si>
  <si>
    <r>
      <rPr>
        <rFont val="Arial"/>
        <color theme="1"/>
      </rPr>
      <t xml:space="preserve">Aom 4, Mai 2, </t>
    </r>
    <r>
      <rPr>
        <rFont val="Arial"/>
        <color rgb="FF0000FF"/>
      </rPr>
      <t>Nim 2</t>
    </r>
    <r>
      <rPr>
        <rFont val="Arial"/>
        <color theme="1"/>
      </rPr>
      <t xml:space="preserve">, Aek 1, </t>
    </r>
    <r>
      <rPr>
        <rFont val="Arial"/>
        <color rgb="FF0000FF"/>
      </rPr>
      <t>Mos 0.5</t>
    </r>
  </si>
  <si>
    <t xml:space="preserve">
</t>
  </si>
  <si>
    <t>15 Dec - 26 Dec</t>
  </si>
  <si>
    <t xml:space="preserve">hour
</t>
  </si>
  <si>
    <r>
      <rPr>
        <rFont val="Arial"/>
        <color rgb="FF0000FF"/>
      </rPr>
      <t>Nim 1</t>
    </r>
    <r>
      <rPr>
        <rFont val="Arial"/>
        <color theme="1"/>
      </rPr>
      <t xml:space="preserve">, A 1, Aek 2, Aom 2, Jack 1, </t>
    </r>
    <r>
      <rPr>
        <rFont val="Arial"/>
        <color rgb="FF0000FF"/>
      </rPr>
      <t>Arm 0.5</t>
    </r>
    <r>
      <rPr>
        <rFont val="Arial"/>
        <color rgb="FFEA9999"/>
      </rPr>
      <t>, Mos 1</t>
    </r>
  </si>
  <si>
    <t xml:space="preserve"> </t>
  </si>
  <si>
    <t>29 Dec - 9 Jan</t>
  </si>
  <si>
    <t>มีวันหยุด 2 วัน + ลาสิ้นปี-ปีใหม่กันเยอะ</t>
  </si>
  <si>
    <r>
      <rPr>
        <rFont val="Arial"/>
        <color theme="1"/>
      </rPr>
      <t xml:space="preserve">Jack 2, A 1.5, Aek 3.5, Aom 1, Zan 1.5, Mai 1, </t>
    </r>
    <r>
      <rPr>
        <rFont val="Arial"/>
        <color rgb="FFEA9999"/>
      </rPr>
      <t>Nim 1,</t>
    </r>
    <r>
      <rPr>
        <rFont val="Arial"/>
        <color rgb="FF0000FF"/>
      </rPr>
      <t xml:space="preserve"> Mos 0.5</t>
    </r>
  </si>
  <si>
    <t>12 Jan - 23 Jan</t>
  </si>
  <si>
    <t>มี Team Building 1 วัน</t>
  </si>
  <si>
    <r>
      <rPr>
        <rFont val="Arial"/>
        <color theme="1"/>
      </rPr>
      <t xml:space="preserve">A 1.5, </t>
    </r>
    <r>
      <rPr>
        <rFont val="Arial"/>
        <color rgb="FFEA9999"/>
      </rPr>
      <t>Arm 2</t>
    </r>
    <r>
      <rPr>
        <rFont val="Arial"/>
        <color theme="1"/>
      </rPr>
      <t>, Aom 1, Zan 0.5, Mai 1</t>
    </r>
  </si>
  <si>
    <t>26 Jan - 6 Feb</t>
  </si>
  <si>
    <r>
      <rPr>
        <rFont val="Arial"/>
        <color rgb="FF0000FF"/>
      </rPr>
      <t xml:space="preserve">Nim 2, Arm 1, </t>
    </r>
    <r>
      <rPr>
        <rFont val="Arial"/>
        <color rgb="FFEA9999"/>
      </rPr>
      <t>Arm 5</t>
    </r>
    <r>
      <rPr>
        <rFont val="Arial"/>
        <color rgb="FFF4CCCC"/>
      </rPr>
      <t>,</t>
    </r>
    <r>
      <rPr>
        <rFont val="Arial"/>
        <color rgb="FF0000FF"/>
      </rPr>
      <t xml:space="preserve"> </t>
    </r>
    <r>
      <rPr>
        <rFont val="Arial"/>
        <color rgb="FF000000"/>
      </rPr>
      <t>Jack 3, Zan 1</t>
    </r>
  </si>
  <si>
    <t>9 Feb - 20 Feb</t>
  </si>
  <si>
    <t>มีวันหยุด 1 วัน ตรุษจีน</t>
  </si>
  <si>
    <r>
      <rPr>
        <rFont val="Arial"/>
        <color theme="1"/>
      </rPr>
      <t xml:space="preserve">Aom 2.5, Zan 2, Mai 1, Mac 1, </t>
    </r>
    <r>
      <rPr>
        <rFont val="Arial"/>
        <color rgb="FFEA9999"/>
      </rPr>
      <t>Arm 9, Mos 0.5, A 0.5</t>
    </r>
  </si>
  <si>
    <t>23 Feb - 6 Mar</t>
  </si>
  <si>
    <t>มีวันหยุด 1 วัน มาฆบูชา</t>
  </si>
  <si>
    <r>
      <rPr>
        <rFont val="Arial"/>
        <color theme="1"/>
      </rPr>
      <t xml:space="preserve">Aek 1, Aom 2, Zan 1, Mac 1, Mai 1, </t>
    </r>
    <r>
      <rPr>
        <rFont val="Arial"/>
        <color rgb="FFE6B8AF"/>
      </rPr>
      <t>Arm 0.5</t>
    </r>
  </si>
  <si>
    <t>9 Mar - 20 Mar</t>
  </si>
  <si>
    <r>
      <rPr>
        <rFont val="Arial"/>
        <color theme="1"/>
      </rPr>
      <t xml:space="preserve">Aom 1, A 1, Mai 1, </t>
    </r>
    <r>
      <rPr>
        <rFont val="Arial"/>
        <color rgb="FFEA9999"/>
      </rPr>
      <t xml:space="preserve">Mos 1, Nim 1, </t>
    </r>
    <r>
      <rPr>
        <rFont val="Arial"/>
        <color theme="1"/>
      </rPr>
      <t>Zan 0.5, Mac 0.5</t>
    </r>
  </si>
  <si>
    <t>23 Mar - 3 Apr</t>
  </si>
  <si>
    <r>
      <rPr>
        <rFont val="Arial"/>
        <color theme="1"/>
      </rPr>
      <t xml:space="preserve">A 1, Aom 1, Aek 2, </t>
    </r>
    <r>
      <rPr>
        <rFont val="Arial"/>
        <color rgb="FFEA9999"/>
      </rPr>
      <t>Nim 1, Arm 0.5</t>
    </r>
  </si>
  <si>
    <t>6 Apr - 17 Apr</t>
  </si>
  <si>
    <t>มีวันหยุด 4 วัน : วันจักรี 1 (SP),  สงกรานต์ 3</t>
  </si>
  <si>
    <t>Aom 5, Aek 3, Zan 2, Mac 2, Jack 1</t>
  </si>
  <si>
    <t>20 Apr - 1 May</t>
  </si>
  <si>
    <t>มีวันหยุด 1 วัน วันแรงงาน (SR)</t>
  </si>
  <si>
    <r>
      <rPr>
        <rFont val="Arial"/>
        <color theme="1"/>
      </rPr>
      <t xml:space="preserve">A 1 (SP), </t>
    </r>
    <r>
      <rPr>
        <rFont val="Arial"/>
        <color rgb="FF0000FF"/>
      </rPr>
      <t>Mos 1, Arm 1</t>
    </r>
  </si>
  <si>
    <t>4 May - 15 May</t>
  </si>
  <si>
    <t>มีวันหยุด 1 วัน วันฉัตรมงคล (SP)</t>
  </si>
  <si>
    <t>Aom 2, Zan 1, A 1</t>
  </si>
  <si>
    <t>18 May - 29 May</t>
  </si>
  <si>
    <t>Mai 5, A 1, Aom 2</t>
  </si>
  <si>
    <t>1 Jun - 12 Jun</t>
  </si>
  <si>
    <t>มีวันหยุด 1 วัน วันเฉลิมพระราชินี</t>
  </si>
  <si>
    <t>Aek 2, Jack 2, Zan 2.5, Aom 1.5, Mai 1</t>
  </si>
  <si>
    <t>15 Jun - 26 Jun</t>
  </si>
  <si>
    <r>
      <rPr>
        <rFont val="Arial"/>
        <color theme="1"/>
      </rPr>
      <t xml:space="preserve">Aek 1, </t>
    </r>
    <r>
      <rPr>
        <rFont val="Arial"/>
        <color rgb="FF9900FF"/>
      </rPr>
      <t>Nim 1</t>
    </r>
    <r>
      <rPr>
        <rFont val="Arial"/>
        <color theme="1"/>
      </rPr>
      <t>, A 1</t>
    </r>
  </si>
  <si>
    <t>29 Jun - 10 Jul</t>
  </si>
  <si>
    <r>
      <rPr>
        <rFont val="Arial"/>
        <color rgb="FF0000FF"/>
      </rPr>
      <t>Nim 1</t>
    </r>
    <r>
      <rPr>
        <rFont val="Arial"/>
        <color rgb="FF000000"/>
      </rPr>
      <t>, Mac 1</t>
    </r>
  </si>
  <si>
    <t>P000078</t>
  </si>
  <si>
    <t>P000100</t>
  </si>
  <si>
    <r>
      <rPr>
        <rFont val="Arial"/>
        <b/>
        <color theme="1"/>
      </rPr>
      <t xml:space="preserve">Resource Plan – Sprint 19 
</t>
    </r>
    <r>
      <rPr>
        <rFont val="Arial"/>
        <b/>
        <color rgb="FF6AA84F"/>
      </rPr>
      <t>23 Feb - 6 Mar</t>
    </r>
  </si>
  <si>
    <t>Allocation each project (exclude PE)</t>
  </si>
  <si>
    <t>Allocation PE</t>
  </si>
  <si>
    <t>Thana</t>
  </si>
  <si>
    <t>Datamart</t>
  </si>
  <si>
    <t>AWS</t>
  </si>
  <si>
    <t>Dev Support</t>
  </si>
  <si>
    <t>Remaining</t>
  </si>
  <si>
    <t>Name</t>
  </si>
  <si>
    <t>Availability</t>
  </si>
  <si>
    <t>Capacity</t>
  </si>
  <si>
    <t>Total Workload</t>
  </si>
  <si>
    <t>PE (SP)</t>
  </si>
  <si>
    <t>VIMI (SP)</t>
  </si>
  <si>
    <t>Thana (SP)</t>
  </si>
  <si>
    <t>Datamart  (SP)</t>
  </si>
  <si>
    <t>AWS (SP)</t>
  </si>
  <si>
    <t>Dev Support (SP)</t>
  </si>
  <si>
    <t>Total</t>
  </si>
  <si>
    <r>
      <rPr>
        <rFont val="Arial"/>
        <b/>
        <color theme="1"/>
      </rPr>
      <t xml:space="preserve">Resource Plan – Sprint 20
</t>
    </r>
    <r>
      <rPr>
        <rFont val="Arial"/>
        <b/>
        <color theme="7"/>
      </rPr>
      <t>9 Mar - 20 Mar</t>
    </r>
  </si>
  <si>
    <t>Adhoc (SP)</t>
  </si>
  <si>
    <r>
      <rPr>
        <rFont val="Arial"/>
        <b/>
        <color theme="1"/>
      </rPr>
      <t xml:space="preserve">Resource Plan – Sprint 21
</t>
    </r>
    <r>
      <rPr>
        <rFont val="Arial"/>
        <b/>
        <color theme="7"/>
      </rPr>
      <t>23 Mar - 3 Apr</t>
    </r>
  </si>
  <si>
    <t>Adhoc</t>
  </si>
  <si>
    <t>New PE</t>
  </si>
  <si>
    <t>VIMI</t>
  </si>
  <si>
    <r>
      <rPr>
        <rFont val="Arial"/>
        <b/>
        <color theme="1"/>
      </rPr>
      <t xml:space="preserve">Resource Plan – Sprint 22 </t>
    </r>
    <r>
      <rPr>
        <rFont val="Arial"/>
        <b/>
        <color rgb="FFFF0000"/>
      </rPr>
      <t xml:space="preserve">*Long weekend
</t>
    </r>
    <r>
      <rPr>
        <rFont val="Arial"/>
        <b/>
        <color rgb="FF34A853"/>
      </rPr>
      <t>6 Apr - 17 Apr</t>
    </r>
  </si>
  <si>
    <t>Ecom</t>
  </si>
  <si>
    <r>
      <rPr>
        <rFont val="Arial"/>
        <b/>
        <color theme="1"/>
      </rPr>
      <t>Resource Plan – Sprint 23</t>
    </r>
    <r>
      <rPr>
        <rFont val="Arial"/>
        <b/>
        <color rgb="FFFF0000"/>
      </rPr>
      <t xml:space="preserve">
</t>
    </r>
    <r>
      <rPr>
        <rFont val="Arial"/>
        <b/>
        <color rgb="FF34A853"/>
      </rPr>
      <t>20 Apr - 1 May</t>
    </r>
  </si>
  <si>
    <t>PWP</t>
  </si>
  <si>
    <t>VGI</t>
  </si>
  <si>
    <r>
      <rPr>
        <rFont val="Arial"/>
        <b/>
        <color theme="1"/>
      </rPr>
      <t>Resource Plan – Sprint 24</t>
    </r>
    <r>
      <rPr>
        <rFont val="Arial"/>
        <b/>
        <color rgb="FFFF0000"/>
      </rPr>
      <t xml:space="preserve">
</t>
    </r>
    <r>
      <rPr>
        <rFont val="Arial"/>
        <b/>
        <color rgb="FF34A853"/>
      </rPr>
      <t>4 May - 15 May</t>
    </r>
  </si>
  <si>
    <r>
      <rPr>
        <rFont val="Arial"/>
        <b/>
        <color theme="1"/>
      </rPr>
      <t>Resource Plan – Sprint 25</t>
    </r>
    <r>
      <rPr>
        <rFont val="Arial"/>
        <b/>
        <color rgb="FFFF0000"/>
      </rPr>
      <t xml:space="preserve">
</t>
    </r>
    <r>
      <rPr>
        <rFont val="Arial"/>
        <b/>
        <color rgb="FF34A853"/>
      </rPr>
      <t>18 May - 29 May</t>
    </r>
  </si>
  <si>
    <r>
      <rPr>
        <rFont val="Arial"/>
        <b/>
        <color theme="1"/>
      </rPr>
      <t>Resource Plan – Sprint 26</t>
    </r>
    <r>
      <rPr>
        <rFont val="Arial"/>
        <b/>
        <color rgb="FFFF0000"/>
      </rPr>
      <t xml:space="preserve">
</t>
    </r>
    <r>
      <rPr>
        <rFont val="Arial"/>
        <b/>
        <color rgb="FF34A853"/>
      </rPr>
      <t>1 Jun - 12 Jun</t>
    </r>
  </si>
  <si>
    <t>Samsung</t>
  </si>
  <si>
    <r>
      <rPr>
        <rFont val="Arial"/>
        <b/>
        <color theme="1"/>
      </rPr>
      <t>Resource Plan – Sprint 27</t>
    </r>
    <r>
      <rPr>
        <rFont val="Arial"/>
        <b/>
        <color rgb="FFFF0000"/>
      </rPr>
      <t xml:space="preserve">
</t>
    </r>
    <r>
      <rPr>
        <rFont val="Arial"/>
        <b/>
        <color rgb="FF34A853"/>
      </rPr>
      <t>15 Jun - 26 Jun</t>
    </r>
  </si>
  <si>
    <t>Service</t>
  </si>
  <si>
    <t>Period</t>
  </si>
  <si>
    <t>Billing</t>
  </si>
  <si>
    <t>Billing Account</t>
  </si>
  <si>
    <t>License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</si>
  <si>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</si>
  <si>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</si>
  <si>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</si>
  <si>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</si>
  <si>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</si>
  <si>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</si>
  <si>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</si>
  <si>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</si>
  <si>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</si>
  <si>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</si>
  <si>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</si>
  <si>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Miro</t>
  </si>
  <si>
    <t>Yearly</t>
  </si>
  <si>
    <t>Active</t>
  </si>
  <si>
    <t>Link</t>
  </si>
  <si>
    <t>5 Accounts</t>
  </si>
  <si>
    <t>-</t>
  </si>
  <si>
    <t>Mailchimp</t>
  </si>
  <si>
    <t>Monthly</t>
  </si>
  <si>
    <t>P'Tong, Aek, P'Su</t>
  </si>
  <si>
    <t>41 blocks</t>
  </si>
  <si>
    <t>Github</t>
  </si>
  <si>
    <t>Aek, A, Pui, Neung, P'Su</t>
  </si>
  <si>
    <t>Atlassian (Jira)</t>
  </si>
  <si>
    <t>P'Tong, Aek, A, P'Su</t>
  </si>
  <si>
    <t>Uptime_robot</t>
  </si>
  <si>
    <t>Pui, Neung</t>
  </si>
  <si>
    <t>Bitly</t>
  </si>
  <si>
    <t>Aek, A</t>
  </si>
  <si>
    <r>
      <rPr>
        <color rgb="FF0563C1"/>
        <u/>
      </rPr>
      <t>101domain.com</t>
    </r>
    <r>
      <rPr>
        <color rgb="FF000000"/>
      </rPr>
      <t xml:space="preserve"> (rbt.one)</t>
    </r>
  </si>
  <si>
    <t>Cypress</t>
  </si>
  <si>
    <t>Cancelled</t>
  </si>
  <si>
    <t>Smartsheet</t>
  </si>
  <si>
    <t>P'Hym</t>
  </si>
  <si>
    <t>LINE OA</t>
  </si>
  <si>
    <t>P'Hym, Zan</t>
  </si>
  <si>
    <t>Buffer Jira + 50%</t>
  </si>
  <si>
    <t>THB</t>
  </si>
  <si>
    <t>JIra Users</t>
  </si>
  <si>
    <t>Year 2025</t>
  </si>
  <si>
    <t>GCloud</t>
  </si>
  <si>
    <t>P'Yo, A</t>
  </si>
  <si>
    <t>Aek, A, Pui, Neung</t>
  </si>
  <si>
    <t>Atlassian</t>
  </si>
  <si>
    <t>41 users</t>
  </si>
  <si>
    <r>
      <rPr>
        <color rgb="FF0563C1"/>
        <u/>
      </rPr>
      <t>101domain.com</t>
    </r>
    <r>
      <rPr>
        <color rgb="FF000000"/>
      </rPr>
      <t xml:space="preserve"> (rbt.one)</t>
    </r>
  </si>
  <si>
    <t>AIS</t>
  </si>
  <si>
    <t xml:space="preserve"> • 062-308-5741
 • 062-308-5731
 • 062-308-5725</t>
  </si>
  <si>
    <t>Cursor AI</t>
  </si>
  <si>
    <t>Year 2026</t>
  </si>
  <si>
    <t>Column 1</t>
  </si>
  <si>
    <t>Total Stories Point</t>
  </si>
  <si>
    <t>Total Manhour</t>
  </si>
  <si>
    <t>Point Done</t>
  </si>
  <si>
    <t>Manhour Done</t>
  </si>
  <si>
    <t>Dev Resource Available</t>
  </si>
  <si>
    <t>Meeting Planned</t>
  </si>
  <si>
    <t>Ref</t>
  </si>
  <si>
    <t>Additional Meeting</t>
  </si>
  <si>
    <t>Deployment</t>
  </si>
  <si>
    <t>2 ครั้ง 
1. 3 คน
2. 1 คน</t>
  </si>
  <si>
    <t>Development Sprint Total</t>
  </si>
  <si>
    <t>Ad-hoc Mid Sprint</t>
  </si>
  <si>
    <t>2 tasks</t>
  </si>
  <si>
    <t>Requirement changes after refinement?</t>
  </si>
  <si>
    <t>0 tasks</t>
  </si>
  <si>
    <t>Issue Type</t>
  </si>
  <si>
    <t>Issue key</t>
  </si>
  <si>
    <t>Issue id</t>
  </si>
  <si>
    <t>Summary</t>
  </si>
  <si>
    <t>Assignee</t>
  </si>
  <si>
    <t>Assignee Id</t>
  </si>
  <si>
    <t>Reporter</t>
  </si>
  <si>
    <t>Reporter Id</t>
  </si>
  <si>
    <t>Priority</t>
  </si>
  <si>
    <t>Resolution</t>
  </si>
  <si>
    <t>Created</t>
  </si>
  <si>
    <t>Updated</t>
  </si>
  <si>
    <t>Due date</t>
  </si>
  <si>
    <t>Custom field (Story Points)</t>
  </si>
  <si>
    <t>Labels</t>
  </si>
  <si>
    <t>Original estimate</t>
  </si>
  <si>
    <t>Sub-task</t>
  </si>
  <si>
    <t>DPE-700</t>
  </si>
  <si>
    <t>54668</t>
  </si>
  <si>
    <t>Test execution</t>
  </si>
  <si>
    <t>Plai Thanaporn Rimnong-ang</t>
  </si>
  <si>
    <t>62c2a5acefb17d6ce62e41bf</t>
  </si>
  <si>
    <t>Aom: Pornsawan Polnyiem</t>
  </si>
  <si>
    <t>5d2ed694a666040c85096e17</t>
  </si>
  <si>
    <t>Medium</t>
  </si>
  <si>
    <t>12/Jun/26 4:33 PM</t>
  </si>
  <si>
    <t>[Dev][RD][New PE] Sprint 24</t>
  </si>
  <si>
    <t>[Dev][RD][New PE] Sprint 25</t>
  </si>
  <si>
    <t>[Dev][RD][New PE] Sprint 26</t>
  </si>
  <si>
    <t>DPE-699</t>
  </si>
  <si>
    <t>54667</t>
  </si>
  <si>
    <t>Create test case</t>
  </si>
  <si>
    <t>DPE-698</t>
  </si>
  <si>
    <t>54666</t>
  </si>
  <si>
    <t>DPE-697</t>
  </si>
  <si>
    <t>54665</t>
  </si>
  <si>
    <t>DPE-696</t>
  </si>
  <si>
    <t>54664</t>
  </si>
  <si>
    <t>[Dev][RD][New PE] Sprint 22</t>
  </si>
  <si>
    <t>[Dev][RD][New PE] Sprint 23</t>
  </si>
  <si>
    <t>DPE-695</t>
  </si>
  <si>
    <t>54663</t>
  </si>
  <si>
    <t>DPE-694</t>
  </si>
  <si>
    <t>54662</t>
  </si>
  <si>
    <t>Jack: Warin Kesorn</t>
  </si>
  <si>
    <t>61a98e8e744c4d00693281d1</t>
  </si>
  <si>
    <t>12/Jun/26 4:17 PM</t>
  </si>
  <si>
    <t>12/Jun/26 4:18 PM</t>
  </si>
  <si>
    <t>DPE-693</t>
  </si>
  <si>
    <t>54661</t>
  </si>
  <si>
    <t>Story</t>
  </si>
  <si>
    <t>DEVRDSUP-638</t>
  </si>
  <si>
    <t>54659</t>
  </si>
  <si>
    <t>[SUP-734][Need support] ดึง Point จาก User คืน</t>
  </si>
  <si>
    <t>Aek:Atiphat Nanthachitvanich</t>
  </si>
  <si>
    <t>5d48155f5b8ea70c7e4f1b0f</t>
  </si>
  <si>
    <t>Abhinaf Singh</t>
  </si>
  <si>
    <t>712020:a81c99dd-d5cd-44bd-950a-32f4ff7d56ac</t>
  </si>
  <si>
    <t>Highest</t>
  </si>
  <si>
    <t>12/Jun/26 3:41 PM</t>
  </si>
  <si>
    <t>12/Jun/26 4:28 PM</t>
  </si>
  <si>
    <t>12/Jun/26 12:00 AM</t>
  </si>
  <si>
    <t>hop</t>
  </si>
  <si>
    <t>reverseTXN</t>
  </si>
  <si>
    <t>[Dev][All Project] Sprint 26</t>
  </si>
  <si>
    <t>DPE-692</t>
  </si>
  <si>
    <t>54648</t>
  </si>
  <si>
    <t>[Dev][RD][PE Middleware] Enhance Get Offer List - Add Offer Type Filter</t>
  </si>
  <si>
    <t>Arm:Worawat Chotipongchoawalit</t>
  </si>
  <si>
    <t>712020:2195d849-5cdb-4ec8-866f-e82a3528bff7</t>
  </si>
  <si>
    <t>12/Jun/26 10:49 AM</t>
  </si>
  <si>
    <t>point-engine-proxy</t>
  </si>
  <si>
    <t>Bug</t>
  </si>
  <si>
    <t>DPE-689</t>
  </si>
  <si>
    <t>54599</t>
  </si>
  <si>
    <t>[S4][RR BOF] Offer name is updated when update the general details</t>
  </si>
  <si>
    <t>Closed</t>
  </si>
  <si>
    <t>10/Jun/26 5:05 PM</t>
  </si>
  <si>
    <t>11/Jun/26 1:34 PM</t>
  </si>
  <si>
    <t>DPE-688</t>
  </si>
  <si>
    <t>54595</t>
  </si>
  <si>
    <t>10/Jun/26 4:33 PM</t>
  </si>
  <si>
    <t>DPE-687</t>
  </si>
  <si>
    <t>54594</t>
  </si>
  <si>
    <t>10/Jun/26 4:48 PM</t>
  </si>
  <si>
    <t>DPE-686</t>
  </si>
  <si>
    <t>54582</t>
  </si>
  <si>
    <t>[QA] Test execution</t>
  </si>
  <si>
    <t>10/Jun/26 3:48 PM</t>
  </si>
  <si>
    <t>11/Jun/26 2:59 PM</t>
  </si>
  <si>
    <t>RDTHANA-518</t>
  </si>
  <si>
    <t>54577</t>
  </si>
  <si>
    <t>[SA][RD][TDM] Prepare access control callback request example</t>
  </si>
  <si>
    <t>Zan : Isarapong Bulan</t>
  </si>
  <si>
    <t>5d4814e9da0c4d0c789a4bb7</t>
  </si>
  <si>
    <t>In Review</t>
  </si>
  <si>
    <t>10/Jun/26 1:46 PM</t>
  </si>
  <si>
    <t>10/Jun/26 1:47 PM</t>
  </si>
  <si>
    <t>[Dev][RD][Thana] Sprint 26</t>
  </si>
  <si>
    <t>DEVRDSUP-633</t>
  </si>
  <si>
    <t>54566</t>
  </si>
  <si>
    <t>[SUP-726][SUB] รบกวนออกแพ็กเกจ ปรับเป็น PAID(Confirmed) เรียบร้อย // Order ID: 20260608-0004808</t>
  </si>
  <si>
    <t>Thanakrit Chanthaworn</t>
  </si>
  <si>
    <t>712020:3fc982cb-c268-4f1d-9265-d3dd8fb08304</t>
  </si>
  <si>
    <t>09/Jun/26 6:03 PM</t>
  </si>
  <si>
    <t>12/Jun/26 2:00 PM</t>
  </si>
  <si>
    <t>bts</t>
  </si>
  <si>
    <t>prod-issue</t>
  </si>
  <si>
    <t>sub</t>
  </si>
  <si>
    <t>RDAPS-494</t>
  </si>
  <si>
    <t>54557</t>
  </si>
  <si>
    <t>[SA][RD] Prepare Callback payload</t>
  </si>
  <si>
    <t>09/Jun/26 2:52 PM</t>
  </si>
  <si>
    <t>RDAPS-493</t>
  </si>
  <si>
    <t>54556</t>
  </si>
  <si>
    <t>[SA][RD] Prepare task sprint #27 - Zan</t>
  </si>
  <si>
    <t>09/Jun/26 2:50 PM</t>
  </si>
  <si>
    <t>11/Jun/26 9:46 AM</t>
  </si>
  <si>
    <t>DEV-16</t>
  </si>
  <si>
    <t>54555</t>
  </si>
  <si>
    <t>[SA][RD][Tech Debt][HRS][DB] Coordinate Staging DB Instance Type Upgrade for Pre-Production Validation</t>
  </si>
  <si>
    <t>09/Jun/26 2:37 PM</t>
  </si>
  <si>
    <t>09/Jun/26 3:11 PM</t>
  </si>
  <si>
    <t>DB</t>
  </si>
  <si>
    <t>HRS</t>
  </si>
  <si>
    <t>Staging</t>
  </si>
  <si>
    <t>TechDebt</t>
  </si>
  <si>
    <t>[Dev][RD][TechDebt] Sprint 26</t>
  </si>
  <si>
    <t>DEV-15</t>
  </si>
  <si>
    <t>54542</t>
  </si>
  <si>
    <t>[QA] Test Execution - UAT</t>
  </si>
  <si>
    <t>Max (QA) : Surawut Sae-nim</t>
  </si>
  <si>
    <t>62d4e007098e73c4e5ee0d8d</t>
  </si>
  <si>
    <t>08/Jun/26 6:11 PM</t>
  </si>
  <si>
    <t>[Dev][All Project] Sprint 24</t>
  </si>
  <si>
    <t>[Dev][RD][TechDebt] Sprint 25</t>
  </si>
  <si>
    <t>DEV-14</t>
  </si>
  <si>
    <t>54540</t>
  </si>
  <si>
    <t>[QA] Test Execution - STG</t>
  </si>
  <si>
    <t>08/Jun/26 6:03 PM</t>
  </si>
  <si>
    <t>08/Jun/26 6:10 PM</t>
  </si>
  <si>
    <t>DPE-680</t>
  </si>
  <si>
    <t>54539</t>
  </si>
  <si>
    <t>08/Jun/26 6:01 PM</t>
  </si>
  <si>
    <t>09/Jun/26 4:28 PM</t>
  </si>
  <si>
    <t>DPE-679</t>
  </si>
  <si>
    <t>54538</t>
  </si>
  <si>
    <t>DPE-678</t>
  </si>
  <si>
    <t>54537</t>
  </si>
  <si>
    <t>09/Jun/26 3:37 PM</t>
  </si>
  <si>
    <t>DPE-677</t>
  </si>
  <si>
    <t>54536</t>
  </si>
  <si>
    <t>DEVRDSUP-631</t>
  </si>
  <si>
    <t>54535</t>
  </si>
  <si>
    <t>[QA] Retest - STG</t>
  </si>
  <si>
    <t>08/Jun/26 5:58 PM</t>
  </si>
  <si>
    <t>08/Jun/26 6:02 PM</t>
  </si>
  <si>
    <t>[Dev][All Project] Sprint 25</t>
  </si>
  <si>
    <t>DPE-676</t>
  </si>
  <si>
    <t>54534</t>
  </si>
  <si>
    <t>08/Jun/26 5:32 PM</t>
  </si>
  <si>
    <t>DPE-675</t>
  </si>
  <si>
    <t>54533</t>
  </si>
  <si>
    <t>DEVRDSUP-630</t>
  </si>
  <si>
    <t>54527</t>
  </si>
  <si>
    <t>[SUP-722]0880069567996 Line Pay (บัตรใหม่)  แต่ระบบหลังบ้านเป็น RC ค่ะ จึงทำให้ลูกค้าไม่สามารถเติมเที่ยวเข้าบัตรได้</t>
  </si>
  <si>
    <t>08/Jun/26 5:21 PM</t>
  </si>
  <si>
    <t>11/Jun/26 12:00 AM</t>
  </si>
  <si>
    <t>DEVRDSUP-629</t>
  </si>
  <si>
    <t>54520</t>
  </si>
  <si>
    <t>[SUP-721][Access SSO backoffice] Request to create new user N'Nampheung</t>
  </si>
  <si>
    <t>08/Jun/26 2:35 PM</t>
  </si>
  <si>
    <t>08/Jun/26 12:00 AM</t>
  </si>
  <si>
    <t>BURequest</t>
  </si>
  <si>
    <t>sso-backoffice</t>
  </si>
  <si>
    <t>sso-user</t>
  </si>
  <si>
    <t>DEVRDECOM-254</t>
  </si>
  <si>
    <t>54514</t>
  </si>
  <si>
    <t>[DEV][RD][Ecom][Gustron][SA] Impact analysis - guest checkout without Rabbit Connect login</t>
  </si>
  <si>
    <t>08/Jun/26 1:16 PM</t>
  </si>
  <si>
    <t>12/Jun/26 9:24 AM</t>
  </si>
  <si>
    <t>Gustron</t>
  </si>
  <si>
    <t>impact-analysis</t>
  </si>
  <si>
    <t>SA</t>
  </si>
  <si>
    <t>[Dev][RD][Ecom] Sprint 26</t>
  </si>
  <si>
    <t>DPE-674</t>
  </si>
  <si>
    <t>54507</t>
  </si>
  <si>
    <t>08/Jun/26 10:49 AM</t>
  </si>
  <si>
    <t>08/Jun/26 11:20 AM</t>
  </si>
  <si>
    <t>DPE-673</t>
  </si>
  <si>
    <t>54506</t>
  </si>
  <si>
    <t>DPE-672</t>
  </si>
  <si>
    <t>54505</t>
  </si>
  <si>
    <t>[Dev][RD][PE Proxy Scheduler] Implement Discord notification after each command processed</t>
  </si>
  <si>
    <t>Ready To Test</t>
  </si>
  <si>
    <t>08/Jun/26 10:38 AM</t>
  </si>
  <si>
    <t>12/Jun/26 10:00 AM</t>
  </si>
  <si>
    <t>point-engine-proxy-scheduler</t>
  </si>
  <si>
    <t>DPE-671</t>
  </si>
  <si>
    <t>54503</t>
  </si>
  <si>
    <t>08/Jun/26 9:48 AM</t>
  </si>
  <si>
    <t>08/Jun/26 9:49 AM</t>
  </si>
  <si>
    <t>DPE-670</t>
  </si>
  <si>
    <t>54496</t>
  </si>
  <si>
    <t>06/Jun/26 1:31 AM</t>
  </si>
  <si>
    <t>08/Jun/26 3:06 PM</t>
  </si>
  <si>
    <t>DPE-669</t>
  </si>
  <si>
    <t>54495</t>
  </si>
  <si>
    <t>DEVRDSUP-627</t>
  </si>
  <si>
    <t>54488</t>
  </si>
  <si>
    <t>[SUP-719][Turtle][PL] Request to resend failed point issue TXN to resolve user's complain. The point issue TXN from POS was failed.</t>
  </si>
  <si>
    <t>05/Jun/26 3:47 PM</t>
  </si>
  <si>
    <t>09/Jun/26 12:00 AM</t>
  </si>
  <si>
    <t>partner-loyalty</t>
  </si>
  <si>
    <t>turtle</t>
  </si>
  <si>
    <t>DEVRDSUP-626</t>
  </si>
  <si>
    <t>54483</t>
  </si>
  <si>
    <t>[SUP-712]Review of Turtle Coupon Data, missing coupon data on 21&amp;24 May 2026.</t>
  </si>
  <si>
    <t>RETESTING</t>
  </si>
  <si>
    <t>05/Jun/26 11:39 AM</t>
  </si>
  <si>
    <t>12/Jun/26 1:04 PM</t>
  </si>
  <si>
    <t>data</t>
  </si>
  <si>
    <t>DPE-667</t>
  </si>
  <si>
    <t>54482</t>
  </si>
  <si>
    <t>05/Jun/26 11:33 AM</t>
  </si>
  <si>
    <t>05/Jun/26 11:34 AM</t>
  </si>
  <si>
    <t>DPE-666</t>
  </si>
  <si>
    <t>54481</t>
  </si>
  <si>
    <t>DPE-665</t>
  </si>
  <si>
    <t>54480</t>
  </si>
  <si>
    <t>DPE-664</t>
  </si>
  <si>
    <t>54479</t>
  </si>
  <si>
    <t>DPE-663</t>
  </si>
  <si>
    <t>54477</t>
  </si>
  <si>
    <t>[S3][NPE] Unable to credit/debit points when using an offer containing special characters</t>
  </si>
  <si>
    <t>Moss : Kittapath Sangvikukit</t>
  </si>
  <si>
    <t>712020:b33baa03-2b29-4662-9923-dbdc2bbf980d</t>
  </si>
  <si>
    <t>Solution Proposal Pending</t>
  </si>
  <si>
    <t>05/Jun/26 10:36 AM</t>
  </si>
  <si>
    <t>05/Jun/26 1:56 PM</t>
  </si>
  <si>
    <t>DPE-662</t>
  </si>
  <si>
    <t>54473</t>
  </si>
  <si>
    <t>[Dev][RD][BOF] Improve product creation</t>
  </si>
  <si>
    <t>05/Jun/26 9:48 AM</t>
  </si>
  <si>
    <t>rr-backoffice</t>
  </si>
  <si>
    <t>DPE-661</t>
  </si>
  <si>
    <t>54466</t>
  </si>
  <si>
    <t>[Dev][RD][PE Middleware] Prevent Debit/Credit Transaction Creation When Offer Name Is Missing</t>
  </si>
  <si>
    <t>04/Jun/26 2:41 PM</t>
  </si>
  <si>
    <t>12/Jun/26 1:29 PM</t>
  </si>
  <si>
    <t>DEVRDSUP-623</t>
  </si>
  <si>
    <t>54444</t>
  </si>
  <si>
    <t>[SUP-713][SUB] : Request to export receipt due to Incomplete Emails Received by BTSC (MAY26)</t>
  </si>
  <si>
    <t>A:Phongthorn</t>
  </si>
  <si>
    <t>5b3c867ae263df2dc32f7e35</t>
  </si>
  <si>
    <t>High</t>
  </si>
  <si>
    <t>02/Jun/26 5:35 PM</t>
  </si>
  <si>
    <t>05/Jun/26 12:00 AM</t>
  </si>
  <si>
    <t>RDAPS-492</t>
  </si>
  <si>
    <t>54443</t>
  </si>
  <si>
    <t>[QA] Test Execution Verify Enhance clear member card cache after add card success</t>
  </si>
  <si>
    <t>Pueng Prachpreeya</t>
  </si>
  <si>
    <t>642a5328f8bc2116accac530</t>
  </si>
  <si>
    <t>02/Jun/26 2:53 PM</t>
  </si>
  <si>
    <t>02/Jun/26 5:30 PM</t>
  </si>
  <si>
    <t>DPE-660</t>
  </si>
  <si>
    <t>54440</t>
  </si>
  <si>
    <t>02/Jun/26 1:57 PM</t>
  </si>
  <si>
    <t>05/Jun/26 4:17 PM</t>
  </si>
  <si>
    <t>[Dev][RD][New PE] Sprint 21</t>
  </si>
  <si>
    <t>DPE-659</t>
  </si>
  <si>
    <t>54439</t>
  </si>
  <si>
    <t>04/Jun/26 4:56 PM</t>
  </si>
  <si>
    <t>DEVRDSUP-622</t>
  </si>
  <si>
    <t>54438</t>
  </si>
  <si>
    <t>[SUP-714][Incident] – Member Data Import Issue | Member imported but SSO is not mapped.</t>
  </si>
  <si>
    <t>02/Jun/26 1:11 PM</t>
  </si>
  <si>
    <t>02/Jun/26 12:00 AM</t>
  </si>
  <si>
    <t>hr-solution</t>
  </si>
  <si>
    <t>DEVRDSUP-621</t>
  </si>
  <si>
    <t>54437</t>
  </si>
  <si>
    <t>[SODA] Update config file for RR DevOps</t>
  </si>
  <si>
    <t>Soda Team</t>
  </si>
  <si>
    <t>712020:c2762549-600f-4b8e-80d0-86600ba589a5</t>
  </si>
  <si>
    <t>02/Jun/26 11:57 AM</t>
  </si>
  <si>
    <t>02/Jun/26 2:28 PM</t>
  </si>
  <si>
    <t>DEVRDSUP-620</t>
  </si>
  <si>
    <t>54436</t>
  </si>
  <si>
    <t>[DevOps] Switch periodically at 9AM on Tuesday from 2June - 21July 2026.</t>
  </si>
  <si>
    <t>Pui Wigrom Naddakul</t>
  </si>
  <si>
    <t>61d40990ce3652006ab55354</t>
  </si>
  <si>
    <t>02/Jun/26 11:56 AM</t>
  </si>
  <si>
    <t>05/Jun/26 1:35 PM</t>
  </si>
  <si>
    <t>DEVRDSUP-619</t>
  </si>
  <si>
    <t>54435</t>
  </si>
  <si>
    <t>[SUP-715][UAT] Request to switch API from CleverTap's loyalty to uLoyalty for ST team for training. Switch on every Tuesday 9AM-12PM until end of July26.</t>
  </si>
  <si>
    <t>Mai:Sateta Abvanawong</t>
  </si>
  <si>
    <t>64000e4f15d668edd8edc7ea</t>
  </si>
  <si>
    <t>02/Jun/26 11:50 AM</t>
  </si>
  <si>
    <t>21/Jul/26 12:00 AM</t>
  </si>
  <si>
    <t>app</t>
  </si>
  <si>
    <t>RDTHANA-510</t>
  </si>
  <si>
    <t>54418</t>
  </si>
  <si>
    <t>[DEV][RD][TDM] Callback API x FITNESS_IN event</t>
  </si>
  <si>
    <t>Mac: Jarupong Pawichpongkul</t>
  </si>
  <si>
    <t>62c2a16240923988ba097c14</t>
  </si>
  <si>
    <t>02/Jun/26 9:42 AM</t>
  </si>
  <si>
    <t>11/Jun/26 5:07 PM</t>
  </si>
  <si>
    <t>RDTHANA-509</t>
  </si>
  <si>
    <t>54417</t>
  </si>
  <si>
    <t>[DEV][RD][TDM] Callback API x GATE_OUT event</t>
  </si>
  <si>
    <t>02/Jun/26 9:41 AM</t>
  </si>
  <si>
    <t>RDTHANA-508</t>
  </si>
  <si>
    <t>54416</t>
  </si>
  <si>
    <t>[DEV][RD][TDM] Callback API x GATE_IN event</t>
  </si>
  <si>
    <t>04/Jun/26 12:00 AM</t>
  </si>
  <si>
    <t>RDTHANA-507</t>
  </si>
  <si>
    <t>54415</t>
  </si>
  <si>
    <t>[DEV][RD][POC] Shopify Data</t>
  </si>
  <si>
    <t>02/Jun/26 9:20 AM</t>
  </si>
  <si>
    <t>12/Jun/26 9:30 AM</t>
  </si>
  <si>
    <t>DRST-102</t>
  </si>
  <si>
    <t>54414</t>
  </si>
  <si>
    <t>[DEV][RD][VIMI] Remove BTS daily + ScheduleService (MyCity only)</t>
  </si>
  <si>
    <t>Nim : muthita munmueang</t>
  </si>
  <si>
    <t>712020:e80312b7-b5b0-43e8-b198-3d8fce4532bb</t>
  </si>
  <si>
    <t>02/Jun/26 9:04 AM</t>
  </si>
  <si>
    <t>12/Jun/26 1:46 PM</t>
  </si>
  <si>
    <t>[Dev RD][VIMI Termi] Sprint 26</t>
  </si>
  <si>
    <t>DRST-101</t>
  </si>
  <si>
    <t>54413</t>
  </si>
  <si>
    <t>[DEV][RD][VIMI] Remove subscription transaction export PG (subscriptions_report)</t>
  </si>
  <si>
    <t>02/Jun/26 9:03 AM</t>
  </si>
  <si>
    <t>No-QA</t>
  </si>
  <si>
    <t>DRST-100</t>
  </si>
  <si>
    <t>54412</t>
  </si>
  <si>
    <t>[DEV][RD][VIMI] Remove subscription coupon import (subscriptions_product)</t>
  </si>
  <si>
    <t>DPE-658</t>
  </si>
  <si>
    <t>54411</t>
  </si>
  <si>
    <t>01/Jun/26 5:38 PM</t>
  </si>
  <si>
    <t>05/Jun/26 4:24 PM</t>
  </si>
  <si>
    <t>DPE-657</t>
  </si>
  <si>
    <t>54410</t>
  </si>
  <si>
    <t>DPE-656</t>
  </si>
  <si>
    <t>54409</t>
  </si>
  <si>
    <t>DPE-655</t>
  </si>
  <si>
    <t>54408</t>
  </si>
  <si>
    <t>05/Jun/26 4:56 PM</t>
  </si>
  <si>
    <t>DPE-654</t>
  </si>
  <si>
    <t>54407</t>
  </si>
  <si>
    <t>DPE-653</t>
  </si>
  <si>
    <t>54406</t>
  </si>
  <si>
    <t>DPE-652</t>
  </si>
  <si>
    <t>54405</t>
  </si>
  <si>
    <t>DPE-651</t>
  </si>
  <si>
    <t>54404</t>
  </si>
  <si>
    <t>RDTHANA-506</t>
  </si>
  <si>
    <t>54402</t>
  </si>
  <si>
    <t>[DEV][RD][POC] Shopify x Clevertrap</t>
  </si>
  <si>
    <t>01/Jun/26 4:52 PM</t>
  </si>
  <si>
    <t>12/Jun/26 1:53 PM</t>
  </si>
  <si>
    <t>DRST-99</t>
  </si>
  <si>
    <t>54398</t>
  </si>
  <si>
    <t>[DEV][RD][VIMI] Remove e-receipt export (MyCity + S3 subscription)</t>
  </si>
  <si>
    <t>01/Jun/26 4:04 PM</t>
  </si>
  <si>
    <t>RDAPS-490</t>
  </si>
  <si>
    <t>54389</t>
  </si>
  <si>
    <t>[SA][RD] Meeting Sprint 26</t>
  </si>
  <si>
    <t>01/Jun/26 10:37 AM</t>
  </si>
  <si>
    <t>02/Jun/26 10:07 AM</t>
  </si>
  <si>
    <t>Epic</t>
  </si>
  <si>
    <t>RDAPS-489</t>
  </si>
  <si>
    <t>54388</t>
  </si>
  <si>
    <t>01/Jun/26 10:36 AM</t>
  </si>
  <si>
    <t>RDAPS-488</t>
  </si>
  <si>
    <t>54387</t>
  </si>
  <si>
    <t>01/Jun/26 10:35 AM</t>
  </si>
  <si>
    <t>DPE-649</t>
  </si>
  <si>
    <t>54385</t>
  </si>
  <si>
    <t>01/Jun/26 10:29 AM</t>
  </si>
  <si>
    <t>01/Jun/26 2:48 PM</t>
  </si>
  <si>
    <t>DPE-648</t>
  </si>
  <si>
    <t>54384</t>
  </si>
  <si>
    <t>01/Jun/26 10:28 AM</t>
  </si>
  <si>
    <t>01/Jun/26 10:45 AM</t>
  </si>
  <si>
    <t>DEVRDECOM-253</t>
  </si>
  <si>
    <t>54375</t>
  </si>
  <si>
    <t>[DEV][RD][Ecom][Gustron][POC] Banner auto login from RR app (Browser Share Session Cookie)</t>
  </si>
  <si>
    <t>Low</t>
  </si>
  <si>
    <t>31/May/26 7:14 AM</t>
  </si>
  <si>
    <t>poc</t>
  </si>
  <si>
    <t>rr-ecommerce-shopify</t>
  </si>
  <si>
    <t>RDAPS-487</t>
  </si>
  <si>
    <t>54344</t>
  </si>
  <si>
    <t>[SA][RD] Prepare task for sprint 27</t>
  </si>
  <si>
    <t>29/May/26 5:09 PM</t>
  </si>
  <si>
    <t>12/Jun/26 2:55 PM</t>
  </si>
  <si>
    <t>RDAPS-486</t>
  </si>
  <si>
    <t>54343</t>
  </si>
  <si>
    <t>[SA][RD] Team Support &amp; Management Sprint 26</t>
  </si>
  <si>
    <t>29/May/26 5:08 PM</t>
  </si>
  <si>
    <t>12/Jun/26 10:13 AM</t>
  </si>
  <si>
    <t>RDAPS-485</t>
  </si>
  <si>
    <t>54342</t>
  </si>
  <si>
    <t>12/Jun/26 10:14 AM</t>
  </si>
  <si>
    <t>RDAPS-484</t>
  </si>
  <si>
    <t>54341</t>
  </si>
  <si>
    <t>[Dev][RD][Adhoc] Open DevOps ticket for Lens access (Staging &amp; UAT)</t>
  </si>
  <si>
    <t>29/May/26 4:41 PM</t>
  </si>
  <si>
    <t>12/Jun/26 1:51 PM</t>
  </si>
  <si>
    <t>access</t>
  </si>
  <si>
    <t>devops</t>
  </si>
  <si>
    <t>lens</t>
  </si>
  <si>
    <t>staging</t>
  </si>
  <si>
    <t>uat</t>
  </si>
  <si>
    <t>RDTHANA-505</t>
  </si>
  <si>
    <t>54339</t>
  </si>
  <si>
    <t>[DEV][RD][TDM] Integrate queue and retry to coin revoke api</t>
  </si>
  <si>
    <t>Ready to Staging</t>
  </si>
  <si>
    <t>29/May/26 3:23 PM</t>
  </si>
  <si>
    <t>RDTHANA-504</t>
  </si>
  <si>
    <t>54338</t>
  </si>
  <si>
    <t>[DEV][RD][TDM] Log invalid generic transaction requests to S3</t>
  </si>
  <si>
    <t>29/May/26 2:46 PM</t>
  </si>
  <si>
    <t>DEVRDSS-12</t>
  </si>
  <si>
    <t>54334</t>
  </si>
  <si>
    <t>[SA][RD][Samsung] Sync up with BSS teams</t>
  </si>
  <si>
    <t>29/May/26 10:40 AM</t>
  </si>
  <si>
    <t>12/Jun/26 12:53 PM</t>
  </si>
  <si>
    <t>[Dev][RD][Samsung] Sprint 26</t>
  </si>
  <si>
    <t>RDAPS-483</t>
  </si>
  <si>
    <t>54330</t>
  </si>
  <si>
    <t>[Dev][RD][Adhoc] Update GCloud Cost for Rcash, RR, and BSS Tabs in Cost Tracking Google Sheet for May</t>
  </si>
  <si>
    <t>29/May/26 8:40 AM</t>
  </si>
  <si>
    <t>03/Jun/26 12:00 AM</t>
  </si>
  <si>
    <t>cost-management</t>
  </si>
  <si>
    <t>finance</t>
  </si>
  <si>
    <t>gcloud</t>
  </si>
  <si>
    <t>report</t>
  </si>
  <si>
    <t>DEVRDUA-1</t>
  </si>
  <si>
    <t>54323</t>
  </si>
  <si>
    <t>[SA][RD][Unified App] Assess project feasibility and implementation options</t>
  </si>
  <si>
    <t>28/May/26 5:38 PM</t>
  </si>
  <si>
    <t>12/Jun/26 10:27 AM</t>
  </si>
  <si>
    <t>architecture</t>
  </si>
  <si>
    <t>feasibility</t>
  </si>
  <si>
    <t>sa</t>
  </si>
  <si>
    <t>unified-app</t>
  </si>
  <si>
    <t>[Dev][RD][Unified] Sprint 26</t>
  </si>
  <si>
    <t>RDTHANA-503</t>
  </si>
  <si>
    <t>54322</t>
  </si>
  <si>
    <t>[DEV][RD][TDM] Add is_legacy to callback API</t>
  </si>
  <si>
    <t>28/May/26 5:16 PM</t>
  </si>
  <si>
    <t>29/May/26 12:00 AM</t>
  </si>
  <si>
    <t>[Dev][RD][Thana] Sprint 25</t>
  </si>
  <si>
    <t>DEV-12</t>
  </si>
  <si>
    <t>54321</t>
  </si>
  <si>
    <t>[DEV][RD][TechDebt] Provide RR Operation &amp; Incident API matrix in central sheet</t>
  </si>
  <si>
    <t>28/May/26 5:12 PM</t>
  </si>
  <si>
    <t>api-mapping</t>
  </si>
  <si>
    <t>incident</t>
  </si>
  <si>
    <t>operations</t>
  </si>
  <si>
    <t>DEVRDECOM-252</t>
  </si>
  <si>
    <t>54320</t>
  </si>
  <si>
    <t>[Dev][RD][Ecom][Turtle] Auto prefill location/phone and branch</t>
  </si>
  <si>
    <t>28/May/26 4:16 PM</t>
  </si>
  <si>
    <t>12/Jun/26 4:31 PM</t>
  </si>
  <si>
    <t>DEVRDECOM-251</t>
  </si>
  <si>
    <t>54312</t>
  </si>
  <si>
    <t>[DEV][RD][Ecom] Filter unnecessary logs to reduce observability cost</t>
  </si>
  <si>
    <t>28/May/26 3:02 PM</t>
  </si>
  <si>
    <t>cost-optimization</t>
  </si>
  <si>
    <t>log-filtering</t>
  </si>
  <si>
    <t>RDAPS-482</t>
  </si>
  <si>
    <t>54310</t>
  </si>
  <si>
    <t>[Dev][RD][Adhoc][HR Solution] Turtle Upgrade/Downgrade tier batch</t>
  </si>
  <si>
    <t>28/May/26 2:19 PM</t>
  </si>
  <si>
    <t>DEVRRBOF-211</t>
  </si>
  <si>
    <t>54308</t>
  </si>
  <si>
    <t>[Dev][RD][Order API][SUB] Support crm_case_ref and crm_note on POST /v1/orders/update for Payment Inquiry</t>
  </si>
  <si>
    <t>28/May/26 1:51 PM</t>
  </si>
  <si>
    <t>12/Jun/26 12:57 PM</t>
  </si>
  <si>
    <t>[Dev][RD][BOF] Sprint 26</t>
  </si>
  <si>
    <t>DPE-646</t>
  </si>
  <si>
    <t>54304</t>
  </si>
  <si>
    <t>[Dev][RD][CT] Adjust config MAU filtering</t>
  </si>
  <si>
    <t>28/May/26 1:45 PM</t>
  </si>
  <si>
    <t>12/Jun/26 10:01 AM</t>
  </si>
  <si>
    <t>DEVRDSUP-613</t>
  </si>
  <si>
    <t>54302</t>
  </si>
  <si>
    <t>[SUP-703]"Point_Issued" events duplicate data in Clevertap</t>
  </si>
  <si>
    <t>Pan:Paliwan Boonhian</t>
  </si>
  <si>
    <t>62e8dfd1432ef494c8c98577</t>
  </si>
  <si>
    <t>28/May/26 1:08 PM</t>
  </si>
  <si>
    <t>12/Jun/26 10:20 AM</t>
  </si>
  <si>
    <t>16/Jun/26 12:00 AM</t>
  </si>
  <si>
    <t>DEVRDSUP-612</t>
  </si>
  <si>
    <t>54301</t>
  </si>
  <si>
    <t>[SUP-702]"checkin" events are also being recorded as "charged" events in Clevertap</t>
  </si>
  <si>
    <t>Enhancement</t>
  </si>
  <si>
    <t>28/May/26 1:06 PM</t>
  </si>
  <si>
    <t>DEVRDSUP-611</t>
  </si>
  <si>
    <t>54299</t>
  </si>
  <si>
    <t>[SUP-701][Need Support] BTSG – Import User (Employee ID เปลี่ยน)</t>
  </si>
  <si>
    <t>28/May/26 11:48 AM</t>
  </si>
  <si>
    <t>DEVRDSUP-610</t>
  </si>
  <si>
    <t>54298</t>
  </si>
  <si>
    <t>[SUP-706][SSO][Access] Request SSO back office access for HOP AE 28/05/2026</t>
  </si>
  <si>
    <t>28/May/26 11:36 AM</t>
  </si>
  <si>
    <t>RDAPS-481</t>
  </si>
  <si>
    <t>54294</t>
  </si>
  <si>
    <t>[Dev][RD][Adhoc] Estimate Point expire 2026 - Donation</t>
  </si>
  <si>
    <t>28/May/26 9:52 AM</t>
  </si>
  <si>
    <t>DPE-645</t>
  </si>
  <si>
    <t>54292</t>
  </si>
  <si>
    <t>[Dev][RD][BFF] Revise transaction type filter logic for earn / burn history</t>
  </si>
  <si>
    <t>28/May/26 7:37 AM</t>
  </si>
  <si>
    <t>BFF</t>
  </si>
  <si>
    <t>DEVRDSUP-605</t>
  </si>
  <si>
    <t>54238</t>
  </si>
  <si>
    <t>[SUP-697]Group Rewards - Lucky Draw Apple_Jun26</t>
  </si>
  <si>
    <t>26/May/26 2:43 PM</t>
  </si>
  <si>
    <t>groupReward</t>
  </si>
  <si>
    <t>rem</t>
  </si>
  <si>
    <t>DPE-627</t>
  </si>
  <si>
    <t>54234</t>
  </si>
  <si>
    <t>[Dev][RD][UAT][Line Pay Web] Prepare code and environment for UAT</t>
  </si>
  <si>
    <t>26/May/26 2:17 PM</t>
  </si>
  <si>
    <t>12/Jun/26 10:26 AM</t>
  </si>
  <si>
    <t>DPE-626</t>
  </si>
  <si>
    <t>54233</t>
  </si>
  <si>
    <t>[Dev][RD][UAT][Line Pay API] Prepare code and environment for UAT</t>
  </si>
  <si>
    <t>DPE-625</t>
  </si>
  <si>
    <t>54232</t>
  </si>
  <si>
    <t>[Dev][RD][UAT][RR Issue Point Function] Prepare code and environment for UAT</t>
  </si>
  <si>
    <t>DPE-624</t>
  </si>
  <si>
    <t>54231</t>
  </si>
  <si>
    <t>[Dev][RD][UAT][RR CleverTap Service] Prepare code and environment for UAT</t>
  </si>
  <si>
    <t>DPE-623</t>
  </si>
  <si>
    <t>54230</t>
  </si>
  <si>
    <t>[Dev][RD][UAT][RR Athena Service] Prepare code and environment for UAT</t>
  </si>
  <si>
    <t>DPE-622</t>
  </si>
  <si>
    <t>54229</t>
  </si>
  <si>
    <t>[Dev][RD][UAT][RR Cronjob] Prepare code and environment for UAT</t>
  </si>
  <si>
    <t>DPE-621</t>
  </si>
  <si>
    <t>54228</t>
  </si>
  <si>
    <t>[Dev][RD][UAT][RR Scheduler] Prepare code and environment for UAT</t>
  </si>
  <si>
    <t>DPE-620</t>
  </si>
  <si>
    <t>54227</t>
  </si>
  <si>
    <t>[Dev][RD][UAT][Redemption Consumer] Prepare code and environment for UAT</t>
  </si>
  <si>
    <t>26/May/26 2:16 PM</t>
  </si>
  <si>
    <t>DPE-619</t>
  </si>
  <si>
    <t>54226</t>
  </si>
  <si>
    <t>[Dev][RD][UAT][RR Member] Prepare code and environment for UAT</t>
  </si>
  <si>
    <t>DPE-618</t>
  </si>
  <si>
    <t>54225</t>
  </si>
  <si>
    <t>[Dev][RD][UAT][RR Member Acquisition] Prepare code and environment for UAT</t>
  </si>
  <si>
    <t>DPE-617</t>
  </si>
  <si>
    <t>54224</t>
  </si>
  <si>
    <t>[Dev][RD][UAT][RR Voucher Validator] Prepare code and environment for UAT</t>
  </si>
  <si>
    <t>DPE-616</t>
  </si>
  <si>
    <t>54223</t>
  </si>
  <si>
    <t>[Dev][RD][UAT][HR Solution] Prepare code and environment for UAT</t>
  </si>
  <si>
    <t>DPE-615</t>
  </si>
  <si>
    <t>54222</t>
  </si>
  <si>
    <t>[Dev][RD][UAT][Rabbit Sky Frontend] Prepare code and environment for UAT</t>
  </si>
  <si>
    <t>DPE-614</t>
  </si>
  <si>
    <t>54221</t>
  </si>
  <si>
    <t>[Dev][RD][UAT][Rabbit Sky API] Prepare code and environment for UAT</t>
  </si>
  <si>
    <t>DPE-613</t>
  </si>
  <si>
    <t>54220</t>
  </si>
  <si>
    <t>[Dev][RD][UAT][RR Pay with Point API] Prepare code and environment for UAT</t>
  </si>
  <si>
    <t>DPE-612</t>
  </si>
  <si>
    <t>54219</t>
  </si>
  <si>
    <t>[Dev][RD][UAT][RR Aphrodite] Prepare code and environment for UAT</t>
  </si>
  <si>
    <t>26/May/26 2:15 PM</t>
  </si>
  <si>
    <t>DPE-611</t>
  </si>
  <si>
    <t>54218</t>
  </si>
  <si>
    <t>[Dev][RD][UAT][GoUtil] Prepare code and environment for UAT</t>
  </si>
  <si>
    <t>DPE-610</t>
  </si>
  <si>
    <t>54217</t>
  </si>
  <si>
    <t>[Dev][RD][UAT][RR Ecommerce Shopify] Prepare code and environment for UAT</t>
  </si>
  <si>
    <t>DPE-609</t>
  </si>
  <si>
    <t>54216</t>
  </si>
  <si>
    <t>[Dev][RD][UAT][RR BackOffice] Prepare code and environment for UAT</t>
  </si>
  <si>
    <t>DPE-608</t>
  </si>
  <si>
    <t>54215</t>
  </si>
  <si>
    <t>[Dev][RD][UAT][Redemption API] Prepare code and environment for UAT</t>
  </si>
  <si>
    <t>DPE-607</t>
  </si>
  <si>
    <t>54214</t>
  </si>
  <si>
    <t>[Dev][RD][UAT][RR Order Service] Prepare code and environment for UAT</t>
  </si>
  <si>
    <t>DPE-606</t>
  </si>
  <si>
    <t>54213</t>
  </si>
  <si>
    <t>[Dev][RD][UAT][Partner Loyalty API] Prepare code and environment for UAT</t>
  </si>
  <si>
    <t>DPE-605</t>
  </si>
  <si>
    <t>54212</t>
  </si>
  <si>
    <t>[Dev][RD][UAT][Rabbit CMS API] Prepare code and environment for UAT</t>
  </si>
  <si>
    <t>DPE-604</t>
  </si>
  <si>
    <t>54211</t>
  </si>
  <si>
    <t>[Dev][RD][UAT][Exclusive Store API] Prepare code and environment for UAT</t>
  </si>
  <si>
    <t>DPE-603</t>
  </si>
  <si>
    <t>54210</t>
  </si>
  <si>
    <t>[Dev][RD][UAT][Point Engine Proxy Scheduler] Prepare code and environment for UAT</t>
  </si>
  <si>
    <t>12/Jun/26 10:29 AM</t>
  </si>
  <si>
    <t>DPE-602</t>
  </si>
  <si>
    <t>54209</t>
  </si>
  <si>
    <t>[Dev][RD][UAT][Point Engine Proxy API] Prepare code and environment for UAT</t>
  </si>
  <si>
    <t>26/May/26 2:14 PM</t>
  </si>
  <si>
    <t>DPE-601</t>
  </si>
  <si>
    <t>54208</t>
  </si>
  <si>
    <t>[Dev][RD][UAT][BFF] Prepare code and environment for UAT</t>
  </si>
  <si>
    <t>DPE-600</t>
  </si>
  <si>
    <t>54207</t>
  </si>
  <si>
    <t>[Dev][RD][UAT][SSO] Prepare code and environment for UAT</t>
  </si>
  <si>
    <t>26/May/26 2:08 PM</t>
  </si>
  <si>
    <t>DEVRRBOF-209</t>
  </si>
  <si>
    <t>54205</t>
  </si>
  <si>
    <t>[Dev][RD][SUB] Payment inquiry button on package TXN detail for initiating package once the payment is confirmed</t>
  </si>
  <si>
    <t>26/May/26 1:53 PM</t>
  </si>
  <si>
    <t>DEVRRBOF-208</t>
  </si>
  <si>
    <t>54204</t>
  </si>
  <si>
    <t>[Dev][RD][SUB] Toggle on/off radio button for Credit / Debit Card Payment Method</t>
  </si>
  <si>
    <t>26/May/26 1:52 PM</t>
  </si>
  <si>
    <t>DEV-10</t>
  </si>
  <si>
    <t>54186</t>
  </si>
  <si>
    <t>[DEV][RD][HRS] Enhance package issue on Local</t>
  </si>
  <si>
    <t>26/May/26 10:26 AM</t>
  </si>
  <si>
    <t>02/Jun/26 10:04 AM</t>
  </si>
  <si>
    <t>01/Jun/26 12:00 AM</t>
  </si>
  <si>
    <t>RDTHANA-501</t>
  </si>
  <si>
    <t>54158</t>
  </si>
  <si>
    <t>[DEV][RD][TDM] Generic Transaction — Enum others + {field}_note</t>
  </si>
  <si>
    <t>22/May/26 11:17 AM</t>
  </si>
  <si>
    <t>DPE-597</t>
  </si>
  <si>
    <t>54154</t>
  </si>
  <si>
    <t>[Dev][RD][PE Proxy Scheduler] Implement Discord Error Notifications</t>
  </si>
  <si>
    <t>22/May/26 9:17 AM</t>
  </si>
  <si>
    <t>DEV-9</t>
  </si>
  <si>
    <t>54151</t>
  </si>
  <si>
    <t>[SA][RD][Tech Debt] Investigate and Fix Daily Sales Tracking Receipt ID not gen</t>
  </si>
  <si>
    <t>21/May/26 5:04 PM</t>
  </si>
  <si>
    <t>11/Jun/26 5:18 PM</t>
  </si>
  <si>
    <t>DEV-8</t>
  </si>
  <si>
    <t>54148</t>
  </si>
  <si>
    <t>[SA][RD][Tech Debt][AppPerf] Prepare Agenda &amp; Pre-requirements for Soda Team Alignment Meeting</t>
  </si>
  <si>
    <t>21/May/26 4:06 PM</t>
  </si>
  <si>
    <t>DEV-7</t>
  </si>
  <si>
    <t>54141</t>
  </si>
  <si>
    <t>[DEV][RD][Tech Debt][Algolia] Optimize Algolia usage</t>
  </si>
  <si>
    <t>21/May/26 2:41 PM</t>
  </si>
  <si>
    <t>21/May/26 2:42 PM</t>
  </si>
  <si>
    <t>DEV-6</t>
  </si>
  <si>
    <t>54140</t>
  </si>
  <si>
    <t>[SA][RD][Tech Debt][Algolia] Discussion with Soda</t>
  </si>
  <si>
    <t>21/May/26 2:40 PM</t>
  </si>
  <si>
    <t>DEVRDSUP-599</t>
  </si>
  <si>
    <t>54132</t>
  </si>
  <si>
    <t>[SUP-643]Event Charged in Clevertap and data format mismatch</t>
  </si>
  <si>
    <t>21/May/26 9:57 AM</t>
  </si>
  <si>
    <t>DEVRDSUP-596</t>
  </si>
  <si>
    <t>54091</t>
  </si>
  <si>
    <t>[SUP-689]NBO][Rewards][Subscription] - Upload code double</t>
  </si>
  <si>
    <t>Resolved</t>
  </si>
  <si>
    <t>20/May/26 5:12 PM</t>
  </si>
  <si>
    <t>25/Jun/26 12:00 AM</t>
  </si>
  <si>
    <t>DEVRDSUP-595</t>
  </si>
  <si>
    <t>54089</t>
  </si>
  <si>
    <t>[SUP-688]Event properties are not appearing in the user profile</t>
  </si>
  <si>
    <t>20/May/26 4:47 PM</t>
  </si>
  <si>
    <t>12/Jun/26 1:32 PM</t>
  </si>
  <si>
    <t>rr-app</t>
  </si>
  <si>
    <t>DEVRDSUP-594</t>
  </si>
  <si>
    <t>54087</t>
  </si>
  <si>
    <t>[SUP-625][RR Member Account] CS-20260300026232 // Cannot add RC into RR Member account [RD SSO show- "Rabbit card already in use." / Member ID 30245337</t>
  </si>
  <si>
    <t>Game (Krittapas Tanaprasitpattana)</t>
  </si>
  <si>
    <t>712020:85e9f474-8ee8-45ba-9249-cde16fa1cd35</t>
  </si>
  <si>
    <t>20/May/26 4:35 PM</t>
  </si>
  <si>
    <t>09/Jun/26 10:27 AM</t>
  </si>
  <si>
    <t>22/Jun/26 12:00 AM</t>
  </si>
  <si>
    <t>DEV-5</t>
  </si>
  <si>
    <t>54037</t>
  </si>
  <si>
    <t>[DEV][RD][TechDebt] Enhance command re register support by options</t>
  </si>
  <si>
    <t>18/May/26 1:45 PM</t>
  </si>
  <si>
    <t>11/Jun/26 5:20 PM</t>
  </si>
  <si>
    <t>20/May/26 12:00 AM</t>
  </si>
  <si>
    <t>RDTHANA-493</t>
  </si>
  <si>
    <t>54033</t>
  </si>
  <si>
    <t>[DEV][RD][TDM][POC] Get Shopify data for BU Dashboard</t>
  </si>
  <si>
    <t>18/May/26 10:43 AM</t>
  </si>
  <si>
    <t>02/Jun/26 9:19 AM</t>
  </si>
  <si>
    <t>26/May/26 12:00 AM</t>
  </si>
  <si>
    <t>RDTHANA-492</t>
  </si>
  <si>
    <t>54027</t>
  </si>
  <si>
    <t>[DEV][RD][TDM] Enhance Generic transaction</t>
  </si>
  <si>
    <t>18/May/26 9:56 AM</t>
  </si>
  <si>
    <t>19/May/26 12:00 AM</t>
  </si>
  <si>
    <t>DPE-579</t>
  </si>
  <si>
    <t>54025</t>
  </si>
  <si>
    <t>[DEV][RD][NPE] Investigate member count discrepancy between DA and RD due to email matching issues</t>
  </si>
  <si>
    <t>18/May/26 9:43 AM</t>
  </si>
  <si>
    <t>02/Jun/26 11:11 AM</t>
  </si>
  <si>
    <t>DEVRDSS-11</t>
  </si>
  <si>
    <t>53973</t>
  </si>
  <si>
    <t>[DEV][RD][Samsung][SSO-Backoffice] Update RR profile cards list to show multiple cloud cards</t>
  </si>
  <si>
    <t>15/May/26 8:06 PM</t>
  </si>
  <si>
    <t>12/Jun/26 12:52 PM</t>
  </si>
  <si>
    <t>[Dev][RD][Samsung] Sprint 25</t>
  </si>
  <si>
    <t>DEVRDSS-10</t>
  </si>
  <si>
    <t>53972</t>
  </si>
  <si>
    <t>[DEV][RD][Samsung][CloudID] Enhance updateLastStatus  and send data to CleverTap</t>
  </si>
  <si>
    <t>15/May/26 7:11 PM</t>
  </si>
  <si>
    <t>DEVRDSS-9</t>
  </si>
  <si>
    <t>53971</t>
  </si>
  <si>
    <t>[DEV][RD][Samsung][CloudID] Update endpoint tokens/latest path to V2</t>
  </si>
  <si>
    <t>15/May/26 7:01 PM</t>
  </si>
  <si>
    <t>DEVRDSS-6</t>
  </si>
  <si>
    <t>53970</t>
  </si>
  <si>
    <t>[DEV][RD][Samsung][CloudID] Create v2 API for Get User Cards with Multiple Cards Support</t>
  </si>
  <si>
    <t>15/May/26 6:57 PM</t>
  </si>
  <si>
    <t>DEVRDSS-7</t>
  </si>
  <si>
    <t>53968</t>
  </si>
  <si>
    <t>[DEV][RD][Samsung][SSO] Enhance API get card list</t>
  </si>
  <si>
    <t>15/May/26 6:37 PM</t>
  </si>
  <si>
    <t>27/May/26 12:00 AM</t>
  </si>
  <si>
    <t>DEVRDSS-8</t>
  </si>
  <si>
    <t>53967</t>
  </si>
  <si>
    <t>[DEV][RD][Samsung][BFF] Enhance API get card list</t>
  </si>
  <si>
    <t>RDAPS-467</t>
  </si>
  <si>
    <t>53897</t>
  </si>
  <si>
    <t>[DEV][RD][BFF] Enhance clear member card cache after add card success</t>
  </si>
  <si>
    <t>14/May/26 3:35 PM</t>
  </si>
  <si>
    <t>DEVRDECOM-248</t>
  </si>
  <si>
    <t>53892</t>
  </si>
  <si>
    <t>[DEV][RD][Ecom][Gustron][POC] Banner auto login from RR app (SSO Bootstrap / One-time Ticket)</t>
  </si>
  <si>
    <t>14/May/26 2:40 PM</t>
  </si>
  <si>
    <t>12/Jun/26 11:02 AM</t>
  </si>
  <si>
    <t>RDTHANA-491</t>
  </si>
  <si>
    <t>53889</t>
  </si>
  <si>
    <t>[DEV][RD][TDM] Enhance generic transaction support more payment type</t>
  </si>
  <si>
    <t>14/May/26 2:02 PM</t>
  </si>
  <si>
    <t>DEV-2</t>
  </si>
  <si>
    <t>53859</t>
  </si>
  <si>
    <t>[DEV][RD][Tech Debt][SSO] Improve performance (Relational)</t>
  </si>
  <si>
    <t>14/May/26 9:24 AM</t>
  </si>
  <si>
    <t>15/May/26 12:00 AM</t>
  </si>
  <si>
    <t>[Dev][RD][TechDebt] Sprint 24</t>
  </si>
  <si>
    <t>DEV-1</t>
  </si>
  <si>
    <t>53858</t>
  </si>
  <si>
    <t>[DEV][RD][Tech Debt][PL] Fix Log File Permission Issue to Prevent Root-Owned File Blocking Application Logs</t>
  </si>
  <si>
    <t>14/May/26 9:19 AM</t>
  </si>
  <si>
    <t>DPE-531</t>
  </si>
  <si>
    <t>53720</t>
  </si>
  <si>
    <t>[Dev][RD][SSO-User DB] Create database view for active RC cards info</t>
  </si>
  <si>
    <t>07/May/26 3:05 PM</t>
  </si>
  <si>
    <t>02/Jun/26 10:19 AM</t>
  </si>
  <si>
    <t>DE</t>
  </si>
  <si>
    <t>DPE-530</t>
  </si>
  <si>
    <t>53712</t>
  </si>
  <si>
    <t>[Dev][RD][IPF] Change the webhook issue point to use Point Engine Proxy</t>
  </si>
  <si>
    <t>07/May/26 2:51 PM</t>
  </si>
  <si>
    <t>rr-issue-point-function</t>
  </si>
  <si>
    <t>DPE-527</t>
  </si>
  <si>
    <t>53706</t>
  </si>
  <si>
    <t>[QA] Test Execution - API</t>
  </si>
  <si>
    <t>07/May/26 2:41 PM</t>
  </si>
  <si>
    <t>11/Jun/26 3:40 PM</t>
  </si>
  <si>
    <t>DPE-523</t>
  </si>
  <si>
    <t>53702</t>
  </si>
  <si>
    <t>07/May/26 2:39 PM</t>
  </si>
  <si>
    <t>12/Jun/26 11:20 AM</t>
  </si>
  <si>
    <t>DPE-522</t>
  </si>
  <si>
    <t>53701</t>
  </si>
  <si>
    <t>12/Jun/26 11:26 AM</t>
  </si>
  <si>
    <t>DPE-520</t>
  </si>
  <si>
    <t>53699</t>
  </si>
  <si>
    <t>07/May/26 2:38 PM</t>
  </si>
  <si>
    <t>12/Jun/26 3:10 PM</t>
  </si>
  <si>
    <t>DPE-519</t>
  </si>
  <si>
    <t>53698</t>
  </si>
  <si>
    <t>[Dev][RD][SSO-User DB] Create database view for registration_sources</t>
  </si>
  <si>
    <t>07/May/26 2:16 PM</t>
  </si>
  <si>
    <t>DPE-513</t>
  </si>
  <si>
    <t>53665</t>
  </si>
  <si>
    <t>[Dev][RD][PEP][Database] Request Production PostgreSQL Provisioning for Point Engine Proxy</t>
  </si>
  <si>
    <t>06/May/26 2:24 PM</t>
  </si>
  <si>
    <t>12/Jun/26 10:38 AM</t>
  </si>
  <si>
    <t>DEVRDECOM-246</t>
  </si>
  <si>
    <t>53605</t>
  </si>
  <si>
    <t>[DEV][RD][Ecom][Turtle] Custom delivery option in email order confirmation</t>
  </si>
  <si>
    <t>05/May/26 9:44 AM</t>
  </si>
  <si>
    <t>shopify-custom-order-comfirmation</t>
  </si>
  <si>
    <t>[Dev][RD][Ecom] Sprint 24</t>
  </si>
  <si>
    <t>[Dev][RD][Ecom] Sprint 25</t>
  </si>
  <si>
    <t>RDTHANA-484</t>
  </si>
  <si>
    <t>53566</t>
  </si>
  <si>
    <t>[DEV][RD][TDM] Access control API on landing zone</t>
  </si>
  <si>
    <t>30/Apr/26 2:24 PM</t>
  </si>
  <si>
    <t>11/May/26 12:00 AM</t>
  </si>
  <si>
    <t>[Dev][RD][Thana] Sprint 24</t>
  </si>
  <si>
    <t>DEV-4</t>
  </si>
  <si>
    <t>53559</t>
  </si>
  <si>
    <t>[Dev][RD][RRS] Optimize MongoDB Bulk Update Coupons Status to Reduce IO Wait (Batch Size Tuning)</t>
  </si>
  <si>
    <t>30/Apr/26 1:43 PM</t>
  </si>
  <si>
    <t>12/Jun/26 1:47 PM</t>
  </si>
  <si>
    <t>DEV-13</t>
  </si>
  <si>
    <t>53553</t>
  </si>
  <si>
    <t>[Dev][RD][Tech Debt][RRS] Improve upload coupon code logic and refactor</t>
  </si>
  <si>
    <t>30/Apr/26 9:33 AM</t>
  </si>
  <si>
    <t>DPE-506</t>
  </si>
  <si>
    <t>53505</t>
  </si>
  <si>
    <t>[Dev][RD][ORD] Enhance Pay with Point Flow to Handle CleverTap Payment Provider</t>
  </si>
  <si>
    <t>29/Apr/26 11:30 AM</t>
  </si>
  <si>
    <t>DEVRDSUP-564</t>
  </si>
  <si>
    <t>53463</t>
  </si>
  <si>
    <t>[SUP-655][SUB][OfficerApp] BTS admin reported that 1 of the voucher couldn't be mark used, A920 displayed "Usage card is missing" 27/04/2026.</t>
  </si>
  <si>
    <t>Open</t>
  </si>
  <si>
    <t>28/Apr/26 3:20 PM</t>
  </si>
  <si>
    <t>19/Jun/26 12:00 AM</t>
  </si>
  <si>
    <t>a920</t>
  </si>
  <si>
    <t>OfficerApp</t>
  </si>
  <si>
    <t>DPE-486</t>
  </si>
  <si>
    <t>53397</t>
  </si>
  <si>
    <t>[QA] Test execution STG</t>
  </si>
  <si>
    <t>25/Apr/26 12:46 PM</t>
  </si>
  <si>
    <t>27/May/26 1:02 PM</t>
  </si>
  <si>
    <t>[Dev][RD][New PE] Sprint 20</t>
  </si>
  <si>
    <t>DPE-485</t>
  </si>
  <si>
    <t>53395</t>
  </si>
  <si>
    <t>DPE-484</t>
  </si>
  <si>
    <t>53393</t>
  </si>
  <si>
    <t>22/May/26 10:06 AM</t>
  </si>
  <si>
    <t>DPE-483</t>
  </si>
  <si>
    <t>53391</t>
  </si>
  <si>
    <t>[QA] Create Sky Web Switch Account test cases</t>
  </si>
  <si>
    <t>25/Apr/26 12:40 PM</t>
  </si>
  <si>
    <t>26/May/26 10:11 AM</t>
  </si>
  <si>
    <t>DPE-482</t>
  </si>
  <si>
    <t>53389</t>
  </si>
  <si>
    <t>[QA] Create Sky API Switch account test cases</t>
  </si>
  <si>
    <t>25/Apr/26 12:38 PM</t>
  </si>
  <si>
    <t>26/May/26 10:10 AM</t>
  </si>
  <si>
    <t>DPE-481</t>
  </si>
  <si>
    <t>53387</t>
  </si>
  <si>
    <t>[QA] Create Sky API Reactivate test cases</t>
  </si>
  <si>
    <t>DPE-480</t>
  </si>
  <si>
    <t>53385</t>
  </si>
  <si>
    <t>25/Apr/26 12:36 PM</t>
  </si>
  <si>
    <t>16/May/26 2:51 PM</t>
  </si>
  <si>
    <t>DPE-479</t>
  </si>
  <si>
    <t>53383</t>
  </si>
  <si>
    <t>[QA] Create Sky API Register Member test cases</t>
  </si>
  <si>
    <t>25/Apr/26 12:35 PM</t>
  </si>
  <si>
    <t>30/Apr/26 11:48 AM</t>
  </si>
  <si>
    <t>DEVRDSUP-556</t>
  </si>
  <si>
    <t>53335</t>
  </si>
  <si>
    <t>[SUP-647][NBO][SUBSCRIPTION][REWARDS] - "Draft/ Inactive/ Active Rewards" check duplicate codes with "Expired Rewards"</t>
  </si>
  <si>
    <t>23/Apr/26 3:30 PM</t>
  </si>
  <si>
    <t>12/Jun/26 1:12 PM</t>
  </si>
  <si>
    <t>RDAPS-453</t>
  </si>
  <si>
    <t>53332</t>
  </si>
  <si>
    <t>[DEV][RD][Adhoc] Gather and Document Rabbit SDK Project Information</t>
  </si>
  <si>
    <t>23/Apr/26 2:22 PM</t>
  </si>
  <si>
    <t>DPE-466</t>
  </si>
  <si>
    <t>53282</t>
  </si>
  <si>
    <t>[Dev][RD][PE Proxy Scheduler] Enhance command for importing RC retail transactions#2</t>
  </si>
  <si>
    <t>22/Apr/26 10:06 AM</t>
  </si>
  <si>
    <t>23/Apr/26 12:00 AM</t>
  </si>
  <si>
    <t>DPE-465</t>
  </si>
  <si>
    <t>53281</t>
  </si>
  <si>
    <t>[Dev][RD][PE Proxy Scheduler] Enhance command for importing RW retail transactions#2</t>
  </si>
  <si>
    <t>DPE-464</t>
  </si>
  <si>
    <t>53271</t>
  </si>
  <si>
    <t>Dev][RD][PE Proxy Scheduler] Enhance command to import RC BTS trip transactions</t>
  </si>
  <si>
    <t>22/Apr/26 8:37 AM</t>
  </si>
  <si>
    <t>29/Apr/26 12:00 AM</t>
  </si>
  <si>
    <t>DPE-463</t>
  </si>
  <si>
    <t>53270</t>
  </si>
  <si>
    <t>Dev][RD][PE Proxy Scheduler] Enhance command to import RW BTS trip transactions#1</t>
  </si>
  <si>
    <t>22/Apr/26 8:35 AM</t>
  </si>
  <si>
    <t>27/Apr/26 12:00 AM</t>
  </si>
  <si>
    <t>DPE-462</t>
  </si>
  <si>
    <t>53267</t>
  </si>
  <si>
    <t>[Dev][RD][PE Proxy Scheduler] Enhance Offer Import Logic for Multi Transaction Type Support</t>
  </si>
  <si>
    <t>21/Apr/26 4:37 PM</t>
  </si>
  <si>
    <t>24/Apr/26 12:00 AM</t>
  </si>
  <si>
    <t>DEVRDECOM-240</t>
  </si>
  <si>
    <t>52950</t>
  </si>
  <si>
    <t>[DEV][RD][Ecom][Turtle] Custom delivery option in checkout page</t>
  </si>
  <si>
    <t>09/Apr/26 1:56 PM</t>
  </si>
  <si>
    <t>shopify-checkout-ui-extension</t>
  </si>
  <si>
    <t>[Dev][RD][Ecom] Sprint 23</t>
  </si>
  <si>
    <t>DEVRDSUP-544</t>
  </si>
  <si>
    <t>52910</t>
  </si>
  <si>
    <t>[SUP-632]Turtle plus data mismatch between clevertap and master file</t>
  </si>
  <si>
    <t>07/Apr/26 3:02 PM</t>
  </si>
  <si>
    <t>[Dev][All Project] Sprint 23</t>
  </si>
  <si>
    <t>DPE-430</t>
  </si>
  <si>
    <t>52638</t>
  </si>
  <si>
    <t>[Dev][RD][PE Proxy Scheduler] Enhance command for importing RW retail transactions#1</t>
  </si>
  <si>
    <t>01/Apr/26 7:41 PM</t>
  </si>
  <si>
    <t>22/Apr/26 12:00 AM</t>
  </si>
  <si>
    <t>DPE-429</t>
  </si>
  <si>
    <t>52629</t>
  </si>
  <si>
    <t>[Dev][RD][PE Proxy Scheduler] Enhance command for importing RC retail transactions#1</t>
  </si>
  <si>
    <t>01/Apr/26 4:16 PM</t>
  </si>
  <si>
    <t>21/Apr/26 12:00 AM</t>
  </si>
  <si>
    <t>DPE-426</t>
  </si>
  <si>
    <t>52550</t>
  </si>
  <si>
    <t>[Dev][RD][Rewards DB] Create database view for products reporting</t>
  </si>
  <si>
    <t>01/Apr/26 1:28 PM</t>
  </si>
  <si>
    <t>30/Apr/26 12:00 AM</t>
  </si>
  <si>
    <t>DPE-415</t>
  </si>
  <si>
    <t>52057</t>
  </si>
  <si>
    <t>[Dev][RD][Promo Code][APIs Gateway] Mapping APIs for Promo Code</t>
  </si>
  <si>
    <t>30/Mar/26 4:26 PM</t>
  </si>
  <si>
    <t>08/Jun/26 10:16 AM</t>
  </si>
  <si>
    <t>DPE-414</t>
  </si>
  <si>
    <t>52056</t>
  </si>
  <si>
    <t>[Dev][RD][Promo Code][BFF] Create API to apply Promo Code</t>
  </si>
  <si>
    <t>30/Mar/26 4:24 PM</t>
  </si>
  <si>
    <t>DPE-413</t>
  </si>
  <si>
    <t>52055</t>
  </si>
  <si>
    <t>[Dev][RD][Promo Code][PE Middleware] Create API to apply Promo Code</t>
  </si>
  <si>
    <t>DPE-406</t>
  </si>
  <si>
    <t>51719</t>
  </si>
  <si>
    <t>[Dev][RD][PEP DB] Create database view for standard offer code reporting</t>
  </si>
  <si>
    <t>27/Mar/26 11:46 AM</t>
  </si>
  <si>
    <t>11/Jun/26 3:14 PM</t>
  </si>
  <si>
    <t>DPE-402</t>
  </si>
  <si>
    <t>51633</t>
  </si>
  <si>
    <t>[Dev][RD][PL DB] Create database view for partner reversal transactions reporting</t>
  </si>
  <si>
    <t>26/Mar/26 4:54 PM</t>
  </si>
  <si>
    <t>14/May/26 12:00 AM</t>
  </si>
  <si>
    <t>DPE-399</t>
  </si>
  <si>
    <t>51496</t>
  </si>
  <si>
    <t>[Dev][RD][Rewards DB] Create database view for `packages` reporting</t>
  </si>
  <si>
    <t>25/Mar/26 4:44 PM</t>
  </si>
  <si>
    <t>11/Jun/26 1:45 PM</t>
  </si>
  <si>
    <t>RDTHANA-464</t>
  </si>
  <si>
    <t>50601</t>
  </si>
  <si>
    <t>Enhance Lightspeed txn</t>
  </si>
  <si>
    <t>22/Mar/26 11:17 PM</t>
  </si>
  <si>
    <t>03/Apr/26 12:00 AM</t>
  </si>
  <si>
    <t>[Dev][RD][Thana] Sprint 21</t>
  </si>
  <si>
    <t>[Dev][RD][Thana] Sprint 22</t>
  </si>
  <si>
    <t>[Dev][RD][Thana] Sprint 23</t>
  </si>
  <si>
    <t>DPE-316</t>
  </si>
  <si>
    <t>46990</t>
  </si>
  <si>
    <t>[Dev][RD][PEP DB] Create database view for standard merchants code reporting</t>
  </si>
  <si>
    <t>07/Mar/26 12:11 PM</t>
  </si>
  <si>
    <t>DPE-315</t>
  </si>
  <si>
    <t>46989</t>
  </si>
  <si>
    <t>[Dev][RD][LP DB] Create database view for LP card binding reporting</t>
  </si>
  <si>
    <t>07/Mar/26 12:08 PM</t>
  </si>
  <si>
    <t>DPE-314</t>
  </si>
  <si>
    <t>46988</t>
  </si>
  <si>
    <t>07/Mar/26 11:36 AM</t>
  </si>
  <si>
    <t>DPE-312</t>
  </si>
  <si>
    <t>46986</t>
  </si>
  <si>
    <t>[Dev][RD][PL DB] Create database view for partner transactions reporting</t>
  </si>
  <si>
    <t>07/Mar/26 10:57 AM</t>
  </si>
  <si>
    <t>08/Jun/26 1:56 PM</t>
  </si>
  <si>
    <t>DPE-311</t>
  </si>
  <si>
    <t>46985</t>
  </si>
  <si>
    <t>[Dev][RD][PL DB] Create database view for partner unbind reporting</t>
  </si>
  <si>
    <t>12/May/26 12:00 AM</t>
  </si>
  <si>
    <t>DPE-310</t>
  </si>
  <si>
    <t>46952</t>
  </si>
  <si>
    <t>[Dev][RD][PL DB] Create database view for partner binding reporting</t>
  </si>
  <si>
    <t>07/Mar/26 5:36 AM</t>
  </si>
  <si>
    <t>DPE-303</t>
  </si>
  <si>
    <t>45986</t>
  </si>
  <si>
    <t>Dev][RD][PE Proxy Scheduler] Implement command to import RW BTS trip transactions</t>
  </si>
  <si>
    <t>01/Mar/26 8:49 PM</t>
  </si>
  <si>
    <t>DPE-302</t>
  </si>
  <si>
    <t>45985</t>
  </si>
  <si>
    <t>Dev][RD][PE Proxy Scheduler] Implement command to import RC BTS trip transactions</t>
  </si>
  <si>
    <t>01/Apr/26 12:00 AM</t>
  </si>
  <si>
    <t>DPE-301</t>
  </si>
  <si>
    <t>45984</t>
  </si>
  <si>
    <t>[Dev][RD][PE Proxy Scheduler] Implement command for importing RW retail transactions</t>
  </si>
  <si>
    <t>01/Mar/26 8:47 PM</t>
  </si>
  <si>
    <t>02/Apr/26 12:00 AM</t>
  </si>
  <si>
    <t>DPE-296</t>
  </si>
  <si>
    <t>45845</t>
  </si>
  <si>
    <t>[Dev][RD][PE Proxy Scheduler] Implement command for importing RC retail transactions</t>
  </si>
  <si>
    <t>27/Feb/26 1:40 PM</t>
  </si>
  <si>
    <t>31/Mar/26 12:00 AM</t>
  </si>
  <si>
    <t>DPE-295</t>
  </si>
  <si>
    <t>45844</t>
  </si>
  <si>
    <t>[Dev][RD][PE Proxy Scheduler] Implement command to import merchant codes and offers from file</t>
  </si>
  <si>
    <t>27/Feb/26 1:39 PM</t>
  </si>
  <si>
    <t>27/Mar/26 12:00 AM</t>
  </si>
  <si>
    <t>RDTHANA-431</t>
  </si>
  <si>
    <t>42991</t>
  </si>
  <si>
    <t>Lighspeed Polling</t>
  </si>
  <si>
    <t>11/Feb/26 3:07 PM</t>
  </si>
  <si>
    <t>06/Mar/26 12:00 AM</t>
  </si>
  <si>
    <t>[Dev][RD][Thana] Sprint 19</t>
  </si>
  <si>
    <t>[Dev][RD][Thana] Sprint 20</t>
  </si>
  <si>
    <t>[Dev][RD][Thana] Sprint 18</t>
  </si>
  <si>
    <t>DPE-177</t>
  </si>
  <si>
    <t>42712</t>
  </si>
  <si>
    <t>[Dev][RD][Performacne] Define Load Test Scenarios</t>
  </si>
  <si>
    <t>10/Feb/26 3:55 PM</t>
  </si>
  <si>
    <t>09/Jun/26 10:02 AM</t>
  </si>
  <si>
    <t>DPE-167</t>
  </si>
  <si>
    <t>42224</t>
  </si>
  <si>
    <t>[Dev][RD][RLP Web] Middleware</t>
  </si>
  <si>
    <t>07/Feb/26 7:22 PM</t>
  </si>
  <si>
    <t>08/Jun/26 2:13 PM</t>
  </si>
  <si>
    <t>DPE-160</t>
  </si>
  <si>
    <t>42217</t>
  </si>
  <si>
    <t>[Dev][RD][Rewards Member] Switch account</t>
  </si>
  <si>
    <t>07/Feb/26 3:30 PM</t>
  </si>
  <si>
    <t>10/Apr/26 12:00 AM</t>
  </si>
  <si>
    <t>DPE-140</t>
  </si>
  <si>
    <t>42127</t>
  </si>
  <si>
    <t>[Dev][RD][PWP] Cancel transaction</t>
  </si>
  <si>
    <t>06/Feb/26 6:35 PM</t>
  </si>
  <si>
    <t>DPE-138</t>
  </si>
  <si>
    <t>42114</t>
  </si>
  <si>
    <t>[Dev][RD][RLP] Payment</t>
  </si>
  <si>
    <t>06/Feb/26 2:53 PM</t>
  </si>
  <si>
    <t>DPE-136</t>
  </si>
  <si>
    <t>42112</t>
  </si>
  <si>
    <t>[Dev][RD][RLP] Command	 users:resend-binding</t>
  </si>
  <si>
    <t>DPE-135</t>
  </si>
  <si>
    <t>42111</t>
  </si>
  <si>
    <t>[Dev][RD][RLP] Bulk register by card</t>
  </si>
  <si>
    <t>DPE-134</t>
  </si>
  <si>
    <t>42110</t>
  </si>
  <si>
    <t>[Dev][RD][RLP] Register by card</t>
  </si>
  <si>
    <t>28/Apr/26 12:00 AM</t>
  </si>
  <si>
    <t>DPE-122</t>
  </si>
  <si>
    <t>42097</t>
  </si>
  <si>
    <t>[Dev][RD][ECS] Cancel transaction</t>
  </si>
  <si>
    <t>06/Feb/26 1:43 PM</t>
  </si>
  <si>
    <t>DPE-121</t>
  </si>
  <si>
    <t>42096</t>
  </si>
  <si>
    <t>[Dev][RD][ECS] Refund transaction</t>
  </si>
  <si>
    <t>DPE-120</t>
  </si>
  <si>
    <t>42095</t>
  </si>
  <si>
    <t>[Dev][RD][ECS] Cronjob: Daily sync issue point</t>
  </si>
  <si>
    <t>17/Apr/26 12:00 AM</t>
  </si>
  <si>
    <t>ecommerce-shopify-api</t>
  </si>
  <si>
    <t>DPE-116</t>
  </si>
  <si>
    <t>42091</t>
  </si>
  <si>
    <t>[Dev][RD][VLD] Add card (mark use)</t>
  </si>
  <si>
    <t>DPE-110</t>
  </si>
  <si>
    <t>42053</t>
  </si>
  <si>
    <t>[Dev][RD][APH] Submit data enrichment</t>
  </si>
  <si>
    <t>06/Feb/26 12:11 PM</t>
  </si>
  <si>
    <t>DPE-109</t>
  </si>
  <si>
    <t>42052</t>
  </si>
  <si>
    <t>[Dev][RD][APH] Survey processing</t>
  </si>
  <si>
    <t>DPE-107</t>
  </si>
  <si>
    <t>42050</t>
  </si>
  <si>
    <t>[Dev][RD][PWP] Refund transaction</t>
  </si>
  <si>
    <t>06/Feb/26 12:10 PM</t>
  </si>
  <si>
    <t>DPE-106</t>
  </si>
  <si>
    <t>42049</t>
  </si>
  <si>
    <t>[Dev][RD][PWP] Confirm payment</t>
  </si>
  <si>
    <t>09/Apr/26 12:00 AM</t>
  </si>
  <si>
    <t>DPE-98</t>
  </si>
  <si>
    <t>41971</t>
  </si>
  <si>
    <t>[Dev][RD][ORD]  Disable sending order transaction data to DA</t>
  </si>
  <si>
    <t>05/Feb/26 4:49 PM</t>
  </si>
  <si>
    <t>DPE-97</t>
  </si>
  <si>
    <t>41970</t>
  </si>
  <si>
    <t>[Dev][RD][ORD] Refund order (Partial Item)</t>
  </si>
  <si>
    <t>05/Feb/26 4:48 PM</t>
  </si>
  <si>
    <t>DPE-96</t>
  </si>
  <si>
    <t>41969</t>
  </si>
  <si>
    <t>[Dev][RD][ORD] Refund order (Full Items)</t>
  </si>
  <si>
    <t>13/May/26 12:00 AM</t>
  </si>
  <si>
    <t>DPE-95</t>
  </si>
  <si>
    <t>41968</t>
  </si>
  <si>
    <t>[Dev][RD][ORD] Place subscription order</t>
  </si>
  <si>
    <t>DPE-92</t>
  </si>
  <si>
    <t>41965</t>
  </si>
  <si>
    <t>[Dev][RD][Sky Web] Switch Account</t>
  </si>
  <si>
    <t>05/Feb/26 4:46 PM</t>
  </si>
  <si>
    <t>19/Mar/26 12:00 AM</t>
  </si>
  <si>
    <t>sky-web</t>
  </si>
  <si>
    <t>DPE-91</t>
  </si>
  <si>
    <t>41964</t>
  </si>
  <si>
    <t>[Dev][RD][Sky] Switch account API</t>
  </si>
  <si>
    <t>sky-api</t>
  </si>
  <si>
    <t>DPE-90</t>
  </si>
  <si>
    <t>41963</t>
  </si>
  <si>
    <t>[Dev][RD][Sky][Member] Reactivate</t>
  </si>
  <si>
    <t>12/Mar/26 12:00 AM</t>
  </si>
  <si>
    <t>DPE-89</t>
  </si>
  <si>
    <t>41962</t>
  </si>
  <si>
    <t>[Dev][RD][Sky][Member] Register Member</t>
  </si>
  <si>
    <t>13/Mar/26 12:00 AM</t>
  </si>
  <si>
    <t>DEVRDECOM-107</t>
  </si>
  <si>
    <t>31506</t>
  </si>
  <si>
    <t>Shopify Webhook</t>
  </si>
  <si>
    <t>23/Sep/25 9:52 AM</t>
  </si>
  <si>
    <t>02/Jun/26 10:01 AM</t>
  </si>
  <si>
    <t>[Dev][RD][Ecom] Sprint 8</t>
  </si>
  <si>
    <t>[Dev][RD][Ecom] Sprint 9</t>
  </si>
  <si>
    <t>[Dev][RD][Ecom] Sprint 10</t>
  </si>
  <si>
    <t>[Dev][RD][Ecom] Sprint 11</t>
  </si>
  <si>
    <t>[Dev][RD][Ecom] Sprint 12</t>
  </si>
  <si>
    <t>[Dev][RD][Ecom] Sprint 13</t>
  </si>
  <si>
    <t>[Dev][RD][Ecom] Sprint 14</t>
  </si>
  <si>
    <t>[Dev][RD][Ecom] Sprint 15</t>
  </si>
  <si>
    <t>[Dev][RD][Ecom] Sprint 16</t>
  </si>
  <si>
    <t>2 ครั้ง 
1. 1 คน
2. 2 คน</t>
  </si>
  <si>
    <t>02/Jun/26 2:11 PM</t>
  </si>
  <si>
    <t>01/Jun/26 5:39 PM</t>
  </si>
  <si>
    <t>DPE-647</t>
  </si>
  <si>
    <t>54331</t>
  </si>
  <si>
    <t>[S3][Coupon] Push coupon is not working properly</t>
  </si>
  <si>
    <t>29/May/26 9:55 AM</t>
  </si>
  <si>
    <t>01/Jun/26 9:58 AM</t>
  </si>
  <si>
    <t>DEV-11</t>
  </si>
  <si>
    <t>54313</t>
  </si>
  <si>
    <t>[QA] Test execution verify Enhance getMemberTier</t>
  </si>
  <si>
    <t>28/May/26 3:08 PM</t>
  </si>
  <si>
    <t>02/Jun/26 10:11 AM</t>
  </si>
  <si>
    <t>04/Jun/26 10:28 AM</t>
  </si>
  <si>
    <t>DEVRDSUP-609</t>
  </si>
  <si>
    <t>54296</t>
  </si>
  <si>
    <t>[SUP-705][PROD] Request to create BU in HR Solution</t>
  </si>
  <si>
    <t>28/May/26 10:54 AM</t>
  </si>
  <si>
    <t>28/May/26 5:18 PM</t>
  </si>
  <si>
    <t>DEVRDSUP-608</t>
  </si>
  <si>
    <t>54287</t>
  </si>
  <si>
    <t>[SUP-699]User properties birthday has changed in Clevertap again</t>
  </si>
  <si>
    <t>27/May/26 5:43 PM</t>
  </si>
  <si>
    <t>02/Jun/26 7:04 PM</t>
  </si>
  <si>
    <t>DPE-644</t>
  </si>
  <si>
    <t>54280</t>
  </si>
  <si>
    <t>[S3][RR-BOF][ATN] Campaign Issue Point flow is not working properly</t>
  </si>
  <si>
    <t>27/May/26 12:51 PM</t>
  </si>
  <si>
    <t>01/Jun/26 3:06 PM</t>
  </si>
  <si>
    <t>DPE-643</t>
  </si>
  <si>
    <t>54275</t>
  </si>
  <si>
    <t>[S3][PL] Get Internal Server Error when reverse transaction</t>
  </si>
  <si>
    <t>27/May/26 11:19 AM</t>
  </si>
  <si>
    <t>28/May/26 4:58 PM</t>
  </si>
  <si>
    <t>DPE-642</t>
  </si>
  <si>
    <t>54272</t>
  </si>
  <si>
    <t>[S4][REM] Data source is incorrect for refund coupon flow</t>
  </si>
  <si>
    <t>Closed ( Change Request)</t>
  </si>
  <si>
    <t>27/May/26 10:34 AM</t>
  </si>
  <si>
    <t>RDAPS-480</t>
  </si>
  <si>
    <t>54264</t>
  </si>
  <si>
    <t>[Dev][RD][SA] Meeting Sprint25</t>
  </si>
  <si>
    <t>27/May/26 9:15 AM</t>
  </si>
  <si>
    <t>01/Jun/26 10:12 AM</t>
  </si>
  <si>
    <t>DPE-641</t>
  </si>
  <si>
    <t>54261</t>
  </si>
  <si>
    <t>26/May/26 11:59 PM</t>
  </si>
  <si>
    <t>01/Jun/26 2:50 PM</t>
  </si>
  <si>
    <t>DPE-640</t>
  </si>
  <si>
    <t>54260</t>
  </si>
  <si>
    <t>DPE-639</t>
  </si>
  <si>
    <t>54259</t>
  </si>
  <si>
    <t>26/May/26 11:51 PM</t>
  </si>
  <si>
    <t>01/Jun/26 2:51 PM</t>
  </si>
  <si>
    <t>DPE-638</t>
  </si>
  <si>
    <t>54258</t>
  </si>
  <si>
    <t>DPE-637</t>
  </si>
  <si>
    <t>54255</t>
  </si>
  <si>
    <t>26/May/26 11:27 PM</t>
  </si>
  <si>
    <t>DPE-636</t>
  </si>
  <si>
    <t>54254</t>
  </si>
  <si>
    <t>26/May/26 11:40 PM</t>
  </si>
  <si>
    <t>DPE-635</t>
  </si>
  <si>
    <t>54253</t>
  </si>
  <si>
    <t>26/May/26 10:40 PM</t>
  </si>
  <si>
    <t>DPE-634</t>
  </si>
  <si>
    <t>54252</t>
  </si>
  <si>
    <t>DPE-633</t>
  </si>
  <si>
    <t>54250</t>
  </si>
  <si>
    <t>26/May/26 9:57 PM</t>
  </si>
  <si>
    <t>29/May/26 11:20 AM</t>
  </si>
  <si>
    <t>DPE-632</t>
  </si>
  <si>
    <t>54249</t>
  </si>
  <si>
    <t>28/May/26 3:46 PM</t>
  </si>
  <si>
    <t>DPE-631</t>
  </si>
  <si>
    <t>54248</t>
  </si>
  <si>
    <t>26/May/26 9:37 PM</t>
  </si>
  <si>
    <t>28/May/26 3:35 PM</t>
  </si>
  <si>
    <t>DPE-630</t>
  </si>
  <si>
    <t>54247</t>
  </si>
  <si>
    <t>DPE-629</t>
  </si>
  <si>
    <t>54245</t>
  </si>
  <si>
    <t>[S4][SSO-User] RABBIT_CARD_FACE_TYPE value on CleverTab is not correctly</t>
  </si>
  <si>
    <t>26/May/26 4:23 PM</t>
  </si>
  <si>
    <t>DPE-628</t>
  </si>
  <si>
    <t>54244</t>
  </si>
  <si>
    <t>[S3][REM] Unable to refund coupon for zero point redeemed txn</t>
  </si>
  <si>
    <t>26/May/26 4:18 PM</t>
  </si>
  <si>
    <t>Test Execution</t>
  </si>
  <si>
    <t>QA-3080</t>
  </si>
  <si>
    <t>54241</t>
  </si>
  <si>
    <t>[TX][Sprint #25][Member] Rabbit Sky API and Rabbit web member</t>
  </si>
  <si>
    <t>26/May/26 3:34 PM</t>
  </si>
  <si>
    <t>27/May/26 10:45 AM</t>
  </si>
  <si>
    <t>Test Plan</t>
  </si>
  <si>
    <t>QA-3079</t>
  </si>
  <si>
    <t>54240</t>
  </si>
  <si>
    <t>[TP][Sprint #25][Member] Rabbit Sky API and Rabbit Sky web member</t>
  </si>
  <si>
    <t>26/May/26 3:29 PM</t>
  </si>
  <si>
    <t>26/May/26 3:31 PM</t>
  </si>
  <si>
    <t>DEVRDSUP-604</t>
  </si>
  <si>
    <t>54188</t>
  </si>
  <si>
    <t>[SUP-696]SUB : Disable Credit/Debit Card Payment for BBL Package (JUNE2026 Package)</t>
  </si>
  <si>
    <t>26/May/26 10:31 AM</t>
  </si>
  <si>
    <t>29/May/26 9:40 AM</t>
  </si>
  <si>
    <t>DPE-599</t>
  </si>
  <si>
    <t>54176</t>
  </si>
  <si>
    <t>[S3][Redemption API] Able to redeem rewards with inactive merchant</t>
  </si>
  <si>
    <t>25/May/26 2:08 PM</t>
  </si>
  <si>
    <t>DEVRDECOM-250</t>
  </si>
  <si>
    <t>54168</t>
  </si>
  <si>
    <t>[DEV][RD][Ecom] Regression Test</t>
  </si>
  <si>
    <t>22/May/26 5:12 PM</t>
  </si>
  <si>
    <t>29/May/26 10:22 AM</t>
  </si>
  <si>
    <t>DEVRDSUP-602</t>
  </si>
  <si>
    <t>54167</t>
  </si>
  <si>
    <t>[SUP-694][SUB] Urgent! CS-20260500028131&gt;&gt; รบกวนออกแพ็กเกจและ Mark used Order ID   20260509-0001238 // หักเงินแต่ไม่ได้แพ็กเกจ OPN ปรับสถานะจาก Failed ---&gt;&gt; Paid เรียบร้อย</t>
  </si>
  <si>
    <t>22/May/26 5:00 PM</t>
  </si>
  <si>
    <t>22/May/26 5:15 PM</t>
  </si>
  <si>
    <t>02/Jun/26 11:19 AM</t>
  </si>
  <si>
    <t>RDAPS-479</t>
  </si>
  <si>
    <t>54146</t>
  </si>
  <si>
    <t>[SA][RD][Adhoc] Consent Tracking Report for Legal Compliance</t>
  </si>
  <si>
    <t>21/May/26 3:53 PM</t>
  </si>
  <si>
    <t>25/May/26 9:58 AM</t>
  </si>
  <si>
    <t>04/Jun/26 10:27 AM</t>
  </si>
  <si>
    <t>DPE-596</t>
  </si>
  <si>
    <t>54131</t>
  </si>
  <si>
    <t>[Dev][RD][PE Middleware][UnitTest] Implement Unit Test Coverage for `GET /v1/wallets/{id}/point-history`</t>
  </si>
  <si>
    <t>21/May/26 9:48 AM</t>
  </si>
  <si>
    <t>28/May/26 4:49 PM</t>
  </si>
  <si>
    <t>22/May/26 12:00 AM</t>
  </si>
  <si>
    <t>DPE-595</t>
  </si>
  <si>
    <t>54130</t>
  </si>
  <si>
    <t>[Dev][RD][PE Middleware][UnitTest] Implement Unit Test Coverage for `GET /v1/wallets/{id}/point-expiring`</t>
  </si>
  <si>
    <t>21/May/26 9:43 AM</t>
  </si>
  <si>
    <t>28/May/26 4:48 PM</t>
  </si>
  <si>
    <t>DPE-594</t>
  </si>
  <si>
    <t>54129</t>
  </si>
  <si>
    <t>[Dev][RD][PE Middleware][UnitTest] Implement Unit Test Coverage for `POST /v1/wallets/{id}/debit`</t>
  </si>
  <si>
    <t>21/May/26 9:42 AM</t>
  </si>
  <si>
    <t>DPE-593</t>
  </si>
  <si>
    <t>54128</t>
  </si>
  <si>
    <t>[Dev][RD][PE Middleware][UnitTest] Implement Unit Test Coverage for `POST /v1/wallets/{id}/credit`</t>
  </si>
  <si>
    <t>DPE-592</t>
  </si>
  <si>
    <t>54127</t>
  </si>
  <si>
    <t>[Dev][RD][PE Middleware][UnitTest] Implement Unit Test Coverage for `POST /v1/wallets/reversal`</t>
  </si>
  <si>
    <t>21/May/26 9:41 AM</t>
  </si>
  <si>
    <t>21/May/26 12:00 AM</t>
  </si>
  <si>
    <t>RDTHANA-500</t>
  </si>
  <si>
    <t>54124</t>
  </si>
  <si>
    <t>[DEV][RD] Enhance generic transaction support request revert for void/fail transaction</t>
  </si>
  <si>
    <t>21/May/26 1:13 AM</t>
  </si>
  <si>
    <t>29/May/26 9:35 AM</t>
  </si>
  <si>
    <t>DPE-591</t>
  </si>
  <si>
    <t>54123</t>
  </si>
  <si>
    <t>[S3][PE Proxy] Able to reverse point with invalid offer</t>
  </si>
  <si>
    <t>20/May/26 11:19 PM</t>
  </si>
  <si>
    <t>22/May/26 10:54 AM</t>
  </si>
  <si>
    <t>DPE-590</t>
  </si>
  <si>
    <t>54122</t>
  </si>
  <si>
    <t>[S4][PE Proxy] The response contains an incorrect field name</t>
  </si>
  <si>
    <t>20/May/26 10:48 PM</t>
  </si>
  <si>
    <t>DEVRDSUP-597</t>
  </si>
  <si>
    <t>54093</t>
  </si>
  <si>
    <t>[SUP-690][SUB] Urgent! CS-20260500028044&gt;&gt; รบกวนออกแพ็กเกจ Order ID    20260519-0002216 // หักเงินแต่ไม่ได้แพ็กเกจ OPN ปรับสถานะจาก Failed ---&gt;&gt; Paid เรียบร้อย</t>
  </si>
  <si>
    <t>20/May/26 5:36 PM</t>
  </si>
  <si>
    <t>21/May/26 1:54 PM</t>
  </si>
  <si>
    <t>25/May/26 12:00 AM</t>
  </si>
  <si>
    <t>ACCEPTED</t>
  </si>
  <si>
    <t>04/Jun/26 10:30 AM</t>
  </si>
  <si>
    <t>04/Jun/26 10:29 AM</t>
  </si>
  <si>
    <t>DEVRDECOM-249</t>
  </si>
  <si>
    <t>54086</t>
  </si>
  <si>
    <t>[DEV][RD][Ecom] Add Shopify customers/create webhook handler to sync shopify_members and update Shopify customer profile</t>
  </si>
  <si>
    <t>20/May/26 4:33 PM</t>
  </si>
  <si>
    <t>DPE-589</t>
  </si>
  <si>
    <t>54079</t>
  </si>
  <si>
    <t>[S2][PE Proxy] Unable to reverse/refund point</t>
  </si>
  <si>
    <t>20/May/26 9:45 AM</t>
  </si>
  <si>
    <t>DPE-588</t>
  </si>
  <si>
    <t>54073</t>
  </si>
  <si>
    <t>[S4][SSO-User] Marking data on CT detail is incorrect</t>
  </si>
  <si>
    <t>19/May/26 5:01 PM</t>
  </si>
  <si>
    <t>28/May/26 5:07 PM</t>
  </si>
  <si>
    <t>DPE-587</t>
  </si>
  <si>
    <t>54070</t>
  </si>
  <si>
    <t>[S2][PE Proxy] Unable to debit point</t>
  </si>
  <si>
    <t>19/May/26 3:26 PM</t>
  </si>
  <si>
    <t>DPE-586</t>
  </si>
  <si>
    <t>54069</t>
  </si>
  <si>
    <t>[S2][PE Proxy] Unable to credit point</t>
  </si>
  <si>
    <t>19/May/26 3:20 PM</t>
  </si>
  <si>
    <t>22/May/26 10:53 AM</t>
  </si>
  <si>
    <t>RDTHANA-499</t>
  </si>
  <si>
    <t>54064</t>
  </si>
  <si>
    <t>[QA] Test Execution</t>
  </si>
  <si>
    <t>19/May/26 1:45 PM</t>
  </si>
  <si>
    <t>19/May/26 5:53 PM</t>
  </si>
  <si>
    <t>RDTHANA-497</t>
  </si>
  <si>
    <t>54062</t>
  </si>
  <si>
    <t>19/May/26 1:44 PM</t>
  </si>
  <si>
    <t>20/May/26 9:29 AM</t>
  </si>
  <si>
    <t>RDTHANA-496</t>
  </si>
  <si>
    <t>54061</t>
  </si>
  <si>
    <t>19/May/26 5:09 PM</t>
  </si>
  <si>
    <t>RDTHANA-495</t>
  </si>
  <si>
    <t>54060</t>
  </si>
  <si>
    <t>19/May/26 5:07 PM</t>
  </si>
  <si>
    <t>RDTHANA-494</t>
  </si>
  <si>
    <t>54059</t>
  </si>
  <si>
    <t>19/May/26 1:43 PM</t>
  </si>
  <si>
    <t>19/May/26 6:08 PM</t>
  </si>
  <si>
    <t>DPE-585</t>
  </si>
  <si>
    <t>54058</t>
  </si>
  <si>
    <t>19/May/26 1:32 PM</t>
  </si>
  <si>
    <t>21/May/26 2:23 PM</t>
  </si>
  <si>
    <t>DPE-584</t>
  </si>
  <si>
    <t>54057</t>
  </si>
  <si>
    <t>20/May/26 10:13 PM</t>
  </si>
  <si>
    <t>DPE-583</t>
  </si>
  <si>
    <t>54056</t>
  </si>
  <si>
    <t>20/May/26 8:32 PM</t>
  </si>
  <si>
    <t>DPE-582</t>
  </si>
  <si>
    <t>54055</t>
  </si>
  <si>
    <t>19/May/26 4:46 PM</t>
  </si>
  <si>
    <t>DPE-581</t>
  </si>
  <si>
    <t>54054</t>
  </si>
  <si>
    <t>20/May/26 8:58 PM</t>
  </si>
  <si>
    <t>DPE-580</t>
  </si>
  <si>
    <t>54053</t>
  </si>
  <si>
    <t>DEVRDSUP-592</t>
  </si>
  <si>
    <t>54052</t>
  </si>
  <si>
    <t>[SUP-686][SUB] Receipt is not generated after SUB transaction is made (TXN Date 18 May 2026)</t>
  </si>
  <si>
    <t>19/May/26 12:05 PM</t>
  </si>
  <si>
    <t>20/May/26 11:17 AM</t>
  </si>
  <si>
    <t>RDAPS-478</t>
  </si>
  <si>
    <t>54045</t>
  </si>
  <si>
    <t>[Dev][VGI][VGIONE] Update Meta API version</t>
  </si>
  <si>
    <t>18/May/26 4:22 PM</t>
  </si>
  <si>
    <t>27/May/26 9:52 AM</t>
  </si>
  <si>
    <t>vgi-one</t>
  </si>
  <si>
    <t>RDAPS-477</t>
  </si>
  <si>
    <t>54039</t>
  </si>
  <si>
    <t>[DEV][RD] Support DevOps</t>
  </si>
  <si>
    <t>18/May/26 2:51 PM</t>
  </si>
  <si>
    <t>28/May/26 11:57 AM</t>
  </si>
  <si>
    <t>DEVRDSS-4</t>
  </si>
  <si>
    <t>54038</t>
  </si>
  <si>
    <t>[SA][RD][Samsung] Analysis and Design</t>
  </si>
  <si>
    <t>18/May/26 2:37 PM</t>
  </si>
  <si>
    <t>29/May/26 10:20 AM</t>
  </si>
  <si>
    <t>DPE-576</t>
  </si>
  <si>
    <t>54019</t>
  </si>
  <si>
    <t>17/May/26 4:26 PM</t>
  </si>
  <si>
    <t>25/May/26 7:09 PM</t>
  </si>
  <si>
    <t>DPE-575</t>
  </si>
  <si>
    <t>54018</t>
  </si>
  <si>
    <t>DPE-574</t>
  </si>
  <si>
    <t>54017</t>
  </si>
  <si>
    <t>21/May/26 2:25 PM</t>
  </si>
  <si>
    <t>DPE-573</t>
  </si>
  <si>
    <t>54016</t>
  </si>
  <si>
    <t>DPE-572</t>
  </si>
  <si>
    <t>54015</t>
  </si>
  <si>
    <t>DPE-571</t>
  </si>
  <si>
    <t>54014</t>
  </si>
  <si>
    <t>20/May/26 2:40 PM</t>
  </si>
  <si>
    <t>DPE-570</t>
  </si>
  <si>
    <t>53996</t>
  </si>
  <si>
    <t>17/May/26 11:15 AM</t>
  </si>
  <si>
    <t>01/Jun/26 4:07 PM</t>
  </si>
  <si>
    <t>DPE-569</t>
  </si>
  <si>
    <t>53995</t>
  </si>
  <si>
    <t>17/May/26 4:13 PM</t>
  </si>
  <si>
    <t>DPE-568</t>
  </si>
  <si>
    <t>53994</t>
  </si>
  <si>
    <t>17/May/26 11:11 AM</t>
  </si>
  <si>
    <t>DPE-567</t>
  </si>
  <si>
    <t>53993</t>
  </si>
  <si>
    <t>DPE-566</t>
  </si>
  <si>
    <t>53992</t>
  </si>
  <si>
    <t>25/May/26 2:45 PM</t>
  </si>
  <si>
    <t>DPE-565</t>
  </si>
  <si>
    <t>53991</t>
  </si>
  <si>
    <t>26/May/26 2:35 PM</t>
  </si>
  <si>
    <t>DPE-564</t>
  </si>
  <si>
    <t>53990</t>
  </si>
  <si>
    <t>28/May/26 11:21 AM</t>
  </si>
  <si>
    <t>DPE-563</t>
  </si>
  <si>
    <t>53989</t>
  </si>
  <si>
    <t>DPE-562</t>
  </si>
  <si>
    <t>53988</t>
  </si>
  <si>
    <t>22/May/26 4:47 PM</t>
  </si>
  <si>
    <t>DPE-561</t>
  </si>
  <si>
    <t>53987</t>
  </si>
  <si>
    <t>26/May/26 7:37 PM</t>
  </si>
  <si>
    <t>DPE-560</t>
  </si>
  <si>
    <t>53986</t>
  </si>
  <si>
    <t>21/May/26 5:35 PM</t>
  </si>
  <si>
    <t>DPE-559</t>
  </si>
  <si>
    <t>53985</t>
  </si>
  <si>
    <t>DPE-558</t>
  </si>
  <si>
    <t>53984</t>
  </si>
  <si>
    <t>17/May/26 11:10 AM</t>
  </si>
  <si>
    <t>DPE-557</t>
  </si>
  <si>
    <t>53983</t>
  </si>
  <si>
    <t>22/May/26 10:15 AM</t>
  </si>
  <si>
    <t>DPE-556</t>
  </si>
  <si>
    <t>53982</t>
  </si>
  <si>
    <t>DPE-555</t>
  </si>
  <si>
    <t>53981</t>
  </si>
  <si>
    <t>22/May/26 10:20 AM</t>
  </si>
  <si>
    <t>DPE-554</t>
  </si>
  <si>
    <t>53980</t>
  </si>
  <si>
    <t>01/Jun/26 9:53 AM</t>
  </si>
  <si>
    <t>DPE-553</t>
  </si>
  <si>
    <t>53979</t>
  </si>
  <si>
    <t>DPE-552</t>
  </si>
  <si>
    <t>53976</t>
  </si>
  <si>
    <t>16/May/26 3:14 PM</t>
  </si>
  <si>
    <t>DPE-551</t>
  </si>
  <si>
    <t>53975</t>
  </si>
  <si>
    <t>16/May/26 3:26 PM</t>
  </si>
  <si>
    <t>04/Jun/26 8:46 AM</t>
  </si>
  <si>
    <t>DEVRDSS-2</t>
  </si>
  <si>
    <t>53969</t>
  </si>
  <si>
    <t>15/May/26 6:51 PM</t>
  </si>
  <si>
    <t>29/May/26 3:29 PM</t>
  </si>
  <si>
    <t>DPE-550</t>
  </si>
  <si>
    <t>53966</t>
  </si>
  <si>
    <t>15/May/26 4:32 PM</t>
  </si>
  <si>
    <t>26/May/26 2:47 PM</t>
  </si>
  <si>
    <t>DPE-549</t>
  </si>
  <si>
    <t>53965</t>
  </si>
  <si>
    <t>16/May/26 3:02 PM</t>
  </si>
  <si>
    <t>DPE-548</t>
  </si>
  <si>
    <t>53949</t>
  </si>
  <si>
    <t>[Dev][RD][PE Middleware] Enhance Reversal API Transaction Type Validation</t>
  </si>
  <si>
    <t>15/May/26 1:05 PM</t>
  </si>
  <si>
    <t>29/May/26 12:02 PM</t>
  </si>
  <si>
    <t>DPE-547</t>
  </si>
  <si>
    <t>53948</t>
  </si>
  <si>
    <t>[Dev][RD][PE Middleware] Enhance Debit API Transaction Type Validation</t>
  </si>
  <si>
    <t>15/May/26 1:04 PM</t>
  </si>
  <si>
    <t>DPE-546</t>
  </si>
  <si>
    <t>53947</t>
  </si>
  <si>
    <t>[Dev][RD][PE Middleware] Enhance Credit API Transaction Type Validation</t>
  </si>
  <si>
    <t>15/May/26 1:03 PM</t>
  </si>
  <si>
    <t>DPE-541</t>
  </si>
  <si>
    <t>53936</t>
  </si>
  <si>
    <t>[Dev][RD] UAT - Prepare deployment checklist</t>
  </si>
  <si>
    <t>15/May/26 8:59 AM</t>
  </si>
  <si>
    <t>01/Jun/26 10:10 AM</t>
  </si>
  <si>
    <t>DEVRDSS-5</t>
  </si>
  <si>
    <t>53899</t>
  </si>
  <si>
    <t>[DEV][RD][Samsung] Update API spec for RR App</t>
  </si>
  <si>
    <t>14/May/26 3:46 PM</t>
  </si>
  <si>
    <t>29/May/26 3:28 PM</t>
  </si>
  <si>
    <t>Document</t>
  </si>
  <si>
    <t>DEVRDECOM-247</t>
  </si>
  <si>
    <t>53891</t>
  </si>
  <si>
    <t>[DEV][RD][Ecom][Gustron] Setup shop SSO login &amp; logout on shopify website</t>
  </si>
  <si>
    <t>14/May/26 2:38 PM</t>
  </si>
  <si>
    <t>DEVRDSUP-588</t>
  </si>
  <si>
    <t>53890</t>
  </si>
  <si>
    <t>[S3][RR-Backoffice][Rewards] Some deeplink is not displayed</t>
  </si>
  <si>
    <t>Pass : Waiting for deployment</t>
  </si>
  <si>
    <t>14/May/26 2:19 PM</t>
  </si>
  <si>
    <t>28/May/26 4:47 PM</t>
  </si>
  <si>
    <t>DPE-538</t>
  </si>
  <si>
    <t>53888</t>
  </si>
  <si>
    <t>[S3][BFF] The point history response filtered by date and time is incorrect</t>
  </si>
  <si>
    <t>14/May/26 1:41 PM</t>
  </si>
  <si>
    <t>01/Jun/26 1:31 PM</t>
  </si>
  <si>
    <t>DEVRDSUP-583</t>
  </si>
  <si>
    <t>53887</t>
  </si>
  <si>
    <t>[Dev] Resend previous ETLs from 06/05/2026 → TO DO</t>
  </si>
  <si>
    <t>14/May/26 1:29 PM</t>
  </si>
  <si>
    <t>27/May/26 9:16 AM</t>
  </si>
  <si>
    <t>DEVRDSUP-582</t>
  </si>
  <si>
    <t>53885</t>
  </si>
  <si>
    <t>[SUP-677][RDxDA][ETL] Replacement Encryption Key and Request to Resend Affected Files (from 2026-05-06)</t>
  </si>
  <si>
    <t>14/May/26 1:27 PM</t>
  </si>
  <si>
    <t>26/May/26 10:23 AM</t>
  </si>
  <si>
    <t>etl</t>
  </si>
  <si>
    <t>DEV-3</t>
  </si>
  <si>
    <t>53866</t>
  </si>
  <si>
    <t>[DEV][RD][Tech Debt][HRS] : Enhance getMemberTier — Cache, Bug Fix &amp; Cache Invalidation</t>
  </si>
  <si>
    <t>14/May/26 9:47 AM</t>
  </si>
  <si>
    <t>29/May/26 7:10 PM</t>
  </si>
  <si>
    <t>DEVRDUA-2</t>
  </si>
  <si>
    <t>53857</t>
  </si>
  <si>
    <t>[SA][RD][Unified App] Info Preparation</t>
  </si>
  <si>
    <t>14/May/26 8:22 AM</t>
  </si>
  <si>
    <t>[Dev][RD][Unified] Sprint 25</t>
  </si>
  <si>
    <t>RDTHANA-490</t>
  </si>
  <si>
    <t>53844</t>
  </si>
  <si>
    <t>[DEV][RD][TDM] Enhance merchant detail to transaction without coin Event</t>
  </si>
  <si>
    <t>13/May/26 2:46 PM</t>
  </si>
  <si>
    <t>RDTHANA-489</t>
  </si>
  <si>
    <t>53730</t>
  </si>
  <si>
    <t>[DEV][RD] Refund webhook event not sync to datamart view table</t>
  </si>
  <si>
    <t>08/May/26 12:36 AM</t>
  </si>
  <si>
    <t>DPE-528</t>
  </si>
  <si>
    <t>53707</t>
  </si>
  <si>
    <t>27/May/26 11:16 AM</t>
  </si>
  <si>
    <t>27/May/26 11:10 AM</t>
  </si>
  <si>
    <t>DPE-526</t>
  </si>
  <si>
    <t>53705</t>
  </si>
  <si>
    <t>DPE-525</t>
  </si>
  <si>
    <t>53704</t>
  </si>
  <si>
    <t>27/May/26 11:09 AM</t>
  </si>
  <si>
    <t>DPE-524</t>
  </si>
  <si>
    <t>53703</t>
  </si>
  <si>
    <t>07/May/26 2:40 PM</t>
  </si>
  <si>
    <t>DPE-521</t>
  </si>
  <si>
    <t>53700</t>
  </si>
  <si>
    <t>27/May/26 11:31 AM</t>
  </si>
  <si>
    <t>RDAPS-463</t>
  </si>
  <si>
    <t>53685</t>
  </si>
  <si>
    <t>[Dev][RD][SA] Meeting Sprint24</t>
  </si>
  <si>
    <t>07/May/26 9:16 AM</t>
  </si>
  <si>
    <t>DPE-514</t>
  </si>
  <si>
    <t>53674</t>
  </si>
  <si>
    <t>[Dev][RD][PE Middleware] Enhance Reversal API</t>
  </si>
  <si>
    <t>06/May/26 3:49 PM</t>
  </si>
  <si>
    <t>DEVRDSUP-572</t>
  </si>
  <si>
    <t>53659</t>
  </si>
  <si>
    <t>[SUP-637][Earning BTS Point] #20260100023991 - บัตร RW 08800450771444 -Please check Eligible Trips and Point</t>
  </si>
  <si>
    <t>06/May/26 11:19 AM</t>
  </si>
  <si>
    <t>20/May/26 7:48 PM</t>
  </si>
  <si>
    <t>DPE-512</t>
  </si>
  <si>
    <t>53647</t>
  </si>
  <si>
    <t>[Dev][RD][REM] Implement Point Reversal if Coupon Allocation Fails After Deduction</t>
  </si>
  <si>
    <t>05/May/26 3:36 PM</t>
  </si>
  <si>
    <t>29/May/26 12:32 PM</t>
  </si>
  <si>
    <t>redemption-api</t>
  </si>
  <si>
    <t>DPE-510</t>
  </si>
  <si>
    <t>53618</t>
  </si>
  <si>
    <t>[Dev][RD][REM] Add point_provider to redeem API</t>
  </si>
  <si>
    <t>05/May/26 11:42 AM</t>
  </si>
  <si>
    <t>DPE-509</t>
  </si>
  <si>
    <t>53616</t>
  </si>
  <si>
    <t>[Dev][RD][PL] Add point_provider to transactions and redeems table</t>
  </si>
  <si>
    <t>05/May/26 11:29 AM</t>
  </si>
  <si>
    <t>26/May/26 8:04 PM</t>
  </si>
  <si>
    <t>DPE-508</t>
  </si>
  <si>
    <t>53606</t>
  </si>
  <si>
    <t>[Dev][RD][PWP] Refactor QR Scan API to Use Config-Based Point Provider</t>
  </si>
  <si>
    <t>05/May/26 9:53 AM</t>
  </si>
  <si>
    <t>26/May/26 4:04 PM</t>
  </si>
  <si>
    <t>DEVRDECOM-245</t>
  </si>
  <si>
    <t>53604</t>
  </si>
  <si>
    <t>[DEV][RD][Ecom][Gustron] Sync shopify events to Clevertap</t>
  </si>
  <si>
    <t>05/May/26 9:41 AM</t>
  </si>
  <si>
    <t>DEVRDECOM-244</t>
  </si>
  <si>
    <t>53603</t>
  </si>
  <si>
    <t>[DEV][RD][Ecom][Gustron] Sync transaction data from shopify to RR data mart</t>
  </si>
  <si>
    <t>05/May/26 9:38 AM</t>
  </si>
  <si>
    <t>DEVRDECOM-243</t>
  </si>
  <si>
    <t>53602</t>
  </si>
  <si>
    <t>[DEV][RD][Ecom][POC][Gustron] Banner auto login from RR app</t>
  </si>
  <si>
    <t>05/May/26 9:36 AM</t>
  </si>
  <si>
    <t>30/May/26 6:52 AM</t>
  </si>
  <si>
    <t>DEVRDECOM-242</t>
  </si>
  <si>
    <t>53601</t>
  </si>
  <si>
    <t>[DEV][RD][Ecom][POC] New customer account type in shopify (Multipass deprecated)</t>
  </si>
  <si>
    <t>05/May/26 9:33 AM</t>
  </si>
  <si>
    <t>DEVRDSS-3</t>
  </si>
  <si>
    <t>53597</t>
  </si>
  <si>
    <t>[SA][RD][Samsung][POC] Review BSS API to update card status v2</t>
  </si>
  <si>
    <t>05/May/26 9:22 AM</t>
  </si>
  <si>
    <t>DPE-507</t>
  </si>
  <si>
    <t>53595</t>
  </si>
  <si>
    <t>[Dev][RD][PL] Enhance Check Member by Phone API to Support Terminated Users</t>
  </si>
  <si>
    <t>05/May/26 9:02 AM</t>
  </si>
  <si>
    <t>29/May/26 12:01 PM</t>
  </si>
  <si>
    <t>08/May/26 12:00 AM</t>
  </si>
  <si>
    <t>RDTHANA-485</t>
  </si>
  <si>
    <t>53569</t>
  </si>
  <si>
    <t>[DEV][RD][TDM] Turtle Shopify Order event for datamart</t>
  </si>
  <si>
    <t>30/Apr/26 2:47 PM</t>
  </si>
  <si>
    <t>02/Jun/26 9:18 AM</t>
  </si>
  <si>
    <t>Thana-datamart</t>
  </si>
  <si>
    <t>02/Jun/26 11:37 AM</t>
  </si>
  <si>
    <t>DPE-505</t>
  </si>
  <si>
    <t>53504</t>
  </si>
  <si>
    <t>[Dev][RD][PEP] Update golang version</t>
  </si>
  <si>
    <t>29/Apr/26 11:02 AM</t>
  </si>
  <si>
    <t>27/May/26 3:05 PM</t>
  </si>
  <si>
    <t>05/May/26 12:00 AM</t>
  </si>
  <si>
    <t>DPE-493</t>
  </si>
  <si>
    <t>53456</t>
  </si>
  <si>
    <t>[Dev][RD][SSO-User] Update User Properties on Termination</t>
  </si>
  <si>
    <t>28/Apr/26 2:15 PM</t>
  </si>
  <si>
    <t>DPE-492</t>
  </si>
  <si>
    <t>53440</t>
  </si>
  <si>
    <t>Dev][RD][REM] Implement Schema Versioning for Redeemed Transaction</t>
  </si>
  <si>
    <t>28/Apr/26 9:24 AM</t>
  </si>
  <si>
    <t>DPE-491</t>
  </si>
  <si>
    <t>53439</t>
  </si>
  <si>
    <t>[Dev][RD][PE Middleware] Refactor OfferRepository: Consolidate GetOffer Methods into Generic Function</t>
  </si>
  <si>
    <t>28/Apr/26 8:49 AM</t>
  </si>
  <si>
    <t>DPE-478</t>
  </si>
  <si>
    <t>53379</t>
  </si>
  <si>
    <t>[Dev][RD][BFF] Improve mapping API response message for Redemption API</t>
  </si>
  <si>
    <t>24/Apr/26 7:25 PM</t>
  </si>
  <si>
    <t>DPE-477</t>
  </si>
  <si>
    <t>53367</t>
  </si>
  <si>
    <t>24/Apr/26 2:10 PM</t>
  </si>
  <si>
    <t>01/Jun/26 10:23 AM</t>
  </si>
  <si>
    <t>DPE-476</t>
  </si>
  <si>
    <t>53365</t>
  </si>
  <si>
    <t>14/May/26 3:25 PM</t>
  </si>
  <si>
    <t>DPE-473</t>
  </si>
  <si>
    <t>53355</t>
  </si>
  <si>
    <t>24/Apr/26 10:57 AM</t>
  </si>
  <si>
    <t>20/May/26 2:38 PM</t>
  </si>
  <si>
    <t>DPE-472</t>
  </si>
  <si>
    <t>53353</t>
  </si>
  <si>
    <t>24/Apr/26 1:20 PM</t>
  </si>
  <si>
    <t>07/May/26 12:00 AM</t>
  </si>
  <si>
    <t>DPE-469</t>
  </si>
  <si>
    <t>53334</t>
  </si>
  <si>
    <t>[Dev][RD][PE Middleware] Enhance Offer Name Fields Mapping to CleverTap</t>
  </si>
  <si>
    <t>23/Apr/26 3:25 PM</t>
  </si>
  <si>
    <t>DPE-467</t>
  </si>
  <si>
    <t>53291</t>
  </si>
  <si>
    <t>[Dev][RD][goutil] Improve func  get point history to support additional filtering</t>
  </si>
  <si>
    <t>22/Apr/26 1:15 PM</t>
  </si>
  <si>
    <t>RDTHANA-479</t>
  </si>
  <si>
    <t>52945</t>
  </si>
  <si>
    <t>[DEV][RD][TDM] Enhance Lightspeed master data support pagination</t>
  </si>
  <si>
    <t>08/Apr/26 4:46 PM</t>
  </si>
  <si>
    <t>02/Jun/26 9:17 AM</t>
  </si>
  <si>
    <t>02/Jun/26 11:12 AM</t>
  </si>
  <si>
    <t>DPE-412</t>
  </si>
  <si>
    <t>51891</t>
  </si>
  <si>
    <t>[Dev][RD][PE Middleware] Enhance get wallet history to support filtering</t>
  </si>
  <si>
    <t>29/Mar/26 2:55 PM</t>
  </si>
  <si>
    <t>01/Jun/26 4:09 PM</t>
  </si>
  <si>
    <t>DPE-408</t>
  </si>
  <si>
    <t>51722</t>
  </si>
  <si>
    <t>[Dev][RD][Promo Code][BFF] Create API Spec for Promo Code</t>
  </si>
  <si>
    <t>27/Mar/26 12:00 PM</t>
  </si>
  <si>
    <t>01/Jun/26 10:09 AM</t>
  </si>
  <si>
    <t>RDTHANA-475</t>
  </si>
  <si>
    <t>51568</t>
  </si>
  <si>
    <t>[DEV][RD][TDM] CT Event : ORDER_SUCCESS_HOOK</t>
  </si>
  <si>
    <t>Lowest</t>
  </si>
  <si>
    <t>26/Mar/26 11:09 AM</t>
  </si>
  <si>
    <t>RDTHANA-474</t>
  </si>
  <si>
    <t>51567</t>
  </si>
  <si>
    <t>[DEV][RD][TDM] CT Event : REFUND_PAID_HOOK</t>
  </si>
  <si>
    <t>RDTHANA-473</t>
  </si>
  <si>
    <t>51566</t>
  </si>
  <si>
    <t>[DEV][RD][TDM] CT Event : PAYMENT_PAID_{SHOP_NAME}</t>
  </si>
  <si>
    <t>RDTHANA-472</t>
  </si>
  <si>
    <t>51565</t>
  </si>
  <si>
    <t>[DEV][RD][TDM] Consumer : Push to CT</t>
  </si>
  <si>
    <t>26/Mar/26 11:08 AM</t>
  </si>
  <si>
    <t>RDTHANA-468</t>
  </si>
  <si>
    <t>51555</t>
  </si>
  <si>
    <t>[DEV][RD][TDM] Webhook Event : Fullfilment</t>
  </si>
  <si>
    <t>26/Mar/26 11:07 AM</t>
  </si>
  <si>
    <t>RDTHANA-465</t>
  </si>
  <si>
    <t>51545</t>
  </si>
  <si>
    <t>[DEV][RD][TDM] Enhance Shopify access token flow</t>
  </si>
  <si>
    <t>26/Mar/26 9:37 AM</t>
  </si>
  <si>
    <t>26/Mar/26 12:00 AM</t>
  </si>
  <si>
    <t>DPE-389</t>
  </si>
  <si>
    <t>51265</t>
  </si>
  <si>
    <t>[Dev][RD][REM] Add additional event perpoties to `REDEEM` event</t>
  </si>
  <si>
    <t>24/Mar/26 3:54 PM</t>
  </si>
  <si>
    <t>redemption-consumer</t>
  </si>
  <si>
    <t>DPE-374</t>
  </si>
  <si>
    <t>50550</t>
  </si>
  <si>
    <t>[Dev][RD][ATN] Bulk issue point for MKT campaign</t>
  </si>
  <si>
    <t>22/Mar/26 10:28 AM</t>
  </si>
  <si>
    <t>RDTHANA-463</t>
  </si>
  <si>
    <t>50163</t>
  </si>
  <si>
    <t>[DEV][RD][TDM] Enhance Data Mapping for Lightspeed Polling Transactions</t>
  </si>
  <si>
    <t>19/Mar/26 11:10 AM</t>
  </si>
  <si>
    <t>30/Mar/26 12:00 AM</t>
  </si>
  <si>
    <t>DPE-363</t>
  </si>
  <si>
    <t>50118</t>
  </si>
  <si>
    <t>[Dev][RD][SA][Sprint25] Analysis &amp; Task Breakdown for PE Migration Execution</t>
  </si>
  <si>
    <t>18/Mar/26 4:03 PM</t>
  </si>
  <si>
    <t>DEVRDSS-1</t>
  </si>
  <si>
    <t>47383</t>
  </si>
  <si>
    <t>[SA][RD][Samsung] Impact analysis on enhance to support multiple RW card</t>
  </si>
  <si>
    <t>10/Mar/26 11:10 AM</t>
  </si>
  <si>
    <t>[Dev][All Project] Sprint 21</t>
  </si>
  <si>
    <t>DPE-319</t>
  </si>
  <si>
    <t>47258</t>
  </si>
  <si>
    <t>[Dev][RD][REM] Improve reward redemption with 0 point</t>
  </si>
  <si>
    <t>09/Mar/26 5:15 PM</t>
  </si>
  <si>
    <t>DPE-317</t>
  </si>
  <si>
    <t>47023</t>
  </si>
  <si>
    <t>[Dev][RD][PE Middleware] Reversal API</t>
  </si>
  <si>
    <t>07/Mar/26 7:44 PM</t>
  </si>
  <si>
    <t>DEVRDSUP-479</t>
  </si>
  <si>
    <t>46025</t>
  </si>
  <si>
    <t>[SUP-564]ไม่สามารถดึง Available code ได้ ระบบขึ้นว่า No data found</t>
  </si>
  <si>
    <t>02/Mar/26 10:01 AM</t>
  </si>
  <si>
    <t>18/May/26 2:00 PM</t>
  </si>
  <si>
    <t>18/Mar/26 12:00 AM</t>
  </si>
  <si>
    <t>[Dev][All Project] Sprint 20</t>
  </si>
  <si>
    <t>RDAPS-424</t>
  </si>
  <si>
    <t>45732</t>
  </si>
  <si>
    <t>[SA][RD] Meeting Sprint 25</t>
  </si>
  <si>
    <t>27/Feb/26 9:43 AM</t>
  </si>
  <si>
    <t>29/May/26 3:15 PM</t>
  </si>
  <si>
    <t>DPE-290</t>
  </si>
  <si>
    <t>45375</t>
  </si>
  <si>
    <t>Automation for Jira</t>
  </si>
  <si>
    <t>557058:f58131cb-b67d-43c7-b30d-6b58d40bd077</t>
  </si>
  <si>
    <t>25/Feb/26 6:48 PM</t>
  </si>
  <si>
    <t>28/May/26 10:49 AM</t>
  </si>
  <si>
    <t>[Dev][RD][New PE] Sprint 18</t>
  </si>
  <si>
    <t>[Dev][RD][New PE] Sprint 19</t>
  </si>
  <si>
    <t>DPE-281</t>
  </si>
  <si>
    <t>45357</t>
  </si>
  <si>
    <t>12/Mar/26 11:46 AM</t>
  </si>
  <si>
    <t>DPE-272</t>
  </si>
  <si>
    <t>45339</t>
  </si>
  <si>
    <t>DPE-270</t>
  </si>
  <si>
    <t>45335</t>
  </si>
  <si>
    <t>DPE-269</t>
  </si>
  <si>
    <t>45333</t>
  </si>
  <si>
    <t>DPE-268</t>
  </si>
  <si>
    <t>45331</t>
  </si>
  <si>
    <t>DPE-267</t>
  </si>
  <si>
    <t>45332</t>
  </si>
  <si>
    <t>DPE-266</t>
  </si>
  <si>
    <t>45329</t>
  </si>
  <si>
    <t>DPE-265</t>
  </si>
  <si>
    <t>45330</t>
  </si>
  <si>
    <t>DPE-262</t>
  </si>
  <si>
    <t>45319</t>
  </si>
  <si>
    <t>DPE-261</t>
  </si>
  <si>
    <t>45321</t>
  </si>
  <si>
    <t>DEVRDSUP-468</t>
  </si>
  <si>
    <t>45126</t>
  </si>
  <si>
    <t xml:space="preserve">[SUP-552][MIXDATA][ETL] Redemption data ETL col "item_id", "using_at" and "countdown_expired_at" catch-up sync data. </t>
  </si>
  <si>
    <t>25/Feb/26 10:30 AM</t>
  </si>
  <si>
    <t>26/May/26 2:26 PM</t>
  </si>
  <si>
    <t>11/Mar/26 12:00 AM</t>
  </si>
  <si>
    <t>RDAPS-421</t>
  </si>
  <si>
    <t>45103</t>
  </si>
  <si>
    <t>[SA][RD] Team Support &amp; Management Sprint 25</t>
  </si>
  <si>
    <t>25/Feb/26 9:32 AM</t>
  </si>
  <si>
    <t>DPE-228</t>
  </si>
  <si>
    <t>44837</t>
  </si>
  <si>
    <t>23/Feb/26 5:45 PM</t>
  </si>
  <si>
    <t>16/May/26 4:27 PM</t>
  </si>
  <si>
    <t>DPE-227</t>
  </si>
  <si>
    <t>44835</t>
  </si>
  <si>
    <t>[QA] Create test case</t>
  </si>
  <si>
    <t>DPE-207</t>
  </si>
  <si>
    <t>44011</t>
  </si>
  <si>
    <t>[Dev][RD][SSO-User] Reward Add Card</t>
  </si>
  <si>
    <t>18/Feb/26 3:42 PM</t>
  </si>
  <si>
    <t>RDTHANA-447</t>
  </si>
  <si>
    <t>43072</t>
  </si>
  <si>
    <t>[DEV][RD][TDM] Sync Order Data from Shopify Stores Refund</t>
  </si>
  <si>
    <t>11/Feb/26 6:36 PM</t>
  </si>
  <si>
    <t>RDTHANA-446</t>
  </si>
  <si>
    <t>43071</t>
  </si>
  <si>
    <t>[DEV][RD][TDM] Sync Order Data from Shopify Stores to Data Mart #2</t>
  </si>
  <si>
    <t>20/Mar/26 12:00 AM</t>
  </si>
  <si>
    <t>RDTHANA-445</t>
  </si>
  <si>
    <t>43070</t>
  </si>
  <si>
    <t>[DEV][RD][TDM] Sync Order Data from Shopify Stores to Data Mart table</t>
  </si>
  <si>
    <t>11/Feb/26 6:35 PM</t>
  </si>
  <si>
    <t>RDTHANA-443</t>
  </si>
  <si>
    <t>43068</t>
  </si>
  <si>
    <t>[DEV][RD][TDM] Create Webhook API Endpoint refunds/create</t>
  </si>
  <si>
    <t>RDTHANA-442</t>
  </si>
  <si>
    <t>43067</t>
  </si>
  <si>
    <t>[DEV][RD][TDM] Create Webhook API Endpoint orders</t>
  </si>
  <si>
    <t>11/Feb/26 6:34 PM</t>
  </si>
  <si>
    <t>16/Mar/26 12:00 AM</t>
  </si>
  <si>
    <t>RDTHANA-441</t>
  </si>
  <si>
    <t>43066</t>
  </si>
  <si>
    <t>[DEV][RD][TDM] Create migration</t>
  </si>
  <si>
    <t>11/Feb/26 6:33 PM</t>
  </si>
  <si>
    <t>RDAPS-412</t>
  </si>
  <si>
    <t>42822</t>
  </si>
  <si>
    <t>[Dev][RD][Adhoc][Subscription][Short Distance] Est.effort enhance A920 API to support short distance subscription package</t>
  </si>
  <si>
    <t>11/Feb/26 10:23 AM</t>
  </si>
  <si>
    <t>29/May/26 1:50 PM</t>
  </si>
  <si>
    <t>DPE-159</t>
  </si>
  <si>
    <t>42216</t>
  </si>
  <si>
    <t>[Dev][RD][BFF] Get point history</t>
  </si>
  <si>
    <t>07/Feb/26 3:24 PM</t>
  </si>
  <si>
    <t>01/Jun/26 4:10 PM</t>
  </si>
  <si>
    <t>22/Apr/69 12:00 AM</t>
  </si>
  <si>
    <t>DPE-147</t>
  </si>
  <si>
    <t>42134</t>
  </si>
  <si>
    <t>[Dev][RD][SSO-User] WEB verify phone</t>
  </si>
  <si>
    <t>06/Feb/26 6:37 PM</t>
  </si>
  <si>
    <t>01/Jun/26 1:34 PM</t>
  </si>
  <si>
    <t>DPE-146</t>
  </si>
  <si>
    <t>42133</t>
  </si>
  <si>
    <t>[Dev][RD][SSO-User] WEB update avatar</t>
  </si>
  <si>
    <t>DPE-145</t>
  </si>
  <si>
    <t>42132</t>
  </si>
  <si>
    <t>[Dev][RD][SSO-User] WEB verify user</t>
  </si>
  <si>
    <t>DPE-144</t>
  </si>
  <si>
    <t>42131</t>
  </si>
  <si>
    <t>[Dev][RD][SSO-User] WEB remove card by card_id</t>
  </si>
  <si>
    <t>01/Jun/26 1:33 PM</t>
  </si>
  <si>
    <t>DPE-143</t>
  </si>
  <si>
    <t>42130</t>
  </si>
  <si>
    <t>[Dev][RD][SSO-User] WEB move card</t>
  </si>
  <si>
    <t>06/Feb/26 6:36 PM</t>
  </si>
  <si>
    <t>05/Mar/26 12:00 AM</t>
  </si>
  <si>
    <t>DPE-142</t>
  </si>
  <si>
    <t>42129</t>
  </si>
  <si>
    <t>[Dev][RD][SSO-User] WEB add card</t>
  </si>
  <si>
    <t>DPE-141</t>
  </si>
  <si>
    <t>42128</t>
  </si>
  <si>
    <t>[Dev][RD][SSO-User] WEB update profile by ID</t>
  </si>
  <si>
    <t>12/Feb/26 12:00 AM</t>
  </si>
  <si>
    <t>DPE-139</t>
  </si>
  <si>
    <t>42115</t>
  </si>
  <si>
    <t>[Dev][RD][RLP] Merchant</t>
  </si>
  <si>
    <t>27/May/26 2:22 PM</t>
  </si>
  <si>
    <t>DPE-137</t>
  </si>
  <si>
    <t>42113</t>
  </si>
  <si>
    <t>[Dev][RD][RLP] Retrieve point balance</t>
  </si>
  <si>
    <t>DPE-133</t>
  </si>
  <si>
    <t>42109</t>
  </si>
  <si>
    <t>[Dev][RD][RLP] Update card status is unbound by id</t>
  </si>
  <si>
    <t>DPE-132</t>
  </si>
  <si>
    <t>42108</t>
  </si>
  <si>
    <t>[Dev][RD][RLP] Update card status by id</t>
  </si>
  <si>
    <t>DPE-131</t>
  </si>
  <si>
    <t>42107</t>
  </si>
  <si>
    <t>[Dev][RD][RLP] Update card status</t>
  </si>
  <si>
    <t>DPE-129</t>
  </si>
  <si>
    <t>42104</t>
  </si>
  <si>
    <t>[Dev][RD][ATN] Realtime issue point API</t>
  </si>
  <si>
    <t>06/Feb/26 2:16 PM</t>
  </si>
  <si>
    <t>DPE-128</t>
  </si>
  <si>
    <t>42103</t>
  </si>
  <si>
    <t>[Dev][RD][ATN] Request individual issue point API</t>
  </si>
  <si>
    <t>DPE-123</t>
  </si>
  <si>
    <t>42098</t>
  </si>
  <si>
    <t>[Dev][RD][REMQ] Async coupon push</t>
  </si>
  <si>
    <t>06/Feb/26 1:44 PM</t>
  </si>
  <si>
    <t>02/Jun/26 11:10 AM</t>
  </si>
  <si>
    <t>02/Jun/26 11:22 AM</t>
  </si>
  <si>
    <t>DPE-111</t>
  </si>
  <si>
    <t>42054</t>
  </si>
  <si>
    <t>[Dev][RD][ATN] Bulk issue point for CRM Refund via RR-Backoffice</t>
  </si>
  <si>
    <t>01/Jun/26 4:25 PM</t>
  </si>
  <si>
    <t>DPE-104</t>
  </si>
  <si>
    <t>42047</t>
  </si>
  <si>
    <t>[Dev][RD][goutil] Revert Function</t>
  </si>
  <si>
    <t>DPE-103</t>
  </si>
  <si>
    <t>42046</t>
  </si>
  <si>
    <t>[Dev][RD][goutil] Implement Point Engine Client Functions</t>
  </si>
  <si>
    <t>06/Feb/26 11:54 AM</t>
  </si>
  <si>
    <t>26/May/26 4:03 PM</t>
  </si>
  <si>
    <t>DPE-94</t>
  </si>
  <si>
    <t>41967</t>
  </si>
  <si>
    <t>[Dev][RD][REM] Refund coupon v2 and revert point</t>
  </si>
  <si>
    <t>DPE-93</t>
  </si>
  <si>
    <t>41966</t>
  </si>
  <si>
    <t>[Dev][RD][REM] Improve reward redemption v2</t>
  </si>
  <si>
    <t>DPE-87</t>
  </si>
  <si>
    <t>41960</t>
  </si>
  <si>
    <t>[Dev][RD][PL][Point] Reverse transaction</t>
  </si>
  <si>
    <t>DPE-83</t>
  </si>
  <si>
    <t>41541</t>
  </si>
  <si>
    <t>[Dev][RD][PL][Point] Command: transaction:re-issue</t>
  </si>
  <si>
    <t>04/Feb/26 10:27 AM</t>
  </si>
  <si>
    <t>26/May/26 4:30 PM</t>
  </si>
  <si>
    <t>DPE-76</t>
  </si>
  <si>
    <t>41527</t>
  </si>
  <si>
    <t>[Dev][RD][PL][Point] Reverse redeemed transaction</t>
  </si>
  <si>
    <t>04/Feb/26 10:23 AM</t>
  </si>
  <si>
    <t>DPE-74</t>
  </si>
  <si>
    <t>41523</t>
  </si>
  <si>
    <t>[Dev][RD][SSO-User] Remove SSO-Thor API Integration</t>
  </si>
  <si>
    <t>04/Feb/26 10:13 AM</t>
  </si>
  <si>
    <t>26/May/26 3:23 PM</t>
  </si>
  <si>
    <t>DPE-68</t>
  </si>
  <si>
    <t>41511</t>
  </si>
  <si>
    <t>[Dev][RD][SSO-User] Rewards add card</t>
  </si>
  <si>
    <t>04/Feb/26 9:49 AM</t>
  </si>
  <si>
    <t>10/Feb/26 12:00 AM</t>
  </si>
  <si>
    <t>DPE-49</t>
  </si>
  <si>
    <t>41435</t>
  </si>
  <si>
    <t>[Dev][RD][SSO-User] Rewards Verify phone</t>
  </si>
  <si>
    <t>03/Feb/26 7:41 PM</t>
  </si>
  <si>
    <t>RDAPS-403</t>
  </si>
  <si>
    <t>39981</t>
  </si>
  <si>
    <t>[SA][RD] Prepare task for sprint 25 - 26</t>
  </si>
  <si>
    <t>21/Jan/26 2:13 PM</t>
  </si>
  <si>
    <t>29/May/26 3:16 PM</t>
  </si>
  <si>
    <t>DEVRDECOM-239</t>
  </si>
  <si>
    <t>38710</t>
  </si>
  <si>
    <t>[DEV][RD][Ecom] POC Rabbit Connect x Shopify (OIDC integration)</t>
  </si>
  <si>
    <t>12/Jan/26 2:21 PM</t>
  </si>
  <si>
    <t>RabbitConnect</t>
  </si>
  <si>
    <t>DEVRDCT-359</t>
  </si>
  <si>
    <t>36930</t>
  </si>
  <si>
    <t>FIX-Identity-Error</t>
  </si>
  <si>
    <t>23/Dec/25 9:38 AM</t>
  </si>
  <si>
    <t>18/May/26 3:50 PM</t>
  </si>
  <si>
    <t>[Dev][RD][CT] Sprint 14</t>
  </si>
  <si>
    <t>[Dev][RD][CleverTap] Sprint 15</t>
  </si>
  <si>
    <t>[Dev][RD][CT] Sprint 16</t>
  </si>
  <si>
    <t>[Dev][RD][CT] Sprint 21</t>
  </si>
  <si>
    <t>[Dev][RD][CT] Sprint 23</t>
  </si>
  <si>
    <t>[Dev][RD][CT] Sprint 24</t>
  </si>
  <si>
    <t>[Dev][RD][CT] Sprint 25</t>
  </si>
  <si>
    <t>DEVRDCT-326</t>
  </si>
  <si>
    <t>35192</t>
  </si>
  <si>
    <t>CT-POINT-ISSUE</t>
  </si>
  <si>
    <t>01/Dec/25 9:58 AM</t>
  </si>
  <si>
    <t>[Dev][RD][CT] Sprint 13</t>
  </si>
  <si>
    <t>DEVRDCT-325</t>
  </si>
  <si>
    <t>35191</t>
  </si>
  <si>
    <t>CTxSHOPIFY</t>
  </si>
  <si>
    <t>01/Dec/25 9:55 AM</t>
  </si>
  <si>
    <t>DEVRDCT-309</t>
  </si>
  <si>
    <t>34545</t>
  </si>
  <si>
    <t>ct-member-tier</t>
  </si>
  <si>
    <t>19/Nov/25 2:49 PM</t>
  </si>
  <si>
    <t>[Dev][RD][CT] Sprint 12</t>
  </si>
  <si>
    <t>DEVRDCT-308</t>
  </si>
  <si>
    <t>34539</t>
  </si>
  <si>
    <t>ct-campaign-type</t>
  </si>
  <si>
    <t>19/Nov/25 10:41 AM</t>
  </si>
  <si>
    <t>System Architech</t>
  </si>
  <si>
    <t>Permanent Dev.</t>
  </si>
  <si>
    <t>Contract</t>
  </si>
  <si>
    <t>Outsource</t>
  </si>
  <si>
    <t>Projects (Stories Points)</t>
  </si>
  <si>
    <t>DEVRDSUP-587</t>
  </si>
  <si>
    <t>53955</t>
  </si>
  <si>
    <t>[SUP-683][RRApp][Binding RW] RW Card not show in RR_Prod</t>
  </si>
  <si>
    <t>15/May/26 2:12 PM</t>
  </si>
  <si>
    <t>15/May/26 3:57 PM</t>
  </si>
  <si>
    <t>DPE-545</t>
  </si>
  <si>
    <t>53943</t>
  </si>
  <si>
    <t>[S3][BFF] The point history response is incorrect when no data matched</t>
  </si>
  <si>
    <t>15/May/26 10:28 AM</t>
  </si>
  <si>
    <t>15/May/26 11:14 AM</t>
  </si>
  <si>
    <t>DEVRDSUP-584</t>
  </si>
  <si>
    <t>53895</t>
  </si>
  <si>
    <t>[SUP-678]#20260300026281  [RW Binding]  Binding but no TXN / No Binding got TXN ?</t>
  </si>
  <si>
    <t>14/May/26 3:00 PM</t>
  </si>
  <si>
    <t>15/May/26 12:58 PM</t>
  </si>
  <si>
    <t>15/May/26 3:52 PM</t>
  </si>
  <si>
    <t>UNDER VALIDATION</t>
  </si>
  <si>
    <t>15/May/26 10:33 AM</t>
  </si>
  <si>
    <t>DEVRDSUP-581</t>
  </si>
  <si>
    <t>53880</t>
  </si>
  <si>
    <t>[SUP-676][SUB] Receipt is not generated after SUB transaction is made (TXN Date 13 May 2026)</t>
  </si>
  <si>
    <t>14/May/26 11:52 AM</t>
  </si>
  <si>
    <t>15/May/26 2:58 PM</t>
  </si>
  <si>
    <t>14/May/26 3:01 PM</t>
  </si>
  <si>
    <t>15/May/26 3:01 PM</t>
  </si>
  <si>
    <t>RDAPS-466</t>
  </si>
  <si>
    <t>RDAPS-465</t>
  </si>
  <si>
    <t>53856</t>
  </si>
  <si>
    <t>14/May/26 8:21 AM</t>
  </si>
  <si>
    <t>15/May/26 10:11 AM</t>
  </si>
  <si>
    <t>DPE-537</t>
  </si>
  <si>
    <t>53855</t>
  </si>
  <si>
    <t>[S3][RR-Backoffice][Rewards] The offer details is npt updated when the reward detail updates</t>
  </si>
  <si>
    <t>13/May/26 5:24 PM</t>
  </si>
  <si>
    <t>14/May/26 4:43 PM</t>
  </si>
  <si>
    <t>DPE-536</t>
  </si>
  <si>
    <t>53854</t>
  </si>
  <si>
    <t>[S3][RR-Backoffice][Rewards] Unable to update reward information</t>
  </si>
  <si>
    <t>13/May/26 5:20 PM</t>
  </si>
  <si>
    <t>15/May/26 11:38 AM</t>
  </si>
  <si>
    <t>DPE-535</t>
  </si>
  <si>
    <t>53843</t>
  </si>
  <si>
    <t>13/May/26 2:35 PM</t>
  </si>
  <si>
    <t>13/May/26 4:10 PM</t>
  </si>
  <si>
    <t>DPE-534</t>
  </si>
  <si>
    <t>53841</t>
  </si>
  <si>
    <t>13/May/26 2:39 PM</t>
  </si>
  <si>
    <t>DRST-98</t>
  </si>
  <si>
    <t>53827</t>
  </si>
  <si>
    <t>13/May/26 10:42 AM</t>
  </si>
  <si>
    <t>13/May/26 10:44 AM</t>
  </si>
  <si>
    <t>[Dev][All Project] Sprint 15</t>
  </si>
  <si>
    <t>[Dev][All Project] Sprint 16</t>
  </si>
  <si>
    <t>[Dev RD][VIMI Termi] Sprint 17</t>
  </si>
  <si>
    <t>[Dev RD][VIMI Termi] Sprint 18</t>
  </si>
  <si>
    <t>[Dev RD][VIMI Termi] Sprint 19</t>
  </si>
  <si>
    <t>[Dev RD][VIMI Termi] Sprint 20</t>
  </si>
  <si>
    <t>[Dev RD][VIMI Termi] Sprint 21</t>
  </si>
  <si>
    <t>[Dev RD][VIMI Termi] Sprint 22</t>
  </si>
  <si>
    <t>[Dev RD][VIMI Termi] Sprint 23</t>
  </si>
  <si>
    <t>[Dev RD][VIMI Termi] Sprint 24</t>
  </si>
  <si>
    <t>DRST-97</t>
  </si>
  <si>
    <t>53814</t>
  </si>
  <si>
    <t>13/May/26 1:04 AM</t>
  </si>
  <si>
    <t>13/May/26 1:09 AM</t>
  </si>
  <si>
    <t>DEVRDSUP-577</t>
  </si>
  <si>
    <t>53791</t>
  </si>
  <si>
    <t>[SUP-671][Line Pay] #20260500027631 Cannot tou-up BTS Trips in Line Pay Account [User is not found in Cloud ID system]</t>
  </si>
  <si>
    <t>11/May/26 4:23 PM</t>
  </si>
  <si>
    <t>DEVRDSUP-576</t>
  </si>
  <si>
    <t>53742</t>
  </si>
  <si>
    <t>[SUP-670]Urgent [SUB] CS-#20260500027429 // หักเงิน แต่ไม่ได้รับแพ็กเกจ รบกวนออกแพ็กเกจให้ลูกค้าค่ะ</t>
  </si>
  <si>
    <t>08/May/26 2:43 PM</t>
  </si>
  <si>
    <t>08/May/26 1:25 PM</t>
  </si>
  <si>
    <t>15/May/26 1:25 PM</t>
  </si>
  <si>
    <t>14/May/26 4:15 PM</t>
  </si>
  <si>
    <t>DPE-529</t>
  </si>
  <si>
    <t>53708</t>
  </si>
  <si>
    <t>DPE-518</t>
  </si>
  <si>
    <t>53689</t>
  </si>
  <si>
    <t>07/May/26 10:23 AM</t>
  </si>
  <si>
    <t>08/May/26 11:56 AM</t>
  </si>
  <si>
    <t>DPE-517</t>
  </si>
  <si>
    <t>53688</t>
  </si>
  <si>
    <t>08/May/26 11:38 AM</t>
  </si>
  <si>
    <t>DPE-516</t>
  </si>
  <si>
    <t>53687</t>
  </si>
  <si>
    <t>[Dev][RD][PL][Point] Improve point redeem transaction</t>
  </si>
  <si>
    <t>07/May/26 9:37 AM</t>
  </si>
  <si>
    <t>08/May/26 12:01 PM</t>
  </si>
  <si>
    <t>[Dev][RD][SA] Meeting</t>
  </si>
  <si>
    <t>14/May/26 11:08 AM</t>
  </si>
  <si>
    <t>DRST-96</t>
  </si>
  <si>
    <t>53676</t>
  </si>
  <si>
    <t>06/May/26 3:59 PM</t>
  </si>
  <si>
    <t>06/May/26 4:25 PM</t>
  </si>
  <si>
    <t>DRST-95</t>
  </si>
  <si>
    <t>53675</t>
  </si>
  <si>
    <t>15/May/26 2:35 PM</t>
  </si>
  <si>
    <t>14/May/26 2:39 PM</t>
  </si>
  <si>
    <t>DEVRDSUP-571</t>
  </si>
  <si>
    <t>53655</t>
  </si>
  <si>
    <t>[SUP-664]#20260300026281  [RW Binding]  Binding but no TXN / No Binding got TXN ?</t>
  </si>
  <si>
    <t>Rejected</t>
  </si>
  <si>
    <t>06/May/26 10:42 AM</t>
  </si>
  <si>
    <t>15/May/26 9:32 AM</t>
  </si>
  <si>
    <t>DEVRDSUP-569</t>
  </si>
  <si>
    <t>53648</t>
  </si>
  <si>
    <t>[SUP-663][SUB]CS-#20260500027382 // Request mark used[ Using] coupon - 	13855211 &gt;&gt; RW 0880064263331</t>
  </si>
  <si>
    <t>05/May/26 4:37 PM</t>
  </si>
  <si>
    <t>08/May/26 10:26 AM</t>
  </si>
  <si>
    <t>13/May/26 11:05 AM</t>
  </si>
  <si>
    <t>14/May/26 4:23 PM</t>
  </si>
  <si>
    <t>DEVRDSUP-568</t>
  </si>
  <si>
    <t>53612</t>
  </si>
  <si>
    <t>[SUP-661][SUB] Receipt is not generate after txn is made (5/5/69)</t>
  </si>
  <si>
    <t>05/May/26 10:55 AM</t>
  </si>
  <si>
    <t>DEVRDSUP-567</t>
  </si>
  <si>
    <t>53609</t>
  </si>
  <si>
    <t>[SUP-660]ตรวจสอบไม่พบข้อมูล TXN ที่คืน Point ของ BTSG จำนวน 47 TXN</t>
  </si>
  <si>
    <t>05/May/26 10:22 AM</t>
  </si>
  <si>
    <t>14/May/26 11:32 AM</t>
  </si>
  <si>
    <t>14/May/26 2:05 PM</t>
  </si>
  <si>
    <t>14/May/26 10:46 AM</t>
  </si>
  <si>
    <t>15/May/26 10:34 AM</t>
  </si>
  <si>
    <t>RDAPS-462</t>
  </si>
  <si>
    <t>53600</t>
  </si>
  <si>
    <t>[SA][RD] Prepare task for Sprint 24, 25</t>
  </si>
  <si>
    <t>05/May/26 9:27 AM</t>
  </si>
  <si>
    <t>15/May/26 4:07 PM</t>
  </si>
  <si>
    <t>RDAPS-461</t>
  </si>
  <si>
    <t>53599</t>
  </si>
  <si>
    <t>[SA][RD] Team Support &amp; Management Sprint 24</t>
  </si>
  <si>
    <t>05/May/26 9:26 AM</t>
  </si>
  <si>
    <t>14/May/26 11:34 AM</t>
  </si>
  <si>
    <t>RDAPS-460</t>
  </si>
  <si>
    <t>53598</t>
  </si>
  <si>
    <t>[SA][RD] Meeting Sprint 24</t>
  </si>
  <si>
    <t>14/May/26 11:33 AM</t>
  </si>
  <si>
    <t>RDAPS-459</t>
  </si>
  <si>
    <t>15/May/26 8:50 AM</t>
  </si>
  <si>
    <t>14/May/26 1:43 PM</t>
  </si>
  <si>
    <t>DRST-94</t>
  </si>
  <si>
    <t>53577</t>
  </si>
  <si>
    <t>30/Apr/26 5:35 PM</t>
  </si>
  <si>
    <t>06/May/26 4:24 PM</t>
  </si>
  <si>
    <t>DRST-93</t>
  </si>
  <si>
    <t>53575</t>
  </si>
  <si>
    <t>30/Apr/26 5:31 PM</t>
  </si>
  <si>
    <t>30/Apr/26 5:34 PM</t>
  </si>
  <si>
    <t>15/May/26 3:11 PM</t>
  </si>
  <si>
    <t>11/May/26 5:22 PM</t>
  </si>
  <si>
    <t>RDTHANA-483</t>
  </si>
  <si>
    <t>53558</t>
  </si>
  <si>
    <t>[DEV][RD][TDM] Setup Turtle Shopify on Production</t>
  </si>
  <si>
    <t>30/Apr/26 10:59 AM</t>
  </si>
  <si>
    <t>13/May/26 11:45 AM</t>
  </si>
  <si>
    <t>RDTHANA-482</t>
  </si>
  <si>
    <t>53557</t>
  </si>
  <si>
    <t>[DEV][RD][TDM] Setup Dashaus shopify in Production</t>
  </si>
  <si>
    <t>30/Apr/26 10:58 AM</t>
  </si>
  <si>
    <t>13/May/26 11:44 AM</t>
  </si>
  <si>
    <t>RDAPS-456</t>
  </si>
  <si>
    <t>[Dev][RD][RRS] Improve upload coupon code logic and refactor</t>
  </si>
  <si>
    <t>14/May/26 2:09 PM</t>
  </si>
  <si>
    <t>15/May/26 3:13 PM</t>
  </si>
  <si>
    <t>DPE-503</t>
  </si>
  <si>
    <t>53479</t>
  </si>
  <si>
    <t>28/Apr/26 3:44 PM</t>
  </si>
  <si>
    <t>06/May/26 2:55 PM</t>
  </si>
  <si>
    <t>DPE-502</t>
  </si>
  <si>
    <t>53477</t>
  </si>
  <si>
    <t>DPE-499</t>
  </si>
  <si>
    <t>53471</t>
  </si>
  <si>
    <t>13/May/26 4:12 PM</t>
  </si>
  <si>
    <t>DPE-498</t>
  </si>
  <si>
    <t>53469</t>
  </si>
  <si>
    <t>12/May/26 5:17 PM</t>
  </si>
  <si>
    <t>DPE-497</t>
  </si>
  <si>
    <t>53467</t>
  </si>
  <si>
    <t>06/May/26 10:27 AM</t>
  </si>
  <si>
    <t>DPE-496</t>
  </si>
  <si>
    <t>53465</t>
  </si>
  <si>
    <t>29/Apr/26 5:35 PM</t>
  </si>
  <si>
    <t>06/May/26 10:00 AM</t>
  </si>
  <si>
    <t>25/Apr/26 12:44 PM</t>
  </si>
  <si>
    <t>25/Apr/26 12:43 PM</t>
  </si>
  <si>
    <t>07/May/26 11:31 AM</t>
  </si>
  <si>
    <t>DPE-475</t>
  </si>
  <si>
    <t>53361</t>
  </si>
  <si>
    <t>24/Apr/26 11:39 AM</t>
  </si>
  <si>
    <t>14/May/26 5:25 PM</t>
  </si>
  <si>
    <t>DPE-474</t>
  </si>
  <si>
    <t>53359</t>
  </si>
  <si>
    <t>24/Apr/26 3:27 PM</t>
  </si>
  <si>
    <t>DPE-470</t>
  </si>
  <si>
    <t>53336</t>
  </si>
  <si>
    <t>[Dev][RD][BFF] Enhance mapping detail fields from offer name  to offer display name</t>
  </si>
  <si>
    <t>23/Apr/26 3:48 PM</t>
  </si>
  <si>
    <t>14/May/26 5:34 PM</t>
  </si>
  <si>
    <t>Fixing</t>
  </si>
  <si>
    <t>14/May/26 3:59 PM</t>
  </si>
  <si>
    <t>DPE-468</t>
  </si>
  <si>
    <t>53300</t>
  </si>
  <si>
    <t>[Dev][RD][BOF] Improve product creation logic</t>
  </si>
  <si>
    <t>22/Apr/26 3:51 PM</t>
  </si>
  <si>
    <t>15/May/26 10:32 AM</t>
  </si>
  <si>
    <t>08/May/26 9:42 AM</t>
  </si>
  <si>
    <t>08/May/26 9:41 AM</t>
  </si>
  <si>
    <t>RDTHANA-481</t>
  </si>
  <si>
    <t>53263</t>
  </si>
  <si>
    <t>[DEV][RD][TDM] CT EVENT : POS transaction without coin spending event</t>
  </si>
  <si>
    <t>21/Apr/26 3:11 PM</t>
  </si>
  <si>
    <t>14/May/26 9:27 AM</t>
  </si>
  <si>
    <t>DPE-447</t>
  </si>
  <si>
    <t>53200</t>
  </si>
  <si>
    <t>[Dev][RD][PL] Update API Documentation for 401 and 422 Response Format</t>
  </si>
  <si>
    <t>20/Apr/26 9:43 AM</t>
  </si>
  <si>
    <t>15/May/26 2:51 PM</t>
  </si>
  <si>
    <t>14/May/26 11:20 AM</t>
  </si>
  <si>
    <t>RDTHANA-478</t>
  </si>
  <si>
    <t>52944</t>
  </si>
  <si>
    <t>[DEV][RD][TDM] Enhance lightspeed transaction mapping v2</t>
  </si>
  <si>
    <t>08/Apr/26 4:45 PM</t>
  </si>
  <si>
    <t>13/May/26 10:34 AM</t>
  </si>
  <si>
    <t>15/May/26 3:14 PM</t>
  </si>
  <si>
    <t>15/May/26 1:36 PM</t>
  </si>
  <si>
    <t>13/May/26 3:08 PM</t>
  </si>
  <si>
    <t>13/May/26 3:38 PM</t>
  </si>
  <si>
    <t>13/May/26 1:10 PM</t>
  </si>
  <si>
    <t>13/May/26 2:57 PM</t>
  </si>
  <si>
    <t>06/May/26 9:58 AM</t>
  </si>
  <si>
    <t>RDAPS-440</t>
  </si>
  <si>
    <t>50959</t>
  </si>
  <si>
    <t>[SA][RD][App Handover] Review Technical Spec</t>
  </si>
  <si>
    <t>23/Mar/26 11:27 AM</t>
  </si>
  <si>
    <t>14/May/26 1:56 PM</t>
  </si>
  <si>
    <t>RDAPS-438</t>
  </si>
  <si>
    <t>50957</t>
  </si>
  <si>
    <t>[SA][RD][App Handover] Review Software Design and Architecture Documentation</t>
  </si>
  <si>
    <t>23/Mar/26 11:26 AM</t>
  </si>
  <si>
    <t>14/May/26 1:57 PM</t>
  </si>
  <si>
    <t>[Dev][All Project] Sprint 22</t>
  </si>
  <si>
    <t>DRST-78</t>
  </si>
  <si>
    <t>50221</t>
  </si>
  <si>
    <t>Delete Report Service (wait SA -&gt; P'Zan)</t>
  </si>
  <si>
    <t>19/Mar/26 1:49 PM</t>
  </si>
  <si>
    <t>25/Mar/26 11:45 AM</t>
  </si>
  <si>
    <t>DRST-77</t>
  </si>
  <si>
    <t>50218</t>
  </si>
  <si>
    <t>Delete-&gt; Model -&gt;Repository-&gt; Service</t>
  </si>
  <si>
    <t>20/Mar/26 11:22 AM</t>
  </si>
  <si>
    <t>DRST-76</t>
  </si>
  <si>
    <t>50206</t>
  </si>
  <si>
    <t>Delete View -&gt; Api route -&gt; controller</t>
  </si>
  <si>
    <t>19/Mar/26 1:40 PM</t>
  </si>
  <si>
    <t>DRST-75</t>
  </si>
  <si>
    <t>50201</t>
  </si>
  <si>
    <t>List service,repo,model</t>
  </si>
  <si>
    <t>19/Mar/26 1:39 PM</t>
  </si>
  <si>
    <t>DPE-357</t>
  </si>
  <si>
    <t>48623</t>
  </si>
  <si>
    <t>17/Mar/26 10:16 AM</t>
  </si>
  <si>
    <t>12/May/26 4:38 PM</t>
  </si>
  <si>
    <t>DPE-356</t>
  </si>
  <si>
    <t>48621</t>
  </si>
  <si>
    <t>11/May/26 4:20 PM</t>
  </si>
  <si>
    <t>DEVRDSUP-499</t>
  </si>
  <si>
    <t>48499</t>
  </si>
  <si>
    <t>[SUP-583]Issue auto push coupon campaign error number mismatch with failed event</t>
  </si>
  <si>
    <t>Mook Nicharee Boonthai</t>
  </si>
  <si>
    <t>712020:c2ed8478-f54b-4b43-92d9-b933a57493dc</t>
  </si>
  <si>
    <t>16/Mar/26 3:20 PM</t>
  </si>
  <si>
    <t>DPE-338</t>
  </si>
  <si>
    <t>48464</t>
  </si>
  <si>
    <t>16/Mar/26 2:14 PM</t>
  </si>
  <si>
    <t>15/May/26 10:08 AM</t>
  </si>
  <si>
    <t>DPE-337</t>
  </si>
  <si>
    <t>48462</t>
  </si>
  <si>
    <t>THUNDER(QA): PAWICH</t>
  </si>
  <si>
    <t>712020:83ff944e-9677-453f-b053-40e92520d905</t>
  </si>
  <si>
    <t>07/May/26 1:08 PM</t>
  </si>
  <si>
    <t>DPE-336</t>
  </si>
  <si>
    <t>48460</t>
  </si>
  <si>
    <t>13/May/26 4:42 PM</t>
  </si>
  <si>
    <t>DPE-335</t>
  </si>
  <si>
    <t>48458</t>
  </si>
  <si>
    <t>RDAPS-426</t>
  </si>
  <si>
    <t>15/May/26 8:49 AM</t>
  </si>
  <si>
    <t>DPE-318</t>
  </si>
  <si>
    <t>47096</t>
  </si>
  <si>
    <t>[Dev][RD][PL] Create new partner</t>
  </si>
  <si>
    <t>09/Mar/26 9:39 AM</t>
  </si>
  <si>
    <t>[Dev][RD][PE Middleware][CT Blocker]  Reversal API</t>
  </si>
  <si>
    <t>Blocked</t>
  </si>
  <si>
    <t>15/May/26 3:25 PM</t>
  </si>
  <si>
    <t>DRST-61</t>
  </si>
  <si>
    <t>46883</t>
  </si>
  <si>
    <t>[DEV][RD][BOF] Remove Subscription V1 in backoffice and database</t>
  </si>
  <si>
    <t>06/Mar/26 5:04 PM</t>
  </si>
  <si>
    <t>25/Mar/26 12:00 AM</t>
  </si>
  <si>
    <t>05/May/26 5:03 PM</t>
  </si>
  <si>
    <t>12/Mar/26 11:49 AM</t>
  </si>
  <si>
    <t>DPE-280</t>
  </si>
  <si>
    <t>45355</t>
  </si>
  <si>
    <t>25/Feb/26 6:58 PM</t>
  </si>
  <si>
    <t>DPE-279</t>
  </si>
  <si>
    <t>45354</t>
  </si>
  <si>
    <t>25/Feb/26 7:01 PM</t>
  </si>
  <si>
    <t>DPE-277</t>
  </si>
  <si>
    <t>45351</t>
  </si>
  <si>
    <t>25/Feb/26 6:59 PM</t>
  </si>
  <si>
    <t>DPE-278</t>
  </si>
  <si>
    <t>45350</t>
  </si>
  <si>
    <t>DPE-276</t>
  </si>
  <si>
    <t>45343</t>
  </si>
  <si>
    <t>DPE-275</t>
  </si>
  <si>
    <t>45348</t>
  </si>
  <si>
    <t>DPE-273</t>
  </si>
  <si>
    <t>45342</t>
  </si>
  <si>
    <t>25/Feb/26 6:50 PM</t>
  </si>
  <si>
    <t>12/Mar/26 11:45 AM</t>
  </si>
  <si>
    <t>DRST-21</t>
  </si>
  <si>
    <t>43078</t>
  </si>
  <si>
    <t>[DEV][RD][BOF] Enhance Subscription Txn V2 support filter from query string</t>
  </si>
  <si>
    <t>11/Feb/26 7:10 PM</t>
  </si>
  <si>
    <t>06/May/26 2:34 PM</t>
  </si>
  <si>
    <t>13/May/26 1:09 PM</t>
  </si>
  <si>
    <t>13/May/26 9:40 AM</t>
  </si>
  <si>
    <t>15/May/26 2:38 PM</t>
  </si>
  <si>
    <t>DPE-101</t>
  </si>
  <si>
    <t>41974</t>
  </si>
  <si>
    <t>[Dev][RD][BOF] Create/Update Package</t>
  </si>
  <si>
    <t>DPE-100</t>
  </si>
  <si>
    <t>41973</t>
  </si>
  <si>
    <t>[Dev][RD][BOF] Update product</t>
  </si>
  <si>
    <t>DPE-99</t>
  </si>
  <si>
    <t>41972</t>
  </si>
  <si>
    <t>[Dev][RD][BOF] Create a new product</t>
  </si>
  <si>
    <t>15/May/26 9:02 AM</t>
  </si>
  <si>
    <t>15/May/26 1:24 PM</t>
  </si>
  <si>
    <t>DPE-86</t>
  </si>
  <si>
    <t>41959</t>
  </si>
  <si>
    <t>[Dev][RD][PL] Create transaction</t>
  </si>
  <si>
    <t>DPE-75</t>
  </si>
  <si>
    <t>41525</t>
  </si>
  <si>
    <t>[Dev][RD][PL]  Request register</t>
  </si>
  <si>
    <t>04/Feb/26 10:17 AM</t>
  </si>
  <si>
    <t>DRST-6</t>
  </si>
  <si>
    <t>38163</t>
  </si>
  <si>
    <t>[Dev][RD][Terminate VIMI][VoucherValidator] Refactor APIs to remove dependency on MVP Phase 1 source</t>
  </si>
  <si>
    <t>07/Jan/26 11:12 AM</t>
  </si>
  <si>
    <t>DRST-5</t>
  </si>
  <si>
    <t>38162</t>
  </si>
  <si>
    <t>[Dev][RD][Terminate VIMI][MerchantAPI] Refactor APIs to remove dependency on MVP Phase 1 source</t>
  </si>
  <si>
    <t>11/Feb/26 12:00 AM</t>
  </si>
  <si>
    <t>DRST-7</t>
  </si>
  <si>
    <t>36975</t>
  </si>
  <si>
    <t>[Dev][RD][Terminate VIMI] Refactor TXN Report API and Report Summary API to remove dependency on MVP Phase 1 report source</t>
  </si>
  <si>
    <t>23/Dec/25 12:23 PM</t>
  </si>
  <si>
    <t>30/Dec/25 12:00 AM</t>
  </si>
  <si>
    <t>05/May/26 4:02 PM</t>
  </si>
  <si>
    <t>1 ครั้ง 
1. 2 คน</t>
  </si>
  <si>
    <t>RDAPS-457</t>
  </si>
  <si>
    <t>53555</t>
  </si>
  <si>
    <t>[SA][RD] Task preparation #24</t>
  </si>
  <si>
    <t>30/Apr/26 9:59 AM</t>
  </si>
  <si>
    <t>RDAPS-455</t>
  </si>
  <si>
    <t>53517</t>
  </si>
  <si>
    <t>[SA][RD] PayPoint meeting</t>
  </si>
  <si>
    <t>29/Apr/26 2:59 PM</t>
  </si>
  <si>
    <t>30/Apr/26 9:58 AM</t>
  </si>
  <si>
    <t>30/Apr/26 10:57 AM</t>
  </si>
  <si>
    <t>DPE-504</t>
  </si>
  <si>
    <t>53501</t>
  </si>
  <si>
    <t>[Dev][RD] Provide credential information</t>
  </si>
  <si>
    <t>29/Apr/26 10:23 AM</t>
  </si>
  <si>
    <t>30/Apr/26 3:19 PM</t>
  </si>
  <si>
    <t>DEVRDCT-370</t>
  </si>
  <si>
    <t>53488</t>
  </si>
  <si>
    <t>[QA] Check CT catalogs (UAT)</t>
  </si>
  <si>
    <t>28/Apr/26 6:39 PM</t>
  </si>
  <si>
    <t>28/Apr/26 8:15 PM</t>
  </si>
  <si>
    <t>DPE-501</t>
  </si>
  <si>
    <t>53475</t>
  </si>
  <si>
    <t>DPE-500</t>
  </si>
  <si>
    <t>53473</t>
  </si>
  <si>
    <t>DPE-495</t>
  </si>
  <si>
    <t>53462</t>
  </si>
  <si>
    <t>28/Apr/26 2:45 PM</t>
  </si>
  <si>
    <t>DPE-494</t>
  </si>
  <si>
    <t>53460</t>
  </si>
  <si>
    <t>DEVRDSUP-562</t>
  </si>
  <si>
    <t>53452</t>
  </si>
  <si>
    <t>[SUP-654]SUB : Disable Credit/Debit Card Payment for BBL Package (MAY2026 Package)</t>
  </si>
  <si>
    <t>28/Apr/26 1:43 PM</t>
  </si>
  <si>
    <t>29/Apr/26 10:39 AM</t>
  </si>
  <si>
    <t>30/Apr/26 9:18 AM</t>
  </si>
  <si>
    <t>30/Apr/26 11:18 AM</t>
  </si>
  <si>
    <t>DPE-490</t>
  </si>
  <si>
    <t>53437</t>
  </si>
  <si>
    <t>[S3][NPE][Offer] Unable to create offer with inactive merchant</t>
  </si>
  <si>
    <t>27/Apr/26 5:25 PM</t>
  </si>
  <si>
    <t>29/Apr/26 10:02 AM</t>
  </si>
  <si>
    <t>DPE-489</t>
  </si>
  <si>
    <t>53409</t>
  </si>
  <si>
    <t>[S3][NPE][Offer] Unable to create offer with transaction type = 0</t>
  </si>
  <si>
    <t>27/Apr/26 3:00 PM</t>
  </si>
  <si>
    <t>27/Apr/26 5:27 PM</t>
  </si>
  <si>
    <t>DPE-488</t>
  </si>
  <si>
    <t>53402</t>
  </si>
  <si>
    <t>[S2][NPE][PE Proxy] Able to credit/debit point with offer that under the other wallet</t>
  </si>
  <si>
    <t>27/Apr/26 9:45 AM</t>
  </si>
  <si>
    <t>29/Apr/26 9:44 AM</t>
  </si>
  <si>
    <t>29/Apr/26 4:10 PM</t>
  </si>
  <si>
    <t>DEVRDECOM-241</t>
  </si>
  <si>
    <t>53374</t>
  </si>
  <si>
    <t>[DEV][RD][Eco][Log] Adjusting Log Level</t>
  </si>
  <si>
    <t>24/Apr/26 3:59 PM</t>
  </si>
  <si>
    <t>28/Apr/26 2:37 PM</t>
  </si>
  <si>
    <t>DEVRDSUP-559</t>
  </si>
  <si>
    <t>53373</t>
  </si>
  <si>
    <t>Create new fix TXNs for correct members.</t>
  </si>
  <si>
    <t>24/Apr/26 2:46 PM</t>
  </si>
  <si>
    <t>24/Apr/26 3:53 PM</t>
  </si>
  <si>
    <t>DEVRDSUP-558</t>
  </si>
  <si>
    <t>53371</t>
  </si>
  <si>
    <t>Reverse TXNs from UL</t>
  </si>
  <si>
    <t>24/Apr/26 2:45 PM</t>
  </si>
  <si>
    <t>24/Apr/26 3:28 PM</t>
  </si>
  <si>
    <t>DEVRDSUP-557</t>
  </si>
  <si>
    <t>53362</t>
  </si>
  <si>
    <t>[SUP-652][PL][HOP] Fix 4 HOP earn TXNs where incorrect Emp ID was used.</t>
  </si>
  <si>
    <t>24/Apr/26 11:49 AM</t>
  </si>
  <si>
    <t>24/Apr/26 3:58 PM</t>
  </si>
  <si>
    <t>24/Apr/26 4:23 PM</t>
  </si>
  <si>
    <t>DEVRDCT-369</t>
  </si>
  <si>
    <t>53357</t>
  </si>
  <si>
    <t>[Dev][RD][RRS] Change fields &amp; filter logic</t>
  </si>
  <si>
    <t>24/Apr/26 11:26 AM</t>
  </si>
  <si>
    <t>30/Apr/26 2:25 PM</t>
  </si>
  <si>
    <t>27/Apr/26 10:47 AM</t>
  </si>
  <si>
    <t>30/Apr/26 1:22 PM</t>
  </si>
  <si>
    <t>RDAPS-454</t>
  </si>
  <si>
    <t>53333</t>
  </si>
  <si>
    <t>[SA][RD][Thana] Review Access control API - Verify QR code</t>
  </si>
  <si>
    <t>23/Apr/26 2:35 PM</t>
  </si>
  <si>
    <t>29/Apr/26 2:54 PM</t>
  </si>
  <si>
    <t>RDAPS-451</t>
  </si>
  <si>
    <t>53329</t>
  </si>
  <si>
    <t>[DEV][RD][SA] Investigate Algolia Usage Spike and Verify Cost Increase</t>
  </si>
  <si>
    <t>23/Apr/26 1:24 PM</t>
  </si>
  <si>
    <t>24/Apr/26 4:11 PM</t>
  </si>
  <si>
    <t>algolia</t>
  </si>
  <si>
    <t>28/Apr/26 10:49 AM</t>
  </si>
  <si>
    <t>DEVRDCT-368</t>
  </si>
  <si>
    <t>53293</t>
  </si>
  <si>
    <t>[Dev][RD][RRS] incorrect show/hidden offer catalog in clevertap</t>
  </si>
  <si>
    <t>22/Apr/26 1:45 PM</t>
  </si>
  <si>
    <t>23/Apr/26 4:56 PM</t>
  </si>
  <si>
    <t>24/Apr/26 9:15 AM</t>
  </si>
  <si>
    <t>29/Apr/26 9:49 AM</t>
  </si>
  <si>
    <t>27/Apr/26 2:02 PM</t>
  </si>
  <si>
    <t>24/Apr/26 6:34 PM</t>
  </si>
  <si>
    <t>DPE-461</t>
  </si>
  <si>
    <t>53266</t>
  </si>
  <si>
    <t>[Dev][RD][RLP] Migrate Git Remote from Bitbucket to GitHub for RLP Project (Staging)</t>
  </si>
  <si>
    <t>21/Apr/26 4:14 PM</t>
  </si>
  <si>
    <t>22/Apr/26 9:32 AM</t>
  </si>
  <si>
    <t>DPE-460</t>
  </si>
  <si>
    <t>53265</t>
  </si>
  <si>
    <t>[S3][NPE][PL MEMBER] Get 500 Internal Server Error when sync BSS member to RR profile</t>
  </si>
  <si>
    <t>21/Apr/26 3:31 PM</t>
  </si>
  <si>
    <t>22/Apr/26 4:21 PM</t>
  </si>
  <si>
    <t>DEVRDSUP-553</t>
  </si>
  <si>
    <t>53262</t>
  </si>
  <si>
    <t>[SUP-645]Validate info from Algolia for overquota</t>
  </si>
  <si>
    <t>21/Apr/26 3:00 PM</t>
  </si>
  <si>
    <t>28/Apr/26 3:16 PM</t>
  </si>
  <si>
    <t>RR-services</t>
  </si>
  <si>
    <t>DEVRDSUP-552</t>
  </si>
  <si>
    <t>53259</t>
  </si>
  <si>
    <t>[SUP-644]incorrect show/hidden offer catalog in clevertap</t>
  </si>
  <si>
    <t>21/Apr/26 2:51 PM</t>
  </si>
  <si>
    <t>30/Apr/26 3:11 PM</t>
  </si>
  <si>
    <t>DEVRDSUP-550</t>
  </si>
  <si>
    <t>53249</t>
  </si>
  <si>
    <t>[SUP-646][SUB] Receipt is not generated after SUB transaction is made (TXN Date 21 APR 2026)</t>
  </si>
  <si>
    <t>21/Apr/26 10:51 AM</t>
  </si>
  <si>
    <t>21/Apr/26 11:00 AM</t>
  </si>
  <si>
    <t>DPE-459</t>
  </si>
  <si>
    <t>53239</t>
  </si>
  <si>
    <t>[Dev][RD][RLP] Setup Docker Environment Dev for RLP Project (Github)</t>
  </si>
  <si>
    <t>21/Apr/26 9:50 AM</t>
  </si>
  <si>
    <t>21/Apr/26 4:17 PM</t>
  </si>
  <si>
    <t>DPE-458</t>
  </si>
  <si>
    <t>53231</t>
  </si>
  <si>
    <t>20/Apr/26 4:52 PM</t>
  </si>
  <si>
    <t>28/Apr/26 3:13 PM</t>
  </si>
  <si>
    <t>DPE-457</t>
  </si>
  <si>
    <t>53230</t>
  </si>
  <si>
    <t>20/Apr/26 3:54 PM</t>
  </si>
  <si>
    <t>24/Apr/26 3:25 PM</t>
  </si>
  <si>
    <t>DPE-456</t>
  </si>
  <si>
    <t>53228</t>
  </si>
  <si>
    <t>22/Apr/26 10:40 AM</t>
  </si>
  <si>
    <t>DPE-455</t>
  </si>
  <si>
    <t>53226</t>
  </si>
  <si>
    <t>27/Apr/26 11:23 AM</t>
  </si>
  <si>
    <t>DPE-454</t>
  </si>
  <si>
    <t>53224</t>
  </si>
  <si>
    <t>22/Apr/26 3:26 PM</t>
  </si>
  <si>
    <t>DPE-453</t>
  </si>
  <si>
    <t>53222</t>
  </si>
  <si>
    <t>23/Apr/26 5:54 PM</t>
  </si>
  <si>
    <t>DPE-452</t>
  </si>
  <si>
    <t>53220</t>
  </si>
  <si>
    <t>22/Apr/26 9:44 AM</t>
  </si>
  <si>
    <t>DPE-451</t>
  </si>
  <si>
    <t>53218</t>
  </si>
  <si>
    <t>20/Apr/26 3:33 PM</t>
  </si>
  <si>
    <t>28/Apr/26 2:05 PM</t>
  </si>
  <si>
    <t>DPE-450</t>
  </si>
  <si>
    <t>53216</t>
  </si>
  <si>
    <t>20/Apr/26 3:34 PM</t>
  </si>
  <si>
    <t>DPE-449</t>
  </si>
  <si>
    <t>53213</t>
  </si>
  <si>
    <t>20/Apr/26 3:03 PM</t>
  </si>
  <si>
    <t>28/Apr/26 2:04 PM</t>
  </si>
  <si>
    <t>DPE-448</t>
  </si>
  <si>
    <t>53211</t>
  </si>
  <si>
    <t>20/Apr/26 3:04 PM</t>
  </si>
  <si>
    <t>RDAPS-450</t>
  </si>
  <si>
    <t>53208</t>
  </si>
  <si>
    <t>[SA][RD] Prepare task for Sprint 23, 24</t>
  </si>
  <si>
    <t>20/Apr/26 2:39 PM</t>
  </si>
  <si>
    <t>30/Apr/26 4:04 PM</t>
  </si>
  <si>
    <t>RDAPS-449</t>
  </si>
  <si>
    <t>53207</t>
  </si>
  <si>
    <t>[SA][RD] Team Support &amp; Management Sprint 23</t>
  </si>
  <si>
    <t>20/Apr/26 2:32 PM</t>
  </si>
  <si>
    <t>29/Apr/26 4:44 PM</t>
  </si>
  <si>
    <t>RDAPS-448</t>
  </si>
  <si>
    <t>53206</t>
  </si>
  <si>
    <t>[SA][RD] Meeting Sprint 23</t>
  </si>
  <si>
    <t>29/Apr/26 4:43 PM</t>
  </si>
  <si>
    <t>DEVRDSUP-549</t>
  </si>
  <si>
    <t>53203</t>
  </si>
  <si>
    <t>[SUP-635][CleverTap] Re-sync user's DOB for users whos DOB is miss matching from SSO.</t>
  </si>
  <si>
    <t>20/Apr/26 11:37 AM</t>
  </si>
  <si>
    <t>27/Apr/26 2:47 PM</t>
  </si>
  <si>
    <t>27/Apr/26 10:49 AM</t>
  </si>
  <si>
    <t>DPE-445</t>
  </si>
  <si>
    <t>53155</t>
  </si>
  <si>
    <t>[S4][API Respond][Member Opt-in][by sso id] The error responses body with wrong pattern</t>
  </si>
  <si>
    <t>16/Apr/26 9:31 PM</t>
  </si>
  <si>
    <t>21/Apr/26 10:47 AM</t>
  </si>
  <si>
    <t>DPE-441</t>
  </si>
  <si>
    <t>53146</t>
  </si>
  <si>
    <t>[S4][API Respond][Member Opt-in][by phone no.] The error responses body with wrong pattern</t>
  </si>
  <si>
    <t>16/Apr/26 3:57 PM</t>
  </si>
  <si>
    <t>21/Apr/26 10:36 AM</t>
  </si>
  <si>
    <t>DEVRDSUP-547</t>
  </si>
  <si>
    <t>53098</t>
  </si>
  <si>
    <t>[SUP-640][SUB] Receipt is not generated after SUB transaction is made (TXN Date 9 APR 2026)</t>
  </si>
  <si>
    <t>10/Apr/26 4:41 PM</t>
  </si>
  <si>
    <t>10/Apr/26 4:56 PM</t>
  </si>
  <si>
    <t>DPE-440</t>
  </si>
  <si>
    <t>52946</t>
  </si>
  <si>
    <t>[S3][NPE][PL MEMBER] The response is incorrect when binding a member to an already bound partner using a new member ID</t>
  </si>
  <si>
    <t>08/Apr/26 5:06 PM</t>
  </si>
  <si>
    <t>21/Apr/26 2:14 PM</t>
  </si>
  <si>
    <t>21/Apr/26 10:00 AM</t>
  </si>
  <si>
    <t>DEVRDSUP-546</t>
  </si>
  <si>
    <t>52932</t>
  </si>
  <si>
    <t>[SUP-638][PL][HOP] Fix 49 failed HOP tap card TXN where the Emp ID were incorrect on 25&amp;26 Mar 2026.</t>
  </si>
  <si>
    <t>08/Apr/26 3:34 PM</t>
  </si>
  <si>
    <t>24/Apr/26 3:54 PM</t>
  </si>
  <si>
    <t>DEVRDSUP-545</t>
  </si>
  <si>
    <t>52925</t>
  </si>
  <si>
    <t>[SUP-636][REM][BURequest] Request to change 5645 coupon to be expired by reducing expiry to near close date/time.</t>
  </si>
  <si>
    <t>08/Apr/26 11:27 AM</t>
  </si>
  <si>
    <t>08/Apr/26 5:25 PM</t>
  </si>
  <si>
    <t>08/Apr/26 12:00 AM</t>
  </si>
  <si>
    <t>DPE-439</t>
  </si>
  <si>
    <t>52923</t>
  </si>
  <si>
    <t>[Dev][RD] Support DevOps for Provision dedicated UAT-CT environment for Point Engine migration services#2</t>
  </si>
  <si>
    <t>08/Apr/26 10:36 AM</t>
  </si>
  <si>
    <t>21/Apr/26 11:13 AM</t>
  </si>
  <si>
    <t>DPE-438</t>
  </si>
  <si>
    <t>52921</t>
  </si>
  <si>
    <t>[Dev][RD][ECS] Get Point Balance with New Point Engine</t>
  </si>
  <si>
    <t>08/Apr/26 10:22 AM</t>
  </si>
  <si>
    <t>21/Apr/26 10:23 AM</t>
  </si>
  <si>
    <t>30/Apr/26 5:02 PM</t>
  </si>
  <si>
    <t>DPWP-58</t>
  </si>
  <si>
    <t>52908</t>
  </si>
  <si>
    <t>[SA][RD][HOP PWP] est. effort enhance Pay With Point API to support member identification</t>
  </si>
  <si>
    <t>07/Apr/26 2:47 PM</t>
  </si>
  <si>
    <t>22/Apr/26 9:19 AM</t>
  </si>
  <si>
    <t>[Dev][RD][PWP] Sprint 22</t>
  </si>
  <si>
    <t>[Dev][RD][PWP] Sprint 23</t>
  </si>
  <si>
    <t>DEVRDSUP-543</t>
  </si>
  <si>
    <t>52900</t>
  </si>
  <si>
    <t>[SUP-633]Reverse auto push coupon status 7 Apr 26</t>
  </si>
  <si>
    <t>07/Apr/26 1:45 PM</t>
  </si>
  <si>
    <t>09/Apr/26 2:06 PM</t>
  </si>
  <si>
    <t>07/Apr/26 12:00 AM</t>
  </si>
  <si>
    <t>RDAPS-445</t>
  </si>
  <si>
    <t>52817</t>
  </si>
  <si>
    <t>[DEV][RD][SSO-Biforst] Create cronjob to generate R Cash member report</t>
  </si>
  <si>
    <t>07/Apr/26 9:26 AM</t>
  </si>
  <si>
    <t>27/Apr/26 11:28 AM</t>
  </si>
  <si>
    <t>DRST-86</t>
  </si>
  <si>
    <t>52744</t>
  </si>
  <si>
    <t>[DEV][RD][BFF] POC golangci-lint upgrade effect</t>
  </si>
  <si>
    <t>03/Apr/26 9:13 AM</t>
  </si>
  <si>
    <t>21/Apr/26 11:07 AM</t>
  </si>
  <si>
    <t>DPE-434</t>
  </si>
  <si>
    <t>52743</t>
  </si>
  <si>
    <t>[Dev][RD][SSO Backoffice] Display point info</t>
  </si>
  <si>
    <t>03/Apr/26 8:49 AM</t>
  </si>
  <si>
    <t>30/Apr/26 1:21 PM</t>
  </si>
  <si>
    <t>DPE-433</t>
  </si>
  <si>
    <t>52688</t>
  </si>
  <si>
    <t>[Dev][RD][PE Middleware] Enhance Point History and Point Expiry API</t>
  </si>
  <si>
    <t>02/Apr/26 12:56 PM</t>
  </si>
  <si>
    <t>22/Apr/26 3:39 PM</t>
  </si>
  <si>
    <t>DEVRDSUP-536</t>
  </si>
  <si>
    <t>52637</t>
  </si>
  <si>
    <t>[SUP-622]Group Rewards - Lucky Draw Xiaomi</t>
  </si>
  <si>
    <t>01/Apr/26 6:35 PM</t>
  </si>
  <si>
    <t>07/Apr/26 4:40 PM</t>
  </si>
  <si>
    <t>28/Apr/26 9:26 AM</t>
  </si>
  <si>
    <t>DPE-425</t>
  </si>
  <si>
    <t>52509</t>
  </si>
  <si>
    <t>[Dev][RD][PE Middleware] Enhance Get Offer List &amp; Detail API to include offer_transaction_types</t>
  </si>
  <si>
    <t>01/Apr/26 10:42 AM</t>
  </si>
  <si>
    <t>22/Apr/26 10:09 AM</t>
  </si>
  <si>
    <t>DPE-424</t>
  </si>
  <si>
    <t>52507</t>
  </si>
  <si>
    <t>[Dev][RD][PE Middleware] Enhance Offer Update API</t>
  </si>
  <si>
    <t>DPE-421</t>
  </si>
  <si>
    <t>52500</t>
  </si>
  <si>
    <t>[Dev][RD][PE Middleware] Enhance Validate Debit Point API with offer_transaction_types</t>
  </si>
  <si>
    <t>01/Apr/26 10:21 AM</t>
  </si>
  <si>
    <t>DPE-420</t>
  </si>
  <si>
    <t>52497</t>
  </si>
  <si>
    <t>[Dev][RD][PE Middleware] Enhance Validate Credit Point API with offer_transaction_types</t>
  </si>
  <si>
    <t>DPE-419</t>
  </si>
  <si>
    <t>52495</t>
  </si>
  <si>
    <t>[Dev][RD][PE Middleware] Enhance Offer Creation API to use offer_transaction_types</t>
  </si>
  <si>
    <t>22/Apr/26 11:06 AM</t>
  </si>
  <si>
    <t>DPE-418</t>
  </si>
  <si>
    <t>52493</t>
  </si>
  <si>
    <t>[Dev][RD][PE Middleware] Create table offer_transaction_types</t>
  </si>
  <si>
    <t>01/Apr/26 10:20 AM</t>
  </si>
  <si>
    <t>DPE-417</t>
  </si>
  <si>
    <t>52491</t>
  </si>
  <si>
    <t>[Dev][RD][PE Middleware] Enhance Database &amp; Offer Transaction Validation</t>
  </si>
  <si>
    <t>01/Apr/26 10:17 AM</t>
  </si>
  <si>
    <t>DEVRDSUP-532</t>
  </si>
  <si>
    <t>51925</t>
  </si>
  <si>
    <t>[SUP-611][SUB] CS-#20260300026199 // Request mark used Rabbit wallet 0888092803456 // Coupon code 11939634</t>
  </si>
  <si>
    <t>30/Mar/26 9:08 AM</t>
  </si>
  <si>
    <t>30/Apr/26 11:23 AM</t>
  </si>
  <si>
    <t>DRST-81</t>
  </si>
  <si>
    <t>51769</t>
  </si>
  <si>
    <t>[DEV][RD][BFF] Enhance user me upload avatar support max file size to 5MB</t>
  </si>
  <si>
    <t>27/Mar/26 2:50 PM</t>
  </si>
  <si>
    <t>DEVRDSUP-531</t>
  </si>
  <si>
    <t>51725</t>
  </si>
  <si>
    <t>[SUP-556][RR Account] CS-20260200025299 Kindly check 1 Rabbit Card Wallet but has 2 SSO ID [ Trader ID: 30901904/ Trader ID: 33059294] - 0880067155542</t>
  </si>
  <si>
    <t>27/Mar/26 12:05 PM</t>
  </si>
  <si>
    <t>08/Apr/26 5:08 PM</t>
  </si>
  <si>
    <t>RabbitWallet</t>
  </si>
  <si>
    <t>sso</t>
  </si>
  <si>
    <t>DPE-407</t>
  </si>
  <si>
    <t>51720</t>
  </si>
  <si>
    <t>[Dev][RD][SA] POC CleverTap Promo Code</t>
  </si>
  <si>
    <t>27/Mar/26 11:59 AM</t>
  </si>
  <si>
    <t>28/Apr/26 10:25 AM</t>
  </si>
  <si>
    <t>DPE-403</t>
  </si>
  <si>
    <t>51703</t>
  </si>
  <si>
    <t>[Dev][RD][PE Middleware] Enhance API to get point balance</t>
  </si>
  <si>
    <t>27/Mar/26 9:04 AM</t>
  </si>
  <si>
    <t>DEVRDSUP-529</t>
  </si>
  <si>
    <t>51621</t>
  </si>
  <si>
    <t>[SUP-612][HRSolution] Request to remove 1 member from HR solution due to email conflict with new member.</t>
  </si>
  <si>
    <t>26/Mar/26 3:06 PM</t>
  </si>
  <si>
    <t>21/Apr/26 10:08 AM</t>
  </si>
  <si>
    <t>30/Apr/26 3:00 PM</t>
  </si>
  <si>
    <t>23/Apr/26 10:44 AM</t>
  </si>
  <si>
    <t>30/Apr/26 2:05 PM</t>
  </si>
  <si>
    <t>RDTHANA-471</t>
  </si>
  <si>
    <t>51562</t>
  </si>
  <si>
    <t>[DEV][RD][TDM] CleverTap Service setting</t>
  </si>
  <si>
    <t>21/Apr/69 12:00 AM</t>
  </si>
  <si>
    <t>RDTHANA-470</t>
  </si>
  <si>
    <t>51559</t>
  </si>
  <si>
    <t>[DEV][RD][TDM] Fine member by multipass token</t>
  </si>
  <si>
    <t>RDTHANA-467</t>
  </si>
  <si>
    <t>51553</t>
  </si>
  <si>
    <t>[DEV][RD][TDM] Integrate Thana City Database (Hook DB)</t>
  </si>
  <si>
    <t>26/Mar/26 11:06 AM</t>
  </si>
  <si>
    <t>23/Apr/26 11:32 AM</t>
  </si>
  <si>
    <t>27/Apr/26 10:50 AM</t>
  </si>
  <si>
    <t>DPE-392</t>
  </si>
  <si>
    <t>51392</t>
  </si>
  <si>
    <t>[Dev][RD][SSO-User] Update 'inactive' status on CT for terminated account</t>
  </si>
  <si>
    <t>25/Mar/26 11:23 AM</t>
  </si>
  <si>
    <t>DPE-391</t>
  </si>
  <si>
    <t>51390</t>
  </si>
  <si>
    <t>[S3][NPE][PL MEMBER] Get 500 Internal Server Error when bind member</t>
  </si>
  <si>
    <t>25/Mar/26 11:01 AM</t>
  </si>
  <si>
    <t>22/Apr/26 3:56 PM</t>
  </si>
  <si>
    <t>20/Apr/26 5:10 PM</t>
  </si>
  <si>
    <t>DEVRDSUP-510</t>
  </si>
  <si>
    <t>51251</t>
  </si>
  <si>
    <t>[SUP-591]Urgent [CRM-Refund] CS-20260200024957 Cannot Refund at RR Back office</t>
  </si>
  <si>
    <t>24/Mar/26 2:39 PM</t>
  </si>
  <si>
    <t>29/Apr/26 11:21 AM</t>
  </si>
  <si>
    <t>DEVRDSUP-509</t>
  </si>
  <si>
    <t>51239</t>
  </si>
  <si>
    <t>[SUP-592]Urgent [CRM] CS-20260200024940 - Cannot Refund / Green Line PromptPay method</t>
  </si>
  <si>
    <t>24/Mar/26 2:03 PM</t>
  </si>
  <si>
    <t>29/Apr/26 10:19 AM</t>
  </si>
  <si>
    <t>DEVRDSUP-508</t>
  </si>
  <si>
    <t>51204</t>
  </si>
  <si>
    <t>[SUP-547]CS-20260100024282 รบกวนช่วยตรวจสอบ Refund Package Pay with Point สถานะที่ RR Backoffice ไม่เปลี่ยนเป็น Refunded แต่ได้ Points คืนแล้ว</t>
  </si>
  <si>
    <t>24/Mar/26 1:19 PM</t>
  </si>
  <si>
    <t>28/Apr/26 5:24 PM</t>
  </si>
  <si>
    <t>RDAPS-439</t>
  </si>
  <si>
    <t>50958</t>
  </si>
  <si>
    <t>[SA][RD][App Handover] Review Source Code Documentation</t>
  </si>
  <si>
    <t>30/Apr/26 4:00 PM</t>
  </si>
  <si>
    <t>29/Apr/26 3:51 PM</t>
  </si>
  <si>
    <t>RDNDA-35</t>
  </si>
  <si>
    <t>50602</t>
  </si>
  <si>
    <t>22/Mar/26 11:18 PM</t>
  </si>
  <si>
    <t>09/Apr/26 9:29 AM</t>
  </si>
  <si>
    <t>[Dev][RD][NewDamart] Sprint 21</t>
  </si>
  <si>
    <t>21/Apr/26 11:12 AM</t>
  </si>
  <si>
    <t>21/Apr/26 10:22 AM</t>
  </si>
  <si>
    <t>RDNDA-33</t>
  </si>
  <si>
    <t>50166</t>
  </si>
  <si>
    <t>[DEV][RD][TDM] Enhance Lightspeed Cronjob to Use Access Token from Hook App Service</t>
  </si>
  <si>
    <t>19/Mar/26 11:26 AM</t>
  </si>
  <si>
    <t>09/Apr/26 11:22 AM</t>
  </si>
  <si>
    <t>RDNDA-32</t>
  </si>
  <si>
    <t>50165</t>
  </si>
  <si>
    <t>[DEV][RD][TDM] Create Hook App Service to Retrieve Lightspeed Access Token</t>
  </si>
  <si>
    <t>19/Mar/26 11:25 AM</t>
  </si>
  <si>
    <t>DPE-362</t>
  </si>
  <si>
    <t>50117</t>
  </si>
  <si>
    <t>[Dev][RD][SA][Sprint24] Analysis &amp; Task Breakdown for PE Migration Execution</t>
  </si>
  <si>
    <t>20/Mar/26 4:30 PM</t>
  </si>
  <si>
    <t>DEVRDSUP-501</t>
  </si>
  <si>
    <t>48539</t>
  </si>
  <si>
    <t>[SUP-584]HOP check in notification delay</t>
  </si>
  <si>
    <t>16/Mar/26 5:42 PM</t>
  </si>
  <si>
    <t>22/Apr/26 10:20 AM</t>
  </si>
  <si>
    <t>07/Apr/26 1:55 PM</t>
  </si>
  <si>
    <t>DPE-349</t>
  </si>
  <si>
    <t>48488</t>
  </si>
  <si>
    <t>16/Mar/26 2:30 PM</t>
  </si>
  <si>
    <t>DPE-348</t>
  </si>
  <si>
    <t>48484</t>
  </si>
  <si>
    <t>22/Apr/26 3:57 PM</t>
  </si>
  <si>
    <t>DPE-342</t>
  </si>
  <si>
    <t>48475</t>
  </si>
  <si>
    <t>23/Mar/26 7:44 PM</t>
  </si>
  <si>
    <t>DPE-340</t>
  </si>
  <si>
    <t>48469</t>
  </si>
  <si>
    <t>17/Mar/26 10:15 AM</t>
  </si>
  <si>
    <t>DPE-334</t>
  </si>
  <si>
    <t>48391</t>
  </si>
  <si>
    <t>[Dev][RD][SSO Backoffice] Disable 'Sync Card' button</t>
  </si>
  <si>
    <t>16/Mar/26 12:49 PM</t>
  </si>
  <si>
    <t>29/Apr/26 10:16 AM</t>
  </si>
  <si>
    <t>27/Apr/26 9:51 AM</t>
  </si>
  <si>
    <t>23/Apr/26 2:23 PM</t>
  </si>
  <si>
    <t>27/Apr/26 8:49 AM</t>
  </si>
  <si>
    <t>21/Apr/26 9:14 AM</t>
  </si>
  <si>
    <t>17/Apr/26 11:12 AM</t>
  </si>
  <si>
    <t>22/Apr/26 12:57 PM</t>
  </si>
  <si>
    <t>21/Apr/26 4:45 PM</t>
  </si>
  <si>
    <t>28/Apr/26 3:03 PM</t>
  </si>
  <si>
    <t>21/Apr/26 11:11 AM</t>
  </si>
  <si>
    <t>28/Apr/26 10:51 AM</t>
  </si>
  <si>
    <t>23/Apr/26 2:29 PM</t>
  </si>
  <si>
    <t>28/Apr/26 10:57 AM</t>
  </si>
  <si>
    <t>28/Apr/26 10:00 AM</t>
  </si>
  <si>
    <t>28/Apr/26 4:02 PM</t>
  </si>
  <si>
    <t>28/Apr/26 4:50 PM</t>
  </si>
  <si>
    <t>27/Apr/26 5:02 PM</t>
  </si>
  <si>
    <t>28/Apr/26 10:03 AM</t>
  </si>
  <si>
    <t>21/Apr/26 9:46 AM</t>
  </si>
  <si>
    <t>DPE-113</t>
  </si>
  <si>
    <t>42088</t>
  </si>
  <si>
    <t>[Dev][RD][RRS] command: da:redemptions</t>
  </si>
  <si>
    <t>06/Feb/26 1:42 PM</t>
  </si>
  <si>
    <t>01/Apr/26 7:56 PM</t>
  </si>
  <si>
    <t>23/Apr/26 4:46 PM</t>
  </si>
  <si>
    <t>DPE-77</t>
  </si>
  <si>
    <t>41529</t>
  </si>
  <si>
    <t>[Dev][RD][PL] Redeem point</t>
  </si>
  <si>
    <t>DPE-65</t>
  </si>
  <si>
    <t>41499</t>
  </si>
  <si>
    <t>[Dev][RD][PL][Member]  Sync RR member</t>
  </si>
  <si>
    <t>04/Feb/26 9:18 AM</t>
  </si>
  <si>
    <t>10/Mar/26 12:00 AM</t>
  </si>
  <si>
    <t>DPE-64</t>
  </si>
  <si>
    <t>41497</t>
  </si>
  <si>
    <t>[Dev][RD][PL][Member] Member binding</t>
  </si>
  <si>
    <t>04/Feb/26 9:16 AM</t>
  </si>
  <si>
    <t>RDNDA-18</t>
  </si>
  <si>
    <t>40130</t>
  </si>
  <si>
    <t>[DEV][RD][TDM] Create access control callback endpoint</t>
  </si>
  <si>
    <t>22/Jan/26 5:03 PM</t>
  </si>
  <si>
    <t>[Dev][RD][NewDamart] Sprint 17</t>
  </si>
  <si>
    <t>[Dev][RD][NewDamart] Sprint 18</t>
  </si>
  <si>
    <t>[Dev][RD][NewDamart] Sprint 19</t>
  </si>
  <si>
    <t>[Dev][RD][NewDamart] Sprint 20</t>
  </si>
  <si>
    <t>RDNDA-6</t>
  </si>
  <si>
    <t>38244</t>
  </si>
  <si>
    <t>[DEV][RD][TDM] Create generic transactions endpoint</t>
  </si>
  <si>
    <t>07/Jan/26 5:17 PM</t>
  </si>
  <si>
    <t>[Dev][RD][NewDamart] Sprint 16</t>
  </si>
  <si>
    <t>21/Apr/26 9:13 AM</t>
  </si>
  <si>
    <t>24/Apr/26 9:24 AM</t>
  </si>
  <si>
    <t>DEVRRBOF-204</t>
  </si>
  <si>
    <t>37406</t>
  </si>
  <si>
    <t>[Dev][RD][BOF][Improvement][Performance] Improve page load performance on Reward Detail page</t>
  </si>
  <si>
    <t>28/Dec/25 8:56 PM</t>
  </si>
  <si>
    <t>23/Feb/26 10:26 AM</t>
  </si>
  <si>
    <t>[Dev][RRBack] 15</t>
  </si>
  <si>
    <t>07/Apr/26 10:05 AM</t>
  </si>
  <si>
    <t>DEVRDCT-358</t>
  </si>
  <si>
    <t>36929</t>
  </si>
  <si>
    <t>[DEV][RD][HRS] Delay Auto CLUB_BINDING to Prevent Intermittent Identity Error</t>
  </si>
  <si>
    <t>23/Dec/25 8:59 AM</t>
  </si>
  <si>
    <t>28/Jan/26 10:22 AM</t>
  </si>
  <si>
    <t>21/Apr/26 3:56 PM</t>
  </si>
  <si>
    <t>DPE-444</t>
  </si>
  <si>
    <t>53154</t>
  </si>
  <si>
    <t>Retest issues</t>
  </si>
  <si>
    <t>16/Apr/26 9:23 PM</t>
  </si>
  <si>
    <t>20/Apr/26 11:48 AM</t>
  </si>
  <si>
    <t>DRST-92</t>
  </si>
  <si>
    <t>52943</t>
  </si>
  <si>
    <t>08/Apr/26 4:36 PM</t>
  </si>
  <si>
    <t>09/Apr/26 2:51 PM</t>
  </si>
  <si>
    <t>DRST-91</t>
  </si>
  <si>
    <t>52941</t>
  </si>
  <si>
    <t>08/Apr/26 4:35 PM</t>
  </si>
  <si>
    <t>08/Apr/26 4:43 PM</t>
  </si>
  <si>
    <t>DRST-89</t>
  </si>
  <si>
    <t>52929</t>
  </si>
  <si>
    <t>08/Apr/26 2:29 PM</t>
  </si>
  <si>
    <t>09/Apr/26 2:43 PM</t>
  </si>
  <si>
    <t>DRST-88</t>
  </si>
  <si>
    <t>52927</t>
  </si>
  <si>
    <t>08/Apr/26 2:28 PM</t>
  </si>
  <si>
    <t>08/Apr/26 4:38 PM</t>
  </si>
  <si>
    <t>RDAPS-447</t>
  </si>
  <si>
    <t>52918</t>
  </si>
  <si>
    <t>[SA][RD] Team Supoort &amp; Management Sprint 22</t>
  </si>
  <si>
    <t>08/Apr/26 9:43 AM</t>
  </si>
  <si>
    <t>10/Apr/26 1:22 PM</t>
  </si>
  <si>
    <t>RDAPS-446</t>
  </si>
  <si>
    <t>52917</t>
  </si>
  <si>
    <t>[SA][RD] Meeting Sprint 22</t>
  </si>
  <si>
    <t>DPE-437</t>
  </si>
  <si>
    <t>52829</t>
  </si>
  <si>
    <t>[Dev][RD][RR CT] Allow Event RABBIT_CARD_TRANSACTION_OTHER to Whitelist</t>
  </si>
  <si>
    <t>07/Apr/26 10:09 AM</t>
  </si>
  <si>
    <t>21/Apr/26 10:03 AM</t>
  </si>
  <si>
    <t>DPE-435</t>
  </si>
  <si>
    <t>52768</t>
  </si>
  <si>
    <t>[S3][NPE][PL MEMBER] rabbit_point is null when call api check the member detail</t>
  </si>
  <si>
    <t>03/Apr/26 3:22 PM</t>
  </si>
  <si>
    <t>07/Apr/26 5:29 PM</t>
  </si>
  <si>
    <t>DRST-85</t>
  </si>
  <si>
    <t>52742</t>
  </si>
  <si>
    <t>[DEV][RD][BFF] Create remove card endpoint</t>
  </si>
  <si>
    <t>02/Apr/26 11:49 PM</t>
  </si>
  <si>
    <t>17/Apr/26 10:49 AM</t>
  </si>
  <si>
    <t>DRST-84</t>
  </si>
  <si>
    <t>52741</t>
  </si>
  <si>
    <t>[DEV][RD][BFF] Create add card endpoint</t>
  </si>
  <si>
    <t>21/Apr/26 11:18 AM</t>
  </si>
  <si>
    <t>01/Apr/26 3:57 PM</t>
  </si>
  <si>
    <t>02/Apr/26 2:53 PM</t>
  </si>
  <si>
    <t>02/Apr/26 3:22 PM</t>
  </si>
  <si>
    <t>DPE-416</t>
  </si>
  <si>
    <t>52133</t>
  </si>
  <si>
    <t>[Dev][RD][PE Middleware] Integrate Swagger / API Spec Documentation</t>
  </si>
  <si>
    <t>31/Mar/26 9:50 AM</t>
  </si>
  <si>
    <t>20/Apr/26 10:54 AM</t>
  </si>
  <si>
    <t>21/Apr/26 9:40 AM</t>
  </si>
  <si>
    <t>DPE-404</t>
  </si>
  <si>
    <t>51708</t>
  </si>
  <si>
    <t>[SA] Prepare Task description for RLP Sprint 23</t>
  </si>
  <si>
    <t>27/Mar/26 9:57 AM</t>
  </si>
  <si>
    <t>10/Apr/26 4:23 PM</t>
  </si>
  <si>
    <t>DPE-393</t>
  </si>
  <si>
    <t>51393</t>
  </si>
  <si>
    <t>[Dev][RD][SA][CT Blocker] Analyze Reversal Flow</t>
  </si>
  <si>
    <t>25/Mar/26 11:43 AM</t>
  </si>
  <si>
    <t>19/Apr/26 11:32 AM</t>
  </si>
  <si>
    <t>Reopened</t>
  </si>
  <si>
    <t>21/Apr/26 3:32 PM</t>
  </si>
  <si>
    <t>21/Apr/26 9:20 AM</t>
  </si>
  <si>
    <t>RDAPS-437</t>
  </si>
  <si>
    <t>50915</t>
  </si>
  <si>
    <t>[SA][RD] Team Supoort &amp; Management Sprint 21</t>
  </si>
  <si>
    <t>23/Mar/26 9:12 AM</t>
  </si>
  <si>
    <t>09/Apr/26 9:42 AM</t>
  </si>
  <si>
    <t>RDAPS-436</t>
  </si>
  <si>
    <t>50914</t>
  </si>
  <si>
    <t>[SA][RD] Meeting Sprint 21</t>
  </si>
  <si>
    <t>23/Mar/26 9:11 AM</t>
  </si>
  <si>
    <t>DPE-361</t>
  </si>
  <si>
    <t>50116</t>
  </si>
  <si>
    <t>[Dev][RD][SA][Sprint23] Analysis &amp; Task Breakdown for PE Migration Execution</t>
  </si>
  <si>
    <t>18/Mar/26 4:02 PM</t>
  </si>
  <si>
    <t>20/Apr/26 5:40 AM</t>
  </si>
  <si>
    <t>DPE-355</t>
  </si>
  <si>
    <t>48538</t>
  </si>
  <si>
    <t>[Dev][RD][PE Middleware] Create Seed Data for table data_sources and transaction_types</t>
  </si>
  <si>
    <t>16/Mar/26 5:27 PM</t>
  </si>
  <si>
    <t>20/Apr/26 2:21 PM</t>
  </si>
  <si>
    <t>DPE-354</t>
  </si>
  <si>
    <t>48496</t>
  </si>
  <si>
    <t>08/Apr/26 12:57 PM</t>
  </si>
  <si>
    <t>DPE-353</t>
  </si>
  <si>
    <t>48494</t>
  </si>
  <si>
    <t>08/Apr/26 2:07 PM</t>
  </si>
  <si>
    <t>DPE-352</t>
  </si>
  <si>
    <t>48492</t>
  </si>
  <si>
    <t>08/Apr/26 12:54 PM</t>
  </si>
  <si>
    <t>DPE-351</t>
  </si>
  <si>
    <t>48491</t>
  </si>
  <si>
    <t>DPE-350</t>
  </si>
  <si>
    <t>48486</t>
  </si>
  <si>
    <t>16/Apr/26 9:21 PM</t>
  </si>
  <si>
    <t>21/Apr/26 3:36 PM</t>
  </si>
  <si>
    <t>02/Apr/26 3:17 PM</t>
  </si>
  <si>
    <t>DPE-347</t>
  </si>
  <si>
    <t>48482</t>
  </si>
  <si>
    <t>08/Apr/26 12:56 PM</t>
  </si>
  <si>
    <t>DPE-346</t>
  </si>
  <si>
    <t>48480</t>
  </si>
  <si>
    <t>23/Mar/26 7:27 PM</t>
  </si>
  <si>
    <t>DPE-345</t>
  </si>
  <si>
    <t>48477</t>
  </si>
  <si>
    <t>20/Mar/26 4:24 PM</t>
  </si>
  <si>
    <t>DPE-344</t>
  </si>
  <si>
    <t>48478</t>
  </si>
  <si>
    <t>DPE-343</t>
  </si>
  <si>
    <t>48476</t>
  </si>
  <si>
    <t>DPE-341</t>
  </si>
  <si>
    <t>48470</t>
  </si>
  <si>
    <t>DPE-339</t>
  </si>
  <si>
    <t>48468</t>
  </si>
  <si>
    <t>DPE-326</t>
  </si>
  <si>
    <t>48166</t>
  </si>
  <si>
    <t>13/Mar/26 1:10 PM</t>
  </si>
  <si>
    <t>08/Apr/26 3:44 PM</t>
  </si>
  <si>
    <t>DPE-325</t>
  </si>
  <si>
    <t>48164</t>
  </si>
  <si>
    <t>20/Mar/26 4:25 PM</t>
  </si>
  <si>
    <t>DRST-65</t>
  </si>
  <si>
    <t>47526</t>
  </si>
  <si>
    <t>[DEV][RD][CMS API] Setup ENV</t>
  </si>
  <si>
    <t>10/Mar/26 4:10 PM</t>
  </si>
  <si>
    <t>DRST-23</t>
  </si>
  <si>
    <t>43648</t>
  </si>
  <si>
    <t>[DEV][RD][Rabbit CMS API] Create new endpoint for get earn by slug</t>
  </si>
  <si>
    <t>15/Feb/26 10:50 PM</t>
  </si>
  <si>
    <t>07/Apr/26 2:44 PM</t>
  </si>
  <si>
    <t>cms-api</t>
  </si>
  <si>
    <t>DRST-22</t>
  </si>
  <si>
    <t>43647</t>
  </si>
  <si>
    <t>[DEV][RD][Rabbit CMS API] Create new endpoint for get earn by id</t>
  </si>
  <si>
    <t>15/Feb/26 10:46 PM</t>
  </si>
  <si>
    <t>DRST-17</t>
  </si>
  <si>
    <t>42821</t>
  </si>
  <si>
    <t>[DEV][RD][BOF] Create command to migrate data from VIMI database to Rabbit CMS database</t>
  </si>
  <si>
    <t>11/Feb/26 10:17 AM</t>
  </si>
  <si>
    <t>07/Apr/26 2:42 PM</t>
  </si>
  <si>
    <t>DRST-14</t>
  </si>
  <si>
    <t>42267</t>
  </si>
  <si>
    <t>[DEV][RD][Rabbit CMS API] Create endpoint for get earn content</t>
  </si>
  <si>
    <t>08/Feb/26 9:54 PM</t>
  </si>
  <si>
    <t>07/Apr/26 2:43 PM</t>
  </si>
  <si>
    <t>DPE-158</t>
  </si>
  <si>
    <t>42215</t>
  </si>
  <si>
    <t>[Dev][RD][BFF] Get point balance</t>
  </si>
  <si>
    <t>21/Apr/26 11:22 AM</t>
  </si>
  <si>
    <t>DPE-81</t>
  </si>
  <si>
    <t>41537</t>
  </si>
  <si>
    <t>[Dev][RD][PL][Member] Check RR member by Trader ID</t>
  </si>
  <si>
    <t>04/Feb/26 10:26 AM</t>
  </si>
  <si>
    <t>DPE-80</t>
  </si>
  <si>
    <t>41535</t>
  </si>
  <si>
    <t>[Dev][RD][PL][Member] Check RR member by phone</t>
  </si>
  <si>
    <t>04/Feb/26 10:24 AM</t>
  </si>
  <si>
    <t>DPE-79</t>
  </si>
  <si>
    <t>41533</t>
  </si>
  <si>
    <t>[Dev][RD][PL][Point] Get point</t>
  </si>
  <si>
    <t>08/Apr/26 2:08 PM</t>
  </si>
  <si>
    <t>DPE-78</t>
  </si>
  <si>
    <t>41531</t>
  </si>
  <si>
    <t>[Dev][RD][PL][Member] Check Member By ID</t>
  </si>
  <si>
    <t>DPE-67</t>
  </si>
  <si>
    <t>41508</t>
  </si>
  <si>
    <t>[Dev][RD][PL][Member]  Opt-in by SSO</t>
  </si>
  <si>
    <t>04/Feb/26 9:43 AM</t>
  </si>
  <si>
    <t>21/Apr/26 11:25 AM</t>
  </si>
  <si>
    <t>DPE-66</t>
  </si>
  <si>
    <t>41506</t>
  </si>
  <si>
    <t>[Dev][RD][PL][Member]  Opt-in</t>
  </si>
  <si>
    <t>21/Apr/26 11:24 AM</t>
  </si>
  <si>
    <t>[Dev][RD][CT] Sprint 22</t>
  </si>
  <si>
    <t>DEVRDCT-342</t>
  </si>
  <si>
    <t>35712</t>
  </si>
  <si>
    <t>[TP] Sprint #13</t>
  </si>
  <si>
    <t>11/Dec/25 3:26 PM</t>
  </si>
  <si>
    <t>Sprint Movement</t>
  </si>
  <si>
    <t>Sprint 20</t>
  </si>
  <si>
    <t>07/Apr/26 2:39 PM</t>
  </si>
  <si>
    <t>08/Apr/26 4:51 PM</t>
  </si>
  <si>
    <t>08/Apr/26 4:34 PM</t>
  </si>
  <si>
    <t>08/Apr/26 11:19 AM</t>
  </si>
  <si>
    <t>DPE-432</t>
  </si>
  <si>
    <t>52669</t>
  </si>
  <si>
    <t>02/Apr/26 11:08 AM</t>
  </si>
  <si>
    <t>DPE-431</t>
  </si>
  <si>
    <t>52667</t>
  </si>
  <si>
    <t>DPE-428</t>
  </si>
  <si>
    <t>52560</t>
  </si>
  <si>
    <t>01/Apr/26 2:45 PM</t>
  </si>
  <si>
    <t>01/Apr/26 5:06 PM</t>
  </si>
  <si>
    <t>DPE-427</t>
  </si>
  <si>
    <t>52558</t>
  </si>
  <si>
    <t>01/Apr/26 2:46 PM</t>
  </si>
  <si>
    <t>DPE-423</t>
  </si>
  <si>
    <t>52505</t>
  </si>
  <si>
    <t>01/Apr/26 10:28 AM</t>
  </si>
  <si>
    <t>01/Apr/26 4:58 PM</t>
  </si>
  <si>
    <t>DPE-422</t>
  </si>
  <si>
    <t>52503</t>
  </si>
  <si>
    <t>07/Apr/26 4:01 PM</t>
  </si>
  <si>
    <t>RDTHANA-477</t>
  </si>
  <si>
    <t>52052</t>
  </si>
  <si>
    <t>[SA][RD][TDM] Investigate task stop or revisioning on STG/UAT</t>
  </si>
  <si>
    <t>30/Mar/26 4:08 PM</t>
  </si>
  <si>
    <t>07/Apr/26 10:11 AM</t>
  </si>
  <si>
    <t>RDTHANA-476</t>
  </si>
  <si>
    <t>52045</t>
  </si>
  <si>
    <t>[SA][RD][TDM] Support and test shopify webhook in UAT</t>
  </si>
  <si>
    <t>30/Mar/26 4:03 PM</t>
  </si>
  <si>
    <t>SA-Task</t>
  </si>
  <si>
    <t>DEVRDSUP-533</t>
  </si>
  <si>
    <t>51986</t>
  </si>
  <si>
    <t>[SUP-617]SUB : Disable Credit/Debit Card Payment for BBL Package (APR2026 Package)</t>
  </si>
  <si>
    <t>30/Mar/26 11:42 AM</t>
  </si>
  <si>
    <t>31/Mar/26 5:03 PM</t>
  </si>
  <si>
    <t>DPE-411</t>
  </si>
  <si>
    <t>51735</t>
  </si>
  <si>
    <t>[S3][NPE][Offer] Get Offer List API filters not working except page size</t>
  </si>
  <si>
    <t>Peet : Nattawat Kunsuwan</t>
  </si>
  <si>
    <t>712020:4890dbbb-ff54-4627-991f-17d632f8c60a</t>
  </si>
  <si>
    <t>27/Mar/26 1:20 PM</t>
  </si>
  <si>
    <t>02/Apr/26 11:03 AM</t>
  </si>
  <si>
    <t>DPE-405</t>
  </si>
  <si>
    <t>51710</t>
  </si>
  <si>
    <t>[S3][NPE][Offer] is_delete remains false after calling Delete API</t>
  </si>
  <si>
    <t>27/Mar/26 11:08 AM</t>
  </si>
  <si>
    <t>01/Apr/26 11:37 AM</t>
  </si>
  <si>
    <t>[SA] Prepare Task description for RLP Sprint 22</t>
  </si>
  <si>
    <t>07/Apr/26 2:56 PM</t>
  </si>
  <si>
    <t>DPE-401</t>
  </si>
  <si>
    <t>51569</t>
  </si>
  <si>
    <t>[S4][NPE][Offer] Create and Update offer with incorrect date and time format API returns incorrect response</t>
  </si>
  <si>
    <t>26/Mar/26 11:12 AM</t>
  </si>
  <si>
    <t>07/Apr/26 1:44 PM</t>
  </si>
  <si>
    <t>DPE-400</t>
  </si>
  <si>
    <t>51551</t>
  </si>
  <si>
    <t>[S3][NPE][Offer] Create and Update Offer API returns unexpected type earn_special</t>
  </si>
  <si>
    <t>26/Mar/26 11:02 AM</t>
  </si>
  <si>
    <t>27/Mar/26 5:35 PM</t>
  </si>
  <si>
    <t>RDTHANA-466</t>
  </si>
  <si>
    <t>51546</t>
  </si>
  <si>
    <t>[DEV][RD][TDM] Change bullMQ to RabbitMQ</t>
  </si>
  <si>
    <t>26/Mar/26 10:01 AM</t>
  </si>
  <si>
    <t>30/Mar/26 4:07 PM</t>
  </si>
  <si>
    <t>07/Apr/26 2:45 PM</t>
  </si>
  <si>
    <t>RDAPS-443</t>
  </si>
  <si>
    <t>51272</t>
  </si>
  <si>
    <t>[SA][RD][Adhoc][BSS] Generate Rabbit Website Visitor Report for ETDA Submission</t>
  </si>
  <si>
    <t>24/Mar/26 4:29 PM</t>
  </si>
  <si>
    <t>26/Mar/26 8:30 AM</t>
  </si>
  <si>
    <t>DPE-390</t>
  </si>
  <si>
    <t>51270</t>
  </si>
  <si>
    <t>[S3][NPE Proxy] Credit point response is incorrect</t>
  </si>
  <si>
    <t>24/Mar/26 4:04 PM</t>
  </si>
  <si>
    <t>01/Apr/26 11:38 AM</t>
  </si>
  <si>
    <t>DPE-388</t>
  </si>
  <si>
    <t>51263</t>
  </si>
  <si>
    <t>[Dev][RD][SA][Sprint22] Analysis &amp; Task Breakdown for PE Migration Execution</t>
  </si>
  <si>
    <t>24/Mar/26 3:36 PM</t>
  </si>
  <si>
    <t>03/Apr/26 2:57 PM</t>
  </si>
  <si>
    <t>DPE-387</t>
  </si>
  <si>
    <t>51260</t>
  </si>
  <si>
    <t>24/Mar/26 3:17 PM</t>
  </si>
  <si>
    <t>31/Mar/26 3:03 PM</t>
  </si>
  <si>
    <t>DPE-386</t>
  </si>
  <si>
    <t>51258</t>
  </si>
  <si>
    <t>24/Mar/26 3:16 PM</t>
  </si>
  <si>
    <t>24/Mar/26 3:18 PM</t>
  </si>
  <si>
    <t>DPE-385</t>
  </si>
  <si>
    <t>51256</t>
  </si>
  <si>
    <t>26/Mar/26 5:50 PM</t>
  </si>
  <si>
    <t>DPE-384</t>
  </si>
  <si>
    <t>51254</t>
  </si>
  <si>
    <t>DPE-382</t>
  </si>
  <si>
    <t>51245</t>
  </si>
  <si>
    <t>[NPE] CI/CD verification for CT-UAT environment</t>
  </si>
  <si>
    <t>24/Mar/26 2:17 PM</t>
  </si>
  <si>
    <t>07/Apr/26 2:54 PM</t>
  </si>
  <si>
    <t>DPE-381</t>
  </si>
  <si>
    <t>51243</t>
  </si>
  <si>
    <t>24/Mar/26 2:13 PM</t>
  </si>
  <si>
    <t>26/Mar/26 5:38 PM</t>
  </si>
  <si>
    <t>DPE-380</t>
  </si>
  <si>
    <t>51241</t>
  </si>
  <si>
    <t>24/Mar/26 2:27 PM</t>
  </si>
  <si>
    <t>RDAPS-442</t>
  </si>
  <si>
    <t>51238</t>
  </si>
  <si>
    <t>[SA][RD] Support and invesigate</t>
  </si>
  <si>
    <t>24/Mar/26 1:57 PM</t>
  </si>
  <si>
    <t>07/Apr/26 10:13 AM</t>
  </si>
  <si>
    <t>RDAPS-441</t>
  </si>
  <si>
    <t>51237</t>
  </si>
  <si>
    <t>[SA][RD] Meeting</t>
  </si>
  <si>
    <t>24/Mar/26 1:50 PM</t>
  </si>
  <si>
    <t>DPE-379</t>
  </si>
  <si>
    <t>51169</t>
  </si>
  <si>
    <t>[S3][NPE Proxy] Able to credit point with invalid transaction type</t>
  </si>
  <si>
    <t>24/Mar/26 11:29 AM</t>
  </si>
  <si>
    <t>DPE-378</t>
  </si>
  <si>
    <t>51168</t>
  </si>
  <si>
    <t>[S4][NPE Proxy] Credit zero point response is incorrect</t>
  </si>
  <si>
    <t>24/Mar/26 11:23 AM</t>
  </si>
  <si>
    <t>01/Apr/26 11:36 AM</t>
  </si>
  <si>
    <t>DPE-377</t>
  </si>
  <si>
    <t>51059</t>
  </si>
  <si>
    <t>[Dev][RD][PE Middleware] Enhance GET List APIs to Return Standard Response Format</t>
  </si>
  <si>
    <t>23/Mar/26 5:29 PM</t>
  </si>
  <si>
    <t>27/Mar/26 4:05 PM</t>
  </si>
  <si>
    <t>[SA][RD] Team Supoort &amp; Management</t>
  </si>
  <si>
    <t>27/Mar/26 8:39 AM</t>
  </si>
  <si>
    <t>01/Apr/26 8:59 AM</t>
  </si>
  <si>
    <t>RDAPS-435</t>
  </si>
  <si>
    <t>50913</t>
  </si>
  <si>
    <t>[SA][RD] DailiTech Event 2026 : Make It Simple</t>
  </si>
  <si>
    <t>23/Mar/26 9:09 AM</t>
  </si>
  <si>
    <t>01/Apr/26 8:41 AM</t>
  </si>
  <si>
    <t>DPE-373</t>
  </si>
  <si>
    <t>50353</t>
  </si>
  <si>
    <t>[NPE] Prepare API Gateway mapping for CT env</t>
  </si>
  <si>
    <t>20/Mar/26 4:00 PM</t>
  </si>
  <si>
    <t>25/Mar/26 2:55 PM</t>
  </si>
  <si>
    <t>DPE-367</t>
  </si>
  <si>
    <t>50330</t>
  </si>
  <si>
    <t>[NPE] Prepare env files for CT environment</t>
  </si>
  <si>
    <t>20/Mar/26 11:03 AM</t>
  </si>
  <si>
    <t>23/Mar/26 10:16 PM</t>
  </si>
  <si>
    <t>RDNDA-34</t>
  </si>
  <si>
    <t>50294</t>
  </si>
  <si>
    <t>[DEV][RD][TDM][SA] Prepare Prod ENV</t>
  </si>
  <si>
    <t>20/Mar/26 10:00 AM</t>
  </si>
  <si>
    <t>07/Apr/26 10:12 AM</t>
  </si>
  <si>
    <t>07/Apr/26 4:07 PM</t>
  </si>
  <si>
    <t>DPE-360</t>
  </si>
  <si>
    <t>50115</t>
  </si>
  <si>
    <t>DPE-359</t>
  </si>
  <si>
    <t>50114</t>
  </si>
  <si>
    <t>[SA] Meeting</t>
  </si>
  <si>
    <t>18/Mar/26 3:54 PM</t>
  </si>
  <si>
    <t>03/Apr/26 10:29 AM</t>
  </si>
  <si>
    <t>RDTHANA-462</t>
  </si>
  <si>
    <t>49894</t>
  </si>
  <si>
    <t>[DEV][RD][SA] Analysis CT Event for Shopify webhook</t>
  </si>
  <si>
    <t>18/Mar/26 10:00 AM</t>
  </si>
  <si>
    <t>17/Mar/26 1:43 PM</t>
  </si>
  <si>
    <t>DPE-333</t>
  </si>
  <si>
    <t>48213</t>
  </si>
  <si>
    <t>[Dev][RD][PE Middleware] Enhance Offer APIs – Include campaign_name in Get List and Get Detail</t>
  </si>
  <si>
    <t>13/Mar/26 4:55 PM</t>
  </si>
  <si>
    <t>01/Apr/26 10:12 AM</t>
  </si>
  <si>
    <t>24/Mar/26 12:00 AM</t>
  </si>
  <si>
    <t>DPE-332</t>
  </si>
  <si>
    <t>48212</t>
  </si>
  <si>
    <t>[Dev][RD][PE Middleware] Enhance Update Offer API – Add campaign_name</t>
  </si>
  <si>
    <t>13/Mar/26 4:49 PM</t>
  </si>
  <si>
    <t>01/Apr/26 10:11 AM</t>
  </si>
  <si>
    <t>DPE-330</t>
  </si>
  <si>
    <t>48178</t>
  </si>
  <si>
    <t>[Dev][RD][PE Middleware] Enhance Offer Creation API – Add campaign_name</t>
  </si>
  <si>
    <t>13/Mar/26 4:38 PM</t>
  </si>
  <si>
    <t>DPE-329</t>
  </si>
  <si>
    <t>48176</t>
  </si>
  <si>
    <t>[Dev][RD] Support DevOps for RR Service Provisioning</t>
  </si>
  <si>
    <t>13/Mar/26 2:50 PM</t>
  </si>
  <si>
    <t>07/Apr/26 10:08 AM</t>
  </si>
  <si>
    <t>86400 -&gt; 43200</t>
  </si>
  <si>
    <t>DPE-328</t>
  </si>
  <si>
    <t>48175</t>
  </si>
  <si>
    <t>[Dev][RD][PE Middleware] Enhance Credit Point API – Add Transaction DateTime</t>
  </si>
  <si>
    <t>13/Mar/26 2:43 PM</t>
  </si>
  <si>
    <t>02/Apr/26 10:41 AM</t>
  </si>
  <si>
    <t>DPE-327</t>
  </si>
  <si>
    <t>48167</t>
  </si>
  <si>
    <t>[Dev][RD][PE Middleware] Enhance Debit Point API – Add Transaction DateTime</t>
  </si>
  <si>
    <t>13/Mar/26 1:47 PM</t>
  </si>
  <si>
    <t>02/Apr/26 10:40 AM</t>
  </si>
  <si>
    <t>DPE-320</t>
  </si>
  <si>
    <t>47724</t>
  </si>
  <si>
    <t>[Dev][RD][RR CT] Allow Event Whitelist for Sending Data to CleverTap</t>
  </si>
  <si>
    <t>11/Mar/26 2:17 PM</t>
  </si>
  <si>
    <t>07/Apr/26 10:10 AM</t>
  </si>
  <si>
    <t>26/Mar/26 3:16 PM</t>
  </si>
  <si>
    <t>08/Apr/26 10:02 AM</t>
  </si>
  <si>
    <t>07/Apr/26 3:21 PM</t>
  </si>
  <si>
    <t>DPE-260</t>
  </si>
  <si>
    <t>45315</t>
  </si>
  <si>
    <t>25/Feb/26 6:12 PM</t>
  </si>
  <si>
    <t>DPE-259</t>
  </si>
  <si>
    <t>45313</t>
  </si>
  <si>
    <t>16/Mar/26 12:42 PM</t>
  </si>
  <si>
    <t>DPE-258</t>
  </si>
  <si>
    <t>45311</t>
  </si>
  <si>
    <t>27/Mar/26 1:34 PM</t>
  </si>
  <si>
    <t>DPE-257</t>
  </si>
  <si>
    <t>45309</t>
  </si>
  <si>
    <t>DPE-250</t>
  </si>
  <si>
    <t>45295</t>
  </si>
  <si>
    <t>25/Feb/26 6:11 PM</t>
  </si>
  <si>
    <t>DPE-249</t>
  </si>
  <si>
    <t>45293</t>
  </si>
  <si>
    <t>DPE-248</t>
  </si>
  <si>
    <t>45291</t>
  </si>
  <si>
    <t>25/Feb/26 6:02 PM</t>
  </si>
  <si>
    <t>31/Mar/26 5:43 PM</t>
  </si>
  <si>
    <t>DPE-247</t>
  </si>
  <si>
    <t>45289</t>
  </si>
  <si>
    <t>DPE-246</t>
  </si>
  <si>
    <t>45287</t>
  </si>
  <si>
    <t>25/Feb/26 6:01 PM</t>
  </si>
  <si>
    <t>DPE-245</t>
  </si>
  <si>
    <t>45285</t>
  </si>
  <si>
    <t>DPE-240</t>
  </si>
  <si>
    <t>45274</t>
  </si>
  <si>
    <t>25/Feb/26 5:43 PM</t>
  </si>
  <si>
    <t>25/Mar/26 2:19 PM</t>
  </si>
  <si>
    <t>DPE-239</t>
  </si>
  <si>
    <t>45272</t>
  </si>
  <si>
    <t>25/Feb/26 5:42 PM</t>
  </si>
  <si>
    <t>16/Mar/26 12:43 PM</t>
  </si>
  <si>
    <t>DPE-238</t>
  </si>
  <si>
    <t>45270</t>
  </si>
  <si>
    <t>25/Mar/26 5:12 PM</t>
  </si>
  <si>
    <t>DPE-237</t>
  </si>
  <si>
    <t>45268</t>
  </si>
  <si>
    <t>DPE-236</t>
  </si>
  <si>
    <t>45266</t>
  </si>
  <si>
    <t>26/Mar/26 3:52 PM</t>
  </si>
  <si>
    <t>DPE-235</t>
  </si>
  <si>
    <t>45264</t>
  </si>
  <si>
    <t>25/Feb/26 5:41 PM</t>
  </si>
  <si>
    <t>DPE-234</t>
  </si>
  <si>
    <t>45262</t>
  </si>
  <si>
    <t>25/Feb/26 5:40 PM</t>
  </si>
  <si>
    <t>25/Mar/26 4:39 PM</t>
  </si>
  <si>
    <t>DPE-233</t>
  </si>
  <si>
    <t>45260</t>
  </si>
  <si>
    <t>DPE-232</t>
  </si>
  <si>
    <t>45258</t>
  </si>
  <si>
    <t>24/Mar/26 6:09 PM</t>
  </si>
  <si>
    <t>DPE-231</t>
  </si>
  <si>
    <t>45256</t>
  </si>
  <si>
    <t>DPE-226</t>
  </si>
  <si>
    <t>44833</t>
  </si>
  <si>
    <t>23/Feb/26 5:43 PM</t>
  </si>
  <si>
    <t>26/Mar/26 5:07 PM</t>
  </si>
  <si>
    <t>DPE-225</t>
  </si>
  <si>
    <t>44831</t>
  </si>
  <si>
    <t>DPE-219</t>
  </si>
  <si>
    <t>44552</t>
  </si>
  <si>
    <t>[Dev][RD][PE Middleware] Delete Offer (Soft Delete)</t>
  </si>
  <si>
    <t>22/Feb/26 12:40 PM</t>
  </si>
  <si>
    <t>DPE-218</t>
  </si>
  <si>
    <t>44551</t>
  </si>
  <si>
    <t>[Dev][RD][PE Middleware] Get Offer by id</t>
  </si>
  <si>
    <t>22/Feb/26 11:42 AM</t>
  </si>
  <si>
    <t>DPE-210</t>
  </si>
  <si>
    <t>44188</t>
  </si>
  <si>
    <t>[Dev][RD][PE Middleware] Point expiry</t>
  </si>
  <si>
    <t>19/Feb/26 3:22 PM</t>
  </si>
  <si>
    <t>02/Apr/26 12:57 PM</t>
  </si>
  <si>
    <t>DPE-208</t>
  </si>
  <si>
    <t>44013</t>
  </si>
  <si>
    <t>[Dev][RD] API Document for MyRabbit Application to get point balance</t>
  </si>
  <si>
    <t>18/Feb/26 3:46 PM</t>
  </si>
  <si>
    <t>03/Apr/26 10:36 AM</t>
  </si>
  <si>
    <t>DPE-195</t>
  </si>
  <si>
    <t>43604</t>
  </si>
  <si>
    <t>[Dev][RD][DevOps][PE-MIGRATION] Provision dedicated UAT-CT environment for Point Engine migration services</t>
  </si>
  <si>
    <t>15/Feb/26 1:53 PM</t>
  </si>
  <si>
    <t>25/Mar/26 3:30 PM</t>
  </si>
  <si>
    <t>28800 -&gt; 14400</t>
  </si>
  <si>
    <t>DPE-192</t>
  </si>
  <si>
    <t>43566</t>
  </si>
  <si>
    <t xml:space="preserve">[Dev][RD][DevOps][RD][PE-MIGRATION] Provision uat-ct domain for CleverTap integration testing
</t>
  </si>
  <si>
    <t>13/Feb/26 9:03 PM</t>
  </si>
  <si>
    <t>DPE-187</t>
  </si>
  <si>
    <t>43123</t>
  </si>
  <si>
    <t>12/Feb/26 10:49 AM</t>
  </si>
  <si>
    <t>DPE-186</t>
  </si>
  <si>
    <t>43122</t>
  </si>
  <si>
    <t>DPE-185</t>
  </si>
  <si>
    <t>43121</t>
  </si>
  <si>
    <t>26/Mar/26 5:06 PM</t>
  </si>
  <si>
    <t>DPE-184</t>
  </si>
  <si>
    <t>43120</t>
  </si>
  <si>
    <t>DPE-179</t>
  </si>
  <si>
    <t>43115</t>
  </si>
  <si>
    <t>12/Feb/26 10:46 AM</t>
  </si>
  <si>
    <t>[Dev][RD][New PE] Sprint 17</t>
  </si>
  <si>
    <t>DPE-178</t>
  </si>
  <si>
    <t>43114</t>
  </si>
  <si>
    <t>12/Mar/26 11:47 AM</t>
  </si>
  <si>
    <t>DPE-171</t>
  </si>
  <si>
    <t>42260</t>
  </si>
  <si>
    <t>[Dev][RD][PE Middleware] Update offer</t>
  </si>
  <si>
    <t>08/Feb/26 7:59 PM</t>
  </si>
  <si>
    <t>02/Mar/26 12:00 AM</t>
  </si>
  <si>
    <t>DPE-170</t>
  </si>
  <si>
    <t>42259</t>
  </si>
  <si>
    <t>[Dev][RD][PE Middleware] Get offer list</t>
  </si>
  <si>
    <t>04/Mar/26 12:00 AM</t>
  </si>
  <si>
    <t>DPE-169</t>
  </si>
  <si>
    <t>42258</t>
  </si>
  <si>
    <t>[Dev][RD][PE Middleware] Create offer</t>
  </si>
  <si>
    <t>08/Feb/26 7:58 PM</t>
  </si>
  <si>
    <t>26/Feb/26 12:00 AM</t>
  </si>
  <si>
    <t>DPE-151</t>
  </si>
  <si>
    <t>42176</t>
  </si>
  <si>
    <t>[Dev][RD][PE Middleware] Point history</t>
  </si>
  <si>
    <t>07/Feb/26 8:18 AM</t>
  </si>
  <si>
    <t>07/Apr/26 9:23 AM</t>
  </si>
  <si>
    <t>DPE-149</t>
  </si>
  <si>
    <t>42174</t>
  </si>
  <si>
    <t>[Dev][RD][PE Middleware] Credit point</t>
  </si>
  <si>
    <t>01/Apr/26 10:09 AM</t>
  </si>
  <si>
    <t>DPE-148</t>
  </si>
  <si>
    <t>42173</t>
  </si>
  <si>
    <t>[Dev][RD][PE Middleware] Debit point</t>
  </si>
  <si>
    <t>01/Apr/26 10:08 AM</t>
  </si>
  <si>
    <t>08/Apr/26 2:09 PM</t>
  </si>
  <si>
    <t>DPE-51</t>
  </si>
  <si>
    <t>41439</t>
  </si>
  <si>
    <t>[Dev][RD][PE Middleware] Get balance</t>
  </si>
  <si>
    <t>02/Apr/26 12:44 PM</t>
  </si>
  <si>
    <t>DPE-50</t>
  </si>
  <si>
    <t>41437</t>
  </si>
  <si>
    <t>[Dev][RD][SSO-User] Activate user by phone</t>
  </si>
  <si>
    <t>DPE-48</t>
  </si>
  <si>
    <t>41433</t>
  </si>
  <si>
    <t>[Dev][RD][SSO-User] Update rewards user</t>
  </si>
  <si>
    <t>03/Feb/26 7:40 PM</t>
  </si>
  <si>
    <t>05/Feb/26 12:00 AM</t>
  </si>
  <si>
    <t>DPE-47</t>
  </si>
  <si>
    <t>41431</t>
  </si>
  <si>
    <t>[Dev][RD][SSO-User] Create rewards user</t>
  </si>
  <si>
    <t>DPE-46</t>
  </si>
  <si>
    <t>41429</t>
  </si>
  <si>
    <t>[Dev][RD][SSO-User] Create user profile</t>
  </si>
  <si>
    <t>23/Mar/26 10:04 AM</t>
  </si>
  <si>
    <t>07/Apr/26 3:31 PM</t>
  </si>
  <si>
    <t>07/Apr/26 3:32 PM</t>
  </si>
  <si>
    <r>
      <rPr>
        <rFont val="Arial"/>
        <b/>
        <color theme="1"/>
      </rPr>
      <t xml:space="preserve">Resource Plan – Sprint 20
</t>
    </r>
    <r>
      <rPr>
        <rFont val="Arial"/>
        <b/>
        <color theme="7"/>
      </rPr>
      <t>9 Mar - 20 Mar</t>
    </r>
  </si>
  <si>
    <t>Allocation VIMI (days)</t>
  </si>
  <si>
    <t>Allocation Thana (days)</t>
  </si>
  <si>
    <t>Allocation AWS (days)</t>
  </si>
  <si>
    <t>Allocation Adhoc (days)</t>
  </si>
  <si>
    <t>Outsources</t>
  </si>
  <si>
    <t>Art</t>
  </si>
  <si>
    <t>Kae</t>
  </si>
  <si>
    <t>Projects (Manhour)</t>
  </si>
  <si>
    <t>Sprint 19</t>
  </si>
  <si>
    <t>20/Mar/26 11:05 AM</t>
  </si>
  <si>
    <t>DPE-366</t>
  </si>
  <si>
    <t>50328</t>
  </si>
  <si>
    <t>Update service to support Redis with cluster mode</t>
  </si>
  <si>
    <t>20/Mar/26 10:59 AM</t>
  </si>
  <si>
    <t>20/Mar/26 11:02 AM</t>
  </si>
  <si>
    <t>20/Mar/26 10:01 AM</t>
  </si>
  <si>
    <t>20/Mar/26 11:23 AM</t>
  </si>
  <si>
    <t>DRST-74</t>
  </si>
  <si>
    <t>50079</t>
  </si>
  <si>
    <t>18/Mar/26 1:59 PM</t>
  </si>
  <si>
    <t>18/Mar/26 4:15 PM</t>
  </si>
  <si>
    <t>DRST-73</t>
  </si>
  <si>
    <t>50077</t>
  </si>
  <si>
    <t>18/Mar/26 3:56 PM</t>
  </si>
  <si>
    <t>DRST-72</t>
  </si>
  <si>
    <t>50075</t>
  </si>
  <si>
    <t>18/Mar/26 3:36 PM</t>
  </si>
  <si>
    <t>DRST-71</t>
  </si>
  <si>
    <t>50073</t>
  </si>
  <si>
    <t>18/Mar/26 2:45 PM</t>
  </si>
  <si>
    <t>DRST-70</t>
  </si>
  <si>
    <t>50071</t>
  </si>
  <si>
    <t>18/Mar/26 1:57 PM</t>
  </si>
  <si>
    <t>18/Mar/26 2:24 PM</t>
  </si>
  <si>
    <t>DEVRDSUP-504</t>
  </si>
  <si>
    <t>49870</t>
  </si>
  <si>
    <t>[SUP-586]HOP: The Visionary card is not showing in the app.</t>
  </si>
  <si>
    <t>18/Mar/26 9:44 AM</t>
  </si>
  <si>
    <t>20/Mar/26 11:29 AM</t>
  </si>
  <si>
    <t>DPE-358</t>
  </si>
  <si>
    <t>49771</t>
  </si>
  <si>
    <t>[Dev][RD][PE Middleware] Import Merchant and Offer Data from CSV into Database</t>
  </si>
  <si>
    <t>17/Mar/26 4:50 PM</t>
  </si>
  <si>
    <t>19/Mar/26 9:35 AM</t>
  </si>
  <si>
    <t>RDAPS-434</t>
  </si>
  <si>
    <t>49602</t>
  </si>
  <si>
    <t>[DEV][RD][SA] Prepare task for technical dept</t>
  </si>
  <si>
    <t>17/Mar/26 2:55 PM</t>
  </si>
  <si>
    <t>17/Mar/26 4:20 PM</t>
  </si>
  <si>
    <t>RDAPS-433</t>
  </si>
  <si>
    <t>48836</t>
  </si>
  <si>
    <t>[DEV][RD][SA] Incident support and investigate</t>
  </si>
  <si>
    <t>17/Mar/26 2:04 PM</t>
  </si>
  <si>
    <t>20/Mar/26 9:45 AM</t>
  </si>
  <si>
    <t>RDAPS-432</t>
  </si>
  <si>
    <t>48697</t>
  </si>
  <si>
    <t>[DEV][RD][SA] Team supoort &amp; management</t>
  </si>
  <si>
    <t>17/Mar/26 1:56 PM</t>
  </si>
  <si>
    <t>20/Mar/26 9:53 AM</t>
  </si>
  <si>
    <t>RDAPS-431</t>
  </si>
  <si>
    <t>48693</t>
  </si>
  <si>
    <t>[DEV][RD][SA] Workshop AWS Transform</t>
  </si>
  <si>
    <t>17/Mar/26 1:51 PM</t>
  </si>
  <si>
    <t>17/Mar/26 1:53 PM</t>
  </si>
  <si>
    <t>RDAPS-430</t>
  </si>
  <si>
    <t>48692</t>
  </si>
  <si>
    <t>[DEV][RD][SA] Meeting</t>
  </si>
  <si>
    <t>17/Mar/26 1:42 PM</t>
  </si>
  <si>
    <t>20/Mar/26 9:51 AM</t>
  </si>
  <si>
    <t>DEVRDSUP-502</t>
  </si>
  <si>
    <t>48540</t>
  </si>
  <si>
    <t>[SUP-582][Earned Points] CS-20260200024858 // Please check duplicate SSO ID with RW:0880040508640</t>
  </si>
  <si>
    <t>16/Mar/26 5:46 PM</t>
  </si>
  <si>
    <t>DEVRDSUP-500</t>
  </si>
  <si>
    <t>48505</t>
  </si>
  <si>
    <t>[SUP-585][RR account] CS-20260100023724 // Please check duplicate SSO ID binding with RW 0880053082355</t>
  </si>
  <si>
    <t>16/Mar/26 4:38 PM</t>
  </si>
  <si>
    <t>17/Mar/26 5:15 PM</t>
  </si>
  <si>
    <t>17/Mar/26 3:09 PM</t>
  </si>
  <si>
    <t>18/Mar/26 1:13 PM</t>
  </si>
  <si>
    <t>17/Mar/26 5:16 PM</t>
  </si>
  <si>
    <t>18/Mar/26 10:29 AM</t>
  </si>
  <si>
    <t>18/Mar/26 2:53 PM</t>
  </si>
  <si>
    <t>17/Mar/26 5:08 PM</t>
  </si>
  <si>
    <t>DRST-68</t>
  </si>
  <si>
    <t>48351</t>
  </si>
  <si>
    <t>16/Mar/26 9:15 AM</t>
  </si>
  <si>
    <t>16/Mar/26 1:53 PM</t>
  </si>
  <si>
    <t>DRST-67</t>
  </si>
  <si>
    <t>48349</t>
  </si>
  <si>
    <t>18/Mar/26 2:05 PM</t>
  </si>
  <si>
    <t>DRST-66</t>
  </si>
  <si>
    <t>48347</t>
  </si>
  <si>
    <t>18/Mar/26 10:18 AM</t>
  </si>
  <si>
    <t>DPE-331</t>
  </si>
  <si>
    <t>48211</t>
  </si>
  <si>
    <t>[Dev][RD][SSO User] Improve BSS sync member to RR API</t>
  </si>
  <si>
    <t>13/Mar/26 4:46 PM</t>
  </si>
  <si>
    <t>20/Mar/26 10:40 AM</t>
  </si>
  <si>
    <t>13/Mar/26 1:51 PM</t>
  </si>
  <si>
    <t>DPE-323</t>
  </si>
  <si>
    <t>48023</t>
  </si>
  <si>
    <t>[S3][SSO Backoffice] Unable to create/update registration source</t>
  </si>
  <si>
    <t>12/Mar/26 1:38 PM</t>
  </si>
  <si>
    <t>12/Mar/26 5:01 PM</t>
  </si>
  <si>
    <t>RDTHANA-461</t>
  </si>
  <si>
    <t>47970</t>
  </si>
  <si>
    <t>[DEV][RD][TDM] Change master data index key csv file to lowercase</t>
  </si>
  <si>
    <t>12/Mar/26 11:25 AM</t>
  </si>
  <si>
    <t>18/Mar/26 4:35 PM</t>
  </si>
  <si>
    <t>DPE-322</t>
  </si>
  <si>
    <t>47929</t>
  </si>
  <si>
    <t>[Dev][RD][SA][Sprint21] Analysis &amp; Task Breakdown for PE Migration Execution</t>
  </si>
  <si>
    <t>12/Mar/26 9:42 AM</t>
  </si>
  <si>
    <t>13/Mar/26 11:36 AM</t>
  </si>
  <si>
    <t>DEVRDSUP-497</t>
  </si>
  <si>
    <t>47665</t>
  </si>
  <si>
    <t>[SUP-580][SUB] Receipt is not generated after SUB transaction is made (11 MAR 2026)</t>
  </si>
  <si>
    <t>11/Mar/26 11:29 AM</t>
  </si>
  <si>
    <t>20/Mar/26 11:30 AM</t>
  </si>
  <si>
    <t>RDAPS-427</t>
  </si>
  <si>
    <t>47559</t>
  </si>
  <si>
    <t xml:space="preserve">[S3]Gen deeplink for character "Ampersand" incorrect  </t>
  </si>
  <si>
    <t>10/Mar/26 10:07 PM</t>
  </si>
  <si>
    <t>19/Mar/26 4:41 PM</t>
  </si>
  <si>
    <t>10/Mar/26 5:17 PM</t>
  </si>
  <si>
    <t>DEVRDSUP-495</t>
  </si>
  <si>
    <t>47473</t>
  </si>
  <si>
    <t>[SUP-578][Sub] CS-20260300025685 // Request mark used coupon 		11582937 - SN  0880063175153 Rabbit Wallet</t>
  </si>
  <si>
    <t>10/Mar/26 2:24 PM</t>
  </si>
  <si>
    <t>DEVRDSUP-494</t>
  </si>
  <si>
    <t>47460</t>
  </si>
  <si>
    <t>[SUP-577][SUB] Receipt is not generated after SUB transaction is made (10 MAR 2026)</t>
  </si>
  <si>
    <t>10/Mar/26 1:23 PM</t>
  </si>
  <si>
    <t>10/Mar/26 3:00 PM</t>
  </si>
  <si>
    <t>DEVRDSUP-493</t>
  </si>
  <si>
    <t>47419</t>
  </si>
  <si>
    <t>[SUP-576][SUB] Mark used card fail</t>
  </si>
  <si>
    <t>Mean Pichan Suphunjitwana</t>
  </si>
  <si>
    <t>63108a0709bc6014ea8b3b58</t>
  </si>
  <si>
    <t>10/Mar/26 11:41 AM</t>
  </si>
  <si>
    <t>11/Mar/26 9:26 AM</t>
  </si>
  <si>
    <t>DEVRDSUP-492</t>
  </si>
  <si>
    <t>47417</t>
  </si>
  <si>
    <t>[SUP-575][SSO] slow on BSS side</t>
  </si>
  <si>
    <t>10/Mar/26 11:33 AM</t>
  </si>
  <si>
    <t>13/Mar/26 5:22 PM</t>
  </si>
  <si>
    <t>DEVRDSUP-491</t>
  </si>
  <si>
    <t>47350</t>
  </si>
  <si>
    <t>[Subscription TXN] 'Next' button is disabled on Index page</t>
  </si>
  <si>
    <t>10/Mar/26 10:48 AM</t>
  </si>
  <si>
    <t>DRST-64</t>
  </si>
  <si>
    <t>47309</t>
  </si>
  <si>
    <t>[QA] Test Execution STG</t>
  </si>
  <si>
    <t>09/Mar/26 10:12 PM</t>
  </si>
  <si>
    <t>10/Mar/26 9:20 AM</t>
  </si>
  <si>
    <t>DRST-63</t>
  </si>
  <si>
    <t>47307</t>
  </si>
  <si>
    <t>09/Mar/26 10:11 PM</t>
  </si>
  <si>
    <t>09/Mar/26 10:56 PM</t>
  </si>
  <si>
    <t>DRST-62</t>
  </si>
  <si>
    <t>47305</t>
  </si>
  <si>
    <t>10/Mar/26 10:05 AM</t>
  </si>
  <si>
    <t>RDNDA-31</t>
  </si>
  <si>
    <t>47251</t>
  </si>
  <si>
    <t>[DEV][RD][TDM][SA] Setup DEV server</t>
  </si>
  <si>
    <t>09/Mar/26 4:25 PM</t>
  </si>
  <si>
    <t>RDAPS-425</t>
  </si>
  <si>
    <t>47146</t>
  </si>
  <si>
    <t>[Dev][RD][SSO][Investigate] Slow API Response During Login with PIN (MyRabbit App)</t>
  </si>
  <si>
    <t>09/Mar/26 1:21 PM</t>
  </si>
  <si>
    <t>DPE-307</t>
  </si>
  <si>
    <t>46949</t>
  </si>
  <si>
    <t>[Dev][RD][PE Middleware] Enhance Merchant Creation API</t>
  </si>
  <si>
    <t>07/Mar/26 5:18 AM</t>
  </si>
  <si>
    <t>18/Mar/26 11:46 AM</t>
  </si>
  <si>
    <t>DPWP-50</t>
  </si>
  <si>
    <t>46783</t>
  </si>
  <si>
    <t>[DEV][RD][API] Create API spec for sale transaction and member identifier</t>
  </si>
  <si>
    <t>06/Mar/26 3:39 PM</t>
  </si>
  <si>
    <t>20/Mar/26 11:24 AM</t>
  </si>
  <si>
    <t>[Dev][RD][PWP] Sprint 20</t>
  </si>
  <si>
    <t>DPE-305</t>
  </si>
  <si>
    <t>46740</t>
  </si>
  <si>
    <t>[Dev][RD][SA] Design Event Properties for `RABBIT_TRANSACTION_OCCURRED `</t>
  </si>
  <si>
    <t>06/Mar/26 2:51 PM</t>
  </si>
  <si>
    <t>16/Mar/26 10:10 AM</t>
  </si>
  <si>
    <t>DEVRDSUP-488</t>
  </si>
  <si>
    <t>46584</t>
  </si>
  <si>
    <t>[SUP-571][HOP] Urgent: Customer Not Receiving RR Activation Email</t>
  </si>
  <si>
    <t>05/Mar/26 6:38 PM</t>
  </si>
  <si>
    <t>DRST-47</t>
  </si>
  <si>
    <t>46144</t>
  </si>
  <si>
    <t>[DEV][RD][BFF][USER] Create update avatar endpoint</t>
  </si>
  <si>
    <t>02/Mar/26 3:29 PM</t>
  </si>
  <si>
    <t>20/Mar/26 11:08 AM</t>
  </si>
  <si>
    <t>DRST-46</t>
  </si>
  <si>
    <t>46143</t>
  </si>
  <si>
    <t>[DEV][RD][SSO-User][Rabbit Member] Create endpoint to upload avatar</t>
  </si>
  <si>
    <t>02/Mar/26 3:28 PM</t>
  </si>
  <si>
    <t>20/Mar/26 11:07 AM</t>
  </si>
  <si>
    <t>DRST-45</t>
  </si>
  <si>
    <t>46142</t>
  </si>
  <si>
    <t>[DEV][RD][BFF][USER] Create change password endpoint</t>
  </si>
  <si>
    <t>02/Mar/26 3:27 PM</t>
  </si>
  <si>
    <t>DRST-44</t>
  </si>
  <si>
    <t>46141</t>
  </si>
  <si>
    <t>[DEV][RD][BFF][USER] Create confirm phone OTP</t>
  </si>
  <si>
    <t>02/Mar/26 3:14 PM</t>
  </si>
  <si>
    <t>DRST-43</t>
  </si>
  <si>
    <t>46140</t>
  </si>
  <si>
    <t>[DEV][RD][BFF][USER] Create update user profile endpoint</t>
  </si>
  <si>
    <t>02/Mar/26 2:55 PM</t>
  </si>
  <si>
    <t>DRST-42</t>
  </si>
  <si>
    <t>46139</t>
  </si>
  <si>
    <t>Create API Task</t>
  </si>
  <si>
    <t>02/Mar/26 2:52 PM</t>
  </si>
  <si>
    <t>DRST-41</t>
  </si>
  <si>
    <t>46137</t>
  </si>
  <si>
    <t>Update BFF API Doc</t>
  </si>
  <si>
    <t>02/Mar/26 2:51 PM</t>
  </si>
  <si>
    <t>20/Mar/26 9:59 AM</t>
  </si>
  <si>
    <t>DRST-40</t>
  </si>
  <si>
    <t>46135</t>
  </si>
  <si>
    <t>Mapping API VIMI to RD</t>
  </si>
  <si>
    <t>DEVRDSUP-483</t>
  </si>
  <si>
    <t>46099</t>
  </si>
  <si>
    <t>[SUP-567]User properties birthday has changed in Clevertap</t>
  </si>
  <si>
    <t>02/Mar/26 1:57 PM</t>
  </si>
  <si>
    <t>DEVRDSUP-482</t>
  </si>
  <si>
    <t>46066</t>
  </si>
  <si>
    <t>[SUP-565][SUB] : Request to export receipt due to Incomplete Emails Received by BTSC (FEB26)</t>
  </si>
  <si>
    <t>02/Mar/26 12:53 PM</t>
  </si>
  <si>
    <t>DEVRDSUP-480</t>
  </si>
  <si>
    <t>46028</t>
  </si>
  <si>
    <t>[SUP-566][REM] Request to export available coupon codes for 1 REM SKU 02/03/2026.</t>
  </si>
  <si>
    <t>02/Mar/26 11:02 AM</t>
  </si>
  <si>
    <t>19/Mar/26 10:34 AM</t>
  </si>
  <si>
    <t>DPE-299</t>
  </si>
  <si>
    <t>45883</t>
  </si>
  <si>
    <t>27/Feb/26 2:59 PM</t>
  </si>
  <si>
    <t>16/Mar/26 12:44 PM</t>
  </si>
  <si>
    <t>DPE-298</t>
  </si>
  <si>
    <t>45881</t>
  </si>
  <si>
    <t>DPE-297</t>
  </si>
  <si>
    <t>45879</t>
  </si>
  <si>
    <t>[Dev][RD][SSO-User] Backoffice Delete Account</t>
  </si>
  <si>
    <t>27/Feb/26 2:54 PM</t>
  </si>
  <si>
    <t>DPE-294</t>
  </si>
  <si>
    <t>45383</t>
  </si>
  <si>
    <t>13/Mar/26 11:51 AM</t>
  </si>
  <si>
    <t>DPE-293</t>
  </si>
  <si>
    <t>45381</t>
  </si>
  <si>
    <t>13/Mar/26 10:01 AM</t>
  </si>
  <si>
    <t>DPE-292</t>
  </si>
  <si>
    <t>45379</t>
  </si>
  <si>
    <t>13/Mar/26 11:18 AM</t>
  </si>
  <si>
    <t>DPE-291</t>
  </si>
  <si>
    <t>45377</t>
  </si>
  <si>
    <t>12/Mar/26 10:51 PM</t>
  </si>
  <si>
    <t>DPE-289</t>
  </si>
  <si>
    <t>45373</t>
  </si>
  <si>
    <t>12/Mar/26 11:39 PM</t>
  </si>
  <si>
    <t>DPE-288</t>
  </si>
  <si>
    <t>45372</t>
  </si>
  <si>
    <t>DPE-287</t>
  </si>
  <si>
    <t>45369</t>
  </si>
  <si>
    <t>DPE-286</t>
  </si>
  <si>
    <t>45367</t>
  </si>
  <si>
    <t>DPE-285</t>
  </si>
  <si>
    <t>45365</t>
  </si>
  <si>
    <t>DPE-284</t>
  </si>
  <si>
    <t>45363</t>
  </si>
  <si>
    <t>DPE-283</t>
  </si>
  <si>
    <t>45361</t>
  </si>
  <si>
    <t>DPE-282</t>
  </si>
  <si>
    <t>45359</t>
  </si>
  <si>
    <t>DPE-274</t>
  </si>
  <si>
    <t>45345</t>
  </si>
  <si>
    <t>TO BE DELETED</t>
  </si>
  <si>
    <t>27/Feb/26 3:08 PM</t>
  </si>
  <si>
    <t>DPE-271</t>
  </si>
  <si>
    <t>45337</t>
  </si>
  <si>
    <t>16/Mar/26 3:12 PM</t>
  </si>
  <si>
    <t>DPE-264</t>
  </si>
  <si>
    <t>45324</t>
  </si>
  <si>
    <t>DPE-263</t>
  </si>
  <si>
    <t>45326</t>
  </si>
  <si>
    <t>DPE-256</t>
  </si>
  <si>
    <t>45307</t>
  </si>
  <si>
    <t>19/Mar/26 12:37 PM</t>
  </si>
  <si>
    <t>DPE-255</t>
  </si>
  <si>
    <t>45305</t>
  </si>
  <si>
    <t>DPE-254</t>
  </si>
  <si>
    <t>45303</t>
  </si>
  <si>
    <t>DPE-253</t>
  </si>
  <si>
    <t>45301</t>
  </si>
  <si>
    <t>DPE-252</t>
  </si>
  <si>
    <t>45299</t>
  </si>
  <si>
    <t>DPE-251</t>
  </si>
  <si>
    <t>45297</t>
  </si>
  <si>
    <t>25/Feb/26 6:03 PM</t>
  </si>
  <si>
    <t>DPE-244</t>
  </si>
  <si>
    <t>45282</t>
  </si>
  <si>
    <t>25/Feb/26 5:56 PM</t>
  </si>
  <si>
    <t>DPE-243</t>
  </si>
  <si>
    <t>45280</t>
  </si>
  <si>
    <t>18/Mar/26 11:22 AM</t>
  </si>
  <si>
    <t>DPE-242</t>
  </si>
  <si>
    <t>45278</t>
  </si>
  <si>
    <t>DPE-241</t>
  </si>
  <si>
    <t>45276</t>
  </si>
  <si>
    <t>DPE-230</t>
  </si>
  <si>
    <t>44981</t>
  </si>
  <si>
    <t>[Dev][RD][SA] Retail Transaction Flow</t>
  </si>
  <si>
    <t>24/Feb/26 2:10 PM</t>
  </si>
  <si>
    <t>16/Mar/26 11:11 AM</t>
  </si>
  <si>
    <t>DPE-229</t>
  </si>
  <si>
    <t>44980</t>
  </si>
  <si>
    <t>[Dev][RD][PE Proxy Scheduler] Request Github Repository</t>
  </si>
  <si>
    <t>19/Mar/26 2:02 PM</t>
  </si>
  <si>
    <t>DPE-224</t>
  </si>
  <si>
    <t>44784</t>
  </si>
  <si>
    <t>[Dev][RD][PE Middleware] Database Migration</t>
  </si>
  <si>
    <t>23/Feb/26 3:39 PM</t>
  </si>
  <si>
    <t>17/Mar/26 4:32 PM</t>
  </si>
  <si>
    <t>DPE-223</t>
  </si>
  <si>
    <t>44711</t>
  </si>
  <si>
    <t>23/Feb/26 1:29 PM</t>
  </si>
  <si>
    <t>13/Mar/26 9:31 AM</t>
  </si>
  <si>
    <t>DPE-222</t>
  </si>
  <si>
    <t>44709</t>
  </si>
  <si>
    <t>DPE-221</t>
  </si>
  <si>
    <t>44707</t>
  </si>
  <si>
    <t>13/Mar/26 9:32 AM</t>
  </si>
  <si>
    <t>DPE-220</t>
  </si>
  <si>
    <t>44705</t>
  </si>
  <si>
    <t>18/Mar/26 1:42 PM</t>
  </si>
  <si>
    <t>7200 -&gt; 3600</t>
  </si>
  <si>
    <t>18/Mar/26 1:43 PM</t>
  </si>
  <si>
    <t>DPE-217</t>
  </si>
  <si>
    <t>44550</t>
  </si>
  <si>
    <t>[Dev][RD][PE Middleware] Get Merchant by id</t>
  </si>
  <si>
    <t>22/Feb/26 11:17 AM</t>
  </si>
  <si>
    <t>18/Mar/26 1:17 PM</t>
  </si>
  <si>
    <t>DPE-216</t>
  </si>
  <si>
    <t>44549</t>
  </si>
  <si>
    <t>[Dev][RD][PE Middleware] Centralized Code Generation Function</t>
  </si>
  <si>
    <t>22/Feb/26 10:19 AM</t>
  </si>
  <si>
    <t>RDTHANA-460</t>
  </si>
  <si>
    <t>44483</t>
  </si>
  <si>
    <t>CSV Generate</t>
  </si>
  <si>
    <t>20/Feb/26 3:45 PM</t>
  </si>
  <si>
    <t>RDTHANA-459</t>
  </si>
  <si>
    <t>44481</t>
  </si>
  <si>
    <t>CSV Template</t>
  </si>
  <si>
    <t>05/Mar/26 10:24 AM</t>
  </si>
  <si>
    <t>RDTHANA-458</t>
  </si>
  <si>
    <t>44479</t>
  </si>
  <si>
    <t>RDTHANA-457</t>
  </si>
  <si>
    <t>44477</t>
  </si>
  <si>
    <t>20/Feb/26 3:44 PM</t>
  </si>
  <si>
    <t>04/Mar/26 1:34 PM</t>
  </si>
  <si>
    <t>RDTHANA-456</t>
  </si>
  <si>
    <t>44475</t>
  </si>
  <si>
    <t>02/Mar/26 4:41 PM</t>
  </si>
  <si>
    <t>RDTHANA-455</t>
  </si>
  <si>
    <t>44473</t>
  </si>
  <si>
    <t>02/Mar/26 1:28 PM</t>
  </si>
  <si>
    <t>RDTHANA-454</t>
  </si>
  <si>
    <t>44471</t>
  </si>
  <si>
    <t>06/Mar/26 10:03 AM</t>
  </si>
  <si>
    <t>RDTHANA-453</t>
  </si>
  <si>
    <t>44469</t>
  </si>
  <si>
    <t>RDTHANA-452</t>
  </si>
  <si>
    <t>44467</t>
  </si>
  <si>
    <t>20/Feb/26 3:43 PM</t>
  </si>
  <si>
    <t>02/Mar/26 4:27 PM</t>
  </si>
  <si>
    <t>RDTHANA-451</t>
  </si>
  <si>
    <t>44465</t>
  </si>
  <si>
    <t>RDTHANA-450</t>
  </si>
  <si>
    <t>44430</t>
  </si>
  <si>
    <t>[DEV][RD][TDM] Create cronjob for polling master data - customer</t>
  </si>
  <si>
    <t>20/Feb/26 2:38 PM</t>
  </si>
  <si>
    <t>57600 -&gt; 28800</t>
  </si>
  <si>
    <t>DPE-215</t>
  </si>
  <si>
    <t>44364</t>
  </si>
  <si>
    <t>[Dev][RD][PE Middleware] Update Merchant by id</t>
  </si>
  <si>
    <t>20/Feb/26 11:16 AM</t>
  </si>
  <si>
    <t>DEVRDSUP-462</t>
  </si>
  <si>
    <t>44263</t>
  </si>
  <si>
    <t>[SUP-520][Rabbit connect] Unable to login to RR app with Facebook account or Apple ID</t>
  </si>
  <si>
    <t>19/Feb/26 6:42 PM</t>
  </si>
  <si>
    <t>20/Mar/26 11:00 AM</t>
  </si>
  <si>
    <t>[Dev][All Project] Sprint 19</t>
  </si>
  <si>
    <t>DPE-214</t>
  </si>
  <si>
    <t>44196</t>
  </si>
  <si>
    <t>19/Feb/26 3:40 PM</t>
  </si>
  <si>
    <t>DPE-213</t>
  </si>
  <si>
    <t>44194</t>
  </si>
  <si>
    <t>DPE-212</t>
  </si>
  <si>
    <t>44192</t>
  </si>
  <si>
    <t>DPE-211</t>
  </si>
  <si>
    <t>44190</t>
  </si>
  <si>
    <t>18/Mar/26 1:40 PM</t>
  </si>
  <si>
    <t>DRST-26</t>
  </si>
  <si>
    <t>44053</t>
  </si>
  <si>
    <t>[DEV][RD][API][SA] Find and replace VIMI API by RD API</t>
  </si>
  <si>
    <t>19/Feb/26 9:21 AM</t>
  </si>
  <si>
    <t>DRST-25</t>
  </si>
  <si>
    <t>44052</t>
  </si>
  <si>
    <t>[DEV][RD][BFF] Create new endpoint to get earn by slug</t>
  </si>
  <si>
    <t>19/Feb/26 9:16 AM</t>
  </si>
  <si>
    <t>19/Mar/26 4:09 PM</t>
  </si>
  <si>
    <t>DRST-24</t>
  </si>
  <si>
    <t>44051</t>
  </si>
  <si>
    <t>[DEV][RD][BFF] Create new endpoint to get earn by id</t>
  </si>
  <si>
    <t>19/Feb/26 9:15 AM</t>
  </si>
  <si>
    <t>12/Mar/26 3:21 PM</t>
  </si>
  <si>
    <t>DPE-206</t>
  </si>
  <si>
    <t>44010</t>
  </si>
  <si>
    <t>[Dev][RD][SSO-User] Backoffice Sync Cards</t>
  </si>
  <si>
    <t>16/Mar/26 3:40 PM</t>
  </si>
  <si>
    <t>10/Mar/26 4:05 PM</t>
  </si>
  <si>
    <t>18/Mar/26 8:55 AM</t>
  </si>
  <si>
    <t>DPE-190</t>
  </si>
  <si>
    <t>43427</t>
  </si>
  <si>
    <t>[Dev][RD][SSO-User] Offline register</t>
  </si>
  <si>
    <t>13/Feb/26 1:03 PM</t>
  </si>
  <si>
    <t>DEVRDSUP-453</t>
  </si>
  <si>
    <t>43426</t>
  </si>
  <si>
    <t>[SUP-525]SUB : Refunded txn report Search result shows “No Data Found” even though data exists</t>
  </si>
  <si>
    <t>13/Feb/26 1:02 PM</t>
  </si>
  <si>
    <t>03/Mar/26 12:00 AM</t>
  </si>
  <si>
    <t>DPE-189</t>
  </si>
  <si>
    <t>43275</t>
  </si>
  <si>
    <t>12/Feb/26 2:47 PM</t>
  </si>
  <si>
    <t>13/Mar/26 9:33 AM</t>
  </si>
  <si>
    <t>DPE-188</t>
  </si>
  <si>
    <t>43273</t>
  </si>
  <si>
    <t>12/Feb/26 2:46 PM</t>
  </si>
  <si>
    <t>23/Feb/26 4:10 PM</t>
  </si>
  <si>
    <t>DPE-183</t>
  </si>
  <si>
    <t>43119</t>
  </si>
  <si>
    <t>12/Feb/26 10:48 AM</t>
  </si>
  <si>
    <t>DPE-182</t>
  </si>
  <si>
    <t>43118</t>
  </si>
  <si>
    <t>DPE-181</t>
  </si>
  <si>
    <t>43117</t>
  </si>
  <si>
    <t>12/Feb/26 10:47 AM</t>
  </si>
  <si>
    <t>DPE-180</t>
  </si>
  <si>
    <t>43116</t>
  </si>
  <si>
    <t>11/Mar/26 10:00 AM</t>
  </si>
  <si>
    <t>20/Mar/26 9:17 AM</t>
  </si>
  <si>
    <t>20/Mar/26 11:19 AM</t>
  </si>
  <si>
    <t>19/Mar/26 11:16 AM</t>
  </si>
  <si>
    <t>18/Mar/26 9:24 AM</t>
  </si>
  <si>
    <t>17/Mar/26 11:50 AM</t>
  </si>
  <si>
    <t>13/Mar/26 3:09 PM</t>
  </si>
  <si>
    <t>RDTHANA-440</t>
  </si>
  <si>
    <t>43065</t>
  </si>
  <si>
    <t>[DEV][RD][TDM] Setup Dynamo config support Application ENV</t>
  </si>
  <si>
    <t>18/Mar/26 4:23 PM</t>
  </si>
  <si>
    <t>RDTHANA-439</t>
  </si>
  <si>
    <t>43064</t>
  </si>
  <si>
    <t>[DEV][RD][TDM] Add Hook App database connection</t>
  </si>
  <si>
    <t>10/Mar/26 3:30 PM</t>
  </si>
  <si>
    <t>RDTHANA-437</t>
  </si>
  <si>
    <t>43029</t>
  </si>
  <si>
    <t>[DEV][RD][TDM] Create cronjob for polling master data - category</t>
  </si>
  <si>
    <t>11/Feb/26 4:31 PM</t>
  </si>
  <si>
    <t>18/Mar/26 4:29 PM</t>
  </si>
  <si>
    <t>RDTHANA-436</t>
  </si>
  <si>
    <t>43028</t>
  </si>
  <si>
    <t>[DEV][RD][TDM] Create cronjob for polling master data - shop</t>
  </si>
  <si>
    <t>18/Mar/26 4:28 PM</t>
  </si>
  <si>
    <t>RDTHANA-435</t>
  </si>
  <si>
    <t>43027</t>
  </si>
  <si>
    <t>[DEV][RD][TDM] Create cronjob for polling master data - employee</t>
  </si>
  <si>
    <t>RDTHANA-434</t>
  </si>
  <si>
    <t>43026</t>
  </si>
  <si>
    <t>[DEV][RD][TDM] Create cronjob for polling master data - item</t>
  </si>
  <si>
    <t>11/Feb/26 4:12 PM</t>
  </si>
  <si>
    <t>18/Mar/26 4:30 PM</t>
  </si>
  <si>
    <t>RDTHANA-433</t>
  </si>
  <si>
    <t>43025</t>
  </si>
  <si>
    <t>[DEV][RD][TDM] Create consumer for "lightspeed-txn"</t>
  </si>
  <si>
    <t>11/Feb/26 4:10 PM</t>
  </si>
  <si>
    <t>27/Feb/26 12:00 AM</t>
  </si>
  <si>
    <t>RDTHANA-432</t>
  </si>
  <si>
    <t>42992</t>
  </si>
  <si>
    <t>[DEV][RD][TDM] Create cronjob for polling sale transaction</t>
  </si>
  <si>
    <t>11/Feb/26 3:09 PM</t>
  </si>
  <si>
    <t>18/Mar/26 4:31 PM</t>
  </si>
  <si>
    <t>19/Feb/26 12:00 AM</t>
  </si>
  <si>
    <t>16/Mar/26 11:44 AM</t>
  </si>
  <si>
    <t>RDTHANA-430</t>
  </si>
  <si>
    <t>42990</t>
  </si>
  <si>
    <t>[DEV][RD][TDM] Create LighspeedService for getToken</t>
  </si>
  <si>
    <t>11/Feb/26 2:57 PM</t>
  </si>
  <si>
    <t>18/Mar/26 4:33 PM</t>
  </si>
  <si>
    <t>13/Feb/26 12:00 AM</t>
  </si>
  <si>
    <t>10/Mar/26 2:55 PM</t>
  </si>
  <si>
    <t>DPE-174</t>
  </si>
  <si>
    <t>42542</t>
  </si>
  <si>
    <t>[Dev][RD] SSO new enviroment for non-prod</t>
  </si>
  <si>
    <t>10/Feb/26 10:29 AM</t>
  </si>
  <si>
    <t>10/Mar/26 9:39 AM</t>
  </si>
  <si>
    <t>DRST-15</t>
  </si>
  <si>
    <t>42268</t>
  </si>
  <si>
    <t>[DEV][RD][BFF] Create endpoint for get earn content</t>
  </si>
  <si>
    <t>20/Mar/26 11:06 AM</t>
  </si>
  <si>
    <t>DPE-156</t>
  </si>
  <si>
    <t>42181</t>
  </si>
  <si>
    <t>[Dev][RD][PE Middleware] Get Merchant list</t>
  </si>
  <si>
    <t>07/Feb/26 11:03 AM</t>
  </si>
  <si>
    <t>18/Mar/26 3:31 PM</t>
  </si>
  <si>
    <t>DPE-155</t>
  </si>
  <si>
    <t>42180</t>
  </si>
  <si>
    <t>[Dev][RD][PE Middleware] Create Merchant</t>
  </si>
  <si>
    <t>18/Mar/26 1:11 PM</t>
  </si>
  <si>
    <t>DPE-154</t>
  </si>
  <si>
    <t>42179</t>
  </si>
  <si>
    <t>[Dev][RD][SA][Sprint20] Analysis &amp; Task Breakdown for PE Migration Execution</t>
  </si>
  <si>
    <t>07/Feb/26 9:28 AM</t>
  </si>
  <si>
    <t>09/Mar/26 8:12 PM</t>
  </si>
  <si>
    <t>DPE-150</t>
  </si>
  <si>
    <t>42175</t>
  </si>
  <si>
    <t>[Dev][RD][PE Proxy Scheduler] Initial Project</t>
  </si>
  <si>
    <t>12/Mar/26 3:47 PM</t>
  </si>
  <si>
    <t>19/Mar/26 1:41 PM</t>
  </si>
  <si>
    <t>19/Mar/26 1:42 PM</t>
  </si>
  <si>
    <t>17/Mar/26 10:11 AM</t>
  </si>
  <si>
    <t>DEVRDSUP-421</t>
  </si>
  <si>
    <t>42045</t>
  </si>
  <si>
    <t>[SUP-479]Link Search and link # in the pop up is not redirect</t>
  </si>
  <si>
    <t>06/Feb/26 11:33 AM</t>
  </si>
  <si>
    <t>23/Feb/26 12:00 AM</t>
  </si>
  <si>
    <t>deeplink</t>
  </si>
  <si>
    <t>[Dev][All Project] Sprint 18</t>
  </si>
  <si>
    <t>20/Mar/26 9:44 AM</t>
  </si>
  <si>
    <t>19/Mar/26 4:22 PM</t>
  </si>
  <si>
    <t>19/Mar/26 3:30 PM</t>
  </si>
  <si>
    <t>17/Mar/26 2:23 PM</t>
  </si>
  <si>
    <t>13/Mar/26 11:10 AM</t>
  </si>
  <si>
    <t>13/Mar/26 5:58 PM</t>
  </si>
  <si>
    <t>RDNDA-27</t>
  </si>
  <si>
    <t>41770</t>
  </si>
  <si>
    <t>[DEV][RD][TDM] Create script for check missing ENV</t>
  </si>
  <si>
    <t>05/Feb/26 9:37 AM</t>
  </si>
  <si>
    <t>20/Mar/26 10:57 AM</t>
  </si>
  <si>
    <t>17/Mar/26 3:27 PM</t>
  </si>
  <si>
    <t>13/Mar/26 11:43 PM</t>
  </si>
  <si>
    <t>17/Mar/26 9:51 AM</t>
  </si>
  <si>
    <t>17/Mar/26 10:53 AM</t>
  </si>
  <si>
    <t>DPE-73</t>
  </si>
  <si>
    <t>41521</t>
  </si>
  <si>
    <t>[Dev][RD][SSO-User] CRM remove card</t>
  </si>
  <si>
    <t>DPE-72</t>
  </si>
  <si>
    <t>41519</t>
  </si>
  <si>
    <t>[Dev][RD][SSO-User] CRM add card</t>
  </si>
  <si>
    <t>DPE-71</t>
  </si>
  <si>
    <t>41517</t>
  </si>
  <si>
    <t>[Dev][RD][SSO-User] BSS Verify email</t>
  </si>
  <si>
    <t>04/Feb/26 10:10 AM</t>
  </si>
  <si>
    <t>DPE-70</t>
  </si>
  <si>
    <t>41515</t>
  </si>
  <si>
    <t>[Dev][RD][SSO-User] BSS Verify phone</t>
  </si>
  <si>
    <t>DPE-69</t>
  </si>
  <si>
    <t>41513</t>
  </si>
  <si>
    <t>[Dev][RD][SSO-User] BSS sync member to RR</t>
  </si>
  <si>
    <t>16/Mar/26 3:11 PM</t>
  </si>
  <si>
    <t>12/Mar/26 3:18 PM</t>
  </si>
  <si>
    <t>18/Mar/26 2:56 PM</t>
  </si>
  <si>
    <t>DPE-62</t>
  </si>
  <si>
    <t>41461</t>
  </si>
  <si>
    <t>[Dev][RD][SSO-User] Update a registration source</t>
  </si>
  <si>
    <t>03/Feb/26 8:12 PM</t>
  </si>
  <si>
    <t>DPE-61</t>
  </si>
  <si>
    <t>41459</t>
  </si>
  <si>
    <t>[Dev][RD][SSO-User] Backoffice Create a registration source</t>
  </si>
  <si>
    <t>03/Feb/26 7:43 PM</t>
  </si>
  <si>
    <t>DPE-60</t>
  </si>
  <si>
    <t>41457</t>
  </si>
  <si>
    <t>[Dev][RD][SSO-User]  Backoffice update user</t>
  </si>
  <si>
    <t>06/Feb/26 12:00 AM</t>
  </si>
  <si>
    <t>DPE-59</t>
  </si>
  <si>
    <t>41455</t>
  </si>
  <si>
    <t>[Dev][RD][SSO-User] Backoffice Remove card</t>
  </si>
  <si>
    <t>16/Mar/26 3:37 PM</t>
  </si>
  <si>
    <t>DPE-58</t>
  </si>
  <si>
    <t>41453</t>
  </si>
  <si>
    <t>[Dev][RD][SSO-User] Backoffice Add card</t>
  </si>
  <si>
    <t>DPE-56</t>
  </si>
  <si>
    <t>41449</t>
  </si>
  <si>
    <t>[Dev][RD][SSO-User] Update email</t>
  </si>
  <si>
    <t>03/Feb/26 7:42 PM</t>
  </si>
  <si>
    <t>DPE-55</t>
  </si>
  <si>
    <t>41447</t>
  </si>
  <si>
    <t>[Dev][RD][SSO-User] Verify phone</t>
  </si>
  <si>
    <t>DPE-54</t>
  </si>
  <si>
    <t>41445</t>
  </si>
  <si>
    <t>[Dev][RD][SSO-User] Verify email</t>
  </si>
  <si>
    <t>13/Mar/26 11:50 AM</t>
  </si>
  <si>
    <t>12/Mar/26 3:46 PM</t>
  </si>
  <si>
    <t>12/Mar/26 3:17 PM</t>
  </si>
  <si>
    <t>RDNDA-22</t>
  </si>
  <si>
    <t>40327</t>
  </si>
  <si>
    <t>[DEV][RD][TDM] Enhance Kinesis stream name to dynamics config</t>
  </si>
  <si>
    <t>25/Jan/26 10:47 PM</t>
  </si>
  <si>
    <t>20/Mar/26 10:55 AM</t>
  </si>
  <si>
    <t>04/Feb/26 12:00 AM</t>
  </si>
  <si>
    <t>RDNDA-21</t>
  </si>
  <si>
    <t>40326</t>
  </si>
  <si>
    <t>[DEV][RD][TDM] Enhance generic API with new data and validate with omit</t>
  </si>
  <si>
    <t>25/Jan/26 10:31 PM</t>
  </si>
  <si>
    <t>RDNDA-20</t>
  </si>
  <si>
    <t>40132</t>
  </si>
  <si>
    <t>[DEV][RD][TDM] Add idempotency key for POS transaction API</t>
  </si>
  <si>
    <t>22/Jan/26 5:10 PM</t>
  </si>
  <si>
    <t>RDNDA-19</t>
  </si>
  <si>
    <t>40131</t>
  </si>
  <si>
    <t>[DEV][RD][TDM] Create migration for access control</t>
  </si>
  <si>
    <t>22/Jan/26 5:07 PM</t>
  </si>
  <si>
    <t>20/Mar/26 10:56 AM</t>
  </si>
  <si>
    <t>RDNDA-14</t>
  </si>
  <si>
    <t>38512</t>
  </si>
  <si>
    <t>09/Jan/26 1:48 PM</t>
  </si>
  <si>
    <t>20/Mar/26 10:51 AM</t>
  </si>
  <si>
    <t>ThanaDataMart</t>
  </si>
  <si>
    <t>DPWP-18</t>
  </si>
  <si>
    <t>38437</t>
  </si>
  <si>
    <t>[Dev][RD][PWP] Initial Project Repository for Pay with Point Scheduler appp</t>
  </si>
  <si>
    <t>08/Jan/26 6:48 PM</t>
  </si>
  <si>
    <t>12/Mar/26 9:54 AM</t>
  </si>
  <si>
    <t>23/Jan/26 12:00 AM</t>
  </si>
  <si>
    <t>[Dev][RD][PWP] Sprint 16</t>
  </si>
  <si>
    <t>[Dev][RD][PWP] Sprint 17</t>
  </si>
  <si>
    <t>[Dev][RD][PWP] Sprint 18</t>
  </si>
  <si>
    <t>[Dev][RD][PWP] Sprint 19</t>
  </si>
  <si>
    <t>RDNDA-12</t>
  </si>
  <si>
    <t>38435</t>
  </si>
  <si>
    <t>[DEV][RD][TDM] Integrate Discord for error log</t>
  </si>
  <si>
    <t>08/Jan/26 5:23 PM</t>
  </si>
  <si>
    <t>20/Mar/26 10:54 AM</t>
  </si>
  <si>
    <t>RDNDA-11</t>
  </si>
  <si>
    <t>38434</t>
  </si>
  <si>
    <t>[DEV][RD][TDM] Create producer function for push kinesis data</t>
  </si>
  <si>
    <t>08/Jan/26 5:22 PM</t>
  </si>
  <si>
    <t>20/Mar/26 10:52 AM</t>
  </si>
  <si>
    <t>RDNDA-9</t>
  </si>
  <si>
    <t>38247</t>
  </si>
  <si>
    <t>[DEV][RD][TDM] Create client middleware</t>
  </si>
  <si>
    <t>07/Jan/26 5:19 PM</t>
  </si>
  <si>
    <t>RDNDA-8</t>
  </si>
  <si>
    <t>38246</t>
  </si>
  <si>
    <t>[DEV][RD][TDM] Create Push to Kinesis Consumer</t>
  </si>
  <si>
    <t>21/Jan/26 12:00 AM</t>
  </si>
  <si>
    <t>RDNDA-5</t>
  </si>
  <si>
    <t>38243</t>
  </si>
  <si>
    <t>[DEV][RD][TDM] Initial project</t>
  </si>
  <si>
    <t>07/Jan/26 5:16 PM</t>
  </si>
  <si>
    <t>10/Mar/26 10:02 AM</t>
  </si>
  <si>
    <t>13/Mar/26 10:14 AM</t>
  </si>
  <si>
    <t>19/Jan/26 2:17 PM</t>
  </si>
  <si>
    <t>DEVRDSUP-319</t>
  </si>
  <si>
    <t>36248</t>
  </si>
  <si>
    <t>[SUP-382][SUB] Request to make a package TXN with “allocating coupon“ to “fail“</t>
  </si>
  <si>
    <t>16/Dec/25 5:55 PM</t>
  </si>
  <si>
    <t>16/Mar/26 1:54 PM</t>
  </si>
  <si>
    <r>
      <rPr>
        <rFont val="Arial"/>
        <b/>
        <color theme="1"/>
      </rPr>
      <t xml:space="preserve">Resource Plan – Sprint 19 
</t>
    </r>
    <r>
      <rPr>
        <rFont val="Arial"/>
        <b/>
        <color rgb="FF6AA84F"/>
      </rPr>
      <t>23 Feb - 6 Mar</t>
    </r>
  </si>
  <si>
    <t>Allocation Datamart (days)</t>
  </si>
  <si>
    <t>Sprint 18</t>
  </si>
  <si>
    <t>DRST-57</t>
  </si>
  <si>
    <t>46476</t>
  </si>
  <si>
    <t>[QA] Test Execution UAT</t>
  </si>
  <si>
    <t>05/Mar/26 1:31 PM</t>
  </si>
  <si>
    <t>DRST-56</t>
  </si>
  <si>
    <t>46474</t>
  </si>
  <si>
    <t>DRST-55</t>
  </si>
  <si>
    <t>46472</t>
  </si>
  <si>
    <t>05/Mar/26 1:30 PM</t>
  </si>
  <si>
    <t>DRST-54</t>
  </si>
  <si>
    <t>46470</t>
  </si>
  <si>
    <t>DRST-53</t>
  </si>
  <si>
    <t>46468</t>
  </si>
  <si>
    <t>DPWP-45</t>
  </si>
  <si>
    <t>46393</t>
  </si>
  <si>
    <t>[S3][API][PWP][Create transaction] Create transaction with API does not sent "merchant_reference" in response</t>
  </si>
  <si>
    <t>04/Mar/26 3:13 PM</t>
  </si>
  <si>
    <t>05/Mar/26 2:09 PM</t>
  </si>
  <si>
    <t>DPWP-43</t>
  </si>
  <si>
    <t>46351</t>
  </si>
  <si>
    <t>[TP][HOP PWP] Sprint#18 API</t>
  </si>
  <si>
    <t>04/Mar/26 2:25 PM</t>
  </si>
  <si>
    <t>Test Set</t>
  </si>
  <si>
    <t>DPWP-42</t>
  </si>
  <si>
    <t>46350</t>
  </si>
  <si>
    <t>[TS][API] HOP Pay With Points API</t>
  </si>
  <si>
    <t>04/Mar/26 2:23 PM</t>
  </si>
  <si>
    <t>04/Mar/26 2:26 PM</t>
  </si>
  <si>
    <t>DEVRDSUP-486</t>
  </si>
  <si>
    <t>46243</t>
  </si>
  <si>
    <t>[SUP-570][SUB] Receipt is not generated after SUB transaction is made (2-3 MAR 2026)</t>
  </si>
  <si>
    <t>04/Mar/26 10:47 AM</t>
  </si>
  <si>
    <t>04/Mar/26 11:03 AM</t>
  </si>
  <si>
    <t>05/Mar/26 2:31 PM</t>
  </si>
  <si>
    <t>04/Mar/26 12:00 PM</t>
  </si>
  <si>
    <t>01/Mar/26 8:41 PM</t>
  </si>
  <si>
    <t>04/Mar/26 11:18 AM</t>
  </si>
  <si>
    <t>05/Mar/26 4:51 PM</t>
  </si>
  <si>
    <t>DEVRDSUP-477</t>
  </si>
  <si>
    <t>45778</t>
  </si>
  <si>
    <t>[SUP-562][SUB] Receipt is not generated after SUB transaction is made (27 FEB 2026)</t>
  </si>
  <si>
    <t>27/Feb/26 12:11 PM</t>
  </si>
  <si>
    <t>27/Feb/26 4:39 PM</t>
  </si>
  <si>
    <t>DEVRDSUP-472</t>
  </si>
  <si>
    <t>45699</t>
  </si>
  <si>
    <t>[SUP-557]Get list of customer who still have ticket in his/her account</t>
  </si>
  <si>
    <t>26/Feb/26 8:44 PM</t>
  </si>
  <si>
    <t>06/Mar/26 9:00 AM</t>
  </si>
  <si>
    <t>challenge</t>
  </si>
  <si>
    <t>vimi</t>
  </si>
  <si>
    <t>RDAPS-423</t>
  </si>
  <si>
    <t>45632</t>
  </si>
  <si>
    <t>[DEV][RD][Investigate] Check RLPxCleverTap binding Dec 2025</t>
  </si>
  <si>
    <t>26/Feb/26 6:08 PM</t>
  </si>
  <si>
    <t>26/Feb/26 6:10 PM</t>
  </si>
  <si>
    <t>DRST-39</t>
  </si>
  <si>
    <t>45528</t>
  </si>
  <si>
    <t>[DEV][RD][SA][UAT] Partners &amp; benefit manual operation testing</t>
  </si>
  <si>
    <t>26/Feb/26 2:06 PM</t>
  </si>
  <si>
    <t>DRST-38</t>
  </si>
  <si>
    <t>45495</t>
  </si>
  <si>
    <t>[QA] Create Test Case</t>
  </si>
  <si>
    <t>26/Feb/26 1:21 PM</t>
  </si>
  <si>
    <t>26/Feb/26 2:01 PM</t>
  </si>
  <si>
    <t>DEVRDSUP-470</t>
  </si>
  <si>
    <t>45424</t>
  </si>
  <si>
    <t>[SUP-554][SUB] Request to disable credit card payment method for BBL flow verification prior to launch 26/02/2026</t>
  </si>
  <si>
    <t>26/Feb/26 10:38 AM</t>
  </si>
  <si>
    <t>25/Feb/26 7:02 PM</t>
  </si>
  <si>
    <t>04/Mar/26 10:20 AM</t>
  </si>
  <si>
    <t>04/Mar/26 10:21 AM</t>
  </si>
  <si>
    <t>04/Mar/26 11:14 AM</t>
  </si>
  <si>
    <t>04/Mar/26 9:22 PM</t>
  </si>
  <si>
    <t>04/Mar/26 5:49 PM</t>
  </si>
  <si>
    <t>04/Mar/26 9:32 PM</t>
  </si>
  <si>
    <t>25/Feb/26 5:58 PM</t>
  </si>
  <si>
    <t>04/Mar/26 9:05 PM</t>
  </si>
  <si>
    <t>04/Mar/26 4:44 PM</t>
  </si>
  <si>
    <t>27/Feb/26 6:19 PM</t>
  </si>
  <si>
    <t>04/Mar/26 4:20 PM</t>
  </si>
  <si>
    <t>04/Mar/26 4:09 PM</t>
  </si>
  <si>
    <t>DEVRDSUP-469</t>
  </si>
  <si>
    <t>45210</t>
  </si>
  <si>
    <t>[SUP-548]Turtle Shop Deal Extension</t>
  </si>
  <si>
    <t>25/Feb/26 2:35 PM</t>
  </si>
  <si>
    <t>27/Feb/26 5:52 PM</t>
  </si>
  <si>
    <t>DRST-37</t>
  </si>
  <si>
    <t>45167</t>
  </si>
  <si>
    <t>25/Feb/26 1:36 PM</t>
  </si>
  <si>
    <t>25/Feb/26 4:47 PM</t>
  </si>
  <si>
    <t>DRST-36</t>
  </si>
  <si>
    <t>45165</t>
  </si>
  <si>
    <t>25/Feb/26 1:35 PM</t>
  </si>
  <si>
    <t>DRST-35</t>
  </si>
  <si>
    <t>45163</t>
  </si>
  <si>
    <t>25/Feb/26 1:26 PM</t>
  </si>
  <si>
    <t>DRST-34</t>
  </si>
  <si>
    <t>45129</t>
  </si>
  <si>
    <t>25/Feb/26 11:34 AM</t>
  </si>
  <si>
    <t>25/Feb/26 11:51 AM</t>
  </si>
  <si>
    <t>DRST-33</t>
  </si>
  <si>
    <t>45125</t>
  </si>
  <si>
    <t>25/Feb/26 10:04 AM</t>
  </si>
  <si>
    <t>04/Mar/26 3:27 PM</t>
  </si>
  <si>
    <t>DRST-32</t>
  </si>
  <si>
    <t>45123</t>
  </si>
  <si>
    <t>DRST-31</t>
  </si>
  <si>
    <t>45121</t>
  </si>
  <si>
    <t>25/Feb/26 10:03 AM</t>
  </si>
  <si>
    <t>DRST-30</t>
  </si>
  <si>
    <t>45119</t>
  </si>
  <si>
    <t>DRST-29</t>
  </si>
  <si>
    <t>45117</t>
  </si>
  <si>
    <t>DEVRDSUP-467</t>
  </si>
  <si>
    <t>45058</t>
  </si>
  <si>
    <t>[SUP-550]SUB : Disable Credit/Debit Card Payment for BBL Package</t>
  </si>
  <si>
    <t>24/Feb/26 5:07 PM</t>
  </si>
  <si>
    <t>25/Feb/26 1:57 PM</t>
  </si>
  <si>
    <t>25/Feb/26 12:00 AM</t>
  </si>
  <si>
    <t>DEVRDSUP-466</t>
  </si>
  <si>
    <t>44991</t>
  </si>
  <si>
    <t>[SUP-551][BUReq][SSO][UAT] Request from BSS to unbind wallet cards from SSO on UAT 24/02/2026</t>
  </si>
  <si>
    <t>24/Feb/26 3:40 PM</t>
  </si>
  <si>
    <t>26/Feb/26 2:03 PM</t>
  </si>
  <si>
    <t>24/Feb/26 12:00 AM</t>
  </si>
  <si>
    <t>27/Feb/26 11:11 AM</t>
  </si>
  <si>
    <t>Task</t>
  </si>
  <si>
    <t>DM-189</t>
  </si>
  <si>
    <t>44936</t>
  </si>
  <si>
    <t>[DEV][RD][AWSTH] Verify Database replication for RR Member Acquisition and RR Athena</t>
  </si>
  <si>
    <t>24/Feb/26 11:37 AM</t>
  </si>
  <si>
    <t>05/Mar/26 6:05 PM</t>
  </si>
  <si>
    <t>[Dev][RD][AWS] Sprint 19</t>
  </si>
  <si>
    <t>04/Mar/26 10:31 AM</t>
  </si>
  <si>
    <t>DPWP-41</t>
  </si>
  <si>
    <t>44782</t>
  </si>
  <si>
    <t>[QA] (On STG) Test execution API to cancel transaction</t>
  </si>
  <si>
    <t>23/Feb/26 3:24 PM</t>
  </si>
  <si>
    <t>23/Feb/26 3:31 PM</t>
  </si>
  <si>
    <t>DPWP-40</t>
  </si>
  <si>
    <t>44778</t>
  </si>
  <si>
    <t>[QA] Create test case API to cancel transaction</t>
  </si>
  <si>
    <t>23/Feb/26 3:23 PM</t>
  </si>
  <si>
    <t>27/Feb/26 3:15 PM</t>
  </si>
  <si>
    <t>05/Mar/26 1:40 PM</t>
  </si>
  <si>
    <t>04/Mar/26 3:43 PM</t>
  </si>
  <si>
    <t>05/Mar/26 10:08 AM</t>
  </si>
  <si>
    <t>05/Mar/26 11:14 AM</t>
  </si>
  <si>
    <t>05/Mar/26 9:56 AM</t>
  </si>
  <si>
    <t>DEVRDSUP-463</t>
  </si>
  <si>
    <t>44397</t>
  </si>
  <si>
    <t>[SUP-544][Member Account] Cannot terminate/delete account ID: 32123252 please check</t>
  </si>
  <si>
    <t>20/Feb/26 11:38 AM</t>
  </si>
  <si>
    <t>06/Mar/26 8:59 AM</t>
  </si>
  <si>
    <t>05/Mar/26 2:20 PM</t>
  </si>
  <si>
    <t>25/Feb/26 2:09 PM</t>
  </si>
  <si>
    <t>04/Mar/26 9:15 AM</t>
  </si>
  <si>
    <t>DEVRDSUP-460</t>
  </si>
  <si>
    <t>44014</t>
  </si>
  <si>
    <t>[SUP-540]SUB : TXN Report – Some Columns Have Missing Data</t>
  </si>
  <si>
    <t>18/Feb/26 3:50 PM</t>
  </si>
  <si>
    <t>05/Mar/26 2:14 PM</t>
  </si>
  <si>
    <t>05/Mar/26 3:33 PM</t>
  </si>
  <si>
    <t>05/Mar/26 3:32 PM</t>
  </si>
  <si>
    <t>25/Feb/26 4:11 PM</t>
  </si>
  <si>
    <t>04/Mar/26 9:35 AM</t>
  </si>
  <si>
    <t>24/Feb/26 11:09 AM</t>
  </si>
  <si>
    <t>04/Mar/26 1:25 PM</t>
  </si>
  <si>
    <t>DEVRDSUP-450</t>
  </si>
  <si>
    <t>43352</t>
  </si>
  <si>
    <t>[SUP-531][HRSolution] HR solution Reward distribution feature, import col mismatched with template.</t>
  </si>
  <si>
    <t>13/Feb/26 9:51 AM</t>
  </si>
  <si>
    <t>05/Mar/26 3:08 PM</t>
  </si>
  <si>
    <t>04/Mar/26 9:45 AM</t>
  </si>
  <si>
    <t>05/Mar/26 1:12 PM</t>
  </si>
  <si>
    <t>04/Mar/26 9:33 AM</t>
  </si>
  <si>
    <t>27/Feb/26 3:03 PM</t>
  </si>
  <si>
    <t>24/Feb/26 1:40 PM</t>
  </si>
  <si>
    <t>04/Mar/26 10:09 AM</t>
  </si>
  <si>
    <t>02/Mar/26 11:41 AM</t>
  </si>
  <si>
    <t>DRST-13</t>
  </si>
  <si>
    <t>42266</t>
  </si>
  <si>
    <t>[DEV][RD][BOF] Create feature structure for earn content management</t>
  </si>
  <si>
    <t>08/Feb/26 9:28 PM</t>
  </si>
  <si>
    <t>05/Mar/26 10:47 AM</t>
  </si>
  <si>
    <t>DRST-12</t>
  </si>
  <si>
    <t>42265</t>
  </si>
  <si>
    <t>[DEV][RD][BOF] Create edit earn form page</t>
  </si>
  <si>
    <t>08/Feb/26 9:26 PM</t>
  </si>
  <si>
    <t>DRST-11</t>
  </si>
  <si>
    <t>42264</t>
  </si>
  <si>
    <t>[DEV][RD][BOF]  Implement create form for earn content</t>
  </si>
  <si>
    <t>08/Feb/26 9:25 PM</t>
  </si>
  <si>
    <t>DRST-10</t>
  </si>
  <si>
    <t>42263</t>
  </si>
  <si>
    <t>[DEV][RD][BOF] Create earn content index page</t>
  </si>
  <si>
    <t>DRST-8</t>
  </si>
  <si>
    <t>42261</t>
  </si>
  <si>
    <t>[DEV][RD][CMS API] Create migration for earn contents</t>
  </si>
  <si>
    <t>08/Feb/26 9:01 PM</t>
  </si>
  <si>
    <t>09/Feb/26 12:00 AM</t>
  </si>
  <si>
    <t>05/Mar/26 2:27 PM</t>
  </si>
  <si>
    <t>04/Mar/26 5:11 PM</t>
  </si>
  <si>
    <t>25/Feb/26 8:07 AM</t>
  </si>
  <si>
    <t>04/Mar/26 3:42 PM</t>
  </si>
  <si>
    <t>05/Mar/26 4:41 PM</t>
  </si>
  <si>
    <t>05/Mar/26 4:38 PM</t>
  </si>
  <si>
    <t>05/Mar/26 4:36 PM</t>
  </si>
  <si>
    <t>05/Mar/26 3:18 PM</t>
  </si>
  <si>
    <t>05/Mar/26 3:19 PM</t>
  </si>
  <si>
    <t>24/Feb/26 9:59 AM</t>
  </si>
  <si>
    <t>05/Mar/26 3:29 PM</t>
  </si>
  <si>
    <t>05/Mar/26 5:11 PM</t>
  </si>
  <si>
    <t>05/Mar/26 3:28 PM</t>
  </si>
  <si>
    <t>05/Mar/26 3:31 PM</t>
  </si>
  <si>
    <t>05/Mar/26 3:30 PM</t>
  </si>
  <si>
    <t>05/Mar/26 4:33 PM</t>
  </si>
  <si>
    <t>04/Mar/26 11:22 AM</t>
  </si>
  <si>
    <t>05/Mar/26 3:54 PM</t>
  </si>
  <si>
    <t>05/Mar/26 3:13 PM</t>
  </si>
  <si>
    <t>DEVRDSUP-406</t>
  </si>
  <si>
    <t>41284</t>
  </si>
  <si>
    <t>[SUP-481][Urgent] Turtle Auto push coupon failed</t>
  </si>
  <si>
    <t>03/Feb/26 11:08 AM</t>
  </si>
  <si>
    <t>24/Feb/26 2:09 PM</t>
  </si>
  <si>
    <t>DPWP-39</t>
  </si>
  <si>
    <t>40985</t>
  </si>
  <si>
    <t>[QA] (On STG) Test execution process payment expiration (transaction status = 'expired')</t>
  </si>
  <si>
    <t>29/Jan/26 7:53 PM</t>
  </si>
  <si>
    <t>DPWP-38</t>
  </si>
  <si>
    <t>40983</t>
  </si>
  <si>
    <t>[QA] (On STG) Test execution process payment after customer confirm payment with [BFF] API</t>
  </si>
  <si>
    <t>29/Jan/26 7:52 PM</t>
  </si>
  <si>
    <t>DPWP-37</t>
  </si>
  <si>
    <t>40981</t>
  </si>
  <si>
    <t>[QA] (On STG) Test execution process payment after customer scans QR with [BFF] API</t>
  </si>
  <si>
    <t>29/Jan/26 7:50 PM</t>
  </si>
  <si>
    <t>23/Feb/26 3:29 PM</t>
  </si>
  <si>
    <t>DPWP-36</t>
  </si>
  <si>
    <t>40979</t>
  </si>
  <si>
    <t>[QA] (On STG) Test execution refund transaction and reverse points with API</t>
  </si>
  <si>
    <t>29/Jan/26 7:49 PM</t>
  </si>
  <si>
    <t>DPWP-35</t>
  </si>
  <si>
    <t>40977</t>
  </si>
  <si>
    <t>[QA] Test execution mark transaction as completed after merchant confirms order with API (On Staging)</t>
  </si>
  <si>
    <t>29/Jan/26 7:47 PM</t>
  </si>
  <si>
    <t>29/Jan/26 7:48 PM</t>
  </si>
  <si>
    <t>DPWP-34</t>
  </si>
  <si>
    <t>40975</t>
  </si>
  <si>
    <t>[QA] (On STG) Test execution process payment after customer confirm payment with API</t>
  </si>
  <si>
    <t>29/Jan/26 7:46 PM</t>
  </si>
  <si>
    <t>23/Feb/26 3:28 PM</t>
  </si>
  <si>
    <t>DPWP-33</t>
  </si>
  <si>
    <t>40662</t>
  </si>
  <si>
    <t>[QA] Create test case process payment expiration (transaction status = 'expired')</t>
  </si>
  <si>
    <t>28/Jan/26 10:36 AM</t>
  </si>
  <si>
    <t>DPWP-32</t>
  </si>
  <si>
    <t>40660</t>
  </si>
  <si>
    <t>[QA] Create test case [BFF] API to process payment after customer confirm payment</t>
  </si>
  <si>
    <t>28/Jan/26 10:34 AM</t>
  </si>
  <si>
    <t>DPWP-31</t>
  </si>
  <si>
    <t>40657</t>
  </si>
  <si>
    <t>[QA] Create test case [BFF] API to process payment after customer scans QR</t>
  </si>
  <si>
    <t>26/Feb/26 3:39 PM</t>
  </si>
  <si>
    <t>DPWP-30</t>
  </si>
  <si>
    <t>40620</t>
  </si>
  <si>
    <t>[QA] (On STG) Test execution retrieve a transaction information with API</t>
  </si>
  <si>
    <t>27/Jan/26 5:15 PM</t>
  </si>
  <si>
    <t>DPWP-29</t>
  </si>
  <si>
    <t>40618</t>
  </si>
  <si>
    <t>[QA] (On STG) Test execution process payment after customer scans QR with API</t>
  </si>
  <si>
    <t>27/Jan/26 5:03 PM</t>
  </si>
  <si>
    <t>05/Mar/26 3:52 PM</t>
  </si>
  <si>
    <t>DPWP-28</t>
  </si>
  <si>
    <t>40616</t>
  </si>
  <si>
    <t>[QA] (On STG) Test execution create a new Point Payment transaction with API</t>
  </si>
  <si>
    <t>27/Jan/26 5:01 PM</t>
  </si>
  <si>
    <t>05/Mar/26 3:48 PM</t>
  </si>
  <si>
    <t>DM-182</t>
  </si>
  <si>
    <t>40478</t>
  </si>
  <si>
    <t>[DEV][RD][AWSTH] Verify API Gateway on dev environment</t>
  </si>
  <si>
    <t>27/Jan/26 10:08 AM</t>
  </si>
  <si>
    <t>[Dev][RD][AWS] Sprint 17</t>
  </si>
  <si>
    <t>[Dev][RD][AWS] Sprint 18</t>
  </si>
  <si>
    <t>27/Feb/26 9:25 AM</t>
  </si>
  <si>
    <t>DPWP-27</t>
  </si>
  <si>
    <t>39934</t>
  </si>
  <si>
    <t>[QA] Create test case refund transaction and reverse points API</t>
  </si>
  <si>
    <t>21/Jan/26 10:09 AM</t>
  </si>
  <si>
    <t>26/Feb/26 12:46 AM</t>
  </si>
  <si>
    <t>DPWP-26</t>
  </si>
  <si>
    <t>39932</t>
  </si>
  <si>
    <t>[QA] Create test case mark transaction as completed after merchant confirms order API</t>
  </si>
  <si>
    <t>19/Feb/26 4:53 PM</t>
  </si>
  <si>
    <t>DPWP-25</t>
  </si>
  <si>
    <t>39930</t>
  </si>
  <si>
    <t>[QA] Create test case process payment after customer confirm payment API</t>
  </si>
  <si>
    <t>21/Jan/26 10:08 AM</t>
  </si>
  <si>
    <t>12/Feb/26 4:37 PM</t>
  </si>
  <si>
    <t>DPWP-24</t>
  </si>
  <si>
    <t>39928</t>
  </si>
  <si>
    <t>[QA] Create test case retrieve a transaction information API</t>
  </si>
  <si>
    <t>21/Jan/26 10:07 AM</t>
  </si>
  <si>
    <t>23/Feb/26 3:19 PM</t>
  </si>
  <si>
    <t>DPWP-23</t>
  </si>
  <si>
    <t>39926</t>
  </si>
  <si>
    <t>[QA] Create test case process payment after customer scans QR API</t>
  </si>
  <si>
    <t>21/Jan/26 10:06 AM</t>
  </si>
  <si>
    <t>DPWP-22</t>
  </si>
  <si>
    <t>39924</t>
  </si>
  <si>
    <t>[QA] Create test case create a new Point Payment transaction API</t>
  </si>
  <si>
    <t>DPWP-21</t>
  </si>
  <si>
    <t>38478</t>
  </si>
  <si>
    <t>[Dev][RD][PWP] Create API to cancel transaction to support point reservation rule</t>
  </si>
  <si>
    <t>09/Jan/26 11:32 AM</t>
  </si>
  <si>
    <t>04/Mar/26 11:40 AM</t>
  </si>
  <si>
    <t>09/Feb/26 11:04 AM</t>
  </si>
  <si>
    <t>05/Mar/26 3:14 PM</t>
  </si>
  <si>
    <t>DPWP-16</t>
  </si>
  <si>
    <t>38207</t>
  </si>
  <si>
    <t>[Dev][RD][PWP] Implement cronjob to process payment expiration</t>
  </si>
  <si>
    <t>07/Jan/26 3:26 PM</t>
  </si>
  <si>
    <t>20/Feb/26 11:19 AM</t>
  </si>
  <si>
    <t>DPWP-15</t>
  </si>
  <si>
    <t>38057</t>
  </si>
  <si>
    <t>[Dev][RD][BFF] Create API to process payment after customer confirm payment</t>
  </si>
  <si>
    <t>06/Jan/26 6:58 PM</t>
  </si>
  <si>
    <t>04/Mar/26 11:32 AM</t>
  </si>
  <si>
    <t>03/Feb/26 12:00 AM</t>
  </si>
  <si>
    <t>DPWP-14</t>
  </si>
  <si>
    <t>38056</t>
  </si>
  <si>
    <t>[Dev][RD][BFF] Create API to process payment after customer scans QR</t>
  </si>
  <si>
    <t>06/Jan/26 6:57 PM</t>
  </si>
  <si>
    <t>04/Mar/26 11:24 AM</t>
  </si>
  <si>
    <t>DPWP-13</t>
  </si>
  <si>
    <t>38055</t>
  </si>
  <si>
    <t>[Dev][RD][PWP] Create API to refund transaction and reverse points</t>
  </si>
  <si>
    <t>06/Jan/26 6:55 PM</t>
  </si>
  <si>
    <t>04/Mar/26 11:35 AM</t>
  </si>
  <si>
    <t>DPWP-12</t>
  </si>
  <si>
    <t>38054</t>
  </si>
  <si>
    <t>[Dev][RD][PWP] Create API to mark transaction as completed after merchant confirms order</t>
  </si>
  <si>
    <t>06/Jan/26 6:52 PM</t>
  </si>
  <si>
    <t>04/Mar/26 11:34 AM</t>
  </si>
  <si>
    <t>DPWP-11</t>
  </si>
  <si>
    <t>38053</t>
  </si>
  <si>
    <t>[Dev][RD][PWP] Create API to process payment after customer confirm payment</t>
  </si>
  <si>
    <t>06/Jan/26 6:47 PM</t>
  </si>
  <si>
    <t>04/Mar/26 11:31 AM</t>
  </si>
  <si>
    <t>DPWP-10</t>
  </si>
  <si>
    <t>37976</t>
  </si>
  <si>
    <t>[Dev][RD][PWP] Create API to retrieve a transaction information</t>
  </si>
  <si>
    <t>06/Jan/26 11:10 AM</t>
  </si>
  <si>
    <t>04/Mar/26 11:26 AM</t>
  </si>
  <si>
    <t>20/Jan/26 12:00 AM</t>
  </si>
  <si>
    <t>DPWP-9</t>
  </si>
  <si>
    <t>37926</t>
  </si>
  <si>
    <t>[Dev][RD][PWP] Create API to process payment after customer scans QR</t>
  </si>
  <si>
    <t>05/Jan/26 6:06 PM</t>
  </si>
  <si>
    <t>DPWP-8</t>
  </si>
  <si>
    <t>37906</t>
  </si>
  <si>
    <t>[Dev][RD][PWP] Create API to create a new Point Payment transaction</t>
  </si>
  <si>
    <t>05/Jan/26 1:25 PM</t>
  </si>
  <si>
    <t>19/Jan/26 12:00 AM</t>
  </si>
  <si>
    <t>pay-with-point-api</t>
  </si>
  <si>
    <t>23/Feb/26 4:25 PM</t>
  </si>
  <si>
    <t>DEVRDSUP-300</t>
  </si>
  <si>
    <t>35666</t>
  </si>
  <si>
    <t>[SUP-363][Club][HR Solution] Club tier order can't be updated</t>
  </si>
  <si>
    <t>11/Dec/25 12:23 AM</t>
  </si>
  <si>
    <t>24/Feb/26 12:59 PM</t>
  </si>
  <si>
    <t>25/Dec/25 12:00 AM</t>
  </si>
  <si>
    <t>mid-sprint</t>
  </si>
  <si>
    <t>[Dev][All Project] Sprint 14</t>
  </si>
  <si>
    <t>DEVRDSUP-299</t>
  </si>
  <si>
    <t>35664</t>
  </si>
  <si>
    <t>[SUP-362][SUB] Package TXNs is "Expired" and payment was completed but SUB TXN report shows payment fail and last TXN update was change on Nov while TXN was expired since Aug.</t>
  </si>
  <si>
    <t>10/Dec/25 5:36 PM</t>
  </si>
  <si>
    <t>24/Feb/26 1:08 PM</t>
  </si>
  <si>
    <t>08/Jan/26 12:00 AM</t>
  </si>
  <si>
    <t>2 ครั้ง 
1. 3 คน
2. 2 คน</t>
  </si>
  <si>
    <t>Das Haus
- Thana City &amp; Das Haus</t>
  </si>
  <si>
    <t>E-commerce
1.1. E-Commerce x Shopify Plus
1.2. Shopify:Snackmaker
1.3. Shopify: Turtle Delivery
1.4. Shopify: Turtle Delivery</t>
  </si>
  <si>
    <t>CleverTap
- MKT Automation Tool</t>
  </si>
  <si>
    <t>Adjust Integration</t>
  </si>
  <si>
    <t>Adhoc
- Non-Epics
- Turtle Display club tier on POS
- Data Mart Migration</t>
  </si>
  <si>
    <t>Support Incidents</t>
  </si>
  <si>
    <t>Sprint 17</t>
  </si>
  <si>
    <t>RDAPS-420</t>
  </si>
  <si>
    <t>44296</t>
  </si>
  <si>
    <t>[DEV][RD][SSO Backoffice] Request access to SSO back office for Support My Rabbit project</t>
  </si>
  <si>
    <t>20/Feb/26 9:04 AM</t>
  </si>
  <si>
    <t>20/Feb/26 9:05 AM</t>
  </si>
  <si>
    <t>19/Feb/26 3:41 PM</t>
  </si>
  <si>
    <t>19/Feb/26 10:38 AM</t>
  </si>
  <si>
    <t>DM-188</t>
  </si>
  <si>
    <t>44007</t>
  </si>
  <si>
    <t>[AWS][RD][DEV] RR BackOffice Update query lat,lon with compatible with MySQL</t>
  </si>
  <si>
    <t>18/Feb/26 2:28 PM</t>
  </si>
  <si>
    <t>18/Feb/26 2:29 PM</t>
  </si>
  <si>
    <t>DEVRDSUP-458</t>
  </si>
  <si>
    <t>43840</t>
  </si>
  <si>
    <t>[SUP-538][Turtle] Request to export logs for SMS delay case analysis for super turtle.</t>
  </si>
  <si>
    <t>16/Feb/26 7:20 PM</t>
  </si>
  <si>
    <t>20/Feb/26 9:09 AM</t>
  </si>
  <si>
    <t>DM-186</t>
  </si>
  <si>
    <t>43600</t>
  </si>
  <si>
    <t>[DEV][RD][AWSTH] Merchant API Cleanup Unused Code After Migration #2</t>
  </si>
  <si>
    <t>15/Feb/26 11:55 AM</t>
  </si>
  <si>
    <t>15/Feb/26 12:36 PM</t>
  </si>
  <si>
    <t>20/Feb/26 12:00 AM</t>
  </si>
  <si>
    <t>19/Feb/26 2:28 PM</t>
  </si>
  <si>
    <t>DEVRDSUP-451</t>
  </si>
  <si>
    <t>43388</t>
  </si>
  <si>
    <t>[SUP-533][SUB] Receipt is not generated after SUB transaction is made (13 FEB 2026)</t>
  </si>
  <si>
    <t>13/Feb/26 11:08 AM</t>
  </si>
  <si>
    <t>13/Feb/26 11:17 AM</t>
  </si>
  <si>
    <t>RDAPS-418</t>
  </si>
  <si>
    <t>43353</t>
  </si>
  <si>
    <t>[DEV][RD][HRS] Import member status not change when completed both of instant and scheduled</t>
  </si>
  <si>
    <t>13/Feb/26 10:02 AM</t>
  </si>
  <si>
    <t>19/Feb/26 4:29 PM</t>
  </si>
  <si>
    <t>20/Feb/26 10:09 AM</t>
  </si>
  <si>
    <t>DEVRDSUP-445</t>
  </si>
  <si>
    <t>43312</t>
  </si>
  <si>
    <t>[SUP-526]Urgent! [SUB] CS- 20260200024941/ PromptPay// ซื้อแล้วไม่ได้รับแพ็กเกจ สถานะ Payment Gateway Dashboard เป็น Cancelled</t>
  </si>
  <si>
    <t>12/Feb/26 4:58 PM</t>
  </si>
  <si>
    <t>13/Feb/26 11:21 AM</t>
  </si>
  <si>
    <t>init-pack</t>
  </si>
  <si>
    <t>12/Feb/26 2:49 PM</t>
  </si>
  <si>
    <t>RDNDA-30</t>
  </si>
  <si>
    <t>43076</t>
  </si>
  <si>
    <t>[DEV][RD][TDM][SA] Update API doc for support idempotency</t>
  </si>
  <si>
    <t>11/Feb/26 6:53 PM</t>
  </si>
  <si>
    <t>DRST-19</t>
  </si>
  <si>
    <t>43074</t>
  </si>
  <si>
    <t>[DEV][RD][SA] Partner instruction manual</t>
  </si>
  <si>
    <t>11/Feb/26 6:49 PM</t>
  </si>
  <si>
    <t>18/Feb/26 4:27 PM</t>
  </si>
  <si>
    <t>19/Feb/26 9:09 PM</t>
  </si>
  <si>
    <t>11/Feb/26 7:00 PM</t>
  </si>
  <si>
    <t>20/Feb/26 9:29 AM</t>
  </si>
  <si>
    <t>RDAPS-408</t>
  </si>
  <si>
    <t>42576</t>
  </si>
  <si>
    <t>[DEV][RD][HRS] Increase maximum and response time for API</t>
  </si>
  <si>
    <t>10/Feb/26 11:08 AM</t>
  </si>
  <si>
    <t>19/Feb/26 9:30 PM</t>
  </si>
  <si>
    <t>19/Feb/26 11:24 AM</t>
  </si>
  <si>
    <t>DRST-16</t>
  </si>
  <si>
    <t>42509</t>
  </si>
  <si>
    <t>[DEV][RD][SA] Design and mapping earn content api</t>
  </si>
  <si>
    <t>10/Feb/26 10:04 AM</t>
  </si>
  <si>
    <t>20/Feb/26 9:41 AM</t>
  </si>
  <si>
    <t>20/Feb/26 9:22 AM</t>
  </si>
  <si>
    <t>19/Feb/26 2:07 PM</t>
  </si>
  <si>
    <t>DPE-168</t>
  </si>
  <si>
    <t>42225</t>
  </si>
  <si>
    <t>[Dev][RD][PE Middleware] APIs Specification</t>
  </si>
  <si>
    <t>07/Feb/26 7:26 PM</t>
  </si>
  <si>
    <t>20/Feb/26 10:08 AM</t>
  </si>
  <si>
    <t>DPE-164</t>
  </si>
  <si>
    <t>42221</t>
  </si>
  <si>
    <t>[Dev][RD][Blocker] Pending final solution – awaiting alignment with DA and CleverTap technical teams</t>
  </si>
  <si>
    <t>07/Feb/26 4:05 PM</t>
  </si>
  <si>
    <t>18/Feb/26 2:59 PM</t>
  </si>
  <si>
    <t>DPE-163</t>
  </si>
  <si>
    <t>42220</t>
  </si>
  <si>
    <t>[Dev][RD][Blocker] Business dependency: CleverTap sandbox required for POC &amp; integration testing</t>
  </si>
  <si>
    <t>07/Feb/26 4:00 PM</t>
  </si>
  <si>
    <t>13/Feb/26 1:16 PM</t>
  </si>
  <si>
    <t>DPE-161</t>
  </si>
  <si>
    <t>42218</t>
  </si>
  <si>
    <t>[Dev][RD][Blocker] Final solution for PE</t>
  </si>
  <si>
    <t>07/Feb/26 3:43 PM</t>
  </si>
  <si>
    <t>DPE-153</t>
  </si>
  <si>
    <t>42178</t>
  </si>
  <si>
    <t>[Dev][RD][SSO-User] [POC]POC – Internal Trader ID generation without creating member in Point Engine</t>
  </si>
  <si>
    <t>07/Feb/26 8:25 AM</t>
  </si>
  <si>
    <t>12/Feb/26 10:51 AM</t>
  </si>
  <si>
    <t>19/Feb/26 4:28 PM</t>
  </si>
  <si>
    <t>DEVRDSUP-423</t>
  </si>
  <si>
    <t>42124</t>
  </si>
  <si>
    <t>[SUP-497][Binding] #20251200022494 Binding RRxLP ข้อมูลเวลาไม่ตรงกัน</t>
  </si>
  <si>
    <t>06/Feb/26 6:10 PM</t>
  </si>
  <si>
    <t>19/Feb/26 10:44 AM</t>
  </si>
  <si>
    <t>lp</t>
  </si>
  <si>
    <t>pdpa</t>
  </si>
  <si>
    <t>DEVRDSUP-422</t>
  </si>
  <si>
    <t>42116</t>
  </si>
  <si>
    <t>[SUP-495][RR Account] CS- 20260200024747 Kindly check 1 Rabbit Card Wallet but has 2 SSO ID [Member ID: 32834438, Member ID 32834826] SN 0884013063815</t>
  </si>
  <si>
    <t>06/Feb/26 3:20 PM</t>
  </si>
  <si>
    <t>18/Feb/26 3:56 PM</t>
  </si>
  <si>
    <t>09/Feb/26 9:40 AM</t>
  </si>
  <si>
    <t>DEVRDSUP-417</t>
  </si>
  <si>
    <t>41823</t>
  </si>
  <si>
    <t>[SUP-492][RR Account] CS- 20260200024576 Kindly check 1 Rabbit Card Wallet but has 2 SSO ID</t>
  </si>
  <si>
    <t>05/Feb/26 11:36 AM</t>
  </si>
  <si>
    <t>09/Feb/26 11:37 AM</t>
  </si>
  <si>
    <t>19/Feb/26 4:30 PM</t>
  </si>
  <si>
    <t>7200</t>
  </si>
  <si>
    <t>DPE-53</t>
  </si>
  <si>
    <t>41443</t>
  </si>
  <si>
    <t>[Dev][RD][PE Middleware][Infra] Request new project for point-engine-middleware</t>
  </si>
  <si>
    <t>20/Feb/26 9:11 AM</t>
  </si>
  <si>
    <t>DPE-52</t>
  </si>
  <si>
    <t>41441</t>
  </si>
  <si>
    <t>[Dev][RD][PE Middleware] Database Design</t>
  </si>
  <si>
    <t>28800</t>
  </si>
  <si>
    <t>09/Feb/26 10:05 AM</t>
  </si>
  <si>
    <t>RDNDA-23</t>
  </si>
  <si>
    <t>41019</t>
  </si>
  <si>
    <t>[DEV][RD][TDM][POC] connect and record data to DynamoDB</t>
  </si>
  <si>
    <t>30/Jan/26 9:25 AM</t>
  </si>
  <si>
    <t>[QA] Test execution process payment expiration (transaction status = 'expired')</t>
  </si>
  <si>
    <t>29/Jan/26 7:56 PM</t>
  </si>
  <si>
    <t>[QA] Test execution process payment after customer confirm payment with [BFF] API</t>
  </si>
  <si>
    <t>[QA] Test execution process payment after customer scans QR with [BFF] API (On Staging)</t>
  </si>
  <si>
    <t>[QA] Test execution refund transaction and reverse points with API (On Staging)</t>
  </si>
  <si>
    <t>29/Jan/26 7:55 PM</t>
  </si>
  <si>
    <t>[QA] Test execution process payment after customer confirm payment with API (On Staging)</t>
  </si>
  <si>
    <t>DPE-45</t>
  </si>
  <si>
    <t>40623</t>
  </si>
  <si>
    <t>[Dev][RD] Define target architecture for New Point Engine</t>
  </si>
  <si>
    <t>27/Jan/26 7:43 PM</t>
  </si>
  <si>
    <t>11/Feb/26 1:38 PM</t>
  </si>
  <si>
    <t>[QA] Test execution retrieve a transaction information with API (On Staging)</t>
  </si>
  <si>
    <t>29/Jan/26 7:44 PM</t>
  </si>
  <si>
    <t>[QA] Test execution process payment after customer scans QR with API (On Staging)</t>
  </si>
  <si>
    <t>29/Jan/26 7:42 PM</t>
  </si>
  <si>
    <t>[QA] Test execution create a new Point Payment transaction with API (On staging)</t>
  </si>
  <si>
    <t>29/Jan/26 4:39 PM</t>
  </si>
  <si>
    <t>19/Feb/26 10:06 PM</t>
  </si>
  <si>
    <t>DPE-43</t>
  </si>
  <si>
    <t>40420</t>
  </si>
  <si>
    <t>[Dev][RD][PE-MIGRATION][POC] Debit Loyalty Wallet (Redeem Points)</t>
  </si>
  <si>
    <t>26/Jan/26 2:32 PM</t>
  </si>
  <si>
    <t>20/Feb/26 10:07 AM</t>
  </si>
  <si>
    <t>POC</t>
  </si>
  <si>
    <t>DPE-42</t>
  </si>
  <si>
    <t>40419</t>
  </si>
  <si>
    <t>[Dev][RD][PE-MIGRATION][POC] Credit Loyalty Wallet (Earn Points)</t>
  </si>
  <si>
    <t>26/Jan/26 2:31 PM</t>
  </si>
  <si>
    <t>DPE-41</t>
  </si>
  <si>
    <t>40417</t>
  </si>
  <si>
    <t>[Dev][RD][PE-MIGRATION][POC] Get Wallet Transactions</t>
  </si>
  <si>
    <t>26/Jan/26 2:30 PM</t>
  </si>
  <si>
    <t>20/Feb/26 10:06 AM</t>
  </si>
  <si>
    <t>DPE-40</t>
  </si>
  <si>
    <t>40416</t>
  </si>
  <si>
    <t>[Dev][RD][PE-MIGRATION][POC] Get Loyalty Wallet Details</t>
  </si>
  <si>
    <t>26/Jan/26 2:29 PM</t>
  </si>
  <si>
    <t>DPE-16</t>
  </si>
  <si>
    <t>40269</t>
  </si>
  <si>
    <t>[Dev][RD][PE-MIGRATION][IMPACT] Assess impact for Point Engine Proxy</t>
  </si>
  <si>
    <t>25/Jan/26 8:48 AM</t>
  </si>
  <si>
    <t>11/Feb/26 1:40 PM</t>
  </si>
  <si>
    <t>DPE-12</t>
  </si>
  <si>
    <t>40265</t>
  </si>
  <si>
    <t>[Dev][RD][PE-MIGRATION][IMPACT] Assess impact for RR Backoffice</t>
  </si>
  <si>
    <t>DPE-10</t>
  </si>
  <si>
    <t>40263</t>
  </si>
  <si>
    <t>[Dev][RD][PE-MIGRATION][IMPACT] Assess impact for RR Athena</t>
  </si>
  <si>
    <t>11/Feb/26 11:07 PM</t>
  </si>
  <si>
    <t>DPE-7</t>
  </si>
  <si>
    <t>40259</t>
  </si>
  <si>
    <t>[Dev][RD][PE-MIGRATION][IMPACT] Assess impact for LP</t>
  </si>
  <si>
    <t>25/Jan/26 8:37 AM</t>
  </si>
  <si>
    <t>18/Feb/26 3:55 PM</t>
  </si>
  <si>
    <t>10800</t>
  </si>
  <si>
    <t>19/Feb/26 6:39 PM</t>
  </si>
  <si>
    <t>RDNDA-17</t>
  </si>
  <si>
    <t>40129</t>
  </si>
  <si>
    <t>[DEV][RD][SA] Design callback API</t>
  </si>
  <si>
    <t>22/Jan/26 5:02 PM</t>
  </si>
  <si>
    <t>11/Feb/26 6:54 PM</t>
  </si>
  <si>
    <t>DPE-5</t>
  </si>
  <si>
    <t>40122</t>
  </si>
  <si>
    <t>[Dev][RD][PE-MIGRATION][IMPACT] Assess impact for Partner Loyalty API</t>
  </si>
  <si>
    <t>22/Jan/26 2:50 PM</t>
  </si>
  <si>
    <t>DPE-4</t>
  </si>
  <si>
    <t>40121</t>
  </si>
  <si>
    <t>[Dev][RD][PE-MIGRATION][IMPACT] Assess impact for HR Solution</t>
  </si>
  <si>
    <t>22/Jan/26 2:45 PM</t>
  </si>
  <si>
    <t>09/Feb/26 7:19 PM</t>
  </si>
  <si>
    <t>DPE-2</t>
  </si>
  <si>
    <t>40113</t>
  </si>
  <si>
    <t>[Dev][RD][PE-MIGRATION][IMPACT] Assess impact for SSO</t>
  </si>
  <si>
    <t>22/Jan/26 1:14 PM</t>
  </si>
  <si>
    <t>DEVRDSUP-389</t>
  </si>
  <si>
    <t>39980</t>
  </si>
  <si>
    <t>[SUP-462]SUB : Request to remove rr_finance@rabbit.co.th from the auto email loop when refunds are processed.</t>
  </si>
  <si>
    <t>21/Jan/26 2:10 PM</t>
  </si>
  <si>
    <t>10/Feb/26 8:36 AM</t>
  </si>
  <si>
    <t>28/Jan/26 10:21 AM</t>
  </si>
  <si>
    <t>21/Jan/26 10:12 AM</t>
  </si>
  <si>
    <t>RDAPS-398</t>
  </si>
  <si>
    <t>39575</t>
  </si>
  <si>
    <t>HR-MEMBER-REFACTOR</t>
  </si>
  <si>
    <t>19/Jan/26 10:59 AM</t>
  </si>
  <si>
    <t>09/Feb/26 10:10 AM</t>
  </si>
  <si>
    <t>[Dev][All Project] Sprint 17</t>
  </si>
  <si>
    <t>11/Feb/26 3:26 PM</t>
  </si>
  <si>
    <t>57600</t>
  </si>
  <si>
    <t>11/Feb/26 11:03 AM</t>
  </si>
  <si>
    <t>09/Feb/26 3:55 PM</t>
  </si>
  <si>
    <t>43200</t>
  </si>
  <si>
    <t>72000</t>
  </si>
  <si>
    <t>10/Feb/26 6:11 PM</t>
  </si>
  <si>
    <t>86400</t>
  </si>
  <si>
    <t>DEVRDSUP-365</t>
  </si>
  <si>
    <t>38051</t>
  </si>
  <si>
    <t>[SUP-435][HRSolution] HR solution's login page doesn't change the display language</t>
  </si>
  <si>
    <t>06/Jan/26 5:41 PM</t>
  </si>
  <si>
    <t>RDAPS-382</t>
  </si>
  <si>
    <t>37978</t>
  </si>
  <si>
    <t>[Dev][RD][SSO-User] Improve query strategies for card type and card range retrieval</t>
  </si>
  <si>
    <t>06/Jan/26 11:23 AM</t>
  </si>
  <si>
    <t>21600</t>
  </si>
  <si>
    <t>DEVRDSUP-328</t>
  </si>
  <si>
    <t>36862</t>
  </si>
  <si>
    <t>[SUP-390]CRM Request - CS-20251200022091 Request to Revert RR Backoffice Status from Refunded to Active (Wrong Refund Action)</t>
  </si>
  <si>
    <t>22/Dec/25 4:42 PM</t>
  </si>
  <si>
    <t>09/Feb/26 7:23 PM</t>
  </si>
  <si>
    <t>RDTHANA-426</t>
  </si>
  <si>
    <t>35904</t>
  </si>
  <si>
    <t>[DEV][API DOC][SA] Design get access token</t>
  </si>
  <si>
    <t>14/Dec/25 3:04 PM</t>
  </si>
  <si>
    <t>DEVRDSUP-301</t>
  </si>
  <si>
    <t>35668</t>
  </si>
  <si>
    <t>[SUP-364][Club][HR Solution] Club tier get removed entirely when user deletes the Tier name (EN), Tier name (TH) text string.</t>
  </si>
  <si>
    <t>11/Dec/25 12:41 AM</t>
  </si>
  <si>
    <t>RDAPS-316</t>
  </si>
  <si>
    <t>35558</t>
  </si>
  <si>
    <t>[Dev][RD][RRS] Fix datetime filter logic to support millisecond precision for redemption ETL</t>
  </si>
  <si>
    <t>08/Dec/25 5:57 PM</t>
  </si>
  <si>
    <t>[Dev][All Project] Sprint 13</t>
  </si>
  <si>
    <t>DEVRDSUP-252</t>
  </si>
  <si>
    <t>34528</t>
  </si>
  <si>
    <t>[SUP-312][SUB] Skipped Receipt GR Offline (Ticket 6 Nov)</t>
  </si>
  <si>
    <t>18/Nov/25 3:37 PM</t>
  </si>
  <si>
    <t>20/Feb/26 10:10 AM</t>
  </si>
  <si>
    <t>26/Dec/25 12:00 AM</t>
  </si>
  <si>
    <t>DM-31</t>
  </si>
  <si>
    <t>34302</t>
  </si>
  <si>
    <t>[DEV][RD][AWSTH] RR Scheduler pre-validation for dev environment</t>
  </si>
  <si>
    <t>14/Nov/25 4:53 PM</t>
  </si>
  <si>
    <t>DM-28</t>
  </si>
  <si>
    <t>34299</t>
  </si>
  <si>
    <t>[DEV][RD][AWSTH] RR Link Notify API pre-validation for dev environment</t>
  </si>
  <si>
    <t>14/Nov/25 4:52 PM</t>
  </si>
  <si>
    <t>14400 -&gt; 7200</t>
  </si>
  <si>
    <t>DM-22</t>
  </si>
  <si>
    <t>34293</t>
  </si>
  <si>
    <t>[DEV][RD][AWSTH] RR BackOffice pre-validation for dev environment</t>
  </si>
  <si>
    <t>14/Nov/25 4:49 PM</t>
  </si>
  <si>
    <t>DM-6</t>
  </si>
  <si>
    <t>34277</t>
  </si>
  <si>
    <t>[DEV][RD][AWSTH] HR Solution pre-validation for dev environment</t>
  </si>
  <si>
    <t>14/Nov/25 4:40 PM</t>
  </si>
  <si>
    <t>Improvement</t>
  </si>
  <si>
    <t>DEVRDSUP-242</t>
  </si>
  <si>
    <t>34266</t>
  </si>
  <si>
    <t>[DEVRDSUP-93][REM] POC - solution finding on how to sync reward stock count to algolia tp prevent stock missmatch</t>
  </si>
  <si>
    <t>14/Nov/25 2:01 PM</t>
  </si>
  <si>
    <t>12/Dec/25 12:00 AM</t>
  </si>
  <si>
    <t>RDAPS-269</t>
  </si>
  <si>
    <t>34036</t>
  </si>
  <si>
    <t>[DEV][RD][Cron-job][Merchant Ranking] Enhance get merchant with active store only</t>
  </si>
  <si>
    <t>11/Nov/25 1:09 PM</t>
  </si>
  <si>
    <t>[Dev][All Project] Sprint 11</t>
  </si>
  <si>
    <t>[Dev][All Project] Sprint 12</t>
  </si>
  <si>
    <t>DEVRDSUP-153</t>
  </si>
  <si>
    <t>31856</t>
  </si>
  <si>
    <t>Find and remove double bound 1 wallet card to multiple SSO to resolve DEVRDSUP-146 error for other users.</t>
  </si>
  <si>
    <t>30/Sep/25 1:40 PM</t>
  </si>
  <si>
    <t>01/Dec/25 12:00 AM</t>
  </si>
  <si>
    <t>[Dev][All Project] Sprint 9</t>
  </si>
  <si>
    <t>[Dev][All Project] Sprint 10</t>
  </si>
  <si>
    <t>RDAPS-160</t>
  </si>
  <si>
    <t>29972</t>
  </si>
  <si>
    <t>[DEV][RD][SSO-Backoffice] Disable SEO tracking</t>
  </si>
  <si>
    <t>20/Aug/25 11:21 AM</t>
  </si>
  <si>
    <t>04/Sep/25 12:00 AM</t>
  </si>
  <si>
    <t>[Dev][All project]Sprint 6</t>
  </si>
  <si>
    <t>[Dev][All project]Sprint 7</t>
  </si>
  <si>
    <t>1 ครั้ง 
1.  3 คน</t>
  </si>
  <si>
    <t>Sprint 16</t>
  </si>
  <si>
    <t>RDAPS-406</t>
  </si>
  <si>
    <t>41542</t>
  </si>
  <si>
    <t>[Dev][RD][Adhoc][Short-distance] est.effort for subscription enhancement</t>
  </si>
  <si>
    <t>04/Feb/26 10:30 AM</t>
  </si>
  <si>
    <t>04/Feb/26 3:52 PM</t>
  </si>
  <si>
    <t>[Dev][RD][SSO-User] Update a registration source Update a registration source</t>
  </si>
  <si>
    <t>05/Feb/26 1:44 PM</t>
  </si>
  <si>
    <t>05/Feb/26 5:13 PM</t>
  </si>
  <si>
    <t>05/Feb/26 4:39 PM</t>
  </si>
  <si>
    <t>05/Feb/26 2:21 PM</t>
  </si>
  <si>
    <t>DM-185</t>
  </si>
  <si>
    <t>41379</t>
  </si>
  <si>
    <t>[DEV][RD][AWSTH] Update Query Lat, Long compatible with MySQL</t>
  </si>
  <si>
    <t>03/Feb/26 3:11 PM</t>
  </si>
  <si>
    <t>05/Feb/26 3:52 PM</t>
  </si>
  <si>
    <t>DEVRDSUP-402</t>
  </si>
  <si>
    <t>40838</t>
  </si>
  <si>
    <t>[SUP-476]Group Rewards - Lucky Draw iPhone 17 Jan26</t>
  </si>
  <si>
    <t>29/Jan/26 11:16 AM</t>
  </si>
  <si>
    <t>04/Feb/26 4:42 PM</t>
  </si>
  <si>
    <t>DEVRDSUP-401</t>
  </si>
  <si>
    <t>40798</t>
  </si>
  <si>
    <t>[SUP-475]Urgent #20260100024374 - Didn't get the package รบกวน Drop Package ให้ลูกค้าค่ะ</t>
  </si>
  <si>
    <t>28/Jan/26 7:14 PM</t>
  </si>
  <si>
    <t>28/Jan/26 7:20 PM</t>
  </si>
  <si>
    <t>DM-184</t>
  </si>
  <si>
    <t>40762</t>
  </si>
  <si>
    <t>[DEV][RD][AWSTH] Fix PostgreSQL incompatible with timestamp</t>
  </si>
  <si>
    <t>28/Jan/26 4:27 PM</t>
  </si>
  <si>
    <t>05/Feb/26 3:47 PM</t>
  </si>
  <si>
    <t>30/Jan/26 12:00 AM</t>
  </si>
  <si>
    <t>DM-183</t>
  </si>
  <si>
    <t>40512</t>
  </si>
  <si>
    <t>[DEV][RD][AWSTH] Verify database replicate for rr-ecommerce shopify at Dev environment</t>
  </si>
  <si>
    <t>27/Jan/26 11:52 AM</t>
  </si>
  <si>
    <t>27/Jan/26 10:51 PM</t>
  </si>
  <si>
    <t>28/Jan/26 12:00 AM</t>
  </si>
  <si>
    <t>29/Jan/26 5:48 PM</t>
  </si>
  <si>
    <t>DPE-44</t>
  </si>
  <si>
    <t>40432</t>
  </si>
  <si>
    <t>[Dev][RD][PE-MIGRATION][IMPACT] Assess impact for 'goutil'</t>
  </si>
  <si>
    <t>26/Jan/26 3:34 PM</t>
  </si>
  <si>
    <t>03/Feb/26 9:57 AM</t>
  </si>
  <si>
    <t>RDAPS-405</t>
  </si>
  <si>
    <t>40426</t>
  </si>
  <si>
    <t>[Dev][RD][Technical][DB][Performance] Analyze and Tune Coupon Allocation Performance</t>
  </si>
  <si>
    <t>26/Jan/26 2:48 PM</t>
  </si>
  <si>
    <t>26/Jan/26 2:52 PM</t>
  </si>
  <si>
    <t>DPE-37</t>
  </si>
  <si>
    <t>40290</t>
  </si>
  <si>
    <t>[Dev][RD][PE-MIGRATION][IMPACT] Assess impact for Rabbit CMS API</t>
  </si>
  <si>
    <t>25/Jan/26 9:03 AM</t>
  </si>
  <si>
    <t>05/Feb/26 10:00 AM</t>
  </si>
  <si>
    <t>DPE-36</t>
  </si>
  <si>
    <t>40289</t>
  </si>
  <si>
    <t>[Dev][RD][PE-MIGRATION][IMPACT] Assess impact for Notification API</t>
  </si>
  <si>
    <t>05/Feb/26 10:55 AM</t>
  </si>
  <si>
    <t>DPE-35</t>
  </si>
  <si>
    <t>40288</t>
  </si>
  <si>
    <t>[Dev][RD][PE-MIGRATION][IMPACT] Assess impact for Merchant API</t>
  </si>
  <si>
    <t>DPE-34</t>
  </si>
  <si>
    <t>40287</t>
  </si>
  <si>
    <t>[Dev][RD][PE-MIGRATION][IMPACT] Assess impact for Exclusive Store API</t>
  </si>
  <si>
    <t>29/Jan/26 2:00 PM</t>
  </si>
  <si>
    <t>DPE-33</t>
  </si>
  <si>
    <t>40286</t>
  </si>
  <si>
    <t>[Dev][RD][PE-MIGRATION][IMPACT] Assess impact for Deeplink API</t>
  </si>
  <si>
    <t>05/Feb/26 10:52 AM</t>
  </si>
  <si>
    <t>DPE-32</t>
  </si>
  <si>
    <t>40285</t>
  </si>
  <si>
    <t>[Dev][RD][PE-MIGRATION][IMPACT] Assess impact for RR Voucher validator</t>
  </si>
  <si>
    <t>29/Jan/26 10:53 AM</t>
  </si>
  <si>
    <t>DPE-31</t>
  </si>
  <si>
    <t>40284</t>
  </si>
  <si>
    <t>[Dev][RD][PE-MIGRATION][IMPACT] Assess impact for RR Member</t>
  </si>
  <si>
    <t>29/Jan/26 11:44 AM</t>
  </si>
  <si>
    <t>DPE-30</t>
  </si>
  <si>
    <t>40283</t>
  </si>
  <si>
    <t>[Dev][RD][PE-MIGRATION][IMPACT] Assess impact for RR Member Acquisition</t>
  </si>
  <si>
    <t>05/Feb/26 9:59 AM</t>
  </si>
  <si>
    <t>DPE-29</t>
  </si>
  <si>
    <t>40282</t>
  </si>
  <si>
    <t>[Dev][RD][PE-MIGRATION][IMPACT] Assess impact for RR Link Notify</t>
  </si>
  <si>
    <t>DPE-28</t>
  </si>
  <si>
    <t>40281</t>
  </si>
  <si>
    <t>[Dev][RD][PE-MIGRATION][IMPACT] Assess impact for RR Thana datamart</t>
  </si>
  <si>
    <t>05/Feb/26 10:54 AM</t>
  </si>
  <si>
    <t>DPE-27</t>
  </si>
  <si>
    <t>40280</t>
  </si>
  <si>
    <t>[Dev][RD][PE-MIGRATION][IMPACT] Assess impact for RR Pay with Point API</t>
  </si>
  <si>
    <t>25/Jan/26 8:49 AM</t>
  </si>
  <si>
    <t>DPE-26</t>
  </si>
  <si>
    <t>40279</t>
  </si>
  <si>
    <t>[Dev][RD][PE-MIGRATION][IMPACT] Assess impact for RR Ecommerce Shopify</t>
  </si>
  <si>
    <t>DPE-25</t>
  </si>
  <si>
    <t>40278</t>
  </si>
  <si>
    <t>[Dev][RD][PE-MIGRATION][IMPACT] Assess impact for RR DatahubGQL</t>
  </si>
  <si>
    <t>03/Feb/26 10:54 AM</t>
  </si>
  <si>
    <t>DPE-24</t>
  </si>
  <si>
    <t>40277</t>
  </si>
  <si>
    <t>[Dev][RD][PE-MIGRATION][IMPACT] Assess impact for RR Cronjob</t>
  </si>
  <si>
    <t>DPE-23</t>
  </si>
  <si>
    <t>40276</t>
  </si>
  <si>
    <t>[Dev][RD][PE-MIGRATION][IMPACT] Assess impact for RR CloudID API</t>
  </si>
  <si>
    <t>DPE-22</t>
  </si>
  <si>
    <t>40275</t>
  </si>
  <si>
    <t>[Dev][RD][PE-MIGRATION][IMPACT] Assess impact for RR CleverTap</t>
  </si>
  <si>
    <t>DPE-21</t>
  </si>
  <si>
    <t>40274</t>
  </si>
  <si>
    <t>[Dev][RD][PE-MIGRATION][IMPACT] Assess impact for Rewards Consumer</t>
  </si>
  <si>
    <t>27/Jan/26 7:22 PM</t>
  </si>
  <si>
    <t>DPE-20</t>
  </si>
  <si>
    <t>40273</t>
  </si>
  <si>
    <t>[Dev][RD][PE-MIGRATION][IMPACT] Assess impact for Rewards API</t>
  </si>
  <si>
    <t>DPE-19</t>
  </si>
  <si>
    <t>40272</t>
  </si>
  <si>
    <t>[Dev][RD][PE-MIGRATION][IMPACT] Assess impact for Offline Subscription BFF</t>
  </si>
  <si>
    <t>05/Feb/26 10:53 AM</t>
  </si>
  <si>
    <t>DPE-18</t>
  </si>
  <si>
    <t>40271</t>
  </si>
  <si>
    <t>[Dev][RD][PE-MIGRATION][IMPACT] Assess impact for RR Cart API</t>
  </si>
  <si>
    <t>DPE-17</t>
  </si>
  <si>
    <t>40270</t>
  </si>
  <si>
    <t>[Dev][RD][PE-MIGRATION][IMPACT] Assess impact for Rabbit App BFF</t>
  </si>
  <si>
    <t>30/Jan/26 10:28 AM</t>
  </si>
  <si>
    <t>29/Jan/26 11:50 AM</t>
  </si>
  <si>
    <t>DPE-15</t>
  </si>
  <si>
    <t>40268</t>
  </si>
  <si>
    <t>[Dev][RD][PE-MIGRATION][IMPACT] Assess impact for Redemption API</t>
  </si>
  <si>
    <t>29/Jan/26 1:06 PM</t>
  </si>
  <si>
    <t>DPE-14</t>
  </si>
  <si>
    <t>40267</t>
  </si>
  <si>
    <t>[Dev][RD][PE-MIGRATION][IMPACT] Assess impact for Redemption Consumer</t>
  </si>
  <si>
    <t>DPE-13</t>
  </si>
  <si>
    <t>40266</t>
  </si>
  <si>
    <t>[Dev][RD][PE-MIGRATION][IMPACT] Assess impact for RR Order Service</t>
  </si>
  <si>
    <t>28/Jan/26 8:13 PM</t>
  </si>
  <si>
    <t>DPE-11</t>
  </si>
  <si>
    <t>40264</t>
  </si>
  <si>
    <t>[Dev][RD][PE-MIGRATION][IMPACT] Assess impact for RR Scheduler</t>
  </si>
  <si>
    <t>27/Jan/26 4:13 PM</t>
  </si>
  <si>
    <t>29/Jan/26 10:19 AM</t>
  </si>
  <si>
    <t>DPE-9</t>
  </si>
  <si>
    <t>40262</t>
  </si>
  <si>
    <t>[Dev][RD][PE-MIGRATION][IMPACT] Assess impact for RR Aphrodite</t>
  </si>
  <si>
    <t>28/Jan/26 11:29 AM</t>
  </si>
  <si>
    <t>DPE-8</t>
  </si>
  <si>
    <t>40261</t>
  </si>
  <si>
    <t>[Dev][RD][PE-MIGRATION][IMPACT] Assess impact for Sky</t>
  </si>
  <si>
    <t>28/Jan/26 11:14 AM</t>
  </si>
  <si>
    <t>02/Feb/26 4:00 PM</t>
  </si>
  <si>
    <t>28/Jan/26 2:04 PM</t>
  </si>
  <si>
    <t>29/Jan/26 5:25 PM</t>
  </si>
  <si>
    <t>DPE-3</t>
  </si>
  <si>
    <t>40120</t>
  </si>
  <si>
    <t>[Dev][RD][PE-MIGRATION][IMPACT][SA] Analysis and Breakdown Task</t>
  </si>
  <si>
    <t>22/Jan/26 1:44 PM</t>
  </si>
  <si>
    <t>05/Feb/26 10:09 AM</t>
  </si>
  <si>
    <t>29/Jan/26 7:45 PM</t>
  </si>
  <si>
    <t>26/Jan/26 2:39 PM</t>
  </si>
  <si>
    <t>05/Feb/26 10:01 AM</t>
  </si>
  <si>
    <t>57600 -&gt; 28,800</t>
  </si>
  <si>
    <t>03/Feb/26 5:01 PM</t>
  </si>
  <si>
    <t>04/Feb/26 11:07 AM</t>
  </si>
  <si>
    <t>05/Feb/26 11:14 AM</t>
  </si>
  <si>
    <t>05/Feb/26 9:47 AM</t>
  </si>
  <si>
    <t>04/Feb/26 9:40 AM</t>
  </si>
  <si>
    <t>26/Jan/26 5:01 PM</t>
  </si>
  <si>
    <t>04/Feb/26 11:09 AM</t>
  </si>
  <si>
    <t>03/Feb/26 3:49 PM</t>
  </si>
  <si>
    <t>04/Feb/26 11:08 AM</t>
  </si>
  <si>
    <t>DM-92</t>
  </si>
  <si>
    <t>34424</t>
  </si>
  <si>
    <t>[DEV][RD][AWSTH] Partner Loyalty API pre-validation for dev environment</t>
  </si>
  <si>
    <t>17/Nov/25 11:10 AM</t>
  </si>
  <si>
    <t>29/Jan/26 12:00 AM</t>
  </si>
  <si>
    <t>[Dev][RD][AWS] Sprint 16</t>
  </si>
  <si>
    <t>DM-61</t>
  </si>
  <si>
    <t>34340</t>
  </si>
  <si>
    <t>[DEV][RD][AWSTH] RR Member Acquisition pre-validation for dev environment</t>
  </si>
  <si>
    <t>14/Nov/25 6:29 PM</t>
  </si>
  <si>
    <t>02/Feb/26 12:00 AM</t>
  </si>
  <si>
    <t>DM-59</t>
  </si>
  <si>
    <t>34337</t>
  </si>
  <si>
    <t>[DEV][RD][AWSTH] BTS Officer app pre-validation for dev environment</t>
  </si>
  <si>
    <t>14/Nov/25 6:24 PM</t>
  </si>
  <si>
    <t>DM-30</t>
  </si>
  <si>
    <t>34301</t>
  </si>
  <si>
    <t>[DEV][RD][AWSTH] RR Member Web pre-validation for dev environment</t>
  </si>
  <si>
    <t>DM-29</t>
  </si>
  <si>
    <t>34300</t>
  </si>
  <si>
    <t>[DEV][RD][AWSTH] RR Order API pre-validation for dev environment</t>
  </si>
  <si>
    <t>05/Feb/26 3:58 PM</t>
  </si>
  <si>
    <t>DM-27</t>
  </si>
  <si>
    <t>34298</t>
  </si>
  <si>
    <t>[DEV][RD][AWSTH] RR CronJob pre-validation for dev environment</t>
  </si>
  <si>
    <t>DM-26</t>
  </si>
  <si>
    <t>34297</t>
  </si>
  <si>
    <t>[DEV][RD][AWSTH] RR CloudID API pre-validation for dev environment</t>
  </si>
  <si>
    <t>14/Nov/25 4:51 PM</t>
  </si>
  <si>
    <t>DM-25</t>
  </si>
  <si>
    <t>34296</t>
  </si>
  <si>
    <t>[DEV][RD][AWSTH] RR Datahub GQL pre-validation for dev environment</t>
  </si>
  <si>
    <t>DM-24</t>
  </si>
  <si>
    <t>34295</t>
  </si>
  <si>
    <t>[DEV][RD][AWSTH] RR CleverTap pre-validation for dev environment</t>
  </si>
  <si>
    <t>DM-23</t>
  </si>
  <si>
    <t>34294</t>
  </si>
  <si>
    <t>[DEV][RD][AWSTH] RR Cart API pre-validation for dev environment</t>
  </si>
  <si>
    <t>14/Nov/25 4:50 PM</t>
  </si>
  <si>
    <t>DM-21</t>
  </si>
  <si>
    <t>34292</t>
  </si>
  <si>
    <t>[DEV][RD][AWSTH] RR Athena API pre-validation for dev environment</t>
  </si>
  <si>
    <t>DM-20</t>
  </si>
  <si>
    <t>34291</t>
  </si>
  <si>
    <t>[DEV][RD][AWSTH] RR Aphrodite pre-validation for dev environment</t>
  </si>
  <si>
    <t>05/Feb/26 5:11 PM</t>
  </si>
  <si>
    <t>DM-19</t>
  </si>
  <si>
    <t>34290</t>
  </si>
  <si>
    <t>[DEV][RD][AWSTH] Rewards Consumer pre-validation for dev environment</t>
  </si>
  <si>
    <t>14/Nov/25 4:48 PM</t>
  </si>
  <si>
    <t>DM-18</t>
  </si>
  <si>
    <t>34289</t>
  </si>
  <si>
    <t>[DEV][RD][AWSTH] Rewards API pre-validation for dev environment</t>
  </si>
  <si>
    <t>DM-17</t>
  </si>
  <si>
    <t>34288</t>
  </si>
  <si>
    <t>[DEV][RD][AWSTH] Redemption Consumer pre-validation for dev environment</t>
  </si>
  <si>
    <t>DM-16</t>
  </si>
  <si>
    <t>34287</t>
  </si>
  <si>
    <t>[DEV][RD][AWSTH] Redemption API pre-validation for dev environment</t>
  </si>
  <si>
    <t>DM-15</t>
  </si>
  <si>
    <t>34286</t>
  </si>
  <si>
    <t>[DEV][RD][AWSTH] Rabbit Sky Web pre-validation for dev environment</t>
  </si>
  <si>
    <t>14/Nov/25 4:47 PM</t>
  </si>
  <si>
    <t>DM-14</t>
  </si>
  <si>
    <t>34285</t>
  </si>
  <si>
    <t>[DEV][RD][AWSTH] Rabbit Sky API pre-validation for dev environment</t>
  </si>
  <si>
    <t>DM-13</t>
  </si>
  <si>
    <t>34284</t>
  </si>
  <si>
    <t>[DEV][RD][AWSTH] Rabbit CMS API pre-validation for dev environment</t>
  </si>
  <si>
    <t>14/Nov/25 4:46 PM</t>
  </si>
  <si>
    <t>DM-12</t>
  </si>
  <si>
    <t>34283</t>
  </si>
  <si>
    <t>[DEV][RD][AWSTH] Rabbit App BFF pre-validation for dev environment</t>
  </si>
  <si>
    <t>DM-11</t>
  </si>
  <si>
    <t>34282</t>
  </si>
  <si>
    <t>[DEV][RD][AWSTH] Point Engine Proxy pre-validation for dev environment</t>
  </si>
  <si>
    <t>DM-10</t>
  </si>
  <si>
    <t>34281</t>
  </si>
  <si>
    <t>[DEV][RD][AWSTH] Offline Subscription BFF pre-validation for dev environment</t>
  </si>
  <si>
    <t>DM-9</t>
  </si>
  <si>
    <t>34280</t>
  </si>
  <si>
    <t>[DEV][RD][AWSTH] Notification API pre-validation for dev environment</t>
  </si>
  <si>
    <t>14/Nov/25 4:42 PM</t>
  </si>
  <si>
    <t>DM-7</t>
  </si>
  <si>
    <t>34278</t>
  </si>
  <si>
    <t>[DEV][RD][AWSTH] Merchant API pre-validation for dev environment</t>
  </si>
  <si>
    <t>14/Nov/25 4:41 PM</t>
  </si>
  <si>
    <t>DM-5</t>
  </si>
  <si>
    <t>34276</t>
  </si>
  <si>
    <t>[DEV][RD][AWSTH] Exclusive Store API pre-validation for dev environment</t>
  </si>
  <si>
    <t>14/Nov/25 4:39 PM</t>
  </si>
  <si>
    <t>DM-4</t>
  </si>
  <si>
    <t>34274</t>
  </si>
  <si>
    <t>[DEV][RD][AWSTH] DeepLink API pre-validation for dev environment</t>
  </si>
  <si>
    <t>14/Nov/25 4:37 PM</t>
  </si>
  <si>
    <t>4 ครั้ง 
1.  2 คน
2.  2 คน
3.  1 คน
4.  1 คน</t>
  </si>
  <si>
    <t>Sprint 15</t>
  </si>
  <si>
    <t>RDAPS-404</t>
  </si>
  <si>
    <t>40133</t>
  </si>
  <si>
    <t>[DEV][RD][HRS] Run bulk inactive member</t>
  </si>
  <si>
    <t>22/Jan/26 7:34 PM</t>
  </si>
  <si>
    <t>23/Jan/26 3:01 AM</t>
  </si>
  <si>
    <t>22/Jan/26 11:57 AM</t>
  </si>
  <si>
    <t>RDAPS-402</t>
  </si>
  <si>
    <t>39885</t>
  </si>
  <si>
    <t>20/Jan/26 9:41 PM</t>
  </si>
  <si>
    <t>20/Jan/26 9:45 PM</t>
  </si>
  <si>
    <t>RDAPS-401</t>
  </si>
  <si>
    <t>39817</t>
  </si>
  <si>
    <t>20/Jan/26 1:32 PM</t>
  </si>
  <si>
    <t>20/Jan/26 1:33 PM</t>
  </si>
  <si>
    <t>RDAPS-400</t>
  </si>
  <si>
    <t>39745</t>
  </si>
  <si>
    <t>[Dev][RD][ORD] Prevent Receipt Number Skipping &amp; Ensure Sequential Generation</t>
  </si>
  <si>
    <t>20/Jan/26 9:17 AM</t>
  </si>
  <si>
    <t>22/Jan/26 4:47 PM</t>
  </si>
  <si>
    <t>RDAPS-399</t>
  </si>
  <si>
    <t>39656</t>
  </si>
  <si>
    <t>[DEV][RD][HRS] Background API sill woking on scheduled upload import</t>
  </si>
  <si>
    <t>19/Jan/26 2:06 PM</t>
  </si>
  <si>
    <t>20/Jan/26 5:00 PM</t>
  </si>
  <si>
    <t>RDAPS-397</t>
  </si>
  <si>
    <t>39574</t>
  </si>
  <si>
    <t>[DEV][RD][HRS] Disable to select BU when BU was inactive for import member</t>
  </si>
  <si>
    <t>19/Jan/26 10:53 AM</t>
  </si>
  <si>
    <t>RDAPS-396</t>
  </si>
  <si>
    <t>39572</t>
  </si>
  <si>
    <t>[DEV][RD][HRS] Separate loading import page</t>
  </si>
  <si>
    <t>19/Jan/26 10:37 AM</t>
  </si>
  <si>
    <t>DEVRDECOM-238</t>
  </si>
  <si>
    <t>39538</t>
  </si>
  <si>
    <t>[DEV][RD][Ecom][Ecommercd-Shopify] Enhance Warehouse Status Cronjob: Add Request Delay and Exclude Cancelled Orders</t>
  </si>
  <si>
    <t>19/Jan/26 9:19 AM</t>
  </si>
  <si>
    <t>RDNDA-15</t>
  </si>
  <si>
    <t>39177</t>
  </si>
  <si>
    <t>[DEV][RD][TDM] Consult shopify webhook and view tables for OM</t>
  </si>
  <si>
    <t>15/Jan/26 10:15 AM</t>
  </si>
  <si>
    <t>21/Jan/26 11:33 AM</t>
  </si>
  <si>
    <t>RDAPS-395</t>
  </si>
  <si>
    <t>39174</t>
  </si>
  <si>
    <t>[DEV][RD][HR] Check and optimize Import member support more than 2000+ record</t>
  </si>
  <si>
    <t>15/Jan/26 9:56 AM</t>
  </si>
  <si>
    <t>23/Jan/26 12:12 PM</t>
  </si>
  <si>
    <t>DM-179</t>
  </si>
  <si>
    <t>39009</t>
  </si>
  <si>
    <t>[DEV][RD][AWSTH] Update app to read env from OS</t>
  </si>
  <si>
    <t>14/Jan/26 11:13 AM</t>
  </si>
  <si>
    <t>23/Jan/26 10:02 AM</t>
  </si>
  <si>
    <t>15/Jan/26 12:00 AM</t>
  </si>
  <si>
    <t>DM-178</t>
  </si>
  <si>
    <t>38944</t>
  </si>
  <si>
    <t>[DEV][RD][AWSTH] Update application port following with DevOps concept</t>
  </si>
  <si>
    <t>14/Jan/26 10:21 AM</t>
  </si>
  <si>
    <t>23/Jan/26 10:03 AM</t>
  </si>
  <si>
    <t>RDAPS-394</t>
  </si>
  <si>
    <t>38903</t>
  </si>
  <si>
    <t>[QA] Test check API route using through DA (UAT)</t>
  </si>
  <si>
    <t>13/Jan/26 8:37 PM</t>
  </si>
  <si>
    <t>14/Jan/26 4:46 PM</t>
  </si>
  <si>
    <t>RDAPS-393</t>
  </si>
  <si>
    <t>38834</t>
  </si>
  <si>
    <t>[QA] Check log from 8x8 SMS OTP</t>
  </si>
  <si>
    <t>13/Jan/26 12:03 PM</t>
  </si>
  <si>
    <t>13/Jan/26 12:07 PM</t>
  </si>
  <si>
    <t>DEVRDSUP-373</t>
  </si>
  <si>
    <t>38766</t>
  </si>
  <si>
    <t>[SUP-443][Issue from MIX team] Subscription Voucher Issue of Dec 25</t>
  </si>
  <si>
    <t>13/Jan/26 10:11 AM</t>
  </si>
  <si>
    <t>19/Jan/26 3:22 PM</t>
  </si>
  <si>
    <t>13/Jan/26 12:00 AM</t>
  </si>
  <si>
    <t>DEVRDSUP-372</t>
  </si>
  <si>
    <t>38731</t>
  </si>
  <si>
    <t>[SUP-446]Request to export reward TXN report data due to issue on RR backoffice where data can't be exported. (Turtle shop)</t>
  </si>
  <si>
    <t>12/Jan/26 5:51 PM</t>
  </si>
  <si>
    <t>23/Jan/26 12:28 PM</t>
  </si>
  <si>
    <t>DEVRDECOM-237</t>
  </si>
  <si>
    <t>38717</t>
  </si>
  <si>
    <t>12/Jan/26 3:15 PM</t>
  </si>
  <si>
    <t>21/Jan/26 1:25 PM</t>
  </si>
  <si>
    <t>DEVRDECOM-236</t>
  </si>
  <si>
    <t>38715</t>
  </si>
  <si>
    <t>19/Jan/26 1:35 PM</t>
  </si>
  <si>
    <t>DEVRDECOM-235</t>
  </si>
  <si>
    <t>38713</t>
  </si>
  <si>
    <t>12/Jan/26 3:14 PM</t>
  </si>
  <si>
    <t>DEVRDECOM-231</t>
  </si>
  <si>
    <t>38597</t>
  </si>
  <si>
    <t>[DEV][RD][Estimate] Est. mandays &amp; timeline Sync Customer Data from Shopify Event to Data Mart</t>
  </si>
  <si>
    <t>11/Jan/26 7:34 PM</t>
  </si>
  <si>
    <t>19/Jan/26 11:20 AM</t>
  </si>
  <si>
    <t>15/Jan/26 9:36 AM</t>
  </si>
  <si>
    <t>DEVRDECOM-230</t>
  </si>
  <si>
    <t>38511</t>
  </si>
  <si>
    <t>[TP][RR-Backoffice][Ecommerce Shopify]  Sprint15</t>
  </si>
  <si>
    <t>09/Jan/26 1:29 PM</t>
  </si>
  <si>
    <t>20/Jan/26 11:21 AM</t>
  </si>
  <si>
    <t>RDAPS-390</t>
  </si>
  <si>
    <t>38471</t>
  </si>
  <si>
    <t>[DEV][RD][HRS] Handle wrong Date format in precheck import process</t>
  </si>
  <si>
    <t>09/Jan/26 9:57 AM</t>
  </si>
  <si>
    <t>13/Jan/26 3:33 PM</t>
  </si>
  <si>
    <t>23/Jan/26 10:07 AM</t>
  </si>
  <si>
    <t>22/Jan/26 11:23 AM</t>
  </si>
  <si>
    <t>20/Jan/26 3:27 PM</t>
  </si>
  <si>
    <t>DEVRDECOM-229</t>
  </si>
  <si>
    <t>38428</t>
  </si>
  <si>
    <t>[QA] Test execution UAT</t>
  </si>
  <si>
    <t>08/Jan/26 4:23 PM</t>
  </si>
  <si>
    <t>14/Jan/26 3:43 PM</t>
  </si>
  <si>
    <t>DM-160</t>
  </si>
  <si>
    <t>38317</t>
  </si>
  <si>
    <t>[DEV][RD][AWSTH] Update DB connection to support primary/replica architecture for Partner Loyalty API</t>
  </si>
  <si>
    <t>08/Jan/26 11:41 AM</t>
  </si>
  <si>
    <t>23/Jan/26 11:54 AM</t>
  </si>
  <si>
    <t>RDAPS-388</t>
  </si>
  <si>
    <t>38313</t>
  </si>
  <si>
    <t>[SA][RD][Thana City Datamart] Create task for sprint 16</t>
  </si>
  <si>
    <t>08/Jan/26 10:17 AM</t>
  </si>
  <si>
    <t>15/Jan/26 9:54 AM</t>
  </si>
  <si>
    <t>DEVRDECOM-228</t>
  </si>
  <si>
    <t>38276</t>
  </si>
  <si>
    <t>07/Jan/26 6:18 PM</t>
  </si>
  <si>
    <t>16/Jan/26 2:43 PM</t>
  </si>
  <si>
    <t>DEVRDECOM-227</t>
  </si>
  <si>
    <t>38274</t>
  </si>
  <si>
    <t>DEVRDECOM-224</t>
  </si>
  <si>
    <t>38268</t>
  </si>
  <si>
    <t>09/Jan/26 4:59 PM</t>
  </si>
  <si>
    <t>DEVRDECOM-223</t>
  </si>
  <si>
    <t>38266</t>
  </si>
  <si>
    <t>19/Jan/26 9:57 AM</t>
  </si>
  <si>
    <t>21/Jan/26 4:00 PM</t>
  </si>
  <si>
    <t>RDNDA-7</t>
  </si>
  <si>
    <t>38245</t>
  </si>
  <si>
    <t>[DEV][RD][TDM][POC] Push data to kinesis</t>
  </si>
  <si>
    <t>07/Jan/26 5:18 PM</t>
  </si>
  <si>
    <t>20/Jan/26 9:10 AM</t>
  </si>
  <si>
    <t>16/Jan/26 12:00 AM</t>
  </si>
  <si>
    <t>21/Jan/26 4:32 PM</t>
  </si>
  <si>
    <t>15/Jan/26 2:30 PM</t>
  </si>
  <si>
    <t>DEVRDECOM-214</t>
  </si>
  <si>
    <t>38206</t>
  </si>
  <si>
    <t>07/Jan/26 2:13 PM</t>
  </si>
  <si>
    <t>DEVRDECOM-213</t>
  </si>
  <si>
    <t>38204</t>
  </si>
  <si>
    <t>12/Jan/26 2:15 PM</t>
  </si>
  <si>
    <t>DEVRDECOM-212</t>
  </si>
  <si>
    <t>38202</t>
  </si>
  <si>
    <t>07/Jan/26 2:12 PM</t>
  </si>
  <si>
    <t>12/Jan/26 10:26 AM</t>
  </si>
  <si>
    <t>DEVRDECOM-211</t>
  </si>
  <si>
    <t>38128</t>
  </si>
  <si>
    <t>[DEV][RD][POC] Member data for datamart</t>
  </si>
  <si>
    <t>07/Jan/26 9:30 AM</t>
  </si>
  <si>
    <t>19/Jan/26 11:19 AM</t>
  </si>
  <si>
    <t>RDAPS-384</t>
  </si>
  <si>
    <t>38127</t>
  </si>
  <si>
    <t>[Dev][RD][Enhancement][REM Consumer] Add x-request-id header for outbound API calls to DA</t>
  </si>
  <si>
    <t>07/Jan/26 9:15 AM</t>
  </si>
  <si>
    <t>23/Jan/26 9:10 AM</t>
  </si>
  <si>
    <t>20/Jan/26 5:15 PM</t>
  </si>
  <si>
    <t>13/Jan/26 1:51 PM</t>
  </si>
  <si>
    <t>20/Jan/26 2:57 PM</t>
  </si>
  <si>
    <t>22/Jan/26 5:57 PM</t>
  </si>
  <si>
    <t>20/Jan/26 9:09 AM</t>
  </si>
  <si>
    <t>DPWP-7</t>
  </si>
  <si>
    <t>37865</t>
  </si>
  <si>
    <t>[Dev][RD][PWP] Create database migration for new schemas</t>
  </si>
  <si>
    <t>05/Jan/26 12:05 PM</t>
  </si>
  <si>
    <t>15/Jan/26 3:47 PM</t>
  </si>
  <si>
    <t>DPWP-6</t>
  </si>
  <si>
    <t>37864</t>
  </si>
  <si>
    <t>[Dev][RD][SA] Request Github Repository for Pay with Point</t>
  </si>
  <si>
    <t>05/Jan/26 12:04 PM</t>
  </si>
  <si>
    <t>[Dev][RD][PWP] Sprint 15</t>
  </si>
  <si>
    <t>DPWP-4</t>
  </si>
  <si>
    <t>37469</t>
  </si>
  <si>
    <t>[Dev][RD][SA] Request Database for Pay with Point</t>
  </si>
  <si>
    <t>29/Dec/25 1:39 PM</t>
  </si>
  <si>
    <t>DPWP-3</t>
  </si>
  <si>
    <t>37468</t>
  </si>
  <si>
    <t>[Dev][RD][PWP] Initial Project Repository for Pay with Point APIs</t>
  </si>
  <si>
    <t>15/Jan/26 3:46 PM</t>
  </si>
  <si>
    <t>DPWP-2</t>
  </si>
  <si>
    <t>37467</t>
  </si>
  <si>
    <t>[Dev][RD][SA] Analyze and breakdown task for implementation phasee</t>
  </si>
  <si>
    <t>29/Dec/25 1:38 PM</t>
  </si>
  <si>
    <t>14/Jan/26 10:15 AM</t>
  </si>
  <si>
    <t>DEVRDECOM-210</t>
  </si>
  <si>
    <t>37465</t>
  </si>
  <si>
    <t>[DEV][RD][Ecom][Ecommerce-Shopify] Enhance Shopify Order Paid &amp; Refund Payment Mapping and CleverTap Transaction Sync</t>
  </si>
  <si>
    <t>29/Dec/25 10:46 AM</t>
  </si>
  <si>
    <t>19/Jan/26 2:21 PM</t>
  </si>
  <si>
    <t>RDAPS-379</t>
  </si>
  <si>
    <t>37463</t>
  </si>
  <si>
    <t>[DEV][RD][SA] Design system for Thana City Datamart API</t>
  </si>
  <si>
    <t>29/Dec/25 10:12 AM</t>
  </si>
  <si>
    <t>DEVRDECOM-209</t>
  </si>
  <si>
    <t>37450</t>
  </si>
  <si>
    <t>[DEV][RD][Ecom][RR-Backoffice] Implement Backoffice for Shopify Member enhancement to support tag management</t>
  </si>
  <si>
    <t>29/Dec/25 9:37 AM</t>
  </si>
  <si>
    <t>19/Jan/26 2:20 PM</t>
  </si>
  <si>
    <t>DEVRDECOM-208</t>
  </si>
  <si>
    <t>36982</t>
  </si>
  <si>
    <t>[DEV][RD][Ecom][Ecommerce-Shopify] Add created_by and updated_by columns to shopify_shops and shopify_credentials table</t>
  </si>
  <si>
    <t>23/Dec/25 2:44 PM</t>
  </si>
  <si>
    <t>24/Dec/25 12:00 AM</t>
  </si>
  <si>
    <t>RDAPS-372</t>
  </si>
  <si>
    <t>[Dev][RD][Technical] Refactor TXN Report API and Report Summary API to remove dependency on MVP Phase 1 report source</t>
  </si>
  <si>
    <t>22/Jan/26 5:11 PM</t>
  </si>
  <si>
    <t>RDAPS-371</t>
  </si>
  <si>
    <t>36968</t>
  </si>
  <si>
    <t>[DEV][RD][HRS] Create cancel button for schedule upload</t>
  </si>
  <si>
    <t>23/Dec/25 11:16 AM</t>
  </si>
  <si>
    <t>13/Jan/26 3:35 PM</t>
  </si>
  <si>
    <t>RDAPS-370</t>
  </si>
  <si>
    <t>36861</t>
  </si>
  <si>
    <t>[DEV][RD][HRS] Enhance update import data log when empty employee id</t>
  </si>
  <si>
    <t>22/Dec/25 3:49 PM</t>
  </si>
  <si>
    <t>13/Jan/26 3:38 PM</t>
  </si>
  <si>
    <t>RDAPS-368</t>
  </si>
  <si>
    <t>36821</t>
  </si>
  <si>
    <t>[TP] MEMBER-ENHANCEMENT</t>
  </si>
  <si>
    <t>22/Dec/25 10:48 AM</t>
  </si>
  <si>
    <t>19/Jan/26 2:01 PM</t>
  </si>
  <si>
    <t>DEVRDECOM-207</t>
  </si>
  <si>
    <t>36760</t>
  </si>
  <si>
    <t>Integrate frontend with Shopify shops API endpoints</t>
  </si>
  <si>
    <t>22/Dec/25 10:30 AM</t>
  </si>
  <si>
    <t>24/Dec/25 9:06 AM</t>
  </si>
  <si>
    <t>DEVRDECOM-206</t>
  </si>
  <si>
    <t>36758</t>
  </si>
  <si>
    <t>Develop frontend create/edit form with validation for Shopify shops</t>
  </si>
  <si>
    <t>DEVRDECOM-205</t>
  </si>
  <si>
    <t>36757</t>
  </si>
  <si>
    <t>Implement API endpoint for Shopify shops datatable</t>
  </si>
  <si>
    <t>22/Dec/25 10:29 AM</t>
  </si>
  <si>
    <t>22/Dec/25 10:31 AM</t>
  </si>
  <si>
    <t>DEVRDECOM-204</t>
  </si>
  <si>
    <t>36756</t>
  </si>
  <si>
    <t>Implement API endpoints for Create, Read, and Update Shopify shops</t>
  </si>
  <si>
    <t>DEVRDECOM-202</t>
  </si>
  <si>
    <t>36755</t>
  </si>
  <si>
    <t>Create frontend template for Backoffice Shopify shops</t>
  </si>
  <si>
    <t>DEVRDECOM-203</t>
  </si>
  <si>
    <t>36753</t>
  </si>
  <si>
    <t>Create API template for Shopify shops module</t>
  </si>
  <si>
    <t>RDAPS-349</t>
  </si>
  <si>
    <t>36428</t>
  </si>
  <si>
    <t>[Dev][RD][PL] Add 8x8 SMS Logging for RequestOtp Function</t>
  </si>
  <si>
    <t>18/Dec/25 9:54 AM</t>
  </si>
  <si>
    <t>23/Jan/26 12:18 PM</t>
  </si>
  <si>
    <t>19/Dec/25 12:00 AM</t>
  </si>
  <si>
    <t>DEVRDECOM-201</t>
  </si>
  <si>
    <t>36281</t>
  </si>
  <si>
    <t>[DEV][RD][Ecom][Ecommerce-Shopify] Enhance Shopify Webhook Processing: Add Delay for Refund Update Flow</t>
  </si>
  <si>
    <t>17/Dec/25 9:16 AM</t>
  </si>
  <si>
    <t>RDAPS-347</t>
  </si>
  <si>
    <t>36157</t>
  </si>
  <si>
    <t>[Dev][RD][Enhancement][REM] Add x-request-id header for outbound API calls to DA</t>
  </si>
  <si>
    <t>16/Dec/25 11:06 AM</t>
  </si>
  <si>
    <t>RDAPS-346</t>
  </si>
  <si>
    <t>36156</t>
  </si>
  <si>
    <t>[Dev][RD][Enhancement][ORD] Add x-request-id header for outbound API calls to DA</t>
  </si>
  <si>
    <t>DEVRDECOM-199</t>
  </si>
  <si>
    <t>35956</t>
  </si>
  <si>
    <t>[DEV][RD][Ecom][RR-Backoffice] Implement Backoffice for Shopify Refunds</t>
  </si>
  <si>
    <t>15/Dec/25 10:38 AM</t>
  </si>
  <si>
    <t>DEVRDECOM-194</t>
  </si>
  <si>
    <t>35943</t>
  </si>
  <si>
    <t>[DEV][RD][Ecom][RR-Backoffice] Implement Backoffice for Shopify Members</t>
  </si>
  <si>
    <t>15/Dec/25 9:48 AM</t>
  </si>
  <si>
    <t>DEVRDECOM-193</t>
  </si>
  <si>
    <t>35941</t>
  </si>
  <si>
    <t>[DEV][RD][Ecom][RR-Backoffice] Implement Backoffice for Shopify Credentials</t>
  </si>
  <si>
    <t>15/Dec/25 9:24 AM</t>
  </si>
  <si>
    <t>DEVRDECOM-192</t>
  </si>
  <si>
    <t>35940</t>
  </si>
  <si>
    <t>[DEV][RD][Ecom][RR-Backoffice] Implement Backoffice for Shopify Shops</t>
  </si>
  <si>
    <t>15/Dec/25 9:14 AM</t>
  </si>
  <si>
    <t>22/Dec/25 12:00 AM</t>
  </si>
  <si>
    <t>RDAPS-337</t>
  </si>
  <si>
    <t>35903</t>
  </si>
  <si>
    <t>[DEV][RD][APH] Add survey request log</t>
  </si>
  <si>
    <t>14/Dec/25 2:39 PM</t>
  </si>
  <si>
    <t>13/Jan/26 2:57 PM</t>
  </si>
  <si>
    <t>17/Dec/25 12:00 AM</t>
  </si>
  <si>
    <t>Aphrodire</t>
  </si>
  <si>
    <t>RDAPS-336</t>
  </si>
  <si>
    <t>35902</t>
  </si>
  <si>
    <t>[DEV][RD][APH] Change bug log to discord noti</t>
  </si>
  <si>
    <t>14/Dec/25 2:36 PM</t>
  </si>
  <si>
    <t>RDAPS-335</t>
  </si>
  <si>
    <t>35901</t>
  </si>
  <si>
    <t>[DEV][RD][APH] Integrate bug notification to discord</t>
  </si>
  <si>
    <t>RDAPS-322</t>
  </si>
  <si>
    <t>35656</t>
  </si>
  <si>
    <t>[DEV][RD][MSG] Change support email</t>
  </si>
  <si>
    <t>10/Dec/25 1:27 PM</t>
  </si>
  <si>
    <t>13/Jan/26 2:28 PM</t>
  </si>
  <si>
    <t>sso-messenger</t>
  </si>
  <si>
    <t>RDAPS-305</t>
  </si>
  <si>
    <t>35378</t>
  </si>
  <si>
    <t>[DEV][RD][SRS] Change support email</t>
  </si>
  <si>
    <t>03/Dec/25 2:08 PM</t>
  </si>
  <si>
    <t>rr-scheduler</t>
  </si>
  <si>
    <t>21/Jan/26 2:06 PM</t>
  </si>
  <si>
    <t>19/Jan/26 9:48 AM</t>
  </si>
  <si>
    <t>DEVRDECOM-173</t>
  </si>
  <si>
    <t>34379</t>
  </si>
  <si>
    <t>[DEV][RD][Eco][security/risk] Check list</t>
  </si>
  <si>
    <t>16/Nov/25 5:08 PM</t>
  </si>
  <si>
    <t>14/Jan/26 9:28 AM</t>
  </si>
  <si>
    <t>13/Jan/26 4:07 PM</t>
  </si>
  <si>
    <t>22/Jan/26 4:56 PM</t>
  </si>
  <si>
    <t>22/Jan/26 4:55 PM</t>
  </si>
  <si>
    <t>22/Jan/26 5:06 PM</t>
  </si>
  <si>
    <t>22/Jan/26 5:05 PM</t>
  </si>
  <si>
    <t>12/Jan/26 4:11 PM</t>
  </si>
  <si>
    <t>22/Jan/26 5:04 PM</t>
  </si>
  <si>
    <t>RDAPS-233</t>
  </si>
  <si>
    <t>32777</t>
  </si>
  <si>
    <t>[Dev][RD][RRS] Enhance Redemption ETL to add fields 'USING_AT' and 'COUNTDOWN_EXPIRED_AT'</t>
  </si>
  <si>
    <t>19/Oct/25 3:24 PM</t>
  </si>
  <si>
    <t>21/Jan/26 2:05 PM</t>
  </si>
  <si>
    <t>21/Oct/25 12:00 AM</t>
  </si>
  <si>
    <t>DEVRDSUP-175</t>
  </si>
  <si>
    <t>32272</t>
  </si>
  <si>
    <t>[SUP-239][ETL] Catch-up redemption data (item_id, using_at, and countdown_expired_at)</t>
  </si>
  <si>
    <t>14/Oct/25 4:34 PM</t>
  </si>
  <si>
    <t>21/Jan/26 1:59 PM</t>
  </si>
  <si>
    <t>30/Oct/25 12:00 AM</t>
  </si>
  <si>
    <t>2 ครั้ง 
1.  2 คน
2.  1 คน
3.  1 คน</t>
  </si>
  <si>
    <t>Sprint 14</t>
  </si>
  <si>
    <t>09/Jan/26 10:01 AM</t>
  </si>
  <si>
    <t>RDAPS-389</t>
  </si>
  <si>
    <t>38426</t>
  </si>
  <si>
    <t>[QA] Test execution on PROD</t>
  </si>
  <si>
    <t>08/Jan/26 4:09 PM</t>
  </si>
  <si>
    <t>08/Jan/26 4:10 PM</t>
  </si>
  <si>
    <t>DEVRDSUP-368</t>
  </si>
  <si>
    <t>38389</t>
  </si>
  <si>
    <t xml:space="preserve">[SUP-440][SUB][NBO] SUB package TXN detail are showing many values incorrectly and HOLD, REFUND doesn't work anymore.  </t>
  </si>
  <si>
    <t>08/Jan/26 2:41 PM</t>
  </si>
  <si>
    <t>09/Jan/26 9:39 AM</t>
  </si>
  <si>
    <t>12/Jan/26 12:00 AM</t>
  </si>
  <si>
    <t>08/Jan/26 10:18 AM</t>
  </si>
  <si>
    <t>RDAPS-387</t>
  </si>
  <si>
    <t>38312</t>
  </si>
  <si>
    <t>08/Jan/26 10:08 AM</t>
  </si>
  <si>
    <t>08/Jan/26 10:09 AM</t>
  </si>
  <si>
    <t>07/Jan/26 6:19 PM</t>
  </si>
  <si>
    <t>DEVRDECOM-226</t>
  </si>
  <si>
    <t>38272</t>
  </si>
  <si>
    <t>DEVRDECOM-225</t>
  </si>
  <si>
    <t>38270</t>
  </si>
  <si>
    <t>DEVRDECOM-222</t>
  </si>
  <si>
    <t>38264</t>
  </si>
  <si>
    <t>07/Jan/26 6:17 PM</t>
  </si>
  <si>
    <t>08/Jan/26 3:39 PM</t>
  </si>
  <si>
    <t>DEVRDECOM-221</t>
  </si>
  <si>
    <t>38262</t>
  </si>
  <si>
    <t>DEVRDECOM-220</t>
  </si>
  <si>
    <t>38260</t>
  </si>
  <si>
    <t>08/Jan/26 3:54 PM</t>
  </si>
  <si>
    <t>DEVRDECOM-219</t>
  </si>
  <si>
    <t>38258</t>
  </si>
  <si>
    <t>DEVRDECOM-218</t>
  </si>
  <si>
    <t>38256</t>
  </si>
  <si>
    <t>07/Jan/26 6:16 PM</t>
  </si>
  <si>
    <t>08/Jan/26 3:28 PM</t>
  </si>
  <si>
    <t>DEVRDECOM-217</t>
  </si>
  <si>
    <t>38254</t>
  </si>
  <si>
    <t>DEVRDECOM-216</t>
  </si>
  <si>
    <t>38252</t>
  </si>
  <si>
    <t>07/Jan/26 5:58 PM</t>
  </si>
  <si>
    <t>08/Jan/26 11:29 AM</t>
  </si>
  <si>
    <t>DEVRDECOM-215</t>
  </si>
  <si>
    <t>38250</t>
  </si>
  <si>
    <t>09/Jan/26 10:02 AM</t>
  </si>
  <si>
    <t>DM-159</t>
  </si>
  <si>
    <t>38164</t>
  </si>
  <si>
    <t>[DEV][RD][AWSTH] Update RLP information to support DevOps team</t>
  </si>
  <si>
    <t>07/Jan/26 11:28 AM</t>
  </si>
  <si>
    <t>08/Jan/26 3:19 PM</t>
  </si>
  <si>
    <t>09/Jan/26 12:00 AM</t>
  </si>
  <si>
    <t>infra</t>
  </si>
  <si>
    <t>[Dev][RD][AWS] Sprint 15</t>
  </si>
  <si>
    <t>07/Jan/26 4:48 PM</t>
  </si>
  <si>
    <t>09/Jan/26 7:27 AM</t>
  </si>
  <si>
    <t>DEVRDSUP-364</t>
  </si>
  <si>
    <t>38017</t>
  </si>
  <si>
    <t>[SUP-430][SUB] : Request to export receipt due to Incomplete Emails Received by BTSC (December2025)</t>
  </si>
  <si>
    <t>06/Jan/26 4:56 PM</t>
  </si>
  <si>
    <t>08/Jan/26 1:53 PM</t>
  </si>
  <si>
    <t>RDAPS-383</t>
  </si>
  <si>
    <t>37983</t>
  </si>
  <si>
    <t>[DEV][RD][HRS] Create command to bulk inactive member</t>
  </si>
  <si>
    <t>06/Jan/26 11:47 AM</t>
  </si>
  <si>
    <t>07/Jan/26 11:43 AM</t>
  </si>
  <si>
    <t>08/Jan/26 9:59 AM</t>
  </si>
  <si>
    <t>DEVRDSUP-359</t>
  </si>
  <si>
    <t>37918</t>
  </si>
  <si>
    <t>[SUP-394][BTS Trips] #20251200022178 can't get points  NBO with the status ““Fail – 500 Internal Server Error.”</t>
  </si>
  <si>
    <t>05/Jan/26 4:12 PM</t>
  </si>
  <si>
    <t>07/Jan/26 2:56 PM</t>
  </si>
  <si>
    <t>RDAPS-381</t>
  </si>
  <si>
    <t>37914</t>
  </si>
  <si>
    <t>[QA] Create Test Case &amp; Test Execution</t>
  </si>
  <si>
    <t>05/Jan/26 2:33 PM</t>
  </si>
  <si>
    <t>07/Jan/26 9:41 AM</t>
  </si>
  <si>
    <t>DEVRRBOF-206</t>
  </si>
  <si>
    <t>37856</t>
  </si>
  <si>
    <t>GIFT : Netnapa Sarawan</t>
  </si>
  <si>
    <t>712020:de8942b7-86cb-492b-95e7-5475add8a3f1</t>
  </si>
  <si>
    <t>05/Jan/26 10:57 AM</t>
  </si>
  <si>
    <t>05/Jan/26 11:50 AM</t>
  </si>
  <si>
    <t>DEVRDSUP-357</t>
  </si>
  <si>
    <t>37754</t>
  </si>
  <si>
    <t>[SUP-405][RDxDA][ETL] Missing BSS_SSO_CHG_SSOMEMBERPROFILE from 20251224074502 batch</t>
  </si>
  <si>
    <t>02/Jan/26 3:48 PM</t>
  </si>
  <si>
    <t>07/Jan/26 3:53 PM</t>
  </si>
  <si>
    <t>07/Jan/26 12:00 AM</t>
  </si>
  <si>
    <t>DM-158</t>
  </si>
  <si>
    <t>37687</t>
  </si>
  <si>
    <t>[DEV][RD][AWS] Prepare document for List services using S3</t>
  </si>
  <si>
    <t>02/Jan/26 11:33 AM</t>
  </si>
  <si>
    <t>06/Jan/26 9:13 AM</t>
  </si>
  <si>
    <t>DM-157</t>
  </si>
  <si>
    <t>37651</t>
  </si>
  <si>
    <t>[DEV][RD][AWS][PL] Change column client id to varchar for oauth client table</t>
  </si>
  <si>
    <t>02/Jan/26 9:35 AM</t>
  </si>
  <si>
    <t>08/Jan/26 4:34 PM</t>
  </si>
  <si>
    <t>05/Jan/26 12:00 AM</t>
  </si>
  <si>
    <t>RDAPS-380</t>
  </si>
  <si>
    <t>37548</t>
  </si>
  <si>
    <t>[QA] Retest coupon expiry date logic when restate a coupon to Redeemed</t>
  </si>
  <si>
    <t>30/Dec/25 10:35 AM</t>
  </si>
  <si>
    <t>30/Dec/25 5:08 PM</t>
  </si>
  <si>
    <t>DEVRDSUP-353</t>
  </si>
  <si>
    <t>37512</t>
  </si>
  <si>
    <t>[SUP-423][Turtle] Reuquest to batch update 2 auto-pushed reward SKUs to expire on 31/12/2025 23:59:59</t>
  </si>
  <si>
    <t>29/Dec/25 9:56 PM</t>
  </si>
  <si>
    <t>30/Dec/25 5:23 PM</t>
  </si>
  <si>
    <t>DEVRRBOF-205</t>
  </si>
  <si>
    <t>37478</t>
  </si>
  <si>
    <t>[Dev][RD][BOF] Update Default Info for Rewards Setting</t>
  </si>
  <si>
    <t>29/Dec/25 4:17 PM</t>
  </si>
  <si>
    <t>08/Jan/26 4:44 PM</t>
  </si>
  <si>
    <t>DEVRDSUP-351</t>
  </si>
  <si>
    <t>37475</t>
  </si>
  <si>
    <t>[SUP-422][BU][Dev] MKT ขอดูจำนวนคนเข้า Campaign Donation</t>
  </si>
  <si>
    <t>29/Dec/25 2:37 PM</t>
  </si>
  <si>
    <t>30/Dec/25 10:22 AM</t>
  </si>
  <si>
    <t>DEVRDSUP-350</t>
  </si>
  <si>
    <t>37472</t>
  </si>
  <si>
    <t>[SUP-421]Query Point expire 2025 - Donation [29 Dec]</t>
  </si>
  <si>
    <t>29/Dec/25 1:59 PM</t>
  </si>
  <si>
    <t>02/Jan/26 9:22 AM</t>
  </si>
  <si>
    <t>09/Jan/26 9:25 AM</t>
  </si>
  <si>
    <t>DEVRDADJ-74</t>
  </si>
  <si>
    <t>37464</t>
  </si>
  <si>
    <t>[DEV][RD][BOF] Enhance deeplink update function support internal name changed</t>
  </si>
  <si>
    <t>29/Dec/25 10:22 AM</t>
  </si>
  <si>
    <t>08/Jan/26 9:23 AM</t>
  </si>
  <si>
    <t>[Dev][RDAdjust] Sprint 15</t>
  </si>
  <si>
    <t>30/Dec/25 9:59 AM</t>
  </si>
  <si>
    <t>09/Jan/26 9:34 AM</t>
  </si>
  <si>
    <t>RDAPS-378</t>
  </si>
  <si>
    <t>37448</t>
  </si>
  <si>
    <t>[DEV][RD][HRS] Create cronjob to auto sync member data with SSO detail</t>
  </si>
  <si>
    <t>29/Dec/25 9:34 AM</t>
  </si>
  <si>
    <t>RDAPS-377</t>
  </si>
  <si>
    <t>37444</t>
  </si>
  <si>
    <t>[Dev][RD][HRS] Create script to generate registration_data</t>
  </si>
  <si>
    <t>29/Dec/25 9:23 AM</t>
  </si>
  <si>
    <t>09/Jan/26 9:13 AM</t>
  </si>
  <si>
    <t>08/Jan/26 10:04 AM</t>
  </si>
  <si>
    <t>DEVRDSUP-339</t>
  </si>
  <si>
    <t>37296</t>
  </si>
  <si>
    <t>[SUP-407][SUB] Can't active any category.</t>
  </si>
  <si>
    <t>25/Dec/25 3:01 PM</t>
  </si>
  <si>
    <t>08/Jan/26 9:48 AM</t>
  </si>
  <si>
    <t>DM-156</t>
  </si>
  <si>
    <t>37228</t>
  </si>
  <si>
    <t>[DEV][RD][AWS][POC] Partner Loyalty Compatibility Check After Database Migration from MariaDB to PostgreSQL</t>
  </si>
  <si>
    <t>25/Dec/25 10:04 AM</t>
  </si>
  <si>
    <t>RDAPS-375</t>
  </si>
  <si>
    <t>37123</t>
  </si>
  <si>
    <t>[Dev][RD][Redemption] Migrate data for `allocation_type` in coupon_codes collection</t>
  </si>
  <si>
    <t>24/Dec/25 12:21 PM</t>
  </si>
  <si>
    <t>28/Dec/25 8:54 PM</t>
  </si>
  <si>
    <t>DEVRRBOF-202</t>
  </si>
  <si>
    <t>36985</t>
  </si>
  <si>
    <t>[RR-Backoffice] Enhance displaying 'Display rule'</t>
  </si>
  <si>
    <t>23/Dec/25 4:06 PM</t>
  </si>
  <si>
    <t>07/Jan/26 11:29 PM</t>
  </si>
  <si>
    <t>07/Jan/26 11:08 AM</t>
  </si>
  <si>
    <t>30/Dec/25 10:04 AM</t>
  </si>
  <si>
    <t>08/Jan/26 4:39 PM</t>
  </si>
  <si>
    <t>DEVRDSUP-330</t>
  </si>
  <si>
    <t>36896</t>
  </si>
  <si>
    <t>[SUP-391][REM] Reward can be created twice if user click submit button twice quickly.</t>
  </si>
  <si>
    <t>22/Dec/25 5:57 PM</t>
  </si>
  <si>
    <t>22/Jan/26 12:00 AM</t>
  </si>
  <si>
    <t>09/Jan/26 10:16 AM</t>
  </si>
  <si>
    <t>RDAPS-367</t>
  </si>
  <si>
    <t>36748</t>
  </si>
  <si>
    <t>22/Dec/25 10:13 AM</t>
  </si>
  <si>
    <t>07/Jan/26 12:42 PM</t>
  </si>
  <si>
    <t>RDAPS-366</t>
  </si>
  <si>
    <t>36746</t>
  </si>
  <si>
    <t>05/Jan/26 10:08 AM</t>
  </si>
  <si>
    <t>RDAPS-365</t>
  </si>
  <si>
    <t>36744</t>
  </si>
  <si>
    <t>22/Dec/25 10:12 AM</t>
  </si>
  <si>
    <t>06/Jan/26 10:06 AM</t>
  </si>
  <si>
    <t>RDAPS-364</t>
  </si>
  <si>
    <t>36742</t>
  </si>
  <si>
    <t>RDAPS-362</t>
  </si>
  <si>
    <t>36738</t>
  </si>
  <si>
    <t>06/Jan/26 10:16 AM</t>
  </si>
  <si>
    <t>RDAPS-358</t>
  </si>
  <si>
    <t>36729</t>
  </si>
  <si>
    <t>22/Dec/25 10:10 AM</t>
  </si>
  <si>
    <t>05/Jan/26 10:07 AM</t>
  </si>
  <si>
    <t>30/Dec/25 10:05 AM</t>
  </si>
  <si>
    <t>DEVRDSUP-318</t>
  </si>
  <si>
    <t>36245</t>
  </si>
  <si>
    <t>[SUP-381][Widget] Request to remove many expired rewards from associated widgets to improve RR app performance on RR store page.</t>
  </si>
  <si>
    <t>16/Dec/25 5:45 PM</t>
  </si>
  <si>
    <t>widget</t>
  </si>
  <si>
    <t>DEVRDECOM-200</t>
  </si>
  <si>
    <t>35957</t>
  </si>
  <si>
    <t>[DEV][RD][Ecom][RR-Backoffice] Implement Backoffice for Shopify Login Logs</t>
  </si>
  <si>
    <t>15/Dec/25 10:44 AM</t>
  </si>
  <si>
    <t>08/Jan/26 3:20 PM</t>
  </si>
  <si>
    <t>DEVRDECOM-198</t>
  </si>
  <si>
    <t>35955</t>
  </si>
  <si>
    <t>[DEV][RD][Ecom][RR-Backoffice] Implement Backoffice for Shopify Transactions</t>
  </si>
  <si>
    <t>15/Dec/25 10:35 AM</t>
  </si>
  <si>
    <t>DEVRDADJ-73</t>
  </si>
  <si>
    <t>35954</t>
  </si>
  <si>
    <t>[DEV][RD][LNF][Deeplink] Re-generate deeplink when item internal name was changed</t>
  </si>
  <si>
    <t>15/Dec/25 10:33 AM</t>
  </si>
  <si>
    <t>29/Dec/25 10:21 AM</t>
  </si>
  <si>
    <t>18/Dec/25 12:00 AM</t>
  </si>
  <si>
    <t>[Dev][RDAdjust] Sprint 14</t>
  </si>
  <si>
    <t>DEVRDECOM-197</t>
  </si>
  <si>
    <t>35948</t>
  </si>
  <si>
    <t>[DEV][RD][Ecom][RR-Backoffice] Implement Backoffice for Shopify Webhooks</t>
  </si>
  <si>
    <t>15/Dec/25 10:26 AM</t>
  </si>
  <si>
    <t>DEVRDECOM-196</t>
  </si>
  <si>
    <t>35946</t>
  </si>
  <si>
    <t>[DEV][RD][Ecom][RR-Backoffice] Implement Backoffice for Warehouse Order Status</t>
  </si>
  <si>
    <t>15/Dec/25 10:18 AM</t>
  </si>
  <si>
    <t>DEVRDECOM-195</t>
  </si>
  <si>
    <t>35944</t>
  </si>
  <si>
    <t>[DEV][RD][Ecom][RR-Backoffice] Implement Backoffice for Shopify Orders</t>
  </si>
  <si>
    <t>15/Dec/25 10:11 AM</t>
  </si>
  <si>
    <t>08/Jan/26 3:50 PM</t>
  </si>
  <si>
    <t>RDAPS-333</t>
  </si>
  <si>
    <t>35795</t>
  </si>
  <si>
    <t>[Dev][RD][REM] Adjust the coupon expiry date logic when restate a coupon to Redeemed</t>
  </si>
  <si>
    <t>12/Dec/25 2:35 PM</t>
  </si>
  <si>
    <t>06/Jan/26 9:55 AM</t>
  </si>
  <si>
    <t>RDAPS-329</t>
  </si>
  <si>
    <t>35717</t>
  </si>
  <si>
    <t>[Dev][RD][BOF] Optimize query performance for Coupons Transaction Report</t>
  </si>
  <si>
    <t>11/Dec/25 4:46 PM</t>
  </si>
  <si>
    <t>RDAPS-328</t>
  </si>
  <si>
    <t>35715</t>
  </si>
  <si>
    <t>[Dev][RD][BOF] Switch "Subscription V2/ TXN Report" to use new endpoint</t>
  </si>
  <si>
    <t>11/Dec/25 3:57 PM</t>
  </si>
  <si>
    <t>16/Dec/25 12:00 AM</t>
  </si>
  <si>
    <t>RDAPS-326</t>
  </si>
  <si>
    <t>35705</t>
  </si>
  <si>
    <t>[DEV][RD][HRS] Enhance employee import flow support schedule</t>
  </si>
  <si>
    <t>11/Dec/25 11:47 AM</t>
  </si>
  <si>
    <t>RDAPS-325</t>
  </si>
  <si>
    <t>35704</t>
  </si>
  <si>
    <t>Check BU still active</t>
  </si>
  <si>
    <t>11/Dec/25 11:39 AM</t>
  </si>
  <si>
    <t>RDAPS-324</t>
  </si>
  <si>
    <t>35702</t>
  </si>
  <si>
    <t>[DEV][RD][HRS] Add action to retry button in schedule datatable</t>
  </si>
  <si>
    <t>11/Dec/25 11:13 AM</t>
  </si>
  <si>
    <t>06/Jan/26 10:08 AM</t>
  </si>
  <si>
    <t>06/Jan/26 9:50 AM</t>
  </si>
  <si>
    <t>08/Jan/26 10:15 AM</t>
  </si>
  <si>
    <t>RDTHANA-424</t>
  </si>
  <si>
    <t>35591</t>
  </si>
  <si>
    <t>[S3][ฺBanner][Deeplink] Unable to save Banner with Full Deeplink (Link from Deeplink Page)</t>
  </si>
  <si>
    <t>09/Dec/25 10:09 AM</t>
  </si>
  <si>
    <t>29/Dec/25 10:20 AM</t>
  </si>
  <si>
    <t>[Dev][RD][Thana] Sprint 13</t>
  </si>
  <si>
    <t>[Dev][RD][Thana] Sprint 14</t>
  </si>
  <si>
    <t>[Dev][RD][Thana] Sprint 15</t>
  </si>
  <si>
    <t>06/Jan/26 8:16 AM</t>
  </si>
  <si>
    <t>DEVRDCT-341</t>
  </si>
  <si>
    <t>35533</t>
  </si>
  <si>
    <t>[S3][DEV][RD][RLP] Cannot command initial sync LIME Pay member to Line OA Account</t>
  </si>
  <si>
    <t>Lucas - Saksorn Srisak</t>
  </si>
  <si>
    <t>712020:289e7d91-50e6-438c-9b32-23b14017a585</t>
  </si>
  <si>
    <t>08/Dec/25 10:13 AM</t>
  </si>
  <si>
    <t>08/Jan/26 5:08 PM</t>
  </si>
  <si>
    <t>RDAPS-315</t>
  </si>
  <si>
    <t>35441</t>
  </si>
  <si>
    <t>[QA] Create Test case</t>
  </si>
  <si>
    <t>04/Dec/25 10:13 AM</t>
  </si>
  <si>
    <t>RDAPS-314</t>
  </si>
  <si>
    <t>35439</t>
  </si>
  <si>
    <t>04/Dec/25 10:12 AM</t>
  </si>
  <si>
    <t>RDAPS-310</t>
  </si>
  <si>
    <t>35431</t>
  </si>
  <si>
    <t>04/Dec/25 10:11 AM</t>
  </si>
  <si>
    <t>15/Dec/25 3:03 PM</t>
  </si>
  <si>
    <t>08/Jan/26 10:14 AM</t>
  </si>
  <si>
    <t>RDAPS-301</t>
  </si>
  <si>
    <t>35202</t>
  </si>
  <si>
    <t>[DEV][RD][SA] Consult/Suggest API call flow to integrate with Paypoint system</t>
  </si>
  <si>
    <t>01/Dec/25 12:42 PM</t>
  </si>
  <si>
    <t>05/Jan/26 1:35 PM</t>
  </si>
  <si>
    <t>RDAPS-299</t>
  </si>
  <si>
    <t>35157</t>
  </si>
  <si>
    <t>[DEV][RD][HRS][Queue] Create queue for send upload report</t>
  </si>
  <si>
    <t>30/Nov/25 7:00 PM</t>
  </si>
  <si>
    <t>10/Dec/25 12:00 AM</t>
  </si>
  <si>
    <t>RDAPS-297</t>
  </si>
  <si>
    <t>35120</t>
  </si>
  <si>
    <t>[DEV][RD][HRS][CRONJOB] Create command to import schedule upload</t>
  </si>
  <si>
    <t>28/Nov/25 5:14 PM</t>
  </si>
  <si>
    <t>08/Jan/26 9:51 AM</t>
  </si>
  <si>
    <t>09/Dec/25 12:00 AM</t>
  </si>
  <si>
    <t>RDAPS-293</t>
  </si>
  <si>
    <t>35112</t>
  </si>
  <si>
    <t>[DEV][RD][HRS][MEMBER] Enhance registerRabbitMemberV2 function support upload error message</t>
  </si>
  <si>
    <t>28/Nov/25 4:45 PM</t>
  </si>
  <si>
    <t>05/Jan/26 2:19 PM</t>
  </si>
  <si>
    <t>02/Dec/25 12:00 AM</t>
  </si>
  <si>
    <t>DM-102</t>
  </si>
  <si>
    <t>34927</t>
  </si>
  <si>
    <t>[DEV][RD][AWSTH] RR CronJob Cleanup Unused Code After Migration</t>
  </si>
  <si>
    <t>26/Nov/25 4:56 PM</t>
  </si>
  <si>
    <t>08/Jan/26 3:22 PM</t>
  </si>
  <si>
    <t>DM-100</t>
  </si>
  <si>
    <t>34925</t>
  </si>
  <si>
    <t>[DEV][RD][AWSTH] Merchant API Cleanup Unused Code After Migration</t>
  </si>
  <si>
    <t>02/Jan/26 11:20 AM</t>
  </si>
  <si>
    <t>RDTHANA-393</t>
  </si>
  <si>
    <t>34499</t>
  </si>
  <si>
    <t>[DEV][RD][APH] Enhance record "source" when save participant</t>
  </si>
  <si>
    <t>18/Nov/25 9:20 AM</t>
  </si>
  <si>
    <t>19/Nov/25 12:00 AM</t>
  </si>
  <si>
    <t>[Dev][RD][Thana] Sprint 12</t>
  </si>
  <si>
    <t>RDTHANA-377</t>
  </si>
  <si>
    <t>33695</t>
  </si>
  <si>
    <t>[S4][Survey][Step 2] Club Status(Active/Inavtive)  NOT update after change from HR-solution</t>
  </si>
  <si>
    <t>06/Nov/25 1:54 PM</t>
  </si>
  <si>
    <t>[Dev][RD][Thana] Sprint 11</t>
  </si>
  <si>
    <t>RDAPS-255</t>
  </si>
  <si>
    <t>33340</t>
  </si>
  <si>
    <t>[Dev][RD][CID] Add log to Binding API to investigate double binding cases</t>
  </si>
  <si>
    <t>02/Nov/25 4:28 PM</t>
  </si>
  <si>
    <t>06/Nov/25 12:00 AM</t>
  </si>
  <si>
    <t>rr-cloudid-api</t>
  </si>
  <si>
    <t>RDTHANA-353</t>
  </si>
  <si>
    <t>33197</t>
  </si>
  <si>
    <t>[Dev][RD][Survey Web] Remove Survey web from SEO</t>
  </si>
  <si>
    <t>28/Oct/25 1:53 PM</t>
  </si>
  <si>
    <t>rr-aphrodite</t>
  </si>
  <si>
    <t>[Dev][RD][Thana] Sprint 10</t>
  </si>
  <si>
    <t>RDTHANA-289</t>
  </si>
  <si>
    <t>31700</t>
  </si>
  <si>
    <t>[DEV][RD][BOF][CR] Enhance survey ranking question</t>
  </si>
  <si>
    <t>26/Sep/25 2:02 PM</t>
  </si>
  <si>
    <t>30/Sep/25 12:00 AM</t>
  </si>
  <si>
    <t>[Dev][RD][Thana] Sprint 8</t>
  </si>
  <si>
    <t>[Dev][RD][Thana] Sprint 9</t>
  </si>
  <si>
    <t>RDTHANA-244</t>
  </si>
  <si>
    <t>31447</t>
  </si>
  <si>
    <t>[DEV][RD][APH] Enhance sorry page support dynamic error message and CTA button</t>
  </si>
  <si>
    <t>22/Sep/25 11:36 AM</t>
  </si>
  <si>
    <t>29/Sep/25 12:00 AM</t>
  </si>
  <si>
    <t>RDTHANA-241</t>
  </si>
  <si>
    <t>31432</t>
  </si>
  <si>
    <t>[DEV][RD][APH] Enhance survey html render support survey appearance "Thank you" tab</t>
  </si>
  <si>
    <t>21/Sep/25 9:13 PM</t>
  </si>
  <si>
    <t>RDTHANA-238</t>
  </si>
  <si>
    <t>31429</t>
  </si>
  <si>
    <t>[DEV][RD][APH] Create survey theme</t>
  </si>
  <si>
    <t>21/Sep/25 8:49 PM</t>
  </si>
  <si>
    <t>23/Sep/25 12:00 AM</t>
  </si>
  <si>
    <t>RDAPS-187</t>
  </si>
  <si>
    <t>31237</t>
  </si>
  <si>
    <t>[Dev][RD][RRS][Technical] Optimize performance for coupons report</t>
  </si>
  <si>
    <t>16/Sep/25 4:03 PM</t>
  </si>
  <si>
    <t>09/Jan/26 10:22 AM</t>
  </si>
  <si>
    <t>RDTHANA-20</t>
  </si>
  <si>
    <t>29950</t>
  </si>
  <si>
    <t>[Dev][RD][APH] Enhance check token</t>
  </si>
  <si>
    <t>19/Aug/25 7:46 PM</t>
  </si>
  <si>
    <t>[Dev][RD][Thana] Sprint 7</t>
  </si>
  <si>
    <t>3 ครั้ง 
1.  3 คน
2.  1 คน
3.  2 คน</t>
  </si>
  <si>
    <t>Sprint 13</t>
  </si>
  <si>
    <t>30/Dec/25 10:45 AM</t>
  </si>
  <si>
    <t>DEVRDCT-361</t>
  </si>
  <si>
    <t>37305</t>
  </si>
  <si>
    <t>[S4][Shopify][CT Event][REFUND] Lack of 'TRANSACTION_ID' fields</t>
  </si>
  <si>
    <t>25/Dec/25 10:30 PM</t>
  </si>
  <si>
    <t>29/Dec/25 6:36 PM</t>
  </si>
  <si>
    <t>DEVRDSUP-342</t>
  </si>
  <si>
    <t>37304</t>
  </si>
  <si>
    <t>[SUP-412][Dev][DevOpt][BU] Point expire 2025 - Donation</t>
  </si>
  <si>
    <t>25/Dec/25 5:52 PM</t>
  </si>
  <si>
    <t>29/Dec/25 10:02 AM</t>
  </si>
  <si>
    <t>DM-155</t>
  </si>
  <si>
    <t>37227</t>
  </si>
  <si>
    <t>[DEV][RD][AWS][POC] RR BackOffice Compatibility Check After Database Migration from MariaDB to PostgreSQL</t>
  </si>
  <si>
    <t>25/Dec/25 9:36 AM</t>
  </si>
  <si>
    <t>30/Dec/25 10:00 AM</t>
  </si>
  <si>
    <t>[Dev][RD][AWS] Sprint 14</t>
  </si>
  <si>
    <t>RDAPS-376</t>
  </si>
  <si>
    <t>37226</t>
  </si>
  <si>
    <t>[Dev][RD][Adhoc] BSS team request access to SSO back office for Support My Rabbit project</t>
  </si>
  <si>
    <t>25/Dec/25 8:58 AM</t>
  </si>
  <si>
    <t>25/Dec/25 9:46 AM</t>
  </si>
  <si>
    <t>DM-154</t>
  </si>
  <si>
    <t>37191</t>
  </si>
  <si>
    <t>[DEV][RD][AWSTH] Update Partner DB config for RR BackOffice with PostgreSQL</t>
  </si>
  <si>
    <t>24/Dec/25 3:40 PM</t>
  </si>
  <si>
    <t>26/Dec/25 9:33 AM</t>
  </si>
  <si>
    <t>DEVRDCT-360</t>
  </si>
  <si>
    <t>37090</t>
  </si>
  <si>
    <t>[S4][Shopify][CT Event][Charge - PAYMENT_PAID] Lack of some data fields</t>
  </si>
  <si>
    <t>24/Dec/25 11:19 AM</t>
  </si>
  <si>
    <t>29/Dec/25 1:56 PM</t>
  </si>
  <si>
    <t>RDAPS-374</t>
  </si>
  <si>
    <t>37022</t>
  </si>
  <si>
    <t>[S2][Member][Member Information] Updated success but member information is not updated</t>
  </si>
  <si>
    <t>23/Dec/25 9:10 PM</t>
  </si>
  <si>
    <t>24/Dec/25 11:01 AM</t>
  </si>
  <si>
    <t>DEVRDSUP-336</t>
  </si>
  <si>
    <t>36980</t>
  </si>
  <si>
    <t>[SUP-403][SSO Backoffice][backoffice] Admin Access on UAT and PROD</t>
  </si>
  <si>
    <t>23/Dec/25 2:14 PM</t>
  </si>
  <si>
    <t>25/Dec/25 9:01 AM</t>
  </si>
  <si>
    <t>DEVRDSUP-333</t>
  </si>
  <si>
    <t>36972</t>
  </si>
  <si>
    <t>[SUP-400]SUB : Request to fill in the Secret Key for T8 Add-on</t>
  </si>
  <si>
    <t>23/Dec/25 11:26 AM</t>
  </si>
  <si>
    <t>24/Dec/25 10:41 AM</t>
  </si>
  <si>
    <t>DEVRDSUP-331</t>
  </si>
  <si>
    <t>36967</t>
  </si>
  <si>
    <t>[SUP-398][Dev][DevOpt][BU] Point expire 2025 - Donation</t>
  </si>
  <si>
    <t>23/Dec/25 11:14 AM</t>
  </si>
  <si>
    <t>24/Dec/25 1:40 PM</t>
  </si>
  <si>
    <t>DM-153</t>
  </si>
  <si>
    <t>36931</t>
  </si>
  <si>
    <t>[DEV][RD][AWS] Prepare document for S3 URL Locations for New S3 Path Migration</t>
  </si>
  <si>
    <t>23/Dec/25 9:55 AM</t>
  </si>
  <si>
    <t>25/Dec/25 4:25 PM</t>
  </si>
  <si>
    <t>23/Dec/25 11:43 AM</t>
  </si>
  <si>
    <t>29/Dec/25 10:06 AM</t>
  </si>
  <si>
    <t>DEVRDSUP-329</t>
  </si>
  <si>
    <t>36895</t>
  </si>
  <si>
    <t>[SUP-389][Card Binding] #20251100021238</t>
  </si>
  <si>
    <t>22/Dec/25 5:28 PM</t>
  </si>
  <si>
    <t>24/Dec/25 10:50 AM</t>
  </si>
  <si>
    <t>DEVRDSUP-327</t>
  </si>
  <si>
    <t>36860</t>
  </si>
  <si>
    <t>[SUP-395][Dev][BU] Point expire 2025 - Donation</t>
  </si>
  <si>
    <t>22/Dec/25 3:34 PM</t>
  </si>
  <si>
    <t>23/Dec/25 10:37 AM</t>
  </si>
  <si>
    <t>DM-152</t>
  </si>
  <si>
    <t>36825</t>
  </si>
  <si>
    <t>[DEV][RD][AWSTH] Prepare docker file to support RDS Aurora</t>
  </si>
  <si>
    <t>22/Dec/25 11:46 AM</t>
  </si>
  <si>
    <t>RDAPS-363</t>
  </si>
  <si>
    <t>36740</t>
  </si>
  <si>
    <t>24/Dec/25 10:29 AM</t>
  </si>
  <si>
    <t>RDAPS-361</t>
  </si>
  <si>
    <t>36736</t>
  </si>
  <si>
    <t>RDAPS-360</t>
  </si>
  <si>
    <t>36734</t>
  </si>
  <si>
    <t>RDAPS-359</t>
  </si>
  <si>
    <t>36731</t>
  </si>
  <si>
    <t>25/Dec/25 12:11 PM</t>
  </si>
  <si>
    <t>25/Dec/25 3:54 PM</t>
  </si>
  <si>
    <t>RDAPS-357</t>
  </si>
  <si>
    <t>36727</t>
  </si>
  <si>
    <t>22/Dec/25 10:09 AM</t>
  </si>
  <si>
    <t>25/Dec/25 3:50 PM</t>
  </si>
  <si>
    <t>RDAPS-356</t>
  </si>
  <si>
    <t>36725</t>
  </si>
  <si>
    <t>RDAPS-355</t>
  </si>
  <si>
    <t>36723</t>
  </si>
  <si>
    <t>RDAPS-354</t>
  </si>
  <si>
    <t>36721</t>
  </si>
  <si>
    <t>22/Dec/25 10:08 AM</t>
  </si>
  <si>
    <t>RDAPS-353</t>
  </si>
  <si>
    <t>36513</t>
  </si>
  <si>
    <t>[Dev][RD][Adhoc] Prepare OAuth2 Client Credentials for New Development Environment</t>
  </si>
  <si>
    <t>18/Dec/25 5:43 PM</t>
  </si>
  <si>
    <t>25/Dec/25 6:21 PM</t>
  </si>
  <si>
    <t>23/Dec/25 12:00 AM</t>
  </si>
  <si>
    <t>RDAPS-352</t>
  </si>
  <si>
    <t>36512</t>
  </si>
  <si>
    <t xml:space="preserve">[DEV][RD][Bifros] Enhance ETL command for BSS_SSO_ADD_LINKOPENED, BSS_SSO_ADD_POPUP, and BSS_SSO_ADD_SMSREACHED to support date range </t>
  </si>
  <si>
    <t>18/Dec/25 5:31 PM</t>
  </si>
  <si>
    <t>23/Dec/25 5:04 PM</t>
  </si>
  <si>
    <t>RDAPS-351</t>
  </si>
  <si>
    <t>36507</t>
  </si>
  <si>
    <t>[Dev][RD][RM] Redesign Thank You Page for the Point Donation Landing Page</t>
  </si>
  <si>
    <t>18/Dec/25 4:02 PM</t>
  </si>
  <si>
    <t>29/Dec/25 10:10 AM</t>
  </si>
  <si>
    <t>DEVRDSUP-322</t>
  </si>
  <si>
    <t>36500</t>
  </si>
  <si>
    <t>[SUP-387][SUB][SSO] Found a user with incorrect LP binding couldn't purchase an offline package.</t>
  </si>
  <si>
    <t>18/Dec/25 3:00 PM</t>
  </si>
  <si>
    <t>25/Dec/25 3:39 PM</t>
  </si>
  <si>
    <t>offline</t>
  </si>
  <si>
    <t>DEVRDSUP-320</t>
  </si>
  <si>
    <t>36497</t>
  </si>
  <si>
    <t>[SUP-386]Requesting to export request body for 3 failed redeem with point purchase TXNs</t>
  </si>
  <si>
    <t>18/Dec/25 2:01 PM</t>
  </si>
  <si>
    <t>22/Dec/25 5:05 PM</t>
  </si>
  <si>
    <t>DM-151</t>
  </si>
  <si>
    <t>36238</t>
  </si>
  <si>
    <t>[DEV][RD][AWSTH] Prepare a new migration files for HR Solution</t>
  </si>
  <si>
    <t>16/Dec/25 4:18 PM</t>
  </si>
  <si>
    <t>DEVRDSUP-315</t>
  </si>
  <si>
    <t>36237</t>
  </si>
  <si>
    <t>[SUP-376][SUB] CS-20251200022394 รบกวน Mark Used คูปองเที่ยวเดินทาง 13773038 เนื่องจาก Back to Redeem ผิดค่ะ</t>
  </si>
  <si>
    <t>16/Dec/25 4:03 PM</t>
  </si>
  <si>
    <t>18/Dec/25 11:04 AM</t>
  </si>
  <si>
    <t>DEVRDSUP-314</t>
  </si>
  <si>
    <t>36226</t>
  </si>
  <si>
    <t>[SUP-375][SUB] Missing Receipt and not found in RR Backoffice (16 Dec)</t>
  </si>
  <si>
    <t>16/Dec/25 2:12 PM</t>
  </si>
  <si>
    <t>16/Dec/25 3:49 PM</t>
  </si>
  <si>
    <t>DEVRDSUP-312</t>
  </si>
  <si>
    <t>36123</t>
  </si>
  <si>
    <t>[SUP-373][SUB] Receipt is not generated after SUB transaction is made (15 Dec)</t>
  </si>
  <si>
    <t>16/Dec/25 10:49 AM</t>
  </si>
  <si>
    <t>16/Dec/25 11:00 AM</t>
  </si>
  <si>
    <t>DEVRDSUP-311</t>
  </si>
  <si>
    <t>36088</t>
  </si>
  <si>
    <t>[SUP-372]CLONE - SUB : Incorrect E-Receipt Naming via BCC Automail (9-11 Dec)</t>
  </si>
  <si>
    <t>16/Dec/25 10:30 AM</t>
  </si>
  <si>
    <t>17/Dec/25 9:28 AM</t>
  </si>
  <si>
    <t>RDAPS-345</t>
  </si>
  <si>
    <t>36021</t>
  </si>
  <si>
    <t>[Dev][RD][RLP] Run command manually for clevertap initial rlp linemember</t>
  </si>
  <si>
    <t>16/Dec/25 9:27 AM</t>
  </si>
  <si>
    <t>RDAPS-344</t>
  </si>
  <si>
    <t>35988</t>
  </si>
  <si>
    <t>15/Dec/25 5:33 PM</t>
  </si>
  <si>
    <t>16/Dec/25 6:39 PM</t>
  </si>
  <si>
    <t>RDAPS-343</t>
  </si>
  <si>
    <t>35986</t>
  </si>
  <si>
    <t>16/Dec/25 2:47 PM</t>
  </si>
  <si>
    <t>RDAPS-342</t>
  </si>
  <si>
    <t>35969</t>
  </si>
  <si>
    <t>[DEV][RD][RR-Scheduler] Cleanup Unused SFTP Configuration for Legacy ETL Data Delivery (DA)</t>
  </si>
  <si>
    <t>15/Dec/25 4:16 PM</t>
  </si>
  <si>
    <t>30/Dec/25 9:49 AM</t>
  </si>
  <si>
    <t>RDAPS-341</t>
  </si>
  <si>
    <t>35968</t>
  </si>
  <si>
    <t>[DEV][RD][Bifros] Cleanup Unused SFTP Configuration for Legacy ETL Data Delivery (DA)</t>
  </si>
  <si>
    <t>15/Dec/25 4:09 PM</t>
  </si>
  <si>
    <t>30/Dec/25 9:37 AM</t>
  </si>
  <si>
    <t>DEVRDSUP-307</t>
  </si>
  <si>
    <t>35967</t>
  </si>
  <si>
    <t>[SUP-371][HRSolution] Member's rabbit card validation is not correct. User have 4RC+1LP but HR solution doesn't allow to add 1 more RC for binding.</t>
  </si>
  <si>
    <t>15/Dec/25 3:53 PM</t>
  </si>
  <si>
    <t>22/Dec/25 10:46 AM</t>
  </si>
  <si>
    <t>DM-150</t>
  </si>
  <si>
    <t>35945</t>
  </si>
  <si>
    <t>[DEV][RD][AWSTH] Verify database after migration to Landing Zone</t>
  </si>
  <si>
    <t>15/Dec/25 10:13 AM</t>
  </si>
  <si>
    <t>24/Dec/25 5:04 PM</t>
  </si>
  <si>
    <t>DEVRDCT-346</t>
  </si>
  <si>
    <t>35907</t>
  </si>
  <si>
    <t>[RD][DEV][CT][POC] API for LINE OA Message Webhook</t>
  </si>
  <si>
    <t>14/Dec/25 5:58 PM</t>
  </si>
  <si>
    <t>22/Dec/25 2:58 PM</t>
  </si>
  <si>
    <t>RDTHANA-425</t>
  </si>
  <si>
    <t>35804</t>
  </si>
  <si>
    <t>[DEV][API DOC][SA] API to feed real-time data to Datamart - Data from POS/3rd Party</t>
  </si>
  <si>
    <t>12/Dec/25 2:57 PM</t>
  </si>
  <si>
    <t>22/Dec/25 9:32 AM</t>
  </si>
  <si>
    <t>30/Dec/25 10:23 AM</t>
  </si>
  <si>
    <t>RDAPS-332</t>
  </si>
  <si>
    <t>35794</t>
  </si>
  <si>
    <t>[Dev][RD] Create a new landing page for donating expired Rabbit Rewards points</t>
  </si>
  <si>
    <t>12/Dec/25 1:17 PM</t>
  </si>
  <si>
    <t>17/Dec/25 9:54 AM</t>
  </si>
  <si>
    <t>15/Dec/25 10:06 AM</t>
  </si>
  <si>
    <t>DEVRDADJ-71</t>
  </si>
  <si>
    <t>35707</t>
  </si>
  <si>
    <t>[S3][RR-backoffice][Deeplink] Missing Submit button for manual created item</t>
  </si>
  <si>
    <t>11/Dec/25 1:38 PM</t>
  </si>
  <si>
    <t>25/Dec/25 4:26 PM</t>
  </si>
  <si>
    <t>22/Dec/25 9:31 AM</t>
  </si>
  <si>
    <t>22/Dec/25 9:25 AM</t>
  </si>
  <si>
    <t>23/Dec/25 3:08 PM</t>
  </si>
  <si>
    <t>DEVRDSUP-298</t>
  </si>
  <si>
    <t>35654</t>
  </si>
  <si>
    <t>[SUP-354][REM][Deeplink] If save a reward with internal name A and then change to B then deeplink path doesn't get updated.</t>
  </si>
  <si>
    <t>10/Dec/25 11:57 AM</t>
  </si>
  <si>
    <t>17/Dec/25 10:23 AM</t>
  </si>
  <si>
    <t>DEVRDSUP-297</t>
  </si>
  <si>
    <t>35652</t>
  </si>
  <si>
    <t>10/Dec/25 9:54 AM</t>
  </si>
  <si>
    <t>15/Dec/25 3:45 PM</t>
  </si>
  <si>
    <t>DM-148</t>
  </si>
  <si>
    <t>35648</t>
  </si>
  <si>
    <t>[DEV][RD][AWSTH] Change Partner Loyalty DB from MariaDB to PostgreSQL</t>
  </si>
  <si>
    <t>10/Dec/25 9:47 AM</t>
  </si>
  <si>
    <t>DM-147</t>
  </si>
  <si>
    <t>35647</t>
  </si>
  <si>
    <t>[DEV][RD][AWSTH] Update container's work directory for HR Solution</t>
  </si>
  <si>
    <t>10/Dec/25 8:40 AM</t>
  </si>
  <si>
    <t>23/Dec/25 2:36 PM</t>
  </si>
  <si>
    <t>RDAPS-320</t>
  </si>
  <si>
    <t>35606</t>
  </si>
  <si>
    <t>09/Dec/25 3:22 PM</t>
  </si>
  <si>
    <t>09/Dec/25 3:23 PM</t>
  </si>
  <si>
    <t>RDAPS-319</t>
  </si>
  <si>
    <t>35603</t>
  </si>
  <si>
    <t>[BOF] Add placeholder for deeplink infinite scroll</t>
  </si>
  <si>
    <t>09/Dec/25 1:55 PM</t>
  </si>
  <si>
    <t>26/Dec/25 10:12 AM</t>
  </si>
  <si>
    <t>11/Dec/25 12:00 AM</t>
  </si>
  <si>
    <t>DEVRDSUP-295</t>
  </si>
  <si>
    <t>35557</t>
  </si>
  <si>
    <t>[SUP-360][REM] Request to export reward TXN report data due to issue on RR backoffice where data can't be exported. Unicorn+visionary</t>
  </si>
  <si>
    <t>08/Dec/25 5:17 PM</t>
  </si>
  <si>
    <t>DEVRDSUP-294</t>
  </si>
  <si>
    <t>35556</t>
  </si>
  <si>
    <t>[SUP-361][REM] Request to export reward TXN report data due to issue on RR backoffice where data can't be exported. RR Unicorn + RR visionary + 90014725</t>
  </si>
  <si>
    <t>15/Dec/25 3:46 PM</t>
  </si>
  <si>
    <t>15/Dec/25 2:27 PM</t>
  </si>
  <si>
    <t>DEVRDSUP-293</t>
  </si>
  <si>
    <t>35457</t>
  </si>
  <si>
    <t>[SUP-347][HOP]  Available to import customers under the same Member ID.”</t>
  </si>
  <si>
    <t>04/Dec/25 5:35 PM</t>
  </si>
  <si>
    <t>22/Dec/25 10:24 AM</t>
  </si>
  <si>
    <t>DEVRDSUP-291</t>
  </si>
  <si>
    <t>35452</t>
  </si>
  <si>
    <t>[SUP-339][Issue] Subscription Voucher Issue of Nov 25</t>
  </si>
  <si>
    <t>04/Dec/25 1:53 PM</t>
  </si>
  <si>
    <t>15/Dec/25 3:47 PM</t>
  </si>
  <si>
    <t>DEVRDSUP-290</t>
  </si>
  <si>
    <t>35449</t>
  </si>
  <si>
    <t>[SUP-332][Clevertap] Some user already bound with Turtle Club but in user properties not have club binding details</t>
  </si>
  <si>
    <t>04/Dec/25 1:35 PM</t>
  </si>
  <si>
    <t>24/Dec/25 1:10 PM</t>
  </si>
  <si>
    <t>RDAPS-313</t>
  </si>
  <si>
    <t>35437</t>
  </si>
  <si>
    <t>16/Dec/25 10:02 AM</t>
  </si>
  <si>
    <t>RDAPS-312</t>
  </si>
  <si>
    <t>35435</t>
  </si>
  <si>
    <t>15/Dec/25 4:28 PM</t>
  </si>
  <si>
    <t>RDAPS-311</t>
  </si>
  <si>
    <t>35433</t>
  </si>
  <si>
    <t>15/Dec/25 4:06 PM</t>
  </si>
  <si>
    <t>RDAPS-309</t>
  </si>
  <si>
    <t>35429</t>
  </si>
  <si>
    <t>04/Dec/25 10:10 AM</t>
  </si>
  <si>
    <t>09/Dec/25 10:01 AM</t>
  </si>
  <si>
    <t>RDAPS-308</t>
  </si>
  <si>
    <t>35427</t>
  </si>
  <si>
    <t>15/Dec/25 10:47 AM</t>
  </si>
  <si>
    <t>RDAPS-307</t>
  </si>
  <si>
    <t>35425</t>
  </si>
  <si>
    <t>RDAPS-306</t>
  </si>
  <si>
    <t>35423</t>
  </si>
  <si>
    <t>RDTHANA-419</t>
  </si>
  <si>
    <t>35387</t>
  </si>
  <si>
    <t>[S4][HRS][Company setting][Club Tier] Tier management cannot clear input box of Tier name</t>
  </si>
  <si>
    <t>03/Dec/25 6:13 PM</t>
  </si>
  <si>
    <t>RDTHANA-418</t>
  </si>
  <si>
    <t>35386</t>
  </si>
  <si>
    <t>[S4][HRS][Company setting][Club Tier] Tier management cannot re-order tiers</t>
  </si>
  <si>
    <t>03/Dec/25 5:48 PM</t>
  </si>
  <si>
    <t>DEVRDCT-339</t>
  </si>
  <si>
    <t>35298</t>
  </si>
  <si>
    <t>[QA] (On STG) Test execution check "Redeem" Event to have a "Campaign Type"</t>
  </si>
  <si>
    <t>02/Dec/25 11:48 AM</t>
  </si>
  <si>
    <t>25/Dec/25 4:17 PM</t>
  </si>
  <si>
    <t>DEVRDCT-338</t>
  </si>
  <si>
    <t>35296</t>
  </si>
  <si>
    <t>[QA] Add test case "Redeem" Event to have a "Campaign Type"</t>
  </si>
  <si>
    <t>02/Dec/25 11:47 AM</t>
  </si>
  <si>
    <t>11/Dec/25 3:46 PM</t>
  </si>
  <si>
    <t>DEVRDCT-337</t>
  </si>
  <si>
    <t>35294</t>
  </si>
  <si>
    <t>[QA] Test execution check "WEBHOOK_POINT_ISSUING_TXN" Event</t>
  </si>
  <si>
    <t>02/Dec/25 11:45 AM</t>
  </si>
  <si>
    <t>30/Dec/25 10:12 AM</t>
  </si>
  <si>
    <t>DEVRDCT-336</t>
  </si>
  <si>
    <t>35292</t>
  </si>
  <si>
    <t>[QA] Create test case "WEBHOOK_POINT_ISSUING_TXN" Event</t>
  </si>
  <si>
    <t>29/Dec/25 5:49 PM</t>
  </si>
  <si>
    <t>DEVRDCT-335</t>
  </si>
  <si>
    <t>35290</t>
  </si>
  <si>
    <t>[QA] Test execution check "ORDER_SUCCESS" Event Payload</t>
  </si>
  <si>
    <t>02/Dec/25 11:44 AM</t>
  </si>
  <si>
    <t>25/Dec/25 4:20 PM</t>
  </si>
  <si>
    <t>DEVRDCT-334</t>
  </si>
  <si>
    <t>35288</t>
  </si>
  <si>
    <t>[QA] Create test case "ORDER_SUCCESS" Event Payload</t>
  </si>
  <si>
    <t>02/Dec/25 11:43 AM</t>
  </si>
  <si>
    <t>17/Dec/25 4:19 PM</t>
  </si>
  <si>
    <t>DEVRDCT-333</t>
  </si>
  <si>
    <t>35286</t>
  </si>
  <si>
    <t>[QA] Test execution check REFUND Event Payload</t>
  </si>
  <si>
    <t>02/Dec/25 11:42 AM</t>
  </si>
  <si>
    <t>26/Dec/25 2:15 PM</t>
  </si>
  <si>
    <t>DEVRDCT-332</t>
  </si>
  <si>
    <t>35284</t>
  </si>
  <si>
    <t>[QA] Create test case REFUND Event Payload</t>
  </si>
  <si>
    <t>17/Dec/25 4:20 PM</t>
  </si>
  <si>
    <t>DEVRDCT-331</t>
  </si>
  <si>
    <t>35282</t>
  </si>
  <si>
    <t>[QA] Test execution check "PAYMENT_PAID" Event Payload</t>
  </si>
  <si>
    <t>02/Dec/25 11:41 AM</t>
  </si>
  <si>
    <t>24/Dec/25 4:29 PM</t>
  </si>
  <si>
    <t>DEVRDCT-330</t>
  </si>
  <si>
    <t>35280</t>
  </si>
  <si>
    <t>[QA] Create test case "PAYMENT_PAID" Event Payload</t>
  </si>
  <si>
    <t>02/Dec/25 11:40 AM</t>
  </si>
  <si>
    <t>13/Dec/25 11:24 PM</t>
  </si>
  <si>
    <t>DEVRDCT-329</t>
  </si>
  <si>
    <t>35278</t>
  </si>
  <si>
    <t>[QA] Test execution check "Charged" Event Payload</t>
  </si>
  <si>
    <t>02/Dec/25 11:39 AM</t>
  </si>
  <si>
    <t>25/Dec/25 4:49 PM</t>
  </si>
  <si>
    <t>DEVRDCT-328</t>
  </si>
  <si>
    <t>35276</t>
  </si>
  <si>
    <t>[QA] Create test case "Charged" Event Payload</t>
  </si>
  <si>
    <t>02/Dec/25 11:38 AM</t>
  </si>
  <si>
    <t>11/Dec/25 3:45 PM</t>
  </si>
  <si>
    <t>DEVRDCT-327</t>
  </si>
  <si>
    <t>35274</t>
  </si>
  <si>
    <t>02/Dec/25 11:35 AM</t>
  </si>
  <si>
    <t>02/Dec/25 11:37 AM</t>
  </si>
  <si>
    <t>RDAPS-300</t>
  </si>
  <si>
    <t>35199</t>
  </si>
  <si>
    <t>[DEV][RD][HRS][Log file] Enhance member log file page</t>
  </si>
  <si>
    <t>01/Dec/25 11:17 AM</t>
  </si>
  <si>
    <t>24/Dec/25 10:10 AM</t>
  </si>
  <si>
    <t>RDAPS-298</t>
  </si>
  <si>
    <t>35156</t>
  </si>
  <si>
    <t>[DEV][RD][Bifrost] Catch-up resend missing BSS_SSO_ADD_CLICKYES in a monthly batch for KYC report from 27 Aug - 24 Nov 2025</t>
  </si>
  <si>
    <t>30/Nov/25 3:08 PM</t>
  </si>
  <si>
    <t>17/Dec/25 9:43 AM</t>
  </si>
  <si>
    <t>RDAPS-296</t>
  </si>
  <si>
    <t>35119</t>
  </si>
  <si>
    <t>[DEV][RD][HRS][MEMBER] Enhance member detail pages</t>
  </si>
  <si>
    <t>28/Nov/25 5:12 PM</t>
  </si>
  <si>
    <t>23/Dec/25 8:55 PM</t>
  </si>
  <si>
    <t>04/Dec/25 12:00 AM</t>
  </si>
  <si>
    <t>RDAPS-295</t>
  </si>
  <si>
    <t>35118</t>
  </si>
  <si>
    <t>[DEV][RD][HRS][MEMBER] Create export member endpoint</t>
  </si>
  <si>
    <t>28/Nov/25 5:05 PM</t>
  </si>
  <si>
    <t>24/Dec/25 11:16 AM</t>
  </si>
  <si>
    <t>RDAPS-294</t>
  </si>
  <si>
    <t>35115</t>
  </si>
  <si>
    <t>[DEV][RD][HRS][MEMBER] Enhance employee import file report</t>
  </si>
  <si>
    <t>Kae: Pimonrath Jaiyen</t>
  </si>
  <si>
    <t>712020:40dd6981-cd18-4bfa-bf85-aa0e1e302e96</t>
  </si>
  <si>
    <t>28/Nov/25 4:50 PM</t>
  </si>
  <si>
    <t>RDAPS-292</t>
  </si>
  <si>
    <t>35104</t>
  </si>
  <si>
    <t>[DEV][RD][HRS][MEMBER] Add schedule upload datatable</t>
  </si>
  <si>
    <t>28/Nov/25 4:12 PM</t>
  </si>
  <si>
    <t>RDAPS-290</t>
  </si>
  <si>
    <t>35076</t>
  </si>
  <si>
    <t>[DEV][RD][HRS][MEMBER] Create import member with scheduled type</t>
  </si>
  <si>
    <t>28/Nov/25 2:05 PM</t>
  </si>
  <si>
    <t>25/Dec/25 12:26 PM</t>
  </si>
  <si>
    <t>RDAPS-289</t>
  </si>
  <si>
    <t>35075</t>
  </si>
  <si>
    <t>[DEV][RD][HRS][MEMBER] Enhance import member page - instant</t>
  </si>
  <si>
    <t>28/Nov/25 1:33 PM</t>
  </si>
  <si>
    <t>23/Dec/25 9:29 PM</t>
  </si>
  <si>
    <t>03/Dec/25 12:00 AM</t>
  </si>
  <si>
    <t>RDAPS-287</t>
  </si>
  <si>
    <t>35069</t>
  </si>
  <si>
    <t>[Dev][RD][HRS][MEMBER] Enhance Member Index</t>
  </si>
  <si>
    <t>28/Nov/25 11:22 AM</t>
  </si>
  <si>
    <t>22/Dec/25 2:13 PM</t>
  </si>
  <si>
    <t>DEVRDCT-324</t>
  </si>
  <si>
    <t>35000</t>
  </si>
  <si>
    <t>[DEV][RD][IPF] Implement Event API Point issued</t>
  </si>
  <si>
    <t>27/Nov/25 4:09 PM</t>
  </si>
  <si>
    <t>29/Dec/25 5:52 PM</t>
  </si>
  <si>
    <t>DEVRDSUP-270</t>
  </si>
  <si>
    <t>34994</t>
  </si>
  <si>
    <t>[Dev] Re-send missing file in monthly batches.</t>
  </si>
  <si>
    <t>27/Nov/25 3:34 PM</t>
  </si>
  <si>
    <t>DEVRDSUP-269</t>
  </si>
  <si>
    <t>34992</t>
  </si>
  <si>
    <t>[DEVRDSUP-236] Catch-up resend missing BSS_SSO_ADD_CLICKYES in a monthly batch for KYC report from 27 Aug - 24 Nov 2025</t>
  </si>
  <si>
    <t>27/Nov/25 3:22 PM</t>
  </si>
  <si>
    <t>25/Dec/25 5:58 PM</t>
  </si>
  <si>
    <t>DEVRDCT-323</t>
  </si>
  <si>
    <t>34991</t>
  </si>
  <si>
    <t>[DEV][RD][ECS] Collect and Structure Data for Event ORDER_SUCCESS Payload</t>
  </si>
  <si>
    <t>27/Nov/25 3:14 PM</t>
  </si>
  <si>
    <t>08/Dec/25 12:00 AM</t>
  </si>
  <si>
    <t>DEVRDCT-322</t>
  </si>
  <si>
    <t>34990</t>
  </si>
  <si>
    <t>[DEV][RD][ECS] Collect and Structure Data for Event REFUND Payload</t>
  </si>
  <si>
    <t>27/Nov/25 3:13 PM</t>
  </si>
  <si>
    <t>DEVRDCT-321</t>
  </si>
  <si>
    <t>34989</t>
  </si>
  <si>
    <t>[DEV][RD][ECS] Collect and Structure Data for PAYMENT_PAID Event Payload</t>
  </si>
  <si>
    <t>27/Nov/25 3:12 PM</t>
  </si>
  <si>
    <t>25/Dec/25 4:06 PM</t>
  </si>
  <si>
    <t>DEVRDCT-320</t>
  </si>
  <si>
    <t>34988</t>
  </si>
  <si>
    <t>[DEV][RD][ECS] Collect and Structure Data for "Charged" Event Payload</t>
  </si>
  <si>
    <t>27/Nov/25 3:11 PM</t>
  </si>
  <si>
    <t>25/Dec/25 5:12 PM</t>
  </si>
  <si>
    <t>DEVRDCT-319</t>
  </si>
  <si>
    <t>34987</t>
  </si>
  <si>
    <t>[DEV][RD][ECS] Create Centralized Function for Publishes to RabbitMQ</t>
  </si>
  <si>
    <t>27/Nov/25 3:04 PM</t>
  </si>
  <si>
    <t>25/Dec/25 7:25 PM</t>
  </si>
  <si>
    <t>DEVRDCT-318</t>
  </si>
  <si>
    <t>34986</t>
  </si>
  <si>
    <t>[DEV][RD][ECS] Add internal_name Field to shopify_shops Table and Set Default Values</t>
  </si>
  <si>
    <t>27/Nov/25 3:02 PM</t>
  </si>
  <si>
    <t>RDTHANA-414</t>
  </si>
  <si>
    <t>34982</t>
  </si>
  <si>
    <t>[S3][PROD][HRS][Welcome message][Pop up setting] Website tab setting cannot save setting changes</t>
  </si>
  <si>
    <t>27/Nov/25 1:54 PM</t>
  </si>
  <si>
    <t>DM-98</t>
  </si>
  <si>
    <t>34923</t>
  </si>
  <si>
    <t>[DEV][RD][AWSTH] Notification API Cleanup Unused Code After Migration</t>
  </si>
  <si>
    <t>26/Nov/25 4:54 PM</t>
  </si>
  <si>
    <t>30/Dec/25 9:31 AM</t>
  </si>
  <si>
    <t>29/Dec/25 12:00 AM</t>
  </si>
  <si>
    <t>DM-97</t>
  </si>
  <si>
    <t>34922</t>
  </si>
  <si>
    <t>[DEV][RD][AWSTH] Deeplink API Cleanup Unused Code After Migration</t>
  </si>
  <si>
    <t>DEVRDECOM-181</t>
  </si>
  <si>
    <t>34638</t>
  </si>
  <si>
    <t>[S3][eCommerce Shopify] Order is not created on Shopify DB</t>
  </si>
  <si>
    <t>21/Nov/25 10:54 AM</t>
  </si>
  <si>
    <t>15/Dec/25 4:36 PM</t>
  </si>
  <si>
    <t>DEVRDECOM-172</t>
  </si>
  <si>
    <t>34378</t>
  </si>
  <si>
    <t>[DEV][RD][Eco][ETL] Import missing txn to datamart</t>
  </si>
  <si>
    <t>16/Nov/25 5:03 PM</t>
  </si>
  <si>
    <t>22/Dec/25 4:44 PM</t>
  </si>
  <si>
    <t>18/Dec/25 1:32 PM</t>
  </si>
  <si>
    <t>DEVRDCT-305</t>
  </si>
  <si>
    <t>34254</t>
  </si>
  <si>
    <t>[DEV][RD][RDS][ENH] Enhance "Redeem" Event to have a "Campaign Type"</t>
  </si>
  <si>
    <t>14/Nov/25 8:09 AM</t>
  </si>
  <si>
    <t>25/Dec/25 4:18 PM</t>
  </si>
  <si>
    <t>RDAPS-266</t>
  </si>
  <si>
    <t>33791</t>
  </si>
  <si>
    <t>[Dev][RD][Order] Improve process to sync transaction to DA</t>
  </si>
  <si>
    <t>07/Nov/25 3:13 PM</t>
  </si>
  <si>
    <t>25/Dec/25 10:58 AM</t>
  </si>
  <si>
    <t>20/Nov/25 12:00 AM</t>
  </si>
  <si>
    <t>order-consumer</t>
  </si>
  <si>
    <t>DEVRDSUP-221</t>
  </si>
  <si>
    <t>33625</t>
  </si>
  <si>
    <t>[SUP-281][RR-Backoffice] Reward Coupon Transaction Report found error after search</t>
  </si>
  <si>
    <t>05/Nov/25 1:30 PM</t>
  </si>
  <si>
    <t>RDAPS-261</t>
  </si>
  <si>
    <t>33609</t>
  </si>
  <si>
    <t>[Dev][RD][RRS] Add additional data to msg payload for Package Confirmation Email</t>
  </si>
  <si>
    <t>05/Nov/25 11:19 AM</t>
  </si>
  <si>
    <t>DEVRDSUP-213</t>
  </si>
  <si>
    <t>33377</t>
  </si>
  <si>
    <t>[SUB] Request to mark used many BTS vouchers due to cloud ID incident on 16/10/2025</t>
  </si>
  <si>
    <t>03/Nov/25 6:49 PM</t>
  </si>
  <si>
    <t>18/Dec/25 3:35 PM</t>
  </si>
  <si>
    <t>RDAPS-256</t>
  </si>
  <si>
    <t>33341</t>
  </si>
  <si>
    <t>[Dev][RD][CID] Implement CLI to remove double binding account records</t>
  </si>
  <si>
    <t>02/Nov/25 4:37 PM</t>
  </si>
  <si>
    <t>DEVRDSUP-196</t>
  </si>
  <si>
    <t>32935</t>
  </si>
  <si>
    <t>[SUP-252][REM] Reward's stock amount shows incorrect value on RR app and stock count on RR app doesn't match actual stock on RR back office.</t>
  </si>
  <si>
    <t>21/Oct/25 4:45 PM</t>
  </si>
  <si>
    <t>16/Dec/25 10:48 AM</t>
  </si>
  <si>
    <t>05/Nov/25 12:00 AM</t>
  </si>
  <si>
    <t>RDAPS-238</t>
  </si>
  <si>
    <t>32907</t>
  </si>
  <si>
    <t>[Dev][RD] Create script to mark vouchers as used for Cloud ID cases (issued on 16 Oct)</t>
  </si>
  <si>
    <t>21/Oct/25 2:10 PM</t>
  </si>
  <si>
    <t>DEVRDCT-241</t>
  </si>
  <si>
    <t>31866</t>
  </si>
  <si>
    <t>[S3][CT][Webhook][Club Binding Event] Opt-in type club binding status event not show correctly on CT through Webhook API</t>
  </si>
  <si>
    <t>30/Sep/25 3:31 PM</t>
  </si>
  <si>
    <t>22/Dec/25 10:37 AM</t>
  </si>
  <si>
    <t>[Dev][CT] Sprint 9</t>
  </si>
  <si>
    <t>[Dev][CT] Sprint 10</t>
  </si>
  <si>
    <t>[Dev][CT] Sprint 11</t>
  </si>
  <si>
    <t>RDTHANA-231</t>
  </si>
  <si>
    <t>31359</t>
  </si>
  <si>
    <t>[DEV][RD][APH] Enhance survey html render support survey appearance "General" tab</t>
  </si>
  <si>
    <t>19/Sep/25 10:43 AM</t>
  </si>
  <si>
    <t>26/Dec/25 1:16 PM</t>
  </si>
  <si>
    <t>26/Sep/25 12:00 AM</t>
  </si>
  <si>
    <t>RDTHANA-230</t>
  </si>
  <si>
    <t>31358</t>
  </si>
  <si>
    <t>[DEV][RD][APH] Enhance getMemberToken support sources session</t>
  </si>
  <si>
    <t>19/Sep/25 10:42 AM</t>
  </si>
  <si>
    <t>26/Dec/25 1:15 PM</t>
  </si>
  <si>
    <t>RDTHANA-118</t>
  </si>
  <si>
    <t>30812</t>
  </si>
  <si>
    <t>09/Sep/25 11:23 AM</t>
  </si>
  <si>
    <t>23/Dec/25 10:13 AM</t>
  </si>
  <si>
    <t>RDTHANA-106</t>
  </si>
  <si>
    <t>30689</t>
  </si>
  <si>
    <t>[Dev][RD][Service][CMS API] Create service filter api</t>
  </si>
  <si>
    <t>04/Sep/25 4:08 PM</t>
  </si>
  <si>
    <t>16/Dec/25 10:11 AM</t>
  </si>
  <si>
    <t>11/Sep/25 12:00 AM</t>
  </si>
  <si>
    <t>RDTHANA-90</t>
  </si>
  <si>
    <t>30622</t>
  </si>
  <si>
    <t>[Dev][RD][Section][BOF][QA] Enhance Section Feature: Add new widget types</t>
  </si>
  <si>
    <t>02/Sep/25 9:16 PM</t>
  </si>
  <si>
    <t>DEVRDSUP-95</t>
  </si>
  <si>
    <t>29929</t>
  </si>
  <si>
    <t>[SUP-54][Noti] Whole NBO page gets frozen when user uses "internal link" and tries to search for internal content.</t>
  </si>
  <si>
    <t>19/Aug/25 4:47 PM</t>
  </si>
  <si>
    <t>26/Dec/25 4:22 PM</t>
  </si>
  <si>
    <t>19/Sep/25 12:00 AM</t>
  </si>
  <si>
    <t>2 ครั้ง 
1.  4 คน
2.  5 คน</t>
  </si>
  <si>
    <t>Sprint 12</t>
  </si>
  <si>
    <t>DEVRDSUP-306</t>
  </si>
  <si>
    <t>35824</t>
  </si>
  <si>
    <t>[SUP-365][RDxDA][ETL] Daily Redemption Report has failed - Missing REDEMPTIONMASTER Files (20251209, 20251210)</t>
  </si>
  <si>
    <t>12/Dec/25 4:34 PM</t>
  </si>
  <si>
    <t>12/Dec/25 5:09 PM</t>
  </si>
  <si>
    <t>DEVRDSUP-304</t>
  </si>
  <si>
    <t>35720</t>
  </si>
  <si>
    <t>[Dev] Export all receipts from 9-11 Dec 2025</t>
  </si>
  <si>
    <t>11/Dec/25 5:21 PM</t>
  </si>
  <si>
    <t>DEVRDSUP-303</t>
  </si>
  <si>
    <t>35718</t>
  </si>
  <si>
    <t>[SUP-367]SUB : Incorrect E-Receipt Naming via BCC Automail (9-11 Dec)</t>
  </si>
  <si>
    <t>11/Dec/25 5:17 PM</t>
  </si>
  <si>
    <t>15/Dec/25 12:20 PM</t>
  </si>
  <si>
    <t>12/Dec/25 2:43 PM</t>
  </si>
  <si>
    <t>DM-149</t>
  </si>
  <si>
    <t>35706</t>
  </si>
  <si>
    <t>[DEV][RD][AWSTH] Update container's work directory for Rabbit Sky Web</t>
  </si>
  <si>
    <t>11/Dec/25 1:13 PM</t>
  </si>
  <si>
    <t>11/Dec/25 1:43 PM</t>
  </si>
  <si>
    <t>[Dev][RD][AWS] Sprint 13</t>
  </si>
  <si>
    <t>12/Dec/25 10:35 AM</t>
  </si>
  <si>
    <t>RDAPS-323</t>
  </si>
  <si>
    <t>35657</t>
  </si>
  <si>
    <t>[HOTFIX][DEV][RD][LNF] Missing new parameter in create temp deeplink flow</t>
  </si>
  <si>
    <t>10/Dec/25 2:06 PM</t>
  </si>
  <si>
    <t>10/Dec/25 11:44 PM</t>
  </si>
  <si>
    <t>RDAPS-321</t>
  </si>
  <si>
    <t>35650</t>
  </si>
  <si>
    <t>[QA] \Test Execution</t>
  </si>
  <si>
    <t>10/Dec/25 9:53 AM</t>
  </si>
  <si>
    <t>11/Dec/25 1:00 PM</t>
  </si>
  <si>
    <t>DM-146</t>
  </si>
  <si>
    <t>35646</t>
  </si>
  <si>
    <t>[DEV][RD][AWSTH] Update container's work directory for Partner Loyalty</t>
  </si>
  <si>
    <t>10/Dec/25 8:37 AM</t>
  </si>
  <si>
    <t>11/Dec/25 1:42 PM</t>
  </si>
  <si>
    <t>12/Dec/25 1:27 PM</t>
  </si>
  <si>
    <t>RDAPS-317</t>
  </si>
  <si>
    <t>35597</t>
  </si>
  <si>
    <t>[DEV][RD][BOF] Create migration to change data type</t>
  </si>
  <si>
    <t>09/Dec/25 12:48 PM</t>
  </si>
  <si>
    <t>12/Dec/25 3:00 PM</t>
  </si>
  <si>
    <t>rabbit-cms-api</t>
  </si>
  <si>
    <t>DM-145</t>
  </si>
  <si>
    <t>35596</t>
  </si>
  <si>
    <t>[DEV][RD][AWSTH] Update Docker and config to support new pipeline for Point Engine Proxy</t>
  </si>
  <si>
    <t>09/Dec/25 11:40 AM</t>
  </si>
  <si>
    <t>09/Dec/25 1:24 PM</t>
  </si>
  <si>
    <t>12/Dec/25 2:45 PM</t>
  </si>
  <si>
    <t>11/Dec/25 5:46 PM</t>
  </si>
  <si>
    <t>12/Dec/25 11:59 AM</t>
  </si>
  <si>
    <t>DM-144</t>
  </si>
  <si>
    <t>35553</t>
  </si>
  <si>
    <t>[DEV][RD][AWSTH] Update Docker and config to support new pipeline for Redemption Consumer</t>
  </si>
  <si>
    <t>08/Dec/25 4:48 PM</t>
  </si>
  <si>
    <t>09/Dec/25 11:37 AM</t>
  </si>
  <si>
    <t>DM-143</t>
  </si>
  <si>
    <t>35552</t>
  </si>
  <si>
    <t>[DEV][RD][AWSTH] Update Docker and config to support new pipeline for Redemption API</t>
  </si>
  <si>
    <t>08/Dec/25 4:46 PM</t>
  </si>
  <si>
    <t>09/Dec/25 11:33 AM</t>
  </si>
  <si>
    <t>DM-142</t>
  </si>
  <si>
    <t>35551</t>
  </si>
  <si>
    <t>[DEV][RD][AWSTH] Update Docker and config to support new pipeline for Rewards Consumer</t>
  </si>
  <si>
    <t>09/Dec/25 11:26 AM</t>
  </si>
  <si>
    <t>DM-141</t>
  </si>
  <si>
    <t>35550</t>
  </si>
  <si>
    <t>[DEV][RD][AWSTH] Update Docker and config to support new pipeline for Rewards API</t>
  </si>
  <si>
    <t>08/Dec/25 4:45 PM</t>
  </si>
  <si>
    <t>09/Dec/25 11:14 AM</t>
  </si>
  <si>
    <t>DM-140</t>
  </si>
  <si>
    <t>35549</t>
  </si>
  <si>
    <t>[DEV][RD][AWSTH] Update Docker and config to support new pipeline for RR CronJob</t>
  </si>
  <si>
    <t>08/Dec/25 4:43 PM</t>
  </si>
  <si>
    <t>09/Dec/25 9:53 AM</t>
  </si>
  <si>
    <t>DM-139</t>
  </si>
  <si>
    <t>35548</t>
  </si>
  <si>
    <t>[DEV][RD][AWSTH] Update Docker and config to support new pipeline for CMS API</t>
  </si>
  <si>
    <t>08/Dec/25 4:42 PM</t>
  </si>
  <si>
    <t>09/Dec/25 9:38 AM</t>
  </si>
  <si>
    <t>DM-138</t>
  </si>
  <si>
    <t>35547</t>
  </si>
  <si>
    <t>[DEV][RD][AWSTH] Update Docker and config to support new pipeline for Notification API</t>
  </si>
  <si>
    <t>08/Dec/25 4:41 PM</t>
  </si>
  <si>
    <t>09/Dec/25 9:37 AM</t>
  </si>
  <si>
    <t>DM-137</t>
  </si>
  <si>
    <t>35546</t>
  </si>
  <si>
    <t>[DEV][RD][AWSTH] Update Docker and config to support new pipeline for Merchant API</t>
  </si>
  <si>
    <t>08/Dec/25 4:40 PM</t>
  </si>
  <si>
    <t>DM-136</t>
  </si>
  <si>
    <t>35545</t>
  </si>
  <si>
    <t>[DEV][RD][AWSTH] Update Docker and config to support new pipeline for Exclusive Store API</t>
  </si>
  <si>
    <t>08/Dec/25 4:39 PM</t>
  </si>
  <si>
    <t>09/Dec/25 9:36 AM</t>
  </si>
  <si>
    <t>DM-135</t>
  </si>
  <si>
    <t>35544</t>
  </si>
  <si>
    <t>[DEV][RD][AWSTH] Update Docker and config to support new pipeline for Deeplink API</t>
  </si>
  <si>
    <t>08/Dec/25 4:38 PM</t>
  </si>
  <si>
    <t>08/Dec/25 5:11 PM</t>
  </si>
  <si>
    <t>DM-134</t>
  </si>
  <si>
    <t>35539</t>
  </si>
  <si>
    <t>[DEV][RD][AWSTH] Update Docker and config to support new pipeline for Rabbit App BFF</t>
  </si>
  <si>
    <t>08/Dec/25 1:12 PM</t>
  </si>
  <si>
    <t>08/Dec/25 2:41 PM</t>
  </si>
  <si>
    <t>RDTHANA-423</t>
  </si>
  <si>
    <t>35531</t>
  </si>
  <si>
    <t>08/Dec/25 10:08 AM</t>
  </si>
  <si>
    <t>RDTHANA-422</t>
  </si>
  <si>
    <t>35529</t>
  </si>
  <si>
    <t>RDTHANA-421</t>
  </si>
  <si>
    <t>35527</t>
  </si>
  <si>
    <t>RDTHANA-420</t>
  </si>
  <si>
    <t>35525</t>
  </si>
  <si>
    <t>08/Dec/25 4:50 PM</t>
  </si>
  <si>
    <t>DM-133</t>
  </si>
  <si>
    <t>35523</t>
  </si>
  <si>
    <t>[DEV][RD][AWSTH] Update Docker and config to support new pipeline for RR E-commerce shopify</t>
  </si>
  <si>
    <t>08/Dec/25 9:36 AM</t>
  </si>
  <si>
    <t>08/Dec/25 1:11 PM</t>
  </si>
  <si>
    <t>DEVRDCT-340</t>
  </si>
  <si>
    <t>35490</t>
  </si>
  <si>
    <t>[DEV][RD][CL] Improve Message Filtering Logic in allow event for Shopify</t>
  </si>
  <si>
    <t>07/Dec/25 8:20 AM</t>
  </si>
  <si>
    <t>12/Dec/25 10:18 AM</t>
  </si>
  <si>
    <t>DM-132</t>
  </si>
  <si>
    <t>35456</t>
  </si>
  <si>
    <t>[DEV][RD][AWSTH] Update Docker and config to support new pipeline for Offline Subscription BFF</t>
  </si>
  <si>
    <t>04/Dec/25 5:11 PM</t>
  </si>
  <si>
    <t>08/Dec/25 3:48 PM</t>
  </si>
  <si>
    <t>DM-131</t>
  </si>
  <si>
    <t>35454</t>
  </si>
  <si>
    <t>[DEV][RD][AWSTH] Update Docker and config to support new pipeline for RR CloudID API</t>
  </si>
  <si>
    <t>04/Dec/25 4:00 PM</t>
  </si>
  <si>
    <t>08/Dec/25 3:47 PM</t>
  </si>
  <si>
    <t>DM-130</t>
  </si>
  <si>
    <t>35446</t>
  </si>
  <si>
    <t>[DEV][RD][AWSTH] Update Docker and config to support new pipeline for RR Order API</t>
  </si>
  <si>
    <t>04/Dec/25 11:17 AM</t>
  </si>
  <si>
    <t>08/Dec/25 9:08 AM</t>
  </si>
  <si>
    <t>DEVRDECOM-191</t>
  </si>
  <si>
    <t>35445</t>
  </si>
  <si>
    <t>11/Dec/25 12:54 AM</t>
  </si>
  <si>
    <t>DEVRDECOM-190</t>
  </si>
  <si>
    <t>35443</t>
  </si>
  <si>
    <t>12/Dec/25 10:03 AM</t>
  </si>
  <si>
    <t>DM-129</t>
  </si>
  <si>
    <t>35382</t>
  </si>
  <si>
    <t>[DEV][RD][AWSTH] Update Docker and config to support new pipeline for RR DataHub GQL</t>
  </si>
  <si>
    <t>03/Dec/25 4:06 PM</t>
  </si>
  <si>
    <t>DM-128</t>
  </si>
  <si>
    <t>35381</t>
  </si>
  <si>
    <t>[DEV][RD][AWSTH] Update Docker and config to support new pipeline for RR CleverTap</t>
  </si>
  <si>
    <t>03/Dec/25 3:53 PM</t>
  </si>
  <si>
    <t>DM-127</t>
  </si>
  <si>
    <t>35380</t>
  </si>
  <si>
    <t>[DEV][RD][AWSTH] Update Docker and config to support new pipeline for RR Cart API</t>
  </si>
  <si>
    <t>03/Dec/25 3:40 PM</t>
  </si>
  <si>
    <t>15/Dec/25 10:57 AM</t>
  </si>
  <si>
    <t>DEVRDECOM-189</t>
  </si>
  <si>
    <t>35375</t>
  </si>
  <si>
    <t>03/Dec/25 1:23 PM</t>
  </si>
  <si>
    <t>08/Dec/25 11:38 AM</t>
  </si>
  <si>
    <t>DEVRDECOM-188</t>
  </si>
  <si>
    <t>35373</t>
  </si>
  <si>
    <t>DEVRDSUP-287</t>
  </si>
  <si>
    <t>35361</t>
  </si>
  <si>
    <t>[SUP-352]Request for RR back office access 02/12/2025</t>
  </si>
  <si>
    <t>03/Dec/25 11:18 AM</t>
  </si>
  <si>
    <t>04/Dec/25 10:33 AM</t>
  </si>
  <si>
    <t>RDAPS-304</t>
  </si>
  <si>
    <t>35320</t>
  </si>
  <si>
    <t>[DEV][RD][REWARDS API][REWARDS] Change Expiry date logic</t>
  </si>
  <si>
    <t>02/Dec/25 4:28 PM</t>
  </si>
  <si>
    <t>11/Dec/25 4:34 PM</t>
  </si>
  <si>
    <t>RDAPS-303</t>
  </si>
  <si>
    <t>35319</t>
  </si>
  <si>
    <t>[DEV][RD][BOF][REWARDS] Change Expiry date logic Example display</t>
  </si>
  <si>
    <t>02/Dec/25 4:27 PM</t>
  </si>
  <si>
    <t>DM-126</t>
  </si>
  <si>
    <t>35306</t>
  </si>
  <si>
    <t>[DEV][AWS][AWSTH][POC] Migrate RDS from MariaDB to Postgres Aurora for Partner Loyalty</t>
  </si>
  <si>
    <t>02/Dec/25 2:44 PM</t>
  </si>
  <si>
    <t>10/Dec/25 9:42 AM</t>
  </si>
  <si>
    <t>11/Dec/25 10:14 AM</t>
  </si>
  <si>
    <t>12/Dec/25 10:08 AM</t>
  </si>
  <si>
    <t>11/Dec/25 3:14 PM</t>
  </si>
  <si>
    <t>DEVRDSUP-282</t>
  </si>
  <si>
    <t>35272</t>
  </si>
  <si>
    <t>[SUP-348]#20251100021733  Unable to top up trips in Line Pay account, and the card number displays incorrectly.</t>
  </si>
  <si>
    <t>02/Dec/25 11:29 AM</t>
  </si>
  <si>
    <t>09/Dec/25 5:25 PM</t>
  </si>
  <si>
    <t>RDAPS-302</t>
  </si>
  <si>
    <t>35271</t>
  </si>
  <si>
    <t>[S2][Dev][RD][REM] rule for coupon_valid_until_at was miscalculation</t>
  </si>
  <si>
    <t>02/Dec/25 11:11 AM</t>
  </si>
  <si>
    <t>02/Dec/25 5:13 PM</t>
  </si>
  <si>
    <t>DM-125</t>
  </si>
  <si>
    <t>35236</t>
  </si>
  <si>
    <t>[DEV][RD][AWSTH] Update Docker and config to support new pipeline for RR BTS Officer Web</t>
  </si>
  <si>
    <t>01/Dec/25 7:37 PM</t>
  </si>
  <si>
    <t>04/Dec/25 3:21 PM</t>
  </si>
  <si>
    <t>DM-124</t>
  </si>
  <si>
    <t>35235</t>
  </si>
  <si>
    <t>[DEV][RD][AWSTH] Update Docker and config to support new pipeline for RRScheduler</t>
  </si>
  <si>
    <t>04/Dec/25 5:10 PM</t>
  </si>
  <si>
    <t>DM-123</t>
  </si>
  <si>
    <t>35234</t>
  </si>
  <si>
    <t>[DEV][RD][AWSTH] Update Docker and config to support new pipeline for RR Member Acquisition</t>
  </si>
  <si>
    <t>01/Dec/25 7:36 PM</t>
  </si>
  <si>
    <t>08/Dec/25 9:12 AM</t>
  </si>
  <si>
    <t>DM-122</t>
  </si>
  <si>
    <t>35233</t>
  </si>
  <si>
    <t>[DEV][RD][AWSTH] Update Docker and config to support new pipeline for RR Member Web</t>
  </si>
  <si>
    <t>04/Dec/25 2:21 PM</t>
  </si>
  <si>
    <t>DM-121</t>
  </si>
  <si>
    <t>35232</t>
  </si>
  <si>
    <t>[DEV][RD][AWSTH] Update Docker and config to support new pipeline for RR Link Notify</t>
  </si>
  <si>
    <t>04/Dec/25 4:29 PM</t>
  </si>
  <si>
    <t>DM-120</t>
  </si>
  <si>
    <t>35231</t>
  </si>
  <si>
    <t>[DEV][RD][AWSTH] Update Docker and config to support new pipeline for RR BackOffice Web</t>
  </si>
  <si>
    <t>01/Dec/25 7:35 PM</t>
  </si>
  <si>
    <t>09/Dec/25 9:26 AM</t>
  </si>
  <si>
    <t>DM-119</t>
  </si>
  <si>
    <t>35230</t>
  </si>
  <si>
    <t>[DEV][RD][AWSTH] Update Docker and config to support new pipeline for RR Athena API</t>
  </si>
  <si>
    <t>08/Dec/25 4:44 PM</t>
  </si>
  <si>
    <t>DEVRDSUP-280</t>
  </si>
  <si>
    <t>35227</t>
  </si>
  <si>
    <t>[SUP-345][HRSolution][Club][Turtle] After updating "Member Benefit", RR app doesn't show updated content on RR app.</t>
  </si>
  <si>
    <t>01/Dec/25 5:43 PM</t>
  </si>
  <si>
    <t>04/Dec/25 12:21 AM</t>
  </si>
  <si>
    <t>club</t>
  </si>
  <si>
    <t>DEVRDSUP-279</t>
  </si>
  <si>
    <t>35225</t>
  </si>
  <si>
    <t>[SUP-346][HRSolution][Club][Turtle] User can't see any section content on Member's page but appears again if switch to non-member's page tab and switched back .</t>
  </si>
  <si>
    <t>01/Dec/25 5:17 PM</t>
  </si>
  <si>
    <t>03/Dec/25 11:34 PM</t>
  </si>
  <si>
    <t>DEVRDSUP-278</t>
  </si>
  <si>
    <t>35220</t>
  </si>
  <si>
    <t>[Dev] Investigate failure in user creation from HR Solution to SSO</t>
  </si>
  <si>
    <t>01/Dec/25 4:39 PM</t>
  </si>
  <si>
    <t>11/Dec/25 10:13 AM</t>
  </si>
  <si>
    <t>DEVRDSUP-277</t>
  </si>
  <si>
    <t>35218</t>
  </si>
  <si>
    <t>[SUP-338][SUB] : Request to export receipt due to Incomplete Emails Received by BTSC (November2025)</t>
  </si>
  <si>
    <t>01/Dec/25 4:06 PM</t>
  </si>
  <si>
    <t>04/Dec/25 1:49 PM</t>
  </si>
  <si>
    <t>DM-118</t>
  </si>
  <si>
    <t>35217</t>
  </si>
  <si>
    <t>[DEV][RD][AWSTH] Update Docker and config to support new pipeline for RR Aphrodite Web</t>
  </si>
  <si>
    <t>01/Dec/25 3:50 PM</t>
  </si>
  <si>
    <t>08/Dec/25 2:50 PM</t>
  </si>
  <si>
    <t>DM-117</t>
  </si>
  <si>
    <t>35215</t>
  </si>
  <si>
    <t>[DEV][RD][AWSTH] Update Docker and config to support new pipeline for Rabbit Sky Web</t>
  </si>
  <si>
    <t>01/Dec/25 3:49 PM</t>
  </si>
  <si>
    <t>04/Dec/25 11:21 AM</t>
  </si>
  <si>
    <t>DM-116</t>
  </si>
  <si>
    <t>35214</t>
  </si>
  <si>
    <t>[DEV][RD][AWSTH] Update Docker and config to support new pipeline for Rabbit Sky API</t>
  </si>
  <si>
    <t>08/Dec/25 4:19 PM</t>
  </si>
  <si>
    <t>DM-115</t>
  </si>
  <si>
    <t>35213</t>
  </si>
  <si>
    <t>[DEV][RD][AWSTH] Update Docker and config to support new pipeline for HR Solution</t>
  </si>
  <si>
    <t>04/Dec/25 3:35 PM</t>
  </si>
  <si>
    <t>DEVRDSUP-276</t>
  </si>
  <si>
    <t>35212</t>
  </si>
  <si>
    <t>[SUP-343][HRSolution] Member can be imported successfully, but user is not created on SSO and not bind with provided BU.</t>
  </si>
  <si>
    <t>01/Dec/25 3:38 PM</t>
  </si>
  <si>
    <t>03/Dec/25 1:51 PM</t>
  </si>
  <si>
    <t>15/Dec/25 12:00 AM</t>
  </si>
  <si>
    <t>DM-114</t>
  </si>
  <si>
    <t>35210</t>
  </si>
  <si>
    <t>[DEV][RD][AWSTH] Update Docker and config to support new pipeline for Partner Loyalty API</t>
  </si>
  <si>
    <t>01/Dec/25 2:37 PM</t>
  </si>
  <si>
    <t>03/Dec/25 10:05 AM</t>
  </si>
  <si>
    <t>DM-113</t>
  </si>
  <si>
    <t>35203</t>
  </si>
  <si>
    <t>[DEV][AWS][AWSTH][POC] Migrate RDS from MariaDB to MySQL Aurora for HR Solution</t>
  </si>
  <si>
    <t>01/Dec/25 1:09 PM</t>
  </si>
  <si>
    <t>12/Dec/25 10:05 AM</t>
  </si>
  <si>
    <t>15/Dec/25 10:08 AM</t>
  </si>
  <si>
    <t>DEVRDECOM-187</t>
  </si>
  <si>
    <t>35190</t>
  </si>
  <si>
    <t>[DEV][RD][Eco][Ecommerce-Shopify] Adjust logic check club require and lead user to Show T&amp;C</t>
  </si>
  <si>
    <t>01/Dec/25 8:48 AM</t>
  </si>
  <si>
    <t>04/Dec/25 1:48 PM</t>
  </si>
  <si>
    <t>11/Dec/25 1:01 PM</t>
  </si>
  <si>
    <t>15/Dec/25 9:33 AM</t>
  </si>
  <si>
    <t>DEVRDECOM-186</t>
  </si>
  <si>
    <t>35155</t>
  </si>
  <si>
    <t>[DEV][RD][Eco][Ecommerce-Shopify] Send Customer Phone Number to Shopify in Two Formats</t>
  </si>
  <si>
    <t>30/Nov/25 3:02 PM</t>
  </si>
  <si>
    <t>11/Dec/25 9:19 AM</t>
  </si>
  <si>
    <t>DEVRDECOM-185</t>
  </si>
  <si>
    <t>35154</t>
  </si>
  <si>
    <t>[DEV][RD][Eco][Rewards-Member] Contact us | Business Policy | Privacy Policy link in verify email should open at web browser</t>
  </si>
  <si>
    <t>30/Nov/25 3:01 PM</t>
  </si>
  <si>
    <t>10/Dec/25 11:42 AM</t>
  </si>
  <si>
    <t>11/Dec/25 10:44 AM</t>
  </si>
  <si>
    <t>10/Dec/25 11:47 AM</t>
  </si>
  <si>
    <t>12/Dec/25 9:21 AM</t>
  </si>
  <si>
    <t>11/Dec/25 9:18 AM</t>
  </si>
  <si>
    <t>11/Dec/25 4:53 PM</t>
  </si>
  <si>
    <t>10/Dec/25 10:14 AM</t>
  </si>
  <si>
    <t>RDAPS-288</t>
  </si>
  <si>
    <t>35074</t>
  </si>
  <si>
    <t>[DEV][RD][HRS] Create migration</t>
  </si>
  <si>
    <t>28/Nov/25 1:31 PM</t>
  </si>
  <si>
    <t>11/Dec/25 4:23 PM</t>
  </si>
  <si>
    <t>10/Dec/25 11:46 AM</t>
  </si>
  <si>
    <t>RDAPS-285</t>
  </si>
  <si>
    <t>35009</t>
  </si>
  <si>
    <t>[S4][HRS][Company setting][Club Tier] Tier setting not show after set up club tiers</t>
  </si>
  <si>
    <t>27/Nov/25 5:26 PM</t>
  </si>
  <si>
    <t>04/Dec/25 12:05 AM</t>
  </si>
  <si>
    <t>03/Dec/25 8:22 AM</t>
  </si>
  <si>
    <t>03/Dec/25 8:40 AM</t>
  </si>
  <si>
    <t>03/Dec/25 9:58 AM</t>
  </si>
  <si>
    <t>RDTHANA-412</t>
  </si>
  <si>
    <t>34795</t>
  </si>
  <si>
    <t>[DEV][RD][APH] Enhance sorry page remove callback condition</t>
  </si>
  <si>
    <t>24/Nov/25 10:39 AM</t>
  </si>
  <si>
    <t>03/Dec/25 5:37 PM</t>
  </si>
  <si>
    <t>08/Oct/25 12:00 AM</t>
  </si>
  <si>
    <t>DEVRDCT-314</t>
  </si>
  <si>
    <t>34763</t>
  </si>
  <si>
    <t>24/Nov/25 10:09 AM</t>
  </si>
  <si>
    <t>02/Dec/25 3:15 PM</t>
  </si>
  <si>
    <t>DEVRDCT-313</t>
  </si>
  <si>
    <t>34761</t>
  </si>
  <si>
    <t>DEVRDCT-312</t>
  </si>
  <si>
    <t>34759</t>
  </si>
  <si>
    <t>24/Nov/25 10:08 AM</t>
  </si>
  <si>
    <t>02/Dec/25 3:48 PM</t>
  </si>
  <si>
    <t>DEVRDCT-311</t>
  </si>
  <si>
    <t>34757</t>
  </si>
  <si>
    <t>01/Dec/25 9:37 AM</t>
  </si>
  <si>
    <t>DEVRDECOM-180</t>
  </si>
  <si>
    <t>34589</t>
  </si>
  <si>
    <t>20/Nov/25 10:11 AM</t>
  </si>
  <si>
    <t>28/Nov/25 11:33 AM</t>
  </si>
  <si>
    <t>DEVRDECOM-179</t>
  </si>
  <si>
    <t>34587</t>
  </si>
  <si>
    <t>21/Nov/25 4:28 PM</t>
  </si>
  <si>
    <t>DEVRDCT-310</t>
  </si>
  <si>
    <t>34585</t>
  </si>
  <si>
    <t>[DEV][RD][HRS] Add bound_at and unboard_at Fields for CLUB_BINDING event</t>
  </si>
  <si>
    <t>20/Nov/25 9:15 AM</t>
  </si>
  <si>
    <t>DEVRDECOM-178</t>
  </si>
  <si>
    <t>34584</t>
  </si>
  <si>
    <t>[DEV][RD][Eco][Setup] Setup new store : Pando Production</t>
  </si>
  <si>
    <t>20/Nov/25 8:40 AM</t>
  </si>
  <si>
    <t>04/Dec/25 5:19 PM</t>
  </si>
  <si>
    <t>14400 -&gt; 7,200</t>
  </si>
  <si>
    <t>11/Dec/25 10:12 AM</t>
  </si>
  <si>
    <t>RDAPS-281</t>
  </si>
  <si>
    <t>34452</t>
  </si>
  <si>
    <t>[Dev][RD][BOF] Optimize query performance for Subscription Transaction Report</t>
  </si>
  <si>
    <t>17/Nov/25 4:10 PM</t>
  </si>
  <si>
    <t>11/Dec/25 4:49 PM</t>
  </si>
  <si>
    <t>DEVRDECOM-176</t>
  </si>
  <si>
    <t>34440</t>
  </si>
  <si>
    <t>[DEV][RD][Eco][Shopify-Extension] Hide logout button at checkout page</t>
  </si>
  <si>
    <t>17/Nov/25 2:00 PM</t>
  </si>
  <si>
    <t>08/Dec/25 11:29 AM</t>
  </si>
  <si>
    <t>02/Dec/25 10:43 AM</t>
  </si>
  <si>
    <t>DEVRDECOM-171</t>
  </si>
  <si>
    <t>34377</t>
  </si>
  <si>
    <t>[DEV][RD][Eco][POC][BU][Eco][POC] Turtle delivery : Send auto email by inventory</t>
  </si>
  <si>
    <t>12/Dec/25 9:37 AM</t>
  </si>
  <si>
    <t>RDTHANA-388</t>
  </si>
  <si>
    <t>34375</t>
  </si>
  <si>
    <t>[DEV][RD][BOF][Deeplink] Enhance deeplink datatable support survey</t>
  </si>
  <si>
    <t>Art: Narupontp</t>
  </si>
  <si>
    <t>712020:91749b74-687b-4bc7-86d9-f95cfa61b20e</t>
  </si>
  <si>
    <t>16/Nov/25 1:59 PM</t>
  </si>
  <si>
    <t>RDTHANA-387</t>
  </si>
  <si>
    <t>34374</t>
  </si>
  <si>
    <t>[DEV][RD][BOF] Survey Observer for create deeplink</t>
  </si>
  <si>
    <t>16/Nov/25 1:48 PM</t>
  </si>
  <si>
    <t>RDTHANA-386</t>
  </si>
  <si>
    <t>34373</t>
  </si>
  <si>
    <t>[DEV][RD][LNF] Clarify flow and add database connection</t>
  </si>
  <si>
    <t>16/Nov/25 1:44 PM</t>
  </si>
  <si>
    <t>24/Nov/25 12:00 AM</t>
  </si>
  <si>
    <t>link-notify</t>
  </si>
  <si>
    <t>RDAPS-279</t>
  </si>
  <si>
    <t>34372</t>
  </si>
  <si>
    <t>[DEV][RD][SA] Compare duplicate SSO ID in RLP and RR Line Account</t>
  </si>
  <si>
    <t>16/Nov/25 1:23 PM</t>
  </si>
  <si>
    <t>08/Dec/25 10:33 AM</t>
  </si>
  <si>
    <t>RDAPS-278</t>
  </si>
  <si>
    <t>34371</t>
  </si>
  <si>
    <t>[DEV][RD][SA] Clear duplicate BU Allocation</t>
  </si>
  <si>
    <t>16/Nov/25 1:22 PM</t>
  </si>
  <si>
    <t>09/Dec/25 10:08 AM</t>
  </si>
  <si>
    <t>DEVRDCT-306</t>
  </si>
  <si>
    <t>34255</t>
  </si>
  <si>
    <t>[DEV][RD][HRS] User Property Update after Downgrade Turtle Plus Member Tier</t>
  </si>
  <si>
    <t>14/Nov/25 9:26 AM</t>
  </si>
  <si>
    <t>03/Dec/25 10:24 AM</t>
  </si>
  <si>
    <t>RDTHANA-383</t>
  </si>
  <si>
    <t>34199</t>
  </si>
  <si>
    <t>[DEV][RD][LNF] Add new path to deeplink auto generate flow for survey</t>
  </si>
  <si>
    <t>13/Nov/25 1:11 PM</t>
  </si>
  <si>
    <t>26/Nov/25 12:00 AM</t>
  </si>
  <si>
    <t>RDAPS-275</t>
  </si>
  <si>
    <t>34192</t>
  </si>
  <si>
    <t>[Dev][RD][DB] Create SQL script to stamp default expiry_type field for existing data</t>
  </si>
  <si>
    <t>13/Nov/25 11:36 AM</t>
  </si>
  <si>
    <t>08/Dec/25 1:55 PM</t>
  </si>
  <si>
    <t>rewards-db</t>
  </si>
  <si>
    <t>DEVRDECOM-170</t>
  </si>
  <si>
    <t>34188</t>
  </si>
  <si>
    <t>[Dev][RD][BOF] Enhance widget setting for service-type items</t>
  </si>
  <si>
    <t>13/Nov/25 10:54 AM</t>
  </si>
  <si>
    <t>03/Dec/25 4:57 PM</t>
  </si>
  <si>
    <t>21/Nov/25 12:00 AM</t>
  </si>
  <si>
    <t>RDAPS-271</t>
  </si>
  <si>
    <t>34185</t>
  </si>
  <si>
    <t>[DEV][RD][HRS] Enhance import member validation</t>
  </si>
  <si>
    <t>13/Nov/25 9:55 AM</t>
  </si>
  <si>
    <t>03/Dec/25 10:36 AM</t>
  </si>
  <si>
    <t>02/Dec/25 10:03 AM</t>
  </si>
  <si>
    <t>10/Dec/25 5:26 PM</t>
  </si>
  <si>
    <t>DEVRDCT-298</t>
  </si>
  <si>
    <t>33724</t>
  </si>
  <si>
    <t>[QA] (Staging) Test execution Line Pay Unbound Event</t>
  </si>
  <si>
    <t>06/Nov/25 5:54 PM</t>
  </si>
  <si>
    <t>DEVRDCT-297</t>
  </si>
  <si>
    <t>33722</t>
  </si>
  <si>
    <t>[QA] Create test case Line Pay Unbound Event</t>
  </si>
  <si>
    <t>DEVRDCT-289</t>
  </si>
  <si>
    <t>33481</t>
  </si>
  <si>
    <t>[QA](Staging) Test execution LINE_PAY_BINDING Event push to CT (WEB)</t>
  </si>
  <si>
    <t>04/Nov/25 6:01 PM</t>
  </si>
  <si>
    <t>08/Dec/25 10:07 AM</t>
  </si>
  <si>
    <t>DEVRDCT-288</t>
  </si>
  <si>
    <t>33479</t>
  </si>
  <si>
    <t>[QA] Create test case LINE_PAY_BINDING Event push to CT (WEB)</t>
  </si>
  <si>
    <t>04/Nov/25 6:00 PM</t>
  </si>
  <si>
    <t>DEVRDCT-287</t>
  </si>
  <si>
    <t>33477</t>
  </si>
  <si>
    <t>[QA](Staging) Test execution LINE_PAY_BINDING Event push to CT (API)</t>
  </si>
  <si>
    <t>04/Nov/25 5:59 PM</t>
  </si>
  <si>
    <t>DEVRDCT-286</t>
  </si>
  <si>
    <t>33475</t>
  </si>
  <si>
    <t>[QA] Create test case LINE_PAY_BINDING Event push to CT (API)</t>
  </si>
  <si>
    <t>DEVRDCT-285</t>
  </si>
  <si>
    <t>33473</t>
  </si>
  <si>
    <t>[QA](Staging) Line OA and Friend event to CleverTap(API)</t>
  </si>
  <si>
    <t>04/Nov/25 5:49 PM</t>
  </si>
  <si>
    <t>02/Dec/25 4:42 PM</t>
  </si>
  <si>
    <t>DEVRDCT-283</t>
  </si>
  <si>
    <t>33465</t>
  </si>
  <si>
    <t>[QA](Staging) Line OA and Friend event to CleverTap(WEB)</t>
  </si>
  <si>
    <t>04/Nov/25 5:46 PM</t>
  </si>
  <si>
    <t>DEVRDECOM-151</t>
  </si>
  <si>
    <t>33383</t>
  </si>
  <si>
    <t>[DEV][RD][Eco] Change image demo in create/edit service page</t>
  </si>
  <si>
    <t>04/Nov/25 9:48 AM</t>
  </si>
  <si>
    <t>01/Dec/25 9:44 AM</t>
  </si>
  <si>
    <t>04/Nov/25 12:00 AM</t>
  </si>
  <si>
    <t>07/Dec/25 2:34 PM</t>
  </si>
  <si>
    <t>DEVRDECOM-145</t>
  </si>
  <si>
    <t>33275</t>
  </si>
  <si>
    <t>[DEV][RD[Eco][Turtle][POC] Dynamic Section by Customer Location</t>
  </si>
  <si>
    <t>31/Oct/25 12:47 PM</t>
  </si>
  <si>
    <t>RDAPS-247</t>
  </si>
  <si>
    <t>33250</t>
  </si>
  <si>
    <t>[Dev][RD][RRS] Optimize import coupons</t>
  </si>
  <si>
    <t>30/Oct/25 2:22 PM</t>
  </si>
  <si>
    <t>11/Dec/25 4:52 PM</t>
  </si>
  <si>
    <t>DEVRDCT-269</t>
  </si>
  <si>
    <t>32785</t>
  </si>
  <si>
    <t>[DEV][RD][RLP][API] Line Pay Unbound Event</t>
  </si>
  <si>
    <t>20/Oct/25 9:30 AM</t>
  </si>
  <si>
    <t>DEVRDCT-258</t>
  </si>
  <si>
    <t>32213</t>
  </si>
  <si>
    <t>[DEV][RD][RLP][WEP] LINE_PAY_BINDING Event push to CT</t>
  </si>
  <si>
    <t>13/Oct/25 5:00 PM</t>
  </si>
  <si>
    <t>04/Dec/25 11:49 AM</t>
  </si>
  <si>
    <t>DEVRDCT-257</t>
  </si>
  <si>
    <t>32071</t>
  </si>
  <si>
    <t>[DEV][RD][RLP][API] LINE_PAY_BINDING Event push to CT</t>
  </si>
  <si>
    <t>07/Oct/25 3:13 PM</t>
  </si>
  <si>
    <t>DEVRDCT-253</t>
  </si>
  <si>
    <t>32062</t>
  </si>
  <si>
    <t>[QA] Create test case Line OA and Friend event to CleverTap (API)</t>
  </si>
  <si>
    <t>07/Oct/25 2:09 PM</t>
  </si>
  <si>
    <t>DEVRDCT-252</t>
  </si>
  <si>
    <t>32060</t>
  </si>
  <si>
    <t>[QA] Create test case Line OA and Friend event to CleverTap(WEB)</t>
  </si>
  <si>
    <t>07/Oct/25 2:04 PM</t>
  </si>
  <si>
    <t>DEVRDCT-251</t>
  </si>
  <si>
    <t>32058</t>
  </si>
  <si>
    <t>[QA](PROD) Test execution sync initial RLP member to RR Line member</t>
  </si>
  <si>
    <t>07/Oct/25 2:03 PM</t>
  </si>
  <si>
    <t>11/Dec/25 4:17 PM</t>
  </si>
  <si>
    <t>DEVRDCT-250</t>
  </si>
  <si>
    <t>32004</t>
  </si>
  <si>
    <t>[DEV][RD][RLP] Create script to sync initial RLP member to RR Line member</t>
  </si>
  <si>
    <t>06/Oct/25 10:03 AM</t>
  </si>
  <si>
    <t>10/Oct/25 12:00 AM</t>
  </si>
  <si>
    <t>rlp-middleware</t>
  </si>
  <si>
    <t>DEVRDCT-249</t>
  </si>
  <si>
    <t>31984</t>
  </si>
  <si>
    <t>[DEV][RD][RLP][WEB] Sent Line OA and Friend event to CleverTap</t>
  </si>
  <si>
    <t>05/Oct/25 4:45 PM</t>
  </si>
  <si>
    <t>DEVRDCT-248</t>
  </si>
  <si>
    <t>31983</t>
  </si>
  <si>
    <t>[DEV][RD][RLP][API] Sent Line OA and Friend event to CleverTap</t>
  </si>
  <si>
    <t>02/Dec/25 4:41 PM</t>
  </si>
  <si>
    <t>3 ครั้ง 
1.  4 คน
2.  3 คน
3.  4 คน</t>
  </si>
  <si>
    <t>Sprint 11</t>
  </si>
  <si>
    <t>28/Nov/25 4:26 PM</t>
  </si>
  <si>
    <t>27/Nov/25 4:52 PM</t>
  </si>
  <si>
    <t>DM-112</t>
  </si>
  <si>
    <t>34977</t>
  </si>
  <si>
    <t>[DEV][RD][AWSTH] Extract Redemption Consumer to standalone repo for CodePipeline deployment</t>
  </si>
  <si>
    <t>27/Nov/25 9:21 AM</t>
  </si>
  <si>
    <t>27/Nov/25 11:19 PM</t>
  </si>
  <si>
    <t>[Dev][RD][AWS] Sprint 12</t>
  </si>
  <si>
    <t>DM-111</t>
  </si>
  <si>
    <t>34976</t>
  </si>
  <si>
    <t>[DEV][RD][AWSTH] Extract Redemption API to standalone repo for CodePipeline deployment</t>
  </si>
  <si>
    <t>27/Nov/25 11:10 PM</t>
  </si>
  <si>
    <t>DM-110</t>
  </si>
  <si>
    <t>34975</t>
  </si>
  <si>
    <t>[DEV][RD][AWSTH] Extract Rewards Consumer to standalone repo for CodePipeline deployment</t>
  </si>
  <si>
    <t>27/Nov/25 11:02 PM</t>
  </si>
  <si>
    <t>DM-109</t>
  </si>
  <si>
    <t>34974</t>
  </si>
  <si>
    <t>[DEV][RD][AWSTH] Extract Rewards API to standalone repo for CodePipeline deployment</t>
  </si>
  <si>
    <t>27/Nov/25 9:57 PM</t>
  </si>
  <si>
    <t>DM-108</t>
  </si>
  <si>
    <t>34973</t>
  </si>
  <si>
    <t>[DEV][RD][AWSTH] Extract RR Crobjob to standalone repo for CodePipeline deployment</t>
  </si>
  <si>
    <t>27/Nov/25 9:20 AM</t>
  </si>
  <si>
    <t>27/Nov/25 9:36 PM</t>
  </si>
  <si>
    <t>DM-107</t>
  </si>
  <si>
    <t>34972</t>
  </si>
  <si>
    <t>[DEV][RD][AWSTH] Extract Rabbit CMS API to standalone repo for CodePipeline deployment</t>
  </si>
  <si>
    <t>27/Nov/25 9:18 AM</t>
  </si>
  <si>
    <t>27/Nov/25 7:08 PM</t>
  </si>
  <si>
    <t>DM-106</t>
  </si>
  <si>
    <t>34971</t>
  </si>
  <si>
    <t>[DEV][RD][AWSTH]Extract Notification API to standalone repo for CodePipeline deployment</t>
  </si>
  <si>
    <t>27/Nov/25 9:16 AM</t>
  </si>
  <si>
    <t>27/Nov/25 6:44 PM</t>
  </si>
  <si>
    <t>DM-105</t>
  </si>
  <si>
    <t>34970</t>
  </si>
  <si>
    <t>[DEV][RD][AWSTH] Extract Merchant API to standalone repo for CodePipeline deployment</t>
  </si>
  <si>
    <t>27/Nov/25 9:15 AM</t>
  </si>
  <si>
    <t>27/Nov/25 6:56 PM</t>
  </si>
  <si>
    <t>DM-104</t>
  </si>
  <si>
    <t>34969</t>
  </si>
  <si>
    <t>[DEV][RD][AWSTH] Extract Exclusive Store API to standalone repo for CodePipeline deployment</t>
  </si>
  <si>
    <t>27/Nov/25 9:13 AM</t>
  </si>
  <si>
    <t>27/Nov/25 5:38 PM</t>
  </si>
  <si>
    <t>28/Nov/25 12:00 AM</t>
  </si>
  <si>
    <t>DM-103</t>
  </si>
  <si>
    <t>34968</t>
  </si>
  <si>
    <t>[DEV][RD][AWSTH] Extract Deeplink API to standalone repo for CodePipeline deployment</t>
  </si>
  <si>
    <t>27/Nov/25 9:10 AM</t>
  </si>
  <si>
    <t>27/Nov/25 4:23 PM</t>
  </si>
  <si>
    <t>DEVRDSUP-266</t>
  </si>
  <si>
    <t>34919</t>
  </si>
  <si>
    <t>[Dev][RD][BOF] Optimize query performance for Coupons TXN Report</t>
  </si>
  <si>
    <t>26/Nov/25 11:05 AM</t>
  </si>
  <si>
    <t>RDTHANA-413</t>
  </si>
  <si>
    <t>34832</t>
  </si>
  <si>
    <t>[S4][Service][Contact] Phone number validation  incorrect for prefixes 02, 06, 08, 09</t>
  </si>
  <si>
    <t>24/Nov/25 11:56 PM</t>
  </si>
  <si>
    <t>26/Nov/25 11:18 AM</t>
  </si>
  <si>
    <t>DEVRDECOM-184</t>
  </si>
  <si>
    <t>34826</t>
  </si>
  <si>
    <t>[S3][eCommerce Shopify] Email is not updated across platform</t>
  </si>
  <si>
    <t>24/Nov/25 5:38 PM</t>
  </si>
  <si>
    <t>26/Nov/25 5:06 PM</t>
  </si>
  <si>
    <t>DEVRDCT-316</t>
  </si>
  <si>
    <t>34820</t>
  </si>
  <si>
    <t>[DEV][RD][PL] Member Binding API incorrectly send SSO status and Partner status to Webhook</t>
  </si>
  <si>
    <t>24/Nov/25 2:51 PM</t>
  </si>
  <si>
    <t>26/Nov/25 9:36 AM</t>
  </si>
  <si>
    <t>DEVRDCT-315</t>
  </si>
  <si>
    <t>34819</t>
  </si>
  <si>
    <t>[DEV][RD][EXS] Club Binding Flow Prevent Duplicate Webhook Calls with Partner Loyalty API</t>
  </si>
  <si>
    <t>24/Nov/25 2:42 PM</t>
  </si>
  <si>
    <t>DEVRDSUP-264</t>
  </si>
  <si>
    <t>34803</t>
  </si>
  <si>
    <t>[SUP-329]SUB : Request to fill in the Secret Key for Eastin</t>
  </si>
  <si>
    <t>24/Nov/25 11:49 AM</t>
  </si>
  <si>
    <t>26/Nov/25 10:58 AM</t>
  </si>
  <si>
    <t>DEVRDECOM-183</t>
  </si>
  <si>
    <t>34797</t>
  </si>
  <si>
    <t>24/Nov/25 11:10 AM</t>
  </si>
  <si>
    <t>24/Nov/25 11:24 AM</t>
  </si>
  <si>
    <t>QA-881</t>
  </si>
  <si>
    <t>34794</t>
  </si>
  <si>
    <t>Test Execution API bind/unbind endpoint support line_pay</t>
  </si>
  <si>
    <t>24/Nov/25 10:37 AM</t>
  </si>
  <si>
    <t>QA-880</t>
  </si>
  <si>
    <t>34790</t>
  </si>
  <si>
    <t>test case API bind/unbind endpoint support line_pay</t>
  </si>
  <si>
    <t>24/Nov/25 10:33 AM</t>
  </si>
  <si>
    <t>27/Nov/25 4:37 PM</t>
  </si>
  <si>
    <t>RDTHANA-411</t>
  </si>
  <si>
    <t>34789</t>
  </si>
  <si>
    <t>24/Nov/25 10:26 AM</t>
  </si>
  <si>
    <t>24/Nov/25 10:27 AM</t>
  </si>
  <si>
    <t>RDTHANA-410</t>
  </si>
  <si>
    <t>34787</t>
  </si>
  <si>
    <t>[QA] Test Execution Cronjob update survey to expired</t>
  </si>
  <si>
    <t>24/Nov/25 10:24 AM</t>
  </si>
  <si>
    <t>24/Nov/25 10:25 AM</t>
  </si>
  <si>
    <t>RDTHANA-409</t>
  </si>
  <si>
    <t>34784</t>
  </si>
  <si>
    <t>[QA]Test Execution Change survey status (FE&amp;BE)</t>
  </si>
  <si>
    <t>24/Nov/25 10:20 AM</t>
  </si>
  <si>
    <t>RDTHANA-408</t>
  </si>
  <si>
    <t>34782</t>
  </si>
  <si>
    <t>[QA] Test Execution Update survey Step 5: Survey Appearance (Input E-mail) (FE&amp;BE)</t>
  </si>
  <si>
    <t>RDTHANA-407</t>
  </si>
  <si>
    <t>34780</t>
  </si>
  <si>
    <t>[QA] Test Execution Download Individual Survey Report (FE&amp;BE)</t>
  </si>
  <si>
    <t>24/Nov/25 10:18 AM</t>
  </si>
  <si>
    <t>RDTHANA-406</t>
  </si>
  <si>
    <t>34778</t>
  </si>
  <si>
    <t>[QA] Test Execution Update survey step5.1(FE&amp;BE)</t>
  </si>
  <si>
    <t>24/Nov/25 10:17 AM</t>
  </si>
  <si>
    <t>RDTHANA-405</t>
  </si>
  <si>
    <t>34776</t>
  </si>
  <si>
    <t>[QA] Test Execution Update survey step4.1(FE&amp;BE)</t>
  </si>
  <si>
    <t>RDTHANA-404</t>
  </si>
  <si>
    <t>34774</t>
  </si>
  <si>
    <t>[QA] Test Execution Update survey step3(FE&amp;BE)</t>
  </si>
  <si>
    <t>24/Nov/25 10:16 AM</t>
  </si>
  <si>
    <t>RDTHANA-403</t>
  </si>
  <si>
    <t>34771</t>
  </si>
  <si>
    <t>[QA] Test Execution Update survey step2(FE&amp;BE)</t>
  </si>
  <si>
    <t>24/Nov/25 10:15 AM</t>
  </si>
  <si>
    <t>RDTHANA-402</t>
  </si>
  <si>
    <t>34769</t>
  </si>
  <si>
    <t>[QA] Test Execution View Survey List (FE&amp;BE)</t>
  </si>
  <si>
    <t>RDTHANA-401</t>
  </si>
  <si>
    <t>34767</t>
  </si>
  <si>
    <t>[QA] Test Execution Update survey step1(FE&amp;BE)</t>
  </si>
  <si>
    <t>24/Nov/25 10:14 AM</t>
  </si>
  <si>
    <t>RDTHANA-400</t>
  </si>
  <si>
    <t>34765</t>
  </si>
  <si>
    <t>[QA] Test Execution Create survey (FE&amp;BE)</t>
  </si>
  <si>
    <t>24/Nov/25 10:13 AM</t>
  </si>
  <si>
    <t>25/Nov/25 10:06 AM</t>
  </si>
  <si>
    <t>RDAPS-283</t>
  </si>
  <si>
    <t>34689</t>
  </si>
  <si>
    <t>[Dev][RD][Deployment Preparation][24Nov]Das haus Phase 1</t>
  </si>
  <si>
    <t>23/Nov/25 10:10 AM</t>
  </si>
  <si>
    <t>27/Nov/25 5:14 PM</t>
  </si>
  <si>
    <t>DEVRDSUP-260</t>
  </si>
  <si>
    <t>34655</t>
  </si>
  <si>
    <t>[SUP-326]ลูกค้ามีบัตร Rabbit Wallet ซ้ำกัน 2 บัญชี</t>
  </si>
  <si>
    <t>21/Nov/25 5:56 PM</t>
  </si>
  <si>
    <t>24/Nov/25 2:39 PM</t>
  </si>
  <si>
    <t>RDAPS-282</t>
  </si>
  <si>
    <t>34646</t>
  </si>
  <si>
    <t>[DEV][RD][BFF] Remove check is active in get product detail endpoint</t>
  </si>
  <si>
    <t>21/Nov/25 1:37 PM</t>
  </si>
  <si>
    <t>27/Nov/25 10:26 AM</t>
  </si>
  <si>
    <t>DEVRDECOM-182</t>
  </si>
  <si>
    <t>34639</t>
  </si>
  <si>
    <t>[S3][eCommerce Shopify] Name from address is not updated to account name</t>
  </si>
  <si>
    <t>21/Nov/25 10:55 AM</t>
  </si>
  <si>
    <t>27/Nov/25 10:15 AM</t>
  </si>
  <si>
    <t>28/Nov/25 11:24 AM</t>
  </si>
  <si>
    <t>DM-96</t>
  </si>
  <si>
    <t>34628</t>
  </si>
  <si>
    <t>[DEV][RD][AWSTH] prepare ENV for dev environment</t>
  </si>
  <si>
    <t>21/Nov/25 9:55 AM</t>
  </si>
  <si>
    <t>26/Nov/25 5:03 PM</t>
  </si>
  <si>
    <t>RDTHANA-398</t>
  </si>
  <si>
    <t>34625</t>
  </si>
  <si>
    <t>[Dev][RD][BOF][Service] cannot validate phone number format 02-xxxxxxx</t>
  </si>
  <si>
    <t>21/Nov/25 1:06 AM</t>
  </si>
  <si>
    <t>24/Nov/25 2:15 PM</t>
  </si>
  <si>
    <t>RDTHANA-397</t>
  </si>
  <si>
    <t>34623</t>
  </si>
  <si>
    <t>[S4][PROD][RR Backoffice][Widget] Index sorting with alphabetical and status order NOT Updated_at</t>
  </si>
  <si>
    <t>21/Nov/25 12:36 AM</t>
  </si>
  <si>
    <t>24/Nov/25 2:18 PM</t>
  </si>
  <si>
    <t>DM-95</t>
  </si>
  <si>
    <t>34590</t>
  </si>
  <si>
    <t>[DEV][RD][AWSTH][POC] Load env JSON format to environment</t>
  </si>
  <si>
    <t>20/Nov/25 10:21 AM</t>
  </si>
  <si>
    <t>26/Nov/25 5:04 PM</t>
  </si>
  <si>
    <t>28/Nov/25 9:34 AM</t>
  </si>
  <si>
    <t>29/Nov/25 1:10 PM</t>
  </si>
  <si>
    <t>DEVRDECOM-177</t>
  </si>
  <si>
    <t>34550</t>
  </si>
  <si>
    <t>[DEV][RD][Eco][POC] Find solution for send phone from sso to shopify when auto login</t>
  </si>
  <si>
    <t>19/Nov/25 5:32 PM</t>
  </si>
  <si>
    <t>29/Nov/25 1:12 PM</t>
  </si>
  <si>
    <t>DEVRDCT-307</t>
  </si>
  <si>
    <t>34538</t>
  </si>
  <si>
    <t>[DEV][RD][RDS] Incorrect reward "using" time with MEMBER_COUPON event</t>
  </si>
  <si>
    <t>19/Nov/25 10:23 AM</t>
  </si>
  <si>
    <t>20/Nov/25 1:25 PM</t>
  </si>
  <si>
    <t>RDTHANA-396</t>
  </si>
  <si>
    <t>34535</t>
  </si>
  <si>
    <t>[S3][HR-Solution][Welcome message][Pop up setting] Website tab setting always show alert modal warning to save change before go to another tab</t>
  </si>
  <si>
    <t>18/Nov/25 6:42 PM</t>
  </si>
  <si>
    <t>27/Nov/25 2:07 PM</t>
  </si>
  <si>
    <t>RDTHANA-395</t>
  </si>
  <si>
    <t>34534</t>
  </si>
  <si>
    <t>[S3][HR-Solution][Welcome message][Pop up setting] Website tab setting cannot save changes</t>
  </si>
  <si>
    <t>18/Nov/25 6:36 PM</t>
  </si>
  <si>
    <t>19/Nov/25 5:21 PM</t>
  </si>
  <si>
    <t>RDTHANA-394</t>
  </si>
  <si>
    <t>34533</t>
  </si>
  <si>
    <t>[S3][HR-Solution][Welcome message][Pop up setting] Application tab setting Destination URL cannot save full URL</t>
  </si>
  <si>
    <t>18/Nov/25 6:14 PM</t>
  </si>
  <si>
    <t>20/Nov/25 11:39 AM</t>
  </si>
  <si>
    <t>DEVRDADJ-70</t>
  </si>
  <si>
    <t>34509</t>
  </si>
  <si>
    <t>18/Nov/25 11:53 AM</t>
  </si>
  <si>
    <t>18/Nov/25 2:50 PM</t>
  </si>
  <si>
    <t>[Dev][RDAdjust] Sprint 11</t>
  </si>
  <si>
    <t>[Dev][RDAdjust] Sprint 12</t>
  </si>
  <si>
    <t>DEVRDADJ-69</t>
  </si>
  <si>
    <t>34502</t>
  </si>
  <si>
    <t>18/Nov/25 10:09 AM</t>
  </si>
  <si>
    <t>19/Nov/25 10:06 AM</t>
  </si>
  <si>
    <t>26/Nov/25 4:26 PM</t>
  </si>
  <si>
    <t>RDTHANA-392</t>
  </si>
  <si>
    <t>34445</t>
  </si>
  <si>
    <t>[S3][Survey report ] Survey Souce column show nothing on Survey Report</t>
  </si>
  <si>
    <t>17/Nov/25 2:18 PM</t>
  </si>
  <si>
    <t>RDAPS-280</t>
  </si>
  <si>
    <t>34444</t>
  </si>
  <si>
    <t>[Dev][RD][RWS] Enhance api get reward availability</t>
  </si>
  <si>
    <t>17/Nov/25 2:07 PM</t>
  </si>
  <si>
    <t>28/Nov/25 3:16 PM</t>
  </si>
  <si>
    <t>rewards-api</t>
  </si>
  <si>
    <t>DEVRDECOM-175</t>
  </si>
  <si>
    <t>34423</t>
  </si>
  <si>
    <t>[DEV][RD][Eco][Setup] Setup new store : Pando UAT</t>
  </si>
  <si>
    <t>17/Nov/25 10:51 AM</t>
  </si>
  <si>
    <t>29/Nov/25 1:09 PM</t>
  </si>
  <si>
    <t>DEVRDECOM-174</t>
  </si>
  <si>
    <t>34416</t>
  </si>
  <si>
    <t>[DEV][RD][Eco][POC] Shopify pay with coin - Checkout UI Extension</t>
  </si>
  <si>
    <t>17/Nov/25 10:33 AM</t>
  </si>
  <si>
    <t>RDTHANA-390</t>
  </si>
  <si>
    <t>34413</t>
  </si>
  <si>
    <t>[Dev][RD][Deployment Preparation][21Nov]Das haus Phase 1</t>
  </si>
  <si>
    <t>17/Nov/25 9:54 AM</t>
  </si>
  <si>
    <t>23/Nov/25 10:09 AM</t>
  </si>
  <si>
    <t>28/Nov/25 9:48 AM</t>
  </si>
  <si>
    <t>29/Nov/25 1:11 PM</t>
  </si>
  <si>
    <t>27/Nov/25 2:32 PM</t>
  </si>
  <si>
    <t>27/Nov/25 5:13 PM</t>
  </si>
  <si>
    <t>27/Nov/25 2:42 PM</t>
  </si>
  <si>
    <t>28/Nov/25 10:23 AM</t>
  </si>
  <si>
    <t>RDTHANA-385</t>
  </si>
  <si>
    <t>34267</t>
  </si>
  <si>
    <t>[Dev][RD][CMS] Add return 'icon_shadow_color' and 'has_icon_shadow' to services filter api</t>
  </si>
  <si>
    <t>14/Nov/25 2:05 PM</t>
  </si>
  <si>
    <t>26/Nov/25 9:42 AM</t>
  </si>
  <si>
    <t>RDTHANA-384</t>
  </si>
  <si>
    <t>34265</t>
  </si>
  <si>
    <t>[Dev][RD][BFF] Add return 'icon_shadow_color' and 'has_icon_shadow' to section contents api</t>
  </si>
  <si>
    <t>14/Nov/25 2:00 PM</t>
  </si>
  <si>
    <t>28/Nov/25 1:55 PM</t>
  </si>
  <si>
    <t>28/Nov/25 3:14 PM</t>
  </si>
  <si>
    <t>26/Nov/25 9:41 AM</t>
  </si>
  <si>
    <t>26/Nov/25 10:06 AM</t>
  </si>
  <si>
    <t>RDAPS-274</t>
  </si>
  <si>
    <t>34191</t>
  </si>
  <si>
    <t>[Dev][RD[DB] Create database migration to add new schema</t>
  </si>
  <si>
    <t>13/Nov/25 11:31 AM</t>
  </si>
  <si>
    <t>27/Nov/25 10:11 AM</t>
  </si>
  <si>
    <t>RDAPS-273</t>
  </si>
  <si>
    <t>34190</t>
  </si>
  <si>
    <t>[Dev][RD][REM] Enhance the rule for calculation for coupon_valid_until_at</t>
  </si>
  <si>
    <t>13/Nov/25 11:17 AM</t>
  </si>
  <si>
    <t>RDAPS-272</t>
  </si>
  <si>
    <t>34189</t>
  </si>
  <si>
    <t>[Dev][RD][BOF] Enhance coupon expiry settings for rewards</t>
  </si>
  <si>
    <t>13/Nov/25 11:14 AM</t>
  </si>
  <si>
    <t>28/Nov/25 5:33 PM</t>
  </si>
  <si>
    <t>28/Nov/25 1:02 PM</t>
  </si>
  <si>
    <t>27/Nov/25 2:05 PM</t>
  </si>
  <si>
    <t>DEVRDECOM-169</t>
  </si>
  <si>
    <t>34143</t>
  </si>
  <si>
    <t>12/Nov/25 3:44 PM</t>
  </si>
  <si>
    <t>26/Nov/25 11:01 AM</t>
  </si>
  <si>
    <t>DEVRDECOM-168</t>
  </si>
  <si>
    <t>34141</t>
  </si>
  <si>
    <t>19/Nov/25 5:22 PM</t>
  </si>
  <si>
    <t>DEVRDECOM-167</t>
  </si>
  <si>
    <t>34139</t>
  </si>
  <si>
    <t>DEVRDECOM-166</t>
  </si>
  <si>
    <t>34137</t>
  </si>
  <si>
    <t>12/Nov/25 3:43 PM</t>
  </si>
  <si>
    <t>21/Nov/25 4:19 PM</t>
  </si>
  <si>
    <t>DEVRDECOM-165</t>
  </si>
  <si>
    <t>34135</t>
  </si>
  <si>
    <t>17/Nov/25 1:49 PM</t>
  </si>
  <si>
    <t>DEVRDSUP-236</t>
  </si>
  <si>
    <t>34128</t>
  </si>
  <si>
    <t>[SUP-298][RDxDA][ETL] Missing BSS_SSO_ADD_CLICKYES file for kyc_report since 26 Aug 2025</t>
  </si>
  <si>
    <t>12/Nov/25 1:45 PM</t>
  </si>
  <si>
    <t>27/Nov/25 3:36 PM</t>
  </si>
  <si>
    <t>18/Nov/25 10:02 AM</t>
  </si>
  <si>
    <t>DEVRDADJ-68</t>
  </si>
  <si>
    <t>34035</t>
  </si>
  <si>
    <t>[QA] Test Execution (No-QA)</t>
  </si>
  <si>
    <t>11/Nov/25 11:25 AM</t>
  </si>
  <si>
    <t>17/Nov/25 2:46 PM</t>
  </si>
  <si>
    <t>DEVRDADJ-67</t>
  </si>
  <si>
    <t>34033</t>
  </si>
  <si>
    <t>11/Nov/25 11:24 AM</t>
  </si>
  <si>
    <t>17/Nov/25 2:44 PM</t>
  </si>
  <si>
    <t>DEVRDADJ-66</t>
  </si>
  <si>
    <t>34031</t>
  </si>
  <si>
    <t>[QA] Test Execution - Create cronjob to remove unused deeplink</t>
  </si>
  <si>
    <t>11/Nov/25 11:13 AM</t>
  </si>
  <si>
    <t>18/Nov/25 11:56 AM</t>
  </si>
  <si>
    <t>DEVRDADJ-65</t>
  </si>
  <si>
    <t>34029</t>
  </si>
  <si>
    <t>[QA] Test Execution - No-QA</t>
  </si>
  <si>
    <t>11/Nov/25 11:00 AM</t>
  </si>
  <si>
    <t>18/Nov/25 11:47 AM</t>
  </si>
  <si>
    <t>DEVRDECOM-160</t>
  </si>
  <si>
    <t>33794</t>
  </si>
  <si>
    <t>[DEV][RD][Eco][Ecommerce-Shopify] Enhance to support original &amp; Updated Shopify domain</t>
  </si>
  <si>
    <t>07/Nov/25 4:16 PM</t>
  </si>
  <si>
    <t>DEVRDECOM-159</t>
  </si>
  <si>
    <t>33793</t>
  </si>
  <si>
    <t>[DEV][RD][Eco][Ecommerce-Shopify] Enhance CronJob to support scalable</t>
  </si>
  <si>
    <t>07/Nov/25 4:14 PM</t>
  </si>
  <si>
    <t>10/Nov/25 12:00 AM</t>
  </si>
  <si>
    <t>26/Nov/25 11:40 AM</t>
  </si>
  <si>
    <t>DEVRDADJ-64</t>
  </si>
  <si>
    <t>33778</t>
  </si>
  <si>
    <t>[QA] Create Test Case - Integrate delete deeplink when product expired</t>
  </si>
  <si>
    <t>07/Nov/25 9:53 AM</t>
  </si>
  <si>
    <t>11/Nov/25 11:41 AM</t>
  </si>
  <si>
    <t>DEVRDADJ-63</t>
  </si>
  <si>
    <t>33776</t>
  </si>
  <si>
    <t>[QA] Create Test Case - Create cronjob to remove unused deeplink</t>
  </si>
  <si>
    <t>07/Nov/25 9:50 AM</t>
  </si>
  <si>
    <t>DEVRDADJ-62</t>
  </si>
  <si>
    <t>33774</t>
  </si>
  <si>
    <t>[QA] Create Test Case - Integrate error notification with Discord</t>
  </si>
  <si>
    <t>DEVRDADJ-61</t>
  </si>
  <si>
    <t>33772</t>
  </si>
  <si>
    <t>[QA] Create Test Case - Create new endpoint to delete deeplink</t>
  </si>
  <si>
    <t>07/Nov/25 9:49 AM</t>
  </si>
  <si>
    <t>11/Nov/25 10:59 AM</t>
  </si>
  <si>
    <t>DEVRDCT-303</t>
  </si>
  <si>
    <t>33734</t>
  </si>
  <si>
    <t>[QA] Test execution - No QA</t>
  </si>
  <si>
    <t>06/Nov/25 6:10 PM</t>
  </si>
  <si>
    <t>24/Nov/25 10:10 AM</t>
  </si>
  <si>
    <t>DEVRDCT-302</t>
  </si>
  <si>
    <t>33732</t>
  </si>
  <si>
    <t>[QA] Create test case collect Reward Catalog data for uploading to CleverTap</t>
  </si>
  <si>
    <t>06/Nov/25 6:09 PM</t>
  </si>
  <si>
    <t>14/Nov/25 9:59 AM</t>
  </si>
  <si>
    <t>DEVRDCT-301</t>
  </si>
  <si>
    <t>33730</t>
  </si>
  <si>
    <t>[QA] (Staging) Test execution API to upload the Catalog to CleverTap</t>
  </si>
  <si>
    <t>06/Nov/25 6:07 PM</t>
  </si>
  <si>
    <t>25/Nov/25 2:43 PM</t>
  </si>
  <si>
    <t>DEVRDCT-300</t>
  </si>
  <si>
    <t>33728</t>
  </si>
  <si>
    <t>[QA] Create test case API to upload the Catalog to CleverTap</t>
  </si>
  <si>
    <t>06/Nov/25 6:06 PM</t>
  </si>
  <si>
    <t>DEVRDCT-296</t>
  </si>
  <si>
    <t>33720</t>
  </si>
  <si>
    <t>[QA] (Staging) Test execution API for widget type = clevertab_native_display</t>
  </si>
  <si>
    <t>06/Nov/25 5:50 PM</t>
  </si>
  <si>
    <t>26/Nov/25 10:11 AM</t>
  </si>
  <si>
    <t>DEVRDCT-295</t>
  </si>
  <si>
    <t>33718</t>
  </si>
  <si>
    <t>[QA] Create test case Sections/Widgets APIs to support widget type = clevertab_native_display</t>
  </si>
  <si>
    <t>06/Nov/25 5:49 PM</t>
  </si>
  <si>
    <t>DEVRDCT-294</t>
  </si>
  <si>
    <t>33716</t>
  </si>
  <si>
    <t>[QA] (Staging) Test execution add Widget type = "CleverTap : Native display"</t>
  </si>
  <si>
    <t>06/Nov/25 5:41 PM</t>
  </si>
  <si>
    <t>DEVRDCT-293</t>
  </si>
  <si>
    <t>33714</t>
  </si>
  <si>
    <t>[QA] Create test case add Widget type = "CleverTap : Native display"</t>
  </si>
  <si>
    <t>06/Nov/25 5:40 PM</t>
  </si>
  <si>
    <t>RDTHANA-391</t>
  </si>
  <si>
    <t>33709</t>
  </si>
  <si>
    <t>[S3][Survey][Thank you][Incentive Point] when set survey Have Incentive Point, Step 4 not show format Thank you with intentive</t>
  </si>
  <si>
    <t>06/Nov/25 4:55 PM</t>
  </si>
  <si>
    <t>19/Nov/25 2:13 PM</t>
  </si>
  <si>
    <t>RDTHANA-378</t>
  </si>
  <si>
    <t>33707</t>
  </si>
  <si>
    <t>[S3][Survey][Survey list] Status NOT update after survey is expire</t>
  </si>
  <si>
    <t>06/Nov/25 4:15 PM</t>
  </si>
  <si>
    <t>19/Nov/25 2:12 PM</t>
  </si>
  <si>
    <t>DEVRDSUP-225</t>
  </si>
  <si>
    <t>33702</t>
  </si>
  <si>
    <t>[SUP-288][SUB] CS-20251100020461 บัตร 0880061308331 ไม่สามารถเติมเที่ยวเดินทางได้</t>
  </si>
  <si>
    <t>06/Nov/25 3:24 PM</t>
  </si>
  <si>
    <t>29/Nov/25 1:08 PM</t>
  </si>
  <si>
    <t>18/Nov/25 10:40 AM</t>
  </si>
  <si>
    <t>DEVRDADJ-60</t>
  </si>
  <si>
    <t>33631</t>
  </si>
  <si>
    <t>[DEV][RD][BOF] Add more parameter in adjust generate deeplink api</t>
  </si>
  <si>
    <t>05/Nov/25 2:49 PM</t>
  </si>
  <si>
    <t>DEVRDADJ-59</t>
  </si>
  <si>
    <t>33630</t>
  </si>
  <si>
    <t>[DEV][RD][LNF] Add more parameter in adjust generate deeplink API</t>
  </si>
  <si>
    <t>DEVRDCT-284</t>
  </si>
  <si>
    <t>33467</t>
  </si>
  <si>
    <t>04/Nov/25 5:47 PM</t>
  </si>
  <si>
    <t>RDTHANA-366</t>
  </si>
  <si>
    <t>33451</t>
  </si>
  <si>
    <t>[QA][Survey](Statging) Test execution change status flow to validate required fields</t>
  </si>
  <si>
    <t>04/Nov/25 3:25 PM</t>
  </si>
  <si>
    <t>25/Nov/25 2:33 PM</t>
  </si>
  <si>
    <t>RDTHANA-365</t>
  </si>
  <si>
    <t>33449</t>
  </si>
  <si>
    <t>[QA][Survey] Create test case change status flow to validate required fields</t>
  </si>
  <si>
    <t>04/Nov/25 3:24 PM</t>
  </si>
  <si>
    <t>25/Nov/25 2:32 PM</t>
  </si>
  <si>
    <t>RDTHANA-364</t>
  </si>
  <si>
    <t>33445</t>
  </si>
  <si>
    <t>[QA](Staging) Test execution Separate Welcome message pop up setting between application and website</t>
  </si>
  <si>
    <t>04/Nov/25 3:18 PM</t>
  </si>
  <si>
    <t>21/Nov/25 10:26 AM</t>
  </si>
  <si>
    <t>RDTHANA-363</t>
  </si>
  <si>
    <t>33443</t>
  </si>
  <si>
    <t>[QA] Create test case Separate Welcome message pop up setting between application and website</t>
  </si>
  <si>
    <t>19/Nov/25 1:21 AM</t>
  </si>
  <si>
    <t>RDTHANA-362</t>
  </si>
  <si>
    <t>33441</t>
  </si>
  <si>
    <t>[QA](STG+UAT) Test execution Survey Event CT</t>
  </si>
  <si>
    <t>04/Nov/25 3:16 PM</t>
  </si>
  <si>
    <t>27/Nov/25 5:05 PM</t>
  </si>
  <si>
    <t>RDTHANA-361</t>
  </si>
  <si>
    <t>33439</t>
  </si>
  <si>
    <t>[QA] Create Test case Survey Event CT</t>
  </si>
  <si>
    <t>13/Nov/25 2:25 PM</t>
  </si>
  <si>
    <t>RDTHANA-360</t>
  </si>
  <si>
    <t>33436</t>
  </si>
  <si>
    <t>[QA](Statging) Test execution HR Solution Widget type Services</t>
  </si>
  <si>
    <t>04/Nov/25 3:05 PM</t>
  </si>
  <si>
    <t>17/Nov/25 1:34 PM</t>
  </si>
  <si>
    <t>DEVRDSUP-216</t>
  </si>
  <si>
    <t>33434</t>
  </si>
  <si>
    <t>[DEVRDSUP-214] Fix the duplication creation flow.</t>
  </si>
  <si>
    <t>04/Nov/25 2:12 PM</t>
  </si>
  <si>
    <t>10/Nov/25 5:05 PM</t>
  </si>
  <si>
    <t>DEVRDSUP-215</t>
  </si>
  <si>
    <t>33432</t>
  </si>
  <si>
    <t>[DEVRDSUP-214] Clear duplicated BU allocation records.</t>
  </si>
  <si>
    <t>04/Nov/25 2:11 PM</t>
  </si>
  <si>
    <t>28/Nov/25 10:22 AM</t>
  </si>
  <si>
    <t>DEVRDSUP-214</t>
  </si>
  <si>
    <t>33430</t>
  </si>
  <si>
    <t>[SUP-277][BUG][HR-Solution][RD] If user had been inactive BU and change the BU active again. The BU Allocation has been auto re-create.</t>
  </si>
  <si>
    <t>04/Nov/25 12:01 PM</t>
  </si>
  <si>
    <t>19/Nov/25 10:30 AM</t>
  </si>
  <si>
    <t>17/Nov/25 3:55 PM</t>
  </si>
  <si>
    <t>26/Nov/25 8:12 AM</t>
  </si>
  <si>
    <t>DEVRDECOM-150</t>
  </si>
  <si>
    <t>33348</t>
  </si>
  <si>
    <t>[DEV][RD][Eco][Ecommerce-Shopify] Change Logout Behavior on Website (Shopify)</t>
  </si>
  <si>
    <t>03/Nov/25 9:21 AM</t>
  </si>
  <si>
    <t>13/Nov/25 12:00 AM</t>
  </si>
  <si>
    <t>DEVRDECOM-149</t>
  </si>
  <si>
    <t>33347</t>
  </si>
  <si>
    <t>[DEV][RD][Eco][DAS HAUS][Ecommerce-Shopify] New Sequence Login and Join Club Flow</t>
  </si>
  <si>
    <t>03/Nov/25 9:17 AM</t>
  </si>
  <si>
    <t>26/Nov/25 1:43 PM</t>
  </si>
  <si>
    <t>DEVRDADJ-57</t>
  </si>
  <si>
    <t>33343</t>
  </si>
  <si>
    <t>[DEV][RD][RRS] Integrate delete deeplink when product expired</t>
  </si>
  <si>
    <t>02/Nov/25 11:10 PM</t>
  </si>
  <si>
    <t>19/Nov/25 10:31 AM</t>
  </si>
  <si>
    <t>DEVRDADJ-56</t>
  </si>
  <si>
    <t>33342</t>
  </si>
  <si>
    <t>[DEV][RD][LNF] Create new endpoint to delete deeplink</t>
  </si>
  <si>
    <t>02/Nov/25 10:54 PM</t>
  </si>
  <si>
    <t>DEVRDADJ-55</t>
  </si>
  <si>
    <t>33338</t>
  </si>
  <si>
    <t>[DEV][RD][LNF] Integrate error notification with Discord</t>
  </si>
  <si>
    <t>02/Nov/25 2:59 PM</t>
  </si>
  <si>
    <t>DEVRDADJ-54</t>
  </si>
  <si>
    <t>33337</t>
  </si>
  <si>
    <t>[DEV][RD][LNF] Create cronjob to remove unused deeplink</t>
  </si>
  <si>
    <t>02/Nov/25 2:46 PM</t>
  </si>
  <si>
    <t>28/Nov/25 1:42 PM</t>
  </si>
  <si>
    <t>11/Nov/25 12:00 AM</t>
  </si>
  <si>
    <t>DEVRDCT-277</t>
  </si>
  <si>
    <t>33336</t>
  </si>
  <si>
    <t>[DEV][RD][RRS] Implement a function to collect Reward Catalog data for uploading to CleverTap</t>
  </si>
  <si>
    <t>02/Nov/25 8:55 AM</t>
  </si>
  <si>
    <t>27/Nov/25 5:02 PM</t>
  </si>
  <si>
    <t>DEVRDCT-276</t>
  </si>
  <si>
    <t>33335</t>
  </si>
  <si>
    <t>[DEV][RD][CT] Implement API to upload the Catalog to CleverTap</t>
  </si>
  <si>
    <t>02/Nov/25 8:50 AM</t>
  </si>
  <si>
    <t>20/Nov/25 8:49 AM</t>
  </si>
  <si>
    <t>28/Nov/25 10:28 AM</t>
  </si>
  <si>
    <t>DEVRDSUP-203</t>
  </si>
  <si>
    <t>33157</t>
  </si>
  <si>
    <t>[SUP-260][REM] Rewards Alert List - Going to out-of-stock items is not being sent, last alert mail was received on 24/10/2025.</t>
  </si>
  <si>
    <t>27/Oct/25 2:36 PM</t>
  </si>
  <si>
    <t>24/Nov/25 2:07 PM</t>
  </si>
  <si>
    <t>RDTHANA-344</t>
  </si>
  <si>
    <t>32939</t>
  </si>
  <si>
    <t>[DEV][RD][BFF] Enhance change condition for is_enable_opt_in flag</t>
  </si>
  <si>
    <t>21/Oct/25 5:45 PM</t>
  </si>
  <si>
    <t>18/Nov/25 12:28 PM</t>
  </si>
  <si>
    <t>22/Oct/25 12:00 AM</t>
  </si>
  <si>
    <t>RDTHANA-343</t>
  </si>
  <si>
    <t>32938</t>
  </si>
  <si>
    <t>[DEV][RD][Exclusive Store API] Enhance get club detail with BU setting</t>
  </si>
  <si>
    <t>21/Oct/25 5:28 PM</t>
  </si>
  <si>
    <t>18/Nov/25 11:43 AM</t>
  </si>
  <si>
    <t>RDTHANA-341</t>
  </si>
  <si>
    <t>32920</t>
  </si>
  <si>
    <t>[Dev][RD][BFF] Create an API to Get Clubs with filtering options</t>
  </si>
  <si>
    <t>21/Oct/25 4:00 PM</t>
  </si>
  <si>
    <t>18/Nov/25 11:38 AM</t>
  </si>
  <si>
    <t>24/Oct/25 12:00 AM</t>
  </si>
  <si>
    <t>RDTHANA-340</t>
  </si>
  <si>
    <t>32919</t>
  </si>
  <si>
    <t>[Dev][RD][EXS] Create an API to Get Clubs with filtering options</t>
  </si>
  <si>
    <t>18/Nov/25 11:44 AM</t>
  </si>
  <si>
    <t>exclusive-store-api</t>
  </si>
  <si>
    <t>RDTHANA-339</t>
  </si>
  <si>
    <t>32905</t>
  </si>
  <si>
    <t>21/Oct/25 1:43 PM</t>
  </si>
  <si>
    <t>RDTHANA-335</t>
  </si>
  <si>
    <t>32813</t>
  </si>
  <si>
    <t>[Dev][RD][BFF] Enhance Club Binding API to support popup display separately for app and web</t>
  </si>
  <si>
    <t>20/Oct/25 2:24 PM</t>
  </si>
  <si>
    <t>21/Nov/25 10:05 AM</t>
  </si>
  <si>
    <t>29/Oct/25 12:00 AM</t>
  </si>
  <si>
    <t>RDTHANA-333</t>
  </si>
  <si>
    <t>32661</t>
  </si>
  <si>
    <t>[DEV][RD][Exclusive Store API][ENH] Enhance BFF to Support Separated Application &amp; Web Settings in Welcome Message</t>
  </si>
  <si>
    <t>17/Oct/25 2:11 PM</t>
  </si>
  <si>
    <t>20/Nov/25 8:52 AM</t>
  </si>
  <si>
    <t>RDTHANA-332</t>
  </si>
  <si>
    <t>32659</t>
  </si>
  <si>
    <t>[DEV][RD][HRS][ENH] Enhance to separate Welcome message pop up setting between application and website</t>
  </si>
  <si>
    <t>17/Oct/25 12:04 PM</t>
  </si>
  <si>
    <t>28/Oct/25 12:00 AM</t>
  </si>
  <si>
    <t>DEVRDCT-265</t>
  </si>
  <si>
    <t>32640</t>
  </si>
  <si>
    <t>[Dev][RD][BFF] Enhance Sections/Widgets APIs to support a new widget type</t>
  </si>
  <si>
    <t>16/Oct/25 2:58 PM</t>
  </si>
  <si>
    <t>27/Nov/25 4:42 PM</t>
  </si>
  <si>
    <t>DEVRDCT-264</t>
  </si>
  <si>
    <t>32638</t>
  </si>
  <si>
    <t>[Dev][RD][CMS DB] Create migration schemas to support the new widget type</t>
  </si>
  <si>
    <t>16/Oct/25 2:57 PM</t>
  </si>
  <si>
    <t>26/Nov/25 10:20 AM</t>
  </si>
  <si>
    <t>20/Oct/25 12:00 AM</t>
  </si>
  <si>
    <t>cms-database</t>
  </si>
  <si>
    <t>DEVRDCT-263</t>
  </si>
  <si>
    <t>32637</t>
  </si>
  <si>
    <t>[Dev][RD][BOF] Enhance Widget to support "Native Display"</t>
  </si>
  <si>
    <t>16/Oct/25 2:56 PM</t>
  </si>
  <si>
    <t>24/Nov/25 11:50 AM</t>
  </si>
  <si>
    <t>DEVRDSUP-174</t>
  </si>
  <si>
    <t>32269</t>
  </si>
  <si>
    <t>[SUP-238][API] Catch-up subscription purchase report (publishPrice)</t>
  </si>
  <si>
    <t>14/Oct/25 4:14 PM</t>
  </si>
  <si>
    <t>24/Nov/25 3:08 PM</t>
  </si>
  <si>
    <t>07/Nov/25 12:00 AM</t>
  </si>
  <si>
    <t>RDTHANA-318</t>
  </si>
  <si>
    <t>32088</t>
  </si>
  <si>
    <t>[QA] Create Test Case - Enhance sorry page with get deeplink endpoint</t>
  </si>
  <si>
    <t>08/Oct/25 10:19 AM</t>
  </si>
  <si>
    <t>03/Nov/25 2:32 PM</t>
  </si>
  <si>
    <t>RDTHANA-317</t>
  </si>
  <si>
    <t>32072</t>
  </si>
  <si>
    <t>[Dev][RD][BOF] Improve change status flow to validate required fields</t>
  </si>
  <si>
    <t>07/Oct/25 3:16 PM</t>
  </si>
  <si>
    <t>14/Oct/25 12:00 AM</t>
  </si>
  <si>
    <t>[QA](Staging) Test execution sync initial RLP member to RR Line member</t>
  </si>
  <si>
    <t>21/Nov/25 10:57 AM</t>
  </si>
  <si>
    <t>RDTHANA-313</t>
  </si>
  <si>
    <t>32018</t>
  </si>
  <si>
    <t>[DEV][RD][BFF] Get club term and condition endpoint</t>
  </si>
  <si>
    <t>06/Oct/25 2:33 PM</t>
  </si>
  <si>
    <t>18/Nov/25 12:33 PM</t>
  </si>
  <si>
    <t>RDTHANA-312</t>
  </si>
  <si>
    <t>32017</t>
  </si>
  <si>
    <t>[DEV][RD][Exclusive API] Get club term and condition endpoint</t>
  </si>
  <si>
    <t>RDAPS-213</t>
  </si>
  <si>
    <t>31974</t>
  </si>
  <si>
    <t>[Dev][Rabbit connect] Remove Login SMS OTP on UAT for ease of testing and lower the SMS cost.</t>
  </si>
  <si>
    <t>04/Oct/25 4:25 PM</t>
  </si>
  <si>
    <t>25/Nov/25 4:24 PM</t>
  </si>
  <si>
    <t>sso-heimdall</t>
  </si>
  <si>
    <t>RDTHANA-311</t>
  </si>
  <si>
    <t>31957</t>
  </si>
  <si>
    <t>[DEV][RD][APH] Enhance sorry page with get deeplink endpoint</t>
  </si>
  <si>
    <t>03/Oct/25 5:11 PM</t>
  </si>
  <si>
    <t>28/Nov/25 1:49 PM</t>
  </si>
  <si>
    <t>25/Nov/25 2:44 PM</t>
  </si>
  <si>
    <t>26/Nov/25 8:11 AM</t>
  </si>
  <si>
    <t>RDTHANA-294</t>
  </si>
  <si>
    <t>31845</t>
  </si>
  <si>
    <t>[Dev][RD][BFF] Improve get sections contents api v2</t>
  </si>
  <si>
    <t>30/Sep/25 11:56 AM</t>
  </si>
  <si>
    <t>18/Nov/25 12:29 PM</t>
  </si>
  <si>
    <t>01/Oct/25 12:00 AM</t>
  </si>
  <si>
    <t>18/Nov/25 10:45 AM</t>
  </si>
  <si>
    <t>RDTHANA-268</t>
  </si>
  <si>
    <t>31545</t>
  </si>
  <si>
    <t>[Dev][RD][BOF] Disable mode when survey is expired</t>
  </si>
  <si>
    <t>23/Sep/25 3:28 PM</t>
  </si>
  <si>
    <t>24/Nov/25 10:44 AM</t>
  </si>
  <si>
    <t>17/Nov/25 10:54 AM</t>
  </si>
  <si>
    <t>RDTHANA-249</t>
  </si>
  <si>
    <t>31473</t>
  </si>
  <si>
    <t>[QA] Create Test Case View Survey List (FE&amp;BE)</t>
  </si>
  <si>
    <t>22/Sep/25 10:06 PM</t>
  </si>
  <si>
    <t>RDTHANA-240</t>
  </si>
  <si>
    <t>31431</t>
  </si>
  <si>
    <t>[DEV][RD][APH] Enhance survey html render support survey appearance "Email" tab (Issue point form)</t>
  </si>
  <si>
    <t>24/Nov/25 10:43 AM</t>
  </si>
  <si>
    <t>RDTHANA-239</t>
  </si>
  <si>
    <t>31430</t>
  </si>
  <si>
    <t>[DEV][RD][APH] Enhance survey html render support survey appearance "Survey Q&amp;A" tab</t>
  </si>
  <si>
    <t>DEVRDECOM-100</t>
  </si>
  <si>
    <t>31424</t>
  </si>
  <si>
    <t>[DEV][RD][Eco][Ecommerce-Shopify] Partial refund multiple time in the same order</t>
  </si>
  <si>
    <t>21/Sep/25 9:51 AM</t>
  </si>
  <si>
    <t>28/Nov/25 11:23 AM</t>
  </si>
  <si>
    <t>RDTHANA-232</t>
  </si>
  <si>
    <t>31360</t>
  </si>
  <si>
    <t>[DEV][RD][GATEWAY] Mapping get member club detail with internal API</t>
  </si>
  <si>
    <t>19/Sep/25 10:44 AM</t>
  </si>
  <si>
    <t>18/Nov/25 12:22 PM</t>
  </si>
  <si>
    <t>18/Nov/25 10:46 AM</t>
  </si>
  <si>
    <t>RDTHANA-229</t>
  </si>
  <si>
    <t>31332</t>
  </si>
  <si>
    <t>[DEV][RD][APH] Enhance survey available middleware</t>
  </si>
  <si>
    <t>18/Sep/25 4:23 PM</t>
  </si>
  <si>
    <t>RDTHANA-134</t>
  </si>
  <si>
    <t>30844</t>
  </si>
  <si>
    <t>[QA] Create Test Case Download Individual Survey Report (FE&amp;BE)</t>
  </si>
  <si>
    <t>09/Sep/25 11:30 AM</t>
  </si>
  <si>
    <t>RDTHANA-133</t>
  </si>
  <si>
    <t>30842</t>
  </si>
  <si>
    <t>[QA] Create Test Case View Survey Report (FE&amp;BE)</t>
  </si>
  <si>
    <t>05/Oct/25 2:50 PM</t>
  </si>
  <si>
    <t>RDTHANA-132</t>
  </si>
  <si>
    <t>30840</t>
  </si>
  <si>
    <t>[QA] Create Test Case Change survey status (FE&amp;BE)</t>
  </si>
  <si>
    <t>RDTHANA-131</t>
  </si>
  <si>
    <t>30838</t>
  </si>
  <si>
    <t>[QA] Test Execution Update survey Step 5: Survey Appearance (Thank You) (FE&amp;BE)</t>
  </si>
  <si>
    <t>09/Sep/25 11:29 AM</t>
  </si>
  <si>
    <t>24/Nov/25 10:22 AM</t>
  </si>
  <si>
    <t>RDTHANA-130</t>
  </si>
  <si>
    <t>30836</t>
  </si>
  <si>
    <t>[QA] Create Test Case Update survey Step 5: Survey Appearance (Thank You) (FE&amp;BE)</t>
  </si>
  <si>
    <t>RDTHANA-129</t>
  </si>
  <si>
    <t>30834</t>
  </si>
  <si>
    <t>[QA] Create Test Case Update survey Step 5: Survey Appearance (Input E-mail) (FE&amp;BE)</t>
  </si>
  <si>
    <t>RDTHANA-128</t>
  </si>
  <si>
    <t>30832</t>
  </si>
  <si>
    <t>[QA] Create Test Case [Dev][RD][BOF] Update survey step5.2(FE&amp;BE)</t>
  </si>
  <si>
    <t>25/Nov/25 10:17 AM</t>
  </si>
  <si>
    <t>RDTHANA-127</t>
  </si>
  <si>
    <t>30830</t>
  </si>
  <si>
    <t>[QA] Create Test Case Update survey step5.1(FE&amp;BE)</t>
  </si>
  <si>
    <t>09/Sep/25 11:28 AM</t>
  </si>
  <si>
    <t>RDTHANA-125</t>
  </si>
  <si>
    <t>30826</t>
  </si>
  <si>
    <t>[QA] Create Test Case Update survey step4.2(FE&amp;BE)</t>
  </si>
  <si>
    <t>RDTHANA-124</t>
  </si>
  <si>
    <t>30824</t>
  </si>
  <si>
    <t>[QA] Create Test Case Update survey step4.1(FE&amp;BE)</t>
  </si>
  <si>
    <t>09/Sep/25 11:27 AM</t>
  </si>
  <si>
    <t>RDTHANA-123</t>
  </si>
  <si>
    <t>30822</t>
  </si>
  <si>
    <t>[QA] Create Test Case Update survey step3(FE&amp;BE)</t>
  </si>
  <si>
    <t>RDTHANA-122</t>
  </si>
  <si>
    <t>30820</t>
  </si>
  <si>
    <t>[QA] Create Test Case Update survey step2(FE&amp;BE)</t>
  </si>
  <si>
    <t>09/Sep/25 11:26 AM</t>
  </si>
  <si>
    <t>RDTHANA-121</t>
  </si>
  <si>
    <t>30818</t>
  </si>
  <si>
    <t>[QA] Create Test Case Update survey step1(FE&amp;BE)</t>
  </si>
  <si>
    <t>RDTHANA-120</t>
  </si>
  <si>
    <t>30816</t>
  </si>
  <si>
    <t>[QA] Create Test Case Create survey (FE&amp;BE)</t>
  </si>
  <si>
    <t>09/Sep/25 11:25 AM</t>
  </si>
  <si>
    <t>RDTHANA-119</t>
  </si>
  <si>
    <t>30814</t>
  </si>
  <si>
    <t>09/Sep/25 11:24 AM</t>
  </si>
  <si>
    <t>18/Nov/25 11:46 AM</t>
  </si>
  <si>
    <t>[Dev][Thana City] sprint 6</t>
  </si>
  <si>
    <t>[Dev][RD][Thana] Sprint 6</t>
  </si>
  <si>
    <t>RDTHANA-115</t>
  </si>
  <si>
    <t>30806</t>
  </si>
  <si>
    <t>[QA] Create Test Case Widget Feature: Add 'Service' Type (RR backoffice)</t>
  </si>
  <si>
    <t>09/Sep/25 11:22 AM</t>
  </si>
  <si>
    <t>10/Nov/25 5:00 PM</t>
  </si>
  <si>
    <t>RDTHANA-107</t>
  </si>
  <si>
    <t>30691</t>
  </si>
  <si>
    <t>[Dev][RD][APH] Cronjob update survey to expired</t>
  </si>
  <si>
    <t>04/Sep/25 4:56 PM</t>
  </si>
  <si>
    <t>RDTHANA-105</t>
  </si>
  <si>
    <t>30687</t>
  </si>
  <si>
    <t>[Dev][RD][APH][CT] CleverTap Survey Event</t>
  </si>
  <si>
    <t>04/Sep/25 3:56 PM</t>
  </si>
  <si>
    <t>28/Nov/25 10:24 AM</t>
  </si>
  <si>
    <t>RDTHANA-88</t>
  </si>
  <si>
    <t>30620</t>
  </si>
  <si>
    <t>[Dev][RD][Widget][BOF] Enhance Widget Feature: Add 'Service' Type</t>
  </si>
  <si>
    <t>02/Sep/25 8:56 PM</t>
  </si>
  <si>
    <t>21/Nov/25 12:32 AM</t>
  </si>
  <si>
    <t>RDTHANA-86</t>
  </si>
  <si>
    <t>30618</t>
  </si>
  <si>
    <t>[Dev][RD][BOF] Update survey Step 5: Survey Appearance (Thank You) (FE&amp;BE)</t>
  </si>
  <si>
    <t>02/Sep/25 8:44 PM</t>
  </si>
  <si>
    <t>15/Sep/25 12:00 AM</t>
  </si>
  <si>
    <t>RDTHANA-81</t>
  </si>
  <si>
    <t>30606</t>
  </si>
  <si>
    <t>[Dev][RD][BOF] Change survey status (FE&amp;BE)</t>
  </si>
  <si>
    <t>02/Sep/25 3:26 PM</t>
  </si>
  <si>
    <t>24/Nov/25 10:12 AM</t>
  </si>
  <si>
    <t>16/Sep/25 12:00 AM</t>
  </si>
  <si>
    <t>RDTHANA-80</t>
  </si>
  <si>
    <t>30604</t>
  </si>
  <si>
    <t>[Dev][RD][BOF] Update survey Step 5: Survey Appearance (Input E-mail) (FE&amp;BE)</t>
  </si>
  <si>
    <t>02/Sep/25 3:25 PM</t>
  </si>
  <si>
    <t>RDTHANA-79</t>
  </si>
  <si>
    <t>30602</t>
  </si>
  <si>
    <t>[Dev][RD][BOF] Update survey step5.2(FE&amp;BE)</t>
  </si>
  <si>
    <t>02/Sep/25 3:24 PM</t>
  </si>
  <si>
    <t>12/Sep/25 12:00 AM</t>
  </si>
  <si>
    <t>RDTHANA-74</t>
  </si>
  <si>
    <t>30366</t>
  </si>
  <si>
    <t>[Dev][RD][BOF] Update survey step4.2(FE&amp;BE)</t>
  </si>
  <si>
    <t>26/Aug/25 7:15 PM</t>
  </si>
  <si>
    <t>RDTHANA-73</t>
  </si>
  <si>
    <t>30364</t>
  </si>
  <si>
    <t>[Dev][RD][BOF] Download Individual Survey Report (FE&amp;BE)</t>
  </si>
  <si>
    <t>18/Sep/25 12:00 AM</t>
  </si>
  <si>
    <t>RDTHANA-72</t>
  </si>
  <si>
    <t>30362</t>
  </si>
  <si>
    <t>[Dev][RD][BOF] Update survey step5.1(FE&amp;BE)</t>
  </si>
  <si>
    <t>RDTHANA-71</t>
  </si>
  <si>
    <t>30360</t>
  </si>
  <si>
    <t>[Dev][RD][BOF] Update survey step4.1(FE&amp;BE)</t>
  </si>
  <si>
    <t>RDTHANA-70</t>
  </si>
  <si>
    <t>30358</t>
  </si>
  <si>
    <t>[Dev][RD][BOF] Update survey step3(FE&amp;BE)</t>
  </si>
  <si>
    <t>26/Aug/25 7:14 PM</t>
  </si>
  <si>
    <t>RDTHANA-69</t>
  </si>
  <si>
    <t>30356</t>
  </si>
  <si>
    <t>[Dev][RD][BOF] Update survey step2(FE&amp;BE)</t>
  </si>
  <si>
    <t>26/Aug/25 7:09 PM</t>
  </si>
  <si>
    <t>RDTHANA-68</t>
  </si>
  <si>
    <t>30354</t>
  </si>
  <si>
    <t>[Dev][RD][BOF] View Survey Report (FE&amp;BE)</t>
  </si>
  <si>
    <t>17/Sep/25 12:00 AM</t>
  </si>
  <si>
    <t>RDTHANA-67</t>
  </si>
  <si>
    <t>30352</t>
  </si>
  <si>
    <t>[Dev][RD][BOF] View Survey List (FE&amp;BE)</t>
  </si>
  <si>
    <t>RDTHANA-66</t>
  </si>
  <si>
    <t>30350</t>
  </si>
  <si>
    <t>[Dev][RD][BOF] Update survey step1(FE&amp;BE)</t>
  </si>
  <si>
    <t>RDTHANA-65</t>
  </si>
  <si>
    <t>30348</t>
  </si>
  <si>
    <t>[Dev][RD][BOF] Create survey (FE&amp;BE)</t>
  </si>
  <si>
    <t>26/Aug/25 7:08 PM</t>
  </si>
  <si>
    <t>RDTHANA-43</t>
  </si>
  <si>
    <t>30086</t>
  </si>
  <si>
    <t>[DEV][RD][DasHaus][BFF] Verify the API to validate matching account</t>
  </si>
  <si>
    <t>22/Aug/25 6:12 AM</t>
  </si>
  <si>
    <t>RDAPS-138</t>
  </si>
  <si>
    <t>29216</t>
  </si>
  <si>
    <t>[Dev][RD][PROD] Data migration for existing rewards</t>
  </si>
  <si>
    <t>04/Aug/25 4:00 PM</t>
  </si>
  <si>
    <t>24/Nov/25 11:12 PM</t>
  </si>
  <si>
    <t>DEVRDCT-143</t>
  </si>
  <si>
    <t>28765</t>
  </si>
  <si>
    <t>[Dev][RD] Load Test Performance for Webhook Push Coupons API</t>
  </si>
  <si>
    <t>24/Jul/25 8:39 PM</t>
  </si>
  <si>
    <t>3 ครั้ง 
1.  4 คน
2.  2 คน
3.  3 คน</t>
  </si>
  <si>
    <t>Sprint 10</t>
  </si>
  <si>
    <t>14/Nov/25 4:01 PM</t>
  </si>
  <si>
    <t>[QA] Test Execution - Integrate delete deeplink when product expired</t>
  </si>
  <si>
    <t>[QA] Test Execution - Integrate error notification with Discord</t>
  </si>
  <si>
    <t>[QA] Test Execution - Create new endpoint to delete deeplink</t>
  </si>
  <si>
    <t>DEVRDECOM-164</t>
  </si>
  <si>
    <t>33845</t>
  </si>
  <si>
    <t>10/Nov/25 9:50 AM</t>
  </si>
  <si>
    <t>DEVRDECOM-163</t>
  </si>
  <si>
    <t>33843</t>
  </si>
  <si>
    <t>DEVRDECOM-162</t>
  </si>
  <si>
    <t>33841</t>
  </si>
  <si>
    <t>10/Nov/25 9:49 AM</t>
  </si>
  <si>
    <t>DEVRDECOM-161</t>
  </si>
  <si>
    <t>33839</t>
  </si>
  <si>
    <t>RDTHANA-381</t>
  </si>
  <si>
    <t>33795</t>
  </si>
  <si>
    <t>[S4][Widget][Type Service][Step2] Add services list shows other status, not only active</t>
  </si>
  <si>
    <t>07/Nov/25 4:42 PM</t>
  </si>
  <si>
    <t>12/Nov/25 12:10 PM</t>
  </si>
  <si>
    <t>12/Nov/25 1:43 PM</t>
  </si>
  <si>
    <t>DEVRDCT-304</t>
  </si>
  <si>
    <t>33790</t>
  </si>
  <si>
    <t>[QA] Create test case API unbind endpoint support line_pay</t>
  </si>
  <si>
    <t>07/Nov/25 1:24 PM</t>
  </si>
  <si>
    <t>RDTHANA-380</t>
  </si>
  <si>
    <t>33783</t>
  </si>
  <si>
    <t>07/Nov/25 10:15 AM</t>
  </si>
  <si>
    <t>11/Nov/25 1:50 PM</t>
  </si>
  <si>
    <t>RDTHANA-379</t>
  </si>
  <si>
    <t>33781</t>
  </si>
  <si>
    <t>11/Nov/25 1:41 PM</t>
  </si>
  <si>
    <t>[QA] (Staging) Test execution collect Reward Catalog data for uploading to CleverTap</t>
  </si>
  <si>
    <t>DEVRDCT-299</t>
  </si>
  <si>
    <t>33726</t>
  </si>
  <si>
    <t>[QA] (Staging) Test execution API unbind endpoint support line_pay</t>
  </si>
  <si>
    <t>06/Nov/25 6:01 PM</t>
  </si>
  <si>
    <t>06/Nov/25 5:57 PM</t>
  </si>
  <si>
    <t>DEVRDCT-292</t>
  </si>
  <si>
    <t>33712</t>
  </si>
  <si>
    <t>[QA](Staging) Test execution SSO-User binding line pay</t>
  </si>
  <si>
    <t>06/Nov/25 5:38 PM</t>
  </si>
  <si>
    <t>11/Nov/25 10:50 AM</t>
  </si>
  <si>
    <t>DEVRDCT-291</t>
  </si>
  <si>
    <t>07/Nov/25 10:43 AM</t>
  </si>
  <si>
    <t>07/Nov/25 4:43 PM</t>
  </si>
  <si>
    <t>10/Nov/25 4:12 PM</t>
  </si>
  <si>
    <t>RDTHANA-376</t>
  </si>
  <si>
    <t>33689</t>
  </si>
  <si>
    <t>[S4][BOF][Section][Widget setting] Add widget warning case wording mismatchs from Figma</t>
  </si>
  <si>
    <t>06/Nov/25 10:49 AM</t>
  </si>
  <si>
    <t>12/Nov/25 10:44 AM</t>
  </si>
  <si>
    <t>DEVRDECOM-158</t>
  </si>
  <si>
    <t>33687</t>
  </si>
  <si>
    <t>[DEV][RD][Eco][Shopify-Theme] Custom theme – Show First &amp; Last Name on Account page</t>
  </si>
  <si>
    <t>06/Nov/25 10:02 AM</t>
  </si>
  <si>
    <t>11/Nov/25 1:44 PM</t>
  </si>
  <si>
    <t>DEVRDECOM-157</t>
  </si>
  <si>
    <t>33679</t>
  </si>
  <si>
    <t>[DEV][RD][Eco][Ecommerce-Shopify] Update Firstname / Lastname (Set as default in shopify) to database</t>
  </si>
  <si>
    <t>06/Nov/25 9:19 AM</t>
  </si>
  <si>
    <t>14/Nov/25 9:25 AM</t>
  </si>
  <si>
    <t>RDTHANA-375</t>
  </si>
  <si>
    <t>33646</t>
  </si>
  <si>
    <t>[S4][BOF][Section][Screen location setting] "Submit" button of add widget modal is not dimmed when incomplete form</t>
  </si>
  <si>
    <t>06/Nov/25 1:08 AM</t>
  </si>
  <si>
    <t>12/Nov/25 10:51 AM</t>
  </si>
  <si>
    <t>RDTHANA-374</t>
  </si>
  <si>
    <t>33644</t>
  </si>
  <si>
    <t>[S4][BOF][Section][Screen location setting] Add screen successful toast wording not matchs the Figma</t>
  </si>
  <si>
    <t>06/Nov/25 12:26 AM</t>
  </si>
  <si>
    <t>12/Nov/25 11:00 AM</t>
  </si>
  <si>
    <t>RDTHANA-373</t>
  </si>
  <si>
    <t>33643</t>
  </si>
  <si>
    <t>[S4][BOF][Section][Screen location setting] Dropdown list does not sorted by status or alphabet</t>
  </si>
  <si>
    <t>05/Nov/25 11:54 PM</t>
  </si>
  <si>
    <t>12/Nov/25 11:24 AM</t>
  </si>
  <si>
    <t>RDTHANA-372</t>
  </si>
  <si>
    <t>33640</t>
  </si>
  <si>
    <t>[S4][BOF][Section][Screen location setting] Create/Edit section step2 does not has {Internal name} on section header</t>
  </si>
  <si>
    <t>05/Nov/25 9:56 PM</t>
  </si>
  <si>
    <t>RDTHANA-371</t>
  </si>
  <si>
    <t>33639</t>
  </si>
  <si>
    <t>[S4][RR Backoffice][Surveys] Default color code as not show same Figma</t>
  </si>
  <si>
    <t>05/Nov/25 5:55 PM</t>
  </si>
  <si>
    <t>07/Nov/25 1:12 PM</t>
  </si>
  <si>
    <t>RDTHANA-370</t>
  </si>
  <si>
    <t>33638</t>
  </si>
  <si>
    <t>[S4][Backoffice][Widget][UI] Submit button not dimmed and club not show status</t>
  </si>
  <si>
    <t>05/Nov/25 5:20 PM</t>
  </si>
  <si>
    <t>11/Nov/25 10:38 AM</t>
  </si>
  <si>
    <t>14/Nov/25 2:13 PM</t>
  </si>
  <si>
    <t>DEVRDECOM-156</t>
  </si>
  <si>
    <t>33619</t>
  </si>
  <si>
    <t>05/Nov/25 1:18 PM</t>
  </si>
  <si>
    <t>10/Nov/25 9:45 AM</t>
  </si>
  <si>
    <t>DEVRDECOM-155</t>
  </si>
  <si>
    <t>33617</t>
  </si>
  <si>
    <t>05/Nov/25 3:24 PM</t>
  </si>
  <si>
    <t>DEVRDECOM-154</t>
  </si>
  <si>
    <t>33615</t>
  </si>
  <si>
    <t>05/Nov/25 1:17 PM</t>
  </si>
  <si>
    <t>10/Nov/25 9:44 AM</t>
  </si>
  <si>
    <t>DEVRDECOM-153</t>
  </si>
  <si>
    <t>33613</t>
  </si>
  <si>
    <t>DEVRDECOM-152</t>
  </si>
  <si>
    <t>33514</t>
  </si>
  <si>
    <t>[DEV][RD][Eco][Webhook] Setup webhook and mapping API Gateway</t>
  </si>
  <si>
    <t>05/Nov/25 8:54 AM</t>
  </si>
  <si>
    <t>05/Nov/25 11:44 AM</t>
  </si>
  <si>
    <t>DEVRDCT-282</t>
  </si>
  <si>
    <t>33463</t>
  </si>
  <si>
    <t>[QA](Staging) Test execution API binding endpoint support line_pay</t>
  </si>
  <si>
    <t>04/Nov/25 5:27 PM</t>
  </si>
  <si>
    <t>07/Nov/25 1:25 PM</t>
  </si>
  <si>
    <t>04/Nov/25 3:21 PM</t>
  </si>
  <si>
    <t>04/Nov/25 3:36 PM</t>
  </si>
  <si>
    <t>07/Nov/25 4:46 PM</t>
  </si>
  <si>
    <t>06/Nov/25 9:44 AM</t>
  </si>
  <si>
    <t>11/Nov/25 3:52 PM</t>
  </si>
  <si>
    <t>12/Nov/25 10:03 AM</t>
  </si>
  <si>
    <t>DEVRDECOM-148</t>
  </si>
  <si>
    <t>33346</t>
  </si>
  <si>
    <t>[DEV][RD][Eco][Ecommerce-Shopify] Auto login - not replace updated name in Shopify</t>
  </si>
  <si>
    <t>03/Nov/25 9:15 AM</t>
  </si>
  <si>
    <t>DEVRDECOM-147</t>
  </si>
  <si>
    <t>33345</t>
  </si>
  <si>
    <t>[DEV][RD][Eco][Ecommerce-Shopify] Auto login - Do not send address to shopify</t>
  </si>
  <si>
    <t>03/Nov/25 9:06 AM</t>
  </si>
  <si>
    <t>06/Nov/25 10:17 AM</t>
  </si>
  <si>
    <t>DEVRDECOM-146</t>
  </si>
  <si>
    <t>33344</t>
  </si>
  <si>
    <t>[DEV][RD]Eco][Ecommerce-Shopify] Auto login - If SSO user don't have name send to Shopify as blank</t>
  </si>
  <si>
    <t>03/Nov/25 9:04 AM</t>
  </si>
  <si>
    <t>14/Nov/25 4:03 PM</t>
  </si>
  <si>
    <t>10/Nov/25 2:56 PM</t>
  </si>
  <si>
    <t>05/Nov/25 1:59 PM</t>
  </si>
  <si>
    <t>DEVRDCT-270</t>
  </si>
  <si>
    <t>32786</t>
  </si>
  <si>
    <t>[DEV][RD][SSO-User] Enhance platform unbind endpoint support line_pay</t>
  </si>
  <si>
    <t>20/Oct/25 9:52 AM</t>
  </si>
  <si>
    <t>14/Nov/25 1:45 PM</t>
  </si>
  <si>
    <t>DEVRDCT-262</t>
  </si>
  <si>
    <t>32567</t>
  </si>
  <si>
    <t>[DEV][RD][USR] Enhance check duplicate line id for binding line pay</t>
  </si>
  <si>
    <t>16/Oct/25 8:30 AM</t>
  </si>
  <si>
    <t>RDTHANA-329</t>
  </si>
  <si>
    <t>32558</t>
  </si>
  <si>
    <t>[QA](Staging) Test execution widget type: Club - Benefits &amp; Information</t>
  </si>
  <si>
    <t>15/Oct/25 3:44 PM</t>
  </si>
  <si>
    <t>07/Nov/25 9:52 AM</t>
  </si>
  <si>
    <t>RDTHANA-328</t>
  </si>
  <si>
    <t>32555</t>
  </si>
  <si>
    <t>[QA] (Staging) Test execution Section Feature: Add 'Club - Benefits &amp; Info' Location</t>
  </si>
  <si>
    <t>15/Oct/25 3:32 PM</t>
  </si>
  <si>
    <t>06/Nov/25 5:10 PM</t>
  </si>
  <si>
    <t>10/Nov/25 6:18 PM</t>
  </si>
  <si>
    <t>DEVRDECOM-134</t>
  </si>
  <si>
    <t>32148</t>
  </si>
  <si>
    <t>09/Oct/25 11:37 AM</t>
  </si>
  <si>
    <t>03/Nov/25 1:35 PM</t>
  </si>
  <si>
    <t>DEVRDECOM-133</t>
  </si>
  <si>
    <t>32146</t>
  </si>
  <si>
    <t>17/Oct/25 6:00 PM</t>
  </si>
  <si>
    <t>DEVRDECOM-132</t>
  </si>
  <si>
    <t>32144</t>
  </si>
  <si>
    <t>09/Oct/25 11:36 AM</t>
  </si>
  <si>
    <t>04/Nov/25 2:17 PM</t>
  </si>
  <si>
    <t>DEVRDECOM-131</t>
  </si>
  <si>
    <t>32142</t>
  </si>
  <si>
    <t>17/Oct/25 6:01 PM</t>
  </si>
  <si>
    <t>DEVRDECOM-130</t>
  </si>
  <si>
    <t>32140</t>
  </si>
  <si>
    <t>13/Nov/25 12:56 PM</t>
  </si>
  <si>
    <t>DEVRDECOM-129</t>
  </si>
  <si>
    <t>32138</t>
  </si>
  <si>
    <t>21/Oct/25 2:13 PM</t>
  </si>
  <si>
    <t>DEVRDECOM-128</t>
  </si>
  <si>
    <t>32136</t>
  </si>
  <si>
    <t>03/Nov/25 8:58 PM</t>
  </si>
  <si>
    <t>DEVRDECOM-127</t>
  </si>
  <si>
    <t>32134</t>
  </si>
  <si>
    <t>DEVRDCT-256</t>
  </si>
  <si>
    <t>32069</t>
  </si>
  <si>
    <t>[QA] Create test case API binding endpoint support line_pay</t>
  </si>
  <si>
    <t>07/Oct/25 2:26 PM</t>
  </si>
  <si>
    <t>04/Nov/25 5:45 PM</t>
  </si>
  <si>
    <t>04/Nov/25 5:52 PM</t>
  </si>
  <si>
    <t>10/Nov/25 4:22 PM</t>
  </si>
  <si>
    <t>DEVRDECOM-122</t>
  </si>
  <si>
    <t>31988</t>
  </si>
  <si>
    <t>[DEV][RD][BOF][Widget] Enhance widget asset for service widget</t>
  </si>
  <si>
    <t>05/Oct/25 10:46 PM</t>
  </si>
  <si>
    <t>09/Oct/25 12:00 AM</t>
  </si>
  <si>
    <t>DEVRDECOM-121</t>
  </si>
  <si>
    <t>31987</t>
  </si>
  <si>
    <t>[DEV][RD][BOF][Service] Enhance create/edit service general form support upload JPG file and setup shadow color</t>
  </si>
  <si>
    <t>05/Oct/25 10:44 PM</t>
  </si>
  <si>
    <t>DEVRDECOM-120</t>
  </si>
  <si>
    <t>31986</t>
  </si>
  <si>
    <t>[DEV][RD][CMS-API] Migration for support shoping page</t>
  </si>
  <si>
    <t>05/Oct/25 10:43 PM</t>
  </si>
  <si>
    <t>14/Nov/25 4:16 PM</t>
  </si>
  <si>
    <t>06/Oct/25 12:00 AM</t>
  </si>
  <si>
    <t>10/Nov/25 2:10 PM</t>
  </si>
  <si>
    <t>DEVRDECOM-117</t>
  </si>
  <si>
    <t>31949</t>
  </si>
  <si>
    <t>[Dev][RD][BOF] Enhance Section Menu (FE&amp;BE)</t>
  </si>
  <si>
    <t>03/Oct/25 3:49 PM</t>
  </si>
  <si>
    <t>DEVRDECOM-113</t>
  </si>
  <si>
    <t>31942</t>
  </si>
  <si>
    <t>[Dev][RD][BFF] Enhance get sections to support new location</t>
  </si>
  <si>
    <t>03/Oct/25 1:56 PM</t>
  </si>
  <si>
    <t>13/Nov/25 3:56 PM</t>
  </si>
  <si>
    <t>DEVRDCT-242</t>
  </si>
  <si>
    <t>31922</t>
  </si>
  <si>
    <t>[DEV][RD][SSO-User] Enhance platform binding endpoint support line_pay</t>
  </si>
  <si>
    <t>02/Oct/25 5:17 PM</t>
  </si>
  <si>
    <t>05/Nov/25 12:46 PM</t>
  </si>
  <si>
    <t>03/Nov/25 3:54 PM</t>
  </si>
  <si>
    <t>04/Oct/25 12:35 PM</t>
  </si>
  <si>
    <t>12/Nov/25 9:32 AM</t>
  </si>
  <si>
    <t>RDTHANA-236</t>
  </si>
  <si>
    <t>31426</t>
  </si>
  <si>
    <t>[Dev][RD][BOF] Rename all related feature and field from ‘Exclusive Store’ ‘Exclusive Partner Store’ to ‘Club - Rewards’</t>
  </si>
  <si>
    <t>21/Sep/25 2:16 PM</t>
  </si>
  <si>
    <t>10/Nov/25 1:27 PM</t>
  </si>
  <si>
    <t>05/Oct/25 3:00 PM</t>
  </si>
  <si>
    <t>04/Oct/25 12:24 PM</t>
  </si>
  <si>
    <t>[QA]</t>
  </si>
  <si>
    <t>21/Sep/25 3:00 PM</t>
  </si>
  <si>
    <t>04/Oct/25 12:32 PM</t>
  </si>
  <si>
    <t>21/Sep/25 3:01 PM</t>
  </si>
  <si>
    <t>21/Sep/25 1:58 PM</t>
  </si>
  <si>
    <t>21/Sep/25 1:55 PM</t>
  </si>
  <si>
    <t>RDTHANA-126</t>
  </si>
  <si>
    <t>30828</t>
  </si>
  <si>
    <t>21/Sep/25 12:27 PM</t>
  </si>
  <si>
    <t>RDTHANA-116</t>
  </si>
  <si>
    <t>30808</t>
  </si>
  <si>
    <t>[QA] Create Test Case 'Club - Benefits &amp; Info' Location</t>
  </si>
  <si>
    <t>15/Oct/25 3:36 PM</t>
  </si>
  <si>
    <t>RDTHANA-114</t>
  </si>
  <si>
    <t>30804</t>
  </si>
  <si>
    <t>[QA] Create Test Case  Widget Type 'Club – Benefits &amp; Information'</t>
  </si>
  <si>
    <t>09/Sep/25 11:21 AM</t>
  </si>
  <si>
    <t>15/Oct/25 3:45 PM</t>
  </si>
  <si>
    <t>13/Nov/25 2:44 PM</t>
  </si>
  <si>
    <t>DEVRDADJ-34</t>
  </si>
  <si>
    <t>30635</t>
  </si>
  <si>
    <t>MAID registration</t>
  </si>
  <si>
    <t>03/Sep/25 4:08 PM</t>
  </si>
  <si>
    <t>04/Nov/25 9:37 AM</t>
  </si>
  <si>
    <t>[Dev][RDAdjust] Sprint 10</t>
  </si>
  <si>
    <t>RDTHANA-89</t>
  </si>
  <si>
    <t>30621</t>
  </si>
  <si>
    <t>[Dev][RD][Section][BOF] Enhance Section Feature: Add 'Club - Benefits &amp; Info' Location</t>
  </si>
  <si>
    <t>10/Nov/25 5:10 PM</t>
  </si>
  <si>
    <t>RDTHANA-87</t>
  </si>
  <si>
    <t>30619</t>
  </si>
  <si>
    <t>[Dev][RD][Widget][BOF] Enhance Widget Feature: Add 'Club – Benefits &amp; Information' Type</t>
  </si>
  <si>
    <t>10/Sep/25 12:00 AM</t>
  </si>
  <si>
    <t>DEVRDADJ-25</t>
  </si>
  <si>
    <t>30110</t>
  </si>
  <si>
    <t>[S2][Adjust] When change internal name URL not update and can't open</t>
  </si>
  <si>
    <t>22/Aug/25 11:12 AM</t>
  </si>
  <si>
    <t>13/Nov/25 3:55 PM</t>
  </si>
  <si>
    <t>RDTHANA-16</t>
  </si>
  <si>
    <t>29942</t>
  </si>
  <si>
    <t>[Dev][RD][Section][BFF] Enhance Sections API</t>
  </si>
  <si>
    <t>19/Aug/25 7:44 PM</t>
  </si>
  <si>
    <t>11/Nov/25 2:16 PM</t>
  </si>
  <si>
    <t>RDTHANA-15</t>
  </si>
  <si>
    <t>29940</t>
  </si>
  <si>
    <t>[Dev][RD][Widget][CMS API] Enhance Widget API</t>
  </si>
  <si>
    <t>19/Aug/25 7:41 PM</t>
  </si>
  <si>
    <t>RDTHANA-14</t>
  </si>
  <si>
    <t>29938</t>
  </si>
  <si>
    <t>[Dev][RD][Section][CMS API] Enhance Sections API</t>
  </si>
  <si>
    <t>19/Aug/25 7:37 PM</t>
  </si>
  <si>
    <t>5 ครั้ง 
1.  1 คน
2.  2 คน
3.  4 คน
4.  2 คน
5.  1 คน</t>
  </si>
  <si>
    <t>Sprint 9</t>
  </si>
  <si>
    <t>RDAPS-253</t>
  </si>
  <si>
    <t>33277</t>
  </si>
  <si>
    <t>[DEV][RD][HOP IMPROVEMENT] Remove "Unicorn Exclusive store" setting from Visionary rewards in 1st November</t>
  </si>
  <si>
    <t>31/Oct/25 1:00 PM</t>
  </si>
  <si>
    <t>03/Nov/25 10:06 AM</t>
  </si>
  <si>
    <t>RDAPS-252</t>
  </si>
  <si>
    <t>33276</t>
  </si>
  <si>
    <t>[DEV][RD][HOP IMPROVEMENT] Export all active users to from Unicorn Hop Club and Visionary Hop club</t>
  </si>
  <si>
    <t>31/Oct/25 12:57 PM</t>
  </si>
  <si>
    <t>31/Oct/25 1:03 PM</t>
  </si>
  <si>
    <t>31/Oct/25 12:49 PM</t>
  </si>
  <si>
    <t>RDAPS-249</t>
  </si>
  <si>
    <t>33260</t>
  </si>
  <si>
    <t>[QA] Test Retesting QR join club (STAGING)</t>
  </si>
  <si>
    <t>30/Oct/25 3:45 PM</t>
  </si>
  <si>
    <t>30/Oct/25 4:12 PM</t>
  </si>
  <si>
    <t>RDAPS-248</t>
  </si>
  <si>
    <t>33251</t>
  </si>
  <si>
    <t>[Dev][RD][SA] Analyze &amp; split dev tasks for Sprint11</t>
  </si>
  <si>
    <t>30/Oct/25 2:33 PM</t>
  </si>
  <si>
    <t>30/Oct/25 2:34 PM</t>
  </si>
  <si>
    <t>RDAPS-244</t>
  </si>
  <si>
    <t>33245</t>
  </si>
  <si>
    <t>[DEV][RD][PROD] Enhance QR code use long link instead of deeplink</t>
  </si>
  <si>
    <t>30/Oct/25 1:09 PM</t>
  </si>
  <si>
    <t>RDAPS-243</t>
  </si>
  <si>
    <t>33213</t>
  </si>
  <si>
    <t>[RDAPS-234][QA] Test Change SMS Sub Account change on redeem at POS iteration 2</t>
  </si>
  <si>
    <t>29/Oct/25 1:33 PM</t>
  </si>
  <si>
    <t>29/Oct/25 1:40 PM</t>
  </si>
  <si>
    <t>DEVRDECOM-144</t>
  </si>
  <si>
    <t>33211</t>
  </si>
  <si>
    <t>[DEV][RD][Eco][Rewards-Member] Fix hidden issue</t>
  </si>
  <si>
    <t>29/Oct/25 11:58 AM</t>
  </si>
  <si>
    <t>31/Oct/25 11:30 AM</t>
  </si>
  <si>
    <t>RDAPS-242</t>
  </si>
  <si>
    <t>33209</t>
  </si>
  <si>
    <t>[RDAPS-234][QA] Test Change SMS Sub Account change on redeem at POS iteration 1</t>
  </si>
  <si>
    <t>29/Oct/25 11:23 AM</t>
  </si>
  <si>
    <t>29/Oct/25 1:34 PM</t>
  </si>
  <si>
    <t>RDAPS-241</t>
  </si>
  <si>
    <t>33201</t>
  </si>
  <si>
    <t>[Dev][RD] EXPORT TURTLE Rewards available coupon code in 31 October night</t>
  </si>
  <si>
    <t>28/Oct/25 3:51 PM</t>
  </si>
  <si>
    <t>30/Oct/25 2:45 PM</t>
  </si>
  <si>
    <t>01/Nov/25 12:00 AM</t>
  </si>
  <si>
    <t>29/Oct/25 1:47 PM</t>
  </si>
  <si>
    <t>DEVRDECOM-143</t>
  </si>
  <si>
    <t>33196</t>
  </si>
  <si>
    <t>[DEV][RD][Eco][Rewards-Member] Add logic logout redirect for Das Haus shopify shop to solve problem wrong language</t>
  </si>
  <si>
    <t>28/Oct/25 1:14 PM</t>
  </si>
  <si>
    <t>29/Oct/25 8:36 PM</t>
  </si>
  <si>
    <t>DEVRDSUP-206</t>
  </si>
  <si>
    <t>33195</t>
  </si>
  <si>
    <t>[SUP-262][SUP-261][Turtle][PartnerLoyalty] Request to query email list per user's phone to perform point issue on failed TXN.</t>
  </si>
  <si>
    <t>28/Oct/25 12:08 PM</t>
  </si>
  <si>
    <t>28/Oct/25 12:58 PM</t>
  </si>
  <si>
    <t>partnerLoyalty</t>
  </si>
  <si>
    <t>DEVRDSUP-205</t>
  </si>
  <si>
    <t>33191</t>
  </si>
  <si>
    <t>[SUP-261][Turtle][PartnerLoyalty] Request to query sso list per user's phone to perform point issue on failed TXN.</t>
  </si>
  <si>
    <t>28/Oct/25 11:18 AM</t>
  </si>
  <si>
    <t>28/Oct/25 11:55 AM</t>
  </si>
  <si>
    <t>DEVRDSUP-204</t>
  </si>
  <si>
    <t>33161</t>
  </si>
  <si>
    <t>[SUP-259][SUB][Request Mark Used] #20251000019927 [coupon 11574800 ] บัตร RW 0887515678172</t>
  </si>
  <si>
    <t>27/Oct/25 6:18 PM</t>
  </si>
  <si>
    <t>30/Oct/25 1:16 PM</t>
  </si>
  <si>
    <t>DEVRDCT-274</t>
  </si>
  <si>
    <t>33152</t>
  </si>
  <si>
    <t>[DEV][RD][RWS][ENH] Adjust the TS field in both REDEEM and MEMBER_COUPON events to use UTC +0</t>
  </si>
  <si>
    <t>27/Oct/25 12:56 PM</t>
  </si>
  <si>
    <t>30/Oct/25 3:54 PM</t>
  </si>
  <si>
    <t>27/Oct/25 12:00 AM</t>
  </si>
  <si>
    <t>DEVRDSUP-202</t>
  </si>
  <si>
    <t>33105</t>
  </si>
  <si>
    <t>[SUP-250][CS-20251000019735] รบกวน Mark Used คูปองเที่ยวเดินทาง เนื่องจากมีการเติมเที่ยวสำเร็จแล้วค่ะ</t>
  </si>
  <si>
    <t>24/Oct/25 2:16 PM</t>
  </si>
  <si>
    <t>24/Oct/25 4:39 PM</t>
  </si>
  <si>
    <t>DEVRDCT-273</t>
  </si>
  <si>
    <t>33038</t>
  </si>
  <si>
    <t>[DEV][RD][CT] Review and verify the TS field in each event sent to CleverTap</t>
  </si>
  <si>
    <t>24/Oct/25 9:08 AM</t>
  </si>
  <si>
    <t>RDTHANA-351</t>
  </si>
  <si>
    <t>32993</t>
  </si>
  <si>
    <t>[S4][HR Soulution][Welcome message][SMS] Cannot save change setting 'Destination URL'</t>
  </si>
  <si>
    <t>22/Oct/25 6:07 PM</t>
  </si>
  <si>
    <t>29/Oct/25 4:12 PM</t>
  </si>
  <si>
    <t>24/Oct/68 12:00 AM</t>
  </si>
  <si>
    <t>DEVRDSUP-200</t>
  </si>
  <si>
    <t>32982</t>
  </si>
  <si>
    <t>[SUP-256]SUB : Request to fill in the Secret Key for Muvmi</t>
  </si>
  <si>
    <t>22/Oct/25 3:50 PM</t>
  </si>
  <si>
    <t>29/Oct/25 2:53 PM</t>
  </si>
  <si>
    <t>RDTHANA-350</t>
  </si>
  <si>
    <t>32980</t>
  </si>
  <si>
    <t>[S4][HR Solution][Member][Import member] Upload member list file to BU get wrong template error</t>
  </si>
  <si>
    <t>22/Oct/25 3:11 PM</t>
  </si>
  <si>
    <t>29/Oct/25 4:05 PM</t>
  </si>
  <si>
    <t>DEVRDECOM-142</t>
  </si>
  <si>
    <t>32979</t>
  </si>
  <si>
    <t>[DEV][RD][Eco][Shopify-Theme] Setup Das Haus Shop for Production</t>
  </si>
  <si>
    <t>22/Oct/25 2:45 PM</t>
  </si>
  <si>
    <t>31/Oct/25 11:25 AM</t>
  </si>
  <si>
    <t>DEVRDECOM-141</t>
  </si>
  <si>
    <t>32978</t>
  </si>
  <si>
    <t>[DEV][RD][Eco][Shopify-Theme] Setup Snackmaker Shop for Production</t>
  </si>
  <si>
    <t>22/Oct/25 2:44 PM</t>
  </si>
  <si>
    <t>31/Oct/25 10:11 AM</t>
  </si>
  <si>
    <t>DEVRDECOM-140</t>
  </si>
  <si>
    <t>32977</t>
  </si>
  <si>
    <t>[DEV][RD][Eco][Shopify-Theme] Setup Turtle Shop for Production</t>
  </si>
  <si>
    <t>RDAPS-239</t>
  </si>
  <si>
    <t>32970</t>
  </si>
  <si>
    <t>[DEV][RD][HRS] Remove welcome message setting in import employee process</t>
  </si>
  <si>
    <t>22/Oct/25 1:46 PM</t>
  </si>
  <si>
    <t>29/Oct/25 4:16 PM</t>
  </si>
  <si>
    <t>DEVRDSUP-199</t>
  </si>
  <si>
    <t>32969</t>
  </si>
  <si>
    <t>[SUP-255]Access RR back office and SSO back office</t>
  </si>
  <si>
    <t>22/Oct/25 1:42 PM</t>
  </si>
  <si>
    <t>30/Oct/25 3:07 PM</t>
  </si>
  <si>
    <t>DEVRDCT-272</t>
  </si>
  <si>
    <t>32968</t>
  </si>
  <si>
    <t>[DEV][RD][CT][ADHOC] Request to bypass event "BTS_Ride_Transaction" on UAT for test</t>
  </si>
  <si>
    <t>22/Oct/25 1:35 PM</t>
  </si>
  <si>
    <t>22/Oct/25 1:52 PM</t>
  </si>
  <si>
    <t>DEVRDSUP-197</t>
  </si>
  <si>
    <t>32961</t>
  </si>
  <si>
    <t>[SUP-253]Requesting to mark used 1 BTS coupon with rabbit wallet card without pass top up.</t>
  </si>
  <si>
    <t>22/Oct/25 12:45 PM</t>
  </si>
  <si>
    <t>24/Oct/25 3:09 PM</t>
  </si>
  <si>
    <t>RDTHANA-349</t>
  </si>
  <si>
    <t>32956</t>
  </si>
  <si>
    <t>[QA] Test Execution - Service</t>
  </si>
  <si>
    <t>22/Oct/25 9:40 AM</t>
  </si>
  <si>
    <t>03/Nov/25 11:03 AM</t>
  </si>
  <si>
    <t>RDTHANA-348</t>
  </si>
  <si>
    <t>32954</t>
  </si>
  <si>
    <t>22/Oct/25 9:39 AM</t>
  </si>
  <si>
    <t>RDTHANA-347</t>
  </si>
  <si>
    <t>32952</t>
  </si>
  <si>
    <t>03/Nov/25 11:04 AM</t>
  </si>
  <si>
    <t>RDTHANA-346</t>
  </si>
  <si>
    <t>32950</t>
  </si>
  <si>
    <t>RDTHANA-345</t>
  </si>
  <si>
    <t>32948</t>
  </si>
  <si>
    <t>22/Oct/25 9:38 AM</t>
  </si>
  <si>
    <t>22/Oct/25 1:03 PM</t>
  </si>
  <si>
    <t>DEVRDADJ-52</t>
  </si>
  <si>
    <t>32930</t>
  </si>
  <si>
    <t>[TP][Adjust] DEVRDADJ-44</t>
  </si>
  <si>
    <t>21/Oct/25 4:22 PM</t>
  </si>
  <si>
    <t>21/Oct/25 4:35 PM</t>
  </si>
  <si>
    <t>29/Oct/25 1:26 PM</t>
  </si>
  <si>
    <t>29/Oct/25 1:29 PM</t>
  </si>
  <si>
    <t>DEVRDSUP-195</t>
  </si>
  <si>
    <t>32917</t>
  </si>
  <si>
    <t>[Dev][DEVRDSUP-194] Generate missing receipt for 1 TXN</t>
  </si>
  <si>
    <t>21/Oct/25 3:30 PM</t>
  </si>
  <si>
    <t>21/Oct/25 4:23 PM</t>
  </si>
  <si>
    <t>DEVRDSUP-194</t>
  </si>
  <si>
    <t>32915</t>
  </si>
  <si>
    <t>[SUP-249]SUB : Completed Transaction but did not generate receipt (Ticket 21 Oct)</t>
  </si>
  <si>
    <t>21/Oct/25 3:26 PM</t>
  </si>
  <si>
    <t>DEVRDADJ-51</t>
  </si>
  <si>
    <t>32914</t>
  </si>
  <si>
    <t>21/Oct/25 2:50 PM</t>
  </si>
  <si>
    <t>22/Oct/25 9:32 AM</t>
  </si>
  <si>
    <t>[Dev][RDAdjust] Sprint 9</t>
  </si>
  <si>
    <t>30/Oct/25 2:43 PM</t>
  </si>
  <si>
    <t>RDAPS-237</t>
  </si>
  <si>
    <t>32906</t>
  </si>
  <si>
    <t>[Dev][RD][REM] Enhance CRM “Mark Used” API to support optional skip of issuing BTS Pass for Cloud ID use case</t>
  </si>
  <si>
    <t>21/Oct/25 1:44 PM</t>
  </si>
  <si>
    <t>03/Nov/25 10:24 AM</t>
  </si>
  <si>
    <t>RDTHANA-338</t>
  </si>
  <si>
    <t>32903</t>
  </si>
  <si>
    <t>03/Nov/25 2:05 PM</t>
  </si>
  <si>
    <t>RDTHANA-337</t>
  </si>
  <si>
    <t>32901</t>
  </si>
  <si>
    <t>[TX][Service] - Sprint10</t>
  </si>
  <si>
    <t>21/Oct/25 1:31 PM</t>
  </si>
  <si>
    <t>03/Nov/25 11:02 AM</t>
  </si>
  <si>
    <t>RDTHANA-336</t>
  </si>
  <si>
    <t>32900</t>
  </si>
  <si>
    <t>[TP][Service] - Sprint10</t>
  </si>
  <si>
    <t>21/Oct/25 1:29 PM</t>
  </si>
  <si>
    <t>DEVRDECOM-139</t>
  </si>
  <si>
    <t>32895</t>
  </si>
  <si>
    <t>[DEV][RD][Eco][Ecommerce-Shopify] Enhance partial refund to use point ratio from point issued</t>
  </si>
  <si>
    <t>21/Oct/25 11:16 AM</t>
  </si>
  <si>
    <t>29/Oct/25 1:27 PM</t>
  </si>
  <si>
    <t>DEVRDECOM-138</t>
  </si>
  <si>
    <t>32840</t>
  </si>
  <si>
    <t>[DEV][RD][Eco][Setup] Shops Backend Configuation for Production</t>
  </si>
  <si>
    <t>21/Oct/25 9:41 AM</t>
  </si>
  <si>
    <t>DEVRDSUP-193</t>
  </si>
  <si>
    <t>32838</t>
  </si>
  <si>
    <t>[SUP-248][SUB] Request to disable "E-mail alert to user after redeemed" toggle on all reward items.</t>
  </si>
  <si>
    <t>21/Oct/25 9:21 AM</t>
  </si>
  <si>
    <t>21/Oct/25 1:06 PM</t>
  </si>
  <si>
    <t>03/Nov/25 10:09 AM</t>
  </si>
  <si>
    <t>DEVRDSUP-192</t>
  </si>
  <si>
    <t>32805</t>
  </si>
  <si>
    <t>[Dev][DEVRDSUP-189] Mark used vouchers</t>
  </si>
  <si>
    <t>20/Oct/25 11:59 AM</t>
  </si>
  <si>
    <t>31/Oct/25 12:14 PM</t>
  </si>
  <si>
    <t>DEVRDSUP-191</t>
  </si>
  <si>
    <t>32803</t>
  </si>
  <si>
    <t>[Dev][DEVRDSUP-189] Hold coupon prior to mark used the voucher.</t>
  </si>
  <si>
    <t>20/Oct/25 11:58 AM</t>
  </si>
  <si>
    <t>21/Oct/25 1:21 PM</t>
  </si>
  <si>
    <t>DEVRDSUP-190</t>
  </si>
  <si>
    <t>32801</t>
  </si>
  <si>
    <t>[Dev][DEVRDSUP-189] Check data from BSS if TXN list info is enough to mark used.</t>
  </si>
  <si>
    <t>20/Oct/25 11:57 AM</t>
  </si>
  <si>
    <t>21/Oct/25 1:24 PM</t>
  </si>
  <si>
    <t>DEVRDSUP-189</t>
  </si>
  <si>
    <t>32799</t>
  </si>
  <si>
    <t>[SUP-247][SUB] Request to mark used many BTS vouchers due to cloud ID incident on 16/10/2025</t>
  </si>
  <si>
    <t>20/Oct/25 11:56 AM</t>
  </si>
  <si>
    <t>31/Oct/25 12:06 PM</t>
  </si>
  <si>
    <t>RDAPS-236</t>
  </si>
  <si>
    <t>32794</t>
  </si>
  <si>
    <t>[Dev][RD][SA] Analyze &amp; split dev tasks for Sprint10 Adhoc, CT, ThanaCity</t>
  </si>
  <si>
    <t>20/Oct/25 11:12 AM</t>
  </si>
  <si>
    <t>31/Oct/25 10:01 AM</t>
  </si>
  <si>
    <t>DEVRDECOM-137</t>
  </si>
  <si>
    <t>32788</t>
  </si>
  <si>
    <t>[DEV][RD][Eco][Shopify-Theme] Rename "Buy it Now" to "Book Now" for Das Haus</t>
  </si>
  <si>
    <t>20/Oct/25 10:12 AM</t>
  </si>
  <si>
    <t>30/Oct/25 3:11 PM</t>
  </si>
  <si>
    <t>22/Oct/25 2:27 PM</t>
  </si>
  <si>
    <t>29/Oct/25 1:22 PM</t>
  </si>
  <si>
    <t>RDAPS-235</t>
  </si>
  <si>
    <t>32780</t>
  </si>
  <si>
    <t>[DEV][RD][MIM] Create command to remove RR consent for member who registered from My Rabbit APP</t>
  </si>
  <si>
    <t>19/Oct/25 8:54 PM</t>
  </si>
  <si>
    <t>02/Nov/25 3:02 PM</t>
  </si>
  <si>
    <t>RDAPS-234</t>
  </si>
  <si>
    <t>32779</t>
  </si>
  <si>
    <t>[DEV][RD][PL][SMS] Change SMS Sub Account</t>
  </si>
  <si>
    <t>19/Oct/25 8:35 PM</t>
  </si>
  <si>
    <t>31/Oct/25 10:00 AM</t>
  </si>
  <si>
    <t>DEVRDCT-268</t>
  </si>
  <si>
    <t>32778</t>
  </si>
  <si>
    <t>[Dev][RD][BFF][API Spec] Update api specification</t>
  </si>
  <si>
    <t>19/Oct/25 3:57 PM</t>
  </si>
  <si>
    <t>30/Oct/25 2:58 PM</t>
  </si>
  <si>
    <t>22/Oct/25 9:48 AM</t>
  </si>
  <si>
    <t>RDAPS-232</t>
  </si>
  <si>
    <t>32776</t>
  </si>
  <si>
    <t>[Dev][RD][BOF] Enhance Subscription Transaction Report</t>
  </si>
  <si>
    <t>19/Oct/25 2:59 PM</t>
  </si>
  <si>
    <t>31/Oct/25 9:34 AM</t>
  </si>
  <si>
    <t>27/Oct/25 2:35 PM</t>
  </si>
  <si>
    <t>DEVRDSUP-188</t>
  </si>
  <si>
    <t>32652</t>
  </si>
  <si>
    <t>QA verify on UAT</t>
  </si>
  <si>
    <t>16/Oct/25 6:28 PM</t>
  </si>
  <si>
    <t>16/Oct/25 6:53 PM</t>
  </si>
  <si>
    <t>RDAPS-230</t>
  </si>
  <si>
    <t>32647</t>
  </si>
  <si>
    <t>[Dev][RD][SA] Analyze &amp; split dev tasks for Sprint10</t>
  </si>
  <si>
    <t>16/Oct/25 3:14 PM</t>
  </si>
  <si>
    <t>21/Oct/25 3:23 PM</t>
  </si>
  <si>
    <t>DEVRDCT-266</t>
  </si>
  <si>
    <t>32646</t>
  </si>
  <si>
    <t>16/Oct/25 3:12 PM</t>
  </si>
  <si>
    <t>30/Oct/25 2:50 PM</t>
  </si>
  <si>
    <t>24/Oct/25 9:32 AM</t>
  </si>
  <si>
    <t>20/Oct/25 4:54 PM</t>
  </si>
  <si>
    <t>RDAPS-226</t>
  </si>
  <si>
    <t>32633</t>
  </si>
  <si>
    <t>[Dev][RD][RRS] Enhance Subscription Transactions Search with Advanced Filters &amp; Index Optimization</t>
  </si>
  <si>
    <t>16/Oct/25 2:47 PM</t>
  </si>
  <si>
    <t>DEVRDSUP-184</t>
  </si>
  <si>
    <t>32628</t>
  </si>
  <si>
    <t>[SUP-244][REM] Redeem mail alert sends to user even if "E-mail alert to user after redeemed" is turned off.</t>
  </si>
  <si>
    <t>16/Oct/25 12:46 PM</t>
  </si>
  <si>
    <t>27/Oct/25 3:55 PM</t>
  </si>
  <si>
    <t>14/Nov/25 12:00 AM</t>
  </si>
  <si>
    <t>20/Oct/25 10:59 AM</t>
  </si>
  <si>
    <t>DEVRDSUP-183</t>
  </si>
  <si>
    <t>32562</t>
  </si>
  <si>
    <t>[Dev][DEVRDSUP-182] Update purchase TXN data in DB</t>
  </si>
  <si>
    <t>15/Oct/25 4:40 PM</t>
  </si>
  <si>
    <t>15/Oct/25 3:46 PM</t>
  </si>
  <si>
    <t>DEVRDSUP-182</t>
  </si>
  <si>
    <t>32553</t>
  </si>
  <si>
    <t>[SUB][DEVRDSUP-167] Update refund date/ time for TXN that was refunded prior to DEVRDSUP-167 fix.</t>
  </si>
  <si>
    <t>15/Oct/25 3:22 PM</t>
  </si>
  <si>
    <t>23/Oct/25 6:04 PM</t>
  </si>
  <si>
    <t>RDTHANA-327</t>
  </si>
  <si>
    <t>32552</t>
  </si>
  <si>
    <t>15/Oct/25 2:38 PM</t>
  </si>
  <si>
    <t>27/Oct/25 10:40 AM</t>
  </si>
  <si>
    <t>RDTHANA-326</t>
  </si>
  <si>
    <t>32551</t>
  </si>
  <si>
    <t>RDTHANA-324</t>
  </si>
  <si>
    <t>32549</t>
  </si>
  <si>
    <t>RDTHANA-322</t>
  </si>
  <si>
    <t>32547</t>
  </si>
  <si>
    <t>[TX][Thana city] Feature menu - Sprint 9</t>
  </si>
  <si>
    <t>15/Oct/25 2:22 PM</t>
  </si>
  <si>
    <t>21/Oct/25 1:22 PM</t>
  </si>
  <si>
    <t>RDTHANA-321</t>
  </si>
  <si>
    <t>32546</t>
  </si>
  <si>
    <t>[TP][Thana city] Feature menu - Sprint 9</t>
  </si>
  <si>
    <t>15/Oct/25 2:11 PM</t>
  </si>
  <si>
    <t>DEVRDSUP-181</t>
  </si>
  <si>
    <t>32289</t>
  </si>
  <si>
    <t>[SUP-220]HR Solution can't import employee if disable welcome msg feature</t>
  </si>
  <si>
    <t>15/Oct/25 10:15 AM</t>
  </si>
  <si>
    <t>31/Oct/25 1:09 PM</t>
  </si>
  <si>
    <t>DEVRDSUP-176</t>
  </si>
  <si>
    <t>32274</t>
  </si>
  <si>
    <t>[SUP-242][REM] Coupon TXN report's reward start and end date are incorrect.</t>
  </si>
  <si>
    <t>14/Oct/25 5:39 PM</t>
  </si>
  <si>
    <t>28/Oct/25 6:24 PM</t>
  </si>
  <si>
    <t>28/Oct/25 6:30 PM</t>
  </si>
  <si>
    <t>03/Nov/25 3:20 PM</t>
  </si>
  <si>
    <t>RDTHANA-320</t>
  </si>
  <si>
    <t>32261</t>
  </si>
  <si>
    <t>[DEV][RD][GATEWAY] Mapping new gateway endpoint</t>
  </si>
  <si>
    <t>14/Oct/25 2:31 PM</t>
  </si>
  <si>
    <t>28/Oct/25 10:03 AM</t>
  </si>
  <si>
    <t>22/Oct/25 4:26 PM</t>
  </si>
  <si>
    <t>RDAPS-223</t>
  </si>
  <si>
    <t>32197</t>
  </si>
  <si>
    <t>[DEV][RD][Rewards API] Enhance Get products filter api for support filter by is_reward_store</t>
  </si>
  <si>
    <t>10/Oct/25 4:59 PM</t>
  </si>
  <si>
    <t>RDAPS-222</t>
  </si>
  <si>
    <t>32182</t>
  </si>
  <si>
    <t>[S4][Rewards Alert List] Rewards with end_date displayed as 10:00 are excluded from scheduled email alert</t>
  </si>
  <si>
    <t>09/Oct/25 4:40 PM</t>
  </si>
  <si>
    <t>31/Oct/25 10:02 AM</t>
  </si>
  <si>
    <t>DEVRDECOM-126</t>
  </si>
  <si>
    <t>32097</t>
  </si>
  <si>
    <t>[DEV][RD][Eco][Ecommerce_Shopify] Enhance login to store id_token in shopify login logs</t>
  </si>
  <si>
    <t>08/Oct/25 1:46 PM</t>
  </si>
  <si>
    <t>28/Oct/25 10:12 AM</t>
  </si>
  <si>
    <t>RDTHANA-319</t>
  </si>
  <si>
    <t>32090</t>
  </si>
  <si>
    <t>[QA] Create Test Case - Create new endpoint get deeplink with path</t>
  </si>
  <si>
    <t>08/Oct/25 10:20 AM</t>
  </si>
  <si>
    <t>03/Nov/25 2:04 PM</t>
  </si>
  <si>
    <t>03/Nov/25 10:16 AM</t>
  </si>
  <si>
    <t>21/Oct/25 3:34 PM</t>
  </si>
  <si>
    <t>[QA] Create test case LINE_OA_BINDING and LINE_OA_ADD_FRIEND event</t>
  </si>
  <si>
    <t>[QA] Create test case Line OA and Friend event to CleverTap</t>
  </si>
  <si>
    <t>07/Oct/25 2:10 PM</t>
  </si>
  <si>
    <t>DEVRDSUP-166</t>
  </si>
  <si>
    <t>32020</t>
  </si>
  <si>
    <t>[SUP-229][Clevertap][API] API Issue point got error 400 code</t>
  </si>
  <si>
    <t>06/Oct/25 3:26 PM</t>
  </si>
  <si>
    <t>28/Oct/25 10:17 AM</t>
  </si>
  <si>
    <t>20/Oct/25 10:58 AM</t>
  </si>
  <si>
    <t>29/Oct/25 1:24 PM</t>
  </si>
  <si>
    <t>DEVRDECOM-123</t>
  </si>
  <si>
    <t>31991</t>
  </si>
  <si>
    <t>[DEV][RD][Eco][Rewards Member] Enhance custom redirect to solve the problem of user who set default browser is not safari</t>
  </si>
  <si>
    <t>06/Oct/25 9:19 AM</t>
  </si>
  <si>
    <t>30/Oct/25 4:01 PM</t>
  </si>
  <si>
    <t>20/Oct/25 9:57 AM</t>
  </si>
  <si>
    <t>RDAPS-216</t>
  </si>
  <si>
    <t>31978</t>
  </si>
  <si>
    <t>[Dev][DL][VGI ONE] Clear WPP Credits &amp; Users</t>
  </si>
  <si>
    <t>05/Oct/25 8:58 AM</t>
  </si>
  <si>
    <t>30/Oct/25 4:31 PM</t>
  </si>
  <si>
    <t>DEVRDCT-243</t>
  </si>
  <si>
    <t>31976</t>
  </si>
  <si>
    <t>[DEV][RD][CT][POC] Shopify Catalogue Upload</t>
  </si>
  <si>
    <t>04/Oct/25 4:33 PM</t>
  </si>
  <si>
    <t>DEVRDECOM-118</t>
  </si>
  <si>
    <t>31973</t>
  </si>
  <si>
    <t>[DEV][RD][Eco][Ecommerce-Shopify] Logout</t>
  </si>
  <si>
    <t>04/Oct/25 4:18 PM</t>
  </si>
  <si>
    <t>15/Oct/25 12:00 AM</t>
  </si>
  <si>
    <t>RDTHANA-310</t>
  </si>
  <si>
    <t>31956</t>
  </si>
  <si>
    <t>[DEV][RD][LNF] Create new endpoint get deeplink with path</t>
  </si>
  <si>
    <t>03/Oct/25 4:52 PM</t>
  </si>
  <si>
    <t>03/Nov/25 2:06 PM</t>
  </si>
  <si>
    <t>03/Nov/25 10:21 AM</t>
  </si>
  <si>
    <t>DEVRDSUP-158</t>
  </si>
  <si>
    <t>31925</t>
  </si>
  <si>
    <t>[SUP-222][HRSolution][Point Redemption Report] The refunded TXN point amount are included in redeemed point.</t>
  </si>
  <si>
    <t>02/Oct/25 6:16 PM</t>
  </si>
  <si>
    <t>29/Oct/25 2:28 PM</t>
  </si>
  <si>
    <t>23/Oct/25 12:00 AM</t>
  </si>
  <si>
    <t>RDAPS-205</t>
  </si>
  <si>
    <t>31905</t>
  </si>
  <si>
    <t>[DEV][RD][REM] Enhance Redemption API to support displaying exclusive rewards in rewards store</t>
  </si>
  <si>
    <t>02/Oct/25 8:21 AM</t>
  </si>
  <si>
    <t>30/Oct/25 2:42 PM</t>
  </si>
  <si>
    <t>RDAPS-204</t>
  </si>
  <si>
    <t>31904</t>
  </si>
  <si>
    <t>[DEV][RD][BOF] Enhance Algolia payload to support displaying exclusive rewards in rewards store</t>
  </si>
  <si>
    <t>02/Oct/25 8:19 AM</t>
  </si>
  <si>
    <t>RDAPS-203</t>
  </si>
  <si>
    <t>31890</t>
  </si>
  <si>
    <t>[DEV][RD][BFF] Enhance Get section/widget api for support display exclusive rewards on rewards store</t>
  </si>
  <si>
    <t>01/Oct/25 5:25 PM</t>
  </si>
  <si>
    <t>DEVRDSUP-154</t>
  </si>
  <si>
    <t>31874</t>
  </si>
  <si>
    <t xml:space="preserve">[SUP-215][RR App] Log in Problem - iOS  แสดงหน้าจอ "มีบางอย่างผิดพลาด โปรดลองอีกครั้ง" </t>
  </si>
  <si>
    <t>01/Oct/25 12:06 AM</t>
  </si>
  <si>
    <t>31/Oct/25 9:54 AM</t>
  </si>
  <si>
    <t>31/Oct/25 9:51 AM</t>
  </si>
  <si>
    <t>RDAPS-201</t>
  </si>
  <si>
    <t>31814</t>
  </si>
  <si>
    <t>[DEV][RD][Portal API][Cronjob] Add log to merchant ranking</t>
  </si>
  <si>
    <t>29/Sep/25 3:00 PM</t>
  </si>
  <si>
    <t>31/Oct/25 9:57 AM</t>
  </si>
  <si>
    <t>DEVRDSUP-150</t>
  </si>
  <si>
    <t>31804</t>
  </si>
  <si>
    <t xml:space="preserve">[SUP-211][SUB][BTS] Couldn't mark used a BTS coupon used via wallet card, request to mark used the BTS coupon with wallet card. </t>
  </si>
  <si>
    <t>29/Sep/25 10:58 AM</t>
  </si>
  <si>
    <t>22/Oct/25 10:39 PM</t>
  </si>
  <si>
    <t>RDAPS-198</t>
  </si>
  <si>
    <t>31673</t>
  </si>
  <si>
    <t>[DEV][RD][Merchant Ranking] Add sync data log</t>
  </si>
  <si>
    <t>26/Sep/25 9:39 AM</t>
  </si>
  <si>
    <t>RDTHANA-270</t>
  </si>
  <si>
    <t>31550</t>
  </si>
  <si>
    <t>[S3][Edit Business Unit][Advanced setting] Feature setting not found due to click link out from error popup</t>
  </si>
  <si>
    <t>23/Sep/25 5:19 PM</t>
  </si>
  <si>
    <t>31/Oct/25 11:08 AM</t>
  </si>
  <si>
    <t>RDTHANA-266</t>
  </si>
  <si>
    <t>31540</t>
  </si>
  <si>
    <t>[TP][Thana city] Sprint 9</t>
  </si>
  <si>
    <t>23/Sep/25 2:06 PM</t>
  </si>
  <si>
    <t>RDTHANA-259</t>
  </si>
  <si>
    <t>31493</t>
  </si>
  <si>
    <t>22/Sep/25 10:11 PM</t>
  </si>
  <si>
    <t>08/Oct/25 1:38 PM</t>
  </si>
  <si>
    <t>RDTHANA-258</t>
  </si>
  <si>
    <t>31491</t>
  </si>
  <si>
    <t>[QA] Create Test Case - Enhance check eligible to set opt-in setting in advance setting</t>
  </si>
  <si>
    <t>15/Oct/25 1:40 PM</t>
  </si>
  <si>
    <t>RDTHANA-256</t>
  </si>
  <si>
    <t>31487</t>
  </si>
  <si>
    <t>22/Sep/25 10:10 PM</t>
  </si>
  <si>
    <t>08/Oct/25 11:42 AM</t>
  </si>
  <si>
    <t>RDTHANA-254</t>
  </si>
  <si>
    <t>31483</t>
  </si>
  <si>
    <t>22/Sep/25 10:08 PM</t>
  </si>
  <si>
    <t>07/Oct/25 1:58 PM</t>
  </si>
  <si>
    <t>RDTHANA-253</t>
  </si>
  <si>
    <t>31481</t>
  </si>
  <si>
    <t>22/Sep/25 10:07 PM</t>
  </si>
  <si>
    <t>06/Oct/25 3:56 PM</t>
  </si>
  <si>
    <t>RDTHANA-252</t>
  </si>
  <si>
    <t>31479</t>
  </si>
  <si>
    <t>06/Oct/25 2:16 PM</t>
  </si>
  <si>
    <t>RDTHANA-251</t>
  </si>
  <si>
    <t>31477</t>
  </si>
  <si>
    <t>06/Oct/25 1:07 PM</t>
  </si>
  <si>
    <t>RDTHANA-250</t>
  </si>
  <si>
    <t>31475</t>
  </si>
  <si>
    <t>06/Oct/25 10:47 AM</t>
  </si>
  <si>
    <t>DEVRDADJ-47</t>
  </si>
  <si>
    <t>31465</t>
  </si>
  <si>
    <t>22/Sep/25 10:04 PM</t>
  </si>
  <si>
    <t>19/Oct/25 9:11 PM</t>
  </si>
  <si>
    <t>DEVRDADJ-45</t>
  </si>
  <si>
    <t>31461</t>
  </si>
  <si>
    <t>22/Sep/25 10:03 PM</t>
  </si>
  <si>
    <t>03/Nov/25 11:32 AM</t>
  </si>
  <si>
    <t>DEVRDECOM-101</t>
  </si>
  <si>
    <t>31425</t>
  </si>
  <si>
    <t>[DEV][RD][Eco][Shopify-Theme] Update theme to support Rabbit Connect logout.</t>
  </si>
  <si>
    <t>21/Sep/25 10:03 AM</t>
  </si>
  <si>
    <t>30/Oct/25 3:10 PM</t>
  </si>
  <si>
    <t>DEVRDECOM-99</t>
  </si>
  <si>
    <t>31423</t>
  </si>
  <si>
    <t>[DEV][RD][Eco][RR-Ecommerce-Shopify] Create Webhook API Endpoint refunds/create</t>
  </si>
  <si>
    <t>21/Sep/25 9:47 AM</t>
  </si>
  <si>
    <t>24/Oct/25 3:41 PM</t>
  </si>
  <si>
    <t>DEVRDECOM-98</t>
  </si>
  <si>
    <t>31422</t>
  </si>
  <si>
    <t>[DEV][RD][Eco][Deployment] Production preparation</t>
  </si>
  <si>
    <t>21/Sep/25 9:42 AM</t>
  </si>
  <si>
    <t>DEVRDECOM-97</t>
  </si>
  <si>
    <t>31421</t>
  </si>
  <si>
    <t>[DEV][RD][Eco][RR-Ecommerce-Shopify] Calculate Point</t>
  </si>
  <si>
    <t>21/Sep/25 9:35 AM</t>
  </si>
  <si>
    <t>24/Oct/25 3:42 PM</t>
  </si>
  <si>
    <t>RDTHANA-247</t>
  </si>
  <si>
    <t>31385</t>
  </si>
  <si>
    <t>[DEV][RD][Eco][RR-Ecommerce-Shopify][Das Haus] Create Endpoint for Club Binding Callback and Redirect to Shopify</t>
  </si>
  <si>
    <t>19/Sep/25 1:53 PM</t>
  </si>
  <si>
    <t>29/Oct/25 7:20 PM</t>
  </si>
  <si>
    <t>03/Oct/25 12:00 AM</t>
  </si>
  <si>
    <t>DEVRDECOM-90</t>
  </si>
  <si>
    <t>31343</t>
  </si>
  <si>
    <t>[DEV][RD][Eco][RR-Ecommerce-Shopify] Create Scheduled Job for update transport status</t>
  </si>
  <si>
    <t>18/Sep/25 7:27 PM</t>
  </si>
  <si>
    <t>RDTHANA-245</t>
  </si>
  <si>
    <t>31334</t>
  </si>
  <si>
    <t>[DEV][RD][Eco][RR-Ecommerce-Shopify][Das Haus] Enhance Auth Callback Endpoint to checks if the customer is a Das Haus club member.</t>
  </si>
  <si>
    <t>18/Sep/25 5:09 PM</t>
  </si>
  <si>
    <t>RDAPS-191</t>
  </si>
  <si>
    <t>31333</t>
  </si>
  <si>
    <t>[Dev][RD][SA] Enhance Subscription Transactions Search with Advanced Filters &amp; Index Optimization</t>
  </si>
  <si>
    <t>18/Sep/25 4:48 PM</t>
  </si>
  <si>
    <t>23/Oct/25 6:08 PM</t>
  </si>
  <si>
    <t>RDTHANA-227</t>
  </si>
  <si>
    <t>31330</t>
  </si>
  <si>
    <t>[DEV][RD][HRS] Enhance check eligible to set opt-in setting in popup welcome message</t>
  </si>
  <si>
    <t>18/Sep/25 4:06 PM</t>
  </si>
  <si>
    <t>22/Oct/25 9:47 AM</t>
  </si>
  <si>
    <t>RDTHANA-226</t>
  </si>
  <si>
    <t>31329</t>
  </si>
  <si>
    <t>[DEV][RD][HRS] Enhance check eligible to set opt-in setting in advance setting</t>
  </si>
  <si>
    <t>18/Sep/25 4:05 PM</t>
  </si>
  <si>
    <t>RDTHANA-224</t>
  </si>
  <si>
    <t>31327</t>
  </si>
  <si>
    <t>[DEV][RD][HRS] Enhance feature setting company level with opt-in BU enable</t>
  </si>
  <si>
    <t>18/Sep/25 3:59 PM</t>
  </si>
  <si>
    <t>RDTHANA-246</t>
  </si>
  <si>
    <t>31325</t>
  </si>
  <si>
    <t>[DEV][RD][Eco][RR-Ecommerce-Shopify][Das Haus] Enhance login with return_url</t>
  </si>
  <si>
    <t>18/Sep/25 3:22 PM</t>
  </si>
  <si>
    <t>DEVRDADJ-44</t>
  </si>
  <si>
    <t>31314</t>
  </si>
  <si>
    <t>[DEV][RD][BOF] Enhance RR Backoffice to integrate with ADJUST Deeplink Generated api</t>
  </si>
  <si>
    <t>18/Sep/25 1:53 PM</t>
  </si>
  <si>
    <t>DEVRDADJ-41</t>
  </si>
  <si>
    <t>31311</t>
  </si>
  <si>
    <t>[DEV][RD][LNF] Enhance auto generate deeplink, remove redirect url in request</t>
  </si>
  <si>
    <t>18/Sep/25 1:45 PM</t>
  </si>
  <si>
    <t>25/Sep/25 12:00 AM</t>
  </si>
  <si>
    <t>RDTHANA-117</t>
  </si>
  <si>
    <t>30810</t>
  </si>
  <si>
    <t>RDTHANA-113</t>
  </si>
  <si>
    <t>30734</t>
  </si>
  <si>
    <t>[Dev][RD][BOF][Service] Change service status</t>
  </si>
  <si>
    <t>07/Sep/25 3:21 PM</t>
  </si>
  <si>
    <t>03/Nov/25 3:14 PM</t>
  </si>
  <si>
    <t>[Dev][RD][APH][CT] CleverTap Event</t>
  </si>
  <si>
    <t>31/Oct/25 2:06 PM</t>
  </si>
  <si>
    <t>DEVRDECOM-73</t>
  </si>
  <si>
    <t>30661</t>
  </si>
  <si>
    <t>[DEV][RD][Eco][RR-Ecommerce-Shopify] Create Webhook API Endpoint orders</t>
  </si>
  <si>
    <t>04/Sep/25 1:17 PM</t>
  </si>
  <si>
    <t>DEVRDSUP-119</t>
  </si>
  <si>
    <t>30657</t>
  </si>
  <si>
    <t>[SUP-162]Clevertap - "LINE_FRIEND_STATUS" value is not correct</t>
  </si>
  <si>
    <t>04/Sep/25 11:35 AM</t>
  </si>
  <si>
    <t>28/Oct/25 10:30 AM</t>
  </si>
  <si>
    <t>[BU][CT] Sprint 7</t>
  </si>
  <si>
    <t>DEVRDSUP-118</t>
  </si>
  <si>
    <t>30656</t>
  </si>
  <si>
    <t>[SUP-165]Clevertap : Charge Event : Type "SPENDING_PARTNER". Some Turtle shop event not get feed to the platform</t>
  </si>
  <si>
    <t>04/Sep/25 11:31 AM</t>
  </si>
  <si>
    <t>RDTHANA-97</t>
  </si>
  <si>
    <t>30645</t>
  </si>
  <si>
    <t>[Dev][RD][BOF][Service] Edit page step 2.</t>
  </si>
  <si>
    <t>03/Sep/25 4:58 PM</t>
  </si>
  <si>
    <t>RDTHANA-96</t>
  </si>
  <si>
    <t>30642</t>
  </si>
  <si>
    <t>[Dev][RD][BOF][Service] Edit page step 1.</t>
  </si>
  <si>
    <t>03/Sep/25 4:54 PM</t>
  </si>
  <si>
    <t>RDTHANA-95</t>
  </si>
  <si>
    <t>30641</t>
  </si>
  <si>
    <t>[Dev][RD][BOF][Service] Create page step 1</t>
  </si>
  <si>
    <t>03/Sep/25 4:52 PM</t>
  </si>
  <si>
    <t>RDTHANA-94</t>
  </si>
  <si>
    <t>30639</t>
  </si>
  <si>
    <t>[Dev][RD][BOF][Service] create service index page</t>
  </si>
  <si>
    <t>03/Sep/25 4:19 PM</t>
  </si>
  <si>
    <t>03/Nov/25 3:13 PM</t>
  </si>
  <si>
    <t>20/Oct/25 11:02 AM</t>
  </si>
  <si>
    <t>31/Oct/25 4:22 PM</t>
  </si>
  <si>
    <t>DEVRDSUP-115</t>
  </si>
  <si>
    <t>30548</t>
  </si>
  <si>
    <t>[SUP-164][SSO] Request to remove all consents for RR member who never opted to consent, system auto consent to new users who registered from other source.</t>
  </si>
  <si>
    <t>01/Sep/25 5:17 PM</t>
  </si>
  <si>
    <t>31/Oct/25 4:16 PM</t>
  </si>
  <si>
    <t>DEVRDADJ-24</t>
  </si>
  <si>
    <t>30062</t>
  </si>
  <si>
    <t>[S2][Adjust] Deeplinks can be opened when the rewards status is other than Active.</t>
  </si>
  <si>
    <t>21/Aug/25 4:22 PM</t>
  </si>
  <si>
    <t>24/Oct/25 4:46 PM</t>
  </si>
  <si>
    <t>20/Oct/25 10:57 AM</t>
  </si>
  <si>
    <t>RDTHANA-19</t>
  </si>
  <si>
    <t>29948</t>
  </si>
  <si>
    <t>[Dev][RD][Section][BOF] Enhance Section Index Page</t>
  </si>
  <si>
    <t>19/Aug/25 7:45 PM</t>
  </si>
  <si>
    <t>31/Oct/25 9:58 AM</t>
  </si>
  <si>
    <t>DEVRDSUP-93</t>
  </si>
  <si>
    <t>29890</t>
  </si>
  <si>
    <t>[SUP-132][APP] Reward search result doesn't show out of stock on search result and category filter.</t>
  </si>
  <si>
    <t>19/Aug/25 11:33 AM</t>
  </si>
  <si>
    <t>30/Oct/25 2:41 PM</t>
  </si>
  <si>
    <t>02/Sep/25 12:00 AM</t>
  </si>
  <si>
    <t>DEVRDSUP-87</t>
  </si>
  <si>
    <t>29667</t>
  </si>
  <si>
    <t>[SUP-124][HR Solution] Enable to scan QR and get point when Inactive Campaign BU Allocation</t>
  </si>
  <si>
    <t>13/Aug/25 4:22 PM</t>
  </si>
  <si>
    <t>31/Oct/25 9:48 AM</t>
  </si>
  <si>
    <t>28/Aug/25 12:00 AM</t>
  </si>
  <si>
    <t>DEVRDECOM-33</t>
  </si>
  <si>
    <t>29547</t>
  </si>
  <si>
    <t>[DEV][RD][Eco][Ecommerce-Shopify] Enhance API Endpoint for Order refunded Webhook</t>
  </si>
  <si>
    <t>10/Aug/25 9:11 PM</t>
  </si>
  <si>
    <t>DEVRDECOM-25</t>
  </si>
  <si>
    <t>28845</t>
  </si>
  <si>
    <t>[DEV][RD][Eco][Ecommerce-Shopify] Enhance API Endpoint for Order Cancelled Webhook</t>
  </si>
  <si>
    <t>29/Jul/25 12:49 PM</t>
  </si>
  <si>
    <t>DEVRDECOM-24</t>
  </si>
  <si>
    <t>28843</t>
  </si>
  <si>
    <t>[DEV][RD][Eco][RR-Ecommerce-Shopify] Create Scheduled Job for Point Issuance</t>
  </si>
  <si>
    <t>29/Jul/25 11:07 AM</t>
  </si>
  <si>
    <t>02/Oct/25 12:00 AM</t>
  </si>
  <si>
    <t>RDTHANA-248</t>
  </si>
  <si>
    <t>28841</t>
  </si>
  <si>
    <t>[DEV][RD][Eco][RR-Ecommerce-Shopify][Das Haus] Enhance email verify callback with return_url</t>
  </si>
  <si>
    <t>29/Jul/25 9:57 AM</t>
  </si>
  <si>
    <t>3 ครั้ง 
1.  3 คน
2.  1 คน
3.  1 คน</t>
  </si>
  <si>
    <t>3 tasks</t>
  </si>
  <si>
    <t>Sprint 8</t>
  </si>
  <si>
    <t>DEVRDCT-267</t>
  </si>
  <si>
    <t>32656</t>
  </si>
  <si>
    <t>[DEV][RD][CT] Run script feed RR_GENDER field to user property</t>
  </si>
  <si>
    <t>17/Oct/25 10:44 AM</t>
  </si>
  <si>
    <t>17/Oct/25 11:04 AM</t>
  </si>
  <si>
    <t>17/Oct/25 12:00 AM</t>
  </si>
  <si>
    <t>sso-mimir</t>
  </si>
  <si>
    <t>RDAPS-231</t>
  </si>
  <si>
    <t>32654</t>
  </si>
  <si>
    <t xml:space="preserve">[SUP-239][ETL][OnlyAug] Catch-up redemption data (item_id, using_at, and countdown_expired_at) </t>
  </si>
  <si>
    <t>17/Oct/25 9:57 AM</t>
  </si>
  <si>
    <t>17/Oct/25 3:00 PM</t>
  </si>
  <si>
    <t>DEVRDSUP-187</t>
  </si>
  <si>
    <t>32649</t>
  </si>
  <si>
    <t>Remove incorrect binding of a wallet card, incorrect binding causes user to not be able to purchase online/ offline package</t>
  </si>
  <si>
    <t>16/Oct/25 4:50 PM</t>
  </si>
  <si>
    <t>17/Oct/25 9:00 AM</t>
  </si>
  <si>
    <t>16/Oct/25 3:16 PM</t>
  </si>
  <si>
    <t>16/Oct/25 3:18 PM</t>
  </si>
  <si>
    <t>RDTHANA-330</t>
  </si>
  <si>
    <t>32632</t>
  </si>
  <si>
    <t>[S3][Service][shopify] Shop ID NOT return as UUID</t>
  </si>
  <si>
    <t>16/Oct/25 2:41 PM</t>
  </si>
  <si>
    <t>17/Oct/25 11:31 AM</t>
  </si>
  <si>
    <t>17/Oct/25 5:07 PM</t>
  </si>
  <si>
    <t>DEVRDECOM-136</t>
  </si>
  <si>
    <t>32614</t>
  </si>
  <si>
    <t>[DEV][RD][Eco][Ecommerce-Shopify] Resolve all remaining issues in the entire workflow</t>
  </si>
  <si>
    <t>16/Oct/25 9:26 AM</t>
  </si>
  <si>
    <t>17/Oct/25 9:34 AM</t>
  </si>
  <si>
    <t>DEVRDECOM-135</t>
  </si>
  <si>
    <t>32568</t>
  </si>
  <si>
    <t>[DEV][RD][Eco][Ecommerce-Shopify] Improvement Cronjob check warehouse status</t>
  </si>
  <si>
    <t>16/Oct/25 9:21 AM</t>
  </si>
  <si>
    <t>17/Oct/25 9:35 AM</t>
  </si>
  <si>
    <t>17/Oct/25 4:24 PM</t>
  </si>
  <si>
    <t>RDAPS-225</t>
  </si>
  <si>
    <t>32554</t>
  </si>
  <si>
    <t>[SUP-243][REM] Group Rewards - Lucky Draw Amazfit</t>
  </si>
  <si>
    <t>15/Oct/25 3:25 PM</t>
  </si>
  <si>
    <t>15/Oct/25 3:29 PM</t>
  </si>
  <si>
    <t>RDTHANA-325</t>
  </si>
  <si>
    <t>32550</t>
  </si>
  <si>
    <t>15/Oct/25 3:21 PM</t>
  </si>
  <si>
    <t>RDTHANA-323</t>
  </si>
  <si>
    <t>32548</t>
  </si>
  <si>
    <t>15/Oct/25 2:37 PM</t>
  </si>
  <si>
    <t>15/Oct/25 3:08 PM</t>
  </si>
  <si>
    <t>15/Oct/25 3:38 PM</t>
  </si>
  <si>
    <t>DEVRDCT-261</t>
  </si>
  <si>
    <t>32517</t>
  </si>
  <si>
    <t>[QA] Test execution Change "Gender" to "RR_GENDER" field to user property</t>
  </si>
  <si>
    <t>15/Oct/25 2:01 PM</t>
  </si>
  <si>
    <t>16/Oct/25 10:58 AM</t>
  </si>
  <si>
    <t>RDAPS-224</t>
  </si>
  <si>
    <t>32509</t>
  </si>
  <si>
    <t>15/Oct/25 10:58 AM</t>
  </si>
  <si>
    <t>DEVRDCT-260</t>
  </si>
  <si>
    <t>32287</t>
  </si>
  <si>
    <t>14/Oct/25 7:05 PM</t>
  </si>
  <si>
    <t>15/Oct/25 5:40 PM</t>
  </si>
  <si>
    <t>[Dev][CT] Sprint 7</t>
  </si>
  <si>
    <t>[Dev][CT] Sprint 8</t>
  </si>
  <si>
    <t>DEVRDCT-259</t>
  </si>
  <si>
    <t>32285</t>
  </si>
  <si>
    <t>14/Oct/25 7:04 PM</t>
  </si>
  <si>
    <t>15/Oct/25 5:38 PM</t>
  </si>
  <si>
    <t>DEVRDSUP-180</t>
  </si>
  <si>
    <t>32281</t>
  </si>
  <si>
    <t>[Dev][SUP-240] Generate receipt for https://rr-backoffice.rabbit.co.th/dashboard/subscription/v2/orders/68e9c4e0088c8e7563e3e1bf</t>
  </si>
  <si>
    <t>14/Oct/25 6:15 PM</t>
  </si>
  <si>
    <t>15/Oct/25 9:43 AM</t>
  </si>
  <si>
    <t>DEVRDSUP-179</t>
  </si>
  <si>
    <t>32279</t>
  </si>
  <si>
    <t>[Dev][SUP-240] Root cause finding</t>
  </si>
  <si>
    <t>14/Oct/25 6:14 PM</t>
  </si>
  <si>
    <t>15/Oct/25 11:44 AM</t>
  </si>
  <si>
    <t>DEVRDSUP-178</t>
  </si>
  <si>
    <t>32277</t>
  </si>
  <si>
    <t>[SUP-240]SUB : Completed Transaction but did not generate receipt (Ticket 14 Oct)</t>
  </si>
  <si>
    <t>14/Oct/25 6:13 PM</t>
  </si>
  <si>
    <t>17/Oct/25 9:46 AM</t>
  </si>
  <si>
    <t>17/Oct/25 10:13 AM</t>
  </si>
  <si>
    <t>17/Oct/25 12:43 PM</t>
  </si>
  <si>
    <t>15/Oct/25 10:46 AM</t>
  </si>
  <si>
    <t>DEVRDSUP-171</t>
  </si>
  <si>
    <t>32187</t>
  </si>
  <si>
    <t>[SUP-234][SUB] Request to init package due to problem with RGW 09/10/2025</t>
  </si>
  <si>
    <t>09/Oct/25 7:06 PM</t>
  </si>
  <si>
    <t>16/Oct/25 1:53 PM</t>
  </si>
  <si>
    <t>DEVRDSUP-169</t>
  </si>
  <si>
    <t>32151</t>
  </si>
  <si>
    <t>[SUP-232][SUB] Request to init package due to problem with RGW 09/10/2025</t>
  </si>
  <si>
    <t>09/Oct/25 1:56 PM</t>
  </si>
  <si>
    <t>09/Oct/25 2:49 PM</t>
  </si>
  <si>
    <t>09/Oct/25 5:09 PM</t>
  </si>
  <si>
    <t>09/Oct/25 4:49 PM</t>
  </si>
  <si>
    <t>RDAPS-221</t>
  </si>
  <si>
    <t>32129</t>
  </si>
  <si>
    <t>[S3][Coupon list] Incorrect data for refunded txn</t>
  </si>
  <si>
    <t>08/Oct/25 10:28 PM</t>
  </si>
  <si>
    <t>15/Oct/25 10:45 AM</t>
  </si>
  <si>
    <t>RDAPS-220</t>
  </si>
  <si>
    <t>32105</t>
  </si>
  <si>
    <t>[QA] Run Test Execution</t>
  </si>
  <si>
    <t>08/Oct/25 4:29 PM</t>
  </si>
  <si>
    <t>08/Oct/25 4:49 PM</t>
  </si>
  <si>
    <t>14/Oct/25 10:02 AM</t>
  </si>
  <si>
    <t>RDAPS-219</t>
  </si>
  <si>
    <t>32094</t>
  </si>
  <si>
    <t>[QA] Create Test Case - Create command to email alerts for rewards expiring within 30 days</t>
  </si>
  <si>
    <t>08/Oct/25 10:23 AM</t>
  </si>
  <si>
    <t>08/Oct/25 5:57 PM</t>
  </si>
  <si>
    <t>[Dev][All Project] Sprint 8</t>
  </si>
  <si>
    <t>10/Oct/25 10:17 AM</t>
  </si>
  <si>
    <t>DEVRDECOM-125</t>
  </si>
  <si>
    <t>32082</t>
  </si>
  <si>
    <t>[DEV][RD][Eco][Theme][Das Haus] Adjust font color at Account Page</t>
  </si>
  <si>
    <t>07/Oct/25 9:33 PM</t>
  </si>
  <si>
    <t>09/Oct/25 2:22 PM</t>
  </si>
  <si>
    <t>RDAPS-218</t>
  </si>
  <si>
    <t>32079</t>
  </si>
  <si>
    <t>[DEV][RD][CT][ADHOC] Change "SPENDING_PARTNER" Events to bypass event feed filtering and refeed event that got filtered</t>
  </si>
  <si>
    <t>07/Oct/25 4:54 PM</t>
  </si>
  <si>
    <t>15/Oct/25 5:12 PM</t>
  </si>
  <si>
    <t>17/Oct/25 2:58 PM</t>
  </si>
  <si>
    <t>DEVRDCT-255</t>
  </si>
  <si>
    <t>32067</t>
  </si>
  <si>
    <t>07/Oct/25 2:14 PM</t>
  </si>
  <si>
    <t>DEVRDCT-254</t>
  </si>
  <si>
    <t>32065</t>
  </si>
  <si>
    <t>[QA] Create test case Feed "RR_GENDER" field to user property CleverTap</t>
  </si>
  <si>
    <t>07/Oct/25 2:11 PM</t>
  </si>
  <si>
    <t>15/Oct/25 3:23 PM</t>
  </si>
  <si>
    <t>RDTHANA-316</t>
  </si>
  <si>
    <t>32052</t>
  </si>
  <si>
    <t>[S2][HRS][Feature][Default BU] Set Welcome Message button malfunction after Default BU was saved once and moved to another Club</t>
  </si>
  <si>
    <t>07/Oct/25 11:42 AM</t>
  </si>
  <si>
    <t>09/Oct/25 4:17 PM</t>
  </si>
  <si>
    <t>17/Oct/25 2:07 PM</t>
  </si>
  <si>
    <t>14/Oct/25 3:13 PM</t>
  </si>
  <si>
    <t>RDAPS-217</t>
  </si>
  <si>
    <t>32014</t>
  </si>
  <si>
    <t>[Dev[RD]][SUP-228][SUB] Request to init package due to problem with RGW.</t>
  </si>
  <si>
    <t>06/Oct/25 11:34 AM</t>
  </si>
  <si>
    <t>17/Oct/25 4:04 PM</t>
  </si>
  <si>
    <t>15/Oct/25 6:54 PM</t>
  </si>
  <si>
    <t>17/Oct/25 8:42 AM</t>
  </si>
  <si>
    <t>17/Oct/25 4:48 PM</t>
  </si>
  <si>
    <t>16/Oct/25 4:33 PM</t>
  </si>
  <si>
    <t>17/Oct/25 9:16 AM</t>
  </si>
  <si>
    <t>17/Oct/25 8:43 AM</t>
  </si>
  <si>
    <t>DEVRDCT-246</t>
  </si>
  <si>
    <t>31981</t>
  </si>
  <si>
    <t>[DEV][RD][USR] On going Feed "RR_GENDER" field to user property</t>
  </si>
  <si>
    <t>05/Oct/25 10:35 AM</t>
  </si>
  <si>
    <t>DEVRDCT-245</t>
  </si>
  <si>
    <t>31980</t>
  </si>
  <si>
    <t>[DEV][RD][CT] Initial Feed "RR_GENDER" field to user property</t>
  </si>
  <si>
    <t>05/Oct/25 9:53 AM</t>
  </si>
  <si>
    <t>DEVRDCT-244</t>
  </si>
  <si>
    <t>31979</t>
  </si>
  <si>
    <t>[DEV][RD][CT][POC] Rabbit Rewards Catalogue Upload</t>
  </si>
  <si>
    <t>05/Oct/25 9:34 AM</t>
  </si>
  <si>
    <t>16/Oct/25 9:59 AM</t>
  </si>
  <si>
    <t>[Dev][DL][VGI ONE] Clear WPP Credits</t>
  </si>
  <si>
    <t>05/Oct/25 9:00 AM</t>
  </si>
  <si>
    <t>RDAPS-215</t>
  </si>
  <si>
    <t>31977</t>
  </si>
  <si>
    <t>[DEV][RD][Git Repo] Move RLP from bitbucket to github</t>
  </si>
  <si>
    <t>04/Oct/25 4:59 PM</t>
  </si>
  <si>
    <t>17/Oct/25 9:36 AM</t>
  </si>
  <si>
    <t>10/Oct/25 10:38 AM</t>
  </si>
  <si>
    <t>RDAPS-214</t>
  </si>
  <si>
    <t>31975</t>
  </si>
  <si>
    <t>[Dev][Archive Old Data] Support Devops to archive data for RLP and PL</t>
  </si>
  <si>
    <t>04/Oct/25 4:30 PM</t>
  </si>
  <si>
    <t>13/Oct/25 3:17 PM</t>
  </si>
  <si>
    <t>17/Oct/25 10:14 AM</t>
  </si>
  <si>
    <t>15/Oct/25 3:51 PM</t>
  </si>
  <si>
    <t>DEVRDSUP-162</t>
  </si>
  <si>
    <t>31971</t>
  </si>
  <si>
    <t>[SUP-224]Coupon list report : Incorrect Using date / time</t>
  </si>
  <si>
    <t>03/Oct/25 5:53 PM</t>
  </si>
  <si>
    <t>17/Oct/25 9:44 AM</t>
  </si>
  <si>
    <t>16/Oct/25 12:00 AM</t>
  </si>
  <si>
    <t>RDAPS-212</t>
  </si>
  <si>
    <t>31959</t>
  </si>
  <si>
    <t>[DEV][RD][SA] Design API Spec for pay with point service</t>
  </si>
  <si>
    <t>03/Oct/25 5:36 PM</t>
  </si>
  <si>
    <t>17/Oct/25 10:43 AM</t>
  </si>
  <si>
    <t>RDAPS-211</t>
  </si>
  <si>
    <t>31958</t>
  </si>
  <si>
    <t>[DEV][RD][SA] Design Pay with point service</t>
  </si>
  <si>
    <t>03/Oct/25 5:34 PM</t>
  </si>
  <si>
    <t>09/Oct/25 11:52 AM</t>
  </si>
  <si>
    <t>09/Oct/25 11:51 AM</t>
  </si>
  <si>
    <t>RDAPS-210</t>
  </si>
  <si>
    <t>31955</t>
  </si>
  <si>
    <t>[SUP-218][Issue from MIX team] Subscription Voucher Issue of Sep 25</t>
  </si>
  <si>
    <t>03/Oct/25 4:49 PM</t>
  </si>
  <si>
    <t>17/Oct/25 3:56 PM</t>
  </si>
  <si>
    <t>DEVRDSUP-161</t>
  </si>
  <si>
    <t>31953</t>
  </si>
  <si>
    <t>[SUP-225][SUB] After SUB TXN is made and receipt generation is slow/ failed, the thank you for purchase email doesn't get sent to users nor BCC</t>
  </si>
  <si>
    <t>03/Oct/25 4:06 PM</t>
  </si>
  <si>
    <t>07/Oct/25 12:00 AM</t>
  </si>
  <si>
    <t>RDAPS-208</t>
  </si>
  <si>
    <t>31951</t>
  </si>
  <si>
    <t>[Dev][RD][RRS] SUB purchase confirmation email can be sent BCC copy even if user's mail is dummy</t>
  </si>
  <si>
    <t>03/Oct/25 3:56 PM</t>
  </si>
  <si>
    <t>10/Oct/25 1:43 PM</t>
  </si>
  <si>
    <t>RDAPS-207</t>
  </si>
  <si>
    <t>31950</t>
  </si>
  <si>
    <t>[Dev][RD][REM] Improve coupon usage limit rule</t>
  </si>
  <si>
    <t>03/Oct/25 3:52 PM</t>
  </si>
  <si>
    <t>15/Oct/25 11:04 AM</t>
  </si>
  <si>
    <t>DEVRDECOM-114</t>
  </si>
  <si>
    <t>31943</t>
  </si>
  <si>
    <t>[Dev][RD][BFF][API Spec] Enhance get sections to support new location</t>
  </si>
  <si>
    <t>03/Oct/25 1:58 PM</t>
  </si>
  <si>
    <t>17/Oct/25 9:15 AM</t>
  </si>
  <si>
    <t>17/Oct/25 5:44 PM</t>
  </si>
  <si>
    <t>RDAPS-206</t>
  </si>
  <si>
    <t>31931</t>
  </si>
  <si>
    <t>[Dev][RD][RRS] Card Info data missing from Redemption ETL</t>
  </si>
  <si>
    <t>03/Oct/25 11:17 AM</t>
  </si>
  <si>
    <t>DEVRDSUP-159</t>
  </si>
  <si>
    <t>31927</t>
  </si>
  <si>
    <t>[SUP-223][HRSolution] Can't import employee but HR solution doesn't response anything.</t>
  </si>
  <si>
    <t>03/Oct/25 1:42 AM</t>
  </si>
  <si>
    <t>15/Oct/25 1:50 PM</t>
  </si>
  <si>
    <t>15/Oct/25 10:51 AM</t>
  </si>
  <si>
    <t>DEVRDSUP-156</t>
  </si>
  <si>
    <t>31917</t>
  </si>
  <si>
    <t>[SUP-192]Request to mark used BTS coupon LinePay card.</t>
  </si>
  <si>
    <t>02/Oct/25 2:43 PM</t>
  </si>
  <si>
    <t>15/Oct/25 1:35 PM</t>
  </si>
  <si>
    <t>DEVRDECOM-112</t>
  </si>
  <si>
    <t>31912</t>
  </si>
  <si>
    <t>[DEV][RD][LNF] Import new static deeplink</t>
  </si>
  <si>
    <t>02/Oct/25 2:11 PM</t>
  </si>
  <si>
    <t>17/Oct/25 1:51 PM</t>
  </si>
  <si>
    <t>17/Oct/25 4:09 PM</t>
  </si>
  <si>
    <t>RDTHANA-306</t>
  </si>
  <si>
    <t>31903</t>
  </si>
  <si>
    <t>[S4][HR Solution][Welcome message][Advanced Setting] Business Unit Submitting Incomplete alert message has changed</t>
  </si>
  <si>
    <t>02/Oct/25 12:45 AM</t>
  </si>
  <si>
    <t>09/Oct/25 4:18 PM</t>
  </si>
  <si>
    <t>17/Oct/25 4:08 PM</t>
  </si>
  <si>
    <t>RDAPS-202</t>
  </si>
  <si>
    <t>31889</t>
  </si>
  <si>
    <t>[DEV][RD][SA] Request for export Coupon code from rewards in Turtle Club project</t>
  </si>
  <si>
    <t>01/Oct/25 5:24 PM</t>
  </si>
  <si>
    <t>15/Oct/25 10:49 AM</t>
  </si>
  <si>
    <t>02/Oct/25 11:21 AM</t>
  </si>
  <si>
    <t>DEVRDSUP-152</t>
  </si>
  <si>
    <t>31850</t>
  </si>
  <si>
    <t>[SUP-213][SUB][LP] A user can't bind new LP card to the RR profile, RR app shows the card is already bound</t>
  </si>
  <si>
    <t>30/Sep/25 12:12 PM</t>
  </si>
  <si>
    <t>08/Oct/25 8:19 AM</t>
  </si>
  <si>
    <t>08/Oct/25 5:53 PM</t>
  </si>
  <si>
    <t>10/Oct/25 10:01 AM</t>
  </si>
  <si>
    <t>17/Oct/25 4:16 PM</t>
  </si>
  <si>
    <t>14/Oct/25 10:03 AM</t>
  </si>
  <si>
    <t>RDAPS-199</t>
  </si>
  <si>
    <t>31674</t>
  </si>
  <si>
    <t>[DEV][RD][Merchant Ranking] Add sync process log</t>
  </si>
  <si>
    <t>26/Sep/25 9:42 AM</t>
  </si>
  <si>
    <t>17/Oct/25 10:42 AM</t>
  </si>
  <si>
    <t>08/Oct/25 3:06 PM</t>
  </si>
  <si>
    <t>17/Oct/25 2:57 PM</t>
  </si>
  <si>
    <t>[TP][Thana city] Sprint 8</t>
  </si>
  <si>
    <t>06/Oct/25 10:42 AM</t>
  </si>
  <si>
    <t>DEVRDECOM-104</t>
  </si>
  <si>
    <t>31499</t>
  </si>
  <si>
    <t>22/Sep/25 10:13 PM</t>
  </si>
  <si>
    <t>10/Oct/25 9:07 AM</t>
  </si>
  <si>
    <t>DEVRDECOM-103</t>
  </si>
  <si>
    <t>31497</t>
  </si>
  <si>
    <t>DEVRDECOM-102</t>
  </si>
  <si>
    <t>31495</t>
  </si>
  <si>
    <t>RDTHANA-257</t>
  </si>
  <si>
    <t>31489</t>
  </si>
  <si>
    <t>01/Oct/25 10:05 AM</t>
  </si>
  <si>
    <t>RDTHANA-255</t>
  </si>
  <si>
    <t>31485</t>
  </si>
  <si>
    <t>29/Sep/25 9:48 AM</t>
  </si>
  <si>
    <t>[Dev][RDAdjust] Sprint 8</t>
  </si>
  <si>
    <t>RDAPS-193</t>
  </si>
  <si>
    <t>31428</t>
  </si>
  <si>
    <t>[Dev][RD][RRS] Create command to email alerts for rewards expiring within 30 days</t>
  </si>
  <si>
    <t>21/Sep/25 7:56 PM</t>
  </si>
  <si>
    <t>16/Oct/25 1:46 PM</t>
  </si>
  <si>
    <t>24/Sep/25 12:00 AM</t>
  </si>
  <si>
    <t>16/Oct/25 9:56 AM</t>
  </si>
  <si>
    <t>15/Oct/25 4:16 PM</t>
  </si>
  <si>
    <t>DEVRDECOM-92</t>
  </si>
  <si>
    <t>31345</t>
  </si>
  <si>
    <t>[DEV][RD][Eco][Rewards-Member] Setup and Running Redis Queue</t>
  </si>
  <si>
    <t>18/Sep/25 8:00 PM</t>
  </si>
  <si>
    <t>07/Oct/25 4:36 PM</t>
  </si>
  <si>
    <t>rewards-member</t>
  </si>
  <si>
    <t>15/Oct/25 4:03 PM</t>
  </si>
  <si>
    <t>DEVRDECOM-89</t>
  </si>
  <si>
    <t>31341</t>
  </si>
  <si>
    <t>[DEV][RD][Eco][POC] Dynamic Section by Customer Location for Turtle shop</t>
  </si>
  <si>
    <t>18/Sep/25 5:56 PM</t>
  </si>
  <si>
    <t>07/Oct/25 2:38 PM</t>
  </si>
  <si>
    <t>DEVRDECOM-86</t>
  </si>
  <si>
    <t>31337</t>
  </si>
  <si>
    <t>[DEV][RD][Eco][Setup] Auto login &amp; Verify email for Turtle shop</t>
  </si>
  <si>
    <t>18/Sep/25 5:45 PM</t>
  </si>
  <si>
    <t>09/Oct/25 10:50 AM</t>
  </si>
  <si>
    <t>DEVRDECOM-85</t>
  </si>
  <si>
    <t>31336</t>
  </si>
  <si>
    <t>[DEV][RD][Eco][Setup] Auto login &amp; Verify email for Das Haus shop</t>
  </si>
  <si>
    <t>18/Sep/25 5:36 PM</t>
  </si>
  <si>
    <t>DEVRDECOM-84</t>
  </si>
  <si>
    <t>31335</t>
  </si>
  <si>
    <t>[DEV][RD][Eco][Setup] Auto login &amp; Verify email for Snackmaker shop</t>
  </si>
  <si>
    <t>18/Sep/25 5:30 PM</t>
  </si>
  <si>
    <t>RDTHANA-225</t>
  </si>
  <si>
    <t>31328</t>
  </si>
  <si>
    <t>[DEV][RD][HRS] Enhance import employee bu list with member_method and is_import</t>
  </si>
  <si>
    <t>18/Sep/25 4:01 PM</t>
  </si>
  <si>
    <t>15/Oct/25 3:37 PM</t>
  </si>
  <si>
    <t>RDTHANA-223</t>
  </si>
  <si>
    <t>31326</t>
  </si>
  <si>
    <t>[DEV][RD][HRS] Enhance default bu welcome message link</t>
  </si>
  <si>
    <t>18/Sep/25 3:56 PM</t>
  </si>
  <si>
    <t>DEVRDCT-228</t>
  </si>
  <si>
    <t>30800</t>
  </si>
  <si>
    <t>[QA] Update Test Case</t>
  </si>
  <si>
    <t>09/Sep/25 11:14 AM</t>
  </si>
  <si>
    <t>DEVRDCT-227</t>
  </si>
  <si>
    <t>30798</t>
  </si>
  <si>
    <t>14/Oct/25 7:03 PM</t>
  </si>
  <si>
    <t>DEVRDSUP-123</t>
  </si>
  <si>
    <t>30690</t>
  </si>
  <si>
    <t>[SUP-166]Clevertap : Found Check in Transaction in Charge Event</t>
  </si>
  <si>
    <t>04/Sep/25 4:52 PM</t>
  </si>
  <si>
    <t>17/Oct/25 10:25 AM</t>
  </si>
  <si>
    <t>15/Oct/25 2:33 PM</t>
  </si>
  <si>
    <t>17/Oct/25 10:39 AM</t>
  </si>
  <si>
    <t>DEVRDCT-224</t>
  </si>
  <si>
    <t>30653</t>
  </si>
  <si>
    <t>[DEV][RD][RDS] FIX REDEEM EVENT - INTERNAL NAME value now use EN Name as value</t>
  </si>
  <si>
    <t>04/Sep/25 8:46 AM</t>
  </si>
  <si>
    <t>14/Oct/25 6:52 PM</t>
  </si>
  <si>
    <t>DEVRDCT-223</t>
  </si>
  <si>
    <t>30652</t>
  </si>
  <si>
    <t>[DEV][RD][RDS] ENH Add "Offer ID" to "REDEEM" EVENT</t>
  </si>
  <si>
    <t>04/Sep/25 7:48 AM</t>
  </si>
  <si>
    <t>DEVRDCT-222</t>
  </si>
  <si>
    <t>30651</t>
  </si>
  <si>
    <t>[DEV][RD][RDS] ENH Add "Offer ID" to "MEMBER COUPON" EVENT</t>
  </si>
  <si>
    <t>04/Sep/25 6:58 AM</t>
  </si>
  <si>
    <t>RDAPS-175</t>
  </si>
  <si>
    <t>30649</t>
  </si>
  <si>
    <t>[DEV][RD][SSO Handover] GCP SSO SSL management &amp; Domain</t>
  </si>
  <si>
    <t>03/Sep/25 5:04 PM</t>
  </si>
  <si>
    <t>RDAPS-174</t>
  </si>
  <si>
    <t>30648</t>
  </si>
  <si>
    <t>[DEV][RD][SSO Handover] GCP GKE Pipeline Deployment</t>
  </si>
  <si>
    <t>03/Sep/25 5:03 PM</t>
  </si>
  <si>
    <t>09/Oct/25 4:16 PM</t>
  </si>
  <si>
    <t>RDAPS-173</t>
  </si>
  <si>
    <t>30647</t>
  </si>
  <si>
    <t>[DEV][RD][SSO Handover] Overiew GKE All Cluster</t>
  </si>
  <si>
    <t>03/Sep/25 5:00 PM</t>
  </si>
  <si>
    <t>10/Oct/25 3:38 PM</t>
  </si>
  <si>
    <t>15/Oct/25 10:10 AM</t>
  </si>
  <si>
    <t>15/Oct/25 3:35 PM</t>
  </si>
  <si>
    <t>15/Oct/25 3:49 PM</t>
  </si>
  <si>
    <t>19/Oct/25 9:23 PM</t>
  </si>
  <si>
    <t>19/Oct/25 9:12 PM</t>
  </si>
  <si>
    <t>09/Oct/25 11:54 AM</t>
  </si>
  <si>
    <t>19/Oct/25 9:13 PM</t>
  </si>
  <si>
    <t>17/Oct/25 4:01 PM</t>
  </si>
  <si>
    <t>17/Oct/25 9:47 AM</t>
  </si>
  <si>
    <t>16/Oct/25 3:56 PM</t>
  </si>
  <si>
    <t>RDAPS-141</t>
  </si>
  <si>
    <t>29339</t>
  </si>
  <si>
    <t>[Dev][RD][POC][SMS sub-account to support new sender IDs]</t>
  </si>
  <si>
    <t>05/Aug/25 5:01 PM</t>
  </si>
  <si>
    <t>[Dev][All project]Sprint 4</t>
  </si>
  <si>
    <t>[Dev][All project]Sprint 5</t>
  </si>
  <si>
    <t>RDAPS-129</t>
  </si>
  <si>
    <t>28895</t>
  </si>
  <si>
    <t>[Dev][RD][Redemption Consumer] Enhance coupon codes allocation process</t>
  </si>
  <si>
    <t>29/Jul/25 4:53 PM</t>
  </si>
  <si>
    <t>17/Oct/25 4:07 PM</t>
  </si>
  <si>
    <t>15/Oct/25 4:12 PM</t>
  </si>
  <si>
    <t>15/Oct/25 4:15 PM</t>
  </si>
  <si>
    <t>RDAPS-113</t>
  </si>
  <si>
    <t>28752</t>
  </si>
  <si>
    <t>[Dev][RD][Rewards API] Enhance API to get product by ID, Slug to support new fields for e-commerce type</t>
  </si>
  <si>
    <t>24/Jul/25 7:25 PM</t>
  </si>
  <si>
    <t>3 ครั้ง 
1.  1 คน
2.  1 คน
3.  3 คน</t>
  </si>
  <si>
    <t>Sprint 7</t>
  </si>
  <si>
    <t>03/Oct/25 11:25 AM</t>
  </si>
  <si>
    <t>06/Oct/25 2:05 PM</t>
  </si>
  <si>
    <t>06/Oct/25 2:15 PM</t>
  </si>
  <si>
    <t>No original est</t>
  </si>
  <si>
    <t>02/Oct/25 3:08 PM</t>
  </si>
  <si>
    <t>RDTHANA-305</t>
  </si>
  <si>
    <t>31902</t>
  </si>
  <si>
    <t>[S4][HR Solution][Welcome message][Pop up setting] Destination button text fields not set as the required field</t>
  </si>
  <si>
    <t>Art_narupontp</t>
  </si>
  <si>
    <t>02/Oct/25 12:22 AM</t>
  </si>
  <si>
    <t>03/Oct/25 1:41 PM</t>
  </si>
  <si>
    <t>RDTHANA-304</t>
  </si>
  <si>
    <t>31901</t>
  </si>
  <si>
    <t>[S4][HR Solution][Welcome message][Pop up setting] Destination body messages don't have character counter</t>
  </si>
  <si>
    <t>02/Oct/25 12:03 AM</t>
  </si>
  <si>
    <t>03/Oct/25 1:33 PM</t>
  </si>
  <si>
    <t>01/Oct/25 5:26 PM</t>
  </si>
  <si>
    <t>RDTHANA-296</t>
  </si>
  <si>
    <t>31878</t>
  </si>
  <si>
    <t>[S2][HR-Solution][Feature] Unable to add more club configuration</t>
  </si>
  <si>
    <t>01/Oct/25 1:52 PM</t>
  </si>
  <si>
    <t>02/Oct/25 11:03 AM</t>
  </si>
  <si>
    <t>DEVRDCT-240</t>
  </si>
  <si>
    <t>31854</t>
  </si>
  <si>
    <t>[S3][CleverTap][Webhook][Club Binding Event] Club binding status event unbind not feed to CT through Webhook API</t>
  </si>
  <si>
    <t>30/Sep/25 1:17 PM</t>
  </si>
  <si>
    <t>01/Oct/25 10:18 AM</t>
  </si>
  <si>
    <t>03/Oct/25 9:33 AM</t>
  </si>
  <si>
    <t>29/Sep/25 3:03 PM</t>
  </si>
  <si>
    <t>DEVRDCT-239</t>
  </si>
  <si>
    <t>31813</t>
  </si>
  <si>
    <t>[QA] Test execution Club Binding Event</t>
  </si>
  <si>
    <t>29/Sep/25 2:21 PM</t>
  </si>
  <si>
    <t>30/Sep/25 9:01 PM</t>
  </si>
  <si>
    <t>RDAPS-200</t>
  </si>
  <si>
    <t>31808</t>
  </si>
  <si>
    <t>[DEV][RD][SSO User][BSS] Disable sync member consent detail to RR member's consent</t>
  </si>
  <si>
    <t>29/Sep/25 1:30 PM</t>
  </si>
  <si>
    <t>02/Oct/25 1:17 PM</t>
  </si>
  <si>
    <t>DEVRDECOM-109</t>
  </si>
  <si>
    <t>31716</t>
  </si>
  <si>
    <t>26/Sep/25 3:55 PM</t>
  </si>
  <si>
    <t>02/Oct/25 10:57 AM</t>
  </si>
  <si>
    <t>DEVRDECOM-108</t>
  </si>
  <si>
    <t>31714</t>
  </si>
  <si>
    <t>26/Sep/25 4:11 PM</t>
  </si>
  <si>
    <t>03/Oct/25 10:22 AM</t>
  </si>
  <si>
    <t>DEVRDCT-238</t>
  </si>
  <si>
    <t>31656</t>
  </si>
  <si>
    <t>[Dev][RD][CID] Improve CLI for Initial feed Rabbit Wallet Card to CleverTap</t>
  </si>
  <si>
    <t>25/Sep/25 10:44 AM</t>
  </si>
  <si>
    <t>03/Oct/25 9:30 AM</t>
  </si>
  <si>
    <t>RDAPS-197</t>
  </si>
  <si>
    <t>31655</t>
  </si>
  <si>
    <t>[QA] Test - Happy case on UAT</t>
  </si>
  <si>
    <t>25/Sep/25 10:30 AM</t>
  </si>
  <si>
    <t>30/Sep/25 4:32 PM</t>
  </si>
  <si>
    <t>QA-195</t>
  </si>
  <si>
    <t>31630</t>
  </si>
  <si>
    <t>[TS][Thana city] HRS - Business Unit - Welcome Message Setting - Pop up tab</t>
  </si>
  <si>
    <t>24/Sep/25 5:13 PM</t>
  </si>
  <si>
    <t>02/Oct/25 1:07 AM</t>
  </si>
  <si>
    <t>RDTHANA-272</t>
  </si>
  <si>
    <t>31552</t>
  </si>
  <si>
    <t>[S3][Edit Business Unit][Advanced setting] Advanced Setting is not saved as expected</t>
  </si>
  <si>
    <t>23/Sep/25 5:54 PM</t>
  </si>
  <si>
    <t>01/Oct/25 3:31 PM</t>
  </si>
  <si>
    <t>RDTHANA-271</t>
  </si>
  <si>
    <t>31551</t>
  </si>
  <si>
    <t>[S4][Edit Business Unit][Advanced setting] Successful toast wording and design is mismatch from Figma</t>
  </si>
  <si>
    <t>23/Sep/25 5:36 PM</t>
  </si>
  <si>
    <t>01/Oct/25 5:04 PM</t>
  </si>
  <si>
    <t>RDTHANA-269</t>
  </si>
  <si>
    <t>31549</t>
  </si>
  <si>
    <t>[S4][Edit Business Unit][Advanced setting] "Application" default in "Opt-in via" checkbox design does not have a selected sign</t>
  </si>
  <si>
    <t>23/Sep/25 5:05 PM</t>
  </si>
  <si>
    <t>29/Sep/25 10:25 AM</t>
  </si>
  <si>
    <t>QA-77</t>
  </si>
  <si>
    <t>31538</t>
  </si>
  <si>
    <t>[TS][Thana city] HRS - Business Unit - Advance setting</t>
  </si>
  <si>
    <t>23/Sep/25 2:01 PM</t>
  </si>
  <si>
    <t>RDAPS-196</t>
  </si>
  <si>
    <t>31530</t>
  </si>
  <si>
    <t>[Dev][RD][BFF] Change cache TTL for get SSO user profile</t>
  </si>
  <si>
    <t>23/Sep/25 1:40 PM</t>
  </si>
  <si>
    <t>DEVRDCT-237</t>
  </si>
  <si>
    <t>31508</t>
  </si>
  <si>
    <t>23/Sep/25 10:42 AM</t>
  </si>
  <si>
    <t>02/Oct/25 11:12 AM</t>
  </si>
  <si>
    <t>[Dev][CT] Sprint 5</t>
  </si>
  <si>
    <t>[Dev][CT] Sprint 6</t>
  </si>
  <si>
    <t>23/Sep/25 10:39 AM</t>
  </si>
  <si>
    <t>24/Sep/25 6:03 PM</t>
  </si>
  <si>
    <t>01/Oct/25 2:37 PM</t>
  </si>
  <si>
    <t>DEVRDADJ-50</t>
  </si>
  <si>
    <t>31471</t>
  </si>
  <si>
    <t>22/Sep/25 10:05 PM</t>
  </si>
  <si>
    <t>23/Sep/25 10:53 AM</t>
  </si>
  <si>
    <t>DEVRDADJ-49</t>
  </si>
  <si>
    <t>31469</t>
  </si>
  <si>
    <t>23/Sep/25 10:52 AM</t>
  </si>
  <si>
    <t>DEVRDADJ-48</t>
  </si>
  <si>
    <t>31467</t>
  </si>
  <si>
    <t>DEVRDADJ-46</t>
  </si>
  <si>
    <t>31463</t>
  </si>
  <si>
    <t>01/Oct/25 1:24 PM</t>
  </si>
  <si>
    <t>01/Oct/25 1:56 PM</t>
  </si>
  <si>
    <t>RDAPS-195</t>
  </si>
  <si>
    <t>31455</t>
  </si>
  <si>
    <t>[Dev][RD] Manual run Redemption ETL &amp; Subscription TXN Report to DA</t>
  </si>
  <si>
    <t>22/Sep/25 5:42 PM</t>
  </si>
  <si>
    <t>22/Sep/25 5:44 PM</t>
  </si>
  <si>
    <t>03/Oct/25 9:32 AM</t>
  </si>
  <si>
    <t>01/Oct/25 9:45 AM</t>
  </si>
  <si>
    <t>29/Sep/25 1:04 PM</t>
  </si>
  <si>
    <t>03/Oct/25 10:25 AM</t>
  </si>
  <si>
    <t>01/Oct/25 10:50 AM</t>
  </si>
  <si>
    <t>06/Oct/25 2:22 PM</t>
  </si>
  <si>
    <t>RDTHANA-237</t>
  </si>
  <si>
    <t>31427</t>
  </si>
  <si>
    <t>[DEV][RD][APH] Create migration</t>
  </si>
  <si>
    <t>21/Sep/25 3:40 PM</t>
  </si>
  <si>
    <t>03/Oct/25 10:00 AM</t>
  </si>
  <si>
    <t>01/Oct/25 11:22 AM</t>
  </si>
  <si>
    <t>DEVRDECOM-96</t>
  </si>
  <si>
    <t>31397</t>
  </si>
  <si>
    <t>[DEV][RD][Eco][BFF] Enhance  auto-login-url with return_url for Banner link</t>
  </si>
  <si>
    <t>20/Sep/25 9:39 PM</t>
  </si>
  <si>
    <t>07/Oct/25 8:37 AM</t>
  </si>
  <si>
    <t>DEVRDECOM-95</t>
  </si>
  <si>
    <t>31396</t>
  </si>
  <si>
    <t>[DEV][RD][Eco][RR-Ecommerce-Shopify] Create Data Migration</t>
  </si>
  <si>
    <t>19/Sep/25 8:36 PM</t>
  </si>
  <si>
    <t>30/Sep/25 10:03 AM</t>
  </si>
  <si>
    <t>RDTHANA-235</t>
  </si>
  <si>
    <t>31389</t>
  </si>
  <si>
    <t>[S4][HRS][Member] Field "Added Member Channel" not type drop down and UI does not match the request</t>
  </si>
  <si>
    <t>19/Sep/25 3:08 PM</t>
  </si>
  <si>
    <t>26/Sep/25 3:58 PM</t>
  </si>
  <si>
    <t>06/Oct/25 9:47 AM</t>
  </si>
  <si>
    <t>DEVRDECOM-93</t>
  </si>
  <si>
    <t>31383</t>
  </si>
  <si>
    <t>[DEV][RD][Eco][RR-Ecommerce-Shopify] Enhance  auto-login-url with return_url for Banner link</t>
  </si>
  <si>
    <t>19/Sep/25 1:19 PM</t>
  </si>
  <si>
    <t>07/Oct/25 8:38 AM</t>
  </si>
  <si>
    <t>RDAPS-192</t>
  </si>
  <si>
    <t>31369</t>
  </si>
  <si>
    <t>[Dev][RD][Order] Add 'publishPrice' field to sync data to DA</t>
  </si>
  <si>
    <t>19/Sep/25 10:56 AM</t>
  </si>
  <si>
    <t>01/Oct/25 10:51 AM</t>
  </si>
  <si>
    <t>DEVRDECOM-91</t>
  </si>
  <si>
    <t>31344</t>
  </si>
  <si>
    <t>[DEV][RD][Eco][Setup] Setup Webhook and Mapping API Gateway</t>
  </si>
  <si>
    <t>18/Sep/25 7:31 PM</t>
  </si>
  <si>
    <t>07/Oct/25 8:39 AM</t>
  </si>
  <si>
    <t>DEVRDECOM-88</t>
  </si>
  <si>
    <t>31340</t>
  </si>
  <si>
    <t>[DEV][RD][Eco][Ecommerce-Shopify] Sync Order Data from Shopify Stores to Data Mart</t>
  </si>
  <si>
    <t>18/Sep/25 5:55 PM</t>
  </si>
  <si>
    <t>02/Oct/25 4:23 PM</t>
  </si>
  <si>
    <t>DEVRDECOM-87</t>
  </si>
  <si>
    <t>31339</t>
  </si>
  <si>
    <t>[DEV][RD][Eco][Spec] Banner link to Shopify with return_url</t>
  </si>
  <si>
    <t>18/Sep/25 5:52 PM</t>
  </si>
  <si>
    <t>07/Oct/25 8:40 AM</t>
  </si>
  <si>
    <t>07/Oct/25 8:41 AM</t>
  </si>
  <si>
    <t>29/Sep/25 10:41 AM</t>
  </si>
  <si>
    <t>29/Sep/25 9:41 AM</t>
  </si>
  <si>
    <t>26/Sep/25 3:07 PM</t>
  </si>
  <si>
    <t>01/Oct/25 10:03 AM</t>
  </si>
  <si>
    <t>24/Sep/25 4:02 PM</t>
  </si>
  <si>
    <t>07/Oct/25 8:43 AM</t>
  </si>
  <si>
    <t>DEVRDECOM-81</t>
  </si>
  <si>
    <t>31324</t>
  </si>
  <si>
    <t>[DEV][RD][Eco][Spec]  Join club via RR web with token encryption</t>
  </si>
  <si>
    <t>18/Sep/25 3:21 PM</t>
  </si>
  <si>
    <t>RDAPS-190</t>
  </si>
  <si>
    <t>31318</t>
  </si>
  <si>
    <t>[Dev][RD][Order API] Enhancement on refund button to cross check payment status before sending refund request</t>
  </si>
  <si>
    <t>18/Sep/25 2:27 PM</t>
  </si>
  <si>
    <t>01/Oct/25 10:14 AM</t>
  </si>
  <si>
    <t>order-api</t>
  </si>
  <si>
    <t>03/Oct/25 10:28 AM</t>
  </si>
  <si>
    <t>DEVRDADJ-43</t>
  </si>
  <si>
    <t>31313</t>
  </si>
  <si>
    <t>[DEV][RD][LNF] create script to remove "adj_redirect" in existing deeplink</t>
  </si>
  <si>
    <t>18/Sep/25 1:50 PM</t>
  </si>
  <si>
    <t>26/Sep/25 10:33 AM</t>
  </si>
  <si>
    <t>RDTHANA-222</t>
  </si>
  <si>
    <t>31299</t>
  </si>
  <si>
    <t>[QA]  Test Execution</t>
  </si>
  <si>
    <t>17/Sep/25 4:37 PM</t>
  </si>
  <si>
    <t>23/Sep/25 2:50 PM</t>
  </si>
  <si>
    <t>RDTHANA-221</t>
  </si>
  <si>
    <t>31297</t>
  </si>
  <si>
    <t>23/Sep/25 1:28 PM</t>
  </si>
  <si>
    <t>RDTHANA-220</t>
  </si>
  <si>
    <t>31295</t>
  </si>
  <si>
    <t>23/Sep/25 1:27 PM</t>
  </si>
  <si>
    <t>RDTHANA-219</t>
  </si>
  <si>
    <t>31293</t>
  </si>
  <si>
    <t>24/Sep/25 6:04 PM</t>
  </si>
  <si>
    <t>RDTHANA-218</t>
  </si>
  <si>
    <t>31291</t>
  </si>
  <si>
    <t>17/Sep/25 4:36 PM</t>
  </si>
  <si>
    <t>23/Sep/25 1:26 PM</t>
  </si>
  <si>
    <t>RDTHANA-217</t>
  </si>
  <si>
    <t>31277</t>
  </si>
  <si>
    <t>[S4][Welcome message] Tab Welcome message display when setting condition Welcome message is inactive</t>
  </si>
  <si>
    <t>17/Sep/25 3:13 PM</t>
  </si>
  <si>
    <t>02/Oct/25 2:09 PM</t>
  </si>
  <si>
    <t>RDTHANA-216</t>
  </si>
  <si>
    <t>31271</t>
  </si>
  <si>
    <t>[QA] Test execution Pop up tab in Welcome message</t>
  </si>
  <si>
    <t>17/Sep/25 1:38 PM</t>
  </si>
  <si>
    <t>02/Oct/25 1:27 AM</t>
  </si>
  <si>
    <t>RDTHANA-215</t>
  </si>
  <si>
    <t>31269</t>
  </si>
  <si>
    <t>[QA] Test execution Advance Setting Tab</t>
  </si>
  <si>
    <t>RDTHANA-178</t>
  </si>
  <si>
    <t>31139</t>
  </si>
  <si>
    <t>15/Sep/25 3:30 PM</t>
  </si>
  <si>
    <t>22/Sep/25 10:46 AM</t>
  </si>
  <si>
    <t>RDTHANA-177</t>
  </si>
  <si>
    <t>31137</t>
  </si>
  <si>
    <t>02/Oct/25 10:14 AM</t>
  </si>
  <si>
    <t>RDTHANA-176</t>
  </si>
  <si>
    <t>31135</t>
  </si>
  <si>
    <t>[S3][HRS][Feature][Set Welcome Message] When change Default Business Unit the button doesn't disappear</t>
  </si>
  <si>
    <t>15/Sep/25 3:13 PM</t>
  </si>
  <si>
    <t>29/Sep/25 9:43 AM</t>
  </si>
  <si>
    <t>RDTHANA-175</t>
  </si>
  <si>
    <t>31131</t>
  </si>
  <si>
    <t>Run import on prod</t>
  </si>
  <si>
    <t>15/Sep/25 2:42 PM</t>
  </si>
  <si>
    <t>RDTHANA-174</t>
  </si>
  <si>
    <t>31129</t>
  </si>
  <si>
    <t>Enhance import function</t>
  </si>
  <si>
    <t>15/Sep/25 2:41 PM</t>
  </si>
  <si>
    <t>17/Sep/25 3:58 PM</t>
  </si>
  <si>
    <t>RDTHANA-173</t>
  </si>
  <si>
    <t>31127</t>
  </si>
  <si>
    <t>[S3][HRS][Feature][Field] Default Business Unit for Opt-in Member Channel not required field</t>
  </si>
  <si>
    <t>15/Sep/25 2:22 PM</t>
  </si>
  <si>
    <t>29/Sep/25 9:42 AM</t>
  </si>
  <si>
    <t>RDTHANA-172</t>
  </si>
  <si>
    <t>31126</t>
  </si>
  <si>
    <t>[S4][HRS][Feature][Sort] BU list is not sorted alphabetically.</t>
  </si>
  <si>
    <t>15/Sep/25 2:04 PM</t>
  </si>
  <si>
    <t>26/Sep/25 4:01 PM</t>
  </si>
  <si>
    <t>RDTHANA-171</t>
  </si>
  <si>
    <t>31125</t>
  </si>
  <si>
    <t>[S4][HRS][Feature][Default Business Unit] The display format is incorrect.</t>
  </si>
  <si>
    <t>15/Sep/25 1:57 PM</t>
  </si>
  <si>
    <t>26/Sep/25 4:02 PM</t>
  </si>
  <si>
    <t>RDTHANA-158</t>
  </si>
  <si>
    <t>31036</t>
  </si>
  <si>
    <t>12/Sep/25 1:09 PM</t>
  </si>
  <si>
    <t>RDTHANA-157</t>
  </si>
  <si>
    <t>31032</t>
  </si>
  <si>
    <t>[S4][HRS][Business Unit][Filter Name] The filter column name and active column symbol is incorrect according to Figma.</t>
  </si>
  <si>
    <t>12/Sep/25 11:19 AM</t>
  </si>
  <si>
    <t>26/Sep/25 3:19 PM</t>
  </si>
  <si>
    <t>RDTHANA-153</t>
  </si>
  <si>
    <t>31022</t>
  </si>
  <si>
    <t>11/Sep/25 10:00 PM</t>
  </si>
  <si>
    <t>RDTHANA-152</t>
  </si>
  <si>
    <t>31020</t>
  </si>
  <si>
    <t>[TX][Thana city] Sprint7</t>
  </si>
  <si>
    <t>11/Sep/25 9:57 PM</t>
  </si>
  <si>
    <t>29/Sep/25 9:45 AM</t>
  </si>
  <si>
    <t>RDTHANA-151</t>
  </si>
  <si>
    <t>31019</t>
  </si>
  <si>
    <t>[TP][Thana city] Sprint7</t>
  </si>
  <si>
    <t>11/Sep/25 9:56 PM</t>
  </si>
  <si>
    <t>RDTHANA-150</t>
  </si>
  <si>
    <t>31018</t>
  </si>
  <si>
    <t>[TS][Thana city] Sprint7</t>
  </si>
  <si>
    <t>22/Sep/25 11:02 AM</t>
  </si>
  <si>
    <t>18/Sep/25 9:19 AM</t>
  </si>
  <si>
    <t>17/Sep/25 10:52 PM</t>
  </si>
  <si>
    <t>DEVRDCT-229</t>
  </si>
  <si>
    <t>30802</t>
  </si>
  <si>
    <t>[QA] Create Test Case Club Binding Event</t>
  </si>
  <si>
    <t>02/Oct/25 11:54 PM</t>
  </si>
  <si>
    <t>DEVRDADJ-35</t>
  </si>
  <si>
    <t>30728</t>
  </si>
  <si>
    <t>[DEV][RD][LNF] Create migration for maid</t>
  </si>
  <si>
    <t>06/Sep/25 4:01 PM</t>
  </si>
  <si>
    <t>16/Sep/25 10:05 AM</t>
  </si>
  <si>
    <t>03/Oct/25 10:24 AM</t>
  </si>
  <si>
    <t>06/Oct/25 9:46 AM</t>
  </si>
  <si>
    <t>RDTHANA-103</t>
  </si>
  <si>
    <t>30679</t>
  </si>
  <si>
    <t>[QA] Test Execution Get club by id</t>
  </si>
  <si>
    <t>04/Sep/25 1:48 PM</t>
  </si>
  <si>
    <t>06/Oct/25 10:26 AM</t>
  </si>
  <si>
    <t>RDTHANA-102</t>
  </si>
  <si>
    <t>30677</t>
  </si>
  <si>
    <t>[QA] Test Execution get club</t>
  </si>
  <si>
    <t>04/Sep/25 1:47 PM</t>
  </si>
  <si>
    <t>RDTHANA-101</t>
  </si>
  <si>
    <t>30675</t>
  </si>
  <si>
    <t>[QA] Test Execution bind user to partner club</t>
  </si>
  <si>
    <t>04/Sep/25 1:46 PM</t>
  </si>
  <si>
    <t>12/Sep/25 1:11 PM</t>
  </si>
  <si>
    <t>RDTHANA-100</t>
  </si>
  <si>
    <t>30673</t>
  </si>
  <si>
    <t>[QA] Test Execution check user eligiblility for partner club binding</t>
  </si>
  <si>
    <t>04/Sep/25 1:45 PM</t>
  </si>
  <si>
    <t>DEVRDECOM-74</t>
  </si>
  <si>
    <t>30662</t>
  </si>
  <si>
    <t>[DEV][RD][Eco][User Manual] Create user manual for recheck and Update Theme Code After Shopify Theme Update</t>
  </si>
  <si>
    <t>04/Sep/25 1:18 PM</t>
  </si>
  <si>
    <t>07/Oct/25 8:42 AM</t>
  </si>
  <si>
    <t>[Dev][RD][Ecom] Sprint 7</t>
  </si>
  <si>
    <t>DEVRDECOM-72</t>
  </si>
  <si>
    <t>30660</t>
  </si>
  <si>
    <t>[DEV][RD][Eco][POC] Adjust Shopify Theme Atelier</t>
  </si>
  <si>
    <t>04/Sep/25 1:16 PM</t>
  </si>
  <si>
    <t>DEVRDCT-225</t>
  </si>
  <si>
    <t>30654</t>
  </si>
  <si>
    <t>[DEV][RD][HR] Implement Club Binding Event</t>
  </si>
  <si>
    <t>04/Sep/25 9:14 AM</t>
  </si>
  <si>
    <t>22/Sep/25 3:40 PM</t>
  </si>
  <si>
    <t>02/Oct/25 9:45 AM</t>
  </si>
  <si>
    <t>06/Oct/25 9:45 AM</t>
  </si>
  <si>
    <t>06/Oct/25 9:40 AM</t>
  </si>
  <si>
    <t>RDAPS-172</t>
  </si>
  <si>
    <t>30646</t>
  </si>
  <si>
    <t>[DEV][RD][SSO Handover] GCP Solution Architecture</t>
  </si>
  <si>
    <t>03/Sep/25 4:59 PM</t>
  </si>
  <si>
    <t>03/Oct/25 10:27 AM</t>
  </si>
  <si>
    <t>26/Sep/25 9:57 AM</t>
  </si>
  <si>
    <t>26/Sep/25 9:56 AM</t>
  </si>
  <si>
    <t>03/Sep/25 4:09 PM</t>
  </si>
  <si>
    <t>DEVRDADJ-33</t>
  </si>
  <si>
    <t>30634</t>
  </si>
  <si>
    <t>[DEV][RD][Notification API] Create new endpoint to get maid with sso_id/trader_id</t>
  </si>
  <si>
    <t>03/Sep/25 4:05 PM</t>
  </si>
  <si>
    <t>09/Sep/25 11:01 AM</t>
  </si>
  <si>
    <t>DEVRDADJ-32</t>
  </si>
  <si>
    <t>30633</t>
  </si>
  <si>
    <t>[DEV][RD][Notification API] Enhance API for bypass maid from RR application</t>
  </si>
  <si>
    <t>03/Sep/25 4:02 PM</t>
  </si>
  <si>
    <t>22/Sep/25 5:12 PM</t>
  </si>
  <si>
    <t>23/Sep/25 3:26 PM</t>
  </si>
  <si>
    <t>RDTHANA-78</t>
  </si>
  <si>
    <t>30600</t>
  </si>
  <si>
    <t>Create Test Case Get club by id</t>
  </si>
  <si>
    <t>02/Sep/25 3:04 PM</t>
  </si>
  <si>
    <t>04/Sep/25 1:44 PM</t>
  </si>
  <si>
    <t>DEVRDSUP-109</t>
  </si>
  <si>
    <t>30515</t>
  </si>
  <si>
    <t>[SUP-146][ETL] DA have frequently not received the files for Redemption Vouchers IDD around 24/25th each moth - Cause issue that RR send missing information to BTSG MIX Data Team.</t>
  </si>
  <si>
    <t>Duplicated</t>
  </si>
  <si>
    <t>29/Aug/25 3:24 PM</t>
  </si>
  <si>
    <t>03/Oct/25 9:34 AM</t>
  </si>
  <si>
    <t>RDTHANA-76</t>
  </si>
  <si>
    <t>30398</t>
  </si>
  <si>
    <t>[DEV][RD][BFF] Get club by id</t>
  </si>
  <si>
    <t>27/Aug/25 4:56 PM</t>
  </si>
  <si>
    <t>RDTHANA-75</t>
  </si>
  <si>
    <t>30396</t>
  </si>
  <si>
    <t>[DEV][RD][EXS] Get club by id</t>
  </si>
  <si>
    <t>RDTHANA-63</t>
  </si>
  <si>
    <t>30306</t>
  </si>
  <si>
    <t>26/Aug/25 2:15 PM</t>
  </si>
  <si>
    <t>02/Oct/25 2:22 PM</t>
  </si>
  <si>
    <t>RDTHANA-59</t>
  </si>
  <si>
    <t>30293</t>
  </si>
  <si>
    <t>26/Aug/25 2:14 PM</t>
  </si>
  <si>
    <t>12/Sep/25 1:08 PM</t>
  </si>
  <si>
    <t>RDTHANA-58</t>
  </si>
  <si>
    <t>30291</t>
  </si>
  <si>
    <t>RDTHANA-57</t>
  </si>
  <si>
    <t>30289</t>
  </si>
  <si>
    <t>[QA] Create Test Case get club list and config api</t>
  </si>
  <si>
    <t>26/Aug/25 2:13 PM</t>
  </si>
  <si>
    <t>04/Sep/25 1:41 PM</t>
  </si>
  <si>
    <t>RDTHANA-56</t>
  </si>
  <si>
    <t>30287</t>
  </si>
  <si>
    <t>RDTHANA-55</t>
  </si>
  <si>
    <t>30285</t>
  </si>
  <si>
    <t>RDTHANA-54</t>
  </si>
  <si>
    <t>30283</t>
  </si>
  <si>
    <t>[QA] Create Test Case  bind user to partner club</t>
  </si>
  <si>
    <t>26/Aug/25 2:12 PM</t>
  </si>
  <si>
    <t>03/Sep/25 2:27 PM</t>
  </si>
  <si>
    <t>RDTHANA-53</t>
  </si>
  <si>
    <t>30281</t>
  </si>
  <si>
    <t>[QA] Create Test Case check user eligiblility for partner club binding</t>
  </si>
  <si>
    <t>03/Sep/25 1:48 PM</t>
  </si>
  <si>
    <t>RDTHANA-52</t>
  </si>
  <si>
    <t>30275</t>
  </si>
  <si>
    <t>[QA] Create Test Case Pop up Tan in Welcom Message Menu</t>
  </si>
  <si>
    <t>15/Sep/25 10:42 AM</t>
  </si>
  <si>
    <t>RDTHANA-51</t>
  </si>
  <si>
    <t>30273</t>
  </si>
  <si>
    <t>[QA] Create Test Case Advanced Setting Tab</t>
  </si>
  <si>
    <t>11/Sep/25 9:19 PM</t>
  </si>
  <si>
    <t>RDTHANA-50</t>
  </si>
  <si>
    <t>30271</t>
  </si>
  <si>
    <t>[QA] Create Test Case create temp deep link endpoint</t>
  </si>
  <si>
    <t>26/Aug/25 2:11 PM</t>
  </si>
  <si>
    <t>11/Sep/25 10:10 AM</t>
  </si>
  <si>
    <t>RDTHANA-49</t>
  </si>
  <si>
    <t>30269</t>
  </si>
  <si>
    <t>[QA] Create Test Case Add new input "default bu"</t>
  </si>
  <si>
    <t>26/Aug/25 2:10 PM</t>
  </si>
  <si>
    <t>DEVRDSUP-102</t>
  </si>
  <si>
    <t>30261</t>
  </si>
  <si>
    <t>[SUP-150][SUB] a SUB coupon doesn't have any detain in coupon TXN detail screen and coupon can't back to redeem.</t>
  </si>
  <si>
    <t>25/Aug/25 8:23 PM</t>
  </si>
  <si>
    <t>26/Sep/25 3:29 PM</t>
  </si>
  <si>
    <t>26/Aug/25 12:00 AM</t>
  </si>
  <si>
    <t>RDTHANA-48</t>
  </si>
  <si>
    <t>30203</t>
  </si>
  <si>
    <t>[DEV][RD][DasHaus][BFF] Enhance get club config endpoint</t>
  </si>
  <si>
    <t>25/Aug/25 12:57 AM</t>
  </si>
  <si>
    <t>23/Sep/25 1:19 PM</t>
  </si>
  <si>
    <t>RDTHANA-46</t>
  </si>
  <si>
    <t>30133</t>
  </si>
  <si>
    <t>[DEV][RD][DasHaus][HRS] Add "Added Member Channel column &amp; search</t>
  </si>
  <si>
    <t>22/Aug/25 4:08 PM</t>
  </si>
  <si>
    <t>02/Oct/25 2:21 PM</t>
  </si>
  <si>
    <t>03/Oct/25 9:28 AM</t>
  </si>
  <si>
    <t>RDTHANA-42</t>
  </si>
  <si>
    <t>30085</t>
  </si>
  <si>
    <t>[DEV][RD][RR Link Notify] Generate static deeplink</t>
  </si>
  <si>
    <t>21/Aug/25 11:47 PM</t>
  </si>
  <si>
    <t>RDTHANA-41</t>
  </si>
  <si>
    <t>30084</t>
  </si>
  <si>
    <t>[DEV][RD][DasHaus][BFF] Enhance get club list endpoint</t>
  </si>
  <si>
    <t>21/Aug/25 11:42 PM</t>
  </si>
  <si>
    <t>23/Sep/25 1:22 PM</t>
  </si>
  <si>
    <t>RDTHANA-40</t>
  </si>
  <si>
    <t>30083</t>
  </si>
  <si>
    <t>[DEV][RD][DasHaus][Exclusive Store API] Enhance get club list and config api</t>
  </si>
  <si>
    <t>21/Aug/25 11:41 PM</t>
  </si>
  <si>
    <t>RDTHANA-39</t>
  </si>
  <si>
    <t>30082</t>
  </si>
  <si>
    <t>[DEV][RD][HR-Solution][Club setting] Add new input "default bu"</t>
  </si>
  <si>
    <t>21/Aug/25 11:26 PM</t>
  </si>
  <si>
    <t>02/Oct/25 2:16 PM</t>
  </si>
  <si>
    <t>RDTHANA-38</t>
  </si>
  <si>
    <t>30081</t>
  </si>
  <si>
    <t>[DEV][RD][RR Link Notify] Enhance create temp deep link endpoint</t>
  </si>
  <si>
    <t>21/Aug/25 11:12 PM</t>
  </si>
  <si>
    <t>02/Oct/25 12:00 PM</t>
  </si>
  <si>
    <t>29/Aug/25 12:00 AM</t>
  </si>
  <si>
    <t>RDTHANA-37</t>
  </si>
  <si>
    <t>30080</t>
  </si>
  <si>
    <t>[DEV][RD][HR-Solution][BU] Enhance BU welcome message support popup</t>
  </si>
  <si>
    <t>21/Aug/25 11:02 PM</t>
  </si>
  <si>
    <t>02/Oct/25 11:49 AM</t>
  </si>
  <si>
    <t>RDTHANA-35</t>
  </si>
  <si>
    <t>30078</t>
  </si>
  <si>
    <t>[DEV][RD][HR][BU] Enhance Advance setting tap</t>
  </si>
  <si>
    <t>21/Aug/25 10:59 PM</t>
  </si>
  <si>
    <t>03/Sep/25 12:00 AM</t>
  </si>
  <si>
    <t>RDTHANA-29</t>
  </si>
  <si>
    <t>30011</t>
  </si>
  <si>
    <t>[DEV][RD][DasHaus][EXS] Implement the API to bind user to partner club</t>
  </si>
  <si>
    <t>21/Aug/25 1:10 PM</t>
  </si>
  <si>
    <t>01/Oct/25 9:55 AM</t>
  </si>
  <si>
    <t>RDTHANA-26</t>
  </si>
  <si>
    <t>29997</t>
  </si>
  <si>
    <t>[DEV][RD][DasHaus][BFF] Implement the API to bind user to partner club</t>
  </si>
  <si>
    <t>20/Aug/25 4:36 PM</t>
  </si>
  <si>
    <t>24/Sep/25 4:36 PM</t>
  </si>
  <si>
    <t>RDTHANA-25</t>
  </si>
  <si>
    <t>29996</t>
  </si>
  <si>
    <t>[DEV][RD][DasHaus][BFF] Implement the API to check user eligiblility for partner club binding</t>
  </si>
  <si>
    <t>RDTHANA-24</t>
  </si>
  <si>
    <t>29995</t>
  </si>
  <si>
    <t xml:space="preserve">[DEV][RD][DasHaus][EXS] Implement the API to check user eligiblility for partner club binding
</t>
  </si>
  <si>
    <t>DEVRDCT-202</t>
  </si>
  <si>
    <t>29973</t>
  </si>
  <si>
    <t>[Dev][RD][CID] Initial feed Rabbit Wallet Card to CleverTap</t>
  </si>
  <si>
    <t>20/Aug/25 11:22 AM</t>
  </si>
  <si>
    <t>01/Sep/25 12:00 AM</t>
  </si>
  <si>
    <t>03/Oct/25 10:12 AM</t>
  </si>
  <si>
    <t>26/Sep/25 3:14 PM</t>
  </si>
  <si>
    <t>01/Oct/25 9:20 AM</t>
  </si>
  <si>
    <t>03/Oct/25 4:11 PM</t>
  </si>
  <si>
    <t>DEVRDCT-177</t>
  </si>
  <si>
    <t>29558</t>
  </si>
  <si>
    <t>[DEV][RD][HR-Solution] Initial feed user properties Club Binding with tier</t>
  </si>
  <si>
    <t>11/Aug/25 9:53 AM</t>
  </si>
  <si>
    <t>02/Oct/25 11:10 AM</t>
  </si>
  <si>
    <t>26/Sep/25 9:38 AM</t>
  </si>
  <si>
    <t>DEVRDSUP-48</t>
  </si>
  <si>
    <t>28518</t>
  </si>
  <si>
    <t>[SUP-77][SUB] Some TXN's receipts number are getting skipped.</t>
  </si>
  <si>
    <t>18/Jul/25 5:32 PM</t>
  </si>
  <si>
    <t>03/Oct/25 4:19 PM</t>
  </si>
  <si>
    <t>22/Jul/25 12:00 AM</t>
  </si>
  <si>
    <t>3 ครั้ง 
1.  2 คน
2.  2 คน
3.  2 คน</t>
  </si>
  <si>
    <t>Sprint 6</t>
  </si>
  <si>
    <t>19/Sep/25 11:32 PM</t>
  </si>
  <si>
    <t>RDTHANA-228</t>
  </si>
  <si>
    <t>31331</t>
  </si>
  <si>
    <t>[Dev][RD][SA] Analyze story for sprint 8</t>
  </si>
  <si>
    <t>18/Sep/25 4:22 PM</t>
  </si>
  <si>
    <t>RDAPS-189</t>
  </si>
  <si>
    <t>31317</t>
  </si>
  <si>
    <t>[Dev][RD][POC] Enhancement on refund button to cross check payment status before sending refund request</t>
  </si>
  <si>
    <t>18/Sep/25 2:25 PM</t>
  </si>
  <si>
    <t>18/Sep/25 2:29 PM</t>
  </si>
  <si>
    <t>18/Sep/25 2:17 PM</t>
  </si>
  <si>
    <t>18/Sep/25 1:54 PM</t>
  </si>
  <si>
    <t>19/Sep/25 1:06 PM</t>
  </si>
  <si>
    <t>RDAPS-188</t>
  </si>
  <si>
    <t>31288</t>
  </si>
  <si>
    <t>17/Sep/25 3:46 PM</t>
  </si>
  <si>
    <t>17/Sep/25 4:00 PM</t>
  </si>
  <si>
    <t>17/Sep/25 3:14 PM</t>
  </si>
  <si>
    <t>DEVRDSUP-135</t>
  </si>
  <si>
    <t>31261</t>
  </si>
  <si>
    <t>[SUP-185][REM] Request to export user redeem TXN with error time out from DA. 17/09/2025</t>
  </si>
  <si>
    <t>17/Sep/25 12:08 PM</t>
  </si>
  <si>
    <t>22/Sep/25 9:18 AM</t>
  </si>
  <si>
    <t>DEVRDCT-236</t>
  </si>
  <si>
    <t>31254</t>
  </si>
  <si>
    <t>[QA] Test execution register new user get MSG-email and MSG-sms status's true</t>
  </si>
  <si>
    <t>16/Sep/25 11:41 PM</t>
  </si>
  <si>
    <t>16/Sep/25 11:43 PM</t>
  </si>
  <si>
    <t>DEVRDCT-235</t>
  </si>
  <si>
    <t>31252</t>
  </si>
  <si>
    <t>[QA] Test execution consent , MSG-email and MSG-sms</t>
  </si>
  <si>
    <t>16/Sep/25 11:00 PM</t>
  </si>
  <si>
    <t>17/Sep/25 2:46 PM</t>
  </si>
  <si>
    <t>RDAPS-186</t>
  </si>
  <si>
    <t>31228</t>
  </si>
  <si>
    <t>16/Sep/25 12:58 PM</t>
  </si>
  <si>
    <t>17/Sep/25 11:23 AM</t>
  </si>
  <si>
    <t>BUEC-163</t>
  </si>
  <si>
    <t>31224</t>
  </si>
  <si>
    <t>[S2][Shopify web] Email verification flow is not working properly</t>
  </si>
  <si>
    <t>16/Sep/25 12:02 PM</t>
  </si>
  <si>
    <t>17/Sep/25 1:36 PM</t>
  </si>
  <si>
    <t>BUEC-162</t>
  </si>
  <si>
    <t>31198</t>
  </si>
  <si>
    <t>[S3][Shopify web] Request verify email is not working properly</t>
  </si>
  <si>
    <t>15/Sep/25 5:41 PM</t>
  </si>
  <si>
    <t>16/Sep/25 5:22 PM</t>
  </si>
  <si>
    <t>BUEC-161</t>
  </si>
  <si>
    <t>31195</t>
  </si>
  <si>
    <t>[S3][Shopify web] Email address format validation is not working properly</t>
  </si>
  <si>
    <t>15/Sep/25 5:16 PM</t>
  </si>
  <si>
    <t>16/Sep/25 5:00 PM</t>
  </si>
  <si>
    <t>BUEC-160</t>
  </si>
  <si>
    <t>31169</t>
  </si>
  <si>
    <t>[S3][Shopify web] Input email page detail is incorrect</t>
  </si>
  <si>
    <t>15/Sep/25 4:33 PM</t>
  </si>
  <si>
    <t>17/Sep/25 4:53 PM</t>
  </si>
  <si>
    <t>DEVRDSUP-131</t>
  </si>
  <si>
    <t>31134</t>
  </si>
  <si>
    <t>[SUP-183][SUB] Gather SSO list of wallet bound card on BSS but not bound in RR profile for BSS team to send binding request again.</t>
  </si>
  <si>
    <t>15/Sep/25 2:56 PM</t>
  </si>
  <si>
    <t>15/Sep/25 3:28 PM</t>
  </si>
  <si>
    <t>17/Sep/25 9:11 AM</t>
  </si>
  <si>
    <t>17/Sep/25 9:08 AM</t>
  </si>
  <si>
    <t>17/Sep/25 9:07 AM</t>
  </si>
  <si>
    <t>DEVRDSUP-130</t>
  </si>
  <si>
    <t>31105</t>
  </si>
  <si>
    <t>[SUP-179][SUB] User paid but didn't receive the package, request dev to mark package status to "waiting for payment"</t>
  </si>
  <si>
    <t>15/Sep/25 12:01 PM</t>
  </si>
  <si>
    <t>18/Sep/25 2:58 PM</t>
  </si>
  <si>
    <t>RDTHANA-159</t>
  </si>
  <si>
    <t>31091</t>
  </si>
  <si>
    <t>[Dev][RD][SA] Clean test data in HR-Solution UAT</t>
  </si>
  <si>
    <t>15/Sep/25 9:28 AM</t>
  </si>
  <si>
    <t>16/Sep/25 10:04 AM</t>
  </si>
  <si>
    <t>No Original Est</t>
  </si>
  <si>
    <t>DEVRDSUP-127</t>
  </si>
  <si>
    <t>31038</t>
  </si>
  <si>
    <t>[SUP-176]Request to create account for new team member.</t>
  </si>
  <si>
    <t>12/Sep/25 2:06 PM</t>
  </si>
  <si>
    <t>RDAPS-185</t>
  </si>
  <si>
    <t>31029</t>
  </si>
  <si>
    <t>[DEV][RD][HRS][SA] Remove unused data</t>
  </si>
  <si>
    <t>12/Sep/25 10:13 AM</t>
  </si>
  <si>
    <t>12/Sep/25 10:16 AM</t>
  </si>
  <si>
    <t>RDTHANA-156</t>
  </si>
  <si>
    <t>31028</t>
  </si>
  <si>
    <t>11/Sep/25 10:02 PM</t>
  </si>
  <si>
    <t>15/Sep/25 3:29 PM</t>
  </si>
  <si>
    <t>RDTHANA-155</t>
  </si>
  <si>
    <t>31026</t>
  </si>
  <si>
    <t>15/Sep/25 3:31 PM</t>
  </si>
  <si>
    <t>RDTHANA-154</t>
  </si>
  <si>
    <t>31024</t>
  </si>
  <si>
    <t>19/Sep/25 1:42 PM</t>
  </si>
  <si>
    <t>19/Sep/25 2:43 PM</t>
  </si>
  <si>
    <t>RDAPS-184</t>
  </si>
  <si>
    <t>30995</t>
  </si>
  <si>
    <t>11/Sep/25 1:46 PM</t>
  </si>
  <si>
    <t>11/Sep/25 3:29 PM</t>
  </si>
  <si>
    <t>DEVRDCT-234</t>
  </si>
  <si>
    <t>30957</t>
  </si>
  <si>
    <t>[S4][CleverTap][AutoPushCoupon]Failed to auto push event on CleverTap missing "MERCHANT_NAME" value</t>
  </si>
  <si>
    <t>10/Sep/25 4:45 PM</t>
  </si>
  <si>
    <t>15/Sep/25 12:32 PM</t>
  </si>
  <si>
    <t>DEVRDCT-233</t>
  </si>
  <si>
    <t>30956</t>
  </si>
  <si>
    <t>[QA] Test execution Fail auto-push coupon</t>
  </si>
  <si>
    <t>10/Sep/25 4:21 PM</t>
  </si>
  <si>
    <t>10/Sep/25 5:14 PM</t>
  </si>
  <si>
    <t>DEVRDCT-232</t>
  </si>
  <si>
    <t>30954</t>
  </si>
  <si>
    <t>[Dev][RD][APIs Gateway] Mapping webhook endpoint</t>
  </si>
  <si>
    <t>10/Sep/25 4:18 PM</t>
  </si>
  <si>
    <t>15/Sep/25 10:04 AM</t>
  </si>
  <si>
    <t>DEVRDCT-231</t>
  </si>
  <si>
    <t>30867</t>
  </si>
  <si>
    <t>[TX][RR-backoffice] Rewards setting - Auto push Sprint7 - UAT</t>
  </si>
  <si>
    <t>10/Sep/25 11:27 AM</t>
  </si>
  <si>
    <t>12/Sep/25 3:51 PM</t>
  </si>
  <si>
    <t>DEVRDCT-230</t>
  </si>
  <si>
    <t>30866</t>
  </si>
  <si>
    <t>[TP][RR-backoffice] Rewards setting - Sprint7</t>
  </si>
  <si>
    <t>10/Sep/25 11:24 AM</t>
  </si>
  <si>
    <t>12/Sep/25 2:01 PM</t>
  </si>
  <si>
    <t>RDAPS-181</t>
  </si>
  <si>
    <t>30857</t>
  </si>
  <si>
    <t>[S2][Coupon] [S2][Coupon] Coupon details response is inncorrect</t>
  </si>
  <si>
    <t>09/Sep/25 6:06 PM</t>
  </si>
  <si>
    <t>15/Sep/25 1:58 PM</t>
  </si>
  <si>
    <t>DEVRDSUP-125</t>
  </si>
  <si>
    <t>30854</t>
  </si>
  <si>
    <t>[SUP-173][HOP] Top merchant learderboard shows 0 txn when ETL failed to send to DA.</t>
  </si>
  <si>
    <t>09/Sep/25 4:33 PM</t>
  </si>
  <si>
    <t>12/Sep/25 2:36 PM</t>
  </si>
  <si>
    <t>RDAPS-180</t>
  </si>
  <si>
    <t>30852</t>
  </si>
  <si>
    <t>clever-tap-3</t>
  </si>
  <si>
    <t>09/Sep/25 4:25 PM</t>
  </si>
  <si>
    <t>DEVRDCT-226</t>
  </si>
  <si>
    <t>30796</t>
  </si>
  <si>
    <t>Create Test Case</t>
  </si>
  <si>
    <t>09/Sep/25 11:13 AM</t>
  </si>
  <si>
    <t>09/Sep/25 4:51 PM</t>
  </si>
  <si>
    <t>DEVRDSUP-124</t>
  </si>
  <si>
    <t>30784</t>
  </si>
  <si>
    <t>[SUP-171]Rabbit Life Point Issue Incomplete of Aug 2025</t>
  </si>
  <si>
    <t>08/Sep/25 5:27 PM</t>
  </si>
  <si>
    <t>22/Sep/25 9:17 AM</t>
  </si>
  <si>
    <t>rlife</t>
  </si>
  <si>
    <t>RDAPS-179</t>
  </si>
  <si>
    <t>30768</t>
  </si>
  <si>
    <t>[DEV][RD][RRS] Optimize Performance Import Coupons</t>
  </si>
  <si>
    <t>08/Sep/25 10:47 AM</t>
  </si>
  <si>
    <t>18/Sep/25 2:03 PM</t>
  </si>
  <si>
    <t>DEVRDECOM-80</t>
  </si>
  <si>
    <t>30765</t>
  </si>
  <si>
    <t>[DEV][RD][Eco][RR-Ecommerce-Shopify] Review Test Case</t>
  </si>
  <si>
    <t>08/Sep/25 7:44 AM</t>
  </si>
  <si>
    <t>22/Sep/25 9:23 AM</t>
  </si>
  <si>
    <t>19/Sep/25 10:05 AM</t>
  </si>
  <si>
    <t>DEVRDECOM-79</t>
  </si>
  <si>
    <t>30733</t>
  </si>
  <si>
    <t>[DEV][RD][Eco][RR-Ecommerce-Shopify] Enhance generate multipass token</t>
  </si>
  <si>
    <t>06/Sep/25 8:04 PM</t>
  </si>
  <si>
    <t>DEVRDECOM-78</t>
  </si>
  <si>
    <t>30732</t>
  </si>
  <si>
    <t>[DEV][RD][Eco][Reward-Memberber] Adjust template for responsive</t>
  </si>
  <si>
    <t>06/Sep/25 8:01 PM</t>
  </si>
  <si>
    <t>22/Sep/25 9:22 AM</t>
  </si>
  <si>
    <t>RDAPS-178</t>
  </si>
  <si>
    <t>30714</t>
  </si>
  <si>
    <t>05/Sep/25 3:53 PM</t>
  </si>
  <si>
    <t>15/Sep/25 1:45 PM</t>
  </si>
  <si>
    <t>DEVRDECOM-77</t>
  </si>
  <si>
    <t>30711</t>
  </si>
  <si>
    <t>[S2] Email address is updated even without confirming the email verification</t>
  </si>
  <si>
    <t>05/Sep/25 3:15 PM</t>
  </si>
  <si>
    <t>09/Sep/25 2:35 PM</t>
  </si>
  <si>
    <t>18/Sep/25 2:14 PM</t>
  </si>
  <si>
    <t>RDAPS-176</t>
  </si>
  <si>
    <t>30680</t>
  </si>
  <si>
    <t>[DEV][RD][Arichive DB][RLP][PL] Prepare command to lean data</t>
  </si>
  <si>
    <t>04/Sep/25 1:54 PM</t>
  </si>
  <si>
    <t>12/Sep/25 1:12 PM</t>
  </si>
  <si>
    <t>DEVRDECOM-75</t>
  </si>
  <si>
    <t>30663</t>
  </si>
  <si>
    <t>[DEV][RD][Eco][RR-Ecommerce-Shopify][Reward-Memberber] Request and Prepare PVT</t>
  </si>
  <si>
    <t>04/Sep/25 1:26 PM</t>
  </si>
  <si>
    <t>22/Sep/25 8:45 AM</t>
  </si>
  <si>
    <t>DEVRDECOM-71</t>
  </si>
  <si>
    <t>30659</t>
  </si>
  <si>
    <t>[DEV][RD][Eco][POC] Adjust Shopify Theme Dawn</t>
  </si>
  <si>
    <t>DEVRDECOM-70</t>
  </si>
  <si>
    <t>30658</t>
  </si>
  <si>
    <t>[DEV][RD][Eco][RR-Ecommerce-Shopify] Prepare UAT</t>
  </si>
  <si>
    <t>22/Sep/25 9:21 AM</t>
  </si>
  <si>
    <t>08/Sep/25 10:13 AM</t>
  </si>
  <si>
    <t>09/Sep/25 4:41 PM</t>
  </si>
  <si>
    <t>09/Sep/25 4:49 PM</t>
  </si>
  <si>
    <t>03/Sep/25 5:21 PM</t>
  </si>
  <si>
    <t>18/Sep/25 1:30 PM</t>
  </si>
  <si>
    <t>18/Sep/25 1:28 PM</t>
  </si>
  <si>
    <t>19/Sep/25 4:12 PM</t>
  </si>
  <si>
    <t>RDAPS-171</t>
  </si>
  <si>
    <t>30644</t>
  </si>
  <si>
    <t>[DEV][RD][SSO Handover] GCP Service &amp; Resouce &amp; ENV &amp; parameter</t>
  </si>
  <si>
    <t>03/Sep/25 4:57 PM</t>
  </si>
  <si>
    <t>18/Sep/25 1:13 PM</t>
  </si>
  <si>
    <t>RDAPS-170</t>
  </si>
  <si>
    <t>30643</t>
  </si>
  <si>
    <t>[DEV][RD][SSO Handover] Overview GCP SSO</t>
  </si>
  <si>
    <t>03/Sep/25 4:56 PM</t>
  </si>
  <si>
    <t>15/Sep/25 1:17 PM</t>
  </si>
  <si>
    <t>22/Sep/25 9:08 AM</t>
  </si>
  <si>
    <t>19/Sep/25 1:01 PM</t>
  </si>
  <si>
    <t>RDTHANA-93</t>
  </si>
  <si>
    <t>30638</t>
  </si>
  <si>
    <t>[Dev][RD][BOF][Migration] create migration services table</t>
  </si>
  <si>
    <t>03/Sep/25 4:17 PM</t>
  </si>
  <si>
    <t>18/Sep/25 2:12 PM</t>
  </si>
  <si>
    <t>RDTHANA-92</t>
  </si>
  <si>
    <t>30637</t>
  </si>
  <si>
    <t>[Dev][RD][BOF][Service] Initial Service feature</t>
  </si>
  <si>
    <t>03/Sep/25 4:16 PM</t>
  </si>
  <si>
    <t>19/Sep/25 10:21 AM</t>
  </si>
  <si>
    <t>RDTHANA-91</t>
  </si>
  <si>
    <t>30636</t>
  </si>
  <si>
    <t>[Dev][RD][SA][Service] Analyze and Task Description</t>
  </si>
  <si>
    <t>03/Sep/25 4:13 PM</t>
  </si>
  <si>
    <t>DEVRDCT-221</t>
  </si>
  <si>
    <t>30632</t>
  </si>
  <si>
    <t>[DEV][RD][PL] Create script to initial Turtle club binding to CT</t>
  </si>
  <si>
    <t>03/Sep/25 3:55 PM</t>
  </si>
  <si>
    <t>22/Sep/25 9:19 AM</t>
  </si>
  <si>
    <t>DEVRDCT-220</t>
  </si>
  <si>
    <t>30623</t>
  </si>
  <si>
    <t>[S4][RD][CT] CleverTap is unable to access the DataHub service</t>
  </si>
  <si>
    <t>03/Sep/25 9:01 AM</t>
  </si>
  <si>
    <t>09/Sep/25 5:09 PM</t>
  </si>
  <si>
    <t>15/Sep/25 10:41 AM</t>
  </si>
  <si>
    <t>21/Sep/25 1:53 PM</t>
  </si>
  <si>
    <t>18/Sep/25 2:21 PM</t>
  </si>
  <si>
    <t>15/Sep/25 2:55 PM</t>
  </si>
  <si>
    <t>17/Sep/25 4:10 PM</t>
  </si>
  <si>
    <t>DEVRDCT-218</t>
  </si>
  <si>
    <t>30509</t>
  </si>
  <si>
    <t>[S4][Clever Tap][User Properties][Club binding] Status BOUND/UNBOUND of Club binding properties has lowercases when the Club added the first time and had only 1 BU</t>
  </si>
  <si>
    <t>29/Aug/25 11:17 AM</t>
  </si>
  <si>
    <t>09/Sep/25 5:08 PM</t>
  </si>
  <si>
    <t>RDAPS-169</t>
  </si>
  <si>
    <t>30405</t>
  </si>
  <si>
    <t>[DEV][RD][RRS] Improve Redemption ETL data</t>
  </si>
  <si>
    <t>28/Aug/25 11:36 AM</t>
  </si>
  <si>
    <t>18/Sep/25 2:06 PM</t>
  </si>
  <si>
    <t>16/Sep/25 8:13 AM</t>
  </si>
  <si>
    <t>18/Sep/25 2:15 PM</t>
  </si>
  <si>
    <t>RDAPS-167</t>
  </si>
  <si>
    <t>30374</t>
  </si>
  <si>
    <t>[DEV][RD][SMS][SSO-Messager] Enhance OTP SMS change sub account</t>
  </si>
  <si>
    <t>27/Aug/25 10:49 AM</t>
  </si>
  <si>
    <t>09/Sep/25 4:12 PM</t>
  </si>
  <si>
    <t>19/Sep/25 10:03 AM</t>
  </si>
  <si>
    <t>19/Sep/25 10:14 AM</t>
  </si>
  <si>
    <t>19/Sep/25 10:02 AM</t>
  </si>
  <si>
    <t>18/Sep/25 2:19 PM</t>
  </si>
  <si>
    <t>17/Sep/25 4:31 PM</t>
  </si>
  <si>
    <t>DEVRD20THB-34</t>
  </si>
  <si>
    <t>30328</t>
  </si>
  <si>
    <t>26/Aug/25 2:25 PM</t>
  </si>
  <si>
    <t>01/Sep/25 1:55 PM</t>
  </si>
  <si>
    <t>[Dev][RD][20THB] Sprint 6</t>
  </si>
  <si>
    <t>[Dev][RD][20THB] Sprint 7</t>
  </si>
  <si>
    <t>DEVRD20THB-33</t>
  </si>
  <si>
    <t>30326</t>
  </si>
  <si>
    <t>03/Sep/25 1:27 PM</t>
  </si>
  <si>
    <t>DEVRD20THB-32</t>
  </si>
  <si>
    <t>30324</t>
  </si>
  <si>
    <t>26/Aug/25 2:24 PM</t>
  </si>
  <si>
    <t>01/Sep/25 1:08 PM</t>
  </si>
  <si>
    <t>DEVRD20THB-31</t>
  </si>
  <si>
    <t>30322</t>
  </si>
  <si>
    <t>RDTHANA-64</t>
  </si>
  <si>
    <t>30308</t>
  </si>
  <si>
    <t>09/Sep/25 4:21 PM</t>
  </si>
  <si>
    <t>DEVRDECOM-62</t>
  </si>
  <si>
    <t>30302</t>
  </si>
  <si>
    <t>09/Sep/25 2:36 PM</t>
  </si>
  <si>
    <t>[Dev][RD][Ecom] Sprint 6</t>
  </si>
  <si>
    <t>DEVRDECOM-61</t>
  </si>
  <si>
    <t>30300</t>
  </si>
  <si>
    <t>27/Aug/25 2:35 PM</t>
  </si>
  <si>
    <t>RDTHANA-61</t>
  </si>
  <si>
    <t>30298</t>
  </si>
  <si>
    <t>03/Sep/25 4:00 PM</t>
  </si>
  <si>
    <t>RDTHANA-60</t>
  </si>
  <si>
    <t>30296</t>
  </si>
  <si>
    <t>DEVRDCT-211</t>
  </si>
  <si>
    <t>30246</t>
  </si>
  <si>
    <t>[QA] Create test case failed auto-push coupon CT Event</t>
  </si>
  <si>
    <t>25/Aug/25 3:49 PM</t>
  </si>
  <si>
    <t>10/Sep/25 5:33 PM</t>
  </si>
  <si>
    <t>16/Sep/25 8:09 AM</t>
  </si>
  <si>
    <t>RDAPS-166</t>
  </si>
  <si>
    <t>30140</t>
  </si>
  <si>
    <t>[DEV][RD][SMS] Enhance OTP SMS change sub account</t>
  </si>
  <si>
    <t>22/Aug/25 5:22 PM</t>
  </si>
  <si>
    <t>DEVRDCT-210</t>
  </si>
  <si>
    <t>30135</t>
  </si>
  <si>
    <t>[Dev][RD][HR][Bind Hook] Enhance send CT club binding event</t>
  </si>
  <si>
    <t>22/Aug/25 4:55 PM</t>
  </si>
  <si>
    <t>12/Sep/25 4:02 PM</t>
  </si>
  <si>
    <t>RDTHANA-47</t>
  </si>
  <si>
    <t>30134</t>
  </si>
  <si>
    <t>[DEV][RD][DasHaus][HRS] Rename field from "Employee" to "Member"</t>
  </si>
  <si>
    <t>22/Aug/25 4:09 PM</t>
  </si>
  <si>
    <t>19/Sep/25 11:13 AM</t>
  </si>
  <si>
    <t>RDTHANA-44</t>
  </si>
  <si>
    <t>30131</t>
  </si>
  <si>
    <t>[DEV][RD][DasHaus][HRS] Add "SSO ID" &amp; "Trader ID" field</t>
  </si>
  <si>
    <t>22/Aug/25 4:02 PM</t>
  </si>
  <si>
    <t>DEVRDECOM-60</t>
  </si>
  <si>
    <t>30102</t>
  </si>
  <si>
    <t>[TX][ECommerce] BFF Shopify Sprint 6</t>
  </si>
  <si>
    <t>22/Aug/25 9:55 AM</t>
  </si>
  <si>
    <t>11/Sep/25 10:05 AM</t>
  </si>
  <si>
    <t>DEVRDECOM-59</t>
  </si>
  <si>
    <t>30101</t>
  </si>
  <si>
    <t>[TP][ECommerce] BFF Shopify - Sprint 6</t>
  </si>
  <si>
    <t>22/Aug/25 9:53 AM</t>
  </si>
  <si>
    <t>19/Sep/25 10:46 AM</t>
  </si>
  <si>
    <t>DEVRD20THB-30</t>
  </si>
  <si>
    <t>30091</t>
  </si>
  <si>
    <t>[DEV][RD][20THB]SSO Backoffice] Enhance to allow CRM team to check customer 20 thb member status</t>
  </si>
  <si>
    <t>22/Aug/25 9:13 AM</t>
  </si>
  <si>
    <t>19/Sep/25 1:09 PM</t>
  </si>
  <si>
    <t>DEVRD20THB-29</t>
  </si>
  <si>
    <t>30090</t>
  </si>
  <si>
    <t>[DEV][RD][20THB][BFFOFF] Offline subscription Integrate 20thb campaign's member</t>
  </si>
  <si>
    <t>22/Aug/25 6:23 AM</t>
  </si>
  <si>
    <t>DEVRD20THB-27</t>
  </si>
  <si>
    <t>30088</t>
  </si>
  <si>
    <t>[DEV][RD][20THB][BFF] Checkout endpoint Integrate 20thb campaign's member checking</t>
  </si>
  <si>
    <t>22/Aug/25 6:19 AM</t>
  </si>
  <si>
    <t>DEVRD20THB-26</t>
  </si>
  <si>
    <t>30087</t>
  </si>
  <si>
    <t>[DEV][RD][20THB][BFF] Service Integrate Rabbit API and get token campaign with card id</t>
  </si>
  <si>
    <t>22/Aug/25 6:18 AM</t>
  </si>
  <si>
    <t>18/Sep/25 2:10 PM</t>
  </si>
  <si>
    <t>16/Sep/25 8:08 AM</t>
  </si>
  <si>
    <t>09/Sep/25 11:09 AM</t>
  </si>
  <si>
    <t>RDTHANA-36</t>
  </si>
  <si>
    <t>30079</t>
  </si>
  <si>
    <t>[DEV][RD][Backoffice][BU] Enhance business unit index page</t>
  </si>
  <si>
    <t>21/Aug/25 11:00 PM</t>
  </si>
  <si>
    <t>DEVRDECOM-49</t>
  </si>
  <si>
    <t>30006</t>
  </si>
  <si>
    <t>[DEV][RD][Eco][Rewards-Member] Create Email Verification Page with Token Input</t>
  </si>
  <si>
    <t>21/Aug/25 9:54 AM</t>
  </si>
  <si>
    <t>17/Sep/25 2:58 PM</t>
  </si>
  <si>
    <t>DEVRDCT-203</t>
  </si>
  <si>
    <t>29975</t>
  </si>
  <si>
    <t>[Dev][RD][RLP] Initial feed Rabbit Line PAY Card to CleverTap</t>
  </si>
  <si>
    <t>20/Aug/25 11:24 AM</t>
  </si>
  <si>
    <t>RDAPS-161</t>
  </si>
  <si>
    <t>29974</t>
  </si>
  <si>
    <t>[DEV][RD][SUB-MVP1] Disable email</t>
  </si>
  <si>
    <t>20/Aug/25 11:23 AM</t>
  </si>
  <si>
    <t>17/Sep/25 10:17 AM</t>
  </si>
  <si>
    <t>09/Sep/25 4:53 PM</t>
  </si>
  <si>
    <t>08/Sep/25 8:18 PM</t>
  </si>
  <si>
    <t>17/Sep/25 10:37 PM</t>
  </si>
  <si>
    <t>RDTHANA-18</t>
  </si>
  <si>
    <t>29946</t>
  </si>
  <si>
    <t>[Dev][RD][Widget][CMS] Database Migration</t>
  </si>
  <si>
    <t>RDTHANA-17</t>
  </si>
  <si>
    <t>29944</t>
  </si>
  <si>
    <t>[Dev][RD][SA][BFF] APIs Specification</t>
  </si>
  <si>
    <t>18/Sep/25 2:09 PM</t>
  </si>
  <si>
    <t>19/Sep/25 10:04 AM</t>
  </si>
  <si>
    <t>RDTHANA-12</t>
  </si>
  <si>
    <t>29935</t>
  </si>
  <si>
    <t>[Dev][RD][Survey][APH] Database Migration</t>
  </si>
  <si>
    <t>19/Aug/25 7:35 PM</t>
  </si>
  <si>
    <t>18/Sep/25 2:08 PM</t>
  </si>
  <si>
    <t>DEVRDSUP-96</t>
  </si>
  <si>
    <t>29930</t>
  </si>
  <si>
    <t>[SUP-75][HR SOLUTION] When update My information on APP (email etc.) , data not update on HR solution.</t>
  </si>
  <si>
    <t>19/Aug/25 5:09 PM</t>
  </si>
  <si>
    <t>09/Sep/25 2:28 PM</t>
  </si>
  <si>
    <t>DEVRDECOM-45</t>
  </si>
  <si>
    <t>29873</t>
  </si>
  <si>
    <t>[DEV][RD][Eco][RR-Ecommerce-Shopify] Enhance Auth Callback Endpoint to Sync Email to Shopify</t>
  </si>
  <si>
    <t>18/Aug/25 8:21 PM</t>
  </si>
  <si>
    <t>18/Sep/25 1:52 PM</t>
  </si>
  <si>
    <t>DEVRDSUP-92</t>
  </si>
  <si>
    <t>29864</t>
  </si>
  <si>
    <t xml:space="preserve">[SUP-133]User cannot export purchase TXN report, reward TXN report and upload coupon code. </t>
  </si>
  <si>
    <t>18/Aug/25 3:57 PM</t>
  </si>
  <si>
    <t>21/Aug/25 12:00 AM</t>
  </si>
  <si>
    <t>DEVRDECOM-43</t>
  </si>
  <si>
    <t>29841</t>
  </si>
  <si>
    <t>[DEV][RD][Eco][RR-Ecommerce-Shopify] Enhance Auth Callback Endpoint to check Email Verify</t>
  </si>
  <si>
    <t>16/Aug/25 12:19 PM</t>
  </si>
  <si>
    <t>DEVRDECOM-42</t>
  </si>
  <si>
    <t>29840</t>
  </si>
  <si>
    <t>[DEV][RD][Eco][RR-Ecommerce-Shopify] Create Endpoint for Email Verified Callback and Redirect to Shopify</t>
  </si>
  <si>
    <t>16/Aug/25 12:16 PM</t>
  </si>
  <si>
    <t>DEVRDECOM-41</t>
  </si>
  <si>
    <t>29839</t>
  </si>
  <si>
    <t>[DEV][RD][Eco][Rewards-Member] Create Endpoint for Email Verify</t>
  </si>
  <si>
    <t>16/Aug/25 12:13 PM</t>
  </si>
  <si>
    <t>DEVRDECOM-40</t>
  </si>
  <si>
    <t>29838</t>
  </si>
  <si>
    <t>[DEV][RD][Eco][BFF] Create API Endpoint for Email Verify Request</t>
  </si>
  <si>
    <t>16/Aug/25 12:12 PM</t>
  </si>
  <si>
    <t>DEVRDECOM-39</t>
  </si>
  <si>
    <t>29837</t>
  </si>
  <si>
    <t>[DEV][RD][Eco][Rewards-Member] Create API Endpoint for Email Verify Request</t>
  </si>
  <si>
    <t>16/Aug/25 12:11 PM</t>
  </si>
  <si>
    <t>17/Sep/25 2:57 PM</t>
  </si>
  <si>
    <t>DEVRDCT-195</t>
  </si>
  <si>
    <t>29811</t>
  </si>
  <si>
    <t>Tong Panuwat Sirirak</t>
  </si>
  <si>
    <t>70121:08c3e61f-6853-41cf-86ae-506a1b0d4ff9</t>
  </si>
  <si>
    <t>14/Aug/25 3:37 PM</t>
  </si>
  <si>
    <t>DEVRDCT-193</t>
  </si>
  <si>
    <t>29807</t>
  </si>
  <si>
    <t>14/Aug/25 3:30 PM</t>
  </si>
  <si>
    <t>DEVRD20THB-18</t>
  </si>
  <si>
    <t>29763</t>
  </si>
  <si>
    <t>[QA] Create Test Case Using/Use Coupon with 20THB Campaign Checking</t>
  </si>
  <si>
    <t>14/Aug/25 2:56 PM</t>
  </si>
  <si>
    <t>04/Sep/25 5:42 PM</t>
  </si>
  <si>
    <t>DEVRD20THB-16</t>
  </si>
  <si>
    <t>29759</t>
  </si>
  <si>
    <t>[QA] Create Test Case Redeem Rewards with 20THB Campaign Checking</t>
  </si>
  <si>
    <t>14/Aug/25 2:53 PM</t>
  </si>
  <si>
    <t>02/Sep/25 2:21 AM</t>
  </si>
  <si>
    <t>DEVRD20THB-11</t>
  </si>
  <si>
    <t>29606</t>
  </si>
  <si>
    <t>[Dev][RD][20THB][BFF] Enhance mark coupon as using and used</t>
  </si>
  <si>
    <t>12/Aug/25 9:31 AM</t>
  </si>
  <si>
    <t>27/Aug/25 12:00 AM</t>
  </si>
  <si>
    <t>change-request</t>
  </si>
  <si>
    <t>DEVRDCT-175</t>
  </si>
  <si>
    <t>29542</t>
  </si>
  <si>
    <t>[Dev][RD][SSO User] Update Sign Up Event to include default values for the fields MSG_Email and MSG_SMS</t>
  </si>
  <si>
    <t>09/Aug/25 4:04 PM</t>
  </si>
  <si>
    <t>17/Sep/25 10:18 AM</t>
  </si>
  <si>
    <t>DEVRDCT-174</t>
  </si>
  <si>
    <t>29541</t>
  </si>
  <si>
    <t>[Dev][RD][SSO User] Close function update MSG_Email and MSG_SMS from consent 1</t>
  </si>
  <si>
    <t>09/Aug/25 2:46 PM</t>
  </si>
  <si>
    <t>16/Sep/25 11:17 PM</t>
  </si>
  <si>
    <t>RDAPS-151</t>
  </si>
  <si>
    <t>29538</t>
  </si>
  <si>
    <t>[Dev][RD][SSO-Messenger] Change OTP SMS for thai language</t>
  </si>
  <si>
    <t>09/Aug/25 9:00 AM</t>
  </si>
  <si>
    <t>16/Sep/25 1:04 PM</t>
  </si>
  <si>
    <t>DEVRD20THB-5</t>
  </si>
  <si>
    <t>29493</t>
  </si>
  <si>
    <t>[DEV][RD][20THB][BFF] Redeem endpoint Integrate 20thb campaign checking</t>
  </si>
  <si>
    <t>07/Aug/25 3:32 PM</t>
  </si>
  <si>
    <t>RDAPS-146</t>
  </si>
  <si>
    <t>29359</t>
  </si>
  <si>
    <t>06/Aug/25 11:40 AM</t>
  </si>
  <si>
    <t>26/Aug/25 1:39 PM</t>
  </si>
  <si>
    <t>[Dev][All project]Sprint 3</t>
  </si>
  <si>
    <t>RDAPS-145</t>
  </si>
  <si>
    <t>29357</t>
  </si>
  <si>
    <t>Redemption API</t>
  </si>
  <si>
    <t>08/Aug/25 9:00 AM</t>
  </si>
  <si>
    <t>DEVRDSUP-75</t>
  </si>
  <si>
    <t>29257</t>
  </si>
  <si>
    <t>[SUP-106][SUB] : Export receipt due to BCC auto email incident #LOT2</t>
  </si>
  <si>
    <t>04/Aug/25 5:40 PM</t>
  </si>
  <si>
    <t>05/Aug/25 12:00 AM</t>
  </si>
  <si>
    <t>DEVRDCT-167</t>
  </si>
  <si>
    <t>29192</t>
  </si>
  <si>
    <t>[Dev][RD][RDS] Send event 'PUSH_REWARD_FAIL' to CT</t>
  </si>
  <si>
    <t>04/Aug/25 12:49 PM</t>
  </si>
  <si>
    <t>RDAPS-115</t>
  </si>
  <si>
    <t>28754</t>
  </si>
  <si>
    <t>[Dev][RD][Redemption API] Enhance the API for redeeming the product</t>
  </si>
  <si>
    <t>24/Jul/25 7:35 PM</t>
  </si>
  <si>
    <t>RDAPS-114</t>
  </si>
  <si>
    <t>28753</t>
  </si>
  <si>
    <t>[Dev][RD][BFF API] Enhance API to get coupon by ID new fields for e-commerce type</t>
  </si>
  <si>
    <t>DEVRDSUP-57</t>
  </si>
  <si>
    <t>28728</t>
  </si>
  <si>
    <t>[SUP-57][SUB] Found Sub TXN Offline via Cash Generate empty receipt</t>
  </si>
  <si>
    <t>24/Jul/25 2:17 PM</t>
  </si>
  <si>
    <t>28/Jul/25 12:00 AM</t>
  </si>
  <si>
    <t>RDAPS-104</t>
  </si>
  <si>
    <t>28577</t>
  </si>
  <si>
    <t>[Dev][RD] Improve Confirmation E-mail When Customer Redeemed Reward</t>
  </si>
  <si>
    <t>21/Jul/25 9:08 PM</t>
  </si>
  <si>
    <t>17/Sep/25 9:52 AM</t>
  </si>
  <si>
    <t>DEVRDSUP-50</t>
  </si>
  <si>
    <t>28559</t>
  </si>
  <si>
    <t>[SUP-72][SUB] Some SUB TXN showing coupons as refunded but the package is still active.</t>
  </si>
  <si>
    <t>21/Jul/25 12:10 PM</t>
  </si>
  <si>
    <t>04/Aug/25 12:00 AM</t>
  </si>
  <si>
    <t>DEVRDCT-135</t>
  </si>
  <si>
    <t>28482</t>
  </si>
  <si>
    <t>[S2][sso backoffice][Clevertap][Privacy consent] Update privacy consent on sso backoffice get error 500 and NOT updated on Clevertap</t>
  </si>
  <si>
    <t>17/Jul/25 10:11 PM</t>
  </si>
  <si>
    <t>09/Sep/25 5:10 PM</t>
  </si>
  <si>
    <t>RDAPS-99</t>
  </si>
  <si>
    <t>28480</t>
  </si>
  <si>
    <t>[Dev][RD][Redemption API] Pass BTS station info when issuing BTS pass for coupons with 'offline' sale channel</t>
  </si>
  <si>
    <t>17/Jul/25 7:32 PM</t>
  </si>
  <si>
    <t>DEVRDSUP-45</t>
  </si>
  <si>
    <t>28458</t>
  </si>
  <si>
    <t>[SUP-60][NBO][Rewards Alert List] - Requesting all exclusive partner rewards list with remaining code count.</t>
  </si>
  <si>
    <t>16/Jul/25 5:58 PM</t>
  </si>
  <si>
    <t>12/Sep/25 9:59 AM</t>
  </si>
  <si>
    <t>18/Jul/25 12:00 AM</t>
  </si>
  <si>
    <t>DEVRDSUP-42</t>
  </si>
  <si>
    <t>28359</t>
  </si>
  <si>
    <t>[SUP-66][HRsolution] Many point issue TXN are stuck at "distributing" causing sum of point issue to be incorrect in Point Issuing Transaction Report</t>
  </si>
  <si>
    <t>15/Jul/25 7:48 PM</t>
  </si>
  <si>
    <t>12/Sep/25 5:41 PM</t>
  </si>
  <si>
    <t>DEVRDCT-133</t>
  </si>
  <si>
    <t>28344</t>
  </si>
  <si>
    <t>[S4][CT][User Properties] Enrichment detail of user properties NOT match to sso_backoffice</t>
  </si>
  <si>
    <t>15/Jul/25 4:58 PM</t>
  </si>
  <si>
    <t>09/Sep/25 5:47 PM</t>
  </si>
  <si>
    <t>[Dev][CT] Sprint 2</t>
  </si>
  <si>
    <t>[Dev][CT] Sprint 3</t>
  </si>
  <si>
    <t>[Dev][CT] Sprint 4</t>
  </si>
  <si>
    <t>DEVRDSUP-35</t>
  </si>
  <si>
    <t>27880</t>
  </si>
  <si>
    <t>[SUP-56][NBO][Rewards Alert List] - Rewards Alert List email not being sent</t>
  </si>
  <si>
    <t>09/Jul/25 1:46 PM</t>
  </si>
  <si>
    <t>21/Sep/25 11:01 PM</t>
  </si>
  <si>
    <t>14/Jul/25 12:00 AM</t>
  </si>
  <si>
    <t>DEVRDSUP-30</t>
  </si>
  <si>
    <t>27748</t>
  </si>
  <si>
    <t>[SUP-50][SUB] Some receipts are not generated after SUB TXN is made.</t>
  </si>
  <si>
    <t>08/Jul/25 1:43 PM</t>
  </si>
  <si>
    <t>11/Jul/25 12:00 AM</t>
  </si>
  <si>
    <t>17-19</t>
  </si>
  <si>
    <t>3 ครั้ง 
1.  3 คน
2.  5 คน
3.  4 คน</t>
  </si>
  <si>
    <t>Sprint 5</t>
  </si>
  <si>
    <t>RDAPS-177</t>
  </si>
  <si>
    <t>30705</t>
  </si>
  <si>
    <t>[DEV][ADHOC] Support NEC SIT: API Enh for Turtle member tier</t>
  </si>
  <si>
    <t>05/Sep/25 10:49 AM</t>
  </si>
  <si>
    <t>Jack:Warin Kesorn</t>
  </si>
  <si>
    <t>05/Sep/25 10:05 AM</t>
  </si>
  <si>
    <t>RDTHANA-85</t>
  </si>
  <si>
    <t>30617</t>
  </si>
  <si>
    <t>[Dev][RD][SA][Section] Analyze and Task Description</t>
  </si>
  <si>
    <t>02/Sep/25 8:27 PM</t>
  </si>
  <si>
    <t>04/Sep/25 4:20 PM</t>
  </si>
  <si>
    <t>RDTHANA-84</t>
  </si>
  <si>
    <t>30616</t>
  </si>
  <si>
    <t>[Dev][RD][SA][Widget] Analyze and Task Description</t>
  </si>
  <si>
    <t>RDTHANA-83</t>
  </si>
  <si>
    <t>30611</t>
  </si>
  <si>
    <t>[Dev][RD][SA][Survey] Analyze and Task Description</t>
  </si>
  <si>
    <t>02/Sep/25 4:02 PM</t>
  </si>
  <si>
    <t>DEVRDSUP-112</t>
  </si>
  <si>
    <t>30520</t>
  </si>
  <si>
    <t>[SUP-154]Rabbit Life Point Issue - July 2025</t>
  </si>
  <si>
    <t>29/Aug/25 7:37 PM</t>
  </si>
  <si>
    <t>05/Sep/25 10:50 AM</t>
  </si>
  <si>
    <t>05/Sep/25 10:12 AM</t>
  </si>
  <si>
    <t>DEVRDCT-217</t>
  </si>
  <si>
    <t>30508</t>
  </si>
  <si>
    <t>[QA] Test execution auto-push coupon redemption send email to queue</t>
  </si>
  <si>
    <t>29/Aug/25 11:07 AM</t>
  </si>
  <si>
    <t>01/Sep/25 4:17 PM</t>
  </si>
  <si>
    <t>DEVRDCT-216</t>
  </si>
  <si>
    <t>30435</t>
  </si>
  <si>
    <t>[QA] Test execution Auto push coupon send email</t>
  </si>
  <si>
    <t>28/Aug/25 11:05 PM</t>
  </si>
  <si>
    <t>RDAPS-168</t>
  </si>
  <si>
    <t>30402</t>
  </si>
  <si>
    <t>[DEV][RD] Create manual for upload coupons</t>
  </si>
  <si>
    <t>28/Aug/25 12:34 AM</t>
  </si>
  <si>
    <t>28/Aug/25 12:35 AM</t>
  </si>
  <si>
    <t>DEVRDSUP-106</t>
  </si>
  <si>
    <t>30400</t>
  </si>
  <si>
    <t>[SUP-155][RDxDA][ETL] Daily Redemption Report has failed - Missing Mandatory Files (20250821)</t>
  </si>
  <si>
    <t>27/Aug/25 6:51 PM</t>
  </si>
  <si>
    <t>29/Aug/25 3:10 PM</t>
  </si>
  <si>
    <t>05/Sep/25 10:04 AM</t>
  </si>
  <si>
    <t>04/Sep/25 5:33 AM</t>
  </si>
  <si>
    <t>DEVRDCT-213</t>
  </si>
  <si>
    <t>30388</t>
  </si>
  <si>
    <t>[QA] Test execution validation passed allocate auto push coupons</t>
  </si>
  <si>
    <t>27/Aug/25 2:52 PM</t>
  </si>
  <si>
    <t>29/Aug/25 10:30 AM</t>
  </si>
  <si>
    <t>DEVRDCT-212</t>
  </si>
  <si>
    <t>30380</t>
  </si>
  <si>
    <t>[QA] Test execution API CleverTap webhooks push-coupon</t>
  </si>
  <si>
    <t>27/Aug/25 1:16 PM</t>
  </si>
  <si>
    <t>05/Sep/25 9:58 AM</t>
  </si>
  <si>
    <t>01/Sep/25 3:13 PM</t>
  </si>
  <si>
    <t>03/Sep/25 10:40 AM</t>
  </si>
  <si>
    <t>RDTHANA-62</t>
  </si>
  <si>
    <t>30304</t>
  </si>
  <si>
    <t>05/Sep/25 10:17 AM</t>
  </si>
  <si>
    <t>02/Sep/25 11:10 AM</t>
  </si>
  <si>
    <t>[QA] Create Test Case Advance Setting Tap</t>
  </si>
  <si>
    <t>05/Sep/25 10:51 AM</t>
  </si>
  <si>
    <t>03/Sep/25 2:49 PM</t>
  </si>
  <si>
    <t>DEVRRBOF-199</t>
  </si>
  <si>
    <t>30253</t>
  </si>
  <si>
    <t>[TX][RR-Backoffice] Sprint6 - Staging</t>
  </si>
  <si>
    <t>25/Aug/25 4:35 PM</t>
  </si>
  <si>
    <t>26/Aug/25 2:35 PM</t>
  </si>
  <si>
    <t>25/Aug/25 5:12 PM</t>
  </si>
  <si>
    <t>01/Sep/25 5:01 PM</t>
  </si>
  <si>
    <t>05/Sep/25 10:28 AM</t>
  </si>
  <si>
    <t>Pimonrath Jaiyen</t>
  </si>
  <si>
    <t>04/Sep/25 4:03 PM</t>
  </si>
  <si>
    <t>RDTHANA-45</t>
  </si>
  <si>
    <t>30132</t>
  </si>
  <si>
    <t>[DEV][RD][DasHaus][HRS] Rename “Get Member Method” field to “Added Member Channel” with multiple tag search &amp; opt-in functionality</t>
  </si>
  <si>
    <t>22/Aug/25 4:07 PM</t>
  </si>
  <si>
    <t>02/Sep/25 5:32 PM</t>
  </si>
  <si>
    <t>04/Sep/25 9:40 AM</t>
  </si>
  <si>
    <t>DEVRDCT-209</t>
  </si>
  <si>
    <t>30115</t>
  </si>
  <si>
    <t>[QA] Test execution Club binding User Propreties CT</t>
  </si>
  <si>
    <t>22/Aug/25 11:43 AM</t>
  </si>
  <si>
    <t>29/Aug/25 10:09 AM</t>
  </si>
  <si>
    <t>[TX][ECommerce] Shopify Sprint 6</t>
  </si>
  <si>
    <t>27/Aug/25 10:36 AM</t>
  </si>
  <si>
    <t>[TP][ECommerce] Shopify Sprint 6</t>
  </si>
  <si>
    <t>DEVRDECOM-58</t>
  </si>
  <si>
    <t>30100</t>
  </si>
  <si>
    <t>[TS][ECommerce] Shopify Sprint 6</t>
  </si>
  <si>
    <t>22/Aug/25 9:52 AM</t>
  </si>
  <si>
    <t>29/Aug/25 9:35 AM</t>
  </si>
  <si>
    <t>04/Sep/25 9:31 AM</t>
  </si>
  <si>
    <t>Jarupong Pawichpongkul</t>
  </si>
  <si>
    <t>[DEV][RD][DasHaus][BFF] Implement the API to validate matching account</t>
  </si>
  <si>
    <t>22/Aug/25 5:03 PM</t>
  </si>
  <si>
    <t>25/Aug/25 2:39 PM</t>
  </si>
  <si>
    <t>03/Sep/25 4:06 PM</t>
  </si>
  <si>
    <t>04/Sep/25 7:11 AM</t>
  </si>
  <si>
    <t>04/Sep/25 9:36 AM</t>
  </si>
  <si>
    <t>04/Sep/25 9:44 AM</t>
  </si>
  <si>
    <t>05/Sep/25 10:56 AM</t>
  </si>
  <si>
    <t>05/Sep/25 10:27 AM</t>
  </si>
  <si>
    <t>05/Sep/25 9:43 AM</t>
  </si>
  <si>
    <t>05/Sep/25 9:42 AM</t>
  </si>
  <si>
    <t>RDTHANA-28</t>
  </si>
  <si>
    <t>30005</t>
  </si>
  <si>
    <t>[Dev][RD][HR-Solution][SA] Design data structure</t>
  </si>
  <si>
    <t>21/Aug/25 9:38 AM</t>
  </si>
  <si>
    <t>RDTHANA-27</t>
  </si>
  <si>
    <t>30004</t>
  </si>
  <si>
    <t>[DEV][RD][HR] Migrations</t>
  </si>
  <si>
    <t>21/Aug/25 9:36 AM</t>
  </si>
  <si>
    <t>DEVRDECOM-48</t>
  </si>
  <si>
    <t>29999</t>
  </si>
  <si>
    <t>[DEV][RD][Eco][API Spec] Create API Spec for Email Verify Request</t>
  </si>
  <si>
    <t>20/Aug/25 6:50 PM</t>
  </si>
  <si>
    <t>29/Aug/25 4:58 PM</t>
  </si>
  <si>
    <t>RDTHANA-23</t>
  </si>
  <si>
    <t>29994</t>
  </si>
  <si>
    <t>[DEV][RD][DasHaus][API Spec]</t>
  </si>
  <si>
    <t>04/Sep/25 4:23 PM</t>
  </si>
  <si>
    <t>RDTHANA-22</t>
  </si>
  <si>
    <t>29992</t>
  </si>
  <si>
    <t>[DEV][RD][DasHaus][SA] Analyze task for Member joining</t>
  </si>
  <si>
    <t>20/Aug/25 4:31 PM</t>
  </si>
  <si>
    <t>01/Sep/25 5:02 PM</t>
  </si>
  <si>
    <t>RDAPS-163</t>
  </si>
  <si>
    <t>29980</t>
  </si>
  <si>
    <t>20/Aug/25 12:14 PM</t>
  </si>
  <si>
    <t>RDAPS-162</t>
  </si>
  <si>
    <t>29978</t>
  </si>
  <si>
    <t>26/Aug/25 1:55 PM</t>
  </si>
  <si>
    <t>05/Sep/25 10:36 AM</t>
  </si>
  <si>
    <t>05/Sep/25 10:34 AM</t>
  </si>
  <si>
    <t>05/Sep/25 10:46 AM</t>
  </si>
  <si>
    <t>03/Sep/25 2:20 PM</t>
  </si>
  <si>
    <t>DEVRDECOM-47</t>
  </si>
  <si>
    <t>29926</t>
  </si>
  <si>
    <t>19/Aug/25 4:17 PM</t>
  </si>
  <si>
    <t>27/Aug/25 4:53 PM</t>
  </si>
  <si>
    <t>[Dev][RD][Ecom]Sprint 5</t>
  </si>
  <si>
    <t>DEVRDSUP-94</t>
  </si>
  <si>
    <t>29908</t>
  </si>
  <si>
    <t>[SUP-76]HOP Top merchant show 0 txn</t>
  </si>
  <si>
    <t>19/Aug/25 1:09 PM</t>
  </si>
  <si>
    <t>28/Aug/25 11:30 AM</t>
  </si>
  <si>
    <t>28/Aug/25 10:02 AM</t>
  </si>
  <si>
    <t>05/Sep/25 9:46 AM</t>
  </si>
  <si>
    <t>28/Aug/25 9:53 AM</t>
  </si>
  <si>
    <t>DEVRDECOM-44</t>
  </si>
  <si>
    <t>29846</t>
  </si>
  <si>
    <t>[DEV][RD][Eco][API Gateway] Create API Gateway</t>
  </si>
  <si>
    <t>17/Aug/25 2:02 PM</t>
  </si>
  <si>
    <t>29/Aug/25 4:59 PM</t>
  </si>
  <si>
    <t>05/Sep/25 9:44 AM</t>
  </si>
  <si>
    <t>05/Sep/25 9:41 AM</t>
  </si>
  <si>
    <t>04/Sep/25 5:58 PM</t>
  </si>
  <si>
    <t>DEVRDCT-196</t>
  </si>
  <si>
    <t>29813</t>
  </si>
  <si>
    <t>[QA] Create Test Case Auto push coupon</t>
  </si>
  <si>
    <t>14/Aug/25 3:39 PM</t>
  </si>
  <si>
    <t>29/Aug/25 10:57 AM</t>
  </si>
  <si>
    <t>DEVRDCT-190</t>
  </si>
  <si>
    <t>29801</t>
  </si>
  <si>
    <t>[QA] Create Test Case Club Binding feed to user properties</t>
  </si>
  <si>
    <t>14/Aug/25 3:29 PM</t>
  </si>
  <si>
    <t>21/Aug/25 1:22 PM</t>
  </si>
  <si>
    <t>DEVRDCT-186</t>
  </si>
  <si>
    <t>29793</t>
  </si>
  <si>
    <t>14/Aug/25 3:24 PM</t>
  </si>
  <si>
    <t>29/Aug/25 11:11 AM</t>
  </si>
  <si>
    <t>DEVRDCT-185</t>
  </si>
  <si>
    <t>29789</t>
  </si>
  <si>
    <t>14/Aug/25 3:20 PM</t>
  </si>
  <si>
    <t>29/Aug/25 10:59 AM</t>
  </si>
  <si>
    <t>DEVRDCT-184</t>
  </si>
  <si>
    <t>29787</t>
  </si>
  <si>
    <t>14/Aug/25 3:13 PM</t>
  </si>
  <si>
    <t>DEVRDCT-183</t>
  </si>
  <si>
    <t>29785</t>
  </si>
  <si>
    <t>No required QA</t>
  </si>
  <si>
    <t>14/Aug/25 3:12 PM</t>
  </si>
  <si>
    <t>01/Sep/25 10:11 AM</t>
  </si>
  <si>
    <t>DEVRDECOM-37</t>
  </si>
  <si>
    <t>29779</t>
  </si>
  <si>
    <t>14/Aug/25 3:04 PM</t>
  </si>
  <si>
    <t>26/Aug/25 3:53 PM</t>
  </si>
  <si>
    <t>DEVRDCT-180</t>
  </si>
  <si>
    <t>29679</t>
  </si>
  <si>
    <t>[Dev][RD][Rewards API] Add is_auto_push_enabled field to responses</t>
  </si>
  <si>
    <t>14/Aug/25 9:25 AM</t>
  </si>
  <si>
    <t>15/Aug/25 12:00 AM</t>
  </si>
  <si>
    <t>28/Aug/25 1:48 PM</t>
  </si>
  <si>
    <t>05/Sep/25 10:59 AM</t>
  </si>
  <si>
    <t>DEVRDECOM-32</t>
  </si>
  <si>
    <t>29546</t>
  </si>
  <si>
    <t>[DEV][RD][Eco][BFF] Create API endpoint to retrieve a list of all Shopify shops</t>
  </si>
  <si>
    <t>10/Aug/25 5:37 PM</t>
  </si>
  <si>
    <t>05/Sep/25 10:39 AM</t>
  </si>
  <si>
    <t>DEVRDCT-170</t>
  </si>
  <si>
    <t>29513</t>
  </si>
  <si>
    <t>[Dev][RD] Implement sent email to queue for redeemed transaction</t>
  </si>
  <si>
    <t>08/Aug/25 10:57 AM</t>
  </si>
  <si>
    <t>04/Sep/25 6:06 PM</t>
  </si>
  <si>
    <t>04/Sep/25 7:13 AM</t>
  </si>
  <si>
    <t>RDAPS-143</t>
  </si>
  <si>
    <t>29343</t>
  </si>
  <si>
    <t>[Dev][RD][RR-Backoffice] Enhance e-commerce rewards url open type</t>
  </si>
  <si>
    <t>06/Aug/25 8:44 AM</t>
  </si>
  <si>
    <t>26/Aug/25 2:38 PM</t>
  </si>
  <si>
    <t>20/Aug/25 12:00 AM</t>
  </si>
  <si>
    <t>05/Sep/25 10:58 AM</t>
  </si>
  <si>
    <t>DEVRDCT-169</t>
  </si>
  <si>
    <t>29199</t>
  </si>
  <si>
    <t>[Dev][RD][RR-Scheduler Consumer] Implement Redemption Email to Send to Customer</t>
  </si>
  <si>
    <t>04/Aug/25 1:06 PM</t>
  </si>
  <si>
    <t>rr-scheduler-consumer</t>
  </si>
  <si>
    <t>[Dev][RD][RDS] Send event to CT</t>
  </si>
  <si>
    <t>05/Sep/25 10:20 AM</t>
  </si>
  <si>
    <t>DEVRDECOM-27</t>
  </si>
  <si>
    <t>28965</t>
  </si>
  <si>
    <t>30/Jul/25 3:26 PM</t>
  </si>
  <si>
    <t>27/Aug/25 10:25 AM</t>
  </si>
  <si>
    <t>DEVRDECOM-26</t>
  </si>
  <si>
    <t>28962</t>
  </si>
  <si>
    <t>27/Aug/25 10:15 AM</t>
  </si>
  <si>
    <t>01/Sep/25 4:40 PM</t>
  </si>
  <si>
    <t>DEVRDCT-154</t>
  </si>
  <si>
    <t>28838</t>
  </si>
  <si>
    <t>[Dev][CleverTap][RD] Implement Club Binding feed to user properties to replace partner binding</t>
  </si>
  <si>
    <t>29/Jul/25 9:33 AM</t>
  </si>
  <si>
    <t>01/Sep/25 10:10 AM</t>
  </si>
  <si>
    <t>14/Aug/25 12:00 AM</t>
  </si>
  <si>
    <t>DEVRDECOM-21</t>
  </si>
  <si>
    <t>28836</t>
  </si>
  <si>
    <t>[DEV][RD][Eco][BFF] Create API Endpoint for Mobile App Auto-Login to Shopify</t>
  </si>
  <si>
    <t>29/Jul/25 9:06 AM</t>
  </si>
  <si>
    <t>RDAPS-126</t>
  </si>
  <si>
    <t>28823</t>
  </si>
  <si>
    <t>[Dev][RD][Member Tier][Partner Loyalty] Enhance Check RR member by trader ID API</t>
  </si>
  <si>
    <t>28/Jul/25 7:07 PM</t>
  </si>
  <si>
    <t>05/Sep/25 2:13 AM</t>
  </si>
  <si>
    <t>RDAPS-125</t>
  </si>
  <si>
    <t>28816</t>
  </si>
  <si>
    <t>[Dev][RD][Member Tier][HR-Solution] Create get member tier endpoint</t>
  </si>
  <si>
    <t>28/Jul/25 6:22 PM</t>
  </si>
  <si>
    <t>27/Aug/25 10:14 AM</t>
  </si>
  <si>
    <t>RDAPS-123</t>
  </si>
  <si>
    <t>28814</t>
  </si>
  <si>
    <t>[Dev][RD][Member Tier][Partner Loyalty] Enhance Check RR member by phone API</t>
  </si>
  <si>
    <t>28/Jul/25 6:21 PM</t>
  </si>
  <si>
    <t>DEVRDCT-145</t>
  </si>
  <si>
    <t>28778</t>
  </si>
  <si>
    <t>[Dev][RD][Redemption Consumer] Allocate coupons</t>
  </si>
  <si>
    <t>25/Jul/25 5:56 PM</t>
  </si>
  <si>
    <t>DEVRDCT-142</t>
  </si>
  <si>
    <t>28764</t>
  </si>
  <si>
    <t>[Dev][RD][Redemption] Create a Webhook API for Pushing Coupons</t>
  </si>
  <si>
    <t>24/Jul/25 8:37 PM</t>
  </si>
  <si>
    <t>04/Sep/25 10:04 AM</t>
  </si>
  <si>
    <t>01/Sep/25 4:39 PM</t>
  </si>
  <si>
    <t>28/Aug/25 9:57 AM</t>
  </si>
  <si>
    <t>DEVRDSUP-46</t>
  </si>
  <si>
    <t>28505</t>
  </si>
  <si>
    <t>[SUP-58]SUB :(Root cause analysis/long term solution) Receipt ID not found in RR Backoffice</t>
  </si>
  <si>
    <t>Chawins</t>
  </si>
  <si>
    <t>62947f0c9c88e7006fb44996</t>
  </si>
  <si>
    <t>18/Jul/25 11:01 AM</t>
  </si>
  <si>
    <t>25/Aug/25 5:08 PM</t>
  </si>
  <si>
    <t>RDAPS-91</t>
  </si>
  <si>
    <t>28194</t>
  </si>
  <si>
    <t>[Dev][RD][POC Archive Old Data in MongoDB/RLP DB/PL DB]</t>
  </si>
  <si>
    <t>14/Jul/25 7:04 PM</t>
  </si>
  <si>
    <t>04/Sep/25 1:52 PM</t>
  </si>
  <si>
    <t>28/Aug/25 9:50 AM</t>
  </si>
  <si>
    <t>28/Aug/25 9:52 AM</t>
  </si>
  <si>
    <t>14400</t>
  </si>
  <si>
    <t>3600</t>
  </si>
  <si>
    <t>36000</t>
  </si>
  <si>
    <t>108000</t>
  </si>
  <si>
    <t>172800</t>
  </si>
  <si>
    <t>115200</t>
  </si>
  <si>
    <t>1800</t>
  </si>
  <si>
    <t>11 Aug - 22 Aug</t>
  </si>
  <si>
    <t>3 ครั้ง 
1.  5 คน
2.  3 คน
3.  0 คน</t>
  </si>
  <si>
    <t>22/Aug/25 12:01 PM</t>
  </si>
  <si>
    <t>DEVRDCT-206</t>
  </si>
  <si>
    <t>30109</t>
  </si>
  <si>
    <t>[TP][Rewards] Auto-push Sprint5</t>
  </si>
  <si>
    <t>22/Aug/25 11:07 AM</t>
  </si>
  <si>
    <t>22/Aug/25 11:10 AM</t>
  </si>
  <si>
    <t>DEVRDCT-207</t>
  </si>
  <si>
    <t>30108</t>
  </si>
  <si>
    <t>[TX][Rewards] Auto-push Sprint5</t>
  </si>
  <si>
    <t>22/Aug/25 11:06 AM</t>
  </si>
  <si>
    <t>22/Aug/25 11:11 AM</t>
  </si>
  <si>
    <t>DEVRDCT-208</t>
  </si>
  <si>
    <t>30107</t>
  </si>
  <si>
    <t>[TS][Rewards] Auto-push Sprint5</t>
  </si>
  <si>
    <t>22/Aug/25 11:04 AM</t>
  </si>
  <si>
    <t>DEVRDADJ-23</t>
  </si>
  <si>
    <t>30053</t>
  </si>
  <si>
    <t>[TX][Adjust] Sprint5</t>
  </si>
  <si>
    <t>Nattawat Kunsuwan</t>
  </si>
  <si>
    <t>21/Aug/25 3:36 PM</t>
  </si>
  <si>
    <t>DEVRDADJ-22</t>
  </si>
  <si>
    <t>30052</t>
  </si>
  <si>
    <t>[TP][Adjust] Sprint5</t>
  </si>
  <si>
    <t>DEVRDADJ-21</t>
  </si>
  <si>
    <t>30051</t>
  </si>
  <si>
    <t>[TS][Adjust] Sprint5</t>
  </si>
  <si>
    <t>21/Aug/25 3:35 PM</t>
  </si>
  <si>
    <t>DEVRDCT-205</t>
  </si>
  <si>
    <t>30024</t>
  </si>
  <si>
    <t>21/Aug/25 1:53 PM</t>
  </si>
  <si>
    <t>DEVRDCT-204</t>
  </si>
  <si>
    <t>30008</t>
  </si>
  <si>
    <t>21/Aug/25 11:12 AM</t>
  </si>
  <si>
    <t>20/Aug/25 4:12 PM</t>
  </si>
  <si>
    <t>DEVRDCT-200</t>
  </si>
  <si>
    <t>29917</t>
  </si>
  <si>
    <t>[S3][Clever Tap][Event Login][Rabbit Connect] Fail reason of login fail event doesn't show on CleverTap</t>
  </si>
  <si>
    <t>19/Aug/25 2:48 PM</t>
  </si>
  <si>
    <t>21/Aug/25 3:16 PM</t>
  </si>
  <si>
    <t>DEVRDCT-199</t>
  </si>
  <si>
    <t>29914</t>
  </si>
  <si>
    <t>[QA] Test execution Event feeding for Subscription purchase report #2</t>
  </si>
  <si>
    <t>19/Aug/25 1:50 PM</t>
  </si>
  <si>
    <t>21/Aug/25 8:28 PM</t>
  </si>
  <si>
    <t>DEVRD20THB-22</t>
  </si>
  <si>
    <t>29862</t>
  </si>
  <si>
    <t>[QA] Test execution OTP verification page via SMS Warning Message</t>
  </si>
  <si>
    <t>18/Aug/25 1:46 PM</t>
  </si>
  <si>
    <t>18/Aug/25 2:44 PM</t>
  </si>
  <si>
    <t>DEVRD20THB-21</t>
  </si>
  <si>
    <t>29860</t>
  </si>
  <si>
    <t>[QA] Test execution OTP verification page via Email Warning Message</t>
  </si>
  <si>
    <t>18/Aug/25 1:44 PM</t>
  </si>
  <si>
    <t>DEVRDSUP-91</t>
  </si>
  <si>
    <t>29836</t>
  </si>
  <si>
    <t>[SUP-129][SUB] CRM Case ID: #20250800015492 Request to initiate Package</t>
  </si>
  <si>
    <t>15/Aug/25 4:07 PM</t>
  </si>
  <si>
    <t>15/Aug/25 4:13 PM</t>
  </si>
  <si>
    <t>DEVRDSUP-90</t>
  </si>
  <si>
    <t>29835</t>
  </si>
  <si>
    <t>[SUP-131][SUB] Request to generate cancel receipts for 30/07/2025</t>
  </si>
  <si>
    <t>15/Aug/25 3:54 PM</t>
  </si>
  <si>
    <t>15/Aug/25 4:36 PM</t>
  </si>
  <si>
    <t>DEVRD20THB-20</t>
  </si>
  <si>
    <t>29833</t>
  </si>
  <si>
    <t>[DEV][RD][20THB][RLP] Enhance get member by card</t>
  </si>
  <si>
    <t>15/Aug/25 2:33 PM</t>
  </si>
  <si>
    <t>21/Aug/25 4:06 PM</t>
  </si>
  <si>
    <t>DEVRDECOM-38</t>
  </si>
  <si>
    <t>29831</t>
  </si>
  <si>
    <t>[DEV][RD][Eco][RR-Ecommerce-Shopify] Create function to generate multi pass token</t>
  </si>
  <si>
    <t>15/Aug/25 11:49 AM</t>
  </si>
  <si>
    <t>22/Aug/25 10:02 AM</t>
  </si>
  <si>
    <t>DEVRDCT-198</t>
  </si>
  <si>
    <t>29824</t>
  </si>
  <si>
    <t>[QA] Test execution Login Event for LinePay binding</t>
  </si>
  <si>
    <t>15/Aug/25 10:08 AM</t>
  </si>
  <si>
    <t>21/Aug/25 11:42 AM</t>
  </si>
  <si>
    <t>DEVRDCT-197</t>
  </si>
  <si>
    <t>29822</t>
  </si>
  <si>
    <t>[QA] Test execution Login Event On Rabbit Connect for RR Client</t>
  </si>
  <si>
    <t>15/Aug/25 10:07 AM</t>
  </si>
  <si>
    <t>19/Aug/25 11:53 PM</t>
  </si>
  <si>
    <t>DEVRDSUP-88</t>
  </si>
  <si>
    <t>29816</t>
  </si>
  <si>
    <t>[SUP-127]#20250700013779 Please mark used to  [Line pay]  BTS - Free* 3 Trips for Adult 2025</t>
  </si>
  <si>
    <t>14/Aug/25 5:51 PM</t>
  </si>
  <si>
    <t>15/Aug/25 4:14 PM</t>
  </si>
  <si>
    <t>22/Aug/25 10:57 AM</t>
  </si>
  <si>
    <t>DEVRDCT-194</t>
  </si>
  <si>
    <t>29809</t>
  </si>
  <si>
    <t>[QA] Update Test Case Event feeding for Subscription purchase report</t>
  </si>
  <si>
    <t>DEVRDCT-192</t>
  </si>
  <si>
    <t>29805</t>
  </si>
  <si>
    <t>DEVRDCT-191</t>
  </si>
  <si>
    <t>29803</t>
  </si>
  <si>
    <t>DEVRDCT-189</t>
  </si>
  <si>
    <t>29799</t>
  </si>
  <si>
    <t>[QA] Create Test Case Login Event for LinePay binding</t>
  </si>
  <si>
    <t>14/Aug/25 3:25 PM</t>
  </si>
  <si>
    <t>21/Aug/25 11:43 AM</t>
  </si>
  <si>
    <t>DEVRDCT-188</t>
  </si>
  <si>
    <t>29797</t>
  </si>
  <si>
    <t>[QA] Create Test Case Login Event On Rabbit Connect for RR Client</t>
  </si>
  <si>
    <t>19/Aug/25 3:43 PM</t>
  </si>
  <si>
    <t>DEVRDCT-187</t>
  </si>
  <si>
    <t>29795</t>
  </si>
  <si>
    <t>21/Aug/25 3:18 PM</t>
  </si>
  <si>
    <t>RDAPS-159</t>
  </si>
  <si>
    <t>29791</t>
  </si>
  <si>
    <t>[QA] Create Test Case - Ask Aom how to test this story.</t>
  </si>
  <si>
    <t>14/Aug/25 4:24 PM</t>
  </si>
  <si>
    <t>DEVRDCT-182</t>
  </si>
  <si>
    <t>29783</t>
  </si>
  <si>
    <t>21/Aug/25 1:29 PM</t>
  </si>
  <si>
    <t>DEVRDCT-181</t>
  </si>
  <si>
    <t>29781</t>
  </si>
  <si>
    <t>[QA] Create Test Case - Ask Aom if this story request test or not.</t>
  </si>
  <si>
    <t>14/Aug/25 3:10 PM</t>
  </si>
  <si>
    <t>20/Aug/25 4:15 PM</t>
  </si>
  <si>
    <t>DEVRDADJ-13</t>
  </si>
  <si>
    <t>29771</t>
  </si>
  <si>
    <t>[QA] Create Test Case - Create script to re-generate adjust deep link</t>
  </si>
  <si>
    <t>14/Aug/25 3:00 PM</t>
  </si>
  <si>
    <t>19/Aug/25 3:51 PM</t>
  </si>
  <si>
    <t>DEVRDADJ-12</t>
  </si>
  <si>
    <t>29769</t>
  </si>
  <si>
    <t>[QA] Create Test Case - Replace Adjust instead of firebase for manual import static deep link</t>
  </si>
  <si>
    <t>14/Aug/25 2:59 PM</t>
  </si>
  <si>
    <t>14/Aug/25 3:57 PM</t>
  </si>
  <si>
    <t>DEVRDADJ-11</t>
  </si>
  <si>
    <t>29767</t>
  </si>
  <si>
    <t>[QA] Create Test Case - Replace Adjust instead of firebase for deep link API</t>
  </si>
  <si>
    <t>14/Aug/25 2:58 PM</t>
  </si>
  <si>
    <t>DEVRD20THB-19</t>
  </si>
  <si>
    <t>29765</t>
  </si>
  <si>
    <t>14/Aug/25 2:57 PM</t>
  </si>
  <si>
    <t>DEVRD20THB-17</t>
  </si>
  <si>
    <t>29761</t>
  </si>
  <si>
    <t>14/Aug/25 2:54 PM</t>
  </si>
  <si>
    <t>15/Aug/25 10:05 AM</t>
  </si>
  <si>
    <t>DEVRD20THB-15</t>
  </si>
  <si>
    <t>29757</t>
  </si>
  <si>
    <t>14/Aug/25 2:51 PM</t>
  </si>
  <si>
    <t>DEVRD20THB-14</t>
  </si>
  <si>
    <t>29755</t>
  </si>
  <si>
    <t>[QA] Create Test Case OTP verification page via SMS Warning Message</t>
  </si>
  <si>
    <t>14/Aug/25 2:49 PM</t>
  </si>
  <si>
    <t>18/Aug/25 2:42 PM</t>
  </si>
  <si>
    <t>DEVRD20THB-13</t>
  </si>
  <si>
    <t>29753</t>
  </si>
  <si>
    <t>[QA] Create Test case OTP verification page via Email Warning Message</t>
  </si>
  <si>
    <t>18/Aug/25 2:41 PM</t>
  </si>
  <si>
    <t>22/Aug/25 10:46 AM</t>
  </si>
  <si>
    <t>RDAPS-157</t>
  </si>
  <si>
    <t>29669</t>
  </si>
  <si>
    <t>[Dev][RD][[ADHOC][VISIONARY] Reverse transaction and reset campaign]</t>
  </si>
  <si>
    <t>13/Aug/25 4:41 PM</t>
  </si>
  <si>
    <t>RDAPS-156</t>
  </si>
  <si>
    <t>29665</t>
  </si>
  <si>
    <t>[Dev][RD][Redemption Consumer] Implement send email to message queue</t>
  </si>
  <si>
    <t>13/Aug/25 3:51 PM</t>
  </si>
  <si>
    <t>22/Aug/25 9:32 AM</t>
  </si>
  <si>
    <t>DEVRDCT-179</t>
  </si>
  <si>
    <t>29655</t>
  </si>
  <si>
    <t>[S3][[CleverTap][LineOA] LineOA field on User properties NOT Update when update any event (unbind, Blocked Line Friend)</t>
  </si>
  <si>
    <t>13/Aug/25 12:49 PM</t>
  </si>
  <si>
    <t>13/Aug/25 5:56 PM</t>
  </si>
  <si>
    <t>DEVRD20THB-12</t>
  </si>
  <si>
    <t>29649</t>
  </si>
  <si>
    <t>[Dev][RD][20THB][Rabbit Connect] Enhance OTP  verification page via SMS</t>
  </si>
  <si>
    <t>13/Aug/25 10:30 AM</t>
  </si>
  <si>
    <t>21/Aug/25 7:41 PM</t>
  </si>
  <si>
    <t>13/Aug/25 12:00 AM</t>
  </si>
  <si>
    <t>22/Aug/25 9:31 AM</t>
  </si>
  <si>
    <t>DEVRDCT-178</t>
  </si>
  <si>
    <t>29561</t>
  </si>
  <si>
    <t>[S3][CleverTap][Production][RR Cloud ID] User Profile Properties 'RABBIT_WALLET_CARD_ADDED_DATETIME' show incorrect (Time +7) when user Add Wallet Card</t>
  </si>
  <si>
    <t>11/Aug/25 10:41 AM</t>
  </si>
  <si>
    <t>14/Aug/25 1:58 PM</t>
  </si>
  <si>
    <t>cloudid</t>
  </si>
  <si>
    <t>22/Aug/25 10:05 AM</t>
  </si>
  <si>
    <t>22/Aug/25 10:07 AM</t>
  </si>
  <si>
    <t>DEVRDECOM-30</t>
  </si>
  <si>
    <t>29545</t>
  </si>
  <si>
    <t>[DEV][RD][Eco][Ecommerce-Shopify] Create API endpoint to retrieve a list of all Shopify shops</t>
  </si>
  <si>
    <t>10/Aug/25 5:32 PM</t>
  </si>
  <si>
    <t>18/Aug/25 12:00 AM</t>
  </si>
  <si>
    <t>RDAPS-152</t>
  </si>
  <si>
    <t>29543</t>
  </si>
  <si>
    <t>[Dev][RD][Adhoc][PL] Fix Laravel Log Error Caused by Permission Conflict</t>
  </si>
  <si>
    <t>10/Aug/25 9:20 AM</t>
  </si>
  <si>
    <t>19/Aug/25 3:38 PM</t>
  </si>
  <si>
    <t>[TBC][Dev][RD][SSO User] Update Sign Up Event to include default values for the fields MSG_Email and MSG_SMS</t>
  </si>
  <si>
    <t>DEVRDCT-173</t>
  </si>
  <si>
    <t>29540</t>
  </si>
  <si>
    <t>[Dev][RD][Initial data] Initial Club Binding event to CleverTap</t>
  </si>
  <si>
    <t>09/Aug/25 10:06 AM</t>
  </si>
  <si>
    <t>DEVRDCT-172</t>
  </si>
  <si>
    <t>29539</t>
  </si>
  <si>
    <t>[Dev][RD][HR Solution] Develop Club Binding feed to event and user properties</t>
  </si>
  <si>
    <t>09/Aug/25 10:02 AM</t>
  </si>
  <si>
    <t>20/Aug/25 10:55 AM</t>
  </si>
  <si>
    <t>RDAPS-150</t>
  </si>
  <si>
    <t>29537</t>
  </si>
  <si>
    <t>[Dev][RD][VGI ONE] Remove WPP - Wavemaker duplicate deducted transaction</t>
  </si>
  <si>
    <t>09/Aug/25 8:50 AM</t>
  </si>
  <si>
    <t>15/Aug/25 2:11 PM</t>
  </si>
  <si>
    <t>DEVRDCT-171</t>
  </si>
  <si>
    <t>29530</t>
  </si>
  <si>
    <t>[S4][CleverTap][User Properties][Rabbit Wallet Card] Remove Rabbit Wallet card but CleverTap don't clear User Properties data</t>
  </si>
  <si>
    <t>08/Aug/25 5:55 PM</t>
  </si>
  <si>
    <t>14/Aug/25 4:29 PM</t>
  </si>
  <si>
    <t>18/Aug/25 2:46 PM</t>
  </si>
  <si>
    <t>DEVRD20THB-8</t>
  </si>
  <si>
    <t>29509</t>
  </si>
  <si>
    <t>[DEV][RD][20THB][SA] Analyze task</t>
  </si>
  <si>
    <t>08/Aug/25 10:08 AM</t>
  </si>
  <si>
    <t>14/Aug/25 2:50 PM</t>
  </si>
  <si>
    <t>DEVRD20THB-7</t>
  </si>
  <si>
    <t>29508</t>
  </si>
  <si>
    <t>[DEV][RD][20THB][BFF] Offline subscription Integrate 20thb campaign's member</t>
  </si>
  <si>
    <t>08/Aug/25 9:57 AM</t>
  </si>
  <si>
    <t>22/Aug/25 10:03 AM</t>
  </si>
  <si>
    <t>DEVRD20THB-6</t>
  </si>
  <si>
    <t>29507</t>
  </si>
  <si>
    <t>RDAPS-148</t>
  </si>
  <si>
    <t>29506</t>
  </si>
  <si>
    <t>[Dev][RD][RR-Scheduler] Improve command to update coupons is expired</t>
  </si>
  <si>
    <t>08/Aug/25 8:51 AM</t>
  </si>
  <si>
    <t>15/Aug/25 2:39 PM</t>
  </si>
  <si>
    <t>22/Aug/25 9:26 AM</t>
  </si>
  <si>
    <t>DEVRD20THB-4</t>
  </si>
  <si>
    <t>29492</t>
  </si>
  <si>
    <t>[DEV][RD][20THB][BFF] Service Integrate Rabbit API and get parton campaign</t>
  </si>
  <si>
    <t>07/Aug/25 2:47 PM</t>
  </si>
  <si>
    <t>22/Aug/25 9:35 AM</t>
  </si>
  <si>
    <t>DEVRD20THB-3</t>
  </si>
  <si>
    <t>29487</t>
  </si>
  <si>
    <t>[Dev][RD][20THB][Rabbit Connect] Enhance OTP verification page via Email</t>
  </si>
  <si>
    <t>07/Aug/25 1:15 PM</t>
  </si>
  <si>
    <t>12/Aug/25 11:11 AM</t>
  </si>
  <si>
    <t>RDAPS-144</t>
  </si>
  <si>
    <t>29345</t>
  </si>
  <si>
    <t>[Dev][RD][API Spec] Update APIs spec for BFF</t>
  </si>
  <si>
    <t>06/Aug/25 8:45 AM</t>
  </si>
  <si>
    <t>18/Aug/25 9:19 AM</t>
  </si>
  <si>
    <t>21/Aug/25 3:33 PM</t>
  </si>
  <si>
    <t>13/Aug/25 2:49 PM</t>
  </si>
  <si>
    <t>RDAPS-137</t>
  </si>
  <si>
    <t>29214</t>
  </si>
  <si>
    <t>[Dev][RD][STG] Data migration for existing rewards</t>
  </si>
  <si>
    <t>21/Aug/25 11:57 PM</t>
  </si>
  <si>
    <t>DEVRDCT-168</t>
  </si>
  <si>
    <t>29194</t>
  </si>
  <si>
    <t>[Dev][RD][RR-Backoffice] Algolia</t>
  </si>
  <si>
    <t>04/Aug/25 12:50 PM</t>
  </si>
  <si>
    <t>21/Aug/25 3:20 PM</t>
  </si>
  <si>
    <t>DEVRDCT-165</t>
  </si>
  <si>
    <t>29162</t>
  </si>
  <si>
    <t>[QA] Test execution (SSO-User) Enhance User Property</t>
  </si>
  <si>
    <t>04/Aug/25 10:12 AM</t>
  </si>
  <si>
    <t>15/Aug/25 10:01 AM</t>
  </si>
  <si>
    <t>14/Aug/25 5:42 PM</t>
  </si>
  <si>
    <t>19/Aug/25 11:25 AM</t>
  </si>
  <si>
    <t>RDNDA-2</t>
  </si>
  <si>
    <t>28910</t>
  </si>
  <si>
    <t>[Dev][RD] Get table of LP and LOA data]</t>
  </si>
  <si>
    <t>30/Jul/25 9:21 AM</t>
  </si>
  <si>
    <t>21/Aug/25 4:10 PM</t>
  </si>
  <si>
    <t>172800 -&gt; 86400</t>
  </si>
  <si>
    <t>DEVRDECOM-20</t>
  </si>
  <si>
    <t>28829</t>
  </si>
  <si>
    <t>[DEV][RD][Eco][RR-Ecommerce-Shopify] Create API Endpoint for Mobile App Auto-Login to Shopify</t>
  </si>
  <si>
    <t>28/Jul/25 9:45 PM</t>
  </si>
  <si>
    <t>DEVRDECOM-19</t>
  </si>
  <si>
    <t>28828</t>
  </si>
  <si>
    <t>[DEV][RD][Eco][RR-Ecommerce-Shopify] Create Callback Endpoint and Generate Multipass Token</t>
  </si>
  <si>
    <t>28/Jul/25 9:17 PM</t>
  </si>
  <si>
    <t>DEVRDECOM-18</t>
  </si>
  <si>
    <t>28827</t>
  </si>
  <si>
    <t>[DEV][RD][Eco][RR-Ecommerce-Shopify] Create Endpoint for Rabbit Connect Login/Register Link</t>
  </si>
  <si>
    <t>28/Jul/25 8:28 PM</t>
  </si>
  <si>
    <t>DEVRDCT-153</t>
  </si>
  <si>
    <t>28826</t>
  </si>
  <si>
    <t>[Dev][CleverTap][RD] Implement The Data Transformation Module</t>
  </si>
  <si>
    <t>28/Jul/25 7:30 PM</t>
  </si>
  <si>
    <t>18/Aug/25 5:13 PM</t>
  </si>
  <si>
    <t>DEVRDECOM-17</t>
  </si>
  <si>
    <t>28825</t>
  </si>
  <si>
    <t>[DEV][RD][Eco][SA] Prepare configuration data for shopify_shops</t>
  </si>
  <si>
    <t>28/Jul/25 7:29 PM</t>
  </si>
  <si>
    <t>22/Aug/25 10:13 AM</t>
  </si>
  <si>
    <t>20/Aug/25 6:19 PM</t>
  </si>
  <si>
    <t>DEVRDADJ-8</t>
  </si>
  <si>
    <t>28811</t>
  </si>
  <si>
    <t>[Dev][Adjust][Deeplink][Link Notify] Replace Adjust instead of firebase for manual import static deeplink</t>
  </si>
  <si>
    <t>28/Jul/25 5:26 PM</t>
  </si>
  <si>
    <t>22/Aug/25 12:04 PM</t>
  </si>
  <si>
    <t>DEVRDCT-152</t>
  </si>
  <si>
    <t>28810</t>
  </si>
  <si>
    <t>[DEV][CleverTap][RD][SSO-User] Enhance User Property</t>
  </si>
  <si>
    <t>28/Jul/25 4:17 PM</t>
  </si>
  <si>
    <t>14/Aug/25 4:59 PM</t>
  </si>
  <si>
    <t>01/Aug/25 12:00 AM</t>
  </si>
  <si>
    <t>DEVRDCT-150</t>
  </si>
  <si>
    <t>28808</t>
  </si>
  <si>
    <t>[DEV][RD][CleverTap] Implement Login Event for LinePay binding</t>
  </si>
  <si>
    <t>28/Jul/25 3:54 PM</t>
  </si>
  <si>
    <t>08/Aug/25 12:00 AM</t>
  </si>
  <si>
    <t>DEVRDECOM-13</t>
  </si>
  <si>
    <t>28806</t>
  </si>
  <si>
    <t>[DEV][RD][Eco][SA] Set up OAuth Clients for Rabbit Connect for Shopify Login/Registration</t>
  </si>
  <si>
    <t>28/Jul/25 12:55 PM</t>
  </si>
  <si>
    <t>DEVRDCT-149</t>
  </si>
  <si>
    <t>28793</t>
  </si>
  <si>
    <t>[DEV][RD][CleverTap] Implement Login Event On Rabbit Connect for RR Client</t>
  </si>
  <si>
    <t>28/Jul/25 12:27 AM</t>
  </si>
  <si>
    <t>RDNDA-1</t>
  </si>
  <si>
    <t>28784</t>
  </si>
  <si>
    <t>[Dev][RD][LinePay &amp; LineOA][ETL to New Datamart]</t>
  </si>
  <si>
    <t>27/Jul/25 1:42 PM</t>
  </si>
  <si>
    <t>22/Aug/25 9:20 AM</t>
  </si>
  <si>
    <t>DEVRDCT-141</t>
  </si>
  <si>
    <t>28763</t>
  </si>
  <si>
    <t>[Dev][RD][DB] Create database migration</t>
  </si>
  <si>
    <t>24/Jul/25 8:28 PM</t>
  </si>
  <si>
    <t>18/Aug/25 2:45 PM</t>
  </si>
  <si>
    <t>DEVRDCT-140</t>
  </si>
  <si>
    <t>28762</t>
  </si>
  <si>
    <t>[Dev][RD][RR-Backoffice] Enhance the Rewards Setting Menu to Support Auto Push Coupon Toggle</t>
  </si>
  <si>
    <t>21/Aug/25 1:52 PM</t>
  </si>
  <si>
    <t>19/Aug/25 12:00 AM</t>
  </si>
  <si>
    <t>13/Aug/25 1:33 PM</t>
  </si>
  <si>
    <t>DEVRDADJ-6</t>
  </si>
  <si>
    <t>28661</t>
  </si>
  <si>
    <t>[Dev][Adjust][Deeplink][Link-Notify] Create script to re-generate adjust deeplink</t>
  </si>
  <si>
    <t>23/Jul/25 1:40 PM</t>
  </si>
  <si>
    <t>DEVRDADJ-5</t>
  </si>
  <si>
    <t>28660</t>
  </si>
  <si>
    <t>[Dev][Adjust][Deeplink][Link Notify] Replace Adjust instead of firebase for deeplink API</t>
  </si>
  <si>
    <t>15/Aug/25 12:10 PM</t>
  </si>
  <si>
    <t>13/Aug/25 4:34 PM</t>
  </si>
  <si>
    <t>15/Aug/25 11:53 AM</t>
  </si>
  <si>
    <t>14/Aug/25 11:00 AM</t>
  </si>
  <si>
    <t>DEVRDCT-124</t>
  </si>
  <si>
    <t>28170</t>
  </si>
  <si>
    <t>[Dev][RD][CleverTap][Import Initial data of LineOA as of 1June - 13July]</t>
  </si>
  <si>
    <t>14/Jul/25 3:06 PM</t>
  </si>
  <si>
    <t>22/Aug/25 10:04 AM</t>
  </si>
  <si>
    <t>DEVRDCT-121</t>
  </si>
  <si>
    <t>28099</t>
  </si>
  <si>
    <t>[DEV][CLEVERTAP][RD] Implement Event feeding for Subscription purchase report #2</t>
  </si>
  <si>
    <t>12/Jul/25 8:52 AM</t>
  </si>
  <si>
    <t>21/Aug/25 8:29 PM</t>
  </si>
  <si>
    <t>29 July - 8 Aug</t>
  </si>
  <si>
    <t>1 ครั้ง 
1.  1 คน</t>
  </si>
  <si>
    <t>14 July - 25 July</t>
  </si>
  <si>
    <t>2 ครั้ง 
1.  4 คน
2.  2 คน</t>
  </si>
  <si>
    <t>11 items</t>
  </si>
  <si>
    <t>2 items</t>
  </si>
  <si>
    <t>First</t>
  </si>
  <si>
    <t>John</t>
  </si>
  <si>
    <t>*** หมายเหตุ คำนวณ Manhour จากตารางนี้</t>
  </si>
  <si>
    <t>Story Point</t>
  </si>
  <si>
    <t>Manhour</t>
  </si>
  <si>
    <t>~&lt;=2</t>
  </si>
  <si>
    <t>~4</t>
  </si>
  <si>
    <t>~6-8</t>
  </si>
  <si>
    <t>~2-3d</t>
  </si>
  <si>
    <t>4d+</t>
  </si>
  <si>
    <t>30 June - 11 July</t>
  </si>
  <si>
    <t>5 (10)</t>
  </si>
  <si>
    <t>Reference</t>
  </si>
  <si>
    <t>1 (2)</t>
  </si>
  <si>
    <t>Preaw</t>
  </si>
  <si>
    <t>16 June - 27 June</t>
  </si>
  <si>
    <t>กี่ครั้ง กี่คน</t>
  </si>
  <si>
    <t>20 (68)</t>
  </si>
  <si>
    <t>RDAPS-149</t>
  </si>
  <si>
    <t>29515</t>
  </si>
  <si>
    <t>[Dev][RD][PROD] Manual update coupons status to expired</t>
  </si>
  <si>
    <t>08/Aug/25 11:07 AM</t>
  </si>
  <si>
    <t>08/Aug/25 11:11 AM</t>
  </si>
  <si>
    <t>redemption-db</t>
  </si>
  <si>
    <t>DEVRDSUP-82</t>
  </si>
  <si>
    <t>29482</t>
  </si>
  <si>
    <t>07/Aug/25 10:08 AM</t>
  </si>
  <si>
    <t>08/Aug/25 9:14 AM</t>
  </si>
  <si>
    <t>DEVRDSUP-81</t>
  </si>
  <si>
    <t>29480</t>
  </si>
  <si>
    <t>07/Aug/25 10:03 AM</t>
  </si>
  <si>
    <t>07/Aug/25 3:45 PM</t>
  </si>
  <si>
    <t>DEVRDSUP-80</t>
  </si>
  <si>
    <t>29478</t>
  </si>
  <si>
    <t>07/Aug/25 1:37 PM</t>
  </si>
  <si>
    <t>RDAPS-147</t>
  </si>
  <si>
    <t>29447</t>
  </si>
  <si>
    <t>[Dev][RD] Rerun Redemption ETL</t>
  </si>
  <si>
    <t>06/Aug/25 4:39 PM</t>
  </si>
  <si>
    <t>08/Aug/25 11:14 AM</t>
  </si>
  <si>
    <t>DEVRDSUP-79</t>
  </si>
  <si>
    <t>29445</t>
  </si>
  <si>
    <t>[S2] Unable to active reward when the current time is not met the reward end date</t>
  </si>
  <si>
    <t>06/Aug/25 4:20 PM</t>
  </si>
  <si>
    <t>08/Aug/25 11:22 AM</t>
  </si>
  <si>
    <t>07/Aug/25 10:22 AM</t>
  </si>
  <si>
    <t>RDAPS-142</t>
  </si>
  <si>
    <t>29340</t>
  </si>
  <si>
    <t>[Dev][RD][SA] Analyze &amp; split dev tasks for Rewards E-Commerce</t>
  </si>
  <si>
    <t>05/Aug/25 7:42 PM</t>
  </si>
  <si>
    <t>08/Aug/25 9:01 AM</t>
  </si>
  <si>
    <t>05/Aug/25 5:02 PM</t>
  </si>
  <si>
    <t>RDLOA-187</t>
  </si>
  <si>
    <t>29319</t>
  </si>
  <si>
    <t>[S4][LineOA] Message respond incorrect when bidning failed case</t>
  </si>
  <si>
    <t>05/Aug/25 2:01 PM</t>
  </si>
  <si>
    <t>05/Aug/25 3:33 PM</t>
  </si>
  <si>
    <t>RDLOA-186</t>
  </si>
  <si>
    <t>29318</t>
  </si>
  <si>
    <t>05/Aug/25 1:46 PM</t>
  </si>
  <si>
    <t>05/Aug/25 3:35 PM</t>
  </si>
  <si>
    <t>RDLOA-185</t>
  </si>
  <si>
    <t>29314</t>
  </si>
  <si>
    <t>05/Aug/25 1:33 PM</t>
  </si>
  <si>
    <t>05/Aug/25 2:20 PM</t>
  </si>
  <si>
    <t>RDAPS-140</t>
  </si>
  <si>
    <t>29300</t>
  </si>
  <si>
    <t>[S3][Rewards] eCommerce reward inline error and de-select value are not work properly</t>
  </si>
  <si>
    <t>05/Aug/25 10:43 AM</t>
  </si>
  <si>
    <t>06/Aug/25 10:14 AM</t>
  </si>
  <si>
    <t>RDNDA-4</t>
  </si>
  <si>
    <t>29270</t>
  </si>
  <si>
    <t>[DEV][RD][DevOps] Create DB User for RLP and SSO on Prod</t>
  </si>
  <si>
    <t>05/Aug/25 9:27 AM</t>
  </si>
  <si>
    <t>05/Aug/25 9:33 AM</t>
  </si>
  <si>
    <t>RDNDA-3</t>
  </si>
  <si>
    <t>29266</t>
  </si>
  <si>
    <t>[DEV][RD][SA] Analyze and get requirement</t>
  </si>
  <si>
    <t>05/Aug/25 7:00 AM</t>
  </si>
  <si>
    <t>08/Aug/25 9:09 AM</t>
  </si>
  <si>
    <t>DEVRD20THB-2</t>
  </si>
  <si>
    <t>29265</t>
  </si>
  <si>
    <t>[Dev][RD][SA] Impact and risk assessment</t>
  </si>
  <si>
    <t>05/Aug/25 6:38 AM</t>
  </si>
  <si>
    <t>08/Aug/25 9:05 AM</t>
  </si>
  <si>
    <t>DEVRDSUP-77</t>
  </si>
  <si>
    <t>29264</t>
  </si>
  <si>
    <t>[SUP-109][SUB] Can't active a package, NBO says "Package Items must be Active"</t>
  </si>
  <si>
    <t>05/Aug/25 2:07 AM</t>
  </si>
  <si>
    <t>06/Aug/25 12:00 AM</t>
  </si>
  <si>
    <t>08/Aug/25 9:13 AM</t>
  </si>
  <si>
    <t>RDLOA-184</t>
  </si>
  <si>
    <t>29256</t>
  </si>
  <si>
    <t>04/Aug/25 4:58 PM</t>
  </si>
  <si>
    <t>04/Aug/25 5:00 PM</t>
  </si>
  <si>
    <t>RDLOA-183</t>
  </si>
  <si>
    <t>29254</t>
  </si>
  <si>
    <t>04/Aug/25 4:56 PM</t>
  </si>
  <si>
    <t>DEVRDADJ-10</t>
  </si>
  <si>
    <t>29209</t>
  </si>
  <si>
    <t>[SA][Meeting] Clarify Adjust deeplink</t>
  </si>
  <si>
    <t>04/Aug/25 3:02 PM</t>
  </si>
  <si>
    <t>05/Aug/25 9:59 AM</t>
  </si>
  <si>
    <t>RDAPS-136</t>
  </si>
  <si>
    <t>29206</t>
  </si>
  <si>
    <t>[QA] Test execution Default credit card (RR app UAT)</t>
  </si>
  <si>
    <t>04/Aug/25 2:42 PM</t>
  </si>
  <si>
    <t>05/Aug/25 3:14 PM</t>
  </si>
  <si>
    <t>RDAPS-135</t>
  </si>
  <si>
    <t>29175</t>
  </si>
  <si>
    <t>[Dev][RD] Manual Rerun: Fix Missing Data in Redemption ETL</t>
  </si>
  <si>
    <t>04/Aug/25 10:40 AM</t>
  </si>
  <si>
    <t>DEVRDCT-166</t>
  </si>
  <si>
    <t>29164</t>
  </si>
  <si>
    <t>04/Aug/25 10:15 AM</t>
  </si>
  <si>
    <t>DEVRDCT-164</t>
  </si>
  <si>
    <t>29155</t>
  </si>
  <si>
    <t>[Dev][RD][SA] Analyze &amp; split dev tasks for Auto push coupons</t>
  </si>
  <si>
    <t>04/Aug/25 9:02 AM</t>
  </si>
  <si>
    <t>06/Aug/25 1:58 PM</t>
  </si>
  <si>
    <t>DEVRDSUP-69</t>
  </si>
  <si>
    <t>29043</t>
  </si>
  <si>
    <t>[SUP-85]#20250700013935 ลูกค้าซื้อแพ็กเกจ แต่พบปัญหาวันหมดอายุแพ็กเกจขึ้นไม่ตรงกับวันหมดอายุคูปองข้างในแพ็กเกจ</t>
  </si>
  <si>
    <t>31/Jul/25 6:42 PM</t>
  </si>
  <si>
    <t>DEVRDCT-163</t>
  </si>
  <si>
    <t>29028</t>
  </si>
  <si>
    <t>[QA] Test execution add rabbit wallet card</t>
  </si>
  <si>
    <t>31/Jul/25 11:03 AM</t>
  </si>
  <si>
    <t>DEVRDCT-162</t>
  </si>
  <si>
    <t>29025</t>
  </si>
  <si>
    <t>[QA] Create test case Add Card</t>
  </si>
  <si>
    <t>31/Jul/25 11:02 AM</t>
  </si>
  <si>
    <t>01/Aug/25 10:09 AM</t>
  </si>
  <si>
    <t>DEVRDCT-161</t>
  </si>
  <si>
    <t>29022</t>
  </si>
  <si>
    <t>[QA] Test execution add rabbit Line pay card</t>
  </si>
  <si>
    <t>31/Jul/25 11:01 AM</t>
  </si>
  <si>
    <t>DEVRDCT-160</t>
  </si>
  <si>
    <t>29019</t>
  </si>
  <si>
    <t>DEVRDCT-159</t>
  </si>
  <si>
    <t>29016</t>
  </si>
  <si>
    <t>[QA] Test execution add rabbit card</t>
  </si>
  <si>
    <t>31/Jul/25 11:00 AM</t>
  </si>
  <si>
    <t>08/Aug/25 10:58 AM</t>
  </si>
  <si>
    <t>DEVRDCT-158</t>
  </si>
  <si>
    <t>29013</t>
  </si>
  <si>
    <t>31/Jul/25 10:59 AM</t>
  </si>
  <si>
    <t>DEVRDSUP-68</t>
  </si>
  <si>
    <t>28980</t>
  </si>
  <si>
    <t>[SUP-97][SUB] Request to generate receipt for SUB TXN 30/07/2025</t>
  </si>
  <si>
    <t>30/Jul/25 6:19 PM</t>
  </si>
  <si>
    <t>31/Jul/25 1:13 PM</t>
  </si>
  <si>
    <t>RDAPS-132</t>
  </si>
  <si>
    <t>28959</t>
  </si>
  <si>
    <t>06/Aug/25 12:56 PM</t>
  </si>
  <si>
    <t>RDAPS-131</t>
  </si>
  <si>
    <t>28956</t>
  </si>
  <si>
    <t>04/Aug/25 10:59 AM</t>
  </si>
  <si>
    <t>RDAPS-130</t>
  </si>
  <si>
    <t>28953</t>
  </si>
  <si>
    <t>30/Jul/25 3:25 PM</t>
  </si>
  <si>
    <t>04/Aug/25 11:35 AM</t>
  </si>
  <si>
    <t>DEVRDSUP-65</t>
  </si>
  <si>
    <t>28950</t>
  </si>
  <si>
    <t>30/Jul/25 3:24 PM</t>
  </si>
  <si>
    <t>DEVRDSUP-64</t>
  </si>
  <si>
    <t>28947</t>
  </si>
  <si>
    <t>[Dev][RD] Investigate upload coupon code</t>
  </si>
  <si>
    <t>30/Jul/25 1:51 PM</t>
  </si>
  <si>
    <t>04/Aug/25 9:37 AM</t>
  </si>
  <si>
    <t>DEVRDADJ-9</t>
  </si>
  <si>
    <t>28946</t>
  </si>
  <si>
    <t>[Dev][Adjust][RD][SA] Adjust : Auto Generate Deeplink Solution Discussion &amp; Line OA</t>
  </si>
  <si>
    <t>30/Jul/25 1:47 PM</t>
  </si>
  <si>
    <t>RDAPS-128</t>
  </si>
  <si>
    <t>28894</t>
  </si>
  <si>
    <t>[S2][Campaign BU allocation] Campaign BU allocation is not working properly</t>
  </si>
  <si>
    <t>29/Jul/25 3:57 PM</t>
  </si>
  <si>
    <t>08/Aug/25 9:52 AM</t>
  </si>
  <si>
    <t>DEVRDCT-157</t>
  </si>
  <si>
    <t>28853</t>
  </si>
  <si>
    <t>29/Jul/25 2:45 PM</t>
  </si>
  <si>
    <t>05/Aug/25 3:50 PM</t>
  </si>
  <si>
    <t>RDAPS-127</t>
  </si>
  <si>
    <t>28846</t>
  </si>
  <si>
    <t>[Dev][RD][Order] Implement default credit card feature</t>
  </si>
  <si>
    <t>29/Jul/25 12:56 PM</t>
  </si>
  <si>
    <t>06/Aug/25 9:56 AM</t>
  </si>
  <si>
    <t>DEVRDSUP-61</t>
  </si>
  <si>
    <t>28842</t>
  </si>
  <si>
    <t>[SUP-90][SUB] : Re-Generate receipt due to BCC auto email incident</t>
  </si>
  <si>
    <t>29/Jul/25 10:55 AM</t>
  </si>
  <si>
    <t>04/Aug/25 9:35 AM</t>
  </si>
  <si>
    <t>31/Jul/25 12:00 AM</t>
  </si>
  <si>
    <t>DEVRDCT-156</t>
  </si>
  <si>
    <t>28840</t>
  </si>
  <si>
    <t>[Dev][CleverTap][RD][RR Cloud ID] Implement Add Card Event (Rabbit Wallet)</t>
  </si>
  <si>
    <t>29/Jul/25 9:46 AM</t>
  </si>
  <si>
    <t>DEVRDCT-155</t>
  </si>
  <si>
    <t>28839</t>
  </si>
  <si>
    <t>[Dev][CleverTap][RD][RLP] Implement Add Card Event (Rabbit Line Pay)</t>
  </si>
  <si>
    <t>29/Jul/25 9:45 AM</t>
  </si>
  <si>
    <t>07/Aug/25 10:26 AM</t>
  </si>
  <si>
    <t>DEVRDECOM-22</t>
  </si>
  <si>
    <t>28837</t>
  </si>
  <si>
    <t>[DEV][RD][Eco][SA] Create API Specification</t>
  </si>
  <si>
    <t>29/Jul/25 9:21 AM</t>
  </si>
  <si>
    <t>08/Aug/25 9:10 AM</t>
  </si>
  <si>
    <t>06/Aug/25 10:24 AM</t>
  </si>
  <si>
    <t>DEVRDECOM-16</t>
  </si>
  <si>
    <t>28818</t>
  </si>
  <si>
    <t>[Dev][RD][Eco][POC] RR SSO-Shopify data synchronization</t>
  </si>
  <si>
    <t>28/Jul/25 6:57 PM</t>
  </si>
  <si>
    <t>DEVRDECOM-15</t>
  </si>
  <si>
    <t>28817</t>
  </si>
  <si>
    <t>[DEV][RD][Eco][DevOps] Set up PR pipeline</t>
  </si>
  <si>
    <t>28/Jul/25 6:27 PM</t>
  </si>
  <si>
    <t>08/Aug/25 1:33 PM</t>
  </si>
  <si>
    <t>RDLOA-109</t>
  </si>
  <si>
    <t>28813</t>
  </si>
  <si>
    <t>[Dev][Line][RD][SSO-User] Get line log detail endpoint</t>
  </si>
  <si>
    <t>28/Jul/25 6:00 PM</t>
  </si>
  <si>
    <t>06/Aug/25 4:52 PM</t>
  </si>
  <si>
    <t>RDLOA-108</t>
  </si>
  <si>
    <t>28812</t>
  </si>
  <si>
    <t>[Dev][Line OA][RD][RR-Backoffice] Add transaction detail page</t>
  </si>
  <si>
    <t>28/Jul/25 5:51 PM</t>
  </si>
  <si>
    <t>08/Aug/25 10:17 AM</t>
  </si>
  <si>
    <t>[Dev][Adjust][Deeplink][Link Notify] Replace Adjust instead of firebase for manual import static deeblink</t>
  </si>
  <si>
    <t>08/Aug/25 9:30 AM</t>
  </si>
  <si>
    <t>05/Aug/25 1:10 PM</t>
  </si>
  <si>
    <t>DEVRDCT-151</t>
  </si>
  <si>
    <t>28809</t>
  </si>
  <si>
    <t>[DEV][CleverTap][RD][SSO-Mimir] Enhance User Property</t>
  </si>
  <si>
    <t>28/Jul/25 4:04 PM</t>
  </si>
  <si>
    <t>08/Aug/25 12:06 PM</t>
  </si>
  <si>
    <t>SSO-Mimir</t>
  </si>
  <si>
    <t>DEVRDECOM-14</t>
  </si>
  <si>
    <t>28807</t>
  </si>
  <si>
    <t>[DEV][RD][Eco][RR-Ecommerce-Shopify] Create a migration file</t>
  </si>
  <si>
    <t>28/Jul/25 3:33 PM</t>
  </si>
  <si>
    <t>08/Aug/25 1:34 PM</t>
  </si>
  <si>
    <t>08/Aug/25 12:05 PM</t>
  </si>
  <si>
    <t>DEVRDCT-148</t>
  </si>
  <si>
    <t>28792</t>
  </si>
  <si>
    <t>[DEV][RD][CleverTap][Get Uid data from LineAPI to let RD map with member ID(trader ID)]</t>
  </si>
  <si>
    <t>27/Jul/25 11:26 PM</t>
  </si>
  <si>
    <t>DEVRDECOM-12</t>
  </si>
  <si>
    <t>28791</t>
  </si>
  <si>
    <t>[DEV][RD][Eco][DevOps] Set up CI/CD pipeline (GitHub Actions)</t>
  </si>
  <si>
    <t>27/Jul/25 8:54 PM</t>
  </si>
  <si>
    <t>DEVRDECOM-11</t>
  </si>
  <si>
    <t>28790</t>
  </si>
  <si>
    <t>[DEV][RD][Eco][RR-Ecommerce-Shopify] Create Dockerfile for NestJS Application</t>
  </si>
  <si>
    <t>27/Jul/25 8:48 PM</t>
  </si>
  <si>
    <t>DEVRDECOM-10</t>
  </si>
  <si>
    <t>28789</t>
  </si>
  <si>
    <t>[DEV][RD][Eco][RR-Ecommerce-Shopify] Create a new NestJS project, configure database connection and RabbitMQ</t>
  </si>
  <si>
    <t>27/Jul/25 2:17 PM</t>
  </si>
  <si>
    <t>07/Aug/25 12:00 AM</t>
  </si>
  <si>
    <t>DEVRDECOM-9</t>
  </si>
  <si>
    <t>28788</t>
  </si>
  <si>
    <t>[DEV][RD][Eco][DevOps] Prepare Existing AWS VPC &amp; Networking &amp; AWS EKS Cluster for Ecommerce Service</t>
  </si>
  <si>
    <t>27/Jul/25 2:11 PM</t>
  </si>
  <si>
    <t>08/Aug/25 9:17 AM</t>
  </si>
  <si>
    <t>DEVRDECOM-8</t>
  </si>
  <si>
    <t>28787</t>
  </si>
  <si>
    <t>[DEV][RD][Eco][DevOps] Domain &amp; DNS Setup for Ecommerce Service</t>
  </si>
  <si>
    <t>27/Jul/25 2:00 PM</t>
  </si>
  <si>
    <t>DEVRDECOM-7</t>
  </si>
  <si>
    <t>28786</t>
  </si>
  <si>
    <t>[DEV][RD][Eco][SA] Request a new RDS PostgreSQL instance specifically for this Ecommerce Service.</t>
  </si>
  <si>
    <t>27/Jul/25 1:58 PM</t>
  </si>
  <si>
    <t>DEVRDECOM-6</t>
  </si>
  <si>
    <t>28785</t>
  </si>
  <si>
    <t>[DEV][RD][Eco][DevOps] Create a new GitHub repository named rr-ecommerce-shopify</t>
  </si>
  <si>
    <t>27/Jul/25 1:48 PM</t>
  </si>
  <si>
    <t>01/Aug/25 7:18 PM</t>
  </si>
  <si>
    <t>08/Aug/25 9:08 AM</t>
  </si>
  <si>
    <t>DEVRDCT-147</t>
  </si>
  <si>
    <t>28783</t>
  </si>
  <si>
    <t>[Dev][CleverTap][RD] Implement Sign up Event</t>
  </si>
  <si>
    <t>27/Jul/25 9:52 AM</t>
  </si>
  <si>
    <t>29/Jul/25 5:47 PM</t>
  </si>
  <si>
    <t>DEVRDCT-146</t>
  </si>
  <si>
    <t>28782</t>
  </si>
  <si>
    <t>[Dev][CleverTap][RD] Implement Add Card Event (Rabbit Card)</t>
  </si>
  <si>
    <t>27/Jul/25 7:57 AM</t>
  </si>
  <si>
    <t>DEVRDCT-144</t>
  </si>
  <si>
    <t>28772</t>
  </si>
  <si>
    <t>[QA] Test execution Enhance registration source (SIGN UP Event)</t>
  </si>
  <si>
    <t>25/Jul/25 10:53 AM</t>
  </si>
  <si>
    <t>31/Jul/25 1:15 PM</t>
  </si>
  <si>
    <t>RDAPS-121</t>
  </si>
  <si>
    <t>28770</t>
  </si>
  <si>
    <t>E-Commerce Shopify MVP 1</t>
  </si>
  <si>
    <t>25/Jul/25 8:17 AM</t>
  </si>
  <si>
    <t>08/Aug/25 11:28 AM</t>
  </si>
  <si>
    <t>DEVRDCT-138</t>
  </si>
  <si>
    <t>28760</t>
  </si>
  <si>
    <t>[Dev][RD] POC Webhook for Auto Push Coupons</t>
  </si>
  <si>
    <t>24/Jul/25 8:20 PM</t>
  </si>
  <si>
    <t>05/Aug/25 10:49 AM</t>
  </si>
  <si>
    <t>RDAPS-120</t>
  </si>
  <si>
    <t>28759</t>
  </si>
  <si>
    <t>[Dev][RD] Update API specification for app</t>
  </si>
  <si>
    <t>24/Jul/25 7:54 PM</t>
  </si>
  <si>
    <t>RDAPS-116</t>
  </si>
  <si>
    <t>28755</t>
  </si>
  <si>
    <t>[Dev][RD][DB] Create database migration for products table</t>
  </si>
  <si>
    <t>24/Jul/25 7:41 PM</t>
  </si>
  <si>
    <t>05/Aug/25 1:52 PM</t>
  </si>
  <si>
    <t>06/Aug/25 10:28 AM</t>
  </si>
  <si>
    <t>07/Aug/25 10:15 AM</t>
  </si>
  <si>
    <t>RDAPS-112</t>
  </si>
  <si>
    <t>28751</t>
  </si>
  <si>
    <t>[Dev][RD][RR-Backoffice] Enhance the Rewards setting menu to support e-commerce rewards type</t>
  </si>
  <si>
    <t>24/Jul/25 7:22 PM</t>
  </si>
  <si>
    <t>05/Aug/25 12:59 AM</t>
  </si>
  <si>
    <t>DEVRDSUP-56</t>
  </si>
  <si>
    <t>28726</t>
  </si>
  <si>
    <t>[SUP-89][SUB] : Investigate and generate dummy receipt for BTS202507-0262007</t>
  </si>
  <si>
    <t>24/Jul/25 1:15 PM</t>
  </si>
  <si>
    <t>04/Aug/25 8:47 AM</t>
  </si>
  <si>
    <t>07/Aug/25 1:43 PM</t>
  </si>
  <si>
    <t>RDAPS-106</t>
  </si>
  <si>
    <t>28615</t>
  </si>
  <si>
    <t>22/Jul/25 4:54 PM</t>
  </si>
  <si>
    <t>08/Aug/25 9:20 AM</t>
  </si>
  <si>
    <t>RDAPS-105</t>
  </si>
  <si>
    <t>28612</t>
  </si>
  <si>
    <t>05/Aug/25 1:37 AM</t>
  </si>
  <si>
    <t>DEVRDCT-136</t>
  </si>
  <si>
    <t>28551</t>
  </si>
  <si>
    <t>[Dev][RD][CT] Enhance registration source mapping</t>
  </si>
  <si>
    <t>21/Jul/25 9:38 AM</t>
  </si>
  <si>
    <t>DEVRRBOF-148</t>
  </si>
  <si>
    <t>28517</t>
  </si>
  <si>
    <t>[S2] The category location is deleted when update category detail on step1</t>
  </si>
  <si>
    <t>06/Aug/25 6:16 PM</t>
  </si>
  <si>
    <t>RDLOA-102</t>
  </si>
  <si>
    <t>28502</t>
  </si>
  <si>
    <t>[Dev][RD][LineOA][SSO-User] Change credential response data</t>
  </si>
  <si>
    <t>18/Jul/25 9:43 AM</t>
  </si>
  <si>
    <t>31/Jul/25 11:23 AM</t>
  </si>
  <si>
    <t>ตัด 28800</t>
  </si>
  <si>
    <t>RDLOA-101</t>
  </si>
  <si>
    <t>28499</t>
  </si>
  <si>
    <t>18/Jul/25 8:48 AM</t>
  </si>
  <si>
    <t>05/Aug/25 3:36 PM</t>
  </si>
  <si>
    <t>RDLOA-100</t>
  </si>
  <si>
    <t>28496</t>
  </si>
  <si>
    <t>04/Aug/25 4:12 PM</t>
  </si>
  <si>
    <t>RDLOA-99</t>
  </si>
  <si>
    <t>28493</t>
  </si>
  <si>
    <t>18/Jul/25 8:47 AM</t>
  </si>
  <si>
    <t>RDLOA-98</t>
  </si>
  <si>
    <t>28490</t>
  </si>
  <si>
    <t>24/Jul/25 10:04 AM</t>
  </si>
  <si>
    <t>RDLOA-97</t>
  </si>
  <si>
    <t>28487</t>
  </si>
  <si>
    <t>23/Jul/25 11:36 PM</t>
  </si>
  <si>
    <t>RDLOA-96</t>
  </si>
  <si>
    <t>28484</t>
  </si>
  <si>
    <t>08/Aug/25 9:04 AM</t>
  </si>
  <si>
    <t>ตัด 21600</t>
  </si>
  <si>
    <t>31/Jul/25 10:46 AM</t>
  </si>
  <si>
    <t>08/Aug/25 11:29 AM</t>
  </si>
  <si>
    <t>30/Jul/25 1:58 PM</t>
  </si>
  <si>
    <t>DEVRDCT-132</t>
  </si>
  <si>
    <t>28338</t>
  </si>
  <si>
    <t>[QA] Test execution (CT 1.3)</t>
  </si>
  <si>
    <t>15/Jul/25 3:37 PM</t>
  </si>
  <si>
    <t>DEVRDCT-130</t>
  </si>
  <si>
    <t>28317</t>
  </si>
  <si>
    <t>[QA] Test execution DEVRDCT-99</t>
  </si>
  <si>
    <t>15/Jul/25 2:53 PM</t>
  </si>
  <si>
    <t>30/Jul/25 1:16 PM</t>
  </si>
  <si>
    <t>DEVRDCT-129</t>
  </si>
  <si>
    <t>28314</t>
  </si>
  <si>
    <t>[QA] Create test case DEVRDCT-99</t>
  </si>
  <si>
    <t>15/Jul/25 2:52 PM</t>
  </si>
  <si>
    <t>DEVRDCT-127</t>
  </si>
  <si>
    <t>28307</t>
  </si>
  <si>
    <t>[QA] Create test case DEVRDCT-117</t>
  </si>
  <si>
    <t>15/Jul/25 2:26 PM</t>
  </si>
  <si>
    <t>29/Jul/25 5:42 PM</t>
  </si>
  <si>
    <t>DEVRDCT-126</t>
  </si>
  <si>
    <t>28304</t>
  </si>
  <si>
    <t>[QA] Create test case DEVRDCT-119</t>
  </si>
  <si>
    <t>15/Jul/25 2:16 PM</t>
  </si>
  <si>
    <t>30/Jul/25 2:02 PM</t>
  </si>
  <si>
    <t>DEVRD20THB-1</t>
  </si>
  <si>
    <t>28203</t>
  </si>
  <si>
    <t>[Dev][RD][Sub][20THB][API finalization]</t>
  </si>
  <si>
    <t>14/Jul/25 8:29 PM</t>
  </si>
  <si>
    <t>17/Jul/25 12:00 AM</t>
  </si>
  <si>
    <t>08/Aug/25 9:06 AM</t>
  </si>
  <si>
    <t>DEVRDCT-122</t>
  </si>
  <si>
    <t>28164</t>
  </si>
  <si>
    <t>[DEV][CLEVERTAP][RD] Change the endpoint URL for sending messages to use rr_clevertap endpoint</t>
  </si>
  <si>
    <t>14/Jul/25 1:52 PM</t>
  </si>
  <si>
    <t>31/Jul/25 10:31 AM</t>
  </si>
  <si>
    <t>RDAPS-87</t>
  </si>
  <si>
    <t>28157</t>
  </si>
  <si>
    <t>[Dev][RD][Adhoc][HR Solution] Creating new campaign does not auto apply to new BU.</t>
  </si>
  <si>
    <t>14/Jul/25 10:35 AM</t>
  </si>
  <si>
    <t>RDAPS-86</t>
  </si>
  <si>
    <t>28149</t>
  </si>
  <si>
    <t>[Dev][Adhoc][HR-Solution] If user creates creates new club and then create BU, when active club, the BU won't be assigned to the club automatically.</t>
  </si>
  <si>
    <t>14/Jul/25 10:31 AM</t>
  </si>
  <si>
    <t>16/Jul/25 12:00 AM</t>
  </si>
  <si>
    <t>[TBC]DEV][CLEVERTAP][RD] Implement Event feeding for Subscription purchase report #2</t>
  </si>
  <si>
    <t>DEVRDCT-119</t>
  </si>
  <si>
    <t>28097</t>
  </si>
  <si>
    <t>[DEV][CLEVERTAP][RD] EVENT Properties for Club binding for Unicorn and Visionary</t>
  </si>
  <si>
    <t>11/Jul/25 9:08 PM</t>
  </si>
  <si>
    <t>RDLOA-75</t>
  </si>
  <si>
    <t>28080</t>
  </si>
  <si>
    <t>[Dev][RD][LineOA][BFF] Enhance binding Line Account support push message for failed case</t>
  </si>
  <si>
    <t>11/Jul/25 4:33 PM</t>
  </si>
  <si>
    <t>RDLOA-74</t>
  </si>
  <si>
    <t>28079</t>
  </si>
  <si>
    <t>[Dev][RD][LineOA][Link-Notify] Integrate Line OA push message</t>
  </si>
  <si>
    <t>11/Jul/25 4:32 PM</t>
  </si>
  <si>
    <t>05/Aug/25 2:18 PM</t>
  </si>
  <si>
    <t>RDLOA-73</t>
  </si>
  <si>
    <t>28078</t>
  </si>
  <si>
    <t>[Dev][RD][LineOA][BFF] Change matching message</t>
  </si>
  <si>
    <t>11/Jul/25 4:16 PM</t>
  </si>
  <si>
    <t>08/Aug/25 11:21 AM</t>
  </si>
  <si>
    <t>RDLOA-72</t>
  </si>
  <si>
    <t>28077</t>
  </si>
  <si>
    <t>[Dev][RD][LineOA][BFF] Enhance binding Line Account support new params</t>
  </si>
  <si>
    <t>11/Jul/25 4:13 PM</t>
  </si>
  <si>
    <t>RDLOA-71</t>
  </si>
  <si>
    <t>28076</t>
  </si>
  <si>
    <t>[Dev][RD][LineOA][SSO-User] Enhance binding line OA endpoint</t>
  </si>
  <si>
    <t>11/Jul/25 4:12 PM</t>
  </si>
  <si>
    <t>30/Jul/25 1:45 PM</t>
  </si>
  <si>
    <t>InternalAPI</t>
  </si>
  <si>
    <t>DEVRDCT-117</t>
  </si>
  <si>
    <t>28027</t>
  </si>
  <si>
    <t>[DEV][CLEVERTAP][RD] Implement Event feed with filtering former events</t>
  </si>
  <si>
    <t>11/Jul/25 1:44 PM</t>
  </si>
  <si>
    <t>06/Aug/25 11:00 AM</t>
  </si>
  <si>
    <t>DEVRDSUP-32</t>
  </si>
  <si>
    <t>27766</t>
  </si>
  <si>
    <t>[SUP-52][Merchant][NBO] All merchants in NBO doesn't show category internal name but shows uuid of category instead.</t>
  </si>
  <si>
    <t>08/Jul/25 3:44 PM</t>
  </si>
  <si>
    <t>30/Jul/25 12:00 AM</t>
  </si>
  <si>
    <t>05/Aug/25 1:06 AM</t>
  </si>
  <si>
    <t>DEVRDCT-116</t>
  </si>
  <si>
    <t>27493</t>
  </si>
  <si>
    <t>[Dev][RD][Initial User Property] Fix wrong card and enrichment detail</t>
  </si>
  <si>
    <t>03/Jul/25 3:33 PM</t>
  </si>
  <si>
    <t>04/Jul/25 12:00 AM</t>
  </si>
  <si>
    <t>DEVRDCT-111</t>
  </si>
  <si>
    <t>27219</t>
  </si>
  <si>
    <t>[QA] Test execution Subscription Report</t>
  </si>
  <si>
    <t>01/Jul/25 1:59 PM</t>
  </si>
  <si>
    <t>18/Jul/25 4:56 PM</t>
  </si>
  <si>
    <t>DEVRDCT-110</t>
  </si>
  <si>
    <t>27216</t>
  </si>
  <si>
    <t>[QA] Create test case Subscription Report</t>
  </si>
  <si>
    <t>DEVRDCT-109</t>
  </si>
  <si>
    <t>27176</t>
  </si>
  <si>
    <t>[QA] Execution test Partner Binding</t>
  </si>
  <si>
    <t>01/Jul/25 1:55 PM</t>
  </si>
  <si>
    <t>DEVRDCT-108</t>
  </si>
  <si>
    <t>27173</t>
  </si>
  <si>
    <t>[QA] Create test case Partner Binding</t>
  </si>
  <si>
    <t>DEVRDCT-107</t>
  </si>
  <si>
    <t>27170</t>
  </si>
  <si>
    <t>[QA] Create test case Consent Events</t>
  </si>
  <si>
    <t>01/Jul/25 1:54 PM</t>
  </si>
  <si>
    <t>07/Aug/25 2:15 PM</t>
  </si>
  <si>
    <t>DEVRDCT-106</t>
  </si>
  <si>
    <t>27164</t>
  </si>
  <si>
    <t>[QA] Test execution Consent Events</t>
  </si>
  <si>
    <t>21/Jul/25 4:48 PM</t>
  </si>
  <si>
    <t>DEVRDCT-105</t>
  </si>
  <si>
    <t>27149</t>
  </si>
  <si>
    <t>[QA] Execution test Sign Up Event</t>
  </si>
  <si>
    <t>01/Jul/25 1:53 PM</t>
  </si>
  <si>
    <t>29/Jul/25 10:56 AM</t>
  </si>
  <si>
    <t>DEVRDCT-104</t>
  </si>
  <si>
    <t>27123</t>
  </si>
  <si>
    <t>[QA] Create test case Sign Up Event</t>
  </si>
  <si>
    <t>01/Jul/25 1:42 PM</t>
  </si>
  <si>
    <t>25/Jul/25 4:30 PM</t>
  </si>
  <si>
    <t>DEVRDCT-103</t>
  </si>
  <si>
    <t>27117</t>
  </si>
  <si>
    <t>[QA] Execution test Implement Update user profile #2</t>
  </si>
  <si>
    <t>01/Jul/25 1:40 PM</t>
  </si>
  <si>
    <t>29/Jul/25 1:33 PM</t>
  </si>
  <si>
    <t>DEVRDCT-102</t>
  </si>
  <si>
    <t>27114</t>
  </si>
  <si>
    <t>[QA] Create test case Implement Update user profile #2</t>
  </si>
  <si>
    <t>01/Jul/25 1:39 PM</t>
  </si>
  <si>
    <t>08/Jul/25 10:20 AM</t>
  </si>
  <si>
    <t>DEVRDCT-101</t>
  </si>
  <si>
    <t>27059</t>
  </si>
  <si>
    <t>Implement</t>
  </si>
  <si>
    <t>30/Jun/25 5:18 PM</t>
  </si>
  <si>
    <t>DEVRDCT-100</t>
  </si>
  <si>
    <t>27056</t>
  </si>
  <si>
    <t>POC SSO User can support this event</t>
  </si>
  <si>
    <t>30/Jun/25 5:19 PM</t>
  </si>
  <si>
    <t>DEVRDCT-99</t>
  </si>
  <si>
    <t>27031</t>
  </si>
  <si>
    <t>[Dev][RD][CleverTap][SSO-Mimir] Enhance import LINE OA support upload user properties</t>
  </si>
  <si>
    <t>thanyapath sunthornchaisadom</t>
  </si>
  <si>
    <t>6163a9eac7bea400698ab7af</t>
  </si>
  <si>
    <t>30/Jun/25 1:33 PM</t>
  </si>
  <si>
    <t>RDLOA-25</t>
  </si>
  <si>
    <t>26988</t>
  </si>
  <si>
    <t>[Dev][RD][LineOA][RR-Backoffice][Member Detail] Line Account Logs page</t>
  </si>
  <si>
    <t>29/Jun/25 5:04 PM</t>
  </si>
  <si>
    <t>21/Jul/25 12:00 AM</t>
  </si>
  <si>
    <t>RDLOA-24</t>
  </si>
  <si>
    <t>26987</t>
  </si>
  <si>
    <t>[Dev][RD][LineOA][RR-Backoffice][Member Detail] Profile page</t>
  </si>
  <si>
    <t>RDLOA-23</t>
  </si>
  <si>
    <t>26986</t>
  </si>
  <si>
    <t>[Dev][RD][LineOA][RR-Backoffice][Member Detail] Index Page</t>
  </si>
  <si>
    <t>29/Jun/25 5:03 PM</t>
  </si>
  <si>
    <t>DEVRDCT-97</t>
  </si>
  <si>
    <t>26981</t>
  </si>
  <si>
    <t>[Dev][RD][Clever Tap #2][Enhance] Subscription Report</t>
  </si>
  <si>
    <t>29/Jun/25 12:52 AM</t>
  </si>
  <si>
    <t>DEVRDCT-95</t>
  </si>
  <si>
    <t>26979</t>
  </si>
  <si>
    <t>[Dev][RD][Clever Tap #2] Partner Binding</t>
  </si>
  <si>
    <t>29/Jun/25 12:50 AM</t>
  </si>
  <si>
    <t>DEVRDCT-94</t>
  </si>
  <si>
    <t>26978</t>
  </si>
  <si>
    <t>[Dev][RD][Clever Tap #2] Consent events</t>
  </si>
  <si>
    <t>29/Jun/25 12:49 AM</t>
  </si>
  <si>
    <t>09/Jul/25 12:00 AM</t>
  </si>
  <si>
    <t>DEVRDCT-89</t>
  </si>
  <si>
    <t>26973</t>
  </si>
  <si>
    <t>[Dev][RD][Clever Tap #2] Sign Up Event</t>
  </si>
  <si>
    <t>29/Jun/25 12:48 AM</t>
  </si>
  <si>
    <t>DEVRDCT-88</t>
  </si>
  <si>
    <t>26972</t>
  </si>
  <si>
    <t>[Dev][RD][Clever Tap #2] Implement Update user profile #2 to CT</t>
  </si>
  <si>
    <t>29/Jun/25 12:47 AM</t>
  </si>
  <si>
    <t>07/Jul/25 12:00 AM</t>
  </si>
  <si>
    <t>RDLOA-21</t>
  </si>
  <si>
    <t>26969</t>
  </si>
  <si>
    <t>[Dev][RD][LineOA][SSO-User] Create webhook endpoint and handle LINE OA Webhook</t>
  </si>
  <si>
    <t>29/Jun/25 12:22 AM</t>
  </si>
  <si>
    <t>RDLOA-20</t>
  </si>
  <si>
    <t>26968</t>
  </si>
  <si>
    <t>[Dev][RD][LineOA][SSO-User] Create new endpoint for record line log event</t>
  </si>
  <si>
    <t>29/Jun/25 12:12 AM</t>
  </si>
  <si>
    <t>30/Jul/25 1:46 PM</t>
  </si>
  <si>
    <t>RDLOA-19</t>
  </si>
  <si>
    <t>26967</t>
  </si>
  <si>
    <t>[Dev][RD][LineOA][CT][SSO-User] Event x LINE account binding</t>
  </si>
  <si>
    <t>28/Jun/25 11:15 PM</t>
  </si>
  <si>
    <t>RDLOA-18</t>
  </si>
  <si>
    <t>26966</t>
  </si>
  <si>
    <t>[Dev][RD][LineOA][CT][SSO-User] Profile x LINE account to CT</t>
  </si>
  <si>
    <t>28/Jun/25 11:14 PM</t>
  </si>
  <si>
    <t>RDAPS-119</t>
  </si>
  <si>
    <t>28758</t>
  </si>
  <si>
    <t>[Dev][SUB][Re-State] Request dev to re-state 5 BTS coupons for CRM case lot 41. 24/07/2025</t>
  </si>
  <si>
    <t>24/Jul/25 7:52 PM</t>
  </si>
  <si>
    <t>24/Jul/25 7:53 PM</t>
  </si>
  <si>
    <t>25/Jul/25 12:00 AM</t>
  </si>
  <si>
    <t>RDAPS-118</t>
  </si>
  <si>
    <t>28757</t>
  </si>
  <si>
    <t>[Dev][SUB][Re-State] Request dev to re-state 7 BTS coupons for CRM case lot 40. 24/07/2025</t>
  </si>
  <si>
    <t>24/Jul/25 7:50 PM</t>
  </si>
  <si>
    <t>24/Jul/25 12:00 AM</t>
  </si>
  <si>
    <t>RDAPS-111</t>
  </si>
  <si>
    <t>28724</t>
  </si>
  <si>
    <t>[Dev][RD][SA] Analyze &amp; split dev tasks for Rewards Ecommerce</t>
  </si>
  <si>
    <t>24/Jul/25 11:36 AM</t>
  </si>
  <si>
    <t>24/Jul/25 8:18 PM</t>
  </si>
  <si>
    <t>RDAPS-110</t>
  </si>
  <si>
    <t>28675</t>
  </si>
  <si>
    <t>[Dev][RD] Prepare for Production Deployment on Jul 24</t>
  </si>
  <si>
    <t>23/Jul/25 5:08 PM</t>
  </si>
  <si>
    <t>23/Jul/25 8:29 PM</t>
  </si>
  <si>
    <t>DEVRDCT-137</t>
  </si>
  <si>
    <t>28674</t>
  </si>
  <si>
    <t>23/Jul/25 4:43 PM</t>
  </si>
  <si>
    <t>24/Jul/25 8:40 PM</t>
  </si>
  <si>
    <t>RDAPS-108</t>
  </si>
  <si>
    <t>28623</t>
  </si>
  <si>
    <t>[Dev][SUB][Re-State] Request dev to re-state 11 BTS coupons for CRM case lot 39. 22/07/2025</t>
  </si>
  <si>
    <t>22/Jul/25 6:45 PM</t>
  </si>
  <si>
    <t>24/Jul/25 10:18 AM</t>
  </si>
  <si>
    <t>23/Jul/25 12:00 AM</t>
  </si>
  <si>
    <t>23/Jul/25 5:16 PM</t>
  </si>
  <si>
    <t>DEVRDSUP-53</t>
  </si>
  <si>
    <t>28609</t>
  </si>
  <si>
    <t>[SUP-82]CRM - Case ID: CS-20250700014561 Cannot Top up Pink Line pass 10 trips when Line Pay ID has been changed</t>
  </si>
  <si>
    <t>22/Jul/25 4:23 PM</t>
  </si>
  <si>
    <t>24/Jul/25 10:53 PM</t>
  </si>
  <si>
    <t>RDAPS-103</t>
  </si>
  <si>
    <t>28576</t>
  </si>
  <si>
    <t>[Dev][SUB][Re-State] Request dev to re-state 5 BTS coupons for CRM case lot 38. 21/07/2025</t>
  </si>
  <si>
    <t>21/Jul/25 5:54 PM</t>
  </si>
  <si>
    <t>22/Jul/25 5:54 PM</t>
  </si>
  <si>
    <t>DEVRDSUP-51</t>
  </si>
  <si>
    <t>28564</t>
  </si>
  <si>
    <t>[SUP-70]SUB : Request to generate completed receipt</t>
  </si>
  <si>
    <t>21/Jul/25 1:28 PM</t>
  </si>
  <si>
    <t>23/Jul/25 4:35 PM</t>
  </si>
  <si>
    <t>RDAPS-102</t>
  </si>
  <si>
    <t>28552</t>
  </si>
  <si>
    <t>[Dev][RD] Send historical Redemption coupon status data for June to DA</t>
  </si>
  <si>
    <t>21/Jul/25 9:42 AM</t>
  </si>
  <si>
    <t>22/Jul/25 2:33 PM</t>
  </si>
  <si>
    <t>RDAPS-101</t>
  </si>
  <si>
    <t>28550</t>
  </si>
  <si>
    <t>[Dev][RD][RR-Scheduler] Investigate root cause and fix for missing data in Redemption coupon status ETL</t>
  </si>
  <si>
    <t>21/Jul/25 9:37 AM</t>
  </si>
  <si>
    <t>21/Jul/25 9:06 PM</t>
  </si>
  <si>
    <t>RDAPS-100</t>
  </si>
  <si>
    <t>28513</t>
  </si>
  <si>
    <t>[Dev][SUB][Re-State] Request dev to re-state 6 BTS coupons for CRM case lot 37. 18/07/2025</t>
  </si>
  <si>
    <t>18/Jul/25 4:03 PM</t>
  </si>
  <si>
    <t>18/Jul/25 4:22 PM</t>
  </si>
  <si>
    <t>DEVRDSUP-47</t>
  </si>
  <si>
    <t>28512</t>
  </si>
  <si>
    <t>[SUP-74]Customer has completed the payment but did not receive the package as expected. Kindly assist by manually initiating the package for the customer.</t>
  </si>
  <si>
    <t>18/Jul/25 4:00 PM</t>
  </si>
  <si>
    <t>23/Jul/25 4:28 PM</t>
  </si>
  <si>
    <t>DEVRRBOF-147</t>
  </si>
  <si>
    <t>28506</t>
  </si>
  <si>
    <t>[TX][Dev][RD][RR Backoffice] Sprint3 - UAT</t>
  </si>
  <si>
    <t>18/Jul/25 1:33 PM</t>
  </si>
  <si>
    <t>24/Jul/25 10:29 AM</t>
  </si>
  <si>
    <t>RDLOA-103</t>
  </si>
  <si>
    <t>28503</t>
  </si>
  <si>
    <t>[Dev][RD][LineOA][SSO-User] Keep webhook data</t>
  </si>
  <si>
    <t>18/Jul/25 10:39 AM</t>
  </si>
  <si>
    <t>First Nattapon</t>
  </si>
  <si>
    <t>64001d5e896d10ebd470f6c1</t>
  </si>
  <si>
    <t>21/Jul/25 4:54 PM</t>
  </si>
  <si>
    <t>24/Jul/25 5:16 PM</t>
  </si>
  <si>
    <t>DEVRRBOF-145</t>
  </si>
  <si>
    <t>28462</t>
  </si>
  <si>
    <t>[Dev][RD][RR-Backoffice] De-selecting value is not working properly</t>
  </si>
  <si>
    <t>17/Jul/25 10:17 AM</t>
  </si>
  <si>
    <t>24/Jul/25 9:59 AM</t>
  </si>
  <si>
    <t>RDAPS-98</t>
  </si>
  <si>
    <t>28459</t>
  </si>
  <si>
    <t>[Dev][SUB][Re-State] Request dev to re-state 7 BTS coupons for CRM case lot 36. 16/07/2025</t>
  </si>
  <si>
    <t>16/Jul/25 8:44 PM</t>
  </si>
  <si>
    <t>17/Jul/25 9:19 AM</t>
  </si>
  <si>
    <t>DEVRDSUP-44</t>
  </si>
  <si>
    <t>28381</t>
  </si>
  <si>
    <t>[SUP-67]Request for the latest updated email list of Visionary members.</t>
  </si>
  <si>
    <t>16/Jul/25 2:31 PM</t>
  </si>
  <si>
    <t>18/Jul/25 1:34 PM</t>
  </si>
  <si>
    <t>DEVRDSUP-43</t>
  </si>
  <si>
    <t>28380</t>
  </si>
  <si>
    <t>[SUP-68]CRM - Case ID: CS-20250600013136 Cannot Top up BTS pass 35 trips when Line Pay ID has been changed</t>
  </si>
  <si>
    <t>16/Jul/25 12:34 PM</t>
  </si>
  <si>
    <t>16/Jul/25 8:40 PM</t>
  </si>
  <si>
    <t>RDAPS-97</t>
  </si>
  <si>
    <t>28368</t>
  </si>
  <si>
    <t>[Dev][SUB][Re-State] Request dev to re-state 5 BTS coupons for CRM case lot 35. 15/07/2025</t>
  </si>
  <si>
    <t>16/Jul/25 9:44 AM</t>
  </si>
  <si>
    <t>16/Jul/25 10:12 AM</t>
  </si>
  <si>
    <t>21/Jul/25 3:24 PM</t>
  </si>
  <si>
    <t>18/Jul/25 10:52 AM</t>
  </si>
  <si>
    <t>DEVRRBOF-137</t>
  </si>
  <si>
    <t>28343</t>
  </si>
  <si>
    <t>[TX][Dev][RD][RR Backoffice] Sprint3 - Staging</t>
  </si>
  <si>
    <t>15/Jul/25 4:50 PM</t>
  </si>
  <si>
    <t>21/Jul/25 5:21 PM</t>
  </si>
  <si>
    <t>DEVRRBOF-136</t>
  </si>
  <si>
    <t>28342</t>
  </si>
  <si>
    <t>[TP][Dev][RD][RR Backoffice] Sprint3</t>
  </si>
  <si>
    <t>22/Jul/25 2:32 PM</t>
  </si>
  <si>
    <t>DEVRRBOF-135</t>
  </si>
  <si>
    <t>28341</t>
  </si>
  <si>
    <t>[TS][Dev][RD][RR Backoffice] Sprint3</t>
  </si>
  <si>
    <t>17/Jul/25 10:42 AM</t>
  </si>
  <si>
    <t>DEVRRBOF-134</t>
  </si>
  <si>
    <t>28335</t>
  </si>
  <si>
    <t>15/Jul/25 3:36 PM</t>
  </si>
  <si>
    <t>17/Jul/25 1:22 PM</t>
  </si>
  <si>
    <t>DEVRRBOF-133</t>
  </si>
  <si>
    <t>28332</t>
  </si>
  <si>
    <t>16/Jul/25 11:14 AM</t>
  </si>
  <si>
    <t>RDAPS-96</t>
  </si>
  <si>
    <t>28323</t>
  </si>
  <si>
    <t>[DEV][RD][RDS] Upgrade RDS Engine</t>
  </si>
  <si>
    <t>15/Jul/25 3:20 PM</t>
  </si>
  <si>
    <t>21/Jul/25 2:15 PM</t>
  </si>
  <si>
    <t>15/Jul/25 12:00 AM</t>
  </si>
  <si>
    <t>DEVRDCT-125</t>
  </si>
  <si>
    <t>28301</t>
  </si>
  <si>
    <t>[QA] Create test case DEVRDCT-118</t>
  </si>
  <si>
    <t>21/Jul/25 10:10 AM</t>
  </si>
  <si>
    <t>DEVRRBOF-132</t>
  </si>
  <si>
    <t>28241</t>
  </si>
  <si>
    <t>15/Jul/25 10:48 AM</t>
  </si>
  <si>
    <t>21/Jul/25 10:05 AM</t>
  </si>
  <si>
    <t>DEVRRBOF-131</t>
  </si>
  <si>
    <t>28238</t>
  </si>
  <si>
    <t>15/Jul/25 4:48 PM</t>
  </si>
  <si>
    <t>DEVRRBOF-130</t>
  </si>
  <si>
    <t>28235</t>
  </si>
  <si>
    <t>17/Jul/25 11:49 AM</t>
  </si>
  <si>
    <t>DEVRRBOF-129</t>
  </si>
  <si>
    <t>28232</t>
  </si>
  <si>
    <t>DEVRRBOF-128</t>
  </si>
  <si>
    <t>28220</t>
  </si>
  <si>
    <t>15/Jul/25 10:43 AM</t>
  </si>
  <si>
    <t>16/Jul/25 4:39 PM</t>
  </si>
  <si>
    <t>DEVRRBOF-127</t>
  </si>
  <si>
    <t>28217</t>
  </si>
  <si>
    <t>15/Jul/25 2:04 PM</t>
  </si>
  <si>
    <t>DEVRRBOF-126</t>
  </si>
  <si>
    <t>28214</t>
  </si>
  <si>
    <t>DEVRRBOF-125</t>
  </si>
  <si>
    <t>28211</t>
  </si>
  <si>
    <t>RDAPS-95</t>
  </si>
  <si>
    <t>28208</t>
  </si>
  <si>
    <t>[S4][RR App][Subscription][Full Basket] Error full basket message doesn't update to new message when meet the conditions</t>
  </si>
  <si>
    <t>14/Jul/25 8:47 PM</t>
  </si>
  <si>
    <t>15/Jul/25 1:28 PM</t>
  </si>
  <si>
    <t>RDAPS-94</t>
  </si>
  <si>
    <t>28207</t>
  </si>
  <si>
    <t>[Dev][SUB][Re-State] Request dev to re-state 3 BTS coupons for CRM case lot 34. 14/07/2025</t>
  </si>
  <si>
    <t>14/Jul/25 8:42 PM</t>
  </si>
  <si>
    <t>16/Jul/25 9:54 AM</t>
  </si>
  <si>
    <t>DEVRDECOM-5</t>
  </si>
  <si>
    <t>28206</t>
  </si>
  <si>
    <t>[DEV][RD][Eco][POC] Reverse Point on Order Cancellation</t>
  </si>
  <si>
    <t>14/Jul/25 8:37 PM</t>
  </si>
  <si>
    <t>24/Jul/25 3:10 AM</t>
  </si>
  <si>
    <t>DEVRDECOM-4</t>
  </si>
  <si>
    <t>28205</t>
  </si>
  <si>
    <t>[DEV][RD][Eco][POC] Physical Product : Issue RR Point to Customer Defined by  Order Status</t>
  </si>
  <si>
    <t>14/Jul/25 8:34 PM</t>
  </si>
  <si>
    <t>DEVRDECOM-3</t>
  </si>
  <si>
    <t>28204</t>
  </si>
  <si>
    <t>[DEV][RD][Eco][POC] RR SSO: Enable Rabbit Rewards SSO Login via Multipass (Shopify Plus)</t>
  </si>
  <si>
    <t>14/Jul/25 8:33 PM</t>
  </si>
  <si>
    <t>17/Jul/25 4:28 PM</t>
  </si>
  <si>
    <t>RDAPS-93</t>
  </si>
  <si>
    <t>28197</t>
  </si>
  <si>
    <t>[QA] Test execution (App RR UAT)</t>
  </si>
  <si>
    <t>14/Jul/25 7:25 PM</t>
  </si>
  <si>
    <t>15/Jul/25 1:30 PM</t>
  </si>
  <si>
    <t>RDAPS-92</t>
  </si>
  <si>
    <t>28195</t>
  </si>
  <si>
    <t>[DEV][ADHOC][RD] Request to create Rewards Group in UAT for Deeplink test</t>
  </si>
  <si>
    <t>14/Jul/25 7:05 PM</t>
  </si>
  <si>
    <t>24/Jul/25 10:42 PM</t>
  </si>
  <si>
    <t>RDAPS-89</t>
  </si>
  <si>
    <t>28191</t>
  </si>
  <si>
    <t>[Dev][RD][Estimation][API Changes to support member tier status on POS system]</t>
  </si>
  <si>
    <t>14/Jul/25 6:30 PM</t>
  </si>
  <si>
    <t>21/Jul/25 4:04 PM</t>
  </si>
  <si>
    <t>API</t>
  </si>
  <si>
    <t>DEVRDSUP-36</t>
  </si>
  <si>
    <t>28190</t>
  </si>
  <si>
    <t>[SUP-58]SUB :(Support manual generate receipt) Receipt ID not found in RR Backoffice</t>
  </si>
  <si>
    <t>14/Jul/25 6:18 PM</t>
  </si>
  <si>
    <t>23/Jul/25 4:26 PM</t>
  </si>
  <si>
    <t>14/Jul/25 4:42 PM</t>
  </si>
  <si>
    <t>DEVRDCT-123</t>
  </si>
  <si>
    <t>28169</t>
  </si>
  <si>
    <t>[Dev][RD][Clever Tap] Export latest registration source in 1 years</t>
  </si>
  <si>
    <t>15/Jul/25 10:49 AM</t>
  </si>
  <si>
    <t>15/Jul/25 12:43 PM</t>
  </si>
  <si>
    <t>DEVRRBOF-124</t>
  </si>
  <si>
    <t>28163</t>
  </si>
  <si>
    <t>[Dev][RD][Redemption API] Able to Re-state for RLP and RW cards</t>
  </si>
  <si>
    <t>14/Jul/25 1:16 PM</t>
  </si>
  <si>
    <t>24/Jul/25 5:05 PM</t>
  </si>
  <si>
    <t>RDAPS-88</t>
  </si>
  <si>
    <t>28158</t>
  </si>
  <si>
    <t>[Dev][RD][Adhoc] Manual mark coupons as used on production</t>
  </si>
  <si>
    <t>14/Jul/25 10:51 AM</t>
  </si>
  <si>
    <t>23/Jul/25 4:22 PM</t>
  </si>
  <si>
    <t>5400</t>
  </si>
  <si>
    <t>DEVRRBOF-123</t>
  </si>
  <si>
    <t>28148</t>
  </si>
  <si>
    <t>[S2][Rewards] Item and value are not displayed in Reward setting</t>
  </si>
  <si>
    <t>14/Jul/25 10:25 AM</t>
  </si>
  <si>
    <t>RDAPS-85</t>
  </si>
  <si>
    <t>28101</t>
  </si>
  <si>
    <t>[Dev][RD] Investigate on root cause with preventions</t>
  </si>
  <si>
    <t>12/Jul/25 3:52 PM</t>
  </si>
  <si>
    <t>17/Jul/25 10:11 AM</t>
  </si>
  <si>
    <t>DEVRRBOF-122</t>
  </si>
  <si>
    <t>28100</t>
  </si>
  <si>
    <t>[Dev][RD]Optimize Subscription Transaction Report Index Page to Prevent Initial Data Load</t>
  </si>
  <si>
    <t>12/Jul/25 3:25 PM</t>
  </si>
  <si>
    <t>DEVRDCT-120</t>
  </si>
  <si>
    <t>28098</t>
  </si>
  <si>
    <t>[TBC][DEV][CLEVERTAP][RD][POC] Webhook for push rewards to user (AUTO PUSH COUPON)</t>
  </si>
  <si>
    <t>12/Jul/25 8:04 AM</t>
  </si>
  <si>
    <t>21/Jul/25 10:02 AM</t>
  </si>
  <si>
    <t>DEVRDCT-118</t>
  </si>
  <si>
    <t>28096</t>
  </si>
  <si>
    <t>[DEV][CLEVERTAP][RD][POC] Develop Club Binding feed to user properties to replace partner binding</t>
  </si>
  <si>
    <t>11/Jul/25 7:51 PM</t>
  </si>
  <si>
    <t>25/Jul/25 9:01 AM</t>
  </si>
  <si>
    <t>DEVRRBOF-121</t>
  </si>
  <si>
    <t>28087</t>
  </si>
  <si>
    <t>[Dev][RD][RR-Backoffice] Able to use “Back to Redeemed” feature for RLP and RW cards</t>
  </si>
  <si>
    <t>11/Jul/25 6:30 PM</t>
  </si>
  <si>
    <t>RDHOP-6</t>
  </si>
  <si>
    <t>28086</t>
  </si>
  <si>
    <t>[Dev][RD] High-level Estimation for Phase 1</t>
  </si>
  <si>
    <t>11/Jul/25 6:27 PM</t>
  </si>
  <si>
    <t>23/Jul/25 4:38 PM</t>
  </si>
  <si>
    <t>DEVRRBOF-120</t>
  </si>
  <si>
    <t>28085</t>
  </si>
  <si>
    <t>[Dev][RD[RR-Backoffice] Display Mark Used date display field</t>
  </si>
  <si>
    <t>11/Jul/25 6:09 PM</t>
  </si>
  <si>
    <t>24/Jul/25 10:02 AM</t>
  </si>
  <si>
    <t>24/Jul/25 9:28 AM</t>
  </si>
  <si>
    <t>22/Jul/25 2:49 PM</t>
  </si>
  <si>
    <t>22/Jul/25 9:44 AM</t>
  </si>
  <si>
    <t>17/Jul/25 10:12 AM</t>
  </si>
  <si>
    <t>RDAPS-83</t>
  </si>
  <si>
    <t>27956</t>
  </si>
  <si>
    <t>[Dev][RD][Rewards Service] Improve reserve and release product stock to avoid DB deadlock issue</t>
  </si>
  <si>
    <t>10/Jul/25 9:07 PM</t>
  </si>
  <si>
    <t>23/Jul/25 4:25 PM</t>
  </si>
  <si>
    <t>rewards-consumer</t>
  </si>
  <si>
    <t>DEVRRBOF-114</t>
  </si>
  <si>
    <t>27804</t>
  </si>
  <si>
    <t>[Dev][RD]Optimize Coupon Transaction Index Page to Prevent Initial Data Load</t>
  </si>
  <si>
    <t>09/Jul/25 5:59 AM</t>
  </si>
  <si>
    <t>RDAPS-80</t>
  </si>
  <si>
    <t>27785</t>
  </si>
  <si>
    <t>[Dev][RD][BFF] Optimize workflow for using API v3 to reduce MongoDB query load</t>
  </si>
  <si>
    <t>08/Jul/25 10:14 PM</t>
  </si>
  <si>
    <t>23/Jul/25 4:24 PM</t>
  </si>
  <si>
    <t>DEVRDSUP-33</t>
  </si>
  <si>
    <t>27770</t>
  </si>
  <si>
    <t>[SUP-46][A920 BTS Reconciliation] Some Transactions of Cloud card those sold from A920 were stamped as online transaction</t>
  </si>
  <si>
    <t>08/Jul/25 4:57 PM</t>
  </si>
  <si>
    <t>18/Jul/25 10:10 AM</t>
  </si>
  <si>
    <t>RDAPS-66</t>
  </si>
  <si>
    <t>27732</t>
  </si>
  <si>
    <t>[Dev][RD][BFF] Change text information for Full Basket</t>
  </si>
  <si>
    <t>08/Jul/25 10:53 AM</t>
  </si>
  <si>
    <t>17/Jul/25 7:39 PM</t>
  </si>
  <si>
    <t>08/Jul/25 12:00 AM</t>
  </si>
  <si>
    <t>ตัด 1 point จาก 1 point</t>
  </si>
  <si>
    <t>RDAPS-62</t>
  </si>
  <si>
    <t>27682</t>
  </si>
  <si>
    <t>[Dev][RD] E-Receipt Incomplete Generation Issue</t>
  </si>
  <si>
    <t>07/Jul/25 2:27 PM</t>
  </si>
  <si>
    <t>22/Jul/25 4:03 PM</t>
  </si>
  <si>
    <t>15/Jul/25 5:42 PM</t>
  </si>
  <si>
    <t>ตัด 3 point จาก 3 point</t>
  </si>
  <si>
    <t>RDLOA-42</t>
  </si>
  <si>
    <t>27213</t>
  </si>
  <si>
    <t>01/Jul/25 1:58 PM</t>
  </si>
  <si>
    <t>18/Jul/25 8:45 AM</t>
  </si>
  <si>
    <t>RDLOA-41</t>
  </si>
  <si>
    <t>27210</t>
  </si>
  <si>
    <t>18/Jul/25 8:41 AM</t>
  </si>
  <si>
    <t>RDLOA-40</t>
  </si>
  <si>
    <t>27207</t>
  </si>
  <si>
    <t>01/Jul/25 1:57 PM</t>
  </si>
  <si>
    <t>18/Jul/25 8:42 AM</t>
  </si>
  <si>
    <t>RDLOA-38</t>
  </si>
  <si>
    <t>27201</t>
  </si>
  <si>
    <t>RDLOA-37</t>
  </si>
  <si>
    <t>27198</t>
  </si>
  <si>
    <t>[QA] Create Test Case &amp; Run Test Execution</t>
  </si>
  <si>
    <t>17/Jul/25 10:56 AM</t>
  </si>
  <si>
    <t>RDLOA-36</t>
  </si>
  <si>
    <t>27195</t>
  </si>
  <si>
    <t>01/Jul/25 1:56 PM</t>
  </si>
  <si>
    <t>RDLOA-35</t>
  </si>
  <si>
    <t>27192</t>
  </si>
  <si>
    <t>RDLOA-34</t>
  </si>
  <si>
    <t>27189</t>
  </si>
  <si>
    <t>RDLOA-33</t>
  </si>
  <si>
    <t>27186</t>
  </si>
  <si>
    <t>RDLOA-32</t>
  </si>
  <si>
    <t>27183</t>
  </si>
  <si>
    <t>24/Jul/25 5:21 PM</t>
  </si>
  <si>
    <t>RDLOA-31</t>
  </si>
  <si>
    <t>27179</t>
  </si>
  <si>
    <t>17/Jul/25 10:54 AM</t>
  </si>
  <si>
    <t>24/Jul/25 5:50 PM</t>
  </si>
  <si>
    <t>15/Jul/25 2:48 PM</t>
  </si>
  <si>
    <t>RDLOA-30</t>
  </si>
  <si>
    <t>27043</t>
  </si>
  <si>
    <t>Unit Test</t>
  </si>
  <si>
    <t>30/Jun/25 3:49 PM</t>
  </si>
  <si>
    <t>07/Jul/25 11:11 AM</t>
  </si>
  <si>
    <t>RDLOA-29</t>
  </si>
  <si>
    <t>27040</t>
  </si>
  <si>
    <t>RDLOA-28</t>
  </si>
  <si>
    <t>26991</t>
  </si>
  <si>
    <t>[Dev][RD][LineOA][SSO-User] Create new endpoint for unbind LINE Account</t>
  </si>
  <si>
    <t>29/Jun/25 6:06 PM</t>
  </si>
  <si>
    <t>RDLOA-27</t>
  </si>
  <si>
    <t>26990</t>
  </si>
  <si>
    <t>[Dev][RD][LineOA][SSO-User] Create new endpoint for get LINE event logs</t>
  </si>
  <si>
    <t>29/Jun/25 5:41 PM</t>
  </si>
  <si>
    <t>24/Jul/25 5:25 PM</t>
  </si>
  <si>
    <t>RDLOA-26</t>
  </si>
  <si>
    <t>26989</t>
  </si>
  <si>
    <t>[Dev][RD][LineOA][SSO-User] Create endpoint to check matching trader id</t>
  </si>
  <si>
    <t>Wassana Mokman</t>
  </si>
  <si>
    <t>62835bb1ca7d7f00690051de</t>
  </si>
  <si>
    <t>29/Jun/25 5:39 PM</t>
  </si>
  <si>
    <t>03/Jul/25 12:00 AM</t>
  </si>
  <si>
    <t>24/Jul/25 5:43 PM</t>
  </si>
  <si>
    <t>18/Jul/25 4:59 PM</t>
  </si>
  <si>
    <t>25/Jul/25 9:13 AM</t>
  </si>
  <si>
    <t>ตัด 5 point จาก 5 point</t>
  </si>
  <si>
    <t>RDLOA-22</t>
  </si>
  <si>
    <t>26970</t>
  </si>
  <si>
    <t>[Dev][RD][LineOA][POC] Integrate LINE OA Messaging API</t>
  </si>
  <si>
    <t>29/Jun/25 12:45 AM</t>
  </si>
  <si>
    <t>21/Jul/25 9:27 AM</t>
  </si>
  <si>
    <t>23/Jul/25 11:18 AM</t>
  </si>
  <si>
    <t>22/Jul/25 11:10 AM</t>
  </si>
  <si>
    <t>RDLOA-15</t>
  </si>
  <si>
    <t>26879</t>
  </si>
  <si>
    <t>[Dev][RD][LineOA][SSO-User] Implement API for LINE OA Binding</t>
  </si>
  <si>
    <t>26/Jun/25 9:31 PM</t>
  </si>
  <si>
    <t>RDLOA-14</t>
  </si>
  <si>
    <t>26878</t>
  </si>
  <si>
    <t>[Dev][RD][LineOA][SSO-User] Implement API to Get LINE OA Consent Text</t>
  </si>
  <si>
    <t>RDLOA-13</t>
  </si>
  <si>
    <t>26877</t>
  </si>
  <si>
    <t xml:space="preserve">[Dev][RD][LineOA][SSO-User] Enhance Get Rewards User Profile API to Include Bind Info
</t>
  </si>
  <si>
    <t>RDLOA-12</t>
  </si>
  <si>
    <t>26876</t>
  </si>
  <si>
    <t>[Dev][RD][LineOA][BFF] Enhance check Matching Account API</t>
  </si>
  <si>
    <t>26/Jun/25 9:27 PM</t>
  </si>
  <si>
    <t>RDLOA-11</t>
  </si>
  <si>
    <t>26875</t>
  </si>
  <si>
    <t>[Dev][RD][LineOA][BFF] Implement API for LINE OA Binding</t>
  </si>
  <si>
    <t>RDLOA-10</t>
  </si>
  <si>
    <t>26874</t>
  </si>
  <si>
    <t>[Dev][RD][LineOA][BFF] Implement API to Get LINE OA Consent Text</t>
  </si>
  <si>
    <t>RDLOA-9</t>
  </si>
  <si>
    <t>26873</t>
  </si>
  <si>
    <t>[Dev][RD][LineOA][BFF] Enhance get user profile API</t>
  </si>
  <si>
    <t>26/Jun/25 9:26 PM</t>
  </si>
  <si>
    <t>DEVRRBOF-117</t>
  </si>
  <si>
    <t>27879</t>
  </si>
  <si>
    <t>[S2][Coupon TXN] The card detail is not auto prefill</t>
  </si>
  <si>
    <t>09/Jul/25 1:30 PM</t>
  </si>
  <si>
    <t>10/Jul/25 11:48 AM</t>
  </si>
  <si>
    <t>DEVRRBOF-116</t>
  </si>
  <si>
    <t>27878</t>
  </si>
  <si>
    <t>[S2][Coupon TXN] Unable to retrieve coupon detail with redemption coupon</t>
  </si>
  <si>
    <t>09/Jul/25 1:28 PM</t>
  </si>
  <si>
    <t>11/Jul/25 9:42 AM</t>
  </si>
  <si>
    <t>RDAPS-81</t>
  </si>
  <si>
    <t>27852</t>
  </si>
  <si>
    <t>[S3][API][Using/Used Coupon][Coupon Usage Limit] Changed logic of Coupon Usage Limit get "Daily coupon usage limit reached" after only used the coupon</t>
  </si>
  <si>
    <t>09/Jul/25 10:51 AM</t>
  </si>
  <si>
    <t>11/Jul/25 9:12 AM</t>
  </si>
  <si>
    <t>DEVRRBOF-115</t>
  </si>
  <si>
    <t>27850</t>
  </si>
  <si>
    <t>[S2][Coupon TXN] Unable to mark point earning coupon</t>
  </si>
  <si>
    <t>09/Jul/25 10:20 AM</t>
  </si>
  <si>
    <t>09/Jul/25 6:56 PM</t>
  </si>
  <si>
    <t>RDAPS-79</t>
  </si>
  <si>
    <t>27769</t>
  </si>
  <si>
    <t>[Dev] Exported receipts and place in a google drive.</t>
  </si>
  <si>
    <t>08/Jul/25 4:00 PM</t>
  </si>
  <si>
    <t>11/Jul/25 7:45 AM</t>
  </si>
  <si>
    <t>RDAPS-76</t>
  </si>
  <si>
    <t>27763</t>
  </si>
  <si>
    <t>[DEV][ADHOC][VISIONARY] Reverse transaction and reset campaign</t>
  </si>
  <si>
    <t>08/Jul/25 3:28 PM</t>
  </si>
  <si>
    <t>11/Jul/25 7:24 AM</t>
  </si>
  <si>
    <t>RDAPS-67</t>
  </si>
  <si>
    <t>27754</t>
  </si>
  <si>
    <t>[Dev][RD][SUB][Re-State] Request dev to re-state 4 BTS coupons for CRM case lot 32. 08/07/2025</t>
  </si>
  <si>
    <t>08/Jul/25 2:06 PM</t>
  </si>
  <si>
    <t>08/Jul/25 2:09 PM</t>
  </si>
  <si>
    <t>DEVRRBOF-113</t>
  </si>
  <si>
    <t>27737</t>
  </si>
  <si>
    <t>[S2][Coupon TXN] Missing Coupon detail after mark coupon as used</t>
  </si>
  <si>
    <t>nattapon napasai</t>
  </si>
  <si>
    <t>08/Jul/25 11:35 AM</t>
  </si>
  <si>
    <t>09/Jul/25 5:45 PM</t>
  </si>
  <si>
    <t>RDAPS-65</t>
  </si>
  <si>
    <t>27729</t>
  </si>
  <si>
    <t>[QA] Test execution (version RDAPS 0.4)</t>
  </si>
  <si>
    <t>08/Jul/25 10:10 AM</t>
  </si>
  <si>
    <t>09/Jul/25 10:29 AM</t>
  </si>
  <si>
    <t>DEVRRBOF-112</t>
  </si>
  <si>
    <t>27727</t>
  </si>
  <si>
    <t>[S2][Coupon TXN] Details on 'Mark used reward coupon' popup is incorrect</t>
  </si>
  <si>
    <t>08/Jul/25 10:04 AM</t>
  </si>
  <si>
    <t>09/Jul/25 11:19 AM</t>
  </si>
  <si>
    <t>DEVRRBOF-110</t>
  </si>
  <si>
    <t>27719</t>
  </si>
  <si>
    <t>[S2][Coupon TXN] Reward detail is incorrect for subscription coupon</t>
  </si>
  <si>
    <t>07/Jul/25 6:24 PM</t>
  </si>
  <si>
    <t>09/Jul/25 11:28 AM</t>
  </si>
  <si>
    <t>RDTHANA-8</t>
  </si>
  <si>
    <t>27685</t>
  </si>
  <si>
    <t>[DEV][RD][Highly Estimation] Partner Loyalty</t>
  </si>
  <si>
    <t>07/Jul/25 3:17 PM</t>
  </si>
  <si>
    <t>11/Jul/25 7:51 AM</t>
  </si>
  <si>
    <t>DEVRRBOF-90</t>
  </si>
  <si>
    <t>27670</t>
  </si>
  <si>
    <t>[TX][Dev][RD][RR Backoffice] Sprint2 - Staging</t>
  </si>
  <si>
    <t>07/Jul/25 1:20 PM</t>
  </si>
  <si>
    <t>RDAPS-61</t>
  </si>
  <si>
    <t>27582</t>
  </si>
  <si>
    <t>[Dev][RD][SUB][Re-State] Request dev to re-state 5 BTS coupons for CRM case lot 31. 04/07/2025</t>
  </si>
  <si>
    <t>04/Jul/25 3:29 PM</t>
  </si>
  <si>
    <t>04/Jul/25 5:02 PM</t>
  </si>
  <si>
    <t>08/Jul/25 2:26 PM</t>
  </si>
  <si>
    <t>DEVRDCT-115</t>
  </si>
  <si>
    <t>27491</t>
  </si>
  <si>
    <t>[QA] Test execution (version 1.2)</t>
  </si>
  <si>
    <t>03/Jul/25 2:41 PM</t>
  </si>
  <si>
    <t>03/Jul/25 3:44 PM</t>
  </si>
  <si>
    <t>DEVRDCT-114</t>
  </si>
  <si>
    <t>27489</t>
  </si>
  <si>
    <t>[Dev][RD][Clever Tap][RR-Scheduler] Wrong Type USE_FOR</t>
  </si>
  <si>
    <t>03/Jul/25 2:30 PM</t>
  </si>
  <si>
    <t>11/Jul/25 9:20 AM</t>
  </si>
  <si>
    <t>RDAPS-60</t>
  </si>
  <si>
    <t>27483</t>
  </si>
  <si>
    <t>[Dev][RD] Root cause and prevention analysis</t>
  </si>
  <si>
    <t>03/Jul/25 10:10 AM</t>
  </si>
  <si>
    <t>07/Jul/25 2:31 PM</t>
  </si>
  <si>
    <t>APS-157</t>
  </si>
  <si>
    <t>27482</t>
  </si>
  <si>
    <t>[TX][Back-office] PROD Deployment on 03 July 2025</t>
  </si>
  <si>
    <t>03/Jul/25 9:52 AM</t>
  </si>
  <si>
    <t>03/Jul/25 11:43 AM</t>
  </si>
  <si>
    <t>RDAPS-59</t>
  </si>
  <si>
    <t>27462</t>
  </si>
  <si>
    <t>[Dev][RD][SUB][Re-State] Request dev to re-state 9 BTS coupons for CRM case lot 29. 02/07/2025</t>
  </si>
  <si>
    <t>02/Jul/25 6:51 PM</t>
  </si>
  <si>
    <t>02/Jul/25 6:52 PM</t>
  </si>
  <si>
    <t>02/Jul/25 12:00 AM</t>
  </si>
  <si>
    <t>RDAPS-58</t>
  </si>
  <si>
    <t>27458</t>
  </si>
  <si>
    <t>[Dev][RD][SUB][Re-State] Request dev to re-state 6 BTS coupons for CRM case using to redeem lot 8. 02/07/2025</t>
  </si>
  <si>
    <t>02/Jul/25 6:48 PM</t>
  </si>
  <si>
    <t>02/Jul/25 6:49 PM</t>
  </si>
  <si>
    <t>DEVRDCT-112</t>
  </si>
  <si>
    <t>27308</t>
  </si>
  <si>
    <t>[S3][Clever Tap][Partner Loyalty] CleverTap Service NOT show Spending partner after make transaction success</t>
  </si>
  <si>
    <t>02/Jul/25 3:50 PM</t>
  </si>
  <si>
    <t>02/Jul/25 6:36 PM</t>
  </si>
  <si>
    <t>RDTHANA-7</t>
  </si>
  <si>
    <t>27306</t>
  </si>
  <si>
    <t>[DEV][RD][Highly Estimation] APIs for Front-End</t>
  </si>
  <si>
    <t>02/Jul/25 3:04 PM</t>
  </si>
  <si>
    <t>11/Jul/25 9:22 AM</t>
  </si>
  <si>
    <t>RDTHANA-6</t>
  </si>
  <si>
    <t>27305</t>
  </si>
  <si>
    <t>[DEV][RD][Highly Estimation] Backoffice</t>
  </si>
  <si>
    <t>11/Jul/25 9:21 AM</t>
  </si>
  <si>
    <t>RDAPS-57</t>
  </si>
  <si>
    <t>27285</t>
  </si>
  <si>
    <t>[Dev][RD] Improve logic use coupon</t>
  </si>
  <si>
    <t>02/Jul/25 1:21 PM</t>
  </si>
  <si>
    <t>09/Jul/25 10:52 PM</t>
  </si>
  <si>
    <t>RDAPS-54</t>
  </si>
  <si>
    <t>27241</t>
  </si>
  <si>
    <t>[DEV][RD][ADHOC][RR Request] Create Rewards Group for July 2025</t>
  </si>
  <si>
    <t>01/Jul/25 6:01 PM</t>
  </si>
  <si>
    <t>02/Jul/25 10:02 AM</t>
  </si>
  <si>
    <t>01/Jul/25 12:00 AM</t>
  </si>
  <si>
    <t>RDAPS-53</t>
  </si>
  <si>
    <t>27221</t>
  </si>
  <si>
    <t>[Dev][RD][ADHOC] Super Turtle Plus Engagement Report</t>
  </si>
  <si>
    <t>01/Jul/25 2:48 PM</t>
  </si>
  <si>
    <t>09/Jul/25 9:58 AM</t>
  </si>
  <si>
    <t>08/Jul/25 10:16 AM</t>
  </si>
  <si>
    <t>RDLOA-39</t>
  </si>
  <si>
    <t>27204</t>
  </si>
  <si>
    <t>07/Jul/25 10:15 AM</t>
  </si>
  <si>
    <t>09/Jul/25 11:56 AM</t>
  </si>
  <si>
    <t>06/Jul/25 8:00 PM</t>
  </si>
  <si>
    <t>08/Jul/25 10:22 AM</t>
  </si>
  <si>
    <t>08/Jul/25 3:30 PM</t>
  </si>
  <si>
    <t>01/Jul/25 1:52 PM</t>
  </si>
  <si>
    <t>DEVRRBOF-76</t>
  </si>
  <si>
    <t>27101</t>
  </si>
  <si>
    <t>01/Jul/25 1:25 PM</t>
  </si>
  <si>
    <t>07/Jul/25 1:30 PM</t>
  </si>
  <si>
    <t>DEVRRBOF-75</t>
  </si>
  <si>
    <t>27098</t>
  </si>
  <si>
    <t>07/Jul/25 1:27 PM</t>
  </si>
  <si>
    <t>DEVRRBOF-74</t>
  </si>
  <si>
    <t>27092</t>
  </si>
  <si>
    <t>07/Jul/25 8:52 PM</t>
  </si>
  <si>
    <t>DEVRRBOF-73</t>
  </si>
  <si>
    <t>27089</t>
  </si>
  <si>
    <t>04/Jul/25 12:52 PM</t>
  </si>
  <si>
    <t>RDAPS-52</t>
  </si>
  <si>
    <t>27075</t>
  </si>
  <si>
    <t>[Dev][RD][SUB] Many BTS coupons from A920 code 99999999 incident needs to be mark used</t>
  </si>
  <si>
    <t>01/Jul/25 6:19 AM</t>
  </si>
  <si>
    <t>03/Jul/25 10:06 AM</t>
  </si>
  <si>
    <t>RDAPS-51</t>
  </si>
  <si>
    <t>27073</t>
  </si>
  <si>
    <t>[Dev][RD][SUB][Re-State] Request dev to re-state 7 BTS coupons for CRM case using to redeem lot 7. 30/06/2025</t>
  </si>
  <si>
    <t>30/Jun/25 6:43 PM</t>
  </si>
  <si>
    <t>30/Jun/25 12:00 AM</t>
  </si>
  <si>
    <t>RDAPS-50</t>
  </si>
  <si>
    <t>27069</t>
  </si>
  <si>
    <t>[Dev][RD][SUB][Re-State] Request dev to re-state 4 BTS coupons for CRM case lot 29. 30/06/2025</t>
  </si>
  <si>
    <t>30/Jun/25 6:23 PM</t>
  </si>
  <si>
    <t>RDTHANA-5</t>
  </si>
  <si>
    <t>27063</t>
  </si>
  <si>
    <t>[DEV][RD][Highly Estimation] HR solution</t>
  </si>
  <si>
    <t>30/Jun/25 5:39 PM</t>
  </si>
  <si>
    <t>RDAPS-49</t>
  </si>
  <si>
    <t>27053</t>
  </si>
  <si>
    <t>[Dev][RD][SUB][Re-State] Request dev to re-state 15 BTS coupons for CRM case using to redeem lot 6. 30/06/2025</t>
  </si>
  <si>
    <t>30/Jun/25 4:40 PM</t>
  </si>
  <si>
    <t>30/Jun/25 4:53 PM</t>
  </si>
  <si>
    <t>RDAPS-48</t>
  </si>
  <si>
    <t>27049</t>
  </si>
  <si>
    <t>[Dev][RD][SUB][Re-State] Request dev to re-state 2 BTS coupons for CRM case lot 28. 30/06/2025</t>
  </si>
  <si>
    <t>30/Jun/25 4:36 PM</t>
  </si>
  <si>
    <t>30/Jun/25 4:39 PM</t>
  </si>
  <si>
    <t>RDAPS-47</t>
  </si>
  <si>
    <t>27038</t>
  </si>
  <si>
    <t>[Dev][RD][Some partner coupons in SUB doesn't expire within 30 mins as set the reward item.]</t>
  </si>
  <si>
    <t>30/Jun/25 3:22 PM</t>
  </si>
  <si>
    <t>10/Jul/25 3:20 PM</t>
  </si>
  <si>
    <t>11/Jul/25 9:39 AM</t>
  </si>
  <si>
    <t>RDAPS-46</t>
  </si>
  <si>
    <t>27030</t>
  </si>
  <si>
    <t>[Dev][RD][Order Consumer] Improve sync txn to DA</t>
  </si>
  <si>
    <t>Kittapath Sangvikukit</t>
  </si>
  <si>
    <t>30/Jun/25 12:51 PM</t>
  </si>
  <si>
    <t>04/Jul/25 5:55 PM</t>
  </si>
  <si>
    <t>DEVRDCT-98</t>
  </si>
  <si>
    <t>26999</t>
  </si>
  <si>
    <t>[S3][Clever Tap] CleverTap event : MEMBER_COUPON NOT show "redeemed" on Clever Tap</t>
  </si>
  <si>
    <t>30/Jun/25 10:14 AM</t>
  </si>
  <si>
    <t>02/Jul/25 6:45 PM</t>
  </si>
  <si>
    <t>11/Jul/25 9:40 AM</t>
  </si>
  <si>
    <t>09/Jul/25 11:36 AM</t>
  </si>
  <si>
    <t>DEVRDCT-96</t>
  </si>
  <si>
    <t>26980</t>
  </si>
  <si>
    <t>[Dev][RD][Clever Tap #2.2][POC] Event filter</t>
  </si>
  <si>
    <t>Warin Kesorn</t>
  </si>
  <si>
    <t>29/Jun/25 12:51 AM</t>
  </si>
  <si>
    <t>08/Jul/25 12:49 PM</t>
  </si>
  <si>
    <t>11/Jul/25 9:36 AM</t>
  </si>
  <si>
    <t>11/Jul/25 9:35 AM</t>
  </si>
  <si>
    <t>11/Jul/25 9:33 AM</t>
  </si>
  <si>
    <t>DEVRDCT-86</t>
  </si>
  <si>
    <t>26950</t>
  </si>
  <si>
    <t>[S3][Clever Tap] CleverTap event : MEMBER_COUPON NOT show update status on Clever Tap</t>
  </si>
  <si>
    <t>27/Jun/25 3:57 PM</t>
  </si>
  <si>
    <t>RDLOA-16</t>
  </si>
  <si>
    <t>26880</t>
  </si>
  <si>
    <t>[Dev][RD][LineOA][SSO-User] Database Migrations</t>
  </si>
  <si>
    <t>26/Jun/25 9:49 PM</t>
  </si>
  <si>
    <t>09/Jul/25 6:20 PM</t>
  </si>
  <si>
    <t>10/Jul/25 11:26 PM</t>
  </si>
  <si>
    <t>11/Jul/25 9:41 AM</t>
  </si>
  <si>
    <t>09/Jul/25 4:03 PM</t>
  </si>
  <si>
    <t>DEVRRBOF-69</t>
  </si>
  <si>
    <t>26830</t>
  </si>
  <si>
    <t>[Dev][RD][BE] Enhance mark used coupon v2</t>
  </si>
  <si>
    <t>25/Jun/25 8:07 PM</t>
  </si>
  <si>
    <t>DEVRRBOF-68</t>
  </si>
  <si>
    <t>26816</t>
  </si>
  <si>
    <t>[Dev][RD][RR Backoffice] Analyze mark use feature</t>
  </si>
  <si>
    <t>25/Jun/25 4:28 PM</t>
  </si>
  <si>
    <t>04/Jul/25 10:03 AM</t>
  </si>
  <si>
    <t>DEVRRBOF-67</t>
  </si>
  <si>
    <t>26815</t>
  </si>
  <si>
    <t>[Dev][RD][RR Backoffice] Mark use coupon</t>
  </si>
  <si>
    <t>25/Jun/25 3:31 PM</t>
  </si>
  <si>
    <t>RDAPS-36</t>
  </si>
  <si>
    <t>26692</t>
  </si>
  <si>
    <t>[Dev][RD] ETL Enhancement for Redemption Vouchers Status</t>
  </si>
  <si>
    <t>24/Jun/25 5:20 PM</t>
  </si>
  <si>
    <t>10/Jul/25 3:25 PM</t>
  </si>
  <si>
    <t>RDAPS-32</t>
  </si>
  <si>
    <t>26649</t>
  </si>
  <si>
    <t>[Dev][RD] ETL implementation for Redemption Vouchers Master</t>
  </si>
  <si>
    <t>23/Jun/25 6:05 PM</t>
  </si>
  <si>
    <t>DEVRDCT-48</t>
  </si>
  <si>
    <t>26590</t>
  </si>
  <si>
    <t>[Dev][RD][Clever Tap][Batch#1][Scheduler] Feed Member Coupon to CleverTap Service for coupon update status</t>
  </si>
  <si>
    <t>22/Jun/25 4:09 PM</t>
  </si>
  <si>
    <t>11/Jul/25 7:47 AM</t>
  </si>
  <si>
    <t>26/Jun/25 12:00 AM</t>
  </si>
  <si>
    <t>DEVRDCT-37</t>
  </si>
  <si>
    <t>26499</t>
  </si>
  <si>
    <t>Run Test execution</t>
  </si>
  <si>
    <t>20/Jun/25 1:37 PM</t>
  </si>
  <si>
    <t>02/Jul/25 5:27 PM</t>
  </si>
  <si>
    <t>DEVRDCT-36</t>
  </si>
  <si>
    <t>26496</t>
  </si>
  <si>
    <t>02/Jul/25 5:26 PM</t>
  </si>
  <si>
    <t>RDAPS-12</t>
  </si>
  <si>
    <t>25542</t>
  </si>
  <si>
    <t>[Dev][RD][Adhoc] Fix Sync RR Profile when import member</t>
  </si>
  <si>
    <t>18/Jun/25 11:09 AM</t>
  </si>
  <si>
    <t>11/Jul/25 1:14 AM</t>
  </si>
  <si>
    <t>DEVRDCT-11</t>
  </si>
  <si>
    <t>24152</t>
  </si>
  <si>
    <t>[Dev][RD][Clever Tap][Batch#1][Import Initial] Member counpon</t>
  </si>
  <si>
    <t>11/Jun/25 1:40 PM</t>
  </si>
  <si>
    <t>02/Jul/25 10:26 AM</t>
  </si>
  <si>
    <t>DEVRDCT-3</t>
  </si>
  <si>
    <t>24132</t>
  </si>
  <si>
    <t>[Dev][RD][Clever Tap][Batch#1][Partner Loyalty] Feed Spending partner to CleverTap Service</t>
  </si>
  <si>
    <t>11/Jun/25 1:33 PM</t>
  </si>
  <si>
    <t>RDAPS-82</t>
  </si>
  <si>
    <t>23875</t>
  </si>
  <si>
    <t>Optimize Performance for updating expired  coupons query</t>
  </si>
  <si>
    <t>16/May/25 10:10 AM</t>
  </si>
  <si>
    <t>10/Jul/25 7:16 PM</t>
  </si>
  <si>
    <t>RDAPS-45</t>
  </si>
  <si>
    <t>26955</t>
  </si>
  <si>
    <t>[DEV][RD][SUB][Re-State] Request dev to re-state 4 BTS coupons for CRM case lot 27. 27/06/2025</t>
  </si>
  <si>
    <t>27/Jun/25 5:40 PM</t>
  </si>
  <si>
    <t>27/Jun/25 5:45 PM</t>
  </si>
  <si>
    <t>27/Jun/25 12:00 AM</t>
  </si>
  <si>
    <t>DEVRDCT-84</t>
  </si>
  <si>
    <t>26918</t>
  </si>
  <si>
    <t>[QA] Ctreate test cases MEMBER COUPON update status</t>
  </si>
  <si>
    <t>27/Jun/25 10:31 AM</t>
  </si>
  <si>
    <t>27/Jun/25 10:32 AM</t>
  </si>
  <si>
    <t>DEVRDCT-83</t>
  </si>
  <si>
    <t>26915</t>
  </si>
  <si>
    <t>[QA] Create test cases MEMBER COUPON</t>
  </si>
  <si>
    <t>27/Jun/25 10:20 AM</t>
  </si>
  <si>
    <t>DEVRDCT-82</t>
  </si>
  <si>
    <t>26912</t>
  </si>
  <si>
    <t>[QA] Create test cases Check-in</t>
  </si>
  <si>
    <t>27/Jun/25 10:17 AM</t>
  </si>
  <si>
    <t>27/Jun/25 10:18 AM</t>
  </si>
  <si>
    <t>RDAPS-44</t>
  </si>
  <si>
    <t>26870</t>
  </si>
  <si>
    <t>[DEV][RD][SUB][Re-State] Request dev to re-state 4 BTS coupons for CRM case lot 26. 26/06/2025</t>
  </si>
  <si>
    <t>26/Jun/25 6:02 PM</t>
  </si>
  <si>
    <t>26/Jun/25 6:07 PM</t>
  </si>
  <si>
    <t>RDAPS-43</t>
  </si>
  <si>
    <t>26866</t>
  </si>
  <si>
    <t>[DEV][RD][SUB][Re-State] Request dev to re-state 2 BTS coupons for CRM case using to redeem lot 5. 26/06/2025</t>
  </si>
  <si>
    <t>26/Jun/25 5:57 PM</t>
  </si>
  <si>
    <t>26/Jun/25 6:00 PM</t>
  </si>
  <si>
    <t>DEVRRBOF-72</t>
  </si>
  <si>
    <t>26847</t>
  </si>
  <si>
    <t>[TX][Dev][RD][RR Backoffice] Sprint1 - UAT</t>
  </si>
  <si>
    <t>26/Jun/25 3:05 PM</t>
  </si>
  <si>
    <t>27/Jun/25 2:47 PM</t>
  </si>
  <si>
    <t>DEVRRBOF-70</t>
  </si>
  <si>
    <t>26841</t>
  </si>
  <si>
    <t>[Redemption API] Support restate coupon back to redeemed status - usage channel</t>
  </si>
  <si>
    <t>26/Jun/25 11:52 AM</t>
  </si>
  <si>
    <t>26/Jun/25 5:18 PM</t>
  </si>
  <si>
    <t>RDAPS-42</t>
  </si>
  <si>
    <t>26829</t>
  </si>
  <si>
    <t>[DEV][RD][SUB][Re-State] Request dev to re-state 8 BTS coupons for CRM case lot 25. 25/06/2025</t>
  </si>
  <si>
    <t>25/Jun/25 6:05 PM</t>
  </si>
  <si>
    <t>25/Jun/25 6:11 PM</t>
  </si>
  <si>
    <t>25/Jun/25 12:00 AM</t>
  </si>
  <si>
    <t>RDAPS-41</t>
  </si>
  <si>
    <t>26825</t>
  </si>
  <si>
    <t>[DEV][RD][SUB][Re-State] Request dev to re-state 4 BTS coupons for CRM case using to redeem lot 4. 25/06/2025</t>
  </si>
  <si>
    <t>25/Jun/25 5:57 PM</t>
  </si>
  <si>
    <t>25/Jun/25 6:01 PM</t>
  </si>
  <si>
    <t>RDAPS-40</t>
  </si>
  <si>
    <t>26819</t>
  </si>
  <si>
    <t>[DEV][ADHOC][VISIONARY][HR-Solution] Delete record in transactions table</t>
  </si>
  <si>
    <t>25/Jun/25 5:12 PM</t>
  </si>
  <si>
    <t>26/Jun/25 9:30 AM</t>
  </si>
  <si>
    <t>RDAPS-39</t>
  </si>
  <si>
    <t>26818</t>
  </si>
  <si>
    <t>[DEV][ADHOC][VISIONARY][PL] Reverse transaction on PL</t>
  </si>
  <si>
    <t>25/Jun/25 5:11 PM</t>
  </si>
  <si>
    <t>25/Jun/25 5:26 PM</t>
  </si>
  <si>
    <t>DEVRDCT-60</t>
  </si>
  <si>
    <t>26805</t>
  </si>
  <si>
    <t>[QA] Test execution Check-in (version CT 1.1)</t>
  </si>
  <si>
    <t>25/Jun/25 2:24 PM</t>
  </si>
  <si>
    <t>DEVRDCT-59</t>
  </si>
  <si>
    <t>26802</t>
  </si>
  <si>
    <t>25/Jun/25 2:23 PM</t>
  </si>
  <si>
    <t>25/Jun/25 4:59 PM</t>
  </si>
  <si>
    <t>DEVRDCT-58</t>
  </si>
  <si>
    <t>26709</t>
  </si>
  <si>
    <t>[QA] Test execution Member Coupon Update Status (version CT 1.1)</t>
  </si>
  <si>
    <t>25/Jun/25 10:27 AM</t>
  </si>
  <si>
    <t>25/Jun/25 5:03 PM</t>
  </si>
  <si>
    <t>DEVRDCT-57</t>
  </si>
  <si>
    <t>26705</t>
  </si>
  <si>
    <t>[QA] Test execution MEMBER COUPON (version CT 1.1)</t>
  </si>
  <si>
    <t>25/Jun/25 10:24 AM</t>
  </si>
  <si>
    <t>25/Jun/25 4:40 PM</t>
  </si>
  <si>
    <t>DEVRDCT-56</t>
  </si>
  <si>
    <t>26703</t>
  </si>
  <si>
    <t>[Dev][RD][Adjust] Export device id</t>
  </si>
  <si>
    <t>25/Jun/25 9:47 AM</t>
  </si>
  <si>
    <t>01/Jul/25 12:07 AM</t>
  </si>
  <si>
    <t>RDAPS-38</t>
  </si>
  <si>
    <t>26701</t>
  </si>
  <si>
    <t>[DEV][RD][SUB][Re-State] Request dev to re-state 4 BTS coupons for CRM case using to redeem lot 3. 24/06/2025</t>
  </si>
  <si>
    <t>24/Jun/25 6:46 PM</t>
  </si>
  <si>
    <t>24/Jun/25 12:00 AM</t>
  </si>
  <si>
    <t>RDAPS-37</t>
  </si>
  <si>
    <t>26697</t>
  </si>
  <si>
    <t>[DEV][RD][SUB][Re-State] Request dev to re-state 10 BTS coupons for CRM case lot 24. 24/06/2025</t>
  </si>
  <si>
    <t>24/Jun/25 6:43 PM</t>
  </si>
  <si>
    <t>24/Jun/25 6:44 PM</t>
  </si>
  <si>
    <t>RDAPS-35</t>
  </si>
  <si>
    <t>26689</t>
  </si>
  <si>
    <t>[DEV][RD][ADHOC][A920 BTS Reconciliation][RW] Operating day in TD stamp wrong</t>
  </si>
  <si>
    <t>24/Jun/25 4:21 PM</t>
  </si>
  <si>
    <t>25/Jun/25 10:21 AM</t>
  </si>
  <si>
    <t>RDAPS-34</t>
  </si>
  <si>
    <t>26685</t>
  </si>
  <si>
    <t>[S2][Redemption] Coupon usage detail is incorrect</t>
  </si>
  <si>
    <t>24/Jun/25 2:14 PM</t>
  </si>
  <si>
    <t>26/Jun/25 5:17 PM</t>
  </si>
  <si>
    <t>RDAPS-33</t>
  </si>
  <si>
    <t>26684</t>
  </si>
  <si>
    <t>[DEV][RD][ADHOC][A920 BTS Reconciliation][LP] Operating day in TD stamp wrong</t>
  </si>
  <si>
    <t>24/Jun/25 1:58 PM</t>
  </si>
  <si>
    <t>24/Jun/25 4:42 PM</t>
  </si>
  <si>
    <t>DEVRDCT-55</t>
  </si>
  <si>
    <t>26657</t>
  </si>
  <si>
    <t>Allow empty body Send 200</t>
  </si>
  <si>
    <t>24/Jun/25 10:22 AM</t>
  </si>
  <si>
    <t>26/Jun/25 10:13 AM</t>
  </si>
  <si>
    <t>RDAPS-31</t>
  </si>
  <si>
    <t>26648</t>
  </si>
  <si>
    <t>[DEV][RD][SUB][Re-State] Request dev to re-state 3 BTS coupons for CRM case lot 23. 23/06/2025</t>
  </si>
  <si>
    <t>23/Jun/25 5:42 PM</t>
  </si>
  <si>
    <t>23/Jun/25 5:49 PM</t>
  </si>
  <si>
    <t>23/Jun/25 12:00 AM</t>
  </si>
  <si>
    <t>RDAPS-30</t>
  </si>
  <si>
    <t>26637</t>
  </si>
  <si>
    <t>[DEV][RD] Manual export packages information</t>
  </si>
  <si>
    <t>23/Jun/25 3:59 PM</t>
  </si>
  <si>
    <t>23/Jun/25 4:43 PM</t>
  </si>
  <si>
    <t>RDAPS-29</t>
  </si>
  <si>
    <t>26632</t>
  </si>
  <si>
    <t>[DEV][RD][SUB][Re-State] Request dev to re-state 7 BTS coupons for CRM case using to redeem lot 2. 23/06/2025</t>
  </si>
  <si>
    <t>23/Jun/25 1:27 PM</t>
  </si>
  <si>
    <t>23/Jun/25 1:37 PM</t>
  </si>
  <si>
    <t>RDAPS-28</t>
  </si>
  <si>
    <t>26628</t>
  </si>
  <si>
    <t>[DEV][RD][SUB][Re-State] Request dev to re-state 3 BTS coupons for CRM case lot 22. 23/06/2025</t>
  </si>
  <si>
    <t>23/Jun/25 1:16 PM</t>
  </si>
  <si>
    <t>23/Jun/25 1:19 PM</t>
  </si>
  <si>
    <t>DEVRRBOF-66</t>
  </si>
  <si>
    <t>26624</t>
  </si>
  <si>
    <t>[S3][Coupon TXN] Missing coupon details on 'Change reward coupon back to "Redeemed"' page</t>
  </si>
  <si>
    <t>23/Jun/25 1:07 PM</t>
  </si>
  <si>
    <t>25/Jun/25 2:42 PM</t>
  </si>
  <si>
    <t>DEVRDCT-54</t>
  </si>
  <si>
    <t>26620</t>
  </si>
  <si>
    <t>[Dev][RD][Weekly Meeting] 2025-06-23 11:00 - 12:00</t>
  </si>
  <si>
    <t>23/Jun/25 11:34 AM</t>
  </si>
  <si>
    <t>25/Jun/25 10:22 AM</t>
  </si>
  <si>
    <t>DEVRRBOF-65</t>
  </si>
  <si>
    <t>26619</t>
  </si>
  <si>
    <t>[S2][Coupon TXN] Unable to re-state coupon status</t>
  </si>
  <si>
    <t>Thanakorn Tawsan</t>
  </si>
  <si>
    <t>62c2971eeda95d2e3a68c3ed</t>
  </si>
  <si>
    <t>23/Jun/25 11:14 AM</t>
  </si>
  <si>
    <t>10/Jul/25 3:32 PM</t>
  </si>
  <si>
    <t>DEVRDCT-53</t>
  </si>
  <si>
    <t>26615</t>
  </si>
  <si>
    <t>Test execution - Member Coupon</t>
  </si>
  <si>
    <t>23/Jun/25 10:18 AM</t>
  </si>
  <si>
    <t>25/Jun/25 2:51 PM</t>
  </si>
  <si>
    <t>DEVRDCT-52</t>
  </si>
  <si>
    <t>26612</t>
  </si>
  <si>
    <t>23/Jun/25 4:12 PM</t>
  </si>
  <si>
    <t>DEVRDCT-51</t>
  </si>
  <si>
    <t>26609</t>
  </si>
  <si>
    <t>23/Jun/25 10:17 AM</t>
  </si>
  <si>
    <t>23/Jun/25 4:10 PM</t>
  </si>
  <si>
    <t>DEVRDCT-50</t>
  </si>
  <si>
    <t>26606</t>
  </si>
  <si>
    <t>Test execution - CheckIn Event</t>
  </si>
  <si>
    <t>24/Jun/25 10:17 AM</t>
  </si>
  <si>
    <t>DEVRDCT-49</t>
  </si>
  <si>
    <t>26603</t>
  </si>
  <si>
    <t>Test execution - SPENDING PARTNER</t>
  </si>
  <si>
    <t>23/Jun/25 3:39 PM</t>
  </si>
  <si>
    <t>RDAPS-27</t>
  </si>
  <si>
    <t>26555</t>
  </si>
  <si>
    <t>[DEV][RD][SUB][Re-State] Request dev to re-state 4 BTS coupons for CRM case lot 21. 20/06/2025</t>
  </si>
  <si>
    <t>20/Jun/25 5:23 PM</t>
  </si>
  <si>
    <t>20/Jun/25 5:35 PM</t>
  </si>
  <si>
    <t>20/Jun/25 12:00 AM</t>
  </si>
  <si>
    <t>RDAPS-26</t>
  </si>
  <si>
    <t>26549</t>
  </si>
  <si>
    <t>[Dev][RD][SUB][Re-State] Request dev to re-state 4 BTS coupons for CRM case lot 20. 20/06/2025</t>
  </si>
  <si>
    <t>20/Jun/25 5:14 PM</t>
  </si>
  <si>
    <t>20/Jun/25 5:34 PM</t>
  </si>
  <si>
    <t>DEVRDCT-47</t>
  </si>
  <si>
    <t>26529</t>
  </si>
  <si>
    <t>[QA] Test execution SUBSCRIPTION_PURCHASE_REPORT</t>
  </si>
  <si>
    <t>20/Jun/25 1:44 PM</t>
  </si>
  <si>
    <t>27/Jun/25 10:56 AM</t>
  </si>
  <si>
    <t>DEVRDCT-46</t>
  </si>
  <si>
    <t>26526</t>
  </si>
  <si>
    <t>26/Jun/25 1:55 PM</t>
  </si>
  <si>
    <t>DEVRDCT-45</t>
  </si>
  <si>
    <t>26523</t>
  </si>
  <si>
    <t>20/Jun/25 1:43 PM</t>
  </si>
  <si>
    <t>26/Jun/25 3:20 PM</t>
  </si>
  <si>
    <t>DEVRDCT-44</t>
  </si>
  <si>
    <t>26520</t>
  </si>
  <si>
    <t>26/Jun/25 3:17 PM</t>
  </si>
  <si>
    <t>DEVRDCT-43</t>
  </si>
  <si>
    <t>26517</t>
  </si>
  <si>
    <t>[QA] Test execution Feed Created User Properties</t>
  </si>
  <si>
    <t>20/Jun/25 1:42 PM</t>
  </si>
  <si>
    <t>27/Jun/25 10:08 AM</t>
  </si>
  <si>
    <t>DEVRDCT-42</t>
  </si>
  <si>
    <t>26514</t>
  </si>
  <si>
    <t>26/Jun/25 4:20 PM</t>
  </si>
  <si>
    <t>DEVRDCT-41</t>
  </si>
  <si>
    <t>26511</t>
  </si>
  <si>
    <t>20/Jun/25 1:41 PM</t>
  </si>
  <si>
    <t>01/Jul/25 4:00 PM</t>
  </si>
  <si>
    <t>DEVRDCT-40</t>
  </si>
  <si>
    <t>26508</t>
  </si>
  <si>
    <t>20/Jun/25 1:40 PM</t>
  </si>
  <si>
    <t>DEVRDCT-39</t>
  </si>
  <si>
    <t>26505</t>
  </si>
  <si>
    <t>20/Jun/25 1:39 PM</t>
  </si>
  <si>
    <t>26/Jun/25 3:07 PM</t>
  </si>
  <si>
    <t>DEVRDCT-38</t>
  </si>
  <si>
    <t>26502</t>
  </si>
  <si>
    <t>26/Jun/25 1:54 PM</t>
  </si>
  <si>
    <t>DEVRDCT-35</t>
  </si>
  <si>
    <t>25703</t>
  </si>
  <si>
    <t>20/Jun/25 10:41 AM</t>
  </si>
  <si>
    <t>01/Jul/25 1:44 PM</t>
  </si>
  <si>
    <t>DEVRDCT-34</t>
  </si>
  <si>
    <t>25699</t>
  </si>
  <si>
    <t>20/Jun/25 10:29 AM</t>
  </si>
  <si>
    <t>DEVRDCT-33</t>
  </si>
  <si>
    <t>25693</t>
  </si>
  <si>
    <t>Run the command to generate the payload before importing it into CleverTap.</t>
  </si>
  <si>
    <t>20/Jun/25 9:26 AM</t>
  </si>
  <si>
    <t>25/Jun/25 10:05 AM</t>
  </si>
  <si>
    <t>RDAPS-25</t>
  </si>
  <si>
    <t>25691</t>
  </si>
  <si>
    <t>[Dev][RD][SUB][Re-State] Request dev to re-state 6 BTS coupons for CRM case lot 19. 19/06/2025</t>
  </si>
  <si>
    <t>19/Jun/25 8:21 PM</t>
  </si>
  <si>
    <t>20/Jun/25 5:25 PM</t>
  </si>
  <si>
    <t>19/Jun/25 12:00 AM</t>
  </si>
  <si>
    <t>RDAPS-24</t>
  </si>
  <si>
    <t>25681</t>
  </si>
  <si>
    <t>Improve sync products stock process</t>
  </si>
  <si>
    <t>19/Jun/25 5:06 PM</t>
  </si>
  <si>
    <t>24/Jun/25 1:28 PM</t>
  </si>
  <si>
    <t>RDAPS-22</t>
  </si>
  <si>
    <t>25678</t>
  </si>
  <si>
    <t>[Redemption API] Change calculation logic for coupon_valid_until_at to Restate Process</t>
  </si>
  <si>
    <t>19/Jun/25 5:00 PM</t>
  </si>
  <si>
    <t>20/Jun/25 10:11 AM</t>
  </si>
  <si>
    <t>DEVRDCT-32</t>
  </si>
  <si>
    <t>25676</t>
  </si>
  <si>
    <t>[Dev][RD] Create API Spec</t>
  </si>
  <si>
    <t>19/Jun/25 3:56 PM</t>
  </si>
  <si>
    <t>27/Jun/25 10:40 AM</t>
  </si>
  <si>
    <t>RDLOA-4</t>
  </si>
  <si>
    <t>25674</t>
  </si>
  <si>
    <t>[Dev][RD] Create Line OA API Spec</t>
  </si>
  <si>
    <t>19/Jun/25 3:51 PM</t>
  </si>
  <si>
    <t>27/Jun/25 10:11 AM</t>
  </si>
  <si>
    <t>RDAPS-21</t>
  </si>
  <si>
    <t>25673</t>
  </si>
  <si>
    <t>[Dev][RD][SUB][Re-State] Request dev to re-state 14 BTS coupons for CRM case lot 18. 19/06/2025</t>
  </si>
  <si>
    <t>19/Jun/25 3:28 PM</t>
  </si>
  <si>
    <t>19/Jun/25 8:18 PM</t>
  </si>
  <si>
    <t>RDAPS-20</t>
  </si>
  <si>
    <t>25669</t>
  </si>
  <si>
    <t>Request to regen 3 cancel e-receipts due to an issue on RR back office where receipts can't be downloaded.</t>
  </si>
  <si>
    <t>19/Jun/25 3:17 PM</t>
  </si>
  <si>
    <t>20/Jun/25 3:13 PM</t>
  </si>
  <si>
    <t>RDAPS-19</t>
  </si>
  <si>
    <t>25660</t>
  </si>
  <si>
    <t>[Dev][RD][SUB][Re-State] Request dev to re-state 3 BTS coupons from using to redeem for CRM case lot 1 19/06/2025</t>
  </si>
  <si>
    <t>19/Jun/25 2:27 PM</t>
  </si>
  <si>
    <t>RDAPS-18</t>
  </si>
  <si>
    <t>25645</t>
  </si>
  <si>
    <t>19/Jun/25 9:32 AM</t>
  </si>
  <si>
    <t>19/Jun/25 11:24 AM</t>
  </si>
  <si>
    <t>DEVRDCT-31</t>
  </si>
  <si>
    <t>25632</t>
  </si>
  <si>
    <t>18/Jun/25 4:49 PM</t>
  </si>
  <si>
    <t>18/Jun/25 5:58 PM</t>
  </si>
  <si>
    <t>DEVRDCT-30</t>
  </si>
  <si>
    <t>25629</t>
  </si>
  <si>
    <t>[Dev][RD][Clever Tap] Retest - MEMBER COUPON</t>
  </si>
  <si>
    <t>18/Jun/25 4:33 PM</t>
  </si>
  <si>
    <t>23/Jun/25 4:23 PM</t>
  </si>
  <si>
    <t>DEVRDCT-29</t>
  </si>
  <si>
    <t>25628</t>
  </si>
  <si>
    <t>[Dev][RD][Clever Tap] Retest - SUBSCRIPTION MEMBER</t>
  </si>
  <si>
    <t>23/Jun/25 4:01 PM</t>
  </si>
  <si>
    <t>DEVRDCT-28</t>
  </si>
  <si>
    <t>25626</t>
  </si>
  <si>
    <t>[Dev][RD][Clever Tap] Retest - REDEEM</t>
  </si>
  <si>
    <t>DEVRDCT-27</t>
  </si>
  <si>
    <t>25625</t>
  </si>
  <si>
    <t>[Dev][RD][Clever Tap] Retest - CheckIn Event</t>
  </si>
  <si>
    <t>23/Jun/25 4:24 PM</t>
  </si>
  <si>
    <t>DEVRDCT-25</t>
  </si>
  <si>
    <t>25620</t>
  </si>
  <si>
    <t>[RD][CleverTab][Batch#1]Verify User Properties #1 data display on Clever Tab correctly</t>
  </si>
  <si>
    <t>18/Jun/25 3:43 PM</t>
  </si>
  <si>
    <t>27/Jun/25 10:34 AM</t>
  </si>
  <si>
    <t>DEVRDCT-24</t>
  </si>
  <si>
    <t>25619</t>
  </si>
  <si>
    <t>[Dev][RD][Clever Tap] Retest - SPENDING PARTNER</t>
  </si>
  <si>
    <t>18/Jun/25 3:41 PM</t>
  </si>
  <si>
    <t>RDAPS-16</t>
  </si>
  <si>
    <t>25607</t>
  </si>
  <si>
    <t>[Dev][RD][A920 Reconciliation Report] TD data timestamp on BSS Site, Some transaction got wrong timestamp</t>
  </si>
  <si>
    <t>18/Jun/25 2:00 PM</t>
  </si>
  <si>
    <t>18/Jun/25 12:00 AM</t>
  </si>
  <si>
    <t>DEVRDCT-23</t>
  </si>
  <si>
    <t>25561</t>
  </si>
  <si>
    <t>[Dev][RD][Clever Tap] Clear data user profile on PROD</t>
  </si>
  <si>
    <t>18/Jun/25 1:30 PM</t>
  </si>
  <si>
    <t>19/Jun/25 3:58 PM</t>
  </si>
  <si>
    <t>DEVRRBOF-42</t>
  </si>
  <si>
    <t>25560</t>
  </si>
  <si>
    <t>[TX][Dev][RD][RR Backoffice] Sprint1 - Staging</t>
  </si>
  <si>
    <t>18/Jun/25 1:12 PM</t>
  </si>
  <si>
    <t>26/Jun/25 5:19 PM</t>
  </si>
  <si>
    <t>DEVRRBOF-41</t>
  </si>
  <si>
    <t>25559</t>
  </si>
  <si>
    <t>[TP][Dev][RD][RR Backoffice] Sprint1</t>
  </si>
  <si>
    <t>18/Jun/25 1:07 PM</t>
  </si>
  <si>
    <t>30/Jun/25 3:12 PM</t>
  </si>
  <si>
    <t>RDAPS-15</t>
  </si>
  <si>
    <t>25545</t>
  </si>
  <si>
    <t>[Dev][RD][SUB][Re-State] Request dev to re-state 33 BTS coupons for CRM case lot 16 and 17. 18/06/2025</t>
  </si>
  <si>
    <t>18/Jun/25 11:35 AM</t>
  </si>
  <si>
    <t>19/Jun/25 2:31 PM</t>
  </si>
  <si>
    <t>RDAPS-11</t>
  </si>
  <si>
    <t>25538</t>
  </si>
  <si>
    <t>[Dev][RD][SUB][Offline RC card mark used fail after purchase. 16/07/2025]: Add retry logic when couponPackages is empty in confirm purchase flow</t>
  </si>
  <si>
    <t>18/Jun/25 10:52 AM</t>
  </si>
  <si>
    <t>DEVRRBOF-35</t>
  </si>
  <si>
    <t>25528</t>
  </si>
  <si>
    <t>[Order Consumer] Implement update payment description Omise and RGW</t>
  </si>
  <si>
    <t>18/Jun/25 10:03 AM</t>
  </si>
  <si>
    <t>18/Jun/25 5:39 PM</t>
  </si>
  <si>
    <t>RDAPS-10</t>
  </si>
  <si>
    <t>25525</t>
  </si>
  <si>
    <t>Enhance command</t>
  </si>
  <si>
    <t>18/Jun/25 1:57 AM</t>
  </si>
  <si>
    <t>18/Jun/25 10:56 AM</t>
  </si>
  <si>
    <t>RDAPS-9</t>
  </si>
  <si>
    <t>25522</t>
  </si>
  <si>
    <t>Run command generate at night</t>
  </si>
  <si>
    <t>18/Jun/25 9:18 AM</t>
  </si>
  <si>
    <t>RDTHANA-4</t>
  </si>
  <si>
    <t>25476</t>
  </si>
  <si>
    <t>[Dev][RD][Thana solution discussion]</t>
  </si>
  <si>
    <t>17/Jun/25 4:29 PM</t>
  </si>
  <si>
    <t>20/Jun/25 4:50 PM</t>
  </si>
  <si>
    <t>RDTHANA-3</t>
  </si>
  <si>
    <t>25475</t>
  </si>
  <si>
    <t>26/Jun/25 9:27 AM</t>
  </si>
  <si>
    <t>RDTHANA-2</t>
  </si>
  <si>
    <t>25474</t>
  </si>
  <si>
    <t>20/Jun/25 2:03 PM</t>
  </si>
  <si>
    <t>RDHOP-4</t>
  </si>
  <si>
    <t>25473</t>
  </si>
  <si>
    <t>[Dev][RD]: Discuss HOB Survey Concept</t>
  </si>
  <si>
    <t>17/Jun/25 4:25 PM</t>
  </si>
  <si>
    <t>RDHOP-3</t>
  </si>
  <si>
    <t>25472</t>
  </si>
  <si>
    <t>RDHOP-2</t>
  </si>
  <si>
    <t>25471</t>
  </si>
  <si>
    <t>DEVRDCT-22</t>
  </si>
  <si>
    <t>25462</t>
  </si>
  <si>
    <t>[S3][RD][Clever Tap][API] User properties data feeded does't match required fields</t>
  </si>
  <si>
    <t>17/Jun/25 3:29 PM</t>
  </si>
  <si>
    <t>22/Jun/25 5:09 PM</t>
  </si>
  <si>
    <t>RDAPS-6</t>
  </si>
  <si>
    <t>25387</t>
  </si>
  <si>
    <t>[Redemption Consumer] Change calculation logic for coupon_valid_until_at</t>
  </si>
  <si>
    <t>17/Jun/25 10:21 AM</t>
  </si>
  <si>
    <t>20/Jun/25 10:10 AM</t>
  </si>
  <si>
    <t>RDAPS-5</t>
  </si>
  <si>
    <t>25384</t>
  </si>
  <si>
    <t>[Order Consumer] Change calculation logic for package_valid_until_at</t>
  </si>
  <si>
    <t>DEVRDCT-21</t>
  </si>
  <si>
    <t>25382</t>
  </si>
  <si>
    <t>[Dev][RD][Clever Tap][Batch#1][Redemption] Feed Member Coupon to CleverTap Service for coupon update status</t>
  </si>
  <si>
    <t>17/Jun/25 9:29 AM</t>
  </si>
  <si>
    <t>30/Jun/25 1:19 PM</t>
  </si>
  <si>
    <t>RDAPS-4</t>
  </si>
  <si>
    <t>25348</t>
  </si>
  <si>
    <t>16/Jun/25 5:33 PM</t>
  </si>
  <si>
    <t>RDAPS-3</t>
  </si>
  <si>
    <t>25345</t>
  </si>
  <si>
    <t>17/Jun/25 11:07 AM</t>
  </si>
  <si>
    <t>DEVRRBOF-11</t>
  </si>
  <si>
    <t>25271</t>
  </si>
  <si>
    <t>16/Jun/25 2:47 PM</t>
  </si>
  <si>
    <t>20/Jun/25 5:45 PM</t>
  </si>
  <si>
    <t>DEVRRBOF-10</t>
  </si>
  <si>
    <t>25268</t>
  </si>
  <si>
    <t>16/Jun/25 2:46 PM</t>
  </si>
  <si>
    <t>17/Jun/25 3:10 PM</t>
  </si>
  <si>
    <t>DEVRRBOF-9</t>
  </si>
  <si>
    <t>25265</t>
  </si>
  <si>
    <t>DEVRRBOF-8</t>
  </si>
  <si>
    <t>25262</t>
  </si>
  <si>
    <t>20/Jun/25 3:22 PM</t>
  </si>
  <si>
    <t>DEVRRBOF-7</t>
  </si>
  <si>
    <t>25259</t>
  </si>
  <si>
    <t>24/Jun/25 3:52 PM</t>
  </si>
  <si>
    <t>DEVRRBOF-6</t>
  </si>
  <si>
    <t>25256</t>
  </si>
  <si>
    <t>16/Jun/25 2:45 PM</t>
  </si>
  <si>
    <t>18/Jun/25 11:14 AM</t>
  </si>
  <si>
    <t>RDAPS-2</t>
  </si>
  <si>
    <t>25254</t>
  </si>
  <si>
    <t>[Dev][RD][BU][Ad hoc]: Request to regenerate purchase receipt due to some receipts were mis-rendered. 13/06/2025</t>
  </si>
  <si>
    <t>16/Jun/25 2:41 PM</t>
  </si>
  <si>
    <t>RDAPS-1</t>
  </si>
  <si>
    <t>25253</t>
  </si>
  <si>
    <t>[Dev][RD][RR Backoffice][SUB]: Change on package validity calculation]</t>
  </si>
  <si>
    <t>16/Jun/25 2:40 PM</t>
  </si>
  <si>
    <t>DEVRDCT-20</t>
  </si>
  <si>
    <t>25245</t>
  </si>
  <si>
    <t>[Dev][RD][Clever Tap][Point Issue] Enhance flow to transform webhook request and issue point</t>
  </si>
  <si>
    <t>16/Jun/25 2:07 PM</t>
  </si>
  <si>
    <t>01/Jul/25 1:09 PM</t>
  </si>
  <si>
    <t>DEVRDCT-19</t>
  </si>
  <si>
    <t>25238</t>
  </si>
  <si>
    <t>[Dev][RD][Clever Tap][Webhook] Create endpoint support support webhook</t>
  </si>
  <si>
    <t>16/Jun/25 1:52 PM</t>
  </si>
  <si>
    <t>DEVRRBOF-5</t>
  </si>
  <si>
    <t>25204</t>
  </si>
  <si>
    <t>[Backoffice] Add "Back to Redeemed" button to UI Action button &amp; Info page</t>
  </si>
  <si>
    <t>13/Jun/25 1:55 PM</t>
  </si>
  <si>
    <t>18/Jun/25 4:02 PM</t>
  </si>
  <si>
    <t>DEVRRBOF-4</t>
  </si>
  <si>
    <t>25201</t>
  </si>
  <si>
    <t>[Redemption API] Support restate coupon back to redeemed status</t>
  </si>
  <si>
    <t>13/Jun/25 1:44 PM</t>
  </si>
  <si>
    <t>26/Jun/25 11:53 AM</t>
  </si>
  <si>
    <t>DEVRRBOF-3</t>
  </si>
  <si>
    <t>25195</t>
  </si>
  <si>
    <t>[Dev][RD][RR Backoffice][Payment Gateway description]</t>
  </si>
  <si>
    <t>13/Jun/25 11:52 AM</t>
  </si>
  <si>
    <t>27/Jun/25 5:32 AM</t>
  </si>
  <si>
    <t>DEVRDCT-15</t>
  </si>
  <si>
    <t>25163</t>
  </si>
  <si>
    <t>[Dev][RD][Clever Tap][Batch#1][Partner Loyalty] Initial User profile - partner binding</t>
  </si>
  <si>
    <t>13/Jun/25 4:21 AM</t>
  </si>
  <si>
    <t>27/Jun/25 9:25 AM</t>
  </si>
  <si>
    <t>DEVRDCT-14</t>
  </si>
  <si>
    <t>25162</t>
  </si>
  <si>
    <t>[Dev][RD][Clever Tap][Batch#1][SSO-USER] Feed User Properties to CleverTap Service</t>
  </si>
  <si>
    <t>13/Jun/25 2:43 AM</t>
  </si>
  <si>
    <t>DEVRDCT-13</t>
  </si>
  <si>
    <t>24156</t>
  </si>
  <si>
    <t>[Dev][RD][Clever Tap][Batch#1][Import Initial] User Properties #2</t>
  </si>
  <si>
    <t>11/Jun/25 1:41 PM</t>
  </si>
  <si>
    <t>30/Jun/25 12:05 PM</t>
  </si>
  <si>
    <t>DEVRDCT-12</t>
  </si>
  <si>
    <t>24154</t>
  </si>
  <si>
    <t>[Dev][RD][Clever Tap][Batch#1][Import Initial] Subscription member</t>
  </si>
  <si>
    <t>25/Jun/25 10:20 AM</t>
  </si>
  <si>
    <t>DEVRDCT-8</t>
  </si>
  <si>
    <t>24150</t>
  </si>
  <si>
    <t>[Dev][RD][Clever Tap][Batch#1][Import Initial] Redeem</t>
  </si>
  <si>
    <t>25/Jun/25 10:18 AM</t>
  </si>
  <si>
    <t>DEVRDCT-10</t>
  </si>
  <si>
    <t>24148</t>
  </si>
  <si>
    <t>[Dev][RD][Clever Tap][Batch#1][Import Initial] Spening partner</t>
  </si>
  <si>
    <t>27/Jun/25 10:38 AM</t>
  </si>
  <si>
    <t>DEVRDCT-9</t>
  </si>
  <si>
    <t>24146</t>
  </si>
  <si>
    <t>[Dev][RD][Clever Tap][Batch#1][Import Initial] Check-in</t>
  </si>
  <si>
    <t>26/Jun/25 11:46 PM</t>
  </si>
  <si>
    <t>DEVRDCT-7</t>
  </si>
  <si>
    <t>24144</t>
  </si>
  <si>
    <t>[Dev][RD][Clever Tap][Batch#1][Import Initial] User Properties #1</t>
  </si>
  <si>
    <t>11/Jun/25 1:39 PM</t>
  </si>
  <si>
    <t>19/Jun/25 3:20 PM</t>
  </si>
  <si>
    <t>DEVRDCT-6</t>
  </si>
  <si>
    <t>24142</t>
  </si>
  <si>
    <t>[Dev][RD][Clever Tap][Batch#1][SSO USER] Enhance initial user properties command support full data</t>
  </si>
  <si>
    <t>11/Jun/25 1:36 PM</t>
  </si>
  <si>
    <t>27/Jun/25 10:07 AM</t>
  </si>
  <si>
    <t>DEVRDCT-5</t>
  </si>
  <si>
    <t>24140</t>
  </si>
  <si>
    <t>[Dev][RD][Clever Tap][Batch#1][SSO MIMIR] Import Line OA data from DA</t>
  </si>
  <si>
    <t>11/Jun/25 1:35 PM</t>
  </si>
  <si>
    <t>DEVRDCT-4</t>
  </si>
  <si>
    <t>24138</t>
  </si>
  <si>
    <t>[Dev][RD][Clever Tap][Batch#1][Order API] Feed Subscription member to CleverTap Service</t>
  </si>
  <si>
    <t>DEVRDCT-1</t>
  </si>
  <si>
    <t>24136</t>
  </si>
  <si>
    <t>[Dev][RD][Clever Tap][Batch#1][Redemption] Feed Member Coupon to CleverTap Service</t>
  </si>
  <si>
    <t>11/Jun/25 1:34 PM</t>
  </si>
  <si>
    <t>03/Jul/25 1:23 PM</t>
  </si>
  <si>
    <t>DEVRDCT-2</t>
  </si>
  <si>
    <t>24134</t>
  </si>
  <si>
    <t>[Dev][RD][Clever Tap][Batch#1][Redemption] Feed Redeem event to CleverTap Service</t>
  </si>
  <si>
    <t>DEVRDCT-18</t>
  </si>
  <si>
    <t>24051</t>
  </si>
  <si>
    <t>[Dev][RD][Clever Tap][Batch#1][Order API] Publish CleverTap event : SUBSCRIPTION_PURCHASE_REPORT to rabbit MQ</t>
  </si>
  <si>
    <t>03/Jun/25 9:57 PM</t>
  </si>
  <si>
    <t>27/Jun/25 10:43 AM</t>
  </si>
  <si>
    <t>DEVRDCT-17</t>
  </si>
  <si>
    <t>24047</t>
  </si>
  <si>
    <t>[Dev][RD][Clever Tap][Batch#1][HR-Solution] Feed Checkin Event to CleverTap Service</t>
  </si>
  <si>
    <t>03/Jun/25 9:50 PM</t>
  </si>
  <si>
    <t>02/Jul/25 2:46 PM</t>
  </si>
  <si>
    <t>13/Jun/25 12:00 AM</t>
  </si>
  <si>
    <t>DEVRRBOF-2</t>
  </si>
  <si>
    <t>23949</t>
  </si>
  <si>
    <t>[Dev][RD]Add Delete button to delete coupon by transaction in action button &amp; info page</t>
  </si>
  <si>
    <t>26/May/25 7:29 PM</t>
  </si>
  <si>
    <t>DEVRRBOF-1</t>
  </si>
  <si>
    <t>23937</t>
  </si>
  <si>
    <t>[Dev][RD][RR Backoffice][Txn page]: Add Back to redeemed button to restate coupon in action buttion &amp; info page</t>
  </si>
  <si>
    <t>23/May/25 8:34 PM</t>
  </si>
  <si>
    <r>
      <rPr>
        <rFont val="Arial"/>
        <b/>
        <color theme="1"/>
      </rPr>
      <t xml:space="preserve">Resource Plan – Sprint 19 
</t>
    </r>
    <r>
      <rPr>
        <rFont val="Arial"/>
        <b/>
        <color rgb="FF6AA84F"/>
      </rPr>
      <t>23 Feb - 6 Mar</t>
    </r>
  </si>
  <si>
    <r>
      <rPr>
        <rFont val="Arial"/>
        <b/>
        <color theme="1"/>
      </rPr>
      <t xml:space="preserve">Resource Plan – Sprint 20
</t>
    </r>
    <r>
      <rPr>
        <rFont val="Arial"/>
        <b/>
        <color theme="7"/>
      </rPr>
      <t>9 Mar - 20 Mar</t>
    </r>
  </si>
  <si>
    <r>
      <rPr>
        <rFont val="Arial"/>
        <b/>
        <color theme="1"/>
      </rPr>
      <t xml:space="preserve">Resource Plan – Sprint 21
</t>
    </r>
    <r>
      <rPr>
        <rFont val="Arial"/>
        <b/>
        <color theme="7"/>
      </rPr>
      <t>23 Mar - 3 Apr</t>
    </r>
  </si>
  <si>
    <t>Thana &amp; Datamart</t>
  </si>
  <si>
    <r>
      <rPr>
        <rFont val="Arial"/>
        <b/>
        <color theme="1"/>
      </rPr>
      <t xml:space="preserve">Resource Plan – Sprint 22 </t>
    </r>
    <r>
      <rPr>
        <rFont val="Arial"/>
        <b/>
        <color rgb="FFFF0000"/>
      </rPr>
      <t xml:space="preserve">*Long weeked
</t>
    </r>
    <r>
      <rPr>
        <rFont val="Arial"/>
        <b/>
        <color theme="7"/>
      </rPr>
      <t>6 Apr - 17 Apr</t>
    </r>
  </si>
  <si>
    <r>
      <rPr>
        <rFont val="Arial"/>
        <b/>
        <color theme="1"/>
      </rPr>
      <t xml:space="preserve">Resource Plan – Sprint 23
</t>
    </r>
    <r>
      <rPr>
        <rFont val="Arial"/>
        <b/>
        <color theme="7"/>
      </rPr>
      <t>20 Apr - 1 May</t>
    </r>
  </si>
  <si>
    <r>
      <rPr>
        <rFont val="Arial"/>
        <b/>
        <color theme="1"/>
      </rPr>
      <t xml:space="preserve">Resource Plan – Sprint 24
</t>
    </r>
    <r>
      <rPr>
        <rFont val="Arial"/>
        <b/>
        <color theme="7"/>
      </rPr>
      <t>4 May - 15 May</t>
    </r>
  </si>
  <si>
    <r>
      <rPr>
        <rFont val="Arial"/>
        <b/>
        <color theme="1"/>
      </rPr>
      <t xml:space="preserve">Resource Plan – Sprint 25
</t>
    </r>
    <r>
      <rPr>
        <rFont val="Arial"/>
        <b/>
        <color theme="7"/>
      </rPr>
      <t>18 May - 29 May</t>
    </r>
  </si>
  <si>
    <t>Sprint #2 Task</t>
  </si>
  <si>
    <t>30 Jun - 11 Jul</t>
  </si>
  <si>
    <t>442(106 + 336)</t>
  </si>
  <si>
    <t>More</t>
  </si>
  <si>
    <t>Hour/day</t>
  </si>
  <si>
    <t>Day</t>
  </si>
  <si>
    <t>Total Dev Hour</t>
  </si>
  <si>
    <t>RDAPS-</t>
  </si>
  <si>
    <t>More ลาพักร้อน 20/6, First ลาป่ายครึ่งวัน 16/6</t>
  </si>
  <si>
    <t>ไปใน solution เส้นใหม่</t>
  </si>
  <si>
    <t xml:space="preserve">Mac 30 jun, P'A 4 Jul, </t>
  </si>
  <si>
    <r>
      <rPr>
        <rFont val="Arial"/>
        <color theme="1"/>
      </rPr>
      <t xml:space="preserve">Aom ลาป่วย, First ลาป่วย, A ลา, Aom ลาบ่าย, Aek ลาเช้า, </t>
    </r>
    <r>
      <rPr>
        <rFont val="Arial"/>
        <color rgb="FF0000FF"/>
      </rPr>
      <t>Mos ลา</t>
    </r>
  </si>
  <si>
    <t>29 Jul - 8 Aug</t>
  </si>
  <si>
    <t>Zan 2, P'Jack 2, Aek 1, Aom 0.5, Mai 0.5</t>
  </si>
  <si>
    <r>
      <rPr>
        <rFont val="Arial"/>
        <color theme="1"/>
      </rPr>
      <t xml:space="preserve">Zan 0.5, Aom, 1, Jack 1, A 0.5, </t>
    </r>
    <r>
      <rPr>
        <rFont val="Arial"/>
        <color rgb="FF0000FF"/>
      </rPr>
      <t>Mos 1</t>
    </r>
  </si>
  <si>
    <t>SA, Support, Adhoc, Meeting Manhour /Sprint</t>
  </si>
  <si>
    <t>1 Holiday (10 July อาสาฬห)</t>
  </si>
  <si>
    <t>Dev Manhour /Sprint</t>
  </si>
  <si>
    <t>Max Day</t>
  </si>
  <si>
    <t>Total Members</t>
  </si>
  <si>
    <t>RR Members</t>
  </si>
  <si>
    <t>BSS Members</t>
  </si>
  <si>
    <t>Project /Phase</t>
  </si>
  <si>
    <t>Detail</t>
  </si>
  <si>
    <t>Requested by</t>
  </si>
  <si>
    <t>Prioriize by PM/PO</t>
  </si>
  <si>
    <t>SA,Dev</t>
  </si>
  <si>
    <t>Dev Team</t>
  </si>
  <si>
    <t>QA Team</t>
  </si>
  <si>
    <t>Estimate Man-hour</t>
  </si>
  <si>
    <t>Clevertap</t>
  </si>
  <si>
    <t>Inprogress</t>
  </si>
  <si>
    <t>* requirment onboard 15 May</t>
  </si>
  <si>
    <t>RQ
15</t>
  </si>
  <si>
    <t xml:space="preserve">   🔶 Batch1</t>
  </si>
  <si>
    <t>initial data &amp; profile</t>
  </si>
  <si>
    <t>Develop (RD)</t>
  </si>
  <si>
    <t>🧑‍🦰Zan</t>
  </si>
  <si>
    <t>Based on data &amp; service:
🧑‍🦰Jack, 🧑‍🦰John / Clevertap Service
🧑‍🦰A /  SSO RR Profile#1, #2
🧑‍🦰Aek / PL,RLP  
🧑‍🦰More / HR Solution
🧑‍🦰Preaw, 🧑‍🦰First / Order, Redemption</t>
  </si>
  <si>
    <t>Review Document, Grooming</t>
  </si>
  <si>
    <t>1 week</t>
  </si>
  <si>
    <t>Test</t>
  </si>
  <si>
    <t>???</t>
  </si>
  <si>
    <t xml:space="preserve">Not start </t>
  </si>
  <si>
    <t xml:space="preserve">   🔶 Batch2 &amp; 3</t>
  </si>
  <si>
    <t xml:space="preserve">Events 
</t>
  </si>
  <si>
    <t xml:space="preserve">TBC on avail. resource next
🧑‍🦰Aek - PL, RLP
🧑‍🦰A, 🧑‍🦰Mai - SSO , Rabbit Connect
🧑‍🦰Preaw - CloudID
</t>
  </si>
  <si>
    <t>pre-estimate timeline (TBC after grooming) -&gt; have enough info. wait for priority
* Leaver: 3 Dev at 30 Jun</t>
  </si>
  <si>
    <t>XX?</t>
  </si>
  <si>
    <t>guesstimate</t>
  </si>
  <si>
    <t>Subscription</t>
  </si>
  <si>
    <t>1) Fixing &amp; Enhance</t>
  </si>
  <si>
    <t>🧑‍🦰Aom</t>
  </si>
  <si>
    <t>🧑‍🦰Preaw
🧑‍🦰First
🧑‍🦰Mai
🧑‍🦰Mac
🧑‍🦰Aom</t>
  </si>
  <si>
    <t>2) Send transaction to DA</t>
  </si>
  <si>
    <t>🧑‍🦰Preaw
🧑‍🦰First</t>
  </si>
  <si>
    <t>1)UAT 13/6 
2)RR to test &amp; verify
3)Deploy to Prod</t>
  </si>
  <si>
    <t>*Introduce Agile adoption</t>
  </si>
  <si>
    <t>Payment Gateway - Add purchase package description in transaction detail</t>
  </si>
  <si>
    <t>RR</t>
  </si>
  <si>
    <t>Chawin</t>
  </si>
  <si>
    <t>Jun 12: ยังไม่มี Jira project ให้เข้าไป Create task for Dev</t>
  </si>
  <si>
    <t>Guestimate</t>
  </si>
  <si>
    <r>
      <rPr>
        <rFont val="Arial"/>
        <color rgb="FF1155CC"/>
        <u/>
      </rPr>
      <t>https://app.clickup.com/t/7514825/ITPE-3710</t>
    </r>
    <r>
      <rPr>
        <rFont val="Arial"/>
      </rPr>
      <t xml:space="preserve"> [Restate]</t>
    </r>
  </si>
  <si>
    <t>🧑‍🦰Preaw
🧑‍🦰First
🧑‍🦰Mai
🧑‍🦰Mac
🧑‍🦰More</t>
  </si>
  <si>
    <r>
      <rPr>
        <rFont val="Arial"/>
        <color rgb="FF1155CC"/>
        <u/>
      </rPr>
      <t>https://app.clickup.com/t/7514825/ITPE-3710</t>
    </r>
    <r>
      <rPr>
        <rFont val="Arial"/>
      </rPr>
      <t xml:space="preserve"> [Delete coupon]</t>
    </r>
  </si>
  <si>
    <r>
      <rPr>
        <rFont val="Arial"/>
        <color rgb="FF1155CC"/>
        <u/>
      </rPr>
      <t>https://app.clickup.com/t/7514825/ITPE-3710</t>
    </r>
    <r>
      <rPr>
        <rFont val="Arial"/>
      </rPr>
      <t xml:space="preserve"> [Mark used]</t>
    </r>
  </si>
  <si>
    <r>
      <rPr>
        <rFont val="Arial"/>
        <color rgb="FF1155CC"/>
        <u/>
      </rPr>
      <t>https://app.clickup.com/t/7514825/ITPE-3710</t>
    </r>
    <r>
      <rPr>
        <rFont val="Arial"/>
      </rPr>
      <t xml:space="preserve"> [Form search and Excel] </t>
    </r>
  </si>
  <si>
    <r>
      <rPr>
        <rFont val="Arial"/>
        <color rgb="FF1155CC"/>
        <u/>
      </rPr>
      <t>https://app.clickup.com/t/7514825/ITPE-3710</t>
    </r>
    <r>
      <rPr>
        <rFont val="Arial"/>
      </rPr>
      <t xml:space="preserve"> [Replace Code]</t>
    </r>
  </si>
  <si>
    <r>
      <rPr>
        <rFont val="Arial"/>
        <color rgb="FF1155CC"/>
        <u/>
      </rPr>
      <t>https://app.clickup.com/t/7514825/ITPE-3710</t>
    </r>
    <r>
      <rPr>
        <rFont val="Arial"/>
      </rPr>
      <t xml:space="preserve"> [Refund]</t>
    </r>
  </si>
  <si>
    <r>
      <rPr>
        <rFont val="Arial"/>
        <color rgb="FF1155CC"/>
        <u/>
      </rPr>
      <t>https://app.clickup.com/t/7514825/ITPE-3710</t>
    </r>
    <r>
      <rPr>
        <rFont val="Arial"/>
      </rPr>
      <t xml:space="preserve"> [Hold]</t>
    </r>
  </si>
  <si>
    <r>
      <rPr>
        <rFont val="Arial"/>
        <b/>
        <color rgb="FFFF0000"/>
      </rPr>
      <t xml:space="preserve">*Important but not urgent
</t>
    </r>
    <r>
      <rPr>
        <rFont val="Arial"/>
        <color theme="1"/>
      </rPr>
      <t>4) Performance tuning
- optimize query for each report
- index</t>
    </r>
  </si>
  <si>
    <t>Dev</t>
  </si>
  <si>
    <t>🧑‍🦰Preaw
🧑‍🦰Aom</t>
  </si>
  <si>
    <r>
      <rPr>
        <strike/>
        <color rgb="FF999999"/>
      </rPr>
      <t xml:space="preserve">5) </t>
    </r>
    <r>
      <rPr>
        <strike/>
        <color rgb="FF999999"/>
      </rPr>
      <t>Improve Subcategory Backoffice</t>
    </r>
  </si>
  <si>
    <t>🧑‍🦰 TBC with RR on priority</t>
  </si>
  <si>
    <t>RR Cancelled on 11/6</t>
  </si>
  <si>
    <r>
      <rPr>
        <strike/>
        <color rgb="FF999999"/>
      </rPr>
      <t xml:space="preserve">6) </t>
    </r>
    <r>
      <rPr>
        <strike/>
        <color rgb="FF999999"/>
      </rPr>
      <t>BTS Coupon using status</t>
    </r>
  </si>
  <si>
    <t>Develop</t>
  </si>
  <si>
    <t>RR Cancelled on 10/6</t>
  </si>
  <si>
    <t>7) Implement Automatic Cart Clearance</t>
  </si>
  <si>
    <t xml:space="preserve">TBC with RR </t>
  </si>
  <si>
    <t>RR &amp; LINE OA Integration</t>
  </si>
  <si>
    <t>Estimate Time</t>
  </si>
  <si>
    <t>🧑‍🦰Aek</t>
  </si>
  <si>
    <t>Requirement: 23/5
Estimate time by : 9/6</t>
  </si>
  <si>
    <t>🧑‍🦰 TBC - After Estimated &amp; Sprint Plan</t>
  </si>
  <si>
    <t>After Estimated &amp; Sprint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</si>
</sst>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m"/>
    <numFmt numFmtId="165" formatCode="mmmm d"/>
    <numFmt numFmtId="166" formatCode="&quot;$&quot;#,##0.00"/>
    <numFmt numFmtId="167" formatCode="&quot;$&quot;#,##0"/>
    <numFmt numFmtId="168" formatCode="d mmm"/>
    <numFmt numFmtId="169" formatCode="yyyy&quot;-&quot;mm&quot;-&quot;dd"/>
  </numFmts>
  <fonts count="41">
    <font>
      <sz val="10.0"/>
      <color rgb="FF000000"/>
      <name val="Arial"/>
      <scheme val="minor"/>
    </font>
    <font>
      <b/>
      <sz val="26.0"/>
      <color rgb="FF1E4E79"/>
      <name val="Arial"/>
    </font>
    <font>
      <b/>
      <sz val="18.0"/>
      <color rgb="FF2E75B5"/>
      <name val="Arial"/>
    </font>
    <font>
      <b/>
      <sz val="10.0"/>
      <color rgb="FF2E75B5"/>
      <name val="Arial"/>
    </font>
    <font/>
    <font>
      <color theme="1"/>
      <name val="Arial"/>
      <scheme val="minor"/>
    </font>
    <font>
      <b/>
      <sz val="10.0"/>
      <color theme="1"/>
      <name val="Arial"/>
    </font>
    <font>
      <b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color theme="1"/>
      <name val="Arial"/>
    </font>
    <font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7.0"/>
      <color theme="1"/>
      <name val="Arial"/>
    </font>
    <font>
      <sz val="10.0"/>
      <color theme="1"/>
      <name val="Arial"/>
    </font>
    <font>
      <sz val="12.0"/>
      <color theme="1"/>
      <name val="Corbel"/>
    </font>
    <font>
      <u/>
      <sz val="9.0"/>
      <color rgb="FF0000FF"/>
      <name val="Arial"/>
    </font>
    <font>
      <u/>
      <sz val="9.0"/>
      <color rgb="FF0000FF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b/>
      <color rgb="FFFF0000"/>
      <name val="Arial"/>
      <scheme val="minor"/>
    </font>
    <font>
      <u/>
      <color rgb="FF0000FF"/>
    </font>
    <font>
      <color rgb="FF000000"/>
      <name val="Arial"/>
      <scheme val="minor"/>
    </font>
    <font>
      <color rgb="FFB7B7B7"/>
      <name val="Arial"/>
      <scheme val="minor"/>
    </font>
    <font>
      <u/>
      <color rgb="FF0000FF"/>
    </font>
    <font>
      <u/>
      <color rgb="FF0000FF"/>
      <name val="Roboto"/>
    </font>
    <font>
      <sz val="12.0"/>
      <color rgb="FF292A2E"/>
      <name val="Arial"/>
    </font>
    <font>
      <sz val="12.0"/>
      <color theme="1"/>
      <name val="Arial"/>
    </font>
    <font>
      <u/>
      <sz val="12.0"/>
      <color rgb="FF434343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b/>
      <color rgb="FFFFFFFF"/>
      <name val="Arial"/>
      <scheme val="minor"/>
    </font>
    <font>
      <b/>
      <sz val="14.0"/>
      <color rgb="FFC03278"/>
      <name val="Arial"/>
      <scheme val="minor"/>
    </font>
    <font>
      <sz val="11.0"/>
      <color rgb="FF000000"/>
      <name val="Arial"/>
    </font>
    <font>
      <color rgb="FFFF0000"/>
      <name val="Arial"/>
      <scheme val="minor"/>
    </font>
    <font>
      <color rgb="FF999999"/>
      <name val="Arial"/>
      <scheme val="minor"/>
    </font>
    <font>
      <sz val="8.0"/>
      <color rgb="FF999999"/>
      <name val="Arial"/>
      <scheme val="minor"/>
    </font>
    <font>
      <u/>
      <color rgb="FF0000FF"/>
      <name val="Arial"/>
    </font>
    <font>
      <strike/>
      <color rgb="FF999999"/>
      <name val="Arial"/>
      <scheme val="minor"/>
    </font>
    <font>
      <strike/>
      <color rgb="FF999999"/>
    </font>
  </fonts>
  <fills count="3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2E75B5"/>
        <bgColor rgb="FF2E75B5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6F8F9"/>
        <bgColor rgb="FFF6F8F9"/>
      </patternFill>
    </fill>
    <fill>
      <patternFill patternType="solid">
        <fgColor rgb="FFBDD7EE"/>
        <bgColor rgb="FFBDD7EE"/>
      </patternFill>
    </fill>
    <fill>
      <patternFill patternType="solid">
        <fgColor rgb="FFF3F3F3"/>
        <bgColor rgb="FFF3F3F3"/>
      </patternFill>
    </fill>
    <fill>
      <patternFill patternType="solid">
        <fgColor rgb="FF667E9C"/>
        <bgColor rgb="FF667E9C"/>
      </patternFill>
    </fill>
    <fill>
      <patternFill patternType="solid">
        <fgColor rgb="FFB7B7B7"/>
        <bgColor rgb="FFB7B7B7"/>
      </patternFill>
    </fill>
    <fill>
      <patternFill patternType="solid">
        <fgColor rgb="FFA28557"/>
        <bgColor rgb="FFA28557"/>
      </patternFill>
    </fill>
    <fill>
      <patternFill patternType="solid">
        <fgColor rgb="FFBB6F6F"/>
        <bgColor rgb="FFBB6F6F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</fills>
  <borders count="2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bottom style="medium">
        <color rgb="FFB7B7B7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9A9A9A"/>
      </left>
      <right style="thin">
        <color rgb="FF9A9A9A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9A9A9A"/>
      </left>
    </border>
    <border>
      <right style="thin">
        <color rgb="FF9A9A9A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1" fillId="3" fontId="6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2" fillId="4" fontId="7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10" fillId="4" fontId="7" numFmtId="0" xfId="0" applyAlignment="1" applyBorder="1" applyFont="1">
      <alignment horizontal="center" readingOrder="0" vertical="center"/>
    </xf>
    <xf borderId="11" fillId="0" fontId="4" numFmtId="0" xfId="0" applyBorder="1" applyFont="1"/>
    <xf borderId="1" fillId="5" fontId="8" numFmtId="49" xfId="0" applyAlignment="1" applyBorder="1" applyFill="1" applyFont="1" applyNumberFormat="1">
      <alignment horizontal="center" readingOrder="0" vertical="center"/>
    </xf>
    <xf borderId="1" fillId="3" fontId="9" numFmtId="0" xfId="0" applyAlignment="1" applyBorder="1" applyFont="1">
      <alignment horizontal="left" readingOrder="0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9" numFmtId="9" xfId="0" applyAlignment="1" applyBorder="1" applyFont="1" applyNumberFormat="1">
      <alignment horizontal="center" vertical="center"/>
    </xf>
    <xf borderId="1" fillId="3" fontId="9" numFmtId="9" xfId="0" applyAlignment="1" applyBorder="1" applyFont="1" applyNumberFormat="1">
      <alignment horizontal="left" vertical="center"/>
    </xf>
    <xf borderId="2" fillId="6" fontId="10" numFmtId="0" xfId="0" applyAlignment="1" applyBorder="1" applyFill="1" applyFont="1">
      <alignment horizontal="center" readingOrder="0"/>
    </xf>
    <xf borderId="4" fillId="6" fontId="10" numFmtId="0" xfId="0" applyAlignment="1" applyBorder="1" applyFont="1">
      <alignment horizontal="center" readingOrder="0"/>
    </xf>
    <xf borderId="7" fillId="0" fontId="4" numFmtId="0" xfId="0" applyBorder="1" applyFont="1"/>
    <xf borderId="1" fillId="0" fontId="11" numFmtId="0" xfId="0" applyAlignment="1" applyBorder="1" applyFont="1">
      <alignment vertical="center"/>
    </xf>
    <xf borderId="1" fillId="5" fontId="11" numFmtId="49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3" numFmtId="9" xfId="0" applyAlignment="1" applyBorder="1" applyFont="1" applyNumberFormat="1">
      <alignment horizontal="center" readingOrder="0" vertical="center"/>
    </xf>
    <xf borderId="1" fillId="0" fontId="8" numFmtId="1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left" readingOrder="0" shrinkToFit="0" vertical="center" wrapText="1"/>
    </xf>
    <xf borderId="1" fillId="7" fontId="15" numFmtId="0" xfId="0" applyBorder="1" applyFill="1" applyFont="1"/>
    <xf borderId="1" fillId="2" fontId="16" numFmtId="1" xfId="0" applyAlignment="1" applyBorder="1" applyFont="1" applyNumberFormat="1">
      <alignment vertical="bottom"/>
    </xf>
    <xf borderId="1" fillId="8" fontId="16" numFmtId="1" xfId="0" applyAlignment="1" applyBorder="1" applyFill="1" applyFont="1" applyNumberFormat="1">
      <alignment vertical="bottom"/>
    </xf>
    <xf borderId="1" fillId="9" fontId="15" numFmtId="0" xfId="0" applyBorder="1" applyFill="1" applyFont="1"/>
    <xf borderId="1" fillId="10" fontId="16" numFmtId="1" xfId="0" applyAlignment="1" applyBorder="1" applyFill="1" applyFont="1" applyNumberFormat="1">
      <alignment vertical="bottom"/>
    </xf>
    <xf borderId="1" fillId="11" fontId="16" numFmtId="1" xfId="0" applyAlignment="1" applyBorder="1" applyFill="1" applyFont="1" applyNumberFormat="1">
      <alignment vertical="bottom"/>
    </xf>
    <xf borderId="1" fillId="12" fontId="15" numFmtId="0" xfId="0" applyBorder="1" applyFill="1" applyFont="1"/>
    <xf borderId="1" fillId="9" fontId="16" numFmtId="1" xfId="0" applyAlignment="1" applyBorder="1" applyFont="1" applyNumberFormat="1">
      <alignment vertical="bottom"/>
    </xf>
    <xf borderId="1" fillId="13" fontId="16" numFmtId="1" xfId="0" applyAlignment="1" applyBorder="1" applyFill="1" applyFont="1" applyNumberFormat="1">
      <alignment vertical="bottom"/>
    </xf>
    <xf borderId="1" fillId="4" fontId="16" numFmtId="1" xfId="0" applyAlignment="1" applyBorder="1" applyFont="1" applyNumberFormat="1">
      <alignment vertical="bottom"/>
    </xf>
    <xf borderId="2" fillId="2" fontId="16" numFmtId="1" xfId="0" applyAlignment="1" applyBorder="1" applyFont="1" applyNumberFormat="1">
      <alignment vertical="bottom"/>
    </xf>
    <xf borderId="2" fillId="14" fontId="16" numFmtId="1" xfId="0" applyAlignment="1" applyBorder="1" applyFill="1" applyFont="1" applyNumberFormat="1">
      <alignment vertical="bottom"/>
    </xf>
    <xf borderId="1" fillId="14" fontId="16" numFmtId="1" xfId="0" applyAlignment="1" applyBorder="1" applyFont="1" applyNumberFormat="1">
      <alignment vertical="bottom"/>
    </xf>
    <xf borderId="2" fillId="7" fontId="15" numFmtId="0" xfId="0" applyBorder="1" applyFont="1"/>
    <xf borderId="3" fillId="7" fontId="15" numFmtId="0" xfId="0" applyBorder="1" applyFont="1"/>
    <xf borderId="4" fillId="2" fontId="16" numFmtId="1" xfId="0" applyAlignment="1" applyBorder="1" applyFont="1" applyNumberFormat="1">
      <alignment vertical="bottom"/>
    </xf>
    <xf borderId="3" fillId="8" fontId="16" numFmtId="1" xfId="0" applyAlignment="1" applyBorder="1" applyFont="1" applyNumberFormat="1">
      <alignment vertical="bottom"/>
    </xf>
    <xf borderId="4" fillId="8" fontId="16" numFmtId="1" xfId="0" applyAlignment="1" applyBorder="1" applyFont="1" applyNumberFormat="1">
      <alignment vertical="bottom"/>
    </xf>
    <xf borderId="12" fillId="8" fontId="16" numFmtId="1" xfId="0" applyAlignment="1" applyBorder="1" applyFont="1" applyNumberFormat="1">
      <alignment vertical="bottom"/>
    </xf>
    <xf borderId="13" fillId="8" fontId="16" numFmtId="1" xfId="0" applyAlignment="1" applyBorder="1" applyFont="1" applyNumberFormat="1">
      <alignment vertical="bottom"/>
    </xf>
    <xf borderId="5" fillId="9" fontId="15" numFmtId="0" xfId="0" applyBorder="1" applyFont="1"/>
    <xf borderId="1" fillId="0" fontId="8" numFmtId="1" xfId="0" applyAlignment="1" applyBorder="1" applyFont="1" applyNumberFormat="1">
      <alignment horizontal="left" readingOrder="0" vertical="center"/>
    </xf>
    <xf borderId="3" fillId="4" fontId="16" numFmtId="1" xfId="0" applyAlignment="1" applyBorder="1" applyFont="1" applyNumberFormat="1">
      <alignment vertical="bottom"/>
    </xf>
    <xf borderId="4" fillId="4" fontId="16" numFmtId="1" xfId="0" applyAlignment="1" applyBorder="1" applyFont="1" applyNumberFormat="1">
      <alignment vertical="bottom"/>
    </xf>
    <xf borderId="2" fillId="4" fontId="16" numFmtId="1" xfId="0" applyAlignment="1" applyBorder="1" applyFont="1" applyNumberFormat="1">
      <alignment vertical="bottom"/>
    </xf>
    <xf borderId="12" fillId="4" fontId="16" numFmtId="1" xfId="0" applyAlignment="1" applyBorder="1" applyFont="1" applyNumberFormat="1">
      <alignment vertical="bottom"/>
    </xf>
    <xf borderId="13" fillId="4" fontId="16" numFmtId="1" xfId="0" applyAlignment="1" applyBorder="1" applyFont="1" applyNumberFormat="1">
      <alignment vertical="bottom"/>
    </xf>
    <xf borderId="1" fillId="0" fontId="17" numFmtId="1" xfId="0" applyAlignment="1" applyBorder="1" applyFont="1" applyNumberFormat="1">
      <alignment horizontal="center" readingOrder="0" vertical="center"/>
    </xf>
    <xf borderId="3" fillId="14" fontId="16" numFmtId="1" xfId="0" applyAlignment="1" applyBorder="1" applyFont="1" applyNumberFormat="1">
      <alignment vertical="bottom"/>
    </xf>
    <xf borderId="9" fillId="4" fontId="16" numFmtId="1" xfId="0" applyAlignment="1" applyBorder="1" applyFont="1" applyNumberFormat="1">
      <alignment vertical="bottom"/>
    </xf>
    <xf borderId="2" fillId="14" fontId="16" numFmtId="1" xfId="0" applyAlignment="1" applyBorder="1" applyFont="1" applyNumberFormat="1">
      <alignment readingOrder="0" vertical="bottom"/>
    </xf>
    <xf borderId="1" fillId="15" fontId="16" numFmtId="1" xfId="0" applyAlignment="1" applyBorder="1" applyFill="1" applyFont="1" applyNumberFormat="1">
      <alignment vertical="bottom"/>
    </xf>
    <xf borderId="2" fillId="16" fontId="15" numFmtId="0" xfId="0" applyBorder="1" applyFill="1" applyFont="1"/>
    <xf borderId="1" fillId="4" fontId="16" numFmtId="1" xfId="0" applyAlignment="1" applyBorder="1" applyFont="1" applyNumberFormat="1">
      <alignment readingOrder="0" vertical="bottom"/>
    </xf>
    <xf borderId="1" fillId="0" fontId="18" numFmtId="1" xfId="0" applyAlignment="1" applyBorder="1" applyFont="1" applyNumberFormat="1">
      <alignment horizontal="left" readingOrder="0" shrinkToFit="0" vertical="center" wrapText="1"/>
    </xf>
    <xf borderId="2" fillId="16" fontId="15" numFmtId="0" xfId="0" applyAlignment="1" applyBorder="1" applyFont="1">
      <alignment readingOrder="0"/>
    </xf>
    <xf borderId="5" fillId="16" fontId="16" numFmtId="1" xfId="0" applyAlignment="1" applyBorder="1" applyFont="1" applyNumberFormat="1">
      <alignment vertical="bottom"/>
    </xf>
    <xf borderId="2" fillId="16" fontId="16" numFmtId="1" xfId="0" applyAlignment="1" applyBorder="1" applyFont="1" applyNumberFormat="1">
      <alignment readingOrder="0" vertical="bottom"/>
    </xf>
    <xf borderId="1" fillId="0" fontId="8" numFmtId="1" xfId="0" applyAlignment="1" applyBorder="1" applyFont="1" applyNumberFormat="1">
      <alignment horizontal="left" readingOrder="0" shrinkToFit="0" vertical="center" wrapText="1"/>
    </xf>
    <xf borderId="1" fillId="16" fontId="16" numFmtId="1" xfId="0" applyAlignment="1" applyBorder="1" applyFont="1" applyNumberFormat="1">
      <alignment vertical="bottom"/>
    </xf>
    <xf borderId="1" fillId="0" fontId="14" numFmtId="1" xfId="0" applyAlignment="1" applyBorder="1" applyFont="1" applyNumberFormat="1">
      <alignment horizontal="left" readingOrder="0" vertical="center"/>
    </xf>
    <xf borderId="1" fillId="16" fontId="15" numFmtId="0" xfId="0" applyBorder="1" applyFont="1"/>
    <xf borderId="1" fillId="2" fontId="11" numFmtId="1" xfId="0" applyAlignment="1" applyBorder="1" applyFont="1" applyNumberFormat="1">
      <alignment vertical="bottom"/>
    </xf>
    <xf borderId="2" fillId="2" fontId="11" numFmtId="1" xfId="0" applyAlignment="1" applyBorder="1" applyFont="1" applyNumberFormat="1">
      <alignment vertical="bottom"/>
    </xf>
    <xf borderId="14" fillId="4" fontId="16" numFmtId="1" xfId="0" applyAlignment="1" applyBorder="1" applyFont="1" applyNumberFormat="1">
      <alignment vertical="bottom"/>
    </xf>
    <xf borderId="15" fillId="2" fontId="16" numFmtId="1" xfId="0" applyAlignment="1" applyBorder="1" applyFont="1" applyNumberFormat="1">
      <alignment vertical="bottom"/>
    </xf>
    <xf borderId="16" fillId="2" fontId="16" numFmtId="1" xfId="0" applyAlignment="1" applyBorder="1" applyFont="1" applyNumberFormat="1">
      <alignment vertical="bottom"/>
    </xf>
    <xf borderId="17" fillId="0" fontId="19" numFmtId="0" xfId="0" applyAlignment="1" applyBorder="1" applyFont="1">
      <alignment readingOrder="0"/>
    </xf>
    <xf borderId="0" fillId="0" fontId="19" numFmtId="0" xfId="0" applyAlignment="1" applyFont="1">
      <alignment horizontal="right"/>
    </xf>
    <xf borderId="0" fillId="0" fontId="19" numFmtId="0" xfId="0" applyFont="1"/>
    <xf borderId="17" fillId="17" fontId="5" numFmtId="0" xfId="0" applyAlignment="1" applyBorder="1" applyFill="1" applyFont="1">
      <alignment readingOrder="0"/>
    </xf>
    <xf borderId="17" fillId="2" fontId="5" numFmtId="0" xfId="0" applyAlignment="1" applyBorder="1" applyFont="1">
      <alignment horizontal="right" readingOrder="0"/>
    </xf>
    <xf borderId="17" fillId="14" fontId="5" numFmtId="0" xfId="0" applyAlignment="1" applyBorder="1" applyFont="1">
      <alignment horizontal="right" readingOrder="0"/>
    </xf>
    <xf borderId="17" fillId="8" fontId="5" numFmtId="0" xfId="0" applyAlignment="1" applyBorder="1" applyFont="1">
      <alignment horizontal="right" readingOrder="0"/>
    </xf>
    <xf borderId="17" fillId="10" fontId="5" numFmtId="0" xfId="0" applyAlignment="1" applyBorder="1" applyFont="1">
      <alignment horizontal="right" readingOrder="0"/>
    </xf>
    <xf borderId="17" fillId="18" fontId="5" numFmtId="0" xfId="0" applyAlignment="1" applyBorder="1" applyFill="1" applyFont="1">
      <alignment horizontal="right" readingOrder="0"/>
    </xf>
    <xf borderId="17" fillId="17" fontId="5" numFmtId="0" xfId="0" applyAlignment="1" applyBorder="1" applyFont="1">
      <alignment horizontal="right" readingOrder="0"/>
    </xf>
    <xf borderId="0" fillId="17" fontId="5" numFmtId="0" xfId="0" applyAlignment="1" applyFont="1">
      <alignment readingOrder="0"/>
    </xf>
    <xf borderId="17" fillId="0" fontId="5" numFmtId="0" xfId="0" applyAlignment="1" applyBorder="1" applyFont="1">
      <alignment horizontal="right" readingOrder="0"/>
    </xf>
    <xf borderId="17" fillId="0" fontId="5" numFmtId="0" xfId="0" applyAlignment="1" applyBorder="1" applyFont="1">
      <alignment horizontal="right"/>
    </xf>
    <xf borderId="17" fillId="0" fontId="5" numFmtId="0" xfId="0" applyBorder="1" applyFont="1"/>
    <xf borderId="0" fillId="0" fontId="11" numFmtId="0" xfId="0" applyAlignment="1" applyFont="1">
      <alignment readingOrder="0" vertical="bottom"/>
    </xf>
    <xf borderId="17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7" fillId="19" fontId="5" numFmtId="0" xfId="0" applyAlignment="1" applyBorder="1" applyFill="1" applyFont="1">
      <alignment horizontal="right" readingOrder="0"/>
    </xf>
    <xf borderId="17" fillId="19" fontId="5" numFmtId="0" xfId="0" applyAlignment="1" applyBorder="1" applyFont="1">
      <alignment horizontal="right"/>
    </xf>
    <xf borderId="0" fillId="0" fontId="11" numFmtId="0" xfId="0" applyAlignment="1" applyFont="1">
      <alignment vertical="bottom"/>
    </xf>
    <xf borderId="17" fillId="20" fontId="5" numFmtId="0" xfId="0" applyAlignment="1" applyBorder="1" applyFill="1" applyFont="1">
      <alignment readingOrder="0"/>
    </xf>
    <xf borderId="17" fillId="0" fontId="11" numFmtId="0" xfId="0" applyAlignment="1" applyBorder="1" applyFont="1">
      <alignment horizontal="right" readingOrder="0" vertical="bottom"/>
    </xf>
    <xf borderId="17" fillId="0" fontId="11" numFmtId="0" xfId="0" applyAlignment="1" applyBorder="1" applyFont="1">
      <alignment horizontal="right" vertical="bottom"/>
    </xf>
    <xf borderId="17" fillId="0" fontId="11" numFmtId="0" xfId="0" applyAlignment="1" applyBorder="1" applyFont="1">
      <alignment vertical="bottom"/>
    </xf>
    <xf borderId="17" fillId="0" fontId="11" numFmtId="0" xfId="0" applyAlignment="1" applyBorder="1" applyFont="1">
      <alignment readingOrder="0" vertical="bottom"/>
    </xf>
    <xf borderId="17" fillId="0" fontId="11" numFmtId="0" xfId="0" applyAlignment="1" applyBorder="1" applyFont="1">
      <alignment vertical="bottom"/>
    </xf>
    <xf borderId="17" fillId="0" fontId="11" numFmtId="0" xfId="0" applyAlignment="1" applyBorder="1" applyFont="1">
      <alignment horizontal="right" vertical="bottom"/>
    </xf>
    <xf borderId="17" fillId="0" fontId="11" numFmtId="164" xfId="0" applyAlignment="1" applyBorder="1" applyFont="1" applyNumberFormat="1">
      <alignment horizontal="right" vertical="bottom"/>
    </xf>
    <xf borderId="17" fillId="0" fontId="20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17" fillId="2" fontId="11" numFmtId="0" xfId="0" applyAlignment="1" applyBorder="1" applyFont="1">
      <alignment readingOrder="0" vertical="bottom"/>
    </xf>
    <xf borderId="17" fillId="2" fontId="11" numFmtId="0" xfId="0" applyAlignment="1" applyBorder="1" applyFont="1">
      <alignment horizontal="right" readingOrder="0" vertical="bottom"/>
    </xf>
    <xf borderId="17" fillId="2" fontId="11" numFmtId="0" xfId="0" applyAlignment="1" applyBorder="1" applyFont="1">
      <alignment horizontal="right" vertical="bottom"/>
    </xf>
    <xf borderId="17" fillId="2" fontId="11" numFmtId="0" xfId="0" applyAlignment="1" applyBorder="1" applyFont="1">
      <alignment vertical="bottom"/>
    </xf>
    <xf borderId="17" fillId="2" fontId="5" numFmtId="0" xfId="0" applyAlignment="1" applyBorder="1" applyFont="1">
      <alignment horizontal="right"/>
    </xf>
    <xf borderId="0" fillId="2" fontId="5" numFmtId="0" xfId="0" applyFont="1"/>
    <xf borderId="17" fillId="2" fontId="11" numFmtId="0" xfId="0" applyAlignment="1" applyBorder="1" applyFont="1">
      <alignment vertical="bottom"/>
    </xf>
    <xf borderId="17" fillId="2" fontId="5" numFmtId="0" xfId="0" applyAlignment="1" applyBorder="1" applyFont="1">
      <alignment readingOrder="0"/>
    </xf>
    <xf borderId="17" fillId="2" fontId="11" numFmtId="0" xfId="0" applyAlignment="1" applyBorder="1" applyFont="1">
      <alignment horizontal="right" vertical="bottom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right" readingOrder="0"/>
    </xf>
    <xf borderId="17" fillId="20" fontId="19" numFmtId="0" xfId="0" applyAlignment="1" applyBorder="1" applyFont="1">
      <alignment readingOrder="0"/>
    </xf>
    <xf borderId="17" fillId="14" fontId="19" numFmtId="0" xfId="0" applyAlignment="1" applyBorder="1" applyFont="1">
      <alignment horizontal="center" readingOrder="0"/>
    </xf>
    <xf borderId="17" fillId="0" fontId="19" numFmtId="0" xfId="0" applyAlignment="1" applyBorder="1" applyFont="1">
      <alignment horizontal="center" readingOrder="0"/>
    </xf>
    <xf borderId="0" fillId="20" fontId="19" numFmtId="0" xfId="0" applyFont="1"/>
    <xf borderId="17" fillId="0" fontId="21" numFmtId="0" xfId="0" applyAlignment="1" applyBorder="1" applyFont="1">
      <alignment readingOrder="0"/>
    </xf>
    <xf borderId="0" fillId="0" fontId="21" numFmtId="0" xfId="0" applyFont="1"/>
    <xf borderId="0" fillId="20" fontId="19" numFmtId="0" xfId="0" applyAlignment="1" applyFont="1">
      <alignment readingOrder="0"/>
    </xf>
    <xf borderId="17" fillId="0" fontId="19" numFmtId="0" xfId="0" applyBorder="1" applyFont="1"/>
    <xf borderId="17" fillId="2" fontId="19" numFmtId="0" xfId="0" applyAlignment="1" applyBorder="1" applyFont="1">
      <alignment readingOrder="0"/>
    </xf>
    <xf borderId="0" fillId="2" fontId="19" numFmtId="0" xfId="0" applyAlignment="1" applyFont="1">
      <alignment readingOrder="0"/>
    </xf>
    <xf borderId="18" fillId="0" fontId="19" numFmtId="0" xfId="0" applyAlignment="1" applyBorder="1" applyFont="1">
      <alignment horizontal="center" readingOrder="0" vertical="top"/>
    </xf>
    <xf borderId="19" fillId="0" fontId="19" numFmtId="0" xfId="0" applyAlignment="1" applyBorder="1" applyFont="1">
      <alignment horizontal="center" readingOrder="0" vertical="top"/>
    </xf>
    <xf borderId="18" fillId="10" fontId="19" numFmtId="0" xfId="0" applyAlignment="1" applyBorder="1" applyFont="1">
      <alignment horizontal="center" readingOrder="0" vertical="top"/>
    </xf>
    <xf borderId="17" fillId="0" fontId="5" numFmtId="0" xfId="0" applyAlignment="1" applyBorder="1" applyFont="1">
      <alignment readingOrder="0" vertical="top"/>
    </xf>
    <xf borderId="17" fillId="0" fontId="11" numFmtId="0" xfId="0" applyAlignment="1" applyBorder="1" applyFont="1">
      <alignment horizontal="right" vertical="top"/>
    </xf>
    <xf borderId="17" fillId="0" fontId="11" numFmtId="0" xfId="0" applyAlignment="1" applyBorder="1" applyFont="1">
      <alignment horizontal="right" vertical="top"/>
    </xf>
    <xf borderId="17" fillId="10" fontId="5" numFmtId="0" xfId="0" applyAlignment="1" applyBorder="1" applyFont="1">
      <alignment readingOrder="0" vertical="top"/>
    </xf>
    <xf borderId="17" fillId="20" fontId="19" numFmtId="0" xfId="0" applyBorder="1" applyFont="1"/>
    <xf borderId="17" fillId="20" fontId="19" numFmtId="0" xfId="0" applyAlignment="1" applyBorder="1" applyFont="1">
      <alignment readingOrder="0" vertical="top"/>
    </xf>
    <xf borderId="17" fillId="20" fontId="10" numFmtId="0" xfId="0" applyAlignment="1" applyBorder="1" applyFont="1">
      <alignment horizontal="right" vertical="top"/>
    </xf>
    <xf borderId="17" fillId="20" fontId="10" numFmtId="0" xfId="0" applyAlignment="1" applyBorder="1" applyFont="1">
      <alignment horizontal="right" vertical="top"/>
    </xf>
    <xf borderId="17" fillId="10" fontId="19" numFmtId="0" xfId="0" applyBorder="1" applyFont="1"/>
    <xf borderId="0" fillId="0" fontId="19" numFmtId="0" xfId="0" applyAlignment="1" applyFont="1">
      <alignment horizontal="center" readingOrder="0"/>
    </xf>
    <xf borderId="20" fillId="14" fontId="19" numFmtId="0" xfId="0" applyAlignment="1" applyBorder="1" applyFont="1">
      <alignment horizontal="center" readingOrder="0"/>
    </xf>
    <xf borderId="0" fillId="0" fontId="21" numFmtId="0" xfId="0" applyAlignment="1" applyFont="1">
      <alignment readingOrder="0"/>
    </xf>
    <xf borderId="17" fillId="0" fontId="19" numFmtId="0" xfId="0" applyAlignment="1" applyBorder="1" applyFont="1">
      <alignment horizontal="center" readingOrder="0" vertical="top"/>
    </xf>
    <xf borderId="17" fillId="9" fontId="19" numFmtId="0" xfId="0" applyAlignment="1" applyBorder="1" applyFont="1">
      <alignment horizontal="center" readingOrder="0"/>
    </xf>
    <xf borderId="17" fillId="11" fontId="19" numFmtId="0" xfId="0" applyAlignment="1" applyBorder="1" applyFont="1">
      <alignment horizontal="center" readingOrder="0"/>
    </xf>
    <xf borderId="21" fillId="14" fontId="19" numFmtId="0" xfId="0" applyAlignment="1" applyBorder="1" applyFont="1">
      <alignment horizontal="center" readingOrder="0" vertical="top"/>
    </xf>
    <xf borderId="17" fillId="10" fontId="19" numFmtId="0" xfId="0" applyAlignment="1" applyBorder="1" applyFont="1">
      <alignment horizontal="center" readingOrder="0" vertical="top"/>
    </xf>
    <xf borderId="17" fillId="14" fontId="5" numFmtId="0" xfId="0" applyAlignment="1" applyBorder="1" applyFont="1">
      <alignment readingOrder="0" vertical="top"/>
    </xf>
    <xf borderId="17" fillId="14" fontId="5" numFmtId="0" xfId="0" applyAlignment="1" applyBorder="1" applyFont="1">
      <alignment readingOrder="0"/>
    </xf>
    <xf borderId="17" fillId="21" fontId="5" numFmtId="0" xfId="0" applyAlignment="1" applyBorder="1" applyFill="1" applyFont="1">
      <alignment readingOrder="0" vertical="top"/>
    </xf>
    <xf borderId="17" fillId="14" fontId="19" numFmtId="0" xfId="0" applyAlignment="1" applyBorder="1" applyFont="1">
      <alignment readingOrder="0"/>
    </xf>
    <xf borderId="17" fillId="10" fontId="19" numFmtId="0" xfId="0" applyAlignment="1" applyBorder="1" applyFont="1">
      <alignment readingOrder="0" vertical="top"/>
    </xf>
    <xf borderId="17" fillId="11" fontId="5" numFmtId="0" xfId="0" applyAlignment="1" applyBorder="1" applyFont="1">
      <alignment readingOrder="0" vertical="top"/>
    </xf>
    <xf borderId="17" fillId="11" fontId="5" numFmtId="0" xfId="0" applyAlignment="1" applyBorder="1" applyFont="1">
      <alignment readingOrder="0"/>
    </xf>
    <xf borderId="17" fillId="11" fontId="19" numFmtId="0" xfId="0" applyBorder="1" applyFont="1"/>
    <xf borderId="17" fillId="17" fontId="19" numFmtId="0" xfId="0" applyBorder="1" applyFont="1"/>
    <xf borderId="22" fillId="0" fontId="19" numFmtId="0" xfId="0" applyAlignment="1" applyBorder="1" applyFont="1">
      <alignment horizontal="center" readingOrder="0" vertical="top"/>
    </xf>
    <xf borderId="0" fillId="0" fontId="11" numFmtId="0" xfId="0" applyAlignment="1" applyFont="1">
      <alignment horizontal="right" vertical="bottom"/>
    </xf>
    <xf borderId="17" fillId="14" fontId="5" numFmtId="0" xfId="0" applyBorder="1" applyFont="1"/>
    <xf borderId="17" fillId="11" fontId="5" numFmtId="0" xfId="0" applyBorder="1" applyFont="1"/>
    <xf borderId="17" fillId="11" fontId="5" numFmtId="0" xfId="0" applyAlignment="1" applyBorder="1" applyFont="1">
      <alignment vertical="top"/>
    </xf>
    <xf borderId="17" fillId="17" fontId="5" numFmtId="0" xfId="0" applyAlignment="1" applyBorder="1" applyFont="1">
      <alignment readingOrder="0" vertical="top"/>
    </xf>
    <xf borderId="0" fillId="0" fontId="19" numFmtId="0" xfId="0" applyAlignment="1" applyFont="1">
      <alignment horizontal="center" readingOrder="0" vertical="top"/>
    </xf>
    <xf borderId="0" fillId="14" fontId="19" numFmtId="0" xfId="0" applyAlignment="1" applyFont="1">
      <alignment horizontal="center" readingOrder="0" vertical="top"/>
    </xf>
    <xf borderId="0" fillId="10" fontId="19" numFmtId="0" xfId="0" applyAlignment="1" applyFont="1">
      <alignment horizontal="center" readingOrder="0" vertical="top"/>
    </xf>
    <xf borderId="0" fillId="0" fontId="5" numFmtId="0" xfId="0" applyAlignment="1" applyFont="1">
      <alignment readingOrder="0" vertical="top"/>
    </xf>
    <xf borderId="0" fillId="2" fontId="19" numFmtId="0" xfId="0" applyAlignment="1" applyFont="1">
      <alignment horizontal="center" readingOrder="0"/>
    </xf>
    <xf borderId="0" fillId="11" fontId="19" numFmtId="0" xfId="0" applyAlignment="1" applyFont="1">
      <alignment readingOrder="0"/>
    </xf>
    <xf borderId="0" fillId="14" fontId="19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0" fillId="2" fontId="22" numFmtId="0" xfId="0" applyAlignment="1" applyFont="1">
      <alignment horizontal="center" readingOrder="0"/>
    </xf>
    <xf borderId="0" fillId="0" fontId="5" numFmtId="166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0" fontId="5" numFmtId="167" xfId="0" applyAlignment="1" applyFont="1" applyNumberFormat="1">
      <alignment readingOrder="0"/>
    </xf>
    <xf borderId="0" fillId="0" fontId="23" numFmtId="166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1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2" fontId="5" numFmtId="0" xfId="0" applyAlignment="1" applyFont="1">
      <alignment horizontal="center"/>
    </xf>
    <xf borderId="0" fillId="2" fontId="5" numFmtId="4" xfId="0" applyFont="1" applyNumberFormat="1"/>
    <xf borderId="0" fillId="22" fontId="5" numFmtId="0" xfId="0" applyAlignment="1" applyFill="1" applyFont="1">
      <alignment readingOrder="0"/>
    </xf>
    <xf borderId="0" fillId="22" fontId="5" numFmtId="0" xfId="0" applyAlignment="1" applyFont="1">
      <alignment horizontal="center"/>
    </xf>
    <xf borderId="0" fillId="22" fontId="5" numFmtId="0" xfId="0" applyFont="1"/>
    <xf borderId="0" fillId="0" fontId="5" numFmtId="4" xfId="0" applyAlignment="1" applyFont="1" applyNumberFormat="1">
      <alignment horizontal="center"/>
    </xf>
    <xf borderId="0" fillId="0" fontId="5" numFmtId="4" xfId="0" applyAlignment="1" applyFont="1" applyNumberFormat="1">
      <alignment horizontal="center" readingOrder="0"/>
    </xf>
    <xf borderId="0" fillId="0" fontId="5" numFmtId="9" xfId="0" applyAlignment="1" applyFont="1" applyNumberFormat="1">
      <alignment horizontal="center" readingOrder="0"/>
    </xf>
    <xf borderId="0" fillId="17" fontId="5" numFmtId="0" xfId="0" applyAlignment="1" applyFont="1">
      <alignment horizontal="center" readingOrder="0"/>
    </xf>
    <xf borderId="0" fillId="17" fontId="5" numFmtId="166" xfId="0" applyAlignment="1" applyFont="1" applyNumberFormat="1">
      <alignment readingOrder="0"/>
    </xf>
    <xf borderId="0" fillId="17" fontId="5" numFmtId="4" xfId="0" applyAlignment="1" applyFont="1" applyNumberFormat="1">
      <alignment readingOrder="0"/>
    </xf>
    <xf borderId="0" fillId="17" fontId="5" numFmtId="0" xfId="0" applyFont="1"/>
    <xf borderId="0" fillId="0" fontId="5" numFmtId="4" xfId="0" applyFont="1" applyNumberFormat="1"/>
    <xf borderId="0" fillId="0" fontId="5" numFmtId="4" xfId="0" applyAlignment="1" applyFont="1" applyNumberFormat="1">
      <alignment readingOrder="0"/>
    </xf>
    <xf borderId="0" fillId="8" fontId="5" numFmtId="0" xfId="0" applyAlignment="1" applyFont="1">
      <alignment horizontal="center" readingOrder="0"/>
    </xf>
    <xf borderId="0" fillId="20" fontId="5" numFmtId="0" xfId="0" applyAlignment="1" applyFont="1">
      <alignment readingOrder="0"/>
    </xf>
    <xf borderId="0" fillId="20" fontId="5" numFmtId="167" xfId="0" applyAlignment="1" applyFont="1" applyNumberForma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9" numFmtId="0" xfId="0" applyAlignment="1" applyFont="1">
      <alignment horizontal="right"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19" fontId="27" numFmtId="0" xfId="0" applyAlignment="1" applyFont="1">
      <alignment readingOrder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shrinkToFit="0" vertical="center" wrapText="0"/>
    </xf>
    <xf borderId="0" fillId="19" fontId="15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readingOrder="0" vertical="center"/>
    </xf>
    <xf borderId="0" fillId="0" fontId="19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quotePrefix="1" borderId="0" fillId="0" fontId="5" numFmtId="0" xfId="0" applyAlignment="1" applyFont="1">
      <alignment readingOrder="0"/>
    </xf>
    <xf borderId="0" fillId="0" fontId="5" numFmtId="0" xfId="0" applyFont="1"/>
    <xf borderId="0" fillId="0" fontId="5" numFmtId="3" xfId="0" applyAlignment="1" applyFont="1" applyNumberFormat="1">
      <alignment readingOrder="0"/>
    </xf>
    <xf borderId="17" fillId="0" fontId="5" numFmtId="0" xfId="0" applyAlignment="1" applyBorder="1" applyFont="1">
      <alignment vertical="center"/>
    </xf>
    <xf borderId="20" fillId="23" fontId="19" numFmtId="0" xfId="0" applyAlignment="1" applyBorder="1" applyFill="1" applyFont="1">
      <alignment horizontal="center" readingOrder="0" vertical="center"/>
    </xf>
    <xf borderId="23" fillId="0" fontId="4" numFmtId="0" xfId="0" applyBorder="1" applyFont="1"/>
    <xf borderId="24" fillId="0" fontId="4" numFmtId="0" xfId="0" applyBorder="1" applyFont="1"/>
    <xf borderId="20" fillId="14" fontId="19" numFmtId="0" xfId="0" applyAlignment="1" applyBorder="1" applyFont="1">
      <alignment horizontal="center" readingOrder="0" vertical="center"/>
    </xf>
    <xf borderId="17" fillId="24" fontId="19" numFmtId="0" xfId="0" applyAlignment="1" applyBorder="1" applyFill="1" applyFont="1">
      <alignment horizontal="center" readingOrder="0" vertical="center"/>
    </xf>
    <xf borderId="23" fillId="25" fontId="19" numFmtId="0" xfId="0" applyAlignment="1" applyBorder="1" applyFill="1" applyFont="1">
      <alignment horizontal="center" readingOrder="0" vertical="center"/>
    </xf>
    <xf borderId="17" fillId="2" fontId="19" numFmtId="0" xfId="0" applyAlignment="1" applyBorder="1" applyFont="1">
      <alignment readingOrder="0" vertical="center"/>
    </xf>
    <xf borderId="17" fillId="0" fontId="19" numFmtId="0" xfId="0" applyAlignment="1" applyBorder="1" applyFont="1">
      <alignment horizontal="center" readingOrder="0" vertical="center"/>
    </xf>
    <xf borderId="17" fillId="10" fontId="5" numFmtId="0" xfId="0" applyAlignment="1" applyBorder="1" applyFont="1">
      <alignment readingOrder="0"/>
    </xf>
    <xf borderId="20" fillId="26" fontId="19" numFmtId="0" xfId="0" applyAlignment="1" applyBorder="1" applyFill="1" applyFont="1">
      <alignment horizontal="center" readingOrder="0" vertical="center"/>
    </xf>
    <xf borderId="17" fillId="0" fontId="19" numFmtId="0" xfId="0" applyAlignment="1" applyBorder="1" applyFont="1">
      <alignment readingOrder="0" vertical="center"/>
    </xf>
    <xf borderId="0" fillId="0" fontId="5" numFmtId="0" xfId="0" applyFont="1"/>
    <xf borderId="0" fillId="19" fontId="28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17" fillId="21" fontId="5" numFmtId="0" xfId="0" applyAlignment="1" applyBorder="1" applyFont="1">
      <alignment horizontal="right" readingOrder="0"/>
    </xf>
    <xf borderId="17" fillId="21" fontId="5" numFmtId="0" xfId="0" applyAlignment="1" applyBorder="1" applyFont="1">
      <alignment readingOrder="0"/>
    </xf>
    <xf borderId="0" fillId="19" fontId="29" numFmtId="0" xfId="0" applyAlignment="1" applyFont="1">
      <alignment horizontal="left" readingOrder="0" shrinkToFit="0" vertical="center" wrapText="0"/>
    </xf>
    <xf borderId="0" fillId="27" fontId="30" numFmtId="0" xfId="0" applyAlignment="1" applyFill="1" applyFont="1">
      <alignment horizontal="left" readingOrder="0" shrinkToFit="0" vertical="center" wrapText="0"/>
    </xf>
    <xf borderId="0" fillId="19" fontId="28" numFmtId="0" xfId="0" applyAlignment="1" applyFont="1">
      <alignment horizontal="left" readingOrder="0" shrinkToFit="0" vertical="center" wrapText="0"/>
    </xf>
    <xf borderId="0" fillId="19" fontId="31" numFmtId="0" xfId="0" applyAlignment="1" applyFont="1">
      <alignment horizontal="left" readingOrder="0" shrinkToFit="0" vertical="center" wrapText="0"/>
    </xf>
    <xf borderId="0" fillId="14" fontId="19" numFmtId="0" xfId="0" applyAlignment="1" applyFont="1">
      <alignment horizontal="center" readingOrder="0"/>
    </xf>
    <xf borderId="25" fillId="0" fontId="19" numFmtId="0" xfId="0" applyAlignment="1" applyBorder="1" applyFont="1">
      <alignment horizontal="center" readingOrder="0" vertical="top"/>
    </xf>
    <xf borderId="26" fillId="0" fontId="5" numFmtId="0" xfId="0" applyAlignment="1" applyBorder="1" applyFont="1">
      <alignment readingOrder="0" vertical="top"/>
    </xf>
    <xf borderId="17" fillId="28" fontId="21" numFmtId="0" xfId="0" applyAlignment="1" applyBorder="1" applyFill="1" applyFont="1">
      <alignment readingOrder="0"/>
    </xf>
    <xf borderId="25" fillId="29" fontId="19" numFmtId="0" xfId="0" applyAlignment="1" applyBorder="1" applyFill="1" applyFont="1">
      <alignment horizontal="center" readingOrder="0" vertical="top"/>
    </xf>
    <xf borderId="26" fillId="29" fontId="19" numFmtId="0" xfId="0" applyAlignment="1" applyBorder="1" applyFont="1">
      <alignment horizontal="center" readingOrder="0" vertical="top"/>
    </xf>
    <xf borderId="19" fillId="29" fontId="19" numFmtId="0" xfId="0" applyAlignment="1" applyBorder="1" applyFont="1">
      <alignment horizontal="center" readingOrder="0" vertical="top"/>
    </xf>
    <xf borderId="18" fillId="29" fontId="19" numFmtId="0" xfId="0" applyAlignment="1" applyBorder="1" applyFont="1">
      <alignment horizontal="center" readingOrder="0" vertical="top"/>
    </xf>
    <xf borderId="17" fillId="29" fontId="19" numFmtId="0" xfId="0" applyAlignment="1" applyBorder="1" applyFont="1">
      <alignment horizontal="center" readingOrder="0" vertical="top"/>
    </xf>
    <xf borderId="17" fillId="20" fontId="5" numFmtId="0" xfId="0" applyBorder="1" applyFont="1"/>
    <xf borderId="26" fillId="0" fontId="19" numFmtId="0" xfId="0" applyAlignment="1" applyBorder="1" applyFont="1">
      <alignment horizontal="center" readingOrder="0" vertical="top"/>
    </xf>
    <xf borderId="26" fillId="0" fontId="5" numFmtId="9" xfId="0" applyAlignment="1" applyBorder="1" applyFont="1" applyNumberFormat="1">
      <alignment readingOrder="0" vertical="top"/>
    </xf>
    <xf borderId="17" fillId="20" fontId="5" numFmtId="0" xfId="0" applyAlignment="1" applyBorder="1" applyFont="1">
      <alignment horizontal="right" readingOrder="0"/>
    </xf>
    <xf borderId="17" fillId="0" fontId="19" numFmtId="168" xfId="0" applyAlignment="1" applyBorder="1" applyFont="1" applyNumberFormat="1">
      <alignment readingOrder="0"/>
    </xf>
    <xf borderId="17" fillId="0" fontId="19" numFmtId="0" xfId="0" applyAlignment="1" applyBorder="1" applyFont="1">
      <alignment horizontal="right"/>
    </xf>
    <xf borderId="17" fillId="0" fontId="5" numFmtId="168" xfId="0" applyAlignment="1" applyBorder="1" applyFont="1" applyNumberFormat="1">
      <alignment readingOrder="0"/>
    </xf>
    <xf borderId="17" fillId="0" fontId="5" numFmtId="164" xfId="0" applyAlignment="1" applyBorder="1" applyFont="1" applyNumberFormat="1">
      <alignment readingOrder="0"/>
    </xf>
    <xf borderId="0" fillId="0" fontId="5" numFmtId="164" xfId="0" applyAlignment="1" applyFont="1" applyNumberFormat="1">
      <alignment readingOrder="0"/>
    </xf>
    <xf borderId="17" fillId="0" fontId="19" numFmtId="168" xfId="0" applyAlignment="1" applyBorder="1" applyFont="1" applyNumberFormat="1">
      <alignment horizontal="right" readingOrder="0"/>
    </xf>
    <xf borderId="17" fillId="0" fontId="5" numFmtId="168" xfId="0" applyAlignment="1" applyBorder="1" applyFont="1" applyNumberFormat="1">
      <alignment horizontal="right" readingOrder="0"/>
    </xf>
    <xf borderId="17" fillId="0" fontId="5" numFmtId="164" xfId="0" applyAlignment="1" applyBorder="1" applyFont="1" applyNumberFormat="1">
      <alignment horizontal="right" readingOrder="0"/>
    </xf>
    <xf borderId="17" fillId="0" fontId="19" numFmtId="0" xfId="0" applyAlignment="1" applyBorder="1" applyFont="1">
      <alignment horizontal="right" readingOrder="0"/>
    </xf>
    <xf borderId="0" fillId="0" fontId="5" numFmtId="169" xfId="0" applyAlignment="1" applyFont="1" applyNumberFormat="1">
      <alignment readingOrder="0"/>
    </xf>
    <xf borderId="0" fillId="30" fontId="32" numFmtId="0" xfId="0" applyAlignment="1" applyFill="1" applyFont="1">
      <alignment horizontal="left" readingOrder="0" shrinkToFit="0" vertical="top" wrapText="1"/>
    </xf>
    <xf borderId="0" fillId="31" fontId="21" numFmtId="0" xfId="0" applyAlignment="1" applyFill="1" applyFont="1">
      <alignment horizontal="left" readingOrder="0" shrinkToFit="0" vertical="top" wrapText="1"/>
    </xf>
    <xf borderId="0" fillId="32" fontId="32" numFmtId="0" xfId="0" applyAlignment="1" applyFill="1" applyFont="1">
      <alignment horizontal="left" readingOrder="0" shrinkToFit="0" vertical="top" wrapText="1"/>
    </xf>
    <xf borderId="0" fillId="32" fontId="32" numFmtId="0" xfId="0" applyAlignment="1" applyFont="1">
      <alignment horizontal="left" readingOrder="0" shrinkToFit="0" vertical="top" wrapText="1"/>
    </xf>
    <xf borderId="0" fillId="33" fontId="32" numFmtId="0" xfId="0" applyAlignment="1" applyFill="1" applyFont="1">
      <alignment horizontal="left" readingOrder="0" shrinkToFit="0" vertical="top" wrapText="1"/>
    </xf>
    <xf borderId="0" fillId="34" fontId="32" numFmtId="0" xfId="0" applyAlignment="1" applyFill="1" applyFont="1">
      <alignment horizontal="center" readingOrder="0" shrinkToFit="0" vertical="top" wrapText="0"/>
    </xf>
    <xf borderId="0" fillId="34" fontId="32" numFmtId="0" xfId="0" applyAlignment="1" applyFont="1">
      <alignment horizontal="center" readingOrder="0" shrinkToFit="0" vertical="top" wrapText="0"/>
    </xf>
    <xf borderId="0" fillId="18" fontId="32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vertical="top"/>
    </xf>
    <xf borderId="0" fillId="0" fontId="33" numFmtId="0" xfId="0" applyAlignment="1" applyFont="1">
      <alignment readingOrder="0" shrinkToFit="0" vertical="top" wrapText="0"/>
    </xf>
    <xf borderId="0" fillId="0" fontId="5" numFmtId="49" xfId="0" applyAlignment="1" applyFont="1" applyNumberFormat="1">
      <alignment readingOrder="0" shrinkToFit="0" vertical="top" wrapText="1"/>
    </xf>
    <xf borderId="0" fillId="0" fontId="5" numFmtId="49" xfId="0" applyAlignment="1" applyFont="1" applyNumberForma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readingOrder="0" shrinkToFit="0" vertical="top" wrapText="0"/>
    </xf>
    <xf borderId="0" fillId="35" fontId="5" numFmtId="0" xfId="0" applyAlignment="1" applyFill="1" applyFont="1">
      <alignment readingOrder="0" shrinkToFit="0" vertical="top" wrapText="0"/>
    </xf>
    <xf borderId="0" fillId="0" fontId="5" numFmtId="49" xfId="0" applyAlignment="1" applyFont="1" applyNumberFormat="1">
      <alignment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4" numFmtId="49" xfId="0" applyAlignment="1" applyFont="1" applyNumberFormat="1">
      <alignment readingOrder="0" shrinkToFit="0" vertical="top" wrapText="1"/>
    </xf>
    <xf borderId="0" fillId="36" fontId="5" numFmtId="0" xfId="0" applyAlignment="1" applyFill="1" applyFont="1">
      <alignment readingOrder="0" shrinkToFit="0" vertical="top" wrapText="0"/>
    </xf>
    <xf borderId="0" fillId="37" fontId="5" numFmtId="0" xfId="0" applyAlignment="1" applyFill="1" applyFont="1">
      <alignment readingOrder="0" shrinkToFit="0" vertical="top" wrapText="0"/>
    </xf>
    <xf borderId="0" fillId="37" fontId="5" numFmtId="49" xfId="0" applyAlignment="1" applyFont="1" applyNumberFormat="1">
      <alignment shrinkToFit="0" vertical="top" wrapText="0"/>
    </xf>
    <xf borderId="0" fillId="37" fontId="5" numFmtId="0" xfId="0" applyAlignment="1" applyFont="1">
      <alignment shrinkToFit="0" vertical="top" wrapText="0"/>
    </xf>
    <xf borderId="0" fillId="0" fontId="35" numFmtId="0" xfId="0" applyAlignment="1" applyFont="1">
      <alignment readingOrder="0" shrinkToFit="0" vertical="top" wrapText="0"/>
    </xf>
    <xf borderId="0" fillId="0" fontId="35" numFmtId="49" xfId="0" applyAlignment="1" applyFont="1" applyNumberFormat="1">
      <alignment readingOrder="0" shrinkToFit="0" vertical="top" wrapText="1"/>
    </xf>
    <xf borderId="0" fillId="0" fontId="35" numFmtId="0" xfId="0" applyAlignment="1" applyFont="1">
      <alignment readingOrder="0" shrinkToFit="0" vertical="top" wrapText="1"/>
    </xf>
    <xf borderId="0" fillId="17" fontId="5" numFmtId="0" xfId="0" applyAlignment="1" applyFont="1">
      <alignment readingOrder="0" shrinkToFit="0" vertical="top" wrapText="0"/>
    </xf>
    <xf borderId="0" fillId="17" fontId="5" numFmtId="49" xfId="0" applyAlignment="1" applyFont="1" applyNumberFormat="1">
      <alignment readingOrder="0" shrinkToFit="0" vertical="top" wrapText="1"/>
    </xf>
    <xf borderId="0" fillId="17" fontId="5" numFmtId="49" xfId="0" applyAlignment="1" applyFont="1" applyNumberFormat="1">
      <alignment readingOrder="0" shrinkToFit="0" vertical="top" wrapText="0"/>
    </xf>
    <xf borderId="0" fillId="17" fontId="5" numFmtId="0" xfId="0" applyAlignment="1" applyFont="1">
      <alignment readingOrder="0" shrinkToFit="0" vertical="top" wrapText="0"/>
    </xf>
    <xf borderId="0" fillId="17" fontId="5" numFmtId="0" xfId="0" applyAlignment="1" applyFont="1">
      <alignment readingOrder="0" shrinkToFit="0" vertical="top" wrapText="1"/>
    </xf>
    <xf borderId="0" fillId="17" fontId="5" numFmtId="0" xfId="0" applyAlignment="1" applyFont="1">
      <alignment horizontal="center" shrinkToFit="0" vertical="top" wrapText="0"/>
    </xf>
    <xf borderId="0" fillId="17" fontId="5" numFmtId="0" xfId="0" applyAlignment="1" applyFont="1">
      <alignment shrinkToFit="0" vertical="top" wrapText="0"/>
    </xf>
    <xf borderId="0" fillId="17" fontId="5" numFmtId="0" xfId="0" applyAlignment="1" applyFont="1">
      <alignment vertical="top"/>
    </xf>
    <xf borderId="0" fillId="17" fontId="5" numFmtId="0" xfId="0" applyAlignment="1" applyFont="1">
      <alignment readingOrder="0" shrinkToFit="0" vertical="top" wrapText="0"/>
    </xf>
    <xf borderId="0" fillId="17" fontId="5" numFmtId="49" xfId="0" applyAlignment="1" applyFont="1" applyNumberFormat="1">
      <alignment shrinkToFit="0" vertical="top" wrapText="0"/>
    </xf>
    <xf borderId="0" fillId="0" fontId="33" numFmtId="0" xfId="0" applyAlignment="1" applyFont="1">
      <alignment readingOrder="0"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1"/>
    </xf>
    <xf borderId="0" fillId="36" fontId="5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49" xfId="0" applyAlignment="1" applyFont="1" applyNumberFormat="1">
      <alignment readingOrder="0" shrinkToFit="0" vertical="top" wrapText="1"/>
    </xf>
    <xf borderId="0" fillId="0" fontId="36" numFmtId="0" xfId="0" applyAlignment="1" applyFont="1">
      <alignment readingOrder="0" shrinkToFit="0" vertical="top" wrapText="0"/>
    </xf>
    <xf borderId="0" fillId="0" fontId="11" numFmtId="49" xfId="0" applyAlignment="1" applyFont="1" applyNumberFormat="1">
      <alignment readingOrder="0" vertical="bottom"/>
    </xf>
    <xf borderId="0" fillId="0" fontId="37" numFmtId="0" xfId="0" applyAlignment="1" applyFont="1">
      <alignment readingOrder="0" shrinkToFit="0" vertical="top" wrapText="1"/>
    </xf>
    <xf borderId="0" fillId="0" fontId="5" numFmtId="0" xfId="0" applyAlignment="1" applyFont="1">
      <alignment horizontal="right" readingOrder="0" vertical="top"/>
    </xf>
    <xf borderId="0" fillId="0" fontId="38" numFmtId="49" xfId="0" applyAlignment="1" applyFont="1" applyNumberFormat="1">
      <alignment vertical="bottom"/>
    </xf>
    <xf borderId="0" fillId="0" fontId="5" numFmtId="0" xfId="0" applyAlignment="1" applyFont="1">
      <alignment shrinkToFit="0" vertical="top" wrapText="1"/>
    </xf>
    <xf borderId="0" fillId="0" fontId="39" numFmtId="0" xfId="0" applyAlignment="1" applyFont="1">
      <alignment shrinkToFit="0" vertical="top" wrapText="0"/>
    </xf>
    <xf borderId="0" fillId="0" fontId="40" numFmtId="49" xfId="0" applyAlignment="1" applyFont="1" applyNumberFormat="1">
      <alignment readingOrder="0" shrinkToFit="0" vertical="top" wrapText="1"/>
    </xf>
    <xf borderId="0" fillId="0" fontId="39" numFmtId="49" xfId="0" applyAlignment="1" applyFont="1" applyNumberFormat="1">
      <alignment readingOrder="0" shrinkToFit="0" vertical="top" wrapText="0"/>
    </xf>
    <xf borderId="0" fillId="0" fontId="39" numFmtId="0" xfId="0" applyAlignment="1" applyFont="1">
      <alignment readingOrder="0" shrinkToFit="0" vertical="top" wrapText="0"/>
    </xf>
    <xf borderId="0" fillId="0" fontId="39" numFmtId="0" xfId="0" applyAlignment="1" applyFont="1">
      <alignment shrinkToFit="0" vertical="top" wrapText="0"/>
    </xf>
    <xf borderId="0" fillId="0" fontId="39" numFmtId="0" xfId="0" applyAlignment="1" applyFont="1">
      <alignment horizontal="center" shrinkToFit="0" vertical="top" wrapText="0"/>
    </xf>
    <xf borderId="0" fillId="0" fontId="39" numFmtId="0" xfId="0" applyAlignment="1" applyFont="1">
      <alignment shrinkToFit="0" vertical="top" wrapText="0"/>
    </xf>
    <xf borderId="0" fillId="0" fontId="39" numFmtId="49" xfId="0" applyAlignment="1" applyFont="1" applyNumberFormat="1">
      <alignment shrinkToFit="0" vertical="top" wrapText="0"/>
    </xf>
    <xf borderId="0" fillId="0" fontId="39" numFmtId="0" xfId="0" applyAlignment="1" applyFont="1">
      <alignment vertical="top"/>
    </xf>
    <xf borderId="0" fillId="0" fontId="5" numFmtId="49" xfId="0" applyAlignment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6">
    <tableStyle count="4" pivot="0" name="Summarize Sprint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 Sprint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'Summarize Sprint 20'!$A$27:$A$33</c:f>
            </c:strRef>
          </c:cat>
          <c:val>
            <c:numRef>
              <c:f>'Summarize Sprint 20'!$B$27:$B$33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'Summarize Sprint 19'!$A$27:$A$33</c:f>
            </c:strRef>
          </c:cat>
          <c:val>
            <c:numRef>
              <c:f>'Summarize Sprint 19'!$B$27:$B$33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21</xdr:row>
      <xdr:rowOff>200025</xdr:rowOff>
    </xdr:from>
    <xdr:ext cx="3543300" cy="2200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21</xdr:row>
      <xdr:rowOff>200025</xdr:rowOff>
    </xdr:from>
    <xdr:ext cx="3638550" cy="2324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1" displayName="Sprint_26" name="Sprint_26" id="1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26-style" showColumnStripes="0" showFirstColumn="1" showLastColumn="1" showRowStripes="1"/>
</table>
</file>

<file path=xl/tables/table2.xml><?xml version="1.0" encoding="utf-8"?>
<table xmlns="http://schemas.openxmlformats.org/spreadsheetml/2006/main" ref="A1:F21" displayName="Sprint_25" name="Sprint_25" id="2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25-style" showColumnStripes="0" showFirstColumn="1" showLastColumn="1" showRowStripes="1"/>
</table>
</file>

<file path=xl/tables/table3.xml><?xml version="1.0" encoding="utf-8"?>
<table xmlns="http://schemas.openxmlformats.org/spreadsheetml/2006/main" ref="A1:F21" displayName="Sprint_24" name="Sprint_24" id="3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24-style" showColumnStripes="0" showFirstColumn="1" showLastColumn="1" showRowStripes="1"/>
</table>
</file>

<file path=xl/tables/table4.xml><?xml version="1.0" encoding="utf-8"?>
<table xmlns="http://schemas.openxmlformats.org/spreadsheetml/2006/main" ref="A1:F21" displayName="Sprint_23" name="Sprint_23" id="4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23-style" showColumnStripes="0" showFirstColumn="1" showLastColumn="1" showRowStripes="1"/>
</table>
</file>

<file path=xl/tables/table5.xml><?xml version="1.0" encoding="utf-8"?>
<table xmlns="http://schemas.openxmlformats.org/spreadsheetml/2006/main" ref="A1:F21" displayName="Sprint_22" name="Sprint_22" id="5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22-style" showColumnStripes="0" showFirstColumn="1" showLastColumn="1" showRowStripes="1"/>
</table>
</file>

<file path=xl/tables/table6.xml><?xml version="1.0" encoding="utf-8"?>
<table xmlns="http://schemas.openxmlformats.org/spreadsheetml/2006/main" ref="A1:F21" displayName="Sprint_21" name="Sprint_21" id="6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21-style" showColumnStripes="0" showFirstColumn="1" showLastColumn="1" showRowStripes="1"/>
</table>
</file>

<file path=xl/tables/table7.xml><?xml version="1.0" encoding="utf-8"?>
<table xmlns="http://schemas.openxmlformats.org/spreadsheetml/2006/main" ref="A1:F21" displayName="Sprint_20" name="Sprint_20" id="7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20-style" showColumnStripes="0" showFirstColumn="1" showLastColumn="1" showRowStripes="1"/>
</table>
</file>

<file path=xl/tables/table8.xml><?xml version="1.0" encoding="utf-8"?>
<table xmlns="http://schemas.openxmlformats.org/spreadsheetml/2006/main" ref="A1:F21" displayName="Sprint_19" name="Sprint_19" id="8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9-style" showColumnStripes="0" showFirstColumn="1" showLastColumn="1" showRowStripes="1"/>
</table>
</file>

<file path=xl/tables/table9.xml><?xml version="1.0" encoding="utf-8"?>
<table xmlns="http://schemas.openxmlformats.org/spreadsheetml/2006/main" ref="A1:F21" displayName="Sprint_18" name="Sprint_18" id="9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8-style" showColumnStripes="0" showFirstColumn="1" showLastColumn="1" showRowStripes="1"/>
</table>
</file>

<file path=xl/tables/table10.xml><?xml version="1.0" encoding="utf-8"?>
<table xmlns="http://schemas.openxmlformats.org/spreadsheetml/2006/main" ref="A1:F21" displayName="Sprint_17" name="Sprint_17" id="10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7-style" showColumnStripes="0" showFirstColumn="1" showLastColumn="1" showRowStripes="1"/>
</table>
</file>

<file path=xl/tables/table11.xml><?xml version="1.0" encoding="utf-8"?>
<table xmlns="http://schemas.openxmlformats.org/spreadsheetml/2006/main" ref="A1:F21" displayName="Sprint_16" name="Sprint_16" id="11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6-style" showColumnStripes="0" showFirstColumn="1" showLastColumn="1" showRowStripes="1"/>
</table>
</file>

<file path=xl/tables/table12.xml><?xml version="1.0" encoding="utf-8"?>
<table xmlns="http://schemas.openxmlformats.org/spreadsheetml/2006/main" ref="A1:F23" displayName="Sprint_15" name="Sprint_15" id="12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5-style" showColumnStripes="0" showFirstColumn="1" showLastColumn="1" showRowStripes="1"/>
</table>
</file>

<file path=xl/tables/table13.xml><?xml version="1.0" encoding="utf-8"?>
<table xmlns="http://schemas.openxmlformats.org/spreadsheetml/2006/main" ref="A1:F23" displayName="Sprint_14" name="Sprint_14" id="13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4-style" showColumnStripes="0" showFirstColumn="1" showLastColumn="1" showRowStripes="1"/>
</table>
</file>

<file path=xl/tables/table14.xml><?xml version="1.0" encoding="utf-8"?>
<table xmlns="http://schemas.openxmlformats.org/spreadsheetml/2006/main" ref="A1:F23" displayName="Sprint_13" name="Sprint_13" id="14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3-style" showColumnStripes="0" showFirstColumn="1" showLastColumn="1" showRowStripes="1"/>
</table>
</file>

<file path=xl/tables/table15.xml><?xml version="1.0" encoding="utf-8"?>
<table xmlns="http://schemas.openxmlformats.org/spreadsheetml/2006/main" ref="A1:F23" displayName="Sprint_12" name="Sprint_12" id="15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2-style" showColumnStripes="0" showFirstColumn="1" showLastColumn="1" showRowStripes="1"/>
</table>
</file>

<file path=xl/tables/table16.xml><?xml version="1.0" encoding="utf-8"?>
<table xmlns="http://schemas.openxmlformats.org/spreadsheetml/2006/main" ref="A1:F23" displayName="Sprint_11" name="Sprint_11" id="16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1-style" showColumnStripes="0" showFirstColumn="1" showLastColumn="1" showRowStripes="1"/>
</table>
</file>

<file path=xl/tables/table17.xml><?xml version="1.0" encoding="utf-8"?>
<table xmlns="http://schemas.openxmlformats.org/spreadsheetml/2006/main" ref="A1:F22" displayName="Sprint_10" name="Sprint_10" id="17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0-style" showColumnStripes="0" showFirstColumn="1" showLastColumn="1" showRowStripes="1"/>
</table>
</file>

<file path=xl/tables/table18.xml><?xml version="1.0" encoding="utf-8"?>
<table xmlns="http://schemas.openxmlformats.org/spreadsheetml/2006/main" ref="A1:F22" displayName="Sprint_9" name="Sprint_9" id="18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9-style" showColumnStripes="0" showFirstColumn="1" showLastColumn="1" showRowStripes="1"/>
</table>
</file>

<file path=xl/tables/table19.xml><?xml version="1.0" encoding="utf-8"?>
<table xmlns="http://schemas.openxmlformats.org/spreadsheetml/2006/main" ref="A1:F22" displayName="Sprint_8" name="Sprint_8" id="19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8-style" showColumnStripes="0" showFirstColumn="1" showLastColumn="1" showRowStripes="1"/>
</table>
</file>

<file path=xl/tables/table20.xml><?xml version="1.0" encoding="utf-8"?>
<table xmlns="http://schemas.openxmlformats.org/spreadsheetml/2006/main" ref="A1:F22" displayName="Sprint_7" name="Sprint_7" id="20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7-style" showColumnStripes="0" showFirstColumn="1" showLastColumn="1" showRowStripes="1"/>
</table>
</file>

<file path=xl/tables/table21.xml><?xml version="1.0" encoding="utf-8"?>
<table xmlns="http://schemas.openxmlformats.org/spreadsheetml/2006/main" ref="A1:F21" displayName="Sprint_6" name="Sprint_6" id="21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6-style" showColumnStripes="0" showFirstColumn="1" showLastColumn="1" showRowStripes="1"/>
</table>
</file>

<file path=xl/tables/table22.xml><?xml version="1.0" encoding="utf-8"?>
<table xmlns="http://schemas.openxmlformats.org/spreadsheetml/2006/main" ref="A1:F20" displayName="Sprint_5" name="Sprint_5" id="22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5-style" showColumnStripes="0" showFirstColumn="1" showLastColumn="1" showRowStripes="1"/>
</table>
</file>

<file path=xl/tables/table23.xml><?xml version="1.0" encoding="utf-8"?>
<table xmlns="http://schemas.openxmlformats.org/spreadsheetml/2006/main" ref="A1:F19" displayName="Sprint_4" name="Sprint_4" id="23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4-style" showColumnStripes="0" showFirstColumn="1" showLastColumn="1" showRowStripes="1"/>
</table>
</file>

<file path=xl/tables/table24.xml><?xml version="1.0" encoding="utf-8"?>
<table xmlns="http://schemas.openxmlformats.org/spreadsheetml/2006/main" ref="A1:F21" displayName="Sprint_3" name="Sprint_3" id="24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3-style" showColumnStripes="0" showFirstColumn="1" showLastColumn="1" showRowStripes="1"/>
</table>
</file>

<file path=xl/tables/table25.xml><?xml version="1.0" encoding="utf-8"?>
<table xmlns="http://schemas.openxmlformats.org/spreadsheetml/2006/main" ref="A1:F22" displayName="Sprint_2_Pivot" name="Sprint_2_Pivot" id="25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2-style" showColumnStripes="0" showFirstColumn="1" showLastColumn="1" showRowStripes="1"/>
</table>
</file>

<file path=xl/tables/table26.xml><?xml version="1.0" encoding="utf-8"?>
<table xmlns="http://schemas.openxmlformats.org/spreadsheetml/2006/main" ref="A1:F22" displayName="Sprint_1_Pilot" name="Sprint_1_Pilot" id="26">
  <tableColumns count="6">
    <tableColumn name="Column 1" id="1"/>
    <tableColumn name="Total Stories Point" id="2"/>
    <tableColumn name="Total Manhour" id="3"/>
    <tableColumn name="Point Done" id="4"/>
    <tableColumn name="Manhour Done" id="5"/>
    <tableColumn name="Note" id="6"/>
  </tableColumns>
  <tableStyleInfo name="Summarize Sprin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jira/software/c/projects/DM/boards/1035/timeline" TargetMode="External"/><Relationship Id="rId2" Type="http://schemas.openxmlformats.org/officeDocument/2006/relationships/hyperlink" Target="https://bsshrabbit.atlassian.net/jira/software/c/projects/RDNDA/boards/837/timeline" TargetMode="External"/><Relationship Id="rId3" Type="http://schemas.openxmlformats.org/officeDocument/2006/relationships/hyperlink" Target="https://bsshrabbit.atlassian.net/jira/software/c/projects/RDTHANA/boards/245/timeline" TargetMode="External"/><Relationship Id="rId4" Type="http://schemas.openxmlformats.org/officeDocument/2006/relationships/hyperlink" Target="https://bsshrabbit.atlassian.net/jira/software/c/projects/DRST/boards/1446/timeline?selectedIssue=DRST-18" TargetMode="External"/><Relationship Id="rId5" Type="http://schemas.openxmlformats.org/officeDocument/2006/relationships/hyperlink" Target="https://docs.google.com/spreadsheets/d/1HlvYW4TgA-JaRO8mMb0kbMwip2YzqJ738MSP5CJ1sls/edit?gid=1729294108" TargetMode="External"/><Relationship Id="rId6" Type="http://schemas.openxmlformats.org/officeDocument/2006/relationships/hyperlink" Target="https://bsshrabbit.atlassian.net/jira/software/c/projects/DPE/boards/1447/timeline" TargetMode="External"/><Relationship Id="rId7" Type="http://schemas.openxmlformats.org/officeDocument/2006/relationships/hyperlink" Target="https://bsshrabbit.atlassian.net/jira/software/c/projects/DPWP/boards/1168/timeline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iro.com/app/settings/company/3458764548217716786/billing" TargetMode="External"/><Relationship Id="rId2" Type="http://schemas.openxmlformats.org/officeDocument/2006/relationships/hyperlink" Target="https://us4.admin.mailchimp.com/account/billing-history/" TargetMode="External"/><Relationship Id="rId3" Type="http://schemas.openxmlformats.org/officeDocument/2006/relationships/hyperlink" Target="https://github.com/organizations/RabbitDigitalMooner/billing/history" TargetMode="External"/><Relationship Id="rId4" Type="http://schemas.openxmlformats.org/officeDocument/2006/relationships/hyperlink" Target="https://admin.atlassian.com/billing/626e433b-cae4-4b88-ac3a-0c8d0bf3af67/billing-history" TargetMode="External"/><Relationship Id="rId5" Type="http://schemas.openxmlformats.org/officeDocument/2006/relationships/hyperlink" Target="https://app.bitly.com/Bkac85SORXx/home" TargetMode="External"/><Relationship Id="rId6" Type="http://schemas.openxmlformats.org/officeDocument/2006/relationships/hyperlink" Target="http://101domain.com/" TargetMode="External"/><Relationship Id="rId7" Type="http://schemas.openxmlformats.org/officeDocument/2006/relationships/hyperlink" Target="https://my.101domain.com/dQBkAQAQAJT6xzOk5j0osyKW6gjHT1nFYEoNO_a4jyy7_rwNWPZus0zma6im8zDjfPb_tjj-vvm3QFK_57ZXPGy71SFr6Izn94Hpq8TPzu5WW9iCY9/Li.html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101domain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217822722/Sprint+Review+-+Sprint+26" TargetMode="External"/><Relationship Id="rId2" Type="http://schemas.openxmlformats.org/officeDocument/2006/relationships/hyperlink" Target="https://bsshrabbit.atlassian.net/wiki/spaces/RGI/pages/1217822722/Sprint+Review+-+Sprint+26" TargetMode="External"/><Relationship Id="rId3" Type="http://schemas.openxmlformats.org/officeDocument/2006/relationships/drawing" Target="../drawings/drawing6.xml"/><Relationship Id="rId5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204944898/Sprint+Review+-+Sprint+24" TargetMode="External"/><Relationship Id="rId2" Type="http://schemas.openxmlformats.org/officeDocument/2006/relationships/hyperlink" Target="https://bsshrabbit.atlassian.net/wiki/spaces/RGI/pages/1204944898/Sprint+Review+-+Sprint+24" TargetMode="External"/><Relationship Id="rId3" Type="http://schemas.openxmlformats.org/officeDocument/2006/relationships/drawing" Target="../drawings/drawing8.xml"/><Relationship Id="rId5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204944898/Sprint+Review+-+Sprint+24" TargetMode="External"/><Relationship Id="rId2" Type="http://schemas.openxmlformats.org/officeDocument/2006/relationships/hyperlink" Target="https://bsshrabbit.atlassian.net/wiki/spaces/RGI/pages/1204944898/Sprint+Review+-+Sprint+24" TargetMode="External"/><Relationship Id="rId3" Type="http://schemas.openxmlformats.org/officeDocument/2006/relationships/drawing" Target="../drawings/drawing10.xml"/><Relationship Id="rId5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136918529/Sprint+Review+-+Sprint+19" TargetMode="External"/><Relationship Id="rId2" Type="http://schemas.openxmlformats.org/officeDocument/2006/relationships/hyperlink" Target="https://bsshrabbit.atlassian.net/wiki/spaces/RGI/pages/1136918529/Sprint+Review+-+Sprint+19" TargetMode="External"/><Relationship Id="rId3" Type="http://schemas.openxmlformats.org/officeDocument/2006/relationships/drawing" Target="../drawings/drawing12.xml"/><Relationship Id="rId5" Type="http://schemas.openxmlformats.org/officeDocument/2006/relationships/table" Target="../tables/table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136918529/Sprint+Review+-+Sprint+19" TargetMode="External"/><Relationship Id="rId2" Type="http://schemas.openxmlformats.org/officeDocument/2006/relationships/hyperlink" Target="https://bsshrabbit.atlassian.net/wiki/spaces/RGI/pages/1136918529/Sprint+Review+-+Sprint+19" TargetMode="External"/><Relationship Id="rId3" Type="http://schemas.openxmlformats.org/officeDocument/2006/relationships/drawing" Target="../drawings/drawing14.xml"/><Relationship Id="rId5" Type="http://schemas.openxmlformats.org/officeDocument/2006/relationships/table" Target="../tables/table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136918529/Sprint+Review+-+Sprint+19" TargetMode="External"/><Relationship Id="rId2" Type="http://schemas.openxmlformats.org/officeDocument/2006/relationships/hyperlink" Target="https://bsshrabbit.atlassian.net/wiki/spaces/RGI/pages/1136918529/Sprint+Review+-+Sprint+19" TargetMode="External"/><Relationship Id="rId3" Type="http://schemas.openxmlformats.org/officeDocument/2006/relationships/drawing" Target="../drawings/drawing16.xml"/><Relationship Id="rId5" Type="http://schemas.openxmlformats.org/officeDocument/2006/relationships/table" Target="../tables/table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136918529/Sprint+Review+-+Sprint+19" TargetMode="External"/><Relationship Id="rId2" Type="http://schemas.openxmlformats.org/officeDocument/2006/relationships/hyperlink" Target="https://bsshrabbit.atlassian.net/wiki/spaces/RGI/pages/1136918529/Sprint+Review+-+Sprint+19" TargetMode="External"/><Relationship Id="rId3" Type="http://schemas.openxmlformats.org/officeDocument/2006/relationships/drawing" Target="../drawings/drawing18.xml"/><Relationship Id="rId5" Type="http://schemas.openxmlformats.org/officeDocument/2006/relationships/table" Target="../tables/table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136918529/Sprint+Review+-+Sprint+19" TargetMode="External"/><Relationship Id="rId2" Type="http://schemas.openxmlformats.org/officeDocument/2006/relationships/hyperlink" Target="https://bsshrabbit.atlassian.net/wiki/spaces/RGI/pages/1136918529/Sprint+Review+-+Sprint+19" TargetMode="External"/><Relationship Id="rId3" Type="http://schemas.openxmlformats.org/officeDocument/2006/relationships/drawing" Target="../drawings/drawing20.xml"/><Relationship Id="rId5" Type="http://schemas.openxmlformats.org/officeDocument/2006/relationships/table" Target="../tables/table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124106241/Sprint+Review+-+Sprint+18" TargetMode="External"/><Relationship Id="rId2" Type="http://schemas.openxmlformats.org/officeDocument/2006/relationships/hyperlink" Target="https://bsshrabbit.atlassian.net/wiki/spaces/RGI/pages/1124106241/Sprint+Review+-+Sprint+18" TargetMode="External"/><Relationship Id="rId3" Type="http://schemas.openxmlformats.org/officeDocument/2006/relationships/drawing" Target="../drawings/drawing22.xml"/><Relationship Id="rId5" Type="http://schemas.openxmlformats.org/officeDocument/2006/relationships/table" Target="../tables/table9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082327042/Sprint+Review+Sprint+17" TargetMode="External"/><Relationship Id="rId2" Type="http://schemas.openxmlformats.org/officeDocument/2006/relationships/hyperlink" Target="https://bsshrabbit.atlassian.net/wiki/spaces/RGI/pages/1082327042/Sprint+Review+Sprint+17" TargetMode="External"/><Relationship Id="rId3" Type="http://schemas.openxmlformats.org/officeDocument/2006/relationships/drawing" Target="../drawings/drawing24.xml"/><Relationship Id="rId5" Type="http://schemas.openxmlformats.org/officeDocument/2006/relationships/table" Target="../tables/table10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053360129/Sprint+Review+Sprint+16" TargetMode="External"/><Relationship Id="rId2" Type="http://schemas.openxmlformats.org/officeDocument/2006/relationships/hyperlink" Target="https://bsshrabbit.atlassian.net/wiki/spaces/RGI/pages/1053360129/Sprint+Review+Sprint+16" TargetMode="External"/><Relationship Id="rId3" Type="http://schemas.openxmlformats.org/officeDocument/2006/relationships/drawing" Target="../drawings/drawing26.xml"/><Relationship Id="rId5" Type="http://schemas.openxmlformats.org/officeDocument/2006/relationships/table" Target="../tables/table11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1048084481/Sprint+Review+Sprint+15" TargetMode="External"/><Relationship Id="rId2" Type="http://schemas.openxmlformats.org/officeDocument/2006/relationships/hyperlink" Target="https://bsshrabbit.atlassian.net/wiki/spaces/RGI/pages/1048084481/Sprint+Review+Sprint+15" TargetMode="External"/><Relationship Id="rId3" Type="http://schemas.openxmlformats.org/officeDocument/2006/relationships/drawing" Target="../drawings/drawing28.xml"/><Relationship Id="rId5" Type="http://schemas.openxmlformats.org/officeDocument/2006/relationships/table" Target="../tables/table12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997982209/Sprint+Review+Sprint+13" TargetMode="External"/><Relationship Id="rId2" Type="http://schemas.openxmlformats.org/officeDocument/2006/relationships/hyperlink" Target="https://bsshrabbit.atlassian.net/wiki/spaces/RGI/pages/997982209/Sprint+Review+Sprint+13" TargetMode="External"/><Relationship Id="rId3" Type="http://schemas.openxmlformats.org/officeDocument/2006/relationships/drawing" Target="../drawings/drawing30.xml"/><Relationship Id="rId5" Type="http://schemas.openxmlformats.org/officeDocument/2006/relationships/table" Target="../tables/table13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997982209/Sprint+Review+Sprint+13" TargetMode="External"/><Relationship Id="rId2" Type="http://schemas.openxmlformats.org/officeDocument/2006/relationships/hyperlink" Target="https://bsshrabbit.atlassian.net/wiki/spaces/RGI/pages/997982209/Sprint+Review+Sprint+13" TargetMode="External"/><Relationship Id="rId3" Type="http://schemas.openxmlformats.org/officeDocument/2006/relationships/drawing" Target="../drawings/drawing32.xml"/><Relationship Id="rId5" Type="http://schemas.openxmlformats.org/officeDocument/2006/relationships/table" Target="../tables/table14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966000760/Sprint+Review+Sprint+12" TargetMode="External"/><Relationship Id="rId2" Type="http://schemas.openxmlformats.org/officeDocument/2006/relationships/hyperlink" Target="https://bsshrabbit.atlassian.net/wiki/spaces/RGI/pages/966000760/Sprint+Review+Sprint+12" TargetMode="External"/><Relationship Id="rId3" Type="http://schemas.openxmlformats.org/officeDocument/2006/relationships/drawing" Target="../drawings/drawing34.xml"/><Relationship Id="rId5" Type="http://schemas.openxmlformats.org/officeDocument/2006/relationships/table" Target="../tables/table15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926875649/Sprint+Review+Sprint+11" TargetMode="External"/><Relationship Id="rId2" Type="http://schemas.openxmlformats.org/officeDocument/2006/relationships/hyperlink" Target="https://bsshrabbit.atlassian.net/wiki/spaces/RGI/pages/926875649/Sprint+Review+Sprint+11" TargetMode="External"/><Relationship Id="rId3" Type="http://schemas.openxmlformats.org/officeDocument/2006/relationships/drawing" Target="../drawings/drawing36.xml"/><Relationship Id="rId5" Type="http://schemas.openxmlformats.org/officeDocument/2006/relationships/table" Target="../tables/table1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882016257/Sprint+Review+Sprint+10" TargetMode="External"/><Relationship Id="rId2" Type="http://schemas.openxmlformats.org/officeDocument/2006/relationships/hyperlink" Target="https://bsshrabbit.atlassian.net/wiki/spaces/RGI/pages/882016257/Sprint+Review+Sprint+10" TargetMode="External"/><Relationship Id="rId3" Type="http://schemas.openxmlformats.org/officeDocument/2006/relationships/drawing" Target="../drawings/drawing38.xml"/><Relationship Id="rId5" Type="http://schemas.openxmlformats.org/officeDocument/2006/relationships/table" Target="../tables/table17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841187329/Sprint+Review+Sprint+9" TargetMode="External"/><Relationship Id="rId2" Type="http://schemas.openxmlformats.org/officeDocument/2006/relationships/hyperlink" Target="https://bsshrabbit.atlassian.net/wiki/spaces/RGI/pages/841187329/Sprint+Review+Sprint+9" TargetMode="External"/><Relationship Id="rId3" Type="http://schemas.openxmlformats.org/officeDocument/2006/relationships/drawing" Target="../drawings/drawing40.xml"/><Relationship Id="rId5" Type="http://schemas.openxmlformats.org/officeDocument/2006/relationships/table" Target="../tables/table18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798326785/Sprint+Review+Sprint+8" TargetMode="External"/><Relationship Id="rId2" Type="http://schemas.openxmlformats.org/officeDocument/2006/relationships/hyperlink" Target="https://bsshrabbit.atlassian.net/wiki/spaces/RGI/pages/798326785/Sprint+Review+Sprint+8" TargetMode="External"/><Relationship Id="rId3" Type="http://schemas.openxmlformats.org/officeDocument/2006/relationships/drawing" Target="../drawings/drawing42.xml"/><Relationship Id="rId5" Type="http://schemas.openxmlformats.org/officeDocument/2006/relationships/table" Target="../tables/table19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762839041/Sprint+Review+Sprint+7" TargetMode="External"/><Relationship Id="rId2" Type="http://schemas.openxmlformats.org/officeDocument/2006/relationships/hyperlink" Target="https://bsshrabbit.atlassian.net/wiki/spaces/RGI/pages/762839041/Sprint+Review+Sprint+7" TargetMode="External"/><Relationship Id="rId3" Type="http://schemas.openxmlformats.org/officeDocument/2006/relationships/drawing" Target="../drawings/drawing44.xml"/><Relationship Id="rId5" Type="http://schemas.openxmlformats.org/officeDocument/2006/relationships/table" Target="../tables/table20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725712897/Sprint+Review+Sprint+6" TargetMode="External"/><Relationship Id="rId2" Type="http://schemas.openxmlformats.org/officeDocument/2006/relationships/hyperlink" Target="https://bsshrabbit.atlassian.net/wiki/spaces/RGI/pages/725712897/Sprint+Review+Sprint+6" TargetMode="External"/><Relationship Id="rId3" Type="http://schemas.openxmlformats.org/officeDocument/2006/relationships/drawing" Target="../drawings/drawing46.xml"/><Relationship Id="rId5" Type="http://schemas.openxmlformats.org/officeDocument/2006/relationships/table" Target="../tables/table21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680296449/Sprint+Review+Sprint+5" TargetMode="External"/><Relationship Id="rId2" Type="http://schemas.openxmlformats.org/officeDocument/2006/relationships/hyperlink" Target="https://bsshrabbit.atlassian.net/wiki/spaces/RGI/pages/680296449/Sprint+Review+Sprint+5" TargetMode="External"/><Relationship Id="rId3" Type="http://schemas.openxmlformats.org/officeDocument/2006/relationships/drawing" Target="../drawings/drawing48.xml"/><Relationship Id="rId5" Type="http://schemas.openxmlformats.org/officeDocument/2006/relationships/table" Target="../tables/table22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647495681/Sprint+Review+Sprint+4" TargetMode="External"/><Relationship Id="rId2" Type="http://schemas.openxmlformats.org/officeDocument/2006/relationships/hyperlink" Target="https://bsshrabbit.atlassian.net/wiki/spaces/RGI/pages/647495681/Sprint+Review+Sprint+4" TargetMode="External"/><Relationship Id="rId3" Type="http://schemas.openxmlformats.org/officeDocument/2006/relationships/drawing" Target="../drawings/drawing50.xml"/><Relationship Id="rId5" Type="http://schemas.openxmlformats.org/officeDocument/2006/relationships/table" Target="../tables/table23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595722242/Sprint+Review+Sprint+3" TargetMode="External"/><Relationship Id="rId2" Type="http://schemas.openxmlformats.org/officeDocument/2006/relationships/hyperlink" Target="https://bsshrabbit.atlassian.net/wiki/spaces/RGI/pages/595722242/Sprint+Review+Sprint+3" TargetMode="External"/><Relationship Id="rId3" Type="http://schemas.openxmlformats.org/officeDocument/2006/relationships/drawing" Target="../drawings/drawing51.xml"/><Relationship Id="rId5" Type="http://schemas.openxmlformats.org/officeDocument/2006/relationships/table" Target="../tables/table24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562987009/Sprint+Review+Sprint+2" TargetMode="External"/><Relationship Id="rId2" Type="http://schemas.openxmlformats.org/officeDocument/2006/relationships/hyperlink" Target="https://bsshrabbit.atlassian.net/wiki/spaces/RGI/pages/562987009/Sprint+Review+Sprint+2" TargetMode="External"/><Relationship Id="rId3" Type="http://schemas.openxmlformats.org/officeDocument/2006/relationships/drawing" Target="../drawings/drawing52.xml"/><Relationship Id="rId5" Type="http://schemas.openxmlformats.org/officeDocument/2006/relationships/table" Target="../tables/table25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s://bsshrabbit.atlassian.net/wiki/spaces/RGI/pages/553713665/Sprint+Review+Sprint+1" TargetMode="External"/><Relationship Id="rId2" Type="http://schemas.openxmlformats.org/officeDocument/2006/relationships/hyperlink" Target="https://bsshrabbit.atlassian.net/wiki/spaces/RGI/pages/553713665/Sprint+Review+Sprint+1" TargetMode="External"/><Relationship Id="rId3" Type="http://schemas.openxmlformats.org/officeDocument/2006/relationships/drawing" Target="../drawings/drawing53.xml"/><Relationship Id="rId5" Type="http://schemas.openxmlformats.org/officeDocument/2006/relationships/table" Target="../tables/table26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clickup.com/t/7514825/ITPE-3710" TargetMode="External"/><Relationship Id="rId2" Type="http://schemas.openxmlformats.org/officeDocument/2006/relationships/hyperlink" Target="https://app.clickup.com/t/7514825/ITPE-3710" TargetMode="External"/><Relationship Id="rId3" Type="http://schemas.openxmlformats.org/officeDocument/2006/relationships/hyperlink" Target="https://app.clickup.com/t/7514825/ITPE-3710" TargetMode="External"/><Relationship Id="rId4" Type="http://schemas.openxmlformats.org/officeDocument/2006/relationships/hyperlink" Target="https://app.clickup.com/t/7514825/ITPE-3710" TargetMode="External"/><Relationship Id="rId10" Type="http://schemas.openxmlformats.org/officeDocument/2006/relationships/drawing" Target="../drawings/drawing61.xml"/><Relationship Id="rId9" Type="http://schemas.openxmlformats.org/officeDocument/2006/relationships/hyperlink" Target="https://app.clickup.com/t/7514825/ITPE-3762" TargetMode="External"/><Relationship Id="rId5" Type="http://schemas.openxmlformats.org/officeDocument/2006/relationships/hyperlink" Target="https://app.clickup.com/t/7514825/ITPE-3710" TargetMode="External"/><Relationship Id="rId6" Type="http://schemas.openxmlformats.org/officeDocument/2006/relationships/hyperlink" Target="https://app.clickup.com/t/7514825/ITPE-3710" TargetMode="External"/><Relationship Id="rId7" Type="http://schemas.openxmlformats.org/officeDocument/2006/relationships/hyperlink" Target="https://app.clickup.com/t/7514825/ITPE-3710" TargetMode="External"/><Relationship Id="rId8" Type="http://schemas.openxmlformats.org/officeDocument/2006/relationships/hyperlink" Target="https://app.clickup.com/t/7514825/ITPE-3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.75"/>
    <col customWidth="1" min="2" max="2" width="4.13"/>
    <col customWidth="1" min="3" max="3" width="34.13"/>
    <col customWidth="1" min="4" max="5" width="9.25"/>
    <col customWidth="1" min="6" max="6" width="10.5"/>
    <col customWidth="1" min="7" max="7" width="16.63"/>
    <col customWidth="1" min="8" max="8" width="8.63"/>
    <col customWidth="1" min="9" max="9" width="33.75"/>
    <col customWidth="1" hidden="1" min="10" max="45" width="2.5"/>
    <col customWidth="1" min="46" max="49" width="2.5"/>
    <col customWidth="1" min="50" max="53" width="2.63"/>
    <col customWidth="1" min="54" max="57" width="2.38"/>
    <col customWidth="1" min="58" max="97" width="2.5"/>
    <col customWidth="1" min="98" max="101" width="2.63"/>
    <col customWidth="1" min="102" max="105" width="2.38"/>
  </cols>
  <sheetData>
    <row r="1" ht="39.0" customHeight="1">
      <c r="B1" s="1"/>
      <c r="C1" s="2" t="s">
        <v>0</v>
      </c>
      <c r="D1" s="3"/>
      <c r="E1" s="3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6"/>
      <c r="AK1" s="5"/>
      <c r="AL1" s="5"/>
      <c r="AM1" s="5"/>
      <c r="AN1" s="5"/>
      <c r="AO1" s="5"/>
      <c r="AP1" s="5"/>
      <c r="AQ1" s="5"/>
      <c r="AR1" s="5"/>
      <c r="AS1" s="7"/>
      <c r="AT1" s="8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10"/>
      <c r="BL1" s="11"/>
      <c r="BM1" s="12"/>
      <c r="BN1" s="10">
        <v>26.0</v>
      </c>
      <c r="BO1" s="13"/>
      <c r="BP1" s="14">
        <v>27.0</v>
      </c>
      <c r="BQ1" s="13"/>
      <c r="BR1" s="9"/>
      <c r="BS1" s="9"/>
      <c r="BT1" s="9"/>
      <c r="BU1" s="9"/>
      <c r="BV1" s="9"/>
      <c r="BW1" s="9"/>
      <c r="BX1" s="9"/>
      <c r="BY1" s="15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5"/>
      <c r="DA1" s="5"/>
    </row>
    <row r="2">
      <c r="A2" s="17"/>
      <c r="B2" s="18" t="s">
        <v>1</v>
      </c>
      <c r="C2" s="18" t="s">
        <v>2</v>
      </c>
      <c r="D2" s="18"/>
      <c r="E2" s="18" t="s">
        <v>3</v>
      </c>
      <c r="F2" s="18" t="s">
        <v>4</v>
      </c>
      <c r="G2" s="18" t="s">
        <v>5</v>
      </c>
      <c r="H2" s="18"/>
      <c r="I2" s="19" t="s">
        <v>6</v>
      </c>
      <c r="J2" s="20" t="s">
        <v>7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12"/>
      <c r="BF2" s="22" t="s">
        <v>8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</row>
    <row r="3" ht="18.0" customHeight="1">
      <c r="B3" s="24" t="s">
        <v>9</v>
      </c>
      <c r="C3" s="25" t="s">
        <v>10</v>
      </c>
      <c r="D3" s="26"/>
      <c r="E3" s="26"/>
      <c r="F3" s="27"/>
      <c r="G3" s="27"/>
      <c r="H3" s="27"/>
      <c r="I3" s="28"/>
      <c r="J3" s="29" t="s">
        <v>11</v>
      </c>
      <c r="K3" s="21"/>
      <c r="L3" s="21"/>
      <c r="M3" s="12"/>
      <c r="N3" s="29" t="s">
        <v>12</v>
      </c>
      <c r="O3" s="21"/>
      <c r="P3" s="21"/>
      <c r="Q3" s="12"/>
      <c r="R3" s="29" t="s">
        <v>13</v>
      </c>
      <c r="S3" s="21"/>
      <c r="T3" s="21"/>
      <c r="U3" s="12"/>
      <c r="V3" s="29" t="s">
        <v>14</v>
      </c>
      <c r="W3" s="21"/>
      <c r="X3" s="21"/>
      <c r="Y3" s="12"/>
      <c r="Z3" s="29" t="s">
        <v>15</v>
      </c>
      <c r="AA3" s="21"/>
      <c r="AB3" s="21"/>
      <c r="AC3" s="12"/>
      <c r="AD3" s="29" t="s">
        <v>16</v>
      </c>
      <c r="AE3" s="21"/>
      <c r="AF3" s="21"/>
      <c r="AG3" s="12"/>
      <c r="AH3" s="29" t="s">
        <v>17</v>
      </c>
      <c r="AI3" s="21"/>
      <c r="AJ3" s="21"/>
      <c r="AK3" s="12"/>
      <c r="AL3" s="29" t="s">
        <v>18</v>
      </c>
      <c r="AM3" s="21"/>
      <c r="AN3" s="21"/>
      <c r="AO3" s="12"/>
      <c r="AP3" s="29" t="s">
        <v>19</v>
      </c>
      <c r="AQ3" s="21"/>
      <c r="AR3" s="21"/>
      <c r="AS3" s="12"/>
      <c r="AT3" s="29" t="s">
        <v>20</v>
      </c>
      <c r="AU3" s="21"/>
      <c r="AV3" s="21"/>
      <c r="AW3" s="12"/>
      <c r="AX3" s="29" t="s">
        <v>21</v>
      </c>
      <c r="AY3" s="21"/>
      <c r="AZ3" s="21"/>
      <c r="BA3" s="12"/>
      <c r="BB3" s="29" t="s">
        <v>22</v>
      </c>
      <c r="BC3" s="21"/>
      <c r="BD3" s="21"/>
      <c r="BE3" s="21"/>
      <c r="BF3" s="29" t="s">
        <v>11</v>
      </c>
      <c r="BG3" s="21"/>
      <c r="BH3" s="21"/>
      <c r="BI3" s="21"/>
      <c r="BJ3" s="30" t="s">
        <v>12</v>
      </c>
      <c r="BK3" s="31"/>
      <c r="BL3" s="31"/>
      <c r="BM3" s="31"/>
      <c r="BN3" s="30" t="s">
        <v>13</v>
      </c>
      <c r="BO3" s="31"/>
      <c r="BP3" s="31"/>
      <c r="BQ3" s="13"/>
      <c r="BR3" s="29" t="s">
        <v>14</v>
      </c>
      <c r="BS3" s="21"/>
      <c r="BT3" s="21"/>
      <c r="BU3" s="12"/>
      <c r="BV3" s="29" t="s">
        <v>15</v>
      </c>
      <c r="BW3" s="21"/>
      <c r="BX3" s="21"/>
      <c r="BY3" s="12"/>
      <c r="BZ3" s="29" t="s">
        <v>16</v>
      </c>
      <c r="CA3" s="21"/>
      <c r="CB3" s="21"/>
      <c r="CC3" s="12"/>
      <c r="CD3" s="29" t="s">
        <v>17</v>
      </c>
      <c r="CE3" s="21"/>
      <c r="CF3" s="21"/>
      <c r="CG3" s="12"/>
      <c r="CH3" s="29" t="s">
        <v>18</v>
      </c>
      <c r="CI3" s="21"/>
      <c r="CJ3" s="21"/>
      <c r="CK3" s="12"/>
      <c r="CL3" s="29" t="s">
        <v>19</v>
      </c>
      <c r="CM3" s="21"/>
      <c r="CN3" s="21"/>
      <c r="CO3" s="12"/>
      <c r="CP3" s="29" t="s">
        <v>20</v>
      </c>
      <c r="CQ3" s="21"/>
      <c r="CR3" s="21"/>
      <c r="CS3" s="12"/>
      <c r="CT3" s="29" t="s">
        <v>21</v>
      </c>
      <c r="CU3" s="21"/>
      <c r="CV3" s="21"/>
      <c r="CW3" s="12"/>
      <c r="CX3" s="29" t="s">
        <v>22</v>
      </c>
      <c r="CY3" s="21"/>
      <c r="CZ3" s="21"/>
      <c r="DA3" s="12"/>
    </row>
    <row r="4" ht="27.0" customHeight="1">
      <c r="A4" s="32"/>
      <c r="B4" s="33"/>
      <c r="C4" s="34" t="s">
        <v>23</v>
      </c>
      <c r="D4" s="35" t="s">
        <v>24</v>
      </c>
      <c r="E4" s="35" t="s">
        <v>25</v>
      </c>
      <c r="F4" s="36">
        <v>1.0</v>
      </c>
      <c r="G4" s="37" t="s">
        <v>26</v>
      </c>
      <c r="H4" s="37"/>
      <c r="I4" s="38"/>
      <c r="J4" s="39"/>
      <c r="K4" s="39"/>
      <c r="L4" s="39"/>
      <c r="M4" s="39"/>
      <c r="N4" s="40"/>
      <c r="O4" s="40"/>
      <c r="P4" s="40"/>
      <c r="Q4" s="40"/>
      <c r="R4" s="41"/>
      <c r="S4" s="41"/>
      <c r="T4" s="41"/>
      <c r="U4" s="41"/>
      <c r="V4" s="42"/>
      <c r="W4" s="42"/>
      <c r="X4" s="42"/>
      <c r="Y4" s="42"/>
      <c r="Z4" s="43"/>
      <c r="AA4" s="43"/>
      <c r="AB4" s="43"/>
      <c r="AC4" s="43"/>
      <c r="AD4" s="44"/>
      <c r="AE4" s="44"/>
      <c r="AF4" s="44"/>
      <c r="AG4" s="44"/>
      <c r="AH4" s="45"/>
      <c r="AI4" s="45"/>
      <c r="AJ4" s="45"/>
      <c r="AK4" s="45"/>
      <c r="AL4" s="46"/>
      <c r="AM4" s="46"/>
      <c r="AN4" s="46"/>
      <c r="AO4" s="46"/>
      <c r="AP4" s="47"/>
      <c r="AQ4" s="47"/>
      <c r="AR4" s="47"/>
      <c r="AS4" s="47"/>
      <c r="AT4" s="48"/>
      <c r="AU4" s="39"/>
      <c r="AV4" s="39"/>
      <c r="AW4" s="39"/>
      <c r="AX4" s="40"/>
      <c r="AY4" s="40"/>
      <c r="AZ4" s="49"/>
      <c r="BA4" s="40"/>
      <c r="BB4" s="50"/>
      <c r="BC4" s="51"/>
      <c r="BD4" s="50"/>
      <c r="BE4" s="51"/>
      <c r="BF4" s="52"/>
      <c r="BG4" s="39"/>
      <c r="BH4" s="52"/>
      <c r="BI4" s="53"/>
      <c r="BJ4" s="54"/>
      <c r="BK4" s="54"/>
      <c r="BL4" s="40"/>
      <c r="BM4" s="49"/>
      <c r="BN4" s="55"/>
      <c r="BO4" s="56"/>
      <c r="BP4" s="57"/>
      <c r="BQ4" s="58"/>
      <c r="BR4" s="59"/>
      <c r="BS4" s="42"/>
      <c r="BT4" s="42"/>
      <c r="BU4" s="42"/>
      <c r="BV4" s="43"/>
      <c r="BW4" s="43"/>
      <c r="BX4" s="43"/>
      <c r="BY4" s="43"/>
      <c r="BZ4" s="44"/>
      <c r="CA4" s="44"/>
      <c r="CB4" s="44"/>
      <c r="CC4" s="44"/>
      <c r="CD4" s="45"/>
      <c r="CE4" s="45"/>
      <c r="CF4" s="45"/>
      <c r="CG4" s="45"/>
      <c r="CH4" s="46"/>
      <c r="CI4" s="46"/>
      <c r="CJ4" s="46"/>
      <c r="CK4" s="46"/>
      <c r="CL4" s="47"/>
      <c r="CM4" s="47"/>
      <c r="CN4" s="47"/>
      <c r="CO4" s="47"/>
      <c r="CP4" s="39"/>
      <c r="CQ4" s="39"/>
      <c r="CR4" s="39"/>
      <c r="CS4" s="39"/>
      <c r="CT4" s="40"/>
      <c r="CU4" s="40"/>
      <c r="CV4" s="40"/>
      <c r="CW4" s="40"/>
      <c r="CX4" s="51"/>
      <c r="CY4" s="51"/>
      <c r="CZ4" s="51"/>
      <c r="DA4" s="51"/>
    </row>
    <row r="5" ht="27.0" customHeight="1">
      <c r="A5" s="32"/>
      <c r="B5" s="33"/>
      <c r="C5" s="34" t="s">
        <v>27</v>
      </c>
      <c r="D5" s="35" t="s">
        <v>28</v>
      </c>
      <c r="E5" s="35" t="s">
        <v>25</v>
      </c>
      <c r="F5" s="36">
        <v>1.0</v>
      </c>
      <c r="G5" s="37" t="s">
        <v>26</v>
      </c>
      <c r="H5" s="37"/>
      <c r="I5" s="60"/>
      <c r="J5" s="39"/>
      <c r="K5" s="39"/>
      <c r="L5" s="39"/>
      <c r="M5" s="39"/>
      <c r="N5" s="40"/>
      <c r="O5" s="40"/>
      <c r="P5" s="40"/>
      <c r="Q5" s="40"/>
      <c r="R5" s="41"/>
      <c r="S5" s="41"/>
      <c r="T5" s="41"/>
      <c r="U5" s="41"/>
      <c r="V5" s="42"/>
      <c r="W5" s="42"/>
      <c r="X5" s="42"/>
      <c r="Y5" s="42"/>
      <c r="Z5" s="43"/>
      <c r="AA5" s="43"/>
      <c r="AB5" s="43"/>
      <c r="AC5" s="43"/>
      <c r="AD5" s="44"/>
      <c r="AE5" s="44"/>
      <c r="AF5" s="44"/>
      <c r="AG5" s="44"/>
      <c r="AH5" s="45"/>
      <c r="AI5" s="45"/>
      <c r="AJ5" s="45"/>
      <c r="AK5" s="45"/>
      <c r="AL5" s="46"/>
      <c r="AM5" s="46"/>
      <c r="AN5" s="46"/>
      <c r="AO5" s="46"/>
      <c r="AP5" s="47"/>
      <c r="AQ5" s="47"/>
      <c r="AR5" s="47"/>
      <c r="AS5" s="47"/>
      <c r="AT5" s="48"/>
      <c r="AU5" s="48"/>
      <c r="AV5" s="39"/>
      <c r="AW5" s="39"/>
      <c r="AX5" s="40"/>
      <c r="AY5" s="40"/>
      <c r="AZ5" s="49"/>
      <c r="BA5" s="40"/>
      <c r="BB5" s="50"/>
      <c r="BC5" s="51"/>
      <c r="BD5" s="50"/>
      <c r="BE5" s="48"/>
      <c r="BF5" s="52"/>
      <c r="BG5" s="39"/>
      <c r="BH5" s="52"/>
      <c r="BI5" s="53"/>
      <c r="BJ5" s="54"/>
      <c r="BK5" s="54"/>
      <c r="BL5" s="40"/>
      <c r="BM5" s="49"/>
      <c r="BN5" s="55"/>
      <c r="BO5" s="56"/>
      <c r="BP5" s="57"/>
      <c r="BQ5" s="58"/>
      <c r="BR5" s="59"/>
      <c r="BS5" s="42"/>
      <c r="BT5" s="42"/>
      <c r="BU5" s="42"/>
      <c r="BV5" s="43"/>
      <c r="BW5" s="43"/>
      <c r="BX5" s="43"/>
      <c r="BY5" s="43"/>
      <c r="BZ5" s="44"/>
      <c r="CA5" s="44"/>
      <c r="CB5" s="44"/>
      <c r="CC5" s="44"/>
      <c r="CD5" s="45"/>
      <c r="CE5" s="45"/>
      <c r="CF5" s="45"/>
      <c r="CG5" s="45"/>
      <c r="CH5" s="46"/>
      <c r="CI5" s="46"/>
      <c r="CJ5" s="46"/>
      <c r="CK5" s="46"/>
      <c r="CL5" s="47"/>
      <c r="CM5" s="47"/>
      <c r="CN5" s="47"/>
      <c r="CO5" s="47"/>
      <c r="CP5" s="39"/>
      <c r="CQ5" s="39"/>
      <c r="CR5" s="39"/>
      <c r="CS5" s="39"/>
      <c r="CT5" s="40"/>
      <c r="CU5" s="40"/>
      <c r="CV5" s="40"/>
      <c r="CW5" s="40"/>
      <c r="CX5" s="51"/>
      <c r="CY5" s="51"/>
      <c r="CZ5" s="51"/>
      <c r="DA5" s="51"/>
    </row>
    <row r="6" ht="27.75" customHeight="1">
      <c r="A6" s="32"/>
      <c r="B6" s="33"/>
      <c r="C6" s="34" t="s">
        <v>29</v>
      </c>
      <c r="D6" s="35" t="s">
        <v>30</v>
      </c>
      <c r="E6" s="35" t="s">
        <v>25</v>
      </c>
      <c r="F6" s="36">
        <v>1.0</v>
      </c>
      <c r="G6" s="37" t="s">
        <v>26</v>
      </c>
      <c r="H6" s="37"/>
      <c r="I6" s="60"/>
      <c r="J6" s="39"/>
      <c r="K6" s="39"/>
      <c r="L6" s="39"/>
      <c r="M6" s="39"/>
      <c r="N6" s="40"/>
      <c r="O6" s="40"/>
      <c r="P6" s="40"/>
      <c r="Q6" s="40"/>
      <c r="R6" s="41"/>
      <c r="S6" s="41"/>
      <c r="T6" s="41"/>
      <c r="U6" s="41"/>
      <c r="V6" s="42"/>
      <c r="W6" s="42"/>
      <c r="X6" s="42"/>
      <c r="Y6" s="42"/>
      <c r="Z6" s="43"/>
      <c r="AA6" s="43"/>
      <c r="AB6" s="43"/>
      <c r="AC6" s="43"/>
      <c r="AD6" s="44"/>
      <c r="AE6" s="44"/>
      <c r="AF6" s="44"/>
      <c r="AG6" s="44"/>
      <c r="AH6" s="45"/>
      <c r="AI6" s="45"/>
      <c r="AJ6" s="45"/>
      <c r="AK6" s="45"/>
      <c r="AL6" s="46"/>
      <c r="AM6" s="46"/>
      <c r="AN6" s="46"/>
      <c r="AO6" s="46"/>
      <c r="AP6" s="47"/>
      <c r="AQ6" s="47"/>
      <c r="AR6" s="47"/>
      <c r="AS6" s="47"/>
      <c r="AT6" s="48"/>
      <c r="AU6" s="48"/>
      <c r="AV6" s="48"/>
      <c r="AW6" s="39"/>
      <c r="AX6" s="40"/>
      <c r="AY6" s="40"/>
      <c r="AZ6" s="49"/>
      <c r="BA6" s="40"/>
      <c r="BB6" s="50"/>
      <c r="BC6" s="51"/>
      <c r="BD6" s="50"/>
      <c r="BE6" s="48"/>
      <c r="BF6" s="52"/>
      <c r="BG6" s="48"/>
      <c r="BH6" s="52"/>
      <c r="BI6" s="61"/>
      <c r="BJ6" s="61"/>
      <c r="BK6" s="62"/>
      <c r="BL6" s="48"/>
      <c r="BM6" s="63"/>
      <c r="BN6" s="61"/>
      <c r="BO6" s="62"/>
      <c r="BP6" s="64"/>
      <c r="BQ6" s="65"/>
      <c r="BR6" s="59"/>
      <c r="BS6" s="42"/>
      <c r="BT6" s="42"/>
      <c r="BU6" s="42"/>
      <c r="BV6" s="43"/>
      <c r="BW6" s="43"/>
      <c r="BX6" s="43"/>
      <c r="BY6" s="43"/>
      <c r="BZ6" s="44"/>
      <c r="CA6" s="44"/>
      <c r="CB6" s="44"/>
      <c r="CC6" s="44"/>
      <c r="CD6" s="45"/>
      <c r="CE6" s="45"/>
      <c r="CF6" s="45"/>
      <c r="CG6" s="45"/>
      <c r="CH6" s="46"/>
      <c r="CI6" s="46"/>
      <c r="CJ6" s="46"/>
      <c r="CK6" s="46"/>
      <c r="CL6" s="47"/>
      <c r="CM6" s="47"/>
      <c r="CN6" s="47"/>
      <c r="CO6" s="47"/>
      <c r="CP6" s="39"/>
      <c r="CQ6" s="39"/>
      <c r="CR6" s="39"/>
      <c r="CS6" s="39"/>
      <c r="CT6" s="40"/>
      <c r="CU6" s="40"/>
      <c r="CV6" s="40"/>
      <c r="CW6" s="40"/>
      <c r="CX6" s="51"/>
      <c r="CY6" s="51"/>
      <c r="CZ6" s="51"/>
      <c r="DA6" s="51"/>
    </row>
    <row r="7" ht="27.0" customHeight="1">
      <c r="A7" s="32"/>
      <c r="B7" s="33"/>
      <c r="C7" s="34" t="s">
        <v>31</v>
      </c>
      <c r="D7" s="35" t="s">
        <v>32</v>
      </c>
      <c r="E7" s="35" t="s">
        <v>33</v>
      </c>
      <c r="F7" s="36">
        <v>0.3</v>
      </c>
      <c r="G7" s="37" t="s">
        <v>34</v>
      </c>
      <c r="H7" s="66" t="s">
        <v>35</v>
      </c>
      <c r="I7" s="60" t="s">
        <v>36</v>
      </c>
      <c r="J7" s="39"/>
      <c r="K7" s="39"/>
      <c r="L7" s="39"/>
      <c r="M7" s="39"/>
      <c r="N7" s="40"/>
      <c r="O7" s="40"/>
      <c r="P7" s="40"/>
      <c r="Q7" s="40"/>
      <c r="R7" s="41"/>
      <c r="S7" s="41"/>
      <c r="T7" s="41"/>
      <c r="U7" s="41"/>
      <c r="V7" s="42"/>
      <c r="W7" s="42"/>
      <c r="X7" s="42"/>
      <c r="Y7" s="42"/>
      <c r="Z7" s="43"/>
      <c r="AA7" s="43"/>
      <c r="AB7" s="43"/>
      <c r="AC7" s="43"/>
      <c r="AD7" s="44"/>
      <c r="AE7" s="44"/>
      <c r="AF7" s="44"/>
      <c r="AG7" s="44"/>
      <c r="AH7" s="45"/>
      <c r="AI7" s="45"/>
      <c r="AJ7" s="45"/>
      <c r="AK7" s="45"/>
      <c r="AL7" s="46"/>
      <c r="AM7" s="46"/>
      <c r="AN7" s="46"/>
      <c r="AO7" s="46"/>
      <c r="AP7" s="47"/>
      <c r="AQ7" s="47"/>
      <c r="AR7" s="47"/>
      <c r="AS7" s="47"/>
      <c r="AT7" s="48"/>
      <c r="AU7" s="48"/>
      <c r="AV7" s="48"/>
      <c r="AW7" s="48"/>
      <c r="AX7" s="48"/>
      <c r="AY7" s="48"/>
      <c r="AZ7" s="63"/>
      <c r="BA7" s="48"/>
      <c r="BB7" s="63"/>
      <c r="BC7" s="51"/>
      <c r="BD7" s="50"/>
      <c r="BE7" s="51"/>
      <c r="BF7" s="50"/>
      <c r="BG7" s="50"/>
      <c r="BH7" s="50"/>
      <c r="BI7" s="67"/>
      <c r="BJ7" s="54"/>
      <c r="BK7" s="54"/>
      <c r="BL7" s="40"/>
      <c r="BM7" s="49"/>
      <c r="BN7" s="55"/>
      <c r="BO7" s="56"/>
      <c r="BP7" s="57"/>
      <c r="BQ7" s="58"/>
      <c r="BR7" s="68"/>
      <c r="BS7" s="63"/>
      <c r="BT7" s="63"/>
      <c r="BU7" s="63"/>
      <c r="BV7" s="43"/>
      <c r="BW7" s="43"/>
      <c r="BX7" s="43"/>
      <c r="BY7" s="43"/>
      <c r="BZ7" s="44"/>
      <c r="CA7" s="44"/>
      <c r="CB7" s="44"/>
      <c r="CC7" s="44"/>
      <c r="CD7" s="45"/>
      <c r="CE7" s="45"/>
      <c r="CF7" s="45"/>
      <c r="CG7" s="45"/>
      <c r="CH7" s="46"/>
      <c r="CI7" s="46"/>
      <c r="CJ7" s="46"/>
      <c r="CK7" s="46"/>
      <c r="CL7" s="47"/>
      <c r="CM7" s="47"/>
      <c r="CN7" s="47"/>
      <c r="CO7" s="47"/>
      <c r="CP7" s="39"/>
      <c r="CQ7" s="39"/>
      <c r="CR7" s="39"/>
      <c r="CS7" s="39"/>
      <c r="CT7" s="40"/>
      <c r="CU7" s="40"/>
      <c r="CV7" s="40"/>
      <c r="CW7" s="40"/>
      <c r="CX7" s="51"/>
      <c r="CY7" s="51"/>
      <c r="CZ7" s="51"/>
      <c r="DA7" s="51"/>
    </row>
    <row r="8" ht="71.25" customHeight="1">
      <c r="A8" s="32"/>
      <c r="B8" s="33"/>
      <c r="C8" s="34" t="s">
        <v>37</v>
      </c>
      <c r="D8" s="35" t="s">
        <v>24</v>
      </c>
      <c r="E8" s="35" t="s">
        <v>33</v>
      </c>
      <c r="F8" s="36">
        <v>0.8</v>
      </c>
      <c r="G8" s="37" t="s">
        <v>34</v>
      </c>
      <c r="H8" s="66" t="s">
        <v>35</v>
      </c>
      <c r="I8" s="60" t="s">
        <v>38</v>
      </c>
      <c r="J8" s="39"/>
      <c r="K8" s="39"/>
      <c r="L8" s="39"/>
      <c r="M8" s="39"/>
      <c r="N8" s="40"/>
      <c r="O8" s="40"/>
      <c r="P8" s="40"/>
      <c r="Q8" s="40"/>
      <c r="R8" s="41"/>
      <c r="S8" s="41"/>
      <c r="T8" s="41"/>
      <c r="U8" s="41"/>
      <c r="V8" s="42"/>
      <c r="W8" s="42"/>
      <c r="X8" s="42"/>
      <c r="Y8" s="42"/>
      <c r="Z8" s="43"/>
      <c r="AA8" s="43"/>
      <c r="AB8" s="43"/>
      <c r="AC8" s="43"/>
      <c r="AD8" s="44"/>
      <c r="AE8" s="44"/>
      <c r="AF8" s="44"/>
      <c r="AG8" s="44"/>
      <c r="AH8" s="45"/>
      <c r="AI8" s="45"/>
      <c r="AJ8" s="45"/>
      <c r="AK8" s="45"/>
      <c r="AL8" s="46"/>
      <c r="AM8" s="46"/>
      <c r="AN8" s="46"/>
      <c r="AO8" s="46"/>
      <c r="AP8" s="47"/>
      <c r="AQ8" s="47"/>
      <c r="AR8" s="47"/>
      <c r="AS8" s="47"/>
      <c r="AT8" s="48"/>
      <c r="AU8" s="48"/>
      <c r="AV8" s="48"/>
      <c r="AW8" s="48"/>
      <c r="AX8" s="48"/>
      <c r="AY8" s="40"/>
      <c r="AZ8" s="49"/>
      <c r="BA8" s="48"/>
      <c r="BB8" s="69" t="s">
        <v>39</v>
      </c>
      <c r="BC8" s="51"/>
      <c r="BD8" s="50"/>
      <c r="BE8" s="70"/>
      <c r="BF8" s="71"/>
      <c r="BG8" s="48"/>
      <c r="BH8" s="52"/>
      <c r="BI8" s="61"/>
      <c r="BJ8" s="61"/>
      <c r="BK8" s="62"/>
      <c r="BL8" s="48"/>
      <c r="BM8" s="49"/>
      <c r="BN8" s="61"/>
      <c r="BO8" s="56"/>
      <c r="BP8" s="64"/>
      <c r="BQ8" s="65"/>
      <c r="BR8" s="59"/>
      <c r="BS8" s="42"/>
      <c r="BT8" s="42"/>
      <c r="BU8" s="42"/>
      <c r="BV8" s="43"/>
      <c r="BW8" s="43"/>
      <c r="BX8" s="43"/>
      <c r="BY8" s="43"/>
      <c r="BZ8" s="44"/>
      <c r="CA8" s="44"/>
      <c r="CB8" s="44"/>
      <c r="CC8" s="44"/>
      <c r="CD8" s="45"/>
      <c r="CE8" s="45"/>
      <c r="CF8" s="45"/>
      <c r="CG8" s="45"/>
      <c r="CH8" s="46"/>
      <c r="CI8" s="46"/>
      <c r="CJ8" s="46"/>
      <c r="CK8" s="46"/>
      <c r="CL8" s="47"/>
      <c r="CM8" s="47"/>
      <c r="CN8" s="47"/>
      <c r="CO8" s="47"/>
      <c r="CP8" s="39"/>
      <c r="CQ8" s="39"/>
      <c r="CR8" s="39"/>
      <c r="CS8" s="39"/>
      <c r="CT8" s="40"/>
      <c r="CU8" s="40"/>
      <c r="CV8" s="40"/>
      <c r="CW8" s="40"/>
      <c r="CX8" s="51"/>
      <c r="CY8" s="51"/>
      <c r="CZ8" s="51"/>
      <c r="DA8" s="51"/>
    </row>
    <row r="9" ht="41.25" customHeight="1">
      <c r="A9" s="32"/>
      <c r="B9" s="33"/>
      <c r="C9" s="34" t="s">
        <v>40</v>
      </c>
      <c r="D9" s="35" t="s">
        <v>41</v>
      </c>
      <c r="E9" s="35" t="s">
        <v>33</v>
      </c>
      <c r="F9" s="36">
        <v>0.6</v>
      </c>
      <c r="G9" s="37" t="s">
        <v>34</v>
      </c>
      <c r="H9" s="66" t="s">
        <v>35</v>
      </c>
      <c r="I9" s="60" t="s">
        <v>42</v>
      </c>
      <c r="J9" s="39"/>
      <c r="K9" s="39"/>
      <c r="L9" s="39"/>
      <c r="M9" s="39"/>
      <c r="N9" s="40"/>
      <c r="O9" s="40"/>
      <c r="P9" s="40"/>
      <c r="Q9" s="40"/>
      <c r="R9" s="41"/>
      <c r="S9" s="41"/>
      <c r="T9" s="41"/>
      <c r="U9" s="41"/>
      <c r="V9" s="42"/>
      <c r="W9" s="42"/>
      <c r="X9" s="42"/>
      <c r="Y9" s="42"/>
      <c r="Z9" s="43"/>
      <c r="AA9" s="43"/>
      <c r="AB9" s="43"/>
      <c r="AC9" s="43"/>
      <c r="AD9" s="44"/>
      <c r="AE9" s="44"/>
      <c r="AF9" s="44"/>
      <c r="AG9" s="44"/>
      <c r="AH9" s="45"/>
      <c r="AI9" s="45"/>
      <c r="AJ9" s="45"/>
      <c r="AK9" s="45"/>
      <c r="AL9" s="46"/>
      <c r="AM9" s="46"/>
      <c r="AN9" s="46"/>
      <c r="AO9" s="46"/>
      <c r="AP9" s="47"/>
      <c r="AQ9" s="47"/>
      <c r="AR9" s="47"/>
      <c r="AS9" s="47"/>
      <c r="AT9" s="39"/>
      <c r="AU9" s="39"/>
      <c r="AV9" s="39"/>
      <c r="AW9" s="39"/>
      <c r="AX9" s="40"/>
      <c r="AY9" s="48"/>
      <c r="AZ9" s="63"/>
      <c r="BA9" s="48"/>
      <c r="BB9" s="63"/>
      <c r="BC9" s="48"/>
      <c r="BD9" s="63"/>
      <c r="BE9" s="72" t="s">
        <v>43</v>
      </c>
      <c r="BF9" s="71"/>
      <c r="BG9" s="39"/>
      <c r="BH9" s="52"/>
      <c r="BI9" s="53"/>
      <c r="BJ9" s="54"/>
      <c r="BK9" s="54"/>
      <c r="BL9" s="40"/>
      <c r="BM9" s="49"/>
      <c r="BN9" s="55"/>
      <c r="BO9" s="56"/>
      <c r="BP9" s="57"/>
      <c r="BQ9" s="58"/>
      <c r="BR9" s="59"/>
      <c r="BS9" s="42"/>
      <c r="BT9" s="42"/>
      <c r="BU9" s="42"/>
      <c r="BV9" s="43"/>
      <c r="BW9" s="43"/>
      <c r="BX9" s="43"/>
      <c r="BY9" s="43"/>
      <c r="BZ9" s="44"/>
      <c r="CA9" s="44"/>
      <c r="CB9" s="44"/>
      <c r="CC9" s="44"/>
      <c r="CD9" s="45"/>
      <c r="CE9" s="45"/>
      <c r="CF9" s="45"/>
      <c r="CG9" s="45"/>
      <c r="CH9" s="46"/>
      <c r="CI9" s="46"/>
      <c r="CJ9" s="46"/>
      <c r="CK9" s="46"/>
      <c r="CL9" s="47"/>
      <c r="CM9" s="47"/>
      <c r="CN9" s="47"/>
      <c r="CO9" s="47"/>
      <c r="CP9" s="39"/>
      <c r="CQ9" s="39"/>
      <c r="CR9" s="39"/>
      <c r="CS9" s="39"/>
      <c r="CT9" s="40"/>
      <c r="CU9" s="40"/>
      <c r="CV9" s="40"/>
      <c r="CW9" s="40"/>
      <c r="CX9" s="51"/>
      <c r="CY9" s="51"/>
      <c r="CZ9" s="51"/>
      <c r="DA9" s="51"/>
    </row>
    <row r="10" ht="46.5" customHeight="1">
      <c r="A10" s="32"/>
      <c r="B10" s="33"/>
      <c r="C10" s="34" t="s">
        <v>44</v>
      </c>
      <c r="D10" s="35" t="s">
        <v>41</v>
      </c>
      <c r="E10" s="35" t="s">
        <v>25</v>
      </c>
      <c r="F10" s="36">
        <v>0.6</v>
      </c>
      <c r="G10" s="37" t="s">
        <v>34</v>
      </c>
      <c r="H10" s="66" t="s">
        <v>35</v>
      </c>
      <c r="I10" s="73" t="s">
        <v>45</v>
      </c>
      <c r="J10" s="39"/>
      <c r="K10" s="39"/>
      <c r="L10" s="39"/>
      <c r="M10" s="39"/>
      <c r="N10" s="40"/>
      <c r="O10" s="40"/>
      <c r="P10" s="40"/>
      <c r="Q10" s="40"/>
      <c r="R10" s="41"/>
      <c r="S10" s="41"/>
      <c r="T10" s="41"/>
      <c r="U10" s="41"/>
      <c r="V10" s="42"/>
      <c r="W10" s="42"/>
      <c r="X10" s="42"/>
      <c r="Y10" s="42"/>
      <c r="Z10" s="43"/>
      <c r="AA10" s="43"/>
      <c r="AB10" s="43"/>
      <c r="AC10" s="43"/>
      <c r="AD10" s="44"/>
      <c r="AE10" s="44"/>
      <c r="AF10" s="44"/>
      <c r="AG10" s="44"/>
      <c r="AH10" s="45"/>
      <c r="AI10" s="45"/>
      <c r="AJ10" s="45"/>
      <c r="AK10" s="45"/>
      <c r="AL10" s="46"/>
      <c r="AM10" s="46"/>
      <c r="AN10" s="46"/>
      <c r="AO10" s="46"/>
      <c r="AP10" s="47"/>
      <c r="AQ10" s="47"/>
      <c r="AR10" s="47"/>
      <c r="AS10" s="47"/>
      <c r="AT10" s="39"/>
      <c r="AU10" s="39"/>
      <c r="AV10" s="39"/>
      <c r="AW10" s="39"/>
      <c r="AX10" s="40"/>
      <c r="AY10" s="48"/>
      <c r="AZ10" s="63"/>
      <c r="BA10" s="48"/>
      <c r="BB10" s="63"/>
      <c r="BC10" s="72" t="s">
        <v>46</v>
      </c>
      <c r="BD10" s="63"/>
      <c r="BE10" s="48"/>
      <c r="BF10" s="74" t="s">
        <v>47</v>
      </c>
      <c r="BG10" s="48"/>
      <c r="BH10" s="52"/>
      <c r="BI10" s="53"/>
      <c r="BJ10" s="54"/>
      <c r="BK10" s="54"/>
      <c r="BL10" s="40"/>
      <c r="BM10" s="49"/>
      <c r="BN10" s="61"/>
      <c r="BO10" s="62"/>
      <c r="BP10" s="57"/>
      <c r="BQ10" s="58"/>
      <c r="BR10" s="59"/>
      <c r="BS10" s="42"/>
      <c r="BT10" s="42"/>
      <c r="BU10" s="42"/>
      <c r="BV10" s="43"/>
      <c r="BW10" s="43"/>
      <c r="BX10" s="43"/>
      <c r="BY10" s="43"/>
      <c r="BZ10" s="44"/>
      <c r="CA10" s="44"/>
      <c r="CB10" s="44"/>
      <c r="CC10" s="44"/>
      <c r="CD10" s="45"/>
      <c r="CE10" s="45"/>
      <c r="CF10" s="45"/>
      <c r="CG10" s="45"/>
      <c r="CH10" s="46"/>
      <c r="CI10" s="46"/>
      <c r="CJ10" s="46"/>
      <c r="CK10" s="46"/>
      <c r="CL10" s="47"/>
      <c r="CM10" s="47"/>
      <c r="CN10" s="47"/>
      <c r="CO10" s="47"/>
      <c r="CP10" s="39"/>
      <c r="CQ10" s="39"/>
      <c r="CR10" s="39"/>
      <c r="CS10" s="39"/>
      <c r="CT10" s="40"/>
      <c r="CU10" s="40"/>
      <c r="CV10" s="40"/>
      <c r="CW10" s="40"/>
      <c r="CX10" s="51"/>
      <c r="CY10" s="51"/>
      <c r="CZ10" s="51"/>
      <c r="DA10" s="51"/>
    </row>
    <row r="11" ht="29.25" customHeight="1">
      <c r="A11" s="32"/>
      <c r="B11" s="33"/>
      <c r="C11" s="34" t="s">
        <v>48</v>
      </c>
      <c r="D11" s="35" t="s">
        <v>49</v>
      </c>
      <c r="E11" s="35" t="s">
        <v>50</v>
      </c>
      <c r="F11" s="36">
        <v>0.15</v>
      </c>
      <c r="G11" s="37" t="s">
        <v>34</v>
      </c>
      <c r="H11" s="66" t="s">
        <v>35</v>
      </c>
      <c r="I11" s="60"/>
      <c r="J11" s="39"/>
      <c r="K11" s="39"/>
      <c r="L11" s="39"/>
      <c r="M11" s="39"/>
      <c r="N11" s="40"/>
      <c r="O11" s="40"/>
      <c r="P11" s="40"/>
      <c r="Q11" s="40"/>
      <c r="R11" s="41"/>
      <c r="S11" s="41"/>
      <c r="T11" s="41"/>
      <c r="U11" s="41"/>
      <c r="V11" s="42"/>
      <c r="W11" s="42"/>
      <c r="X11" s="42"/>
      <c r="Y11" s="42"/>
      <c r="Z11" s="43"/>
      <c r="AA11" s="43"/>
      <c r="AB11" s="43"/>
      <c r="AC11" s="43"/>
      <c r="AD11" s="44"/>
      <c r="AE11" s="44"/>
      <c r="AF11" s="44"/>
      <c r="AG11" s="44"/>
      <c r="AH11" s="45"/>
      <c r="AI11" s="45"/>
      <c r="AJ11" s="45"/>
      <c r="AK11" s="45"/>
      <c r="AL11" s="46"/>
      <c r="AM11" s="46"/>
      <c r="AN11" s="46"/>
      <c r="AO11" s="46"/>
      <c r="AP11" s="47"/>
      <c r="AQ11" s="47"/>
      <c r="AR11" s="47"/>
      <c r="AS11" s="47"/>
      <c r="AT11" s="39"/>
      <c r="AU11" s="39"/>
      <c r="AV11" s="39"/>
      <c r="AW11" s="39"/>
      <c r="AX11" s="40"/>
      <c r="AY11" s="63"/>
      <c r="AZ11" s="63"/>
      <c r="BA11" s="48"/>
      <c r="BB11" s="63"/>
      <c r="BC11" s="48"/>
      <c r="BD11" s="63"/>
      <c r="BE11" s="48"/>
      <c r="BF11" s="63"/>
      <c r="BG11" s="48"/>
      <c r="BH11" s="63"/>
      <c r="BI11" s="61"/>
      <c r="BJ11" s="62"/>
      <c r="BK11" s="62"/>
      <c r="BL11" s="48"/>
      <c r="BM11" s="63"/>
      <c r="BN11" s="61"/>
      <c r="BO11" s="62"/>
      <c r="BP11" s="64"/>
      <c r="BQ11" s="65"/>
      <c r="BR11" s="75"/>
      <c r="BS11" s="42"/>
      <c r="BT11" s="42"/>
      <c r="BU11" s="42"/>
      <c r="BV11" s="43"/>
      <c r="BW11" s="43"/>
      <c r="BX11" s="43"/>
      <c r="BY11" s="43"/>
      <c r="BZ11" s="44"/>
      <c r="CA11" s="44"/>
      <c r="CB11" s="44"/>
      <c r="CC11" s="44"/>
      <c r="CD11" s="45"/>
      <c r="CE11" s="45"/>
      <c r="CF11" s="45"/>
      <c r="CG11" s="45"/>
      <c r="CH11" s="46"/>
      <c r="CI11" s="46"/>
      <c r="CJ11" s="46"/>
      <c r="CK11" s="46"/>
      <c r="CL11" s="47"/>
      <c r="CM11" s="47"/>
      <c r="CN11" s="47"/>
      <c r="CO11" s="47"/>
      <c r="CP11" s="39"/>
      <c r="CQ11" s="39"/>
      <c r="CR11" s="39"/>
      <c r="CS11" s="39"/>
      <c r="CT11" s="40"/>
      <c r="CU11" s="40"/>
      <c r="CV11" s="40"/>
      <c r="CW11" s="40"/>
      <c r="CX11" s="51"/>
      <c r="CY11" s="51"/>
      <c r="CZ11" s="51"/>
      <c r="DA11" s="51"/>
    </row>
    <row r="12" ht="27.0" customHeight="1">
      <c r="A12" s="32"/>
      <c r="B12" s="33"/>
      <c r="C12" s="34" t="s">
        <v>51</v>
      </c>
      <c r="D12" s="35" t="s">
        <v>52</v>
      </c>
      <c r="E12" s="35" t="s">
        <v>25</v>
      </c>
      <c r="F12" s="36">
        <v>1.0</v>
      </c>
      <c r="G12" s="37" t="s">
        <v>26</v>
      </c>
      <c r="H12" s="37"/>
      <c r="I12" s="60" t="s">
        <v>53</v>
      </c>
      <c r="J12" s="39"/>
      <c r="K12" s="39"/>
      <c r="L12" s="39"/>
      <c r="M12" s="39"/>
      <c r="N12" s="40"/>
      <c r="O12" s="40"/>
      <c r="P12" s="40"/>
      <c r="Q12" s="40"/>
      <c r="R12" s="41"/>
      <c r="S12" s="41"/>
      <c r="T12" s="41"/>
      <c r="U12" s="41"/>
      <c r="V12" s="42"/>
      <c r="W12" s="42"/>
      <c r="X12" s="42"/>
      <c r="Y12" s="42"/>
      <c r="Z12" s="43"/>
      <c r="AA12" s="43"/>
      <c r="AB12" s="43"/>
      <c r="AC12" s="43"/>
      <c r="AD12" s="44"/>
      <c r="AE12" s="44"/>
      <c r="AF12" s="44"/>
      <c r="AG12" s="44"/>
      <c r="AH12" s="45"/>
      <c r="AI12" s="45"/>
      <c r="AJ12" s="45"/>
      <c r="AK12" s="45"/>
      <c r="AL12" s="46"/>
      <c r="AM12" s="46"/>
      <c r="AN12" s="46"/>
      <c r="AO12" s="46"/>
      <c r="AP12" s="47"/>
      <c r="AQ12" s="47"/>
      <c r="AR12" s="47"/>
      <c r="AS12" s="47"/>
      <c r="AT12" s="39"/>
      <c r="AU12" s="39"/>
      <c r="AV12" s="39"/>
      <c r="AW12" s="39"/>
      <c r="AX12" s="40"/>
      <c r="AY12" s="63"/>
      <c r="AZ12" s="49"/>
      <c r="BA12" s="40"/>
      <c r="BB12" s="50"/>
      <c r="BC12" s="51"/>
      <c r="BD12" s="50"/>
      <c r="BE12" s="72"/>
      <c r="BF12" s="76" t="s">
        <v>54</v>
      </c>
      <c r="BG12" s="39"/>
      <c r="BH12" s="52"/>
      <c r="BI12" s="53"/>
      <c r="BJ12" s="54"/>
      <c r="BK12" s="54"/>
      <c r="BL12" s="40"/>
      <c r="BM12" s="49"/>
      <c r="BN12" s="55"/>
      <c r="BO12" s="56"/>
      <c r="BP12" s="57"/>
      <c r="BQ12" s="58"/>
      <c r="BR12" s="59"/>
      <c r="BS12" s="42"/>
      <c r="BT12" s="42"/>
      <c r="BU12" s="42"/>
      <c r="BV12" s="43"/>
      <c r="BW12" s="43"/>
      <c r="BX12" s="43"/>
      <c r="BY12" s="43"/>
      <c r="BZ12" s="44"/>
      <c r="CA12" s="44"/>
      <c r="CB12" s="44"/>
      <c r="CC12" s="44"/>
      <c r="CD12" s="45"/>
      <c r="CE12" s="45"/>
      <c r="CF12" s="45"/>
      <c r="CG12" s="45"/>
      <c r="CH12" s="46"/>
      <c r="CI12" s="46"/>
      <c r="CJ12" s="46"/>
      <c r="CK12" s="46"/>
      <c r="CL12" s="47"/>
      <c r="CM12" s="47"/>
      <c r="CN12" s="47"/>
      <c r="CO12" s="47"/>
      <c r="CP12" s="39"/>
      <c r="CQ12" s="39"/>
      <c r="CR12" s="39"/>
      <c r="CS12" s="39"/>
      <c r="CT12" s="40"/>
      <c r="CU12" s="40"/>
      <c r="CV12" s="40"/>
      <c r="CW12" s="40"/>
      <c r="CX12" s="51"/>
      <c r="CY12" s="51"/>
      <c r="CZ12" s="51"/>
      <c r="DA12" s="51"/>
    </row>
    <row r="13" ht="27.0" customHeight="1">
      <c r="A13" s="32"/>
      <c r="B13" s="33"/>
      <c r="C13" s="34" t="s">
        <v>55</v>
      </c>
      <c r="D13" s="35" t="s">
        <v>56</v>
      </c>
      <c r="E13" s="35" t="s">
        <v>57</v>
      </c>
      <c r="F13" s="36">
        <v>0.9</v>
      </c>
      <c r="G13" s="37" t="s">
        <v>34</v>
      </c>
      <c r="H13" s="66" t="s">
        <v>35</v>
      </c>
      <c r="I13" s="60"/>
      <c r="J13" s="39"/>
      <c r="K13" s="39"/>
      <c r="L13" s="39"/>
      <c r="M13" s="39"/>
      <c r="N13" s="40"/>
      <c r="O13" s="40"/>
      <c r="P13" s="40"/>
      <c r="Q13" s="40"/>
      <c r="R13" s="41"/>
      <c r="S13" s="41"/>
      <c r="T13" s="41"/>
      <c r="U13" s="41"/>
      <c r="V13" s="42"/>
      <c r="W13" s="42"/>
      <c r="X13" s="42"/>
      <c r="Y13" s="42"/>
      <c r="Z13" s="43"/>
      <c r="AA13" s="43"/>
      <c r="AB13" s="43"/>
      <c r="AC13" s="43"/>
      <c r="AD13" s="44"/>
      <c r="AE13" s="44"/>
      <c r="AF13" s="44"/>
      <c r="AG13" s="44"/>
      <c r="AH13" s="45"/>
      <c r="AI13" s="45"/>
      <c r="AJ13" s="45"/>
      <c r="AK13" s="45"/>
      <c r="AL13" s="46"/>
      <c r="AM13" s="46"/>
      <c r="AN13" s="46"/>
      <c r="AO13" s="46"/>
      <c r="AP13" s="47"/>
      <c r="AQ13" s="47"/>
      <c r="AR13" s="47"/>
      <c r="AS13" s="47"/>
      <c r="AT13" s="48"/>
      <c r="AU13" s="48"/>
      <c r="AV13" s="48"/>
      <c r="AW13" s="48"/>
      <c r="AX13" s="48"/>
      <c r="AY13" s="40"/>
      <c r="AZ13" s="49"/>
      <c r="BA13" s="40"/>
      <c r="BB13" s="50"/>
      <c r="BC13" s="48"/>
      <c r="BD13" s="50"/>
      <c r="BE13" s="51"/>
      <c r="BF13" s="52"/>
      <c r="BG13" s="39"/>
      <c r="BH13" s="52"/>
      <c r="BI13" s="61"/>
      <c r="BJ13" s="54"/>
      <c r="BK13" s="54"/>
      <c r="BL13" s="40"/>
      <c r="BM13" s="49"/>
      <c r="BN13" s="55"/>
      <c r="BO13" s="56"/>
      <c r="BP13" s="64"/>
      <c r="BQ13" s="65"/>
      <c r="BR13" s="75"/>
      <c r="BS13" s="42"/>
      <c r="BT13" s="42"/>
      <c r="BU13" s="42"/>
      <c r="BV13" s="43"/>
      <c r="BW13" s="43"/>
      <c r="BX13" s="43"/>
      <c r="BY13" s="43"/>
      <c r="BZ13" s="44"/>
      <c r="CA13" s="44"/>
      <c r="CB13" s="44"/>
      <c r="CC13" s="44"/>
      <c r="CD13" s="45"/>
      <c r="CE13" s="45"/>
      <c r="CF13" s="45"/>
      <c r="CG13" s="45"/>
      <c r="CH13" s="46"/>
      <c r="CI13" s="46"/>
      <c r="CJ13" s="46"/>
      <c r="CK13" s="46"/>
      <c r="CL13" s="47"/>
      <c r="CM13" s="47"/>
      <c r="CN13" s="47"/>
      <c r="CO13" s="47"/>
      <c r="CP13" s="39"/>
      <c r="CQ13" s="39"/>
      <c r="CR13" s="39"/>
      <c r="CS13" s="39"/>
      <c r="CT13" s="40"/>
      <c r="CU13" s="40"/>
      <c r="CV13" s="40"/>
      <c r="CW13" s="40"/>
      <c r="CX13" s="51"/>
      <c r="CY13" s="51"/>
      <c r="CZ13" s="51"/>
      <c r="DA13" s="51"/>
    </row>
    <row r="14" ht="27.0" customHeight="1">
      <c r="A14" s="32"/>
      <c r="B14" s="33"/>
      <c r="C14" s="34" t="s">
        <v>58</v>
      </c>
      <c r="D14" s="35" t="s">
        <v>24</v>
      </c>
      <c r="E14" s="35" t="s">
        <v>25</v>
      </c>
      <c r="F14" s="36">
        <v>0.1</v>
      </c>
      <c r="G14" s="37" t="s">
        <v>34</v>
      </c>
      <c r="H14" s="37"/>
      <c r="I14" s="77" t="s">
        <v>59</v>
      </c>
      <c r="J14" s="39"/>
      <c r="K14" s="39"/>
      <c r="L14" s="39"/>
      <c r="M14" s="39"/>
      <c r="N14" s="40"/>
      <c r="O14" s="40"/>
      <c r="P14" s="40"/>
      <c r="Q14" s="40"/>
      <c r="R14" s="41"/>
      <c r="S14" s="41"/>
      <c r="T14" s="41"/>
      <c r="U14" s="41"/>
      <c r="V14" s="42"/>
      <c r="W14" s="42"/>
      <c r="X14" s="42"/>
      <c r="Y14" s="42"/>
      <c r="Z14" s="43"/>
      <c r="AA14" s="43"/>
      <c r="AB14" s="43"/>
      <c r="AC14" s="43"/>
      <c r="AD14" s="44"/>
      <c r="AE14" s="44"/>
      <c r="AF14" s="44"/>
      <c r="AG14" s="44"/>
      <c r="AH14" s="45"/>
      <c r="AI14" s="45"/>
      <c r="AJ14" s="45"/>
      <c r="AK14" s="45"/>
      <c r="AL14" s="46"/>
      <c r="AM14" s="46"/>
      <c r="AN14" s="46"/>
      <c r="AO14" s="46"/>
      <c r="AP14" s="47"/>
      <c r="AQ14" s="47"/>
      <c r="AR14" s="47"/>
      <c r="AS14" s="47"/>
      <c r="AT14" s="39"/>
      <c r="AU14" s="39"/>
      <c r="AV14" s="39"/>
      <c r="AW14" s="39"/>
      <c r="AX14" s="40"/>
      <c r="AY14" s="48"/>
      <c r="AZ14" s="49"/>
      <c r="BA14" s="40"/>
      <c r="BB14" s="50"/>
      <c r="BC14" s="51"/>
      <c r="BD14" s="50"/>
      <c r="BE14" s="51"/>
      <c r="BF14" s="52"/>
      <c r="BG14" s="78"/>
      <c r="BH14" s="52"/>
      <c r="BI14" s="53"/>
      <c r="BJ14" s="54"/>
      <c r="BK14" s="54"/>
      <c r="BL14" s="40"/>
      <c r="BM14" s="49"/>
      <c r="BN14" s="55"/>
      <c r="BO14" s="62"/>
      <c r="BP14" s="57"/>
      <c r="BQ14" s="58"/>
      <c r="BR14" s="59"/>
      <c r="BS14" s="42"/>
      <c r="BT14" s="42"/>
      <c r="BU14" s="42"/>
      <c r="BV14" s="43"/>
      <c r="BW14" s="43"/>
      <c r="BX14" s="43"/>
      <c r="BY14" s="43"/>
      <c r="BZ14" s="44"/>
      <c r="CA14" s="44"/>
      <c r="CB14" s="44"/>
      <c r="CC14" s="44"/>
      <c r="CD14" s="45"/>
      <c r="CE14" s="45"/>
      <c r="CF14" s="45"/>
      <c r="CG14" s="45"/>
      <c r="CH14" s="46"/>
      <c r="CI14" s="46"/>
      <c r="CJ14" s="46"/>
      <c r="CK14" s="46"/>
      <c r="CL14" s="47"/>
      <c r="CM14" s="47"/>
      <c r="CN14" s="47"/>
      <c r="CO14" s="47"/>
      <c r="CP14" s="39"/>
      <c r="CQ14" s="39"/>
      <c r="CR14" s="39"/>
      <c r="CS14" s="39"/>
      <c r="CT14" s="40"/>
      <c r="CU14" s="40"/>
      <c r="CV14" s="40"/>
      <c r="CW14" s="40"/>
      <c r="CX14" s="51"/>
      <c r="CY14" s="51"/>
      <c r="CZ14" s="51"/>
      <c r="DA14" s="51"/>
    </row>
    <row r="15" ht="27.0" customHeight="1">
      <c r="A15" s="32"/>
      <c r="B15" s="33"/>
      <c r="C15" s="34" t="s">
        <v>60</v>
      </c>
      <c r="D15" s="35" t="s">
        <v>41</v>
      </c>
      <c r="E15" s="35" t="s">
        <v>25</v>
      </c>
      <c r="F15" s="36">
        <v>0.0</v>
      </c>
      <c r="G15" s="37" t="s">
        <v>34</v>
      </c>
      <c r="H15" s="37"/>
      <c r="I15" s="60" t="s">
        <v>61</v>
      </c>
      <c r="J15" s="39"/>
      <c r="K15" s="39"/>
      <c r="L15" s="39"/>
      <c r="M15" s="39"/>
      <c r="N15" s="40"/>
      <c r="O15" s="40"/>
      <c r="P15" s="40"/>
      <c r="Q15" s="40"/>
      <c r="R15" s="41"/>
      <c r="S15" s="41"/>
      <c r="T15" s="41"/>
      <c r="U15" s="41"/>
      <c r="V15" s="42"/>
      <c r="W15" s="42"/>
      <c r="X15" s="42"/>
      <c r="Y15" s="42"/>
      <c r="Z15" s="43"/>
      <c r="AA15" s="43"/>
      <c r="AB15" s="43"/>
      <c r="AC15" s="43"/>
      <c r="AD15" s="44"/>
      <c r="AE15" s="44"/>
      <c r="AF15" s="44"/>
      <c r="AG15" s="44"/>
      <c r="AH15" s="45"/>
      <c r="AI15" s="45"/>
      <c r="AJ15" s="45"/>
      <c r="AK15" s="45"/>
      <c r="AL15" s="46"/>
      <c r="AM15" s="46"/>
      <c r="AN15" s="46"/>
      <c r="AO15" s="46"/>
      <c r="AP15" s="47"/>
      <c r="AQ15" s="47"/>
      <c r="AR15" s="47"/>
      <c r="AS15" s="47"/>
      <c r="AT15" s="39"/>
      <c r="AU15" s="39"/>
      <c r="AV15" s="39"/>
      <c r="AW15" s="39"/>
      <c r="AX15" s="40"/>
      <c r="AY15" s="40"/>
      <c r="AZ15" s="49"/>
      <c r="BA15" s="40"/>
      <c r="BB15" s="50"/>
      <c r="BC15" s="51"/>
      <c r="BD15" s="50"/>
      <c r="BE15" s="51"/>
      <c r="BF15" s="52"/>
      <c r="BG15" s="39"/>
      <c r="BH15" s="52"/>
      <c r="BI15" s="53"/>
      <c r="BJ15" s="54"/>
      <c r="BK15" s="54"/>
      <c r="BL15" s="40"/>
      <c r="BM15" s="49"/>
      <c r="BN15" s="55"/>
      <c r="BO15" s="56"/>
      <c r="BP15" s="57"/>
      <c r="BQ15" s="58"/>
      <c r="BR15" s="59"/>
      <c r="BS15" s="42"/>
      <c r="BT15" s="42"/>
      <c r="BU15" s="42"/>
      <c r="BV15" s="43"/>
      <c r="BW15" s="43"/>
      <c r="BX15" s="43"/>
      <c r="BY15" s="43"/>
      <c r="BZ15" s="44"/>
      <c r="CA15" s="44"/>
      <c r="CB15" s="44"/>
      <c r="CC15" s="44"/>
      <c r="CD15" s="45"/>
      <c r="CE15" s="45"/>
      <c r="CF15" s="45"/>
      <c r="CG15" s="45"/>
      <c r="CH15" s="46"/>
      <c r="CI15" s="46"/>
      <c r="CJ15" s="46"/>
      <c r="CK15" s="46"/>
      <c r="CL15" s="47"/>
      <c r="CM15" s="47"/>
      <c r="CN15" s="47"/>
      <c r="CO15" s="47"/>
      <c r="CP15" s="39"/>
      <c r="CQ15" s="39"/>
      <c r="CR15" s="39"/>
      <c r="CS15" s="39"/>
      <c r="CT15" s="40"/>
      <c r="CU15" s="40"/>
      <c r="CV15" s="40"/>
      <c r="CW15" s="40"/>
      <c r="CX15" s="51"/>
      <c r="CY15" s="51"/>
      <c r="CZ15" s="51"/>
      <c r="DA15" s="51"/>
    </row>
    <row r="16" ht="27.0" customHeight="1">
      <c r="A16" s="32"/>
      <c r="B16" s="33"/>
      <c r="C16" s="34" t="s">
        <v>62</v>
      </c>
      <c r="D16" s="35" t="s">
        <v>32</v>
      </c>
      <c r="E16" s="35" t="s">
        <v>33</v>
      </c>
      <c r="F16" s="36">
        <v>0.0</v>
      </c>
      <c r="G16" s="37" t="s">
        <v>63</v>
      </c>
      <c r="H16" s="37"/>
      <c r="I16" s="60"/>
      <c r="J16" s="39"/>
      <c r="K16" s="39"/>
      <c r="L16" s="39"/>
      <c r="M16" s="39"/>
      <c r="N16" s="40"/>
      <c r="O16" s="40"/>
      <c r="P16" s="40"/>
      <c r="Q16" s="40"/>
      <c r="R16" s="41"/>
      <c r="S16" s="41"/>
      <c r="T16" s="41"/>
      <c r="U16" s="41"/>
      <c r="V16" s="42"/>
      <c r="W16" s="42"/>
      <c r="X16" s="42"/>
      <c r="Y16" s="42"/>
      <c r="Z16" s="43"/>
      <c r="AA16" s="43"/>
      <c r="AB16" s="43"/>
      <c r="AC16" s="43"/>
      <c r="AD16" s="44"/>
      <c r="AE16" s="44"/>
      <c r="AF16" s="44"/>
      <c r="AG16" s="44"/>
      <c r="AH16" s="45"/>
      <c r="AI16" s="45"/>
      <c r="AJ16" s="45"/>
      <c r="AK16" s="45"/>
      <c r="AL16" s="46"/>
      <c r="AM16" s="46"/>
      <c r="AN16" s="46"/>
      <c r="AO16" s="46"/>
      <c r="AP16" s="47"/>
      <c r="AQ16" s="47"/>
      <c r="AR16" s="47"/>
      <c r="AS16" s="47"/>
      <c r="AT16" s="39"/>
      <c r="AU16" s="39"/>
      <c r="AV16" s="39"/>
      <c r="AW16" s="39"/>
      <c r="AX16" s="40"/>
      <c r="AY16" s="40"/>
      <c r="AZ16" s="49"/>
      <c r="BA16" s="40"/>
      <c r="BB16" s="50"/>
      <c r="BC16" s="51"/>
      <c r="BD16" s="50"/>
      <c r="BE16" s="51"/>
      <c r="BF16" s="52"/>
      <c r="BG16" s="39"/>
      <c r="BH16" s="52"/>
      <c r="BI16" s="53"/>
      <c r="BJ16" s="54"/>
      <c r="BK16" s="54"/>
      <c r="BL16" s="40"/>
      <c r="BM16" s="49"/>
      <c r="BN16" s="55"/>
      <c r="BO16" s="56"/>
      <c r="BP16" s="57"/>
      <c r="BQ16" s="58"/>
      <c r="BR16" s="59"/>
      <c r="BS16" s="42"/>
      <c r="BT16" s="42"/>
      <c r="BU16" s="42"/>
      <c r="BV16" s="43"/>
      <c r="BW16" s="43"/>
      <c r="BX16" s="43"/>
      <c r="BY16" s="43"/>
      <c r="BZ16" s="44"/>
      <c r="CA16" s="44"/>
      <c r="CB16" s="44"/>
      <c r="CC16" s="44"/>
      <c r="CD16" s="45"/>
      <c r="CE16" s="45"/>
      <c r="CF16" s="45"/>
      <c r="CG16" s="45"/>
      <c r="CH16" s="46"/>
      <c r="CI16" s="46"/>
      <c r="CJ16" s="46"/>
      <c r="CK16" s="46"/>
      <c r="CL16" s="47"/>
      <c r="CM16" s="47"/>
      <c r="CN16" s="47"/>
      <c r="CO16" s="47"/>
      <c r="CP16" s="39"/>
      <c r="CQ16" s="39"/>
      <c r="CR16" s="39"/>
      <c r="CS16" s="39"/>
      <c r="CT16" s="40"/>
      <c r="CU16" s="40"/>
      <c r="CV16" s="40"/>
      <c r="CW16" s="40"/>
      <c r="CX16" s="51"/>
      <c r="CY16" s="51"/>
      <c r="CZ16" s="51"/>
      <c r="DA16" s="51"/>
    </row>
    <row r="17" ht="27.0" customHeight="1">
      <c r="A17" s="32"/>
      <c r="B17" s="33"/>
      <c r="C17" s="34" t="s">
        <v>64</v>
      </c>
      <c r="D17" s="35"/>
      <c r="E17" s="35"/>
      <c r="F17" s="36">
        <v>0.0</v>
      </c>
      <c r="G17" s="37" t="s">
        <v>34</v>
      </c>
      <c r="H17" s="37"/>
      <c r="I17" s="79"/>
      <c r="J17" s="39"/>
      <c r="K17" s="39"/>
      <c r="L17" s="39"/>
      <c r="M17" s="39"/>
      <c r="N17" s="40"/>
      <c r="O17" s="40"/>
      <c r="P17" s="40"/>
      <c r="Q17" s="40"/>
      <c r="R17" s="41"/>
      <c r="S17" s="41"/>
      <c r="T17" s="41"/>
      <c r="U17" s="41"/>
      <c r="V17" s="42"/>
      <c r="W17" s="42"/>
      <c r="X17" s="42"/>
      <c r="Y17" s="42"/>
      <c r="Z17" s="43"/>
      <c r="AA17" s="43"/>
      <c r="AB17" s="43"/>
      <c r="AC17" s="43"/>
      <c r="AD17" s="44"/>
      <c r="AE17" s="44"/>
      <c r="AF17" s="44"/>
      <c r="AG17" s="44"/>
      <c r="AH17" s="45"/>
      <c r="AI17" s="45"/>
      <c r="AJ17" s="45"/>
      <c r="AK17" s="45"/>
      <c r="AL17" s="46"/>
      <c r="AM17" s="46"/>
      <c r="AN17" s="46"/>
      <c r="AO17" s="46"/>
      <c r="AP17" s="47"/>
      <c r="AQ17" s="47"/>
      <c r="AR17" s="47"/>
      <c r="AS17" s="47"/>
      <c r="AT17" s="39"/>
      <c r="AU17" s="39"/>
      <c r="AV17" s="39"/>
      <c r="AW17" s="39"/>
      <c r="AX17" s="40"/>
      <c r="AY17" s="40"/>
      <c r="AZ17" s="49"/>
      <c r="BA17" s="40"/>
      <c r="BB17" s="50"/>
      <c r="BC17" s="51"/>
      <c r="BD17" s="50"/>
      <c r="BE17" s="48"/>
      <c r="BF17" s="52"/>
      <c r="BG17" s="39"/>
      <c r="BH17" s="52"/>
      <c r="BI17" s="53"/>
      <c r="BJ17" s="54"/>
      <c r="BK17" s="62"/>
      <c r="BL17" s="48"/>
      <c r="BM17" s="63"/>
      <c r="BN17" s="61"/>
      <c r="BO17" s="62"/>
      <c r="BP17" s="64"/>
      <c r="BQ17" s="65"/>
      <c r="BR17" s="59"/>
      <c r="BS17" s="42"/>
      <c r="BT17" s="42"/>
      <c r="BU17" s="42"/>
      <c r="BV17" s="80"/>
      <c r="BW17" s="43"/>
      <c r="BX17" s="43"/>
      <c r="BY17" s="43"/>
      <c r="BZ17" s="44"/>
      <c r="CA17" s="44"/>
      <c r="CB17" s="44"/>
      <c r="CC17" s="44"/>
      <c r="CD17" s="45"/>
      <c r="CE17" s="45"/>
      <c r="CF17" s="45"/>
      <c r="CG17" s="45"/>
      <c r="CH17" s="46"/>
      <c r="CI17" s="46"/>
      <c r="CJ17" s="46"/>
      <c r="CK17" s="46"/>
      <c r="CL17" s="47"/>
      <c r="CM17" s="47"/>
      <c r="CN17" s="47"/>
      <c r="CO17" s="47"/>
      <c r="CP17" s="39"/>
      <c r="CQ17" s="39"/>
      <c r="CR17" s="39"/>
      <c r="CS17" s="39"/>
      <c r="CT17" s="40"/>
      <c r="CU17" s="40"/>
      <c r="CV17" s="40"/>
      <c r="CW17" s="40"/>
      <c r="CX17" s="51"/>
      <c r="CY17" s="51"/>
      <c r="CZ17" s="51"/>
      <c r="DA17" s="51"/>
    </row>
    <row r="18" ht="27.0" customHeight="1">
      <c r="A18" s="32"/>
      <c r="B18" s="33"/>
      <c r="C18" s="34" t="s">
        <v>65</v>
      </c>
      <c r="D18" s="35"/>
      <c r="E18" s="35"/>
      <c r="F18" s="36">
        <v>0.0</v>
      </c>
      <c r="G18" s="37" t="s">
        <v>26</v>
      </c>
      <c r="H18" s="37"/>
      <c r="I18" s="79"/>
      <c r="J18" s="39"/>
      <c r="K18" s="39"/>
      <c r="L18" s="39"/>
      <c r="M18" s="39"/>
      <c r="N18" s="40"/>
      <c r="O18" s="40"/>
      <c r="P18" s="40"/>
      <c r="Q18" s="40"/>
      <c r="R18" s="41"/>
      <c r="S18" s="41"/>
      <c r="T18" s="41"/>
      <c r="U18" s="41"/>
      <c r="V18" s="42"/>
      <c r="W18" s="42"/>
      <c r="X18" s="42"/>
      <c r="Y18" s="42"/>
      <c r="Z18" s="43"/>
      <c r="AA18" s="43"/>
      <c r="AB18" s="43"/>
      <c r="AC18" s="43"/>
      <c r="AD18" s="44"/>
      <c r="AE18" s="44"/>
      <c r="AF18" s="44"/>
      <c r="AG18" s="44"/>
      <c r="AH18" s="45"/>
      <c r="AI18" s="45"/>
      <c r="AJ18" s="45"/>
      <c r="AK18" s="45"/>
      <c r="AL18" s="46"/>
      <c r="AM18" s="46"/>
      <c r="AN18" s="46"/>
      <c r="AO18" s="46"/>
      <c r="AP18" s="47"/>
      <c r="AQ18" s="47"/>
      <c r="AR18" s="47"/>
      <c r="AS18" s="47"/>
      <c r="AT18" s="39"/>
      <c r="AU18" s="39"/>
      <c r="AV18" s="39"/>
      <c r="AW18" s="39"/>
      <c r="AX18" s="40"/>
      <c r="AY18" s="40"/>
      <c r="AZ18" s="49"/>
      <c r="BA18" s="40"/>
      <c r="BB18" s="50"/>
      <c r="BC18" s="51"/>
      <c r="BD18" s="50"/>
      <c r="BE18" s="48"/>
      <c r="BF18" s="63"/>
      <c r="BG18" s="39"/>
      <c r="BH18" s="52"/>
      <c r="BI18" s="61"/>
      <c r="BJ18" s="62"/>
      <c r="BK18" s="62"/>
      <c r="BL18" s="81"/>
      <c r="BM18" s="82"/>
      <c r="BN18" s="55"/>
      <c r="BO18" s="56"/>
      <c r="BP18" s="57"/>
      <c r="BQ18" s="58"/>
      <c r="BR18" s="59"/>
      <c r="BS18" s="42"/>
      <c r="BT18" s="42"/>
      <c r="BU18" s="42"/>
      <c r="BV18" s="43"/>
      <c r="BW18" s="43"/>
      <c r="BX18" s="43"/>
      <c r="BY18" s="43"/>
      <c r="BZ18" s="44"/>
      <c r="CA18" s="44"/>
      <c r="CB18" s="44"/>
      <c r="CC18" s="44"/>
      <c r="CD18" s="45"/>
      <c r="CE18" s="45"/>
      <c r="CF18" s="45"/>
      <c r="CG18" s="45"/>
      <c r="CH18" s="46"/>
      <c r="CI18" s="46"/>
      <c r="CJ18" s="46"/>
      <c r="CK18" s="46"/>
      <c r="CL18" s="47"/>
      <c r="CM18" s="47"/>
      <c r="CN18" s="47"/>
      <c r="CO18" s="47"/>
      <c r="CP18" s="39"/>
      <c r="CQ18" s="39"/>
      <c r="CR18" s="39"/>
      <c r="CS18" s="39"/>
      <c r="CT18" s="40"/>
      <c r="CU18" s="40"/>
      <c r="CV18" s="40"/>
      <c r="CW18" s="40"/>
      <c r="CX18" s="51"/>
      <c r="CY18" s="51"/>
      <c r="CZ18" s="51"/>
      <c r="DA18" s="51"/>
    </row>
    <row r="19" ht="27.0" customHeight="1">
      <c r="A19" s="32"/>
      <c r="B19" s="33"/>
      <c r="C19" s="34" t="s">
        <v>66</v>
      </c>
      <c r="D19" s="35"/>
      <c r="E19" s="35"/>
      <c r="F19" s="36">
        <v>0.0</v>
      </c>
      <c r="G19" s="37" t="s">
        <v>34</v>
      </c>
      <c r="H19" s="37"/>
      <c r="I19" s="79"/>
      <c r="J19" s="39"/>
      <c r="K19" s="39"/>
      <c r="L19" s="39"/>
      <c r="M19" s="39"/>
      <c r="N19" s="40"/>
      <c r="O19" s="40"/>
      <c r="P19" s="40"/>
      <c r="Q19" s="40"/>
      <c r="R19" s="41"/>
      <c r="S19" s="41"/>
      <c r="T19" s="41"/>
      <c r="U19" s="41"/>
      <c r="V19" s="42"/>
      <c r="W19" s="42"/>
      <c r="X19" s="42"/>
      <c r="Y19" s="42"/>
      <c r="Z19" s="43"/>
      <c r="AA19" s="43"/>
      <c r="AB19" s="43"/>
      <c r="AC19" s="43"/>
      <c r="AD19" s="44"/>
      <c r="AE19" s="44"/>
      <c r="AF19" s="44"/>
      <c r="AG19" s="44"/>
      <c r="AH19" s="45"/>
      <c r="AI19" s="45"/>
      <c r="AJ19" s="45"/>
      <c r="AK19" s="45"/>
      <c r="AL19" s="46"/>
      <c r="AM19" s="46"/>
      <c r="AN19" s="46"/>
      <c r="AO19" s="46"/>
      <c r="AP19" s="47"/>
      <c r="AQ19" s="47"/>
      <c r="AR19" s="47"/>
      <c r="AS19" s="47"/>
      <c r="AT19" s="39"/>
      <c r="AU19" s="39"/>
      <c r="AV19" s="39"/>
      <c r="AW19" s="39"/>
      <c r="AX19" s="40"/>
      <c r="AY19" s="40"/>
      <c r="AZ19" s="49"/>
      <c r="BA19" s="40"/>
      <c r="BB19" s="50"/>
      <c r="BC19" s="51"/>
      <c r="BD19" s="50"/>
      <c r="BE19" s="50"/>
      <c r="BF19" s="52"/>
      <c r="BG19" s="39"/>
      <c r="BH19" s="52"/>
      <c r="BI19" s="53"/>
      <c r="BJ19" s="54"/>
      <c r="BK19" s="54"/>
      <c r="BL19" s="83"/>
      <c r="BM19" s="82"/>
      <c r="BN19" s="55"/>
      <c r="BO19" s="62"/>
      <c r="BP19" s="64"/>
      <c r="BQ19" s="58"/>
      <c r="BR19" s="59"/>
      <c r="BS19" s="42"/>
      <c r="BT19" s="42"/>
      <c r="BU19" s="42"/>
      <c r="BV19" s="43"/>
      <c r="BW19" s="43"/>
      <c r="BX19" s="43"/>
      <c r="BY19" s="43"/>
      <c r="BZ19" s="44"/>
      <c r="CA19" s="44"/>
      <c r="CB19" s="44"/>
      <c r="CC19" s="44"/>
      <c r="CD19" s="45"/>
      <c r="CE19" s="45"/>
      <c r="CF19" s="45"/>
      <c r="CG19" s="45"/>
      <c r="CH19" s="46"/>
      <c r="CI19" s="46"/>
      <c r="CJ19" s="46"/>
      <c r="CK19" s="46"/>
      <c r="CL19" s="47"/>
      <c r="CM19" s="47"/>
      <c r="CN19" s="47"/>
      <c r="CO19" s="47"/>
      <c r="CP19" s="39"/>
      <c r="CQ19" s="39"/>
      <c r="CR19" s="39"/>
      <c r="CS19" s="39"/>
      <c r="CT19" s="40"/>
      <c r="CU19" s="40"/>
      <c r="CV19" s="40"/>
      <c r="CW19" s="40"/>
      <c r="CX19" s="51"/>
      <c r="CY19" s="51"/>
      <c r="CZ19" s="51"/>
      <c r="DA19" s="51"/>
    </row>
    <row r="20" ht="27.0" customHeight="1">
      <c r="A20" s="32"/>
      <c r="B20" s="33"/>
      <c r="C20" s="34" t="s">
        <v>67</v>
      </c>
      <c r="D20" s="35"/>
      <c r="E20" s="35"/>
      <c r="F20" s="36">
        <v>0.0</v>
      </c>
      <c r="G20" s="37" t="s">
        <v>34</v>
      </c>
      <c r="H20" s="37"/>
      <c r="I20" s="79"/>
      <c r="J20" s="39"/>
      <c r="K20" s="39"/>
      <c r="L20" s="39"/>
      <c r="M20" s="39"/>
      <c r="N20" s="40"/>
      <c r="O20" s="40"/>
      <c r="P20" s="40"/>
      <c r="Q20" s="40"/>
      <c r="R20" s="41"/>
      <c r="S20" s="41"/>
      <c r="T20" s="41"/>
      <c r="U20" s="41"/>
      <c r="V20" s="42"/>
      <c r="W20" s="42"/>
      <c r="X20" s="42"/>
      <c r="Y20" s="42"/>
      <c r="Z20" s="43"/>
      <c r="AA20" s="43"/>
      <c r="AB20" s="43"/>
      <c r="AC20" s="43"/>
      <c r="AD20" s="44"/>
      <c r="AE20" s="44"/>
      <c r="AF20" s="44"/>
      <c r="AG20" s="44"/>
      <c r="AH20" s="45"/>
      <c r="AI20" s="45"/>
      <c r="AJ20" s="45"/>
      <c r="AK20" s="45"/>
      <c r="AL20" s="46"/>
      <c r="AM20" s="46"/>
      <c r="AN20" s="46"/>
      <c r="AO20" s="46"/>
      <c r="AP20" s="47"/>
      <c r="AQ20" s="47"/>
      <c r="AR20" s="47"/>
      <c r="AS20" s="47"/>
      <c r="AT20" s="39"/>
      <c r="AU20" s="39"/>
      <c r="AV20" s="39"/>
      <c r="AW20" s="39"/>
      <c r="AX20" s="40"/>
      <c r="AY20" s="40"/>
      <c r="AZ20" s="49"/>
      <c r="BA20" s="40"/>
      <c r="BB20" s="50"/>
      <c r="BC20" s="51"/>
      <c r="BD20" s="50"/>
      <c r="BE20" s="50"/>
      <c r="BF20" s="52"/>
      <c r="BG20" s="39"/>
      <c r="BH20" s="52"/>
      <c r="BI20" s="53"/>
      <c r="BJ20" s="54"/>
      <c r="BK20" s="54"/>
      <c r="BL20" s="84"/>
      <c r="BM20" s="85"/>
      <c r="BN20" s="55"/>
      <c r="BO20" s="56"/>
      <c r="BP20" s="57"/>
      <c r="BQ20" s="58"/>
      <c r="BR20" s="59"/>
      <c r="BS20" s="42"/>
      <c r="BT20" s="42"/>
      <c r="BU20" s="42"/>
      <c r="BV20" s="43"/>
      <c r="BW20" s="43"/>
      <c r="BX20" s="43"/>
      <c r="BY20" s="43"/>
      <c r="BZ20" s="44"/>
      <c r="CA20" s="44"/>
      <c r="CB20" s="44"/>
      <c r="CC20" s="44"/>
      <c r="CD20" s="45"/>
      <c r="CE20" s="45"/>
      <c r="CF20" s="45"/>
      <c r="CG20" s="45"/>
      <c r="CH20" s="46"/>
      <c r="CI20" s="46"/>
      <c r="CJ20" s="46"/>
      <c r="CK20" s="46"/>
      <c r="CL20" s="47"/>
      <c r="CM20" s="47"/>
      <c r="CN20" s="47"/>
      <c r="CO20" s="47"/>
      <c r="CP20" s="39"/>
      <c r="CQ20" s="39"/>
      <c r="CR20" s="39"/>
      <c r="CS20" s="39"/>
      <c r="CT20" s="40"/>
      <c r="CU20" s="40"/>
      <c r="CV20" s="40"/>
      <c r="CW20" s="40"/>
      <c r="CX20" s="51"/>
      <c r="CY20" s="51"/>
      <c r="CZ20" s="51"/>
      <c r="DA20" s="51"/>
    </row>
    <row r="21" ht="27.0" customHeight="1">
      <c r="A21" s="32"/>
      <c r="B21" s="33"/>
      <c r="C21" s="34" t="s">
        <v>68</v>
      </c>
      <c r="D21" s="35"/>
      <c r="E21" s="35"/>
      <c r="F21" s="36">
        <v>0.0</v>
      </c>
      <c r="G21" s="37" t="s">
        <v>34</v>
      </c>
      <c r="H21" s="37"/>
      <c r="I21" s="79"/>
      <c r="J21" s="39"/>
      <c r="K21" s="39"/>
      <c r="L21" s="39"/>
      <c r="M21" s="39"/>
      <c r="N21" s="40"/>
      <c r="O21" s="40"/>
      <c r="P21" s="40"/>
      <c r="Q21" s="40"/>
      <c r="R21" s="41"/>
      <c r="S21" s="41"/>
      <c r="T21" s="41"/>
      <c r="U21" s="41"/>
      <c r="V21" s="42"/>
      <c r="W21" s="42"/>
      <c r="X21" s="42"/>
      <c r="Y21" s="42"/>
      <c r="Z21" s="43"/>
      <c r="AA21" s="43"/>
      <c r="AB21" s="43"/>
      <c r="AC21" s="43"/>
      <c r="AD21" s="44"/>
      <c r="AE21" s="44"/>
      <c r="AF21" s="44"/>
      <c r="AG21" s="44"/>
      <c r="AH21" s="45"/>
      <c r="AI21" s="45"/>
      <c r="AJ21" s="45"/>
      <c r="AK21" s="45"/>
      <c r="AL21" s="46"/>
      <c r="AM21" s="46"/>
      <c r="AN21" s="46"/>
      <c r="AO21" s="46"/>
      <c r="AP21" s="47"/>
      <c r="AQ21" s="47"/>
      <c r="AR21" s="47"/>
      <c r="AS21" s="47"/>
      <c r="AT21" s="39"/>
      <c r="AU21" s="39"/>
      <c r="AV21" s="39"/>
      <c r="AW21" s="39"/>
      <c r="AX21" s="40"/>
      <c r="AY21" s="40"/>
      <c r="AZ21" s="49"/>
      <c r="BA21" s="40"/>
      <c r="BB21" s="50"/>
      <c r="BC21" s="51"/>
      <c r="BD21" s="50"/>
      <c r="BE21" s="50"/>
      <c r="BF21" s="52"/>
      <c r="BG21" s="39"/>
      <c r="BH21" s="52"/>
      <c r="BI21" s="53"/>
      <c r="BJ21" s="54"/>
      <c r="BK21" s="54"/>
      <c r="BL21" s="61"/>
      <c r="BM21" s="61"/>
      <c r="BN21" s="61"/>
      <c r="BO21" s="62"/>
      <c r="BP21" s="64"/>
      <c r="BQ21" s="58"/>
      <c r="BR21" s="59"/>
      <c r="BS21" s="42"/>
      <c r="BT21" s="42"/>
      <c r="BU21" s="42"/>
      <c r="BV21" s="43"/>
      <c r="BW21" s="43"/>
      <c r="BX21" s="43"/>
      <c r="BY21" s="43"/>
      <c r="BZ21" s="44"/>
      <c r="CA21" s="44"/>
      <c r="CB21" s="44"/>
      <c r="CC21" s="44"/>
      <c r="CD21" s="45"/>
      <c r="CE21" s="45"/>
      <c r="CF21" s="45"/>
      <c r="CG21" s="45"/>
      <c r="CH21" s="46"/>
      <c r="CI21" s="46"/>
      <c r="CJ21" s="46"/>
      <c r="CK21" s="46"/>
      <c r="CL21" s="47"/>
      <c r="CM21" s="47"/>
      <c r="CN21" s="47"/>
      <c r="CO21" s="47"/>
      <c r="CP21" s="39"/>
      <c r="CQ21" s="39"/>
      <c r="CR21" s="39"/>
      <c r="CS21" s="39"/>
      <c r="CT21" s="40"/>
      <c r="CU21" s="40"/>
      <c r="CV21" s="40"/>
      <c r="CW21" s="40"/>
      <c r="CX21" s="51"/>
      <c r="CY21" s="51"/>
      <c r="CZ21" s="51"/>
      <c r="DA21" s="51"/>
    </row>
  </sheetData>
  <mergeCells count="29">
    <mergeCell ref="BV3:BY3"/>
    <mergeCell ref="BZ3:CC3"/>
    <mergeCell ref="CD3:CG3"/>
    <mergeCell ref="CH3:CK3"/>
    <mergeCell ref="CL3:CO3"/>
    <mergeCell ref="CP3:CS3"/>
    <mergeCell ref="CT3:CW3"/>
    <mergeCell ref="CX3:DA3"/>
    <mergeCell ref="BL1:BM1"/>
    <mergeCell ref="BN1:BO1"/>
    <mergeCell ref="BP1:BQ1"/>
    <mergeCell ref="J2:BE2"/>
    <mergeCell ref="BF2:DA2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B3:BE3"/>
    <mergeCell ref="BF3:BI3"/>
    <mergeCell ref="BJ3:BM3"/>
    <mergeCell ref="BN3:BQ3"/>
    <mergeCell ref="BR3:BU3"/>
  </mergeCells>
  <dataValidations>
    <dataValidation type="list" allowBlank="1" showErrorMessage="1" sqref="G4:G21">
      <formula1>"To Do,In Progress,Testing,Done,On Hold,Waitting for brief,Cancel"</formula1>
    </dataValidation>
  </dataValidations>
  <hyperlinks>
    <hyperlink r:id="rId1" ref="H7"/>
    <hyperlink r:id="rId2" ref="H8"/>
    <hyperlink r:id="rId3" ref="H9"/>
    <hyperlink r:id="rId4" ref="H10"/>
    <hyperlink r:id="rId5" location="gid=1729294108" ref="I10"/>
    <hyperlink r:id="rId6" ref="H11"/>
    <hyperlink r:id="rId7" ref="H13"/>
  </hyperlinks>
  <printOptions/>
  <pageMargins bottom="0.75" footer="0.0" header="0.0" left="0.7" right="0.7" top="0.75"/>
  <pageSetup orientation="portrait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63"/>
    <col customWidth="1" min="2" max="2" width="16.0"/>
    <col customWidth="1" min="3" max="6" width="8.38"/>
    <col customWidth="1" min="7" max="7" width="7.5"/>
    <col customWidth="1" min="8" max="8" width="8.38"/>
    <col customWidth="1" min="9" max="12" width="8.75"/>
    <col customWidth="1" hidden="1" min="13" max="14" width="8.75"/>
    <col customWidth="1" min="15" max="17" width="15.88"/>
    <col customWidth="1" min="18" max="19" width="49.75"/>
  </cols>
  <sheetData>
    <row r="1">
      <c r="A1" s="86"/>
      <c r="B1" s="86" t="s">
        <v>69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  <c r="S1" s="88"/>
    </row>
    <row r="2">
      <c r="A2" s="89" t="s">
        <v>70</v>
      </c>
      <c r="B2" s="89" t="s">
        <v>71</v>
      </c>
      <c r="C2" s="90" t="s">
        <v>30</v>
      </c>
      <c r="D2" s="90" t="s">
        <v>72</v>
      </c>
      <c r="E2" s="90" t="s">
        <v>24</v>
      </c>
      <c r="F2" s="90" t="s">
        <v>28</v>
      </c>
      <c r="G2" s="91" t="s">
        <v>32</v>
      </c>
      <c r="H2" s="91" t="s">
        <v>73</v>
      </c>
      <c r="I2" s="91" t="s">
        <v>74</v>
      </c>
      <c r="J2" s="92" t="s">
        <v>75</v>
      </c>
      <c r="K2" s="92" t="s">
        <v>76</v>
      </c>
      <c r="L2" s="93" t="s">
        <v>77</v>
      </c>
      <c r="M2" s="94"/>
      <c r="N2" s="94"/>
      <c r="O2" s="95" t="s">
        <v>78</v>
      </c>
      <c r="P2" s="95" t="s">
        <v>79</v>
      </c>
      <c r="Q2" s="95" t="s">
        <v>80</v>
      </c>
      <c r="R2" s="89" t="s">
        <v>81</v>
      </c>
      <c r="S2" s="96"/>
    </row>
    <row r="3">
      <c r="A3" s="97">
        <v>6.0</v>
      </c>
      <c r="B3" s="97" t="s">
        <v>82</v>
      </c>
      <c r="C3" s="97">
        <v>6.5</v>
      </c>
      <c r="D3" s="97">
        <v>6.5</v>
      </c>
      <c r="E3" s="97">
        <v>6.5</v>
      </c>
      <c r="F3" s="97">
        <v>6.5</v>
      </c>
      <c r="G3" s="97">
        <v>6.5</v>
      </c>
      <c r="H3" s="97">
        <v>6.5</v>
      </c>
      <c r="I3" s="97">
        <v>6.5</v>
      </c>
      <c r="J3" s="97">
        <v>6.5</v>
      </c>
      <c r="K3" s="97"/>
      <c r="L3" s="97"/>
      <c r="M3" s="97"/>
      <c r="N3" s="97"/>
      <c r="O3" s="98"/>
      <c r="P3" s="98"/>
      <c r="Q3" s="98"/>
      <c r="R3" s="99"/>
      <c r="S3" s="100" t="s">
        <v>83</v>
      </c>
    </row>
    <row r="4">
      <c r="A4" s="97"/>
      <c r="B4" s="97" t="s">
        <v>84</v>
      </c>
      <c r="C4" s="97">
        <v>7.5</v>
      </c>
      <c r="D4" s="97">
        <v>7.5</v>
      </c>
      <c r="E4" s="97">
        <v>7.5</v>
      </c>
      <c r="F4" s="97">
        <v>8.0</v>
      </c>
      <c r="G4" s="97">
        <v>7.5</v>
      </c>
      <c r="H4" s="97">
        <v>8.0</v>
      </c>
      <c r="I4" s="97">
        <v>8.0</v>
      </c>
      <c r="J4" s="97">
        <v>7.0</v>
      </c>
      <c r="K4" s="97"/>
      <c r="L4" s="97"/>
      <c r="M4" s="97"/>
      <c r="N4" s="97"/>
      <c r="O4" s="98"/>
      <c r="P4" s="98"/>
      <c r="Q4" s="98"/>
      <c r="R4" s="101" t="s">
        <v>85</v>
      </c>
      <c r="S4" s="100" t="s">
        <v>86</v>
      </c>
    </row>
    <row r="5">
      <c r="A5" s="97"/>
      <c r="B5" s="97" t="s">
        <v>87</v>
      </c>
      <c r="C5" s="97">
        <f t="shared" ref="C5:J5" si="1">C3*C4</f>
        <v>48.75</v>
      </c>
      <c r="D5" s="97">
        <f t="shared" si="1"/>
        <v>48.75</v>
      </c>
      <c r="E5" s="97">
        <f t="shared" si="1"/>
        <v>48.75</v>
      </c>
      <c r="F5" s="97">
        <f t="shared" si="1"/>
        <v>52</v>
      </c>
      <c r="G5" s="97">
        <f t="shared" si="1"/>
        <v>48.75</v>
      </c>
      <c r="H5" s="97">
        <f t="shared" si="1"/>
        <v>52</v>
      </c>
      <c r="I5" s="97">
        <f t="shared" si="1"/>
        <v>52</v>
      </c>
      <c r="J5" s="97">
        <f t="shared" si="1"/>
        <v>45.5</v>
      </c>
      <c r="K5" s="97"/>
      <c r="L5" s="97"/>
      <c r="M5" s="97"/>
      <c r="N5" s="97"/>
      <c r="O5" s="98">
        <f>SUM(C5:N5)</f>
        <v>396.5</v>
      </c>
      <c r="P5" s="98"/>
      <c r="Q5" s="98"/>
      <c r="R5" s="101" t="s">
        <v>88</v>
      </c>
      <c r="S5" s="100" t="s">
        <v>89</v>
      </c>
    </row>
    <row r="6">
      <c r="A6" s="97">
        <v>7.0</v>
      </c>
      <c r="B6" s="97" t="s">
        <v>90</v>
      </c>
      <c r="C6" s="97">
        <v>6.5</v>
      </c>
      <c r="D6" s="97">
        <v>6.5</v>
      </c>
      <c r="E6" s="97">
        <v>6.5</v>
      </c>
      <c r="F6" s="97">
        <v>6.5</v>
      </c>
      <c r="G6" s="97">
        <v>6.5</v>
      </c>
      <c r="H6" s="97">
        <v>6.5</v>
      </c>
      <c r="I6" s="97">
        <v>6.5</v>
      </c>
      <c r="J6" s="97">
        <v>6.5</v>
      </c>
      <c r="K6" s="97">
        <v>6.5</v>
      </c>
      <c r="L6" s="97"/>
      <c r="M6" s="97"/>
      <c r="N6" s="97"/>
      <c r="O6" s="98"/>
      <c r="P6" s="98"/>
      <c r="Q6" s="98"/>
      <c r="R6" s="99"/>
      <c r="S6" s="100" t="s">
        <v>91</v>
      </c>
    </row>
    <row r="7">
      <c r="A7" s="97"/>
      <c r="B7" s="97" t="s">
        <v>84</v>
      </c>
      <c r="C7" s="97">
        <v>8.0</v>
      </c>
      <c r="D7" s="97">
        <v>7.5</v>
      </c>
      <c r="E7" s="97">
        <v>8.0</v>
      </c>
      <c r="F7" s="97">
        <v>8.0</v>
      </c>
      <c r="G7" s="97">
        <v>8.0</v>
      </c>
      <c r="H7" s="97">
        <v>8.0</v>
      </c>
      <c r="I7" s="97">
        <v>8.0</v>
      </c>
      <c r="J7" s="97">
        <v>7.5</v>
      </c>
      <c r="K7" s="97">
        <v>7.0</v>
      </c>
      <c r="L7" s="97"/>
      <c r="M7" s="97"/>
      <c r="N7" s="97"/>
      <c r="O7" s="98"/>
      <c r="P7" s="98"/>
      <c r="Q7" s="98"/>
      <c r="R7" s="101" t="s">
        <v>85</v>
      </c>
      <c r="S7" s="100" t="s">
        <v>92</v>
      </c>
    </row>
    <row r="8">
      <c r="A8" s="97"/>
      <c r="B8" s="97" t="s">
        <v>87</v>
      </c>
      <c r="C8" s="97">
        <f t="shared" ref="C8:K8" si="2">C6*C7</f>
        <v>52</v>
      </c>
      <c r="D8" s="97">
        <f t="shared" si="2"/>
        <v>48.75</v>
      </c>
      <c r="E8" s="97">
        <f t="shared" si="2"/>
        <v>52</v>
      </c>
      <c r="F8" s="97">
        <f t="shared" si="2"/>
        <v>52</v>
      </c>
      <c r="G8" s="97">
        <f t="shared" si="2"/>
        <v>52</v>
      </c>
      <c r="H8" s="97">
        <f t="shared" si="2"/>
        <v>52</v>
      </c>
      <c r="I8" s="97">
        <f t="shared" si="2"/>
        <v>52</v>
      </c>
      <c r="J8" s="97">
        <f t="shared" si="2"/>
        <v>48.75</v>
      </c>
      <c r="K8" s="97">
        <f t="shared" si="2"/>
        <v>45.5</v>
      </c>
      <c r="L8" s="97"/>
      <c r="M8" s="97"/>
      <c r="N8" s="97"/>
      <c r="O8" s="98">
        <f>SUM(C8:N8)</f>
        <v>455</v>
      </c>
      <c r="P8" s="98"/>
      <c r="Q8" s="98"/>
      <c r="R8" s="101" t="s">
        <v>93</v>
      </c>
      <c r="S8" s="102"/>
    </row>
    <row r="9">
      <c r="A9" s="103">
        <v>8.0</v>
      </c>
      <c r="B9" s="103" t="s">
        <v>94</v>
      </c>
      <c r="C9" s="103">
        <v>6.5</v>
      </c>
      <c r="D9" s="103">
        <v>6.5</v>
      </c>
      <c r="E9" s="103">
        <v>6.5</v>
      </c>
      <c r="F9" s="103">
        <v>6.5</v>
      </c>
      <c r="G9" s="103">
        <v>6.5</v>
      </c>
      <c r="H9" s="103">
        <v>6.5</v>
      </c>
      <c r="I9" s="103">
        <v>6.5</v>
      </c>
      <c r="J9" s="103">
        <v>6.5</v>
      </c>
      <c r="K9" s="103">
        <v>6.5</v>
      </c>
      <c r="L9" s="103"/>
      <c r="M9" s="103"/>
      <c r="N9" s="103"/>
      <c r="O9" s="104"/>
      <c r="P9" s="104"/>
      <c r="Q9" s="104"/>
      <c r="R9" s="99"/>
      <c r="S9" s="100" t="s">
        <v>95</v>
      </c>
    </row>
    <row r="10">
      <c r="A10" s="103"/>
      <c r="B10" s="103" t="s">
        <v>84</v>
      </c>
      <c r="C10" s="103">
        <v>7.0</v>
      </c>
      <c r="D10" s="103">
        <v>7.0</v>
      </c>
      <c r="E10" s="103">
        <v>8.0</v>
      </c>
      <c r="F10" s="103">
        <v>7.0</v>
      </c>
      <c r="G10" s="103">
        <v>8.0</v>
      </c>
      <c r="H10" s="103">
        <v>7.0</v>
      </c>
      <c r="I10" s="103">
        <v>8.0</v>
      </c>
      <c r="J10" s="103">
        <v>8.0</v>
      </c>
      <c r="K10" s="103">
        <v>8.0</v>
      </c>
      <c r="L10" s="103"/>
      <c r="M10" s="103"/>
      <c r="N10" s="103"/>
      <c r="O10" s="104"/>
      <c r="P10" s="104"/>
      <c r="Q10" s="104"/>
      <c r="R10" s="101" t="s">
        <v>85</v>
      </c>
      <c r="S10" s="100" t="s">
        <v>96</v>
      </c>
    </row>
    <row r="11">
      <c r="A11" s="103"/>
      <c r="B11" s="103" t="s">
        <v>87</v>
      </c>
      <c r="C11" s="103">
        <f t="shared" ref="C11:K11" si="3">C9*C10</f>
        <v>45.5</v>
      </c>
      <c r="D11" s="103">
        <f t="shared" si="3"/>
        <v>45.5</v>
      </c>
      <c r="E11" s="103">
        <f t="shared" si="3"/>
        <v>52</v>
      </c>
      <c r="F11" s="103">
        <f t="shared" si="3"/>
        <v>45.5</v>
      </c>
      <c r="G11" s="103">
        <f t="shared" si="3"/>
        <v>52</v>
      </c>
      <c r="H11" s="103">
        <f t="shared" si="3"/>
        <v>45.5</v>
      </c>
      <c r="I11" s="103">
        <f t="shared" si="3"/>
        <v>52</v>
      </c>
      <c r="J11" s="103">
        <f t="shared" si="3"/>
        <v>52</v>
      </c>
      <c r="K11" s="103">
        <f t="shared" si="3"/>
        <v>52</v>
      </c>
      <c r="L11" s="103"/>
      <c r="M11" s="103"/>
      <c r="N11" s="103"/>
      <c r="O11" s="104">
        <f>SUM(C11:N11)</f>
        <v>442</v>
      </c>
      <c r="P11" s="104"/>
      <c r="Q11" s="104"/>
      <c r="R11" s="101" t="s">
        <v>97</v>
      </c>
      <c r="S11" s="102" t="s">
        <v>98</v>
      </c>
    </row>
    <row r="12">
      <c r="A12" s="97">
        <v>9.0</v>
      </c>
      <c r="B12" s="97" t="s">
        <v>99</v>
      </c>
      <c r="C12" s="97">
        <v>6.5</v>
      </c>
      <c r="D12" s="97">
        <v>6.5</v>
      </c>
      <c r="E12" s="97">
        <v>6.5</v>
      </c>
      <c r="F12" s="97">
        <v>6.5</v>
      </c>
      <c r="G12" s="97">
        <v>6.5</v>
      </c>
      <c r="H12" s="97">
        <v>6.5</v>
      </c>
      <c r="I12" s="97">
        <v>6.5</v>
      </c>
      <c r="J12" s="97">
        <v>6.5</v>
      </c>
      <c r="K12" s="97">
        <v>6.5</v>
      </c>
      <c r="L12" s="97"/>
      <c r="M12" s="97"/>
      <c r="N12" s="97"/>
      <c r="O12" s="98"/>
      <c r="P12" s="98"/>
      <c r="Q12" s="98"/>
      <c r="R12" s="99"/>
      <c r="S12" s="105"/>
    </row>
    <row r="13">
      <c r="A13" s="97"/>
      <c r="B13" s="97" t="s">
        <v>84</v>
      </c>
      <c r="C13" s="97">
        <v>4.5</v>
      </c>
      <c r="D13" s="97">
        <v>7.0</v>
      </c>
      <c r="E13" s="97">
        <v>5.0</v>
      </c>
      <c r="F13" s="97">
        <v>6.0</v>
      </c>
      <c r="G13" s="97">
        <v>7.0</v>
      </c>
      <c r="H13" s="97">
        <v>3.0</v>
      </c>
      <c r="I13" s="97">
        <v>7.0</v>
      </c>
      <c r="J13" s="97">
        <v>6.5</v>
      </c>
      <c r="K13" s="97">
        <v>7.0</v>
      </c>
      <c r="L13" s="97"/>
      <c r="M13" s="97"/>
      <c r="N13" s="97"/>
      <c r="O13" s="98"/>
      <c r="P13" s="98"/>
      <c r="Q13" s="98"/>
      <c r="R13" s="101" t="s">
        <v>100</v>
      </c>
      <c r="S13" s="105"/>
    </row>
    <row r="14">
      <c r="A14" s="97"/>
      <c r="B14" s="97" t="s">
        <v>87</v>
      </c>
      <c r="C14" s="97">
        <f t="shared" ref="C14:K14" si="4">C12*C13</f>
        <v>29.25</v>
      </c>
      <c r="D14" s="97">
        <f t="shared" si="4"/>
        <v>45.5</v>
      </c>
      <c r="E14" s="97">
        <f t="shared" si="4"/>
        <v>32.5</v>
      </c>
      <c r="F14" s="97">
        <f t="shared" si="4"/>
        <v>39</v>
      </c>
      <c r="G14" s="97">
        <f t="shared" si="4"/>
        <v>45.5</v>
      </c>
      <c r="H14" s="97">
        <f t="shared" si="4"/>
        <v>19.5</v>
      </c>
      <c r="I14" s="97">
        <f t="shared" si="4"/>
        <v>45.5</v>
      </c>
      <c r="J14" s="97">
        <f t="shared" si="4"/>
        <v>42.25</v>
      </c>
      <c r="K14" s="97">
        <f t="shared" si="4"/>
        <v>45.5</v>
      </c>
      <c r="L14" s="97"/>
      <c r="M14" s="97"/>
      <c r="N14" s="97"/>
      <c r="O14" s="98">
        <f>SUM(C14:N14)</f>
        <v>344.5</v>
      </c>
      <c r="P14" s="98"/>
      <c r="Q14" s="98"/>
      <c r="R14" s="101" t="s">
        <v>101</v>
      </c>
      <c r="S14" s="102"/>
    </row>
    <row r="15">
      <c r="A15" s="97"/>
      <c r="B15" s="97" t="s">
        <v>102</v>
      </c>
      <c r="C15" s="97">
        <f t="shared" ref="C15:K15" si="5">FLOOR((C14/8)*3,1)</f>
        <v>10</v>
      </c>
      <c r="D15" s="97">
        <f t="shared" si="5"/>
        <v>17</v>
      </c>
      <c r="E15" s="97">
        <f t="shared" si="5"/>
        <v>12</v>
      </c>
      <c r="F15" s="97">
        <f t="shared" si="5"/>
        <v>14</v>
      </c>
      <c r="G15" s="97">
        <f t="shared" si="5"/>
        <v>17</v>
      </c>
      <c r="H15" s="97">
        <f t="shared" si="5"/>
        <v>7</v>
      </c>
      <c r="I15" s="97">
        <f t="shared" si="5"/>
        <v>17</v>
      </c>
      <c r="J15" s="97">
        <f t="shared" si="5"/>
        <v>15</v>
      </c>
      <c r="K15" s="97">
        <f t="shared" si="5"/>
        <v>17</v>
      </c>
      <c r="L15" s="97"/>
      <c r="M15" s="97"/>
      <c r="N15" s="97"/>
      <c r="O15" s="98"/>
      <c r="P15" s="98"/>
      <c r="Q15" s="98"/>
      <c r="R15" s="101"/>
      <c r="S15" s="102"/>
    </row>
    <row r="16">
      <c r="A16" s="97">
        <v>10.0</v>
      </c>
      <c r="B16" s="97" t="s">
        <v>103</v>
      </c>
      <c r="C16" s="97">
        <v>6.5</v>
      </c>
      <c r="D16" s="97">
        <v>6.5</v>
      </c>
      <c r="E16" s="97">
        <v>6.5</v>
      </c>
      <c r="F16" s="97">
        <v>6.5</v>
      </c>
      <c r="G16" s="97">
        <v>6.5</v>
      </c>
      <c r="H16" s="97">
        <v>6.5</v>
      </c>
      <c r="I16" s="97">
        <v>6.5</v>
      </c>
      <c r="J16" s="97">
        <v>6.5</v>
      </c>
      <c r="K16" s="97">
        <v>6.5</v>
      </c>
      <c r="L16" s="97"/>
      <c r="M16" s="97"/>
      <c r="N16" s="97"/>
      <c r="O16" s="98"/>
      <c r="P16" s="98"/>
      <c r="Q16" s="98"/>
      <c r="R16" s="99"/>
      <c r="S16" s="102"/>
    </row>
    <row r="17">
      <c r="A17" s="97"/>
      <c r="B17" s="97" t="s">
        <v>84</v>
      </c>
      <c r="C17" s="97">
        <v>6.0</v>
      </c>
      <c r="D17" s="97">
        <v>7.0</v>
      </c>
      <c r="E17" s="97">
        <v>7.0</v>
      </c>
      <c r="F17" s="97">
        <v>5.0</v>
      </c>
      <c r="G17" s="97">
        <v>6.0</v>
      </c>
      <c r="H17" s="97">
        <v>7.0</v>
      </c>
      <c r="I17" s="97">
        <v>7.0</v>
      </c>
      <c r="J17" s="97">
        <v>7.0</v>
      </c>
      <c r="K17" s="97">
        <v>7.0</v>
      </c>
      <c r="L17" s="97"/>
      <c r="M17" s="97"/>
      <c r="N17" s="97"/>
      <c r="O17" s="98"/>
      <c r="P17" s="98"/>
      <c r="Q17" s="98"/>
      <c r="R17" s="101" t="s">
        <v>100</v>
      </c>
      <c r="S17" s="102"/>
    </row>
    <row r="18">
      <c r="A18" s="97"/>
      <c r="B18" s="97" t="s">
        <v>87</v>
      </c>
      <c r="C18" s="97">
        <f t="shared" ref="C18:K18" si="6">C16*C17</f>
        <v>39</v>
      </c>
      <c r="D18" s="97">
        <f t="shared" si="6"/>
        <v>45.5</v>
      </c>
      <c r="E18" s="97">
        <f t="shared" si="6"/>
        <v>45.5</v>
      </c>
      <c r="F18" s="97">
        <f t="shared" si="6"/>
        <v>32.5</v>
      </c>
      <c r="G18" s="97">
        <f t="shared" si="6"/>
        <v>39</v>
      </c>
      <c r="H18" s="97">
        <f t="shared" si="6"/>
        <v>45.5</v>
      </c>
      <c r="I18" s="97">
        <f t="shared" si="6"/>
        <v>45.5</v>
      </c>
      <c r="J18" s="97">
        <f t="shared" si="6"/>
        <v>45.5</v>
      </c>
      <c r="K18" s="97">
        <f t="shared" si="6"/>
        <v>45.5</v>
      </c>
      <c r="L18" s="97"/>
      <c r="M18" s="97"/>
      <c r="N18" s="97"/>
      <c r="O18" s="98">
        <f>SUM(C18:N18)</f>
        <v>383.5</v>
      </c>
      <c r="P18" s="98"/>
      <c r="Q18" s="98"/>
      <c r="R18" s="101" t="s">
        <v>104</v>
      </c>
    </row>
    <row r="19">
      <c r="A19" s="97"/>
      <c r="B19" s="97" t="s">
        <v>102</v>
      </c>
      <c r="C19" s="97">
        <f t="shared" ref="C19:K19" si="7">FLOOR((C18/8)*3,1)</f>
        <v>14</v>
      </c>
      <c r="D19" s="97">
        <f t="shared" si="7"/>
        <v>17</v>
      </c>
      <c r="E19" s="97">
        <f t="shared" si="7"/>
        <v>17</v>
      </c>
      <c r="F19" s="97">
        <f t="shared" si="7"/>
        <v>12</v>
      </c>
      <c r="G19" s="97">
        <f t="shared" si="7"/>
        <v>14</v>
      </c>
      <c r="H19" s="97">
        <f t="shared" si="7"/>
        <v>17</v>
      </c>
      <c r="I19" s="97">
        <f t="shared" si="7"/>
        <v>17</v>
      </c>
      <c r="J19" s="97">
        <f t="shared" si="7"/>
        <v>17</v>
      </c>
      <c r="K19" s="97">
        <f t="shared" si="7"/>
        <v>17</v>
      </c>
      <c r="L19" s="97"/>
      <c r="M19" s="97"/>
      <c r="N19" s="97"/>
      <c r="O19" s="98"/>
      <c r="P19" s="98"/>
      <c r="Q19" s="98"/>
      <c r="R19" s="101"/>
      <c r="S19" s="102"/>
    </row>
    <row r="20">
      <c r="A20" s="97">
        <v>11.0</v>
      </c>
      <c r="B20" s="97" t="s">
        <v>105</v>
      </c>
      <c r="C20" s="97">
        <v>6.5</v>
      </c>
      <c r="D20" s="97">
        <v>6.5</v>
      </c>
      <c r="E20" s="97">
        <v>6.5</v>
      </c>
      <c r="F20" s="97">
        <v>6.5</v>
      </c>
      <c r="G20" s="97">
        <v>6.5</v>
      </c>
      <c r="H20" s="97">
        <v>6.5</v>
      </c>
      <c r="I20" s="97">
        <v>6.5</v>
      </c>
      <c r="J20" s="97">
        <v>6.5</v>
      </c>
      <c r="K20" s="97">
        <v>6.5</v>
      </c>
      <c r="L20" s="97">
        <v>6.5</v>
      </c>
      <c r="M20" s="97"/>
      <c r="N20" s="97"/>
      <c r="O20" s="98"/>
      <c r="P20" s="98"/>
      <c r="Q20" s="98"/>
      <c r="R20" s="99"/>
      <c r="S20" s="102"/>
    </row>
    <row r="21">
      <c r="A21" s="97"/>
      <c r="B21" s="97" t="s">
        <v>84</v>
      </c>
      <c r="C21" s="97">
        <v>7.0</v>
      </c>
      <c r="D21" s="97">
        <v>7.0</v>
      </c>
      <c r="E21" s="97">
        <v>8.0</v>
      </c>
      <c r="F21" s="97">
        <v>7.0</v>
      </c>
      <c r="G21" s="97">
        <v>7.5</v>
      </c>
      <c r="H21" s="97">
        <v>8.0</v>
      </c>
      <c r="I21" s="97">
        <v>6.0</v>
      </c>
      <c r="J21" s="97">
        <v>6.5</v>
      </c>
      <c r="K21" s="97">
        <v>7.0</v>
      </c>
      <c r="L21" s="97">
        <v>7.0</v>
      </c>
      <c r="M21" s="97"/>
      <c r="N21" s="97"/>
      <c r="O21" s="98"/>
      <c r="P21" s="98"/>
      <c r="Q21" s="98"/>
      <c r="R21" s="101" t="s">
        <v>85</v>
      </c>
      <c r="S21" s="102"/>
    </row>
    <row r="22">
      <c r="A22" s="97"/>
      <c r="B22" s="97" t="s">
        <v>87</v>
      </c>
      <c r="C22" s="97">
        <f t="shared" ref="C22:L22" si="8">C20*C21</f>
        <v>45.5</v>
      </c>
      <c r="D22" s="97">
        <f t="shared" si="8"/>
        <v>45.5</v>
      </c>
      <c r="E22" s="97">
        <f t="shared" si="8"/>
        <v>52</v>
      </c>
      <c r="F22" s="97">
        <f t="shared" si="8"/>
        <v>45.5</v>
      </c>
      <c r="G22" s="97">
        <f t="shared" si="8"/>
        <v>48.75</v>
      </c>
      <c r="H22" s="97">
        <f t="shared" si="8"/>
        <v>52</v>
      </c>
      <c r="I22" s="97">
        <f t="shared" si="8"/>
        <v>39</v>
      </c>
      <c r="J22" s="97">
        <f t="shared" si="8"/>
        <v>42.25</v>
      </c>
      <c r="K22" s="97">
        <f t="shared" si="8"/>
        <v>45.5</v>
      </c>
      <c r="L22" s="97">
        <f t="shared" si="8"/>
        <v>45.5</v>
      </c>
      <c r="M22" s="97"/>
      <c r="N22" s="97"/>
      <c r="O22" s="98">
        <f>SUM(C22:N22)</f>
        <v>461.5</v>
      </c>
      <c r="P22" s="98"/>
      <c r="Q22" s="98"/>
      <c r="R22" s="101" t="s">
        <v>106</v>
      </c>
    </row>
    <row r="23">
      <c r="A23" s="97"/>
      <c r="B23" s="97" t="s">
        <v>102</v>
      </c>
      <c r="C23" s="97">
        <f t="shared" ref="C23:L23" si="9">FLOOR((C22/8)*3,1)</f>
        <v>17</v>
      </c>
      <c r="D23" s="97">
        <f t="shared" si="9"/>
        <v>17</v>
      </c>
      <c r="E23" s="97">
        <f t="shared" si="9"/>
        <v>19</v>
      </c>
      <c r="F23" s="97">
        <f t="shared" si="9"/>
        <v>17</v>
      </c>
      <c r="G23" s="97">
        <f t="shared" si="9"/>
        <v>18</v>
      </c>
      <c r="H23" s="97">
        <f t="shared" si="9"/>
        <v>19</v>
      </c>
      <c r="I23" s="97">
        <f t="shared" si="9"/>
        <v>14</v>
      </c>
      <c r="J23" s="97">
        <f t="shared" si="9"/>
        <v>15</v>
      </c>
      <c r="K23" s="97">
        <f t="shared" si="9"/>
        <v>17</v>
      </c>
      <c r="L23" s="97">
        <f t="shared" si="9"/>
        <v>17</v>
      </c>
      <c r="M23" s="97"/>
      <c r="N23" s="97"/>
      <c r="O23" s="98"/>
      <c r="P23" s="98"/>
      <c r="Q23" s="98"/>
      <c r="R23" s="101"/>
    </row>
    <row r="24">
      <c r="A24" s="97">
        <v>12.0</v>
      </c>
      <c r="B24" s="97" t="s">
        <v>107</v>
      </c>
      <c r="C24" s="97">
        <v>6.5</v>
      </c>
      <c r="D24" s="97">
        <v>6.5</v>
      </c>
      <c r="E24" s="97">
        <v>6.5</v>
      </c>
      <c r="F24" s="97">
        <v>6.5</v>
      </c>
      <c r="G24" s="97">
        <v>6.5</v>
      </c>
      <c r="H24" s="97">
        <v>6.5</v>
      </c>
      <c r="I24" s="97">
        <v>6.5</v>
      </c>
      <c r="J24" s="97">
        <v>6.5</v>
      </c>
      <c r="K24" s="97">
        <v>6.5</v>
      </c>
      <c r="L24" s="97">
        <v>6.5</v>
      </c>
      <c r="M24" s="97"/>
      <c r="N24" s="97"/>
      <c r="O24" s="98"/>
      <c r="P24" s="98"/>
      <c r="Q24" s="98"/>
      <c r="R24" s="99"/>
    </row>
    <row r="25">
      <c r="A25" s="97"/>
      <c r="B25" s="97" t="s">
        <v>84</v>
      </c>
      <c r="C25" s="97">
        <v>8.0</v>
      </c>
      <c r="D25" s="97">
        <v>6.0</v>
      </c>
      <c r="E25" s="97">
        <v>7.0</v>
      </c>
      <c r="F25" s="97">
        <v>8.0</v>
      </c>
      <c r="G25" s="97">
        <v>7.5</v>
      </c>
      <c r="H25" s="97">
        <v>8.0</v>
      </c>
      <c r="I25" s="97">
        <v>8.0</v>
      </c>
      <c r="J25" s="97">
        <v>6.0</v>
      </c>
      <c r="K25" s="97">
        <v>8.0</v>
      </c>
      <c r="L25" s="97">
        <v>6.0</v>
      </c>
      <c r="M25" s="97"/>
      <c r="N25" s="97"/>
      <c r="O25" s="98"/>
      <c r="P25" s="98"/>
      <c r="Q25" s="98"/>
      <c r="R25" s="101" t="s">
        <v>85</v>
      </c>
    </row>
    <row r="26">
      <c r="A26" s="97"/>
      <c r="B26" s="97" t="s">
        <v>87</v>
      </c>
      <c r="C26" s="97">
        <f t="shared" ref="C26:L26" si="10">C24*C25</f>
        <v>52</v>
      </c>
      <c r="D26" s="97">
        <f t="shared" si="10"/>
        <v>39</v>
      </c>
      <c r="E26" s="97">
        <f t="shared" si="10"/>
        <v>45.5</v>
      </c>
      <c r="F26" s="97">
        <f t="shared" si="10"/>
        <v>52</v>
      </c>
      <c r="G26" s="97">
        <f t="shared" si="10"/>
        <v>48.75</v>
      </c>
      <c r="H26" s="97">
        <f t="shared" si="10"/>
        <v>52</v>
      </c>
      <c r="I26" s="97">
        <f t="shared" si="10"/>
        <v>52</v>
      </c>
      <c r="J26" s="97">
        <f t="shared" si="10"/>
        <v>39</v>
      </c>
      <c r="K26" s="97">
        <f t="shared" si="10"/>
        <v>52</v>
      </c>
      <c r="L26" s="97">
        <f t="shared" si="10"/>
        <v>39</v>
      </c>
      <c r="M26" s="97"/>
      <c r="N26" s="97"/>
      <c r="O26" s="98">
        <f>SUM(C26:N26)</f>
        <v>471.25</v>
      </c>
      <c r="P26" s="98"/>
      <c r="Q26" s="98"/>
      <c r="R26" s="101" t="s">
        <v>108</v>
      </c>
    </row>
    <row r="27">
      <c r="A27" s="97"/>
      <c r="B27" s="97" t="s">
        <v>102</v>
      </c>
      <c r="C27" s="97">
        <f t="shared" ref="C27:L27" si="11">FLOOR((C26/8)*3,1)</f>
        <v>19</v>
      </c>
      <c r="D27" s="97">
        <f t="shared" si="11"/>
        <v>14</v>
      </c>
      <c r="E27" s="97">
        <f t="shared" si="11"/>
        <v>17</v>
      </c>
      <c r="F27" s="97">
        <f t="shared" si="11"/>
        <v>19</v>
      </c>
      <c r="G27" s="97">
        <f t="shared" si="11"/>
        <v>18</v>
      </c>
      <c r="H27" s="97">
        <f t="shared" si="11"/>
        <v>19</v>
      </c>
      <c r="I27" s="97">
        <f t="shared" si="11"/>
        <v>19</v>
      </c>
      <c r="J27" s="97">
        <f t="shared" si="11"/>
        <v>14</v>
      </c>
      <c r="K27" s="97">
        <f t="shared" si="11"/>
        <v>19</v>
      </c>
      <c r="L27" s="97">
        <f t="shared" si="11"/>
        <v>14</v>
      </c>
      <c r="M27" s="97"/>
      <c r="N27" s="97"/>
      <c r="O27" s="98"/>
      <c r="P27" s="98"/>
      <c r="Q27" s="98"/>
      <c r="R27" s="101"/>
    </row>
    <row r="28">
      <c r="A28" s="97">
        <v>13.0</v>
      </c>
      <c r="B28" s="97" t="s">
        <v>109</v>
      </c>
      <c r="C28" s="97">
        <v>6.5</v>
      </c>
      <c r="D28" s="97">
        <v>6.5</v>
      </c>
      <c r="E28" s="97">
        <v>6.5</v>
      </c>
      <c r="F28" s="97">
        <v>6.5</v>
      </c>
      <c r="G28" s="97">
        <v>6.5</v>
      </c>
      <c r="H28" s="97">
        <v>6.5</v>
      </c>
      <c r="I28" s="97">
        <v>6.5</v>
      </c>
      <c r="J28" s="97">
        <v>6.5</v>
      </c>
      <c r="K28" s="97">
        <v>6.5</v>
      </c>
      <c r="L28" s="97">
        <v>6.5</v>
      </c>
      <c r="M28" s="97"/>
      <c r="N28" s="97"/>
      <c r="O28" s="98"/>
      <c r="P28" s="98"/>
      <c r="Q28" s="98"/>
      <c r="R28" s="99"/>
    </row>
    <row r="29">
      <c r="A29" s="97"/>
      <c r="B29" s="97" t="s">
        <v>84</v>
      </c>
      <c r="C29" s="97">
        <v>6.0</v>
      </c>
      <c r="D29" s="97">
        <v>3.0</v>
      </c>
      <c r="E29" s="97">
        <v>7.0</v>
      </c>
      <c r="F29" s="97">
        <v>7.0</v>
      </c>
      <c r="G29" s="97">
        <v>7.0</v>
      </c>
      <c r="H29" s="97">
        <v>5.0</v>
      </c>
      <c r="I29" s="97">
        <v>7.0</v>
      </c>
      <c r="J29" s="97">
        <v>6.5</v>
      </c>
      <c r="K29" s="97">
        <v>5.0</v>
      </c>
      <c r="L29" s="97">
        <v>7.0</v>
      </c>
      <c r="M29" s="97"/>
      <c r="N29" s="97"/>
      <c r="O29" s="98"/>
      <c r="P29" s="98"/>
      <c r="Q29" s="98"/>
      <c r="R29" s="106" t="s">
        <v>100</v>
      </c>
    </row>
    <row r="30">
      <c r="A30" s="97"/>
      <c r="B30" s="97" t="s">
        <v>87</v>
      </c>
      <c r="C30" s="97">
        <f t="shared" ref="C30:L30" si="12">C28*C29</f>
        <v>39</v>
      </c>
      <c r="D30" s="97">
        <f t="shared" si="12"/>
        <v>19.5</v>
      </c>
      <c r="E30" s="97">
        <f t="shared" si="12"/>
        <v>45.5</v>
      </c>
      <c r="F30" s="97">
        <f t="shared" si="12"/>
        <v>45.5</v>
      </c>
      <c r="G30" s="97">
        <f t="shared" si="12"/>
        <v>45.5</v>
      </c>
      <c r="H30" s="97">
        <f t="shared" si="12"/>
        <v>32.5</v>
      </c>
      <c r="I30" s="97">
        <f t="shared" si="12"/>
        <v>45.5</v>
      </c>
      <c r="J30" s="97">
        <f t="shared" si="12"/>
        <v>42.25</v>
      </c>
      <c r="K30" s="97">
        <f t="shared" si="12"/>
        <v>32.5</v>
      </c>
      <c r="L30" s="97">
        <f t="shared" si="12"/>
        <v>45.5</v>
      </c>
      <c r="M30" s="97"/>
      <c r="N30" s="97"/>
      <c r="O30" s="98">
        <f>SUM(C30:N30)</f>
        <v>393.25</v>
      </c>
      <c r="P30" s="98"/>
      <c r="Q30" s="98"/>
      <c r="R30" s="101" t="s">
        <v>110</v>
      </c>
    </row>
    <row r="31">
      <c r="A31" s="97"/>
      <c r="B31" s="97" t="s">
        <v>111</v>
      </c>
      <c r="C31" s="97">
        <f t="shared" ref="C31:L31" si="13">FLOOR((C30/8)*3,1)</f>
        <v>14</v>
      </c>
      <c r="D31" s="97">
        <f t="shared" si="13"/>
        <v>7</v>
      </c>
      <c r="E31" s="97">
        <f t="shared" si="13"/>
        <v>17</v>
      </c>
      <c r="F31" s="97">
        <f t="shared" si="13"/>
        <v>17</v>
      </c>
      <c r="G31" s="97">
        <f t="shared" si="13"/>
        <v>17</v>
      </c>
      <c r="H31" s="97">
        <f t="shared" si="13"/>
        <v>12</v>
      </c>
      <c r="I31" s="97">
        <f t="shared" si="13"/>
        <v>17</v>
      </c>
      <c r="J31" s="97">
        <f t="shared" si="13"/>
        <v>15</v>
      </c>
      <c r="K31" s="97">
        <f t="shared" si="13"/>
        <v>12</v>
      </c>
      <c r="L31" s="97">
        <f t="shared" si="13"/>
        <v>17</v>
      </c>
      <c r="M31" s="97"/>
      <c r="N31" s="97"/>
      <c r="O31" s="98"/>
      <c r="P31" s="98"/>
      <c r="Q31" s="98"/>
      <c r="R31" s="101"/>
    </row>
    <row r="32">
      <c r="A32" s="107">
        <v>14.0</v>
      </c>
      <c r="B32" s="107" t="s">
        <v>112</v>
      </c>
      <c r="C32" s="108">
        <v>6.5</v>
      </c>
      <c r="D32" s="108">
        <v>6.5</v>
      </c>
      <c r="E32" s="108">
        <v>6.5</v>
      </c>
      <c r="F32" s="108">
        <v>6.5</v>
      </c>
      <c r="G32" s="108">
        <v>6.5</v>
      </c>
      <c r="H32" s="108">
        <v>6.5</v>
      </c>
      <c r="I32" s="108">
        <v>6.5</v>
      </c>
      <c r="J32" s="108">
        <v>6.5</v>
      </c>
      <c r="K32" s="108">
        <v>6.5</v>
      </c>
      <c r="L32" s="108">
        <v>6.5</v>
      </c>
      <c r="M32" s="108"/>
      <c r="N32" s="108"/>
      <c r="O32" s="109"/>
      <c r="P32" s="109"/>
      <c r="Q32" s="98"/>
      <c r="R32" s="99"/>
    </row>
    <row r="33">
      <c r="A33" s="110"/>
      <c r="B33" s="107" t="s">
        <v>84</v>
      </c>
      <c r="C33" s="107">
        <v>6.0</v>
      </c>
      <c r="D33" s="107">
        <v>6.0</v>
      </c>
      <c r="E33" s="108">
        <v>8.0</v>
      </c>
      <c r="F33" s="107">
        <v>7.0</v>
      </c>
      <c r="G33" s="107">
        <v>7.0</v>
      </c>
      <c r="H33" s="108">
        <v>8.0</v>
      </c>
      <c r="I33" s="108">
        <v>8.0</v>
      </c>
      <c r="J33" s="107">
        <v>7.0</v>
      </c>
      <c r="K33" s="107">
        <v>7.0</v>
      </c>
      <c r="L33" s="107">
        <v>7.5</v>
      </c>
      <c r="M33" s="108"/>
      <c r="N33" s="108"/>
      <c r="O33" s="109"/>
      <c r="P33" s="109"/>
      <c r="Q33" s="98"/>
      <c r="R33" s="101" t="s">
        <v>85</v>
      </c>
    </row>
    <row r="34">
      <c r="A34" s="111"/>
      <c r="B34" s="107" t="s">
        <v>113</v>
      </c>
      <c r="C34" s="112">
        <f t="shared" ref="C34:L34" si="14">C32*C33</f>
        <v>39</v>
      </c>
      <c r="D34" s="112">
        <f t="shared" si="14"/>
        <v>39</v>
      </c>
      <c r="E34" s="112">
        <f t="shared" si="14"/>
        <v>52</v>
      </c>
      <c r="F34" s="112">
        <f t="shared" si="14"/>
        <v>45.5</v>
      </c>
      <c r="G34" s="112">
        <f t="shared" si="14"/>
        <v>45.5</v>
      </c>
      <c r="H34" s="112">
        <f t="shared" si="14"/>
        <v>52</v>
      </c>
      <c r="I34" s="112">
        <f t="shared" si="14"/>
        <v>52</v>
      </c>
      <c r="J34" s="112">
        <f t="shared" si="14"/>
        <v>45.5</v>
      </c>
      <c r="K34" s="112">
        <f t="shared" si="14"/>
        <v>45.5</v>
      </c>
      <c r="L34" s="112">
        <f t="shared" si="14"/>
        <v>48.75</v>
      </c>
      <c r="M34" s="112"/>
      <c r="N34" s="112"/>
      <c r="O34" s="112">
        <f>SUM(C34:N34)</f>
        <v>464.75</v>
      </c>
      <c r="P34" s="112"/>
      <c r="Q34" s="98"/>
      <c r="R34" s="101" t="s">
        <v>114</v>
      </c>
      <c r="S34" s="102"/>
    </row>
    <row r="35">
      <c r="A35" s="111"/>
      <c r="B35" s="107" t="s">
        <v>102</v>
      </c>
      <c r="C35" s="112">
        <f t="shared" ref="C35:L35" si="15">FLOOR((C34/8)*3,1)</f>
        <v>14</v>
      </c>
      <c r="D35" s="112">
        <f t="shared" si="15"/>
        <v>14</v>
      </c>
      <c r="E35" s="112">
        <f t="shared" si="15"/>
        <v>19</v>
      </c>
      <c r="F35" s="112">
        <f t="shared" si="15"/>
        <v>17</v>
      </c>
      <c r="G35" s="112">
        <f t="shared" si="15"/>
        <v>17</v>
      </c>
      <c r="H35" s="112">
        <f t="shared" si="15"/>
        <v>19</v>
      </c>
      <c r="I35" s="112">
        <f t="shared" si="15"/>
        <v>19</v>
      </c>
      <c r="J35" s="112">
        <f t="shared" si="15"/>
        <v>17</v>
      </c>
      <c r="K35" s="112">
        <f t="shared" si="15"/>
        <v>17</v>
      </c>
      <c r="L35" s="112">
        <f t="shared" si="15"/>
        <v>18</v>
      </c>
      <c r="M35" s="112"/>
      <c r="N35" s="112"/>
      <c r="O35" s="111"/>
      <c r="P35" s="111"/>
      <c r="Q35" s="98"/>
      <c r="R35" s="101" t="s">
        <v>115</v>
      </c>
    </row>
    <row r="36">
      <c r="A36" s="107">
        <v>15.0</v>
      </c>
      <c r="B36" s="107" t="s">
        <v>116</v>
      </c>
      <c r="C36" s="112">
        <v>6.5</v>
      </c>
      <c r="D36" s="112">
        <v>6.5</v>
      </c>
      <c r="E36" s="112">
        <v>6.5</v>
      </c>
      <c r="F36" s="112">
        <v>6.5</v>
      </c>
      <c r="G36" s="112">
        <v>6.5</v>
      </c>
      <c r="H36" s="112">
        <v>6.5</v>
      </c>
      <c r="I36" s="112">
        <v>6.5</v>
      </c>
      <c r="J36" s="112">
        <v>6.5</v>
      </c>
      <c r="K36" s="112">
        <v>6.5</v>
      </c>
      <c r="L36" s="112">
        <v>6.5</v>
      </c>
      <c r="M36" s="112"/>
      <c r="N36" s="112"/>
      <c r="O36" s="109"/>
      <c r="P36" s="109"/>
      <c r="Q36" s="98"/>
      <c r="S36" s="102"/>
    </row>
    <row r="37">
      <c r="A37" s="111"/>
      <c r="B37" s="107" t="s">
        <v>84</v>
      </c>
      <c r="C37" s="107">
        <v>2.5</v>
      </c>
      <c r="D37" s="107">
        <v>5.0</v>
      </c>
      <c r="E37" s="107">
        <v>4.5</v>
      </c>
      <c r="F37" s="107">
        <v>4.0</v>
      </c>
      <c r="G37" s="107">
        <v>4.5</v>
      </c>
      <c r="H37" s="107">
        <v>5.0</v>
      </c>
      <c r="I37" s="107">
        <v>6.0</v>
      </c>
      <c r="J37" s="107">
        <v>5.5</v>
      </c>
      <c r="K37" s="107">
        <v>5.0</v>
      </c>
      <c r="L37" s="107">
        <v>6.0</v>
      </c>
      <c r="M37" s="112"/>
      <c r="N37" s="112"/>
      <c r="O37" s="109"/>
      <c r="P37" s="109"/>
      <c r="Q37" s="98"/>
      <c r="R37" s="101" t="s">
        <v>117</v>
      </c>
      <c r="S37" s="102"/>
    </row>
    <row r="38">
      <c r="A38" s="111"/>
      <c r="B38" s="112" t="s">
        <v>87</v>
      </c>
      <c r="C38" s="112">
        <f t="shared" ref="C38:L38" si="16">C36*C37</f>
        <v>16.25</v>
      </c>
      <c r="D38" s="112">
        <f t="shared" si="16"/>
        <v>32.5</v>
      </c>
      <c r="E38" s="112">
        <f t="shared" si="16"/>
        <v>29.25</v>
      </c>
      <c r="F38" s="112">
        <f t="shared" si="16"/>
        <v>26</v>
      </c>
      <c r="G38" s="112">
        <f t="shared" si="16"/>
        <v>29.25</v>
      </c>
      <c r="H38" s="112">
        <f t="shared" si="16"/>
        <v>32.5</v>
      </c>
      <c r="I38" s="112">
        <f t="shared" si="16"/>
        <v>39</v>
      </c>
      <c r="J38" s="112">
        <f t="shared" si="16"/>
        <v>35.75</v>
      </c>
      <c r="K38" s="112">
        <f t="shared" si="16"/>
        <v>32.5</v>
      </c>
      <c r="L38" s="112">
        <f t="shared" si="16"/>
        <v>39</v>
      </c>
      <c r="M38" s="112"/>
      <c r="N38" s="112"/>
      <c r="O38" s="108">
        <f>SUM(C38:N38)</f>
        <v>312</v>
      </c>
      <c r="P38" s="108"/>
      <c r="Q38" s="98"/>
      <c r="R38" s="101" t="s">
        <v>118</v>
      </c>
      <c r="S38" s="102"/>
    </row>
    <row r="39">
      <c r="A39" s="111"/>
      <c r="B39" s="113" t="s">
        <v>102</v>
      </c>
      <c r="C39" s="112">
        <f t="shared" ref="C39:L39" si="17">FLOOR((C38/8)*3,1)</f>
        <v>6</v>
      </c>
      <c r="D39" s="112">
        <f t="shared" si="17"/>
        <v>12</v>
      </c>
      <c r="E39" s="112">
        <f t="shared" si="17"/>
        <v>10</v>
      </c>
      <c r="F39" s="112">
        <f t="shared" si="17"/>
        <v>9</v>
      </c>
      <c r="G39" s="112">
        <f t="shared" si="17"/>
        <v>10</v>
      </c>
      <c r="H39" s="112">
        <f t="shared" si="17"/>
        <v>12</v>
      </c>
      <c r="I39" s="112">
        <f t="shared" si="17"/>
        <v>14</v>
      </c>
      <c r="J39" s="112">
        <f t="shared" si="17"/>
        <v>13</v>
      </c>
      <c r="K39" s="112">
        <f t="shared" si="17"/>
        <v>12</v>
      </c>
      <c r="L39" s="112">
        <f t="shared" si="17"/>
        <v>14</v>
      </c>
      <c r="M39" s="112"/>
      <c r="N39" s="112"/>
      <c r="O39" s="111"/>
      <c r="P39" s="111"/>
      <c r="Q39" s="98"/>
      <c r="R39" s="101"/>
    </row>
    <row r="40">
      <c r="A40" s="107">
        <v>16.0</v>
      </c>
      <c r="B40" s="107" t="s">
        <v>119</v>
      </c>
      <c r="C40" s="112">
        <v>6.5</v>
      </c>
      <c r="D40" s="112">
        <v>6.5</v>
      </c>
      <c r="E40" s="112">
        <v>6.5</v>
      </c>
      <c r="F40" s="112">
        <v>6.5</v>
      </c>
      <c r="G40" s="112">
        <v>6.5</v>
      </c>
      <c r="H40" s="112">
        <v>6.5</v>
      </c>
      <c r="I40" s="112">
        <v>6.5</v>
      </c>
      <c r="J40" s="112">
        <v>6.5</v>
      </c>
      <c r="K40" s="112">
        <v>6.5</v>
      </c>
      <c r="L40" s="112">
        <v>6.5</v>
      </c>
      <c r="M40" s="112"/>
      <c r="N40" s="112"/>
      <c r="O40" s="109"/>
      <c r="P40" s="109"/>
      <c r="Q40" s="98"/>
      <c r="R40" s="99"/>
      <c r="S40" s="102"/>
    </row>
    <row r="41">
      <c r="A41" s="111"/>
      <c r="B41" s="107" t="s">
        <v>84</v>
      </c>
      <c r="C41" s="107">
        <v>7.0</v>
      </c>
      <c r="D41" s="107">
        <v>6.0</v>
      </c>
      <c r="E41" s="107">
        <v>6.5</v>
      </c>
      <c r="F41" s="107">
        <v>7.0</v>
      </c>
      <c r="G41" s="107">
        <v>5.5</v>
      </c>
      <c r="H41" s="107">
        <v>6.0</v>
      </c>
      <c r="I41" s="107">
        <v>7.0</v>
      </c>
      <c r="J41" s="107">
        <v>7.0</v>
      </c>
      <c r="K41" s="107">
        <v>7.0</v>
      </c>
      <c r="L41" s="107">
        <v>5.0</v>
      </c>
      <c r="M41" s="112"/>
      <c r="N41" s="112"/>
      <c r="O41" s="109"/>
      <c r="P41" s="109"/>
      <c r="Q41" s="98"/>
      <c r="R41" s="101" t="s">
        <v>120</v>
      </c>
      <c r="S41" s="102"/>
    </row>
    <row r="42">
      <c r="A42" s="111"/>
      <c r="B42" s="112" t="s">
        <v>87</v>
      </c>
      <c r="C42" s="112">
        <f t="shared" ref="C42:L42" si="18">C40*C41</f>
        <v>45.5</v>
      </c>
      <c r="D42" s="112">
        <f t="shared" si="18"/>
        <v>39</v>
      </c>
      <c r="E42" s="112">
        <f t="shared" si="18"/>
        <v>42.25</v>
      </c>
      <c r="F42" s="112">
        <f t="shared" si="18"/>
        <v>45.5</v>
      </c>
      <c r="G42" s="112">
        <f t="shared" si="18"/>
        <v>35.75</v>
      </c>
      <c r="H42" s="112">
        <f t="shared" si="18"/>
        <v>39</v>
      </c>
      <c r="I42" s="112">
        <f t="shared" si="18"/>
        <v>45.5</v>
      </c>
      <c r="J42" s="112">
        <f t="shared" si="18"/>
        <v>45.5</v>
      </c>
      <c r="K42" s="112">
        <f t="shared" si="18"/>
        <v>45.5</v>
      </c>
      <c r="L42" s="112">
        <f t="shared" si="18"/>
        <v>32.5</v>
      </c>
      <c r="M42" s="112"/>
      <c r="N42" s="112"/>
      <c r="O42" s="108">
        <f>SUM(C42:N42)</f>
        <v>416</v>
      </c>
      <c r="P42" s="108"/>
      <c r="Q42" s="98"/>
      <c r="R42" s="101" t="s">
        <v>121</v>
      </c>
      <c r="S42" s="102"/>
    </row>
    <row r="43">
      <c r="A43" s="111"/>
      <c r="B43" s="113" t="s">
        <v>102</v>
      </c>
      <c r="C43" s="112">
        <f t="shared" ref="C43:L43" si="19">FLOOR((C42/8)*3,1)</f>
        <v>17</v>
      </c>
      <c r="D43" s="112">
        <f t="shared" si="19"/>
        <v>14</v>
      </c>
      <c r="E43" s="112">
        <f t="shared" si="19"/>
        <v>15</v>
      </c>
      <c r="F43" s="112">
        <f t="shared" si="19"/>
        <v>17</v>
      </c>
      <c r="G43" s="112">
        <f t="shared" si="19"/>
        <v>13</v>
      </c>
      <c r="H43" s="112">
        <f t="shared" si="19"/>
        <v>14</v>
      </c>
      <c r="I43" s="112">
        <f t="shared" si="19"/>
        <v>17</v>
      </c>
      <c r="J43" s="112">
        <f t="shared" si="19"/>
        <v>17</v>
      </c>
      <c r="K43" s="112">
        <f t="shared" si="19"/>
        <v>17</v>
      </c>
      <c r="L43" s="112">
        <f t="shared" si="19"/>
        <v>12</v>
      </c>
      <c r="M43" s="112"/>
      <c r="N43" s="112"/>
      <c r="O43" s="111"/>
      <c r="P43" s="111"/>
      <c r="Q43" s="98"/>
      <c r="R43" s="101"/>
    </row>
    <row r="44">
      <c r="A44" s="107">
        <v>17.0</v>
      </c>
      <c r="B44" s="107" t="s">
        <v>122</v>
      </c>
      <c r="C44" s="112">
        <v>6.5</v>
      </c>
      <c r="D44" s="112">
        <v>6.5</v>
      </c>
      <c r="E44" s="112">
        <v>6.5</v>
      </c>
      <c r="F44" s="112">
        <v>6.5</v>
      </c>
      <c r="G44" s="112">
        <v>6.5</v>
      </c>
      <c r="H44" s="112">
        <v>6.5</v>
      </c>
      <c r="I44" s="112">
        <v>6.5</v>
      </c>
      <c r="J44" s="112">
        <v>6.5</v>
      </c>
      <c r="K44" s="112">
        <v>6.5</v>
      </c>
      <c r="L44" s="112">
        <v>6.5</v>
      </c>
      <c r="M44" s="112"/>
      <c r="N44" s="112"/>
      <c r="O44" s="109"/>
      <c r="P44" s="109"/>
      <c r="Q44" s="98"/>
      <c r="R44" s="99"/>
      <c r="S44" s="102"/>
    </row>
    <row r="45">
      <c r="A45" s="111"/>
      <c r="B45" s="107" t="s">
        <v>84</v>
      </c>
      <c r="C45" s="112">
        <v>8.0</v>
      </c>
      <c r="D45" s="112">
        <v>8.0</v>
      </c>
      <c r="E45" s="107">
        <v>7.0</v>
      </c>
      <c r="F45" s="107">
        <v>5.0</v>
      </c>
      <c r="G45" s="112">
        <v>8.0</v>
      </c>
      <c r="H45" s="112">
        <v>8.0</v>
      </c>
      <c r="I45" s="112">
        <v>8.0</v>
      </c>
      <c r="J45" s="112">
        <v>8.0</v>
      </c>
      <c r="K45" s="107">
        <v>6.0</v>
      </c>
      <c r="L45" s="107">
        <v>2.0</v>
      </c>
      <c r="M45" s="112"/>
      <c r="N45" s="112"/>
      <c r="O45" s="109"/>
      <c r="P45" s="109"/>
      <c r="Q45" s="98"/>
      <c r="R45" s="101" t="s">
        <v>85</v>
      </c>
      <c r="S45" s="102"/>
    </row>
    <row r="46">
      <c r="A46" s="111"/>
      <c r="B46" s="112" t="s">
        <v>87</v>
      </c>
      <c r="C46" s="112">
        <f t="shared" ref="C46:L46" si="20">C44*C45</f>
        <v>52</v>
      </c>
      <c r="D46" s="112">
        <f t="shared" si="20"/>
        <v>52</v>
      </c>
      <c r="E46" s="112">
        <f t="shared" si="20"/>
        <v>45.5</v>
      </c>
      <c r="F46" s="112">
        <f t="shared" si="20"/>
        <v>32.5</v>
      </c>
      <c r="G46" s="112">
        <f t="shared" si="20"/>
        <v>52</v>
      </c>
      <c r="H46" s="112">
        <f t="shared" si="20"/>
        <v>52</v>
      </c>
      <c r="I46" s="112">
        <f t="shared" si="20"/>
        <v>52</v>
      </c>
      <c r="J46" s="112">
        <f t="shared" si="20"/>
        <v>52</v>
      </c>
      <c r="K46" s="112">
        <f t="shared" si="20"/>
        <v>39</v>
      </c>
      <c r="L46" s="112">
        <f t="shared" si="20"/>
        <v>13</v>
      </c>
      <c r="M46" s="112"/>
      <c r="N46" s="112"/>
      <c r="O46" s="108">
        <f>SUM(E46:N46)</f>
        <v>338</v>
      </c>
      <c r="P46" s="108"/>
      <c r="Q46" s="98"/>
      <c r="R46" s="114" t="s">
        <v>123</v>
      </c>
      <c r="S46" s="102"/>
    </row>
    <row r="47">
      <c r="A47" s="111"/>
      <c r="B47" s="113" t="s">
        <v>102</v>
      </c>
      <c r="C47" s="112">
        <f t="shared" ref="C47:L47" si="21">FLOOR((C46/8)*3,1)</f>
        <v>19</v>
      </c>
      <c r="D47" s="112">
        <f t="shared" si="21"/>
        <v>19</v>
      </c>
      <c r="E47" s="112">
        <f t="shared" si="21"/>
        <v>17</v>
      </c>
      <c r="F47" s="112">
        <f t="shared" si="21"/>
        <v>12</v>
      </c>
      <c r="G47" s="112">
        <f t="shared" si="21"/>
        <v>19</v>
      </c>
      <c r="H47" s="112">
        <f t="shared" si="21"/>
        <v>19</v>
      </c>
      <c r="I47" s="112">
        <f t="shared" si="21"/>
        <v>19</v>
      </c>
      <c r="J47" s="112">
        <f t="shared" si="21"/>
        <v>19</v>
      </c>
      <c r="K47" s="112">
        <f t="shared" si="21"/>
        <v>14</v>
      </c>
      <c r="L47" s="112">
        <f t="shared" si="21"/>
        <v>4</v>
      </c>
      <c r="M47" s="112"/>
      <c r="N47" s="112"/>
      <c r="O47" s="111"/>
      <c r="P47" s="111"/>
      <c r="Q47" s="98"/>
      <c r="R47" s="101"/>
    </row>
    <row r="48">
      <c r="A48" s="107">
        <v>18.0</v>
      </c>
      <c r="B48" s="107" t="s">
        <v>124</v>
      </c>
      <c r="C48" s="107">
        <v>7.0</v>
      </c>
      <c r="D48" s="107">
        <v>7.0</v>
      </c>
      <c r="E48" s="107">
        <v>7.0</v>
      </c>
      <c r="F48" s="107">
        <v>7.0</v>
      </c>
      <c r="G48" s="107">
        <v>7.0</v>
      </c>
      <c r="H48" s="107">
        <v>7.0</v>
      </c>
      <c r="I48" s="107">
        <v>7.0</v>
      </c>
      <c r="J48" s="107">
        <v>7.0</v>
      </c>
      <c r="K48" s="107">
        <v>7.0</v>
      </c>
      <c r="L48" s="107">
        <v>7.0</v>
      </c>
      <c r="M48" s="112"/>
      <c r="N48" s="112"/>
      <c r="O48" s="109"/>
      <c r="P48" s="109"/>
      <c r="Q48" s="98"/>
      <c r="R48" s="99"/>
      <c r="S48" s="102"/>
    </row>
    <row r="49">
      <c r="A49" s="111"/>
      <c r="B49" s="107" t="s">
        <v>84</v>
      </c>
      <c r="C49" s="107">
        <v>7.0</v>
      </c>
      <c r="D49" s="107">
        <v>4.5</v>
      </c>
      <c r="E49" s="107">
        <v>5.0</v>
      </c>
      <c r="F49" s="107">
        <v>7.0</v>
      </c>
      <c r="G49" s="107">
        <v>6.5</v>
      </c>
      <c r="H49" s="107">
        <v>6.0</v>
      </c>
      <c r="I49" s="107">
        <v>6.0</v>
      </c>
      <c r="J49" s="107">
        <v>6.5</v>
      </c>
      <c r="K49" s="107">
        <v>7.0</v>
      </c>
      <c r="L49" s="107">
        <v>0.0</v>
      </c>
      <c r="M49" s="112"/>
      <c r="N49" s="112"/>
      <c r="O49" s="109"/>
      <c r="P49" s="109"/>
      <c r="Q49" s="98"/>
      <c r="R49" s="101" t="s">
        <v>125</v>
      </c>
      <c r="S49" s="102"/>
    </row>
    <row r="50">
      <c r="A50" s="111"/>
      <c r="B50" s="112" t="s">
        <v>87</v>
      </c>
      <c r="C50" s="112">
        <f t="shared" ref="C50:L50" si="22">C48*C49</f>
        <v>49</v>
      </c>
      <c r="D50" s="112">
        <f t="shared" si="22"/>
        <v>31.5</v>
      </c>
      <c r="E50" s="112">
        <f t="shared" si="22"/>
        <v>35</v>
      </c>
      <c r="F50" s="112">
        <f t="shared" si="22"/>
        <v>49</v>
      </c>
      <c r="G50" s="112">
        <f t="shared" si="22"/>
        <v>45.5</v>
      </c>
      <c r="H50" s="112">
        <f t="shared" si="22"/>
        <v>42</v>
      </c>
      <c r="I50" s="112">
        <f t="shared" si="22"/>
        <v>42</v>
      </c>
      <c r="J50" s="112">
        <f t="shared" si="22"/>
        <v>45.5</v>
      </c>
      <c r="K50" s="112">
        <f t="shared" si="22"/>
        <v>49</v>
      </c>
      <c r="L50" s="112">
        <f t="shared" si="22"/>
        <v>0</v>
      </c>
      <c r="M50" s="112"/>
      <c r="N50" s="112"/>
      <c r="O50" s="108">
        <f t="shared" ref="O50:O51" si="24">SUM(C50:N50)</f>
        <v>388.5</v>
      </c>
      <c r="P50" s="108">
        <f t="shared" ref="P50:P51" si="25">SUM(G50:L50)</f>
        <v>224</v>
      </c>
      <c r="Q50" s="98"/>
      <c r="R50" s="101" t="s">
        <v>126</v>
      </c>
      <c r="S50" s="102"/>
    </row>
    <row r="51">
      <c r="A51" s="111"/>
      <c r="B51" s="113" t="s">
        <v>102</v>
      </c>
      <c r="C51" s="112">
        <f t="shared" ref="C51:L51" si="23">FLOOR(C49*3,1)</f>
        <v>21</v>
      </c>
      <c r="D51" s="112">
        <f t="shared" si="23"/>
        <v>13</v>
      </c>
      <c r="E51" s="112">
        <f t="shared" si="23"/>
        <v>15</v>
      </c>
      <c r="F51" s="112">
        <f t="shared" si="23"/>
        <v>21</v>
      </c>
      <c r="G51" s="112">
        <f t="shared" si="23"/>
        <v>19</v>
      </c>
      <c r="H51" s="112">
        <f t="shared" si="23"/>
        <v>18</v>
      </c>
      <c r="I51" s="112">
        <f t="shared" si="23"/>
        <v>18</v>
      </c>
      <c r="J51" s="112">
        <f t="shared" si="23"/>
        <v>19</v>
      </c>
      <c r="K51" s="112">
        <f t="shared" si="23"/>
        <v>21</v>
      </c>
      <c r="L51" s="112">
        <f t="shared" si="23"/>
        <v>0</v>
      </c>
      <c r="M51" s="112"/>
      <c r="N51" s="112"/>
      <c r="O51" s="112">
        <f t="shared" si="24"/>
        <v>165</v>
      </c>
      <c r="P51" s="111">
        <f t="shared" si="25"/>
        <v>95</v>
      </c>
      <c r="Q51" s="97">
        <v>21.0</v>
      </c>
      <c r="R51" s="101"/>
    </row>
    <row r="52">
      <c r="A52" s="107">
        <v>19.0</v>
      </c>
      <c r="B52" s="107" t="s">
        <v>127</v>
      </c>
      <c r="C52" s="107">
        <v>7.0</v>
      </c>
      <c r="D52" s="107">
        <v>7.0</v>
      </c>
      <c r="E52" s="107">
        <v>7.0</v>
      </c>
      <c r="F52" s="107">
        <v>7.0</v>
      </c>
      <c r="G52" s="107">
        <v>7.0</v>
      </c>
      <c r="H52" s="107">
        <v>7.0</v>
      </c>
      <c r="I52" s="107">
        <v>7.0</v>
      </c>
      <c r="J52" s="107">
        <v>7.0</v>
      </c>
      <c r="K52" s="107">
        <v>7.0</v>
      </c>
      <c r="L52" s="107">
        <v>7.0</v>
      </c>
      <c r="M52" s="112"/>
      <c r="N52" s="112"/>
      <c r="O52" s="109"/>
      <c r="P52" s="109"/>
      <c r="Q52" s="98"/>
      <c r="R52" s="99"/>
    </row>
    <row r="53">
      <c r="A53" s="111"/>
      <c r="B53" s="107" t="s">
        <v>84</v>
      </c>
      <c r="C53" s="107">
        <v>6.0</v>
      </c>
      <c r="D53" s="107">
        <v>5.0</v>
      </c>
      <c r="E53" s="107">
        <v>6.0</v>
      </c>
      <c r="F53" s="107">
        <v>7.0</v>
      </c>
      <c r="G53" s="107">
        <v>7.0</v>
      </c>
      <c r="H53" s="107">
        <v>6.0</v>
      </c>
      <c r="I53" s="107">
        <v>6.0</v>
      </c>
      <c r="J53" s="107">
        <v>7.0</v>
      </c>
      <c r="K53" s="107">
        <v>7.0</v>
      </c>
      <c r="L53" s="107">
        <v>6.5</v>
      </c>
      <c r="M53" s="112"/>
      <c r="N53" s="112"/>
      <c r="O53" s="109"/>
      <c r="P53" s="109"/>
      <c r="Q53" s="98"/>
      <c r="R53" s="101" t="s">
        <v>128</v>
      </c>
      <c r="S53" s="115"/>
    </row>
    <row r="54">
      <c r="A54" s="111"/>
      <c r="B54" s="112" t="s">
        <v>87</v>
      </c>
      <c r="C54" s="112">
        <f t="shared" ref="C54:L54" si="26">C52*C53</f>
        <v>42</v>
      </c>
      <c r="D54" s="112">
        <f t="shared" si="26"/>
        <v>35</v>
      </c>
      <c r="E54" s="112">
        <f t="shared" si="26"/>
        <v>42</v>
      </c>
      <c r="F54" s="112">
        <f t="shared" si="26"/>
        <v>49</v>
      </c>
      <c r="G54" s="112">
        <f t="shared" si="26"/>
        <v>49</v>
      </c>
      <c r="H54" s="112">
        <f t="shared" si="26"/>
        <v>42</v>
      </c>
      <c r="I54" s="112">
        <f t="shared" si="26"/>
        <v>42</v>
      </c>
      <c r="J54" s="112">
        <f t="shared" si="26"/>
        <v>49</v>
      </c>
      <c r="K54" s="112">
        <f t="shared" si="26"/>
        <v>49</v>
      </c>
      <c r="L54" s="112">
        <f t="shared" si="26"/>
        <v>45.5</v>
      </c>
      <c r="M54" s="112"/>
      <c r="N54" s="112"/>
      <c r="O54" s="108">
        <f t="shared" ref="O54:O55" si="28">SUM(C54:N54)</f>
        <v>444.5</v>
      </c>
      <c r="P54" s="108">
        <f t="shared" ref="P54:P55" si="29">SUM(G54:L54)</f>
        <v>276.5</v>
      </c>
      <c r="Q54" s="98"/>
      <c r="R54" s="101" t="s">
        <v>129</v>
      </c>
    </row>
    <row r="55">
      <c r="A55" s="111"/>
      <c r="B55" s="113" t="s">
        <v>102</v>
      </c>
      <c r="C55" s="112">
        <f t="shared" ref="C55:L55" si="27">FLOOR(C53*3,1)</f>
        <v>18</v>
      </c>
      <c r="D55" s="112">
        <f t="shared" si="27"/>
        <v>15</v>
      </c>
      <c r="E55" s="112">
        <f t="shared" si="27"/>
        <v>18</v>
      </c>
      <c r="F55" s="112">
        <f t="shared" si="27"/>
        <v>21</v>
      </c>
      <c r="G55" s="112">
        <f t="shared" si="27"/>
        <v>21</v>
      </c>
      <c r="H55" s="112">
        <f t="shared" si="27"/>
        <v>18</v>
      </c>
      <c r="I55" s="112">
        <f t="shared" si="27"/>
        <v>18</v>
      </c>
      <c r="J55" s="112">
        <f t="shared" si="27"/>
        <v>21</v>
      </c>
      <c r="K55" s="112">
        <f t="shared" si="27"/>
        <v>21</v>
      </c>
      <c r="L55" s="112">
        <f t="shared" si="27"/>
        <v>19</v>
      </c>
      <c r="M55" s="112"/>
      <c r="N55" s="112"/>
      <c r="O55" s="112">
        <f t="shared" si="28"/>
        <v>190</v>
      </c>
      <c r="P55" s="111">
        <f t="shared" si="29"/>
        <v>118</v>
      </c>
      <c r="Q55" s="97">
        <v>21.0</v>
      </c>
    </row>
    <row r="56">
      <c r="A56" s="107">
        <v>20.0</v>
      </c>
      <c r="B56" s="107" t="s">
        <v>130</v>
      </c>
      <c r="C56" s="107">
        <v>7.0</v>
      </c>
      <c r="D56" s="107">
        <v>7.0</v>
      </c>
      <c r="E56" s="107">
        <v>7.0</v>
      </c>
      <c r="F56" s="107">
        <v>7.0</v>
      </c>
      <c r="G56" s="107">
        <v>7.0</v>
      </c>
      <c r="H56" s="107">
        <v>7.0</v>
      </c>
      <c r="I56" s="107">
        <v>7.0</v>
      </c>
      <c r="J56" s="107">
        <v>7.0</v>
      </c>
      <c r="K56" s="107">
        <v>7.0</v>
      </c>
      <c r="L56" s="107">
        <v>7.0</v>
      </c>
      <c r="M56" s="112"/>
      <c r="N56" s="112"/>
      <c r="O56" s="109"/>
      <c r="P56" s="109"/>
      <c r="Q56" s="98"/>
      <c r="R56" s="99"/>
    </row>
    <row r="57">
      <c r="A57" s="111"/>
      <c r="B57" s="107" t="s">
        <v>84</v>
      </c>
      <c r="C57" s="112">
        <v>8.0</v>
      </c>
      <c r="D57" s="107">
        <v>7.0</v>
      </c>
      <c r="E57" s="107">
        <v>7.5</v>
      </c>
      <c r="F57" s="112">
        <v>8.0</v>
      </c>
      <c r="G57" s="107">
        <v>7.0</v>
      </c>
      <c r="H57" s="107">
        <v>7.0</v>
      </c>
      <c r="I57" s="107">
        <v>7.5</v>
      </c>
      <c r="J57" s="107">
        <v>7.0</v>
      </c>
      <c r="K57" s="107">
        <v>7.0</v>
      </c>
      <c r="L57" s="107">
        <v>8.0</v>
      </c>
      <c r="M57" s="112"/>
      <c r="N57" s="112"/>
      <c r="O57" s="109"/>
      <c r="P57" s="109"/>
      <c r="Q57" s="98"/>
      <c r="R57" s="101" t="s">
        <v>85</v>
      </c>
    </row>
    <row r="58">
      <c r="A58" s="111"/>
      <c r="B58" s="112" t="s">
        <v>87</v>
      </c>
      <c r="C58" s="112">
        <f t="shared" ref="C58:L58" si="30">C56*C57</f>
        <v>56</v>
      </c>
      <c r="D58" s="112">
        <f t="shared" si="30"/>
        <v>49</v>
      </c>
      <c r="E58" s="112">
        <f t="shared" si="30"/>
        <v>52.5</v>
      </c>
      <c r="F58" s="112">
        <f t="shared" si="30"/>
        <v>56</v>
      </c>
      <c r="G58" s="112">
        <f t="shared" si="30"/>
        <v>49</v>
      </c>
      <c r="H58" s="112">
        <f t="shared" si="30"/>
        <v>49</v>
      </c>
      <c r="I58" s="112">
        <f t="shared" si="30"/>
        <v>52.5</v>
      </c>
      <c r="J58" s="112">
        <f t="shared" si="30"/>
        <v>49</v>
      </c>
      <c r="K58" s="112">
        <f t="shared" si="30"/>
        <v>49</v>
      </c>
      <c r="L58" s="112">
        <f t="shared" si="30"/>
        <v>56</v>
      </c>
      <c r="M58" s="112"/>
      <c r="N58" s="112"/>
      <c r="O58" s="108">
        <f t="shared" ref="O58:O59" si="32">SUM(C58:N58)</f>
        <v>518</v>
      </c>
      <c r="P58" s="108">
        <f t="shared" ref="P58:P59" si="33">SUM(G58:L58)</f>
        <v>304.5</v>
      </c>
      <c r="Q58" s="98"/>
      <c r="R58" s="101" t="s">
        <v>131</v>
      </c>
    </row>
    <row r="59">
      <c r="A59" s="111"/>
      <c r="B59" s="113" t="s">
        <v>102</v>
      </c>
      <c r="C59" s="112">
        <f t="shared" ref="C59:L59" si="31">FLOOR(C57*3,1)</f>
        <v>24</v>
      </c>
      <c r="D59" s="112">
        <f t="shared" si="31"/>
        <v>21</v>
      </c>
      <c r="E59" s="112">
        <f t="shared" si="31"/>
        <v>22</v>
      </c>
      <c r="F59" s="112">
        <f t="shared" si="31"/>
        <v>24</v>
      </c>
      <c r="G59" s="112">
        <f t="shared" si="31"/>
        <v>21</v>
      </c>
      <c r="H59" s="112">
        <f t="shared" si="31"/>
        <v>21</v>
      </c>
      <c r="I59" s="112">
        <f t="shared" si="31"/>
        <v>22</v>
      </c>
      <c r="J59" s="112">
        <f t="shared" si="31"/>
        <v>21</v>
      </c>
      <c r="K59" s="112">
        <f t="shared" si="31"/>
        <v>21</v>
      </c>
      <c r="L59" s="112">
        <f t="shared" si="31"/>
        <v>24</v>
      </c>
      <c r="M59" s="112"/>
      <c r="N59" s="112"/>
      <c r="O59" s="111">
        <f t="shared" si="32"/>
        <v>221</v>
      </c>
      <c r="P59" s="111">
        <f t="shared" si="33"/>
        <v>130</v>
      </c>
      <c r="Q59" s="97">
        <v>24.0</v>
      </c>
      <c r="R59" s="101"/>
    </row>
    <row r="60">
      <c r="A60" s="107">
        <v>21.0</v>
      </c>
      <c r="B60" s="107" t="s">
        <v>132</v>
      </c>
      <c r="C60" s="107">
        <v>7.0</v>
      </c>
      <c r="D60" s="107">
        <v>7.0</v>
      </c>
      <c r="E60" s="107">
        <v>7.0</v>
      </c>
      <c r="F60" s="107">
        <v>7.0</v>
      </c>
      <c r="G60" s="107">
        <v>7.0</v>
      </c>
      <c r="H60" s="107">
        <v>7.0</v>
      </c>
      <c r="I60" s="107">
        <v>7.0</v>
      </c>
      <c r="J60" s="107">
        <v>7.0</v>
      </c>
      <c r="K60" s="107">
        <v>7.0</v>
      </c>
      <c r="L60" s="107">
        <v>7.0</v>
      </c>
      <c r="M60" s="112"/>
      <c r="N60" s="112"/>
      <c r="O60" s="109"/>
      <c r="P60" s="109"/>
      <c r="Q60" s="98"/>
      <c r="S60" s="102"/>
    </row>
    <row r="61">
      <c r="A61" s="111"/>
      <c r="B61" s="107" t="s">
        <v>84</v>
      </c>
      <c r="C61" s="107">
        <v>7.0</v>
      </c>
      <c r="D61" s="107">
        <v>7.0</v>
      </c>
      <c r="E61" s="107">
        <v>8.0</v>
      </c>
      <c r="F61" s="112">
        <v>8.0</v>
      </c>
      <c r="G61" s="107">
        <v>7.0</v>
      </c>
      <c r="H61" s="112">
        <v>8.0</v>
      </c>
      <c r="I61" s="112">
        <v>8.0</v>
      </c>
      <c r="J61" s="112">
        <v>8.0</v>
      </c>
      <c r="K61" s="107">
        <v>7.0</v>
      </c>
      <c r="L61" s="107">
        <v>7.5</v>
      </c>
      <c r="M61" s="112"/>
      <c r="N61" s="112"/>
      <c r="O61" s="109"/>
      <c r="P61" s="109"/>
      <c r="Q61" s="98"/>
      <c r="R61" s="101" t="s">
        <v>85</v>
      </c>
      <c r="S61" s="102"/>
    </row>
    <row r="62">
      <c r="A62" s="111"/>
      <c r="B62" s="112" t="s">
        <v>87</v>
      </c>
      <c r="C62" s="112">
        <f t="shared" ref="C62:L62" si="34">C60*C61</f>
        <v>49</v>
      </c>
      <c r="D62" s="112">
        <f t="shared" si="34"/>
        <v>49</v>
      </c>
      <c r="E62" s="112">
        <f t="shared" si="34"/>
        <v>56</v>
      </c>
      <c r="F62" s="112">
        <f t="shared" si="34"/>
        <v>56</v>
      </c>
      <c r="G62" s="112">
        <f t="shared" si="34"/>
        <v>49</v>
      </c>
      <c r="H62" s="112">
        <f t="shared" si="34"/>
        <v>56</v>
      </c>
      <c r="I62" s="112">
        <f t="shared" si="34"/>
        <v>56</v>
      </c>
      <c r="J62" s="112">
        <f t="shared" si="34"/>
        <v>56</v>
      </c>
      <c r="K62" s="112">
        <f t="shared" si="34"/>
        <v>49</v>
      </c>
      <c r="L62" s="112">
        <f t="shared" si="34"/>
        <v>52.5</v>
      </c>
      <c r="M62" s="112"/>
      <c r="N62" s="112"/>
      <c r="O62" s="108">
        <f t="shared" ref="O62:O63" si="36">SUM(C62:N62)</f>
        <v>528.5</v>
      </c>
      <c r="P62" s="108">
        <f t="shared" ref="P62:P63" si="37">SUM(G62:L62)</f>
        <v>318.5</v>
      </c>
      <c r="Q62" s="98"/>
      <c r="R62" s="101" t="s">
        <v>133</v>
      </c>
    </row>
    <row r="63">
      <c r="A63" s="111"/>
      <c r="B63" s="113" t="s">
        <v>102</v>
      </c>
      <c r="C63" s="112">
        <f t="shared" ref="C63:L63" si="35">FLOOR(C61*3,1)</f>
        <v>21</v>
      </c>
      <c r="D63" s="112">
        <f t="shared" si="35"/>
        <v>21</v>
      </c>
      <c r="E63" s="112">
        <f t="shared" si="35"/>
        <v>24</v>
      </c>
      <c r="F63" s="112">
        <f t="shared" si="35"/>
        <v>24</v>
      </c>
      <c r="G63" s="112">
        <f t="shared" si="35"/>
        <v>21</v>
      </c>
      <c r="H63" s="112">
        <f t="shared" si="35"/>
        <v>24</v>
      </c>
      <c r="I63" s="112">
        <f t="shared" si="35"/>
        <v>24</v>
      </c>
      <c r="J63" s="112">
        <f t="shared" si="35"/>
        <v>24</v>
      </c>
      <c r="K63" s="112">
        <f t="shared" si="35"/>
        <v>21</v>
      </c>
      <c r="L63" s="112">
        <f t="shared" si="35"/>
        <v>22</v>
      </c>
      <c r="M63" s="112"/>
      <c r="N63" s="112"/>
      <c r="O63" s="111">
        <f t="shared" si="36"/>
        <v>226</v>
      </c>
      <c r="P63" s="111">
        <f t="shared" si="37"/>
        <v>136</v>
      </c>
      <c r="Q63" s="97">
        <v>24.0</v>
      </c>
      <c r="R63" s="101"/>
    </row>
    <row r="64">
      <c r="A64" s="110">
        <v>22.0</v>
      </c>
      <c r="B64" s="107" t="s">
        <v>134</v>
      </c>
      <c r="C64" s="107">
        <v>7.0</v>
      </c>
      <c r="D64" s="107">
        <v>7.0</v>
      </c>
      <c r="E64" s="107">
        <v>7.0</v>
      </c>
      <c r="F64" s="107">
        <v>7.0</v>
      </c>
      <c r="G64" s="107">
        <v>7.0</v>
      </c>
      <c r="H64" s="107">
        <v>7.0</v>
      </c>
      <c r="I64" s="107">
        <v>7.0</v>
      </c>
      <c r="J64" s="107">
        <v>7.0</v>
      </c>
      <c r="K64" s="107">
        <v>7.0</v>
      </c>
      <c r="L64" s="107">
        <v>7.0</v>
      </c>
      <c r="M64" s="112"/>
      <c r="N64" s="112"/>
      <c r="O64" s="109"/>
      <c r="P64" s="109"/>
      <c r="Q64" s="98"/>
      <c r="R64" s="101"/>
    </row>
    <row r="65">
      <c r="A65" s="111"/>
      <c r="B65" s="107" t="s">
        <v>84</v>
      </c>
      <c r="C65" s="107">
        <v>3.0</v>
      </c>
      <c r="D65" s="107">
        <v>0.0</v>
      </c>
      <c r="E65" s="107">
        <v>3.0</v>
      </c>
      <c r="F65" s="107">
        <v>3.0</v>
      </c>
      <c r="G65" s="107">
        <v>4.0</v>
      </c>
      <c r="H65" s="107">
        <v>4.0</v>
      </c>
      <c r="I65" s="107">
        <v>3.0</v>
      </c>
      <c r="J65" s="107">
        <v>4.0</v>
      </c>
      <c r="K65" s="107">
        <v>4.0</v>
      </c>
      <c r="L65" s="107">
        <v>4.0</v>
      </c>
      <c r="M65" s="112"/>
      <c r="N65" s="112"/>
      <c r="O65" s="109"/>
      <c r="P65" s="109"/>
      <c r="Q65" s="98"/>
      <c r="R65" s="101" t="s">
        <v>135</v>
      </c>
    </row>
    <row r="66">
      <c r="A66" s="111"/>
      <c r="B66" s="107" t="s">
        <v>87</v>
      </c>
      <c r="C66" s="112">
        <f t="shared" ref="C66:L66" si="38">C64*C65</f>
        <v>21</v>
      </c>
      <c r="D66" s="112">
        <f t="shared" si="38"/>
        <v>0</v>
      </c>
      <c r="E66" s="112">
        <f t="shared" si="38"/>
        <v>21</v>
      </c>
      <c r="F66" s="112">
        <f t="shared" si="38"/>
        <v>21</v>
      </c>
      <c r="G66" s="112">
        <f t="shared" si="38"/>
        <v>28</v>
      </c>
      <c r="H66" s="112">
        <f t="shared" si="38"/>
        <v>28</v>
      </c>
      <c r="I66" s="112">
        <f t="shared" si="38"/>
        <v>21</v>
      </c>
      <c r="J66" s="112">
        <f t="shared" si="38"/>
        <v>28</v>
      </c>
      <c r="K66" s="112">
        <f t="shared" si="38"/>
        <v>28</v>
      </c>
      <c r="L66" s="112">
        <f t="shared" si="38"/>
        <v>28</v>
      </c>
      <c r="M66" s="112"/>
      <c r="N66" s="112"/>
      <c r="O66" s="108">
        <f t="shared" ref="O66:O67" si="40">SUM(C66:N66)</f>
        <v>224</v>
      </c>
      <c r="P66" s="108">
        <f t="shared" ref="P66:P67" si="41">SUM(G66:L66)</f>
        <v>161</v>
      </c>
      <c r="Q66" s="98"/>
      <c r="R66" s="101" t="s">
        <v>136</v>
      </c>
    </row>
    <row r="67">
      <c r="A67" s="111"/>
      <c r="B67" s="107" t="s">
        <v>102</v>
      </c>
      <c r="C67" s="112">
        <f t="shared" ref="C67:L67" si="39">FLOOR(C65*3,1)</f>
        <v>9</v>
      </c>
      <c r="D67" s="112">
        <f t="shared" si="39"/>
        <v>0</v>
      </c>
      <c r="E67" s="112">
        <f t="shared" si="39"/>
        <v>9</v>
      </c>
      <c r="F67" s="112">
        <f t="shared" si="39"/>
        <v>9</v>
      </c>
      <c r="G67" s="112">
        <f t="shared" si="39"/>
        <v>12</v>
      </c>
      <c r="H67" s="112">
        <f t="shared" si="39"/>
        <v>12</v>
      </c>
      <c r="I67" s="112">
        <f t="shared" si="39"/>
        <v>9</v>
      </c>
      <c r="J67" s="112">
        <f t="shared" si="39"/>
        <v>12</v>
      </c>
      <c r="K67" s="112">
        <f t="shared" si="39"/>
        <v>12</v>
      </c>
      <c r="L67" s="112">
        <f t="shared" si="39"/>
        <v>12</v>
      </c>
      <c r="M67" s="112"/>
      <c r="N67" s="112"/>
      <c r="O67" s="111">
        <f t="shared" si="40"/>
        <v>96</v>
      </c>
      <c r="P67" s="111">
        <f t="shared" si="41"/>
        <v>69</v>
      </c>
      <c r="Q67" s="97">
        <v>12.0</v>
      </c>
      <c r="R67" s="101"/>
    </row>
    <row r="68">
      <c r="A68" s="110">
        <v>23.0</v>
      </c>
      <c r="B68" s="107" t="s">
        <v>137</v>
      </c>
      <c r="C68" s="107">
        <v>7.0</v>
      </c>
      <c r="D68" s="107">
        <v>7.0</v>
      </c>
      <c r="E68" s="107">
        <v>7.0</v>
      </c>
      <c r="F68" s="107">
        <v>7.0</v>
      </c>
      <c r="G68" s="107">
        <v>7.0</v>
      </c>
      <c r="H68" s="107">
        <v>7.0</v>
      </c>
      <c r="I68" s="107">
        <v>7.0</v>
      </c>
      <c r="J68" s="107">
        <v>7.0</v>
      </c>
      <c r="K68" s="107">
        <v>7.0</v>
      </c>
      <c r="L68" s="107">
        <v>7.0</v>
      </c>
      <c r="M68" s="112"/>
      <c r="N68" s="112"/>
      <c r="O68" s="109"/>
      <c r="P68" s="109"/>
      <c r="Q68" s="98"/>
      <c r="R68" s="101"/>
    </row>
    <row r="69">
      <c r="A69" s="111"/>
      <c r="B69" s="107" t="s">
        <v>84</v>
      </c>
      <c r="C69" s="107">
        <v>7.0</v>
      </c>
      <c r="D69" s="107">
        <v>7.0</v>
      </c>
      <c r="E69" s="107">
        <v>7.0</v>
      </c>
      <c r="F69" s="107">
        <v>7.0</v>
      </c>
      <c r="G69" s="107">
        <v>7.0</v>
      </c>
      <c r="H69" s="107">
        <v>7.0</v>
      </c>
      <c r="I69" s="107">
        <v>7.0</v>
      </c>
      <c r="J69" s="107">
        <v>6.0</v>
      </c>
      <c r="K69" s="107">
        <v>7.0</v>
      </c>
      <c r="L69" s="107">
        <v>6.0</v>
      </c>
      <c r="M69" s="112"/>
      <c r="N69" s="112"/>
      <c r="O69" s="109"/>
      <c r="P69" s="109"/>
      <c r="Q69" s="98"/>
      <c r="R69" s="101" t="s">
        <v>138</v>
      </c>
    </row>
    <row r="70">
      <c r="A70" s="111"/>
      <c r="B70" s="107" t="s">
        <v>87</v>
      </c>
      <c r="C70" s="112">
        <f t="shared" ref="C70:L70" si="42">C68*C69</f>
        <v>49</v>
      </c>
      <c r="D70" s="112">
        <f t="shared" si="42"/>
        <v>49</v>
      </c>
      <c r="E70" s="112">
        <f t="shared" si="42"/>
        <v>49</v>
      </c>
      <c r="F70" s="112">
        <f t="shared" si="42"/>
        <v>49</v>
      </c>
      <c r="G70" s="112">
        <f t="shared" si="42"/>
        <v>49</v>
      </c>
      <c r="H70" s="112">
        <f t="shared" si="42"/>
        <v>49</v>
      </c>
      <c r="I70" s="112">
        <f t="shared" si="42"/>
        <v>49</v>
      </c>
      <c r="J70" s="112">
        <f t="shared" si="42"/>
        <v>42</v>
      </c>
      <c r="K70" s="112">
        <f t="shared" si="42"/>
        <v>49</v>
      </c>
      <c r="L70" s="112">
        <f t="shared" si="42"/>
        <v>42</v>
      </c>
      <c r="M70" s="112"/>
      <c r="N70" s="112"/>
      <c r="O70" s="108">
        <f t="shared" ref="O70:O71" si="44">SUM(C70:N70)</f>
        <v>476</v>
      </c>
      <c r="P70" s="108">
        <f t="shared" ref="P70:P71" si="45">SUM(G70:L70)</f>
        <v>280</v>
      </c>
      <c r="Q70" s="98"/>
      <c r="R70" s="101" t="s">
        <v>139</v>
      </c>
    </row>
    <row r="71">
      <c r="A71" s="111"/>
      <c r="B71" s="107" t="s">
        <v>102</v>
      </c>
      <c r="C71" s="112">
        <f t="shared" ref="C71:L71" si="43">FLOOR(C69*3,1)</f>
        <v>21</v>
      </c>
      <c r="D71" s="112">
        <f t="shared" si="43"/>
        <v>21</v>
      </c>
      <c r="E71" s="112">
        <f t="shared" si="43"/>
        <v>21</v>
      </c>
      <c r="F71" s="112">
        <f t="shared" si="43"/>
        <v>21</v>
      </c>
      <c r="G71" s="112">
        <f t="shared" si="43"/>
        <v>21</v>
      </c>
      <c r="H71" s="112">
        <f t="shared" si="43"/>
        <v>21</v>
      </c>
      <c r="I71" s="112">
        <f t="shared" si="43"/>
        <v>21</v>
      </c>
      <c r="J71" s="112">
        <f t="shared" si="43"/>
        <v>18</v>
      </c>
      <c r="K71" s="112">
        <f t="shared" si="43"/>
        <v>21</v>
      </c>
      <c r="L71" s="112">
        <f t="shared" si="43"/>
        <v>18</v>
      </c>
      <c r="M71" s="112"/>
      <c r="N71" s="112"/>
      <c r="O71" s="111">
        <f t="shared" si="44"/>
        <v>204</v>
      </c>
      <c r="P71" s="111">
        <f t="shared" si="45"/>
        <v>120</v>
      </c>
      <c r="Q71" s="97">
        <v>21.0</v>
      </c>
      <c r="R71" s="101"/>
    </row>
    <row r="72">
      <c r="A72" s="110">
        <v>24.0</v>
      </c>
      <c r="B72" s="107" t="s">
        <v>140</v>
      </c>
      <c r="C72" s="107">
        <v>7.0</v>
      </c>
      <c r="D72" s="107">
        <v>7.0</v>
      </c>
      <c r="E72" s="107">
        <v>7.0</v>
      </c>
      <c r="F72" s="107">
        <v>7.0</v>
      </c>
      <c r="G72" s="107">
        <v>7.0</v>
      </c>
      <c r="H72" s="107">
        <v>7.0</v>
      </c>
      <c r="I72" s="107">
        <v>7.0</v>
      </c>
      <c r="J72" s="107">
        <v>7.0</v>
      </c>
      <c r="K72" s="107">
        <v>7.0</v>
      </c>
      <c r="L72" s="107">
        <v>7.0</v>
      </c>
      <c r="M72" s="112"/>
      <c r="N72" s="112"/>
      <c r="O72" s="109"/>
      <c r="P72" s="109"/>
      <c r="Q72" s="98"/>
      <c r="R72" s="101"/>
    </row>
    <row r="73">
      <c r="A73" s="111"/>
      <c r="B73" s="107" t="s">
        <v>84</v>
      </c>
      <c r="C73" s="107">
        <v>7.0</v>
      </c>
      <c r="D73" s="107">
        <v>5.0</v>
      </c>
      <c r="E73" s="107">
        <v>6.0</v>
      </c>
      <c r="F73" s="107">
        <v>7.0</v>
      </c>
      <c r="G73" s="107">
        <v>6.0</v>
      </c>
      <c r="H73" s="107">
        <v>7.0</v>
      </c>
      <c r="I73" s="107">
        <v>7.0</v>
      </c>
      <c r="J73" s="107">
        <v>7.0</v>
      </c>
      <c r="K73" s="107">
        <v>7.0</v>
      </c>
      <c r="L73" s="107">
        <v>7.0</v>
      </c>
      <c r="M73" s="112"/>
      <c r="N73" s="112"/>
      <c r="O73" s="109"/>
      <c r="P73" s="109"/>
      <c r="Q73" s="98"/>
      <c r="R73" s="101" t="s">
        <v>141</v>
      </c>
    </row>
    <row r="74">
      <c r="A74" s="111"/>
      <c r="B74" s="107" t="s">
        <v>87</v>
      </c>
      <c r="C74" s="112">
        <f t="shared" ref="C74:L74" si="46">C72*C73</f>
        <v>49</v>
      </c>
      <c r="D74" s="112">
        <f t="shared" si="46"/>
        <v>35</v>
      </c>
      <c r="E74" s="112">
        <f t="shared" si="46"/>
        <v>42</v>
      </c>
      <c r="F74" s="112">
        <f t="shared" si="46"/>
        <v>49</v>
      </c>
      <c r="G74" s="112">
        <f t="shared" si="46"/>
        <v>42</v>
      </c>
      <c r="H74" s="112">
        <f t="shared" si="46"/>
        <v>49</v>
      </c>
      <c r="I74" s="112">
        <f t="shared" si="46"/>
        <v>49</v>
      </c>
      <c r="J74" s="112">
        <f t="shared" si="46"/>
        <v>49</v>
      </c>
      <c r="K74" s="112">
        <f t="shared" si="46"/>
        <v>49</v>
      </c>
      <c r="L74" s="112">
        <f t="shared" si="46"/>
        <v>49</v>
      </c>
      <c r="M74" s="112"/>
      <c r="N74" s="112"/>
      <c r="O74" s="108">
        <f t="shared" ref="O74:O75" si="48">SUM(C74:N74)</f>
        <v>462</v>
      </c>
      <c r="P74" s="108">
        <f t="shared" ref="P74:P75" si="49">SUM(G74:L74)</f>
        <v>287</v>
      </c>
      <c r="Q74" s="98"/>
      <c r="R74" s="101" t="s">
        <v>142</v>
      </c>
    </row>
    <row r="75">
      <c r="A75" s="111"/>
      <c r="B75" s="107" t="s">
        <v>102</v>
      </c>
      <c r="C75" s="112">
        <f t="shared" ref="C75:L75" si="47">FLOOR(C73*3,1)</f>
        <v>21</v>
      </c>
      <c r="D75" s="112">
        <f t="shared" si="47"/>
        <v>15</v>
      </c>
      <c r="E75" s="112">
        <f t="shared" si="47"/>
        <v>18</v>
      </c>
      <c r="F75" s="112">
        <f t="shared" si="47"/>
        <v>21</v>
      </c>
      <c r="G75" s="112">
        <f t="shared" si="47"/>
        <v>18</v>
      </c>
      <c r="H75" s="112">
        <f t="shared" si="47"/>
        <v>21</v>
      </c>
      <c r="I75" s="112">
        <f t="shared" si="47"/>
        <v>21</v>
      </c>
      <c r="J75" s="112">
        <f t="shared" si="47"/>
        <v>21</v>
      </c>
      <c r="K75" s="112">
        <f t="shared" si="47"/>
        <v>21</v>
      </c>
      <c r="L75" s="112">
        <f t="shared" si="47"/>
        <v>21</v>
      </c>
      <c r="M75" s="112"/>
      <c r="N75" s="112"/>
      <c r="O75" s="111">
        <f t="shared" si="48"/>
        <v>198</v>
      </c>
      <c r="P75" s="111">
        <f t="shared" si="49"/>
        <v>123</v>
      </c>
      <c r="Q75" s="97">
        <v>21.0</v>
      </c>
      <c r="R75" s="101"/>
    </row>
    <row r="76">
      <c r="A76" s="110">
        <v>25.0</v>
      </c>
      <c r="B76" s="107" t="s">
        <v>143</v>
      </c>
      <c r="C76" s="107">
        <v>7.0</v>
      </c>
      <c r="D76" s="107">
        <v>7.0</v>
      </c>
      <c r="E76" s="107">
        <v>7.0</v>
      </c>
      <c r="F76" s="107">
        <v>7.0</v>
      </c>
      <c r="G76" s="107">
        <v>7.0</v>
      </c>
      <c r="H76" s="107">
        <v>7.0</v>
      </c>
      <c r="I76" s="107">
        <v>7.0</v>
      </c>
      <c r="J76" s="107">
        <v>7.0</v>
      </c>
      <c r="K76" s="107">
        <v>7.0</v>
      </c>
      <c r="L76" s="107">
        <v>7.0</v>
      </c>
      <c r="M76" s="112"/>
      <c r="N76" s="112"/>
      <c r="O76" s="109"/>
      <c r="P76" s="109"/>
      <c r="Q76" s="98"/>
    </row>
    <row r="77">
      <c r="A77" s="111"/>
      <c r="B77" s="107" t="s">
        <v>84</v>
      </c>
      <c r="C77" s="112">
        <v>8.0</v>
      </c>
      <c r="D77" s="107">
        <v>7.0</v>
      </c>
      <c r="E77" s="112">
        <v>8.0</v>
      </c>
      <c r="F77" s="112">
        <v>8.0</v>
      </c>
      <c r="G77" s="107">
        <v>7.0</v>
      </c>
      <c r="H77" s="107">
        <v>4.0</v>
      </c>
      <c r="I77" s="112">
        <v>8.0</v>
      </c>
      <c r="J77" s="112">
        <v>8.0</v>
      </c>
      <c r="K77" s="112">
        <v>8.0</v>
      </c>
      <c r="L77" s="112">
        <v>8.0</v>
      </c>
      <c r="M77" s="112"/>
      <c r="N77" s="112"/>
      <c r="O77" s="109"/>
      <c r="P77" s="109"/>
      <c r="Q77" s="98"/>
      <c r="R77" s="101" t="s">
        <v>85</v>
      </c>
    </row>
    <row r="78">
      <c r="A78" s="111"/>
      <c r="B78" s="107" t="s">
        <v>87</v>
      </c>
      <c r="C78" s="112">
        <f t="shared" ref="C78:L78" si="50">C76*C77</f>
        <v>56</v>
      </c>
      <c r="D78" s="112">
        <f t="shared" si="50"/>
        <v>49</v>
      </c>
      <c r="E78" s="112">
        <f t="shared" si="50"/>
        <v>56</v>
      </c>
      <c r="F78" s="112">
        <f t="shared" si="50"/>
        <v>56</v>
      </c>
      <c r="G78" s="112">
        <f t="shared" si="50"/>
        <v>49</v>
      </c>
      <c r="H78" s="112">
        <f t="shared" si="50"/>
        <v>28</v>
      </c>
      <c r="I78" s="112">
        <f t="shared" si="50"/>
        <v>56</v>
      </c>
      <c r="J78" s="112">
        <f t="shared" si="50"/>
        <v>56</v>
      </c>
      <c r="K78" s="112">
        <f t="shared" si="50"/>
        <v>56</v>
      </c>
      <c r="L78" s="112">
        <f t="shared" si="50"/>
        <v>56</v>
      </c>
      <c r="M78" s="112"/>
      <c r="N78" s="112"/>
      <c r="O78" s="108">
        <f t="shared" ref="O78:O79" si="52">SUM(C78:N78)</f>
        <v>518</v>
      </c>
      <c r="P78" s="108">
        <f t="shared" ref="P78:P79" si="53">SUM(G78:L78)</f>
        <v>301</v>
      </c>
      <c r="Q78" s="98"/>
      <c r="R78" s="101" t="s">
        <v>144</v>
      </c>
    </row>
    <row r="79">
      <c r="A79" s="111"/>
      <c r="B79" s="107" t="s">
        <v>102</v>
      </c>
      <c r="C79" s="112">
        <f t="shared" ref="C79:L79" si="51">FLOOR(C77*3,1)</f>
        <v>24</v>
      </c>
      <c r="D79" s="112">
        <f t="shared" si="51"/>
        <v>21</v>
      </c>
      <c r="E79" s="112">
        <f t="shared" si="51"/>
        <v>24</v>
      </c>
      <c r="F79" s="112">
        <f t="shared" si="51"/>
        <v>24</v>
      </c>
      <c r="G79" s="112">
        <f t="shared" si="51"/>
        <v>21</v>
      </c>
      <c r="H79" s="112">
        <f t="shared" si="51"/>
        <v>12</v>
      </c>
      <c r="I79" s="112">
        <f t="shared" si="51"/>
        <v>24</v>
      </c>
      <c r="J79" s="112">
        <f t="shared" si="51"/>
        <v>24</v>
      </c>
      <c r="K79" s="112">
        <f t="shared" si="51"/>
        <v>24</v>
      </c>
      <c r="L79" s="112">
        <f t="shared" si="51"/>
        <v>24</v>
      </c>
      <c r="M79" s="112"/>
      <c r="N79" s="112"/>
      <c r="O79" s="111">
        <f t="shared" si="52"/>
        <v>222</v>
      </c>
      <c r="P79" s="111">
        <f t="shared" si="53"/>
        <v>129</v>
      </c>
      <c r="Q79" s="97">
        <v>24.0</v>
      </c>
      <c r="R79" s="101"/>
    </row>
    <row r="80">
      <c r="A80" s="110">
        <v>26.0</v>
      </c>
      <c r="B80" s="107" t="s">
        <v>145</v>
      </c>
      <c r="C80" s="107">
        <v>7.0</v>
      </c>
      <c r="D80" s="107">
        <v>7.0</v>
      </c>
      <c r="E80" s="107">
        <v>7.0</v>
      </c>
      <c r="F80" s="107">
        <v>7.0</v>
      </c>
      <c r="G80" s="107">
        <v>7.0</v>
      </c>
      <c r="H80" s="107">
        <v>7.0</v>
      </c>
      <c r="I80" s="107">
        <v>7.0</v>
      </c>
      <c r="J80" s="107">
        <v>7.0</v>
      </c>
      <c r="K80" s="107">
        <v>7.0</v>
      </c>
      <c r="L80" s="107">
        <v>7.0</v>
      </c>
      <c r="M80" s="112"/>
      <c r="N80" s="112"/>
      <c r="O80" s="109"/>
      <c r="P80" s="109"/>
      <c r="Q80" s="98"/>
      <c r="R80" s="101"/>
    </row>
    <row r="81">
      <c r="A81" s="111"/>
      <c r="B81" s="107" t="s">
        <v>84</v>
      </c>
      <c r="C81" s="107">
        <v>5.0</v>
      </c>
      <c r="D81" s="107">
        <v>5.5</v>
      </c>
      <c r="E81" s="107">
        <v>4.5</v>
      </c>
      <c r="F81" s="107">
        <v>5.0</v>
      </c>
      <c r="G81" s="107">
        <v>7.0</v>
      </c>
      <c r="H81" s="107">
        <v>6.0</v>
      </c>
      <c r="I81" s="107">
        <v>7.0</v>
      </c>
      <c r="J81" s="107">
        <v>7.0</v>
      </c>
      <c r="K81" s="107">
        <v>7.0</v>
      </c>
      <c r="L81" s="107">
        <v>7.0</v>
      </c>
      <c r="M81" s="112"/>
      <c r="N81" s="112"/>
      <c r="O81" s="109"/>
      <c r="P81" s="109"/>
      <c r="Q81" s="98"/>
      <c r="R81" s="101" t="s">
        <v>146</v>
      </c>
    </row>
    <row r="82">
      <c r="A82" s="111"/>
      <c r="B82" s="107" t="s">
        <v>87</v>
      </c>
      <c r="C82" s="112">
        <f t="shared" ref="C82:L82" si="54">C80*C81</f>
        <v>35</v>
      </c>
      <c r="D82" s="112">
        <f t="shared" si="54"/>
        <v>38.5</v>
      </c>
      <c r="E82" s="112">
        <f t="shared" si="54"/>
        <v>31.5</v>
      </c>
      <c r="F82" s="112">
        <f t="shared" si="54"/>
        <v>35</v>
      </c>
      <c r="G82" s="112">
        <f t="shared" si="54"/>
        <v>49</v>
      </c>
      <c r="H82" s="112">
        <f t="shared" si="54"/>
        <v>42</v>
      </c>
      <c r="I82" s="112">
        <f t="shared" si="54"/>
        <v>49</v>
      </c>
      <c r="J82" s="112">
        <f t="shared" si="54"/>
        <v>49</v>
      </c>
      <c r="K82" s="112">
        <f t="shared" si="54"/>
        <v>49</v>
      </c>
      <c r="L82" s="112">
        <f t="shared" si="54"/>
        <v>49</v>
      </c>
      <c r="M82" s="112"/>
      <c r="N82" s="112"/>
      <c r="O82" s="108">
        <f t="shared" ref="O82:O83" si="56">SUM(C82:N82)</f>
        <v>427</v>
      </c>
      <c r="P82" s="108">
        <f t="shared" ref="P82:P83" si="57">SUM(G82:L82)</f>
        <v>287</v>
      </c>
      <c r="Q82" s="98"/>
      <c r="R82" s="101" t="s">
        <v>147</v>
      </c>
    </row>
    <row r="83">
      <c r="A83" s="111"/>
      <c r="B83" s="107" t="s">
        <v>102</v>
      </c>
      <c r="C83" s="112">
        <f t="shared" ref="C83:L83" si="55">FLOOR(C81*3,1)</f>
        <v>15</v>
      </c>
      <c r="D83" s="112">
        <f t="shared" si="55"/>
        <v>16</v>
      </c>
      <c r="E83" s="112">
        <f t="shared" si="55"/>
        <v>13</v>
      </c>
      <c r="F83" s="112">
        <f t="shared" si="55"/>
        <v>15</v>
      </c>
      <c r="G83" s="112">
        <f t="shared" si="55"/>
        <v>21</v>
      </c>
      <c r="H83" s="112">
        <f t="shared" si="55"/>
        <v>18</v>
      </c>
      <c r="I83" s="112">
        <f t="shared" si="55"/>
        <v>21</v>
      </c>
      <c r="J83" s="112">
        <f t="shared" si="55"/>
        <v>21</v>
      </c>
      <c r="K83" s="112">
        <f t="shared" si="55"/>
        <v>21</v>
      </c>
      <c r="L83" s="112">
        <f t="shared" si="55"/>
        <v>21</v>
      </c>
      <c r="M83" s="112"/>
      <c r="N83" s="112"/>
      <c r="O83" s="111">
        <f t="shared" si="56"/>
        <v>182</v>
      </c>
      <c r="P83" s="111">
        <f t="shared" si="57"/>
        <v>123</v>
      </c>
      <c r="Q83" s="97">
        <v>21.0</v>
      </c>
      <c r="R83" s="101"/>
    </row>
    <row r="84">
      <c r="A84" s="116">
        <v>27.0</v>
      </c>
      <c r="B84" s="117" t="s">
        <v>148</v>
      </c>
      <c r="C84" s="117">
        <v>7.0</v>
      </c>
      <c r="D84" s="117">
        <v>7.0</v>
      </c>
      <c r="E84" s="117">
        <v>7.0</v>
      </c>
      <c r="F84" s="117">
        <v>7.0</v>
      </c>
      <c r="G84" s="117">
        <v>7.0</v>
      </c>
      <c r="H84" s="117">
        <v>7.0</v>
      </c>
      <c r="I84" s="117">
        <v>7.0</v>
      </c>
      <c r="J84" s="117">
        <v>7.0</v>
      </c>
      <c r="K84" s="117">
        <v>7.0</v>
      </c>
      <c r="L84" s="117">
        <v>7.0</v>
      </c>
      <c r="M84" s="118"/>
      <c r="N84" s="118"/>
      <c r="O84" s="119"/>
      <c r="P84" s="119"/>
      <c r="Q84" s="120"/>
      <c r="R84" s="121"/>
    </row>
    <row r="85">
      <c r="A85" s="122"/>
      <c r="B85" s="117" t="s">
        <v>84</v>
      </c>
      <c r="C85" s="117">
        <v>7.0</v>
      </c>
      <c r="D85" s="118">
        <v>8.0</v>
      </c>
      <c r="E85" s="118">
        <v>8.0</v>
      </c>
      <c r="F85" s="118">
        <v>8.0</v>
      </c>
      <c r="G85" s="117">
        <v>7.0</v>
      </c>
      <c r="H85" s="118">
        <v>8.0</v>
      </c>
      <c r="I85" s="117">
        <v>8.0</v>
      </c>
      <c r="J85" s="118">
        <v>8.0</v>
      </c>
      <c r="K85" s="117">
        <v>7.0</v>
      </c>
      <c r="L85" s="118">
        <v>8.0</v>
      </c>
      <c r="M85" s="118"/>
      <c r="N85" s="118"/>
      <c r="O85" s="119"/>
      <c r="P85" s="119"/>
      <c r="Q85" s="120"/>
      <c r="R85" s="123" t="s">
        <v>85</v>
      </c>
    </row>
    <row r="86">
      <c r="A86" s="122"/>
      <c r="B86" s="117" t="s">
        <v>87</v>
      </c>
      <c r="C86" s="118">
        <f t="shared" ref="C86:L86" si="58">C84*C85</f>
        <v>49</v>
      </c>
      <c r="D86" s="118">
        <f t="shared" si="58"/>
        <v>56</v>
      </c>
      <c r="E86" s="118">
        <f t="shared" si="58"/>
        <v>56</v>
      </c>
      <c r="F86" s="118">
        <f t="shared" si="58"/>
        <v>56</v>
      </c>
      <c r="G86" s="118">
        <f t="shared" si="58"/>
        <v>49</v>
      </c>
      <c r="H86" s="118">
        <f t="shared" si="58"/>
        <v>56</v>
      </c>
      <c r="I86" s="118">
        <f t="shared" si="58"/>
        <v>56</v>
      </c>
      <c r="J86" s="118">
        <f t="shared" si="58"/>
        <v>56</v>
      </c>
      <c r="K86" s="118">
        <f t="shared" si="58"/>
        <v>49</v>
      </c>
      <c r="L86" s="118">
        <f t="shared" si="58"/>
        <v>56</v>
      </c>
      <c r="M86" s="118"/>
      <c r="N86" s="118"/>
      <c r="O86" s="124">
        <f t="shared" ref="O86:O87" si="60">SUM(C86:N86)</f>
        <v>539</v>
      </c>
      <c r="P86" s="124">
        <f t="shared" ref="P86:P87" si="61">SUM(G86:L86)</f>
        <v>322</v>
      </c>
      <c r="Q86" s="120"/>
      <c r="R86" s="123" t="s">
        <v>149</v>
      </c>
    </row>
    <row r="87">
      <c r="A87" s="122"/>
      <c r="B87" s="117" t="s">
        <v>102</v>
      </c>
      <c r="C87" s="118">
        <f t="shared" ref="C87:L87" si="59">FLOOR(C85*3,1)</f>
        <v>21</v>
      </c>
      <c r="D87" s="118">
        <f t="shared" si="59"/>
        <v>24</v>
      </c>
      <c r="E87" s="118">
        <f t="shared" si="59"/>
        <v>24</v>
      </c>
      <c r="F87" s="118">
        <f t="shared" si="59"/>
        <v>24</v>
      </c>
      <c r="G87" s="118">
        <f t="shared" si="59"/>
        <v>21</v>
      </c>
      <c r="H87" s="118">
        <f t="shared" si="59"/>
        <v>24</v>
      </c>
      <c r="I87" s="118">
        <f t="shared" si="59"/>
        <v>24</v>
      </c>
      <c r="J87" s="118">
        <f t="shared" si="59"/>
        <v>24</v>
      </c>
      <c r="K87" s="118">
        <f t="shared" si="59"/>
        <v>21</v>
      </c>
      <c r="L87" s="118">
        <f t="shared" si="59"/>
        <v>24</v>
      </c>
      <c r="M87" s="118"/>
      <c r="N87" s="118"/>
      <c r="O87" s="122">
        <f t="shared" si="60"/>
        <v>231</v>
      </c>
      <c r="P87" s="122">
        <f t="shared" si="61"/>
        <v>138</v>
      </c>
      <c r="Q87" s="90">
        <v>24.0</v>
      </c>
      <c r="R87" s="123"/>
    </row>
    <row r="88">
      <c r="A88" s="110">
        <v>28.0</v>
      </c>
      <c r="B88" s="107" t="s">
        <v>150</v>
      </c>
      <c r="C88" s="107">
        <v>7.0</v>
      </c>
      <c r="D88" s="107">
        <v>7.0</v>
      </c>
      <c r="E88" s="107">
        <v>7.0</v>
      </c>
      <c r="F88" s="107">
        <v>7.0</v>
      </c>
      <c r="G88" s="107">
        <v>7.0</v>
      </c>
      <c r="H88" s="107">
        <v>7.0</v>
      </c>
      <c r="I88" s="107">
        <v>7.0</v>
      </c>
      <c r="J88" s="107">
        <v>7.0</v>
      </c>
      <c r="K88" s="107">
        <v>7.0</v>
      </c>
      <c r="L88" s="107">
        <v>7.0</v>
      </c>
      <c r="M88" s="112"/>
      <c r="N88" s="112"/>
      <c r="O88" s="109"/>
      <c r="P88" s="109"/>
      <c r="Q88" s="98"/>
    </row>
    <row r="89">
      <c r="A89" s="111"/>
      <c r="B89" s="107" t="s">
        <v>84</v>
      </c>
      <c r="C89" s="112">
        <v>8.0</v>
      </c>
      <c r="D89" s="112">
        <v>8.0</v>
      </c>
      <c r="E89" s="112">
        <v>8.0</v>
      </c>
      <c r="F89" s="112">
        <v>8.0</v>
      </c>
      <c r="G89" s="112">
        <v>8.0</v>
      </c>
      <c r="H89" s="112">
        <v>8.0</v>
      </c>
      <c r="I89" s="107">
        <v>8.0</v>
      </c>
      <c r="J89" s="112">
        <v>8.0</v>
      </c>
      <c r="K89" s="107">
        <v>7.0</v>
      </c>
      <c r="L89" s="112">
        <v>8.0</v>
      </c>
      <c r="M89" s="112"/>
      <c r="N89" s="112"/>
      <c r="O89" s="109"/>
      <c r="P89" s="109"/>
      <c r="Q89" s="98"/>
      <c r="R89" s="101" t="s">
        <v>85</v>
      </c>
    </row>
    <row r="90">
      <c r="A90" s="111"/>
      <c r="B90" s="107" t="s">
        <v>87</v>
      </c>
      <c r="C90" s="112">
        <f t="shared" ref="C90:L90" si="62">C88*C89</f>
        <v>56</v>
      </c>
      <c r="D90" s="112">
        <f t="shared" si="62"/>
        <v>56</v>
      </c>
      <c r="E90" s="112">
        <f t="shared" si="62"/>
        <v>56</v>
      </c>
      <c r="F90" s="112">
        <f t="shared" si="62"/>
        <v>56</v>
      </c>
      <c r="G90" s="112">
        <f t="shared" si="62"/>
        <v>56</v>
      </c>
      <c r="H90" s="112">
        <f t="shared" si="62"/>
        <v>56</v>
      </c>
      <c r="I90" s="112">
        <f t="shared" si="62"/>
        <v>56</v>
      </c>
      <c r="J90" s="112">
        <f t="shared" si="62"/>
        <v>56</v>
      </c>
      <c r="K90" s="112">
        <f t="shared" si="62"/>
        <v>49</v>
      </c>
      <c r="L90" s="112">
        <f t="shared" si="62"/>
        <v>56</v>
      </c>
      <c r="M90" s="112"/>
      <c r="N90" s="112"/>
      <c r="O90" s="108">
        <f t="shared" ref="O90:O91" si="64">SUM(C90:N90)</f>
        <v>553</v>
      </c>
      <c r="P90" s="108">
        <f t="shared" ref="P90:P91" si="65">SUM(G90:L90)</f>
        <v>329</v>
      </c>
      <c r="Q90" s="98"/>
      <c r="R90" s="114" t="s">
        <v>151</v>
      </c>
    </row>
    <row r="91">
      <c r="A91" s="111"/>
      <c r="B91" s="107" t="s">
        <v>102</v>
      </c>
      <c r="C91" s="112">
        <f t="shared" ref="C91:L91" si="63">FLOOR(C89*3,1)</f>
        <v>24</v>
      </c>
      <c r="D91" s="112">
        <f t="shared" si="63"/>
        <v>24</v>
      </c>
      <c r="E91" s="112">
        <f t="shared" si="63"/>
        <v>24</v>
      </c>
      <c r="F91" s="112">
        <f t="shared" si="63"/>
        <v>24</v>
      </c>
      <c r="G91" s="112">
        <f t="shared" si="63"/>
        <v>24</v>
      </c>
      <c r="H91" s="112">
        <f t="shared" si="63"/>
        <v>24</v>
      </c>
      <c r="I91" s="112">
        <f t="shared" si="63"/>
        <v>24</v>
      </c>
      <c r="J91" s="112">
        <f t="shared" si="63"/>
        <v>24</v>
      </c>
      <c r="K91" s="112">
        <f t="shared" si="63"/>
        <v>21</v>
      </c>
      <c r="L91" s="112">
        <f t="shared" si="63"/>
        <v>24</v>
      </c>
      <c r="M91" s="112"/>
      <c r="N91" s="112"/>
      <c r="O91" s="111">
        <f t="shared" si="64"/>
        <v>237</v>
      </c>
      <c r="P91" s="111">
        <f t="shared" si="65"/>
        <v>141</v>
      </c>
      <c r="Q91" s="97">
        <v>24.0</v>
      </c>
      <c r="R91" s="101"/>
    </row>
    <row r="92"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</row>
    <row r="93"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</row>
    <row r="94"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</row>
    <row r="95"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</row>
    <row r="96"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</row>
    <row r="97"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</row>
    <row r="98"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</row>
    <row r="99"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</row>
    <row r="100"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</row>
    <row r="101"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</row>
    <row r="102"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</row>
    <row r="103"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</row>
    <row r="104"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</row>
    <row r="105"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</row>
    <row r="106"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</row>
    <row r="107"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</row>
    <row r="108"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</row>
    <row r="109"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</row>
    <row r="110"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</row>
    <row r="111"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</row>
    <row r="112"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</row>
    <row r="113"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</row>
    <row r="114"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</row>
    <row r="115"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</row>
    <row r="116"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</row>
    <row r="117"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</row>
    <row r="118"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</row>
    <row r="119"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</row>
    <row r="120"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</row>
    <row r="121"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</row>
    <row r="122"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</row>
    <row r="123"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</row>
    <row r="124"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</row>
    <row r="125"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</row>
    <row r="126"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</row>
    <row r="127"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</row>
    <row r="128"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</row>
    <row r="129"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</row>
    <row r="130"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</row>
    <row r="131"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</row>
    <row r="132"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</row>
    <row r="133"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</row>
    <row r="134"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</row>
    <row r="135">
      <c r="C135" s="125"/>
      <c r="D135" s="125"/>
      <c r="E135" s="125"/>
      <c r="F135" s="125"/>
      <c r="G135" s="126" t="s">
        <v>152</v>
      </c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</row>
    <row r="136"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</row>
    <row r="137">
      <c r="C137" s="125"/>
      <c r="D137" s="125"/>
      <c r="E137" s="125"/>
      <c r="F137" s="125"/>
      <c r="G137" s="126" t="s">
        <v>153</v>
      </c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</row>
    <row r="138"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</row>
    <row r="139"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</row>
    <row r="140"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</row>
    <row r="141"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</row>
    <row r="142"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</row>
    <row r="143"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</row>
    <row r="144"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</row>
    <row r="145"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</row>
    <row r="146"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</row>
    <row r="147"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</row>
    <row r="148"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</row>
    <row r="149"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</row>
    <row r="150"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</row>
    <row r="151"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</row>
    <row r="152"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</row>
    <row r="153"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</row>
    <row r="154"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</row>
    <row r="155"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</row>
    <row r="156"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</row>
    <row r="157"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</row>
    <row r="158"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</row>
    <row r="159"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</row>
    <row r="160"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</row>
    <row r="161"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</row>
    <row r="162"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</row>
    <row r="163"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</row>
    <row r="164"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</row>
    <row r="165"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</row>
    <row r="166"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</row>
    <row r="167"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</row>
    <row r="168"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</row>
    <row r="169"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</row>
    <row r="170"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</row>
    <row r="171"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</row>
    <row r="172"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</row>
    <row r="173"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</row>
    <row r="174"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</row>
    <row r="175"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</row>
    <row r="176"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</row>
    <row r="177"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</row>
    <row r="178"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</row>
    <row r="179"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</row>
    <row r="180"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</row>
    <row r="181"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</row>
    <row r="182"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</row>
    <row r="183"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</row>
    <row r="184"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</row>
    <row r="185"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</row>
    <row r="186"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</row>
    <row r="187"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</row>
    <row r="188"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</row>
    <row r="189"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</row>
    <row r="190"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</row>
    <row r="191"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</row>
    <row r="192"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</row>
    <row r="193"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</row>
    <row r="194"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</row>
    <row r="195"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</row>
    <row r="196"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</row>
    <row r="197"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</row>
    <row r="198"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</row>
    <row r="199"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</row>
    <row r="200"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</row>
    <row r="201"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</row>
    <row r="202"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</row>
    <row r="203"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</row>
    <row r="204"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</row>
    <row r="205"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</row>
    <row r="206"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</row>
    <row r="207"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</row>
    <row r="208"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</row>
    <row r="209"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</row>
    <row r="210"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</row>
    <row r="211"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</row>
    <row r="212"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</row>
    <row r="213"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</row>
    <row r="214"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</row>
    <row r="215"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</row>
    <row r="216"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</row>
    <row r="217"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</row>
    <row r="218"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</row>
    <row r="219"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</row>
    <row r="220"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</row>
    <row r="221"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</row>
    <row r="222"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</row>
    <row r="223"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</row>
    <row r="224"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</row>
    <row r="225"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</row>
    <row r="226"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</row>
    <row r="227"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</row>
    <row r="228"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</row>
    <row r="229"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</row>
    <row r="230"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</row>
    <row r="231"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</row>
    <row r="232"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</row>
    <row r="233"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</row>
    <row r="234"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</row>
    <row r="235"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</row>
    <row r="236"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</row>
    <row r="237"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</row>
    <row r="238"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</row>
    <row r="239"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</row>
    <row r="240"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</row>
    <row r="241"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</row>
    <row r="242"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</row>
    <row r="243"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</row>
    <row r="244"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</row>
    <row r="245"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</row>
    <row r="246"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</row>
    <row r="247"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</row>
    <row r="248"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</row>
    <row r="249"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</row>
    <row r="250"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</row>
    <row r="251"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</row>
    <row r="252"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</row>
    <row r="253"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</row>
    <row r="254"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</row>
    <row r="255"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</row>
    <row r="256"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</row>
    <row r="257"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</row>
    <row r="258"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</row>
    <row r="259"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</row>
    <row r="260"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</row>
    <row r="261"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</row>
    <row r="262"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</row>
    <row r="263"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</row>
    <row r="264"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</row>
    <row r="265"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</row>
    <row r="266"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</row>
    <row r="267"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</row>
    <row r="268"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</row>
    <row r="269"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</row>
    <row r="270"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</row>
    <row r="271"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</row>
    <row r="272"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</row>
    <row r="273"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</row>
    <row r="274"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</row>
    <row r="275"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</row>
    <row r="276"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</row>
    <row r="277"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</row>
    <row r="278"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</row>
    <row r="279"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</row>
    <row r="280"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</row>
    <row r="281"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</row>
    <row r="282"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</row>
    <row r="283"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</row>
    <row r="284"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</row>
    <row r="285"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</row>
    <row r="286"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</row>
    <row r="287"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</row>
    <row r="288"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</row>
    <row r="289"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</row>
    <row r="290"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</row>
    <row r="291"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</row>
    <row r="292"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</row>
    <row r="293"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</row>
    <row r="294"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</row>
    <row r="295"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</row>
    <row r="296"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</row>
    <row r="297"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</row>
    <row r="298"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</row>
    <row r="299"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</row>
    <row r="300"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</row>
    <row r="301"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</row>
    <row r="302"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</row>
    <row r="303"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</row>
    <row r="304"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</row>
    <row r="305"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</row>
    <row r="306"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</row>
    <row r="307"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</row>
    <row r="308"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</row>
    <row r="309"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</row>
    <row r="310"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</row>
    <row r="311"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</row>
    <row r="312"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</row>
    <row r="313"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</row>
    <row r="314"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</row>
    <row r="315"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</row>
    <row r="316"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</row>
    <row r="317"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</row>
    <row r="318"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</row>
    <row r="319"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</row>
    <row r="320"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</row>
    <row r="321"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</row>
    <row r="322"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</row>
    <row r="323"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</row>
    <row r="324"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</row>
    <row r="325"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</row>
    <row r="326"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</row>
    <row r="327"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</row>
    <row r="328"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</row>
    <row r="329"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</row>
    <row r="330"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</row>
    <row r="331"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</row>
    <row r="332"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</row>
    <row r="333"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</row>
    <row r="334"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</row>
    <row r="335"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</row>
    <row r="336"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</row>
    <row r="337"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</row>
    <row r="338"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</row>
    <row r="339"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</row>
    <row r="340"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</row>
    <row r="341"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</row>
    <row r="342"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</row>
    <row r="343"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</row>
    <row r="344"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</row>
    <row r="345"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</row>
    <row r="346"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</row>
    <row r="347"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</row>
    <row r="348"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</row>
    <row r="349"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</row>
    <row r="350"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</row>
    <row r="351"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</row>
    <row r="352"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</row>
    <row r="353"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</row>
    <row r="354"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</row>
    <row r="355"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</row>
    <row r="356"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</row>
    <row r="357"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</row>
    <row r="358"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</row>
    <row r="359"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</row>
    <row r="360"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</row>
    <row r="361"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</row>
    <row r="362"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</row>
    <row r="363"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</row>
    <row r="364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</row>
    <row r="365"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</row>
    <row r="366"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</row>
    <row r="367"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</row>
    <row r="368"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</row>
    <row r="369"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</row>
    <row r="370"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</row>
    <row r="371"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</row>
    <row r="372"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</row>
    <row r="373"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</row>
    <row r="374"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</row>
    <row r="375"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</row>
    <row r="376"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</row>
    <row r="377"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</row>
    <row r="378"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</row>
    <row r="379"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</row>
    <row r="380"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</row>
    <row r="381"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</row>
    <row r="382"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</row>
    <row r="383"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</row>
    <row r="384"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</row>
    <row r="385"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</row>
    <row r="386"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</row>
    <row r="387"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</row>
    <row r="388"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</row>
    <row r="389"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</row>
    <row r="390"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</row>
    <row r="391"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</row>
    <row r="392"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</row>
    <row r="393"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</row>
    <row r="394"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</row>
    <row r="395"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</row>
    <row r="396"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</row>
    <row r="397"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</row>
    <row r="398"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</row>
    <row r="399"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</row>
    <row r="400"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</row>
    <row r="401"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</row>
    <row r="402"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</row>
    <row r="403"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</row>
    <row r="404"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</row>
    <row r="405"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</row>
    <row r="406"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</row>
    <row r="407"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</row>
    <row r="408"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</row>
    <row r="409"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</row>
    <row r="410"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</row>
    <row r="411"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</row>
    <row r="412"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</row>
    <row r="413"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</row>
    <row r="414"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</row>
    <row r="415"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</row>
    <row r="416"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</row>
    <row r="417"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</row>
    <row r="418"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</row>
    <row r="419"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</row>
    <row r="420"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</row>
    <row r="421"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</row>
    <row r="422"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</row>
    <row r="423"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</row>
    <row r="424"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</row>
    <row r="425"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</row>
    <row r="426"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</row>
    <row r="427"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</row>
    <row r="428"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</row>
    <row r="429"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</row>
    <row r="430"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</row>
    <row r="431"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</row>
    <row r="432"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</row>
    <row r="433"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</row>
    <row r="434"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</row>
    <row r="435"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</row>
    <row r="436"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</row>
    <row r="437"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</row>
    <row r="438"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</row>
    <row r="439"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</row>
    <row r="440"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</row>
    <row r="441"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</row>
    <row r="442"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</row>
    <row r="443"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</row>
    <row r="444"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</row>
    <row r="445"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</row>
    <row r="446"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</row>
    <row r="447"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</row>
    <row r="448"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</row>
    <row r="449"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</row>
    <row r="450"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</row>
    <row r="451"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</row>
    <row r="452"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</row>
    <row r="453"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</row>
    <row r="454"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</row>
    <row r="455"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</row>
    <row r="456"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</row>
    <row r="457"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</row>
    <row r="458"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</row>
    <row r="459"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</row>
    <row r="460"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</row>
    <row r="461"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</row>
    <row r="462"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</row>
    <row r="463"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</row>
    <row r="464"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</row>
    <row r="465"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</row>
    <row r="466"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</row>
    <row r="467"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</row>
    <row r="468"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</row>
    <row r="469"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</row>
    <row r="470"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</row>
    <row r="471"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</row>
    <row r="472"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</row>
    <row r="473"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</row>
    <row r="474"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</row>
    <row r="475"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</row>
    <row r="476"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</row>
    <row r="477"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</row>
    <row r="478"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</row>
    <row r="479"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</row>
    <row r="480"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</row>
    <row r="481"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</row>
    <row r="482"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</row>
    <row r="483"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</row>
    <row r="484"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</row>
    <row r="485"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</row>
    <row r="486"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</row>
    <row r="487"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</row>
    <row r="488"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</row>
    <row r="489"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</row>
    <row r="490"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</row>
    <row r="491"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</row>
    <row r="492"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</row>
    <row r="493"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</row>
    <row r="494"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</row>
    <row r="495"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</row>
    <row r="496"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</row>
    <row r="497"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</row>
    <row r="498"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</row>
    <row r="499"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</row>
    <row r="500"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</row>
    <row r="501"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</row>
    <row r="502"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</row>
    <row r="503"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</row>
    <row r="504"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</row>
    <row r="505"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</row>
    <row r="506"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</row>
    <row r="507"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</row>
    <row r="508"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</row>
    <row r="509"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</row>
    <row r="510"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</row>
    <row r="511"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</row>
    <row r="512"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</row>
    <row r="513"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</row>
    <row r="514"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</row>
    <row r="515"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</row>
    <row r="516"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</row>
    <row r="517"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</row>
    <row r="518"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</row>
    <row r="519"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</row>
    <row r="520"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</row>
    <row r="521"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</row>
    <row r="522"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</row>
    <row r="523"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</row>
    <row r="524"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</row>
    <row r="525"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</row>
    <row r="526"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</row>
    <row r="527"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</row>
    <row r="528"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</row>
    <row r="529"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</row>
    <row r="530"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</row>
    <row r="531"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</row>
    <row r="532"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</row>
    <row r="533"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</row>
    <row r="534"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</row>
    <row r="535"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</row>
    <row r="536"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</row>
    <row r="537"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</row>
    <row r="538"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</row>
    <row r="539"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</row>
    <row r="540"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</row>
    <row r="541"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</row>
    <row r="542"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</row>
    <row r="543"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</row>
    <row r="544"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</row>
    <row r="545"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</row>
    <row r="546"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</row>
    <row r="547"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</row>
    <row r="548"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</row>
    <row r="549"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</row>
    <row r="550"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</row>
    <row r="551"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</row>
    <row r="552"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</row>
    <row r="553"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</row>
    <row r="554"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</row>
    <row r="555"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</row>
    <row r="556"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</row>
    <row r="557"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</row>
    <row r="558"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</row>
    <row r="559"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</row>
    <row r="560"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</row>
    <row r="561"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</row>
    <row r="562"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</row>
    <row r="563"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</row>
    <row r="564"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</row>
    <row r="565"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</row>
    <row r="566"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</row>
    <row r="567"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</row>
    <row r="568"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</row>
    <row r="569"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</row>
    <row r="570"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</row>
    <row r="571"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</row>
    <row r="572"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</row>
    <row r="573"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</row>
    <row r="574"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</row>
    <row r="575"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</row>
    <row r="576"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</row>
    <row r="577"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</row>
    <row r="578"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</row>
    <row r="579"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</row>
    <row r="580"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</row>
    <row r="581"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</row>
    <row r="582"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</row>
    <row r="583"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</row>
    <row r="584"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</row>
    <row r="585"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</row>
    <row r="586"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</row>
    <row r="587"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</row>
    <row r="588"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</row>
    <row r="589"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</row>
    <row r="590"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</row>
    <row r="591"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</row>
    <row r="592"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</row>
    <row r="593"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</row>
    <row r="594"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</row>
    <row r="595"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</row>
    <row r="596"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</row>
    <row r="597"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</row>
    <row r="598"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</row>
    <row r="599"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</row>
    <row r="600"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</row>
    <row r="601"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</row>
    <row r="602"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</row>
    <row r="603"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</row>
    <row r="604"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</row>
    <row r="605"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</row>
    <row r="606"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</row>
    <row r="607"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</row>
    <row r="608"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</row>
    <row r="609"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</row>
    <row r="610"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</row>
    <row r="611"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</row>
    <row r="612"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</row>
    <row r="613"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</row>
    <row r="614"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</row>
    <row r="615"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</row>
    <row r="616"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</row>
    <row r="617"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</row>
    <row r="618"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</row>
    <row r="619"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</row>
    <row r="620"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</row>
    <row r="621"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</row>
    <row r="622"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</row>
    <row r="623"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</row>
    <row r="624"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</row>
    <row r="625"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</row>
    <row r="626"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</row>
    <row r="627"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</row>
    <row r="628"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</row>
    <row r="629"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</row>
    <row r="630"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</row>
    <row r="631"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</row>
    <row r="632"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</row>
    <row r="633"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</row>
    <row r="634"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</row>
    <row r="635"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</row>
    <row r="636"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</row>
    <row r="637"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</row>
    <row r="638"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</row>
    <row r="639"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</row>
    <row r="640"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</row>
    <row r="641"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</row>
    <row r="642"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</row>
    <row r="643"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</row>
    <row r="644"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</row>
    <row r="645"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</row>
    <row r="646"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</row>
    <row r="647"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</row>
    <row r="648"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</row>
    <row r="649"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</row>
    <row r="650"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</row>
    <row r="651"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</row>
    <row r="652"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</row>
    <row r="653"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</row>
    <row r="654"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</row>
    <row r="655"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</row>
    <row r="656"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</row>
    <row r="657"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</row>
    <row r="658"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</row>
    <row r="659"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</row>
    <row r="660"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</row>
    <row r="661"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</row>
    <row r="662"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</row>
    <row r="663"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</row>
    <row r="664"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</row>
    <row r="665"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</row>
    <row r="666"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</row>
    <row r="667"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</row>
    <row r="668"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</row>
    <row r="669"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</row>
    <row r="670"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</row>
    <row r="671"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</row>
    <row r="672"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</row>
    <row r="673"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</row>
    <row r="674"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</row>
    <row r="675"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</row>
    <row r="676"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</row>
    <row r="677"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</row>
    <row r="678"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</row>
    <row r="679"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</row>
    <row r="680"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</row>
    <row r="681"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</row>
    <row r="682"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</row>
    <row r="683"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</row>
    <row r="684"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</row>
    <row r="685"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</row>
    <row r="686"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</row>
    <row r="687"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</row>
    <row r="688"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</row>
    <row r="689"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</row>
    <row r="690"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</row>
    <row r="691"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</row>
    <row r="692"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</row>
    <row r="693"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</row>
    <row r="694"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</row>
    <row r="695"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</row>
    <row r="696"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</row>
    <row r="697"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</row>
    <row r="698"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</row>
    <row r="699"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</row>
    <row r="700"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</row>
    <row r="701"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</row>
    <row r="702"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</row>
    <row r="703"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</row>
    <row r="704"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</row>
    <row r="705"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</row>
    <row r="706"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</row>
    <row r="707"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</row>
    <row r="708"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</row>
    <row r="709"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</row>
    <row r="710"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</row>
    <row r="711"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</row>
    <row r="712"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</row>
    <row r="713"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</row>
    <row r="714"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</row>
    <row r="715"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</row>
    <row r="716"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</row>
    <row r="717"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</row>
    <row r="718"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</row>
    <row r="719"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</row>
    <row r="720"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</row>
    <row r="721"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</row>
    <row r="722"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</row>
    <row r="723"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</row>
    <row r="724"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</row>
    <row r="725"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</row>
    <row r="726"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</row>
    <row r="727"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</row>
    <row r="728"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</row>
    <row r="729"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</row>
    <row r="730"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</row>
    <row r="731"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</row>
    <row r="732"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</row>
    <row r="733"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</row>
    <row r="734"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</row>
    <row r="735"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</row>
    <row r="736"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</row>
    <row r="737"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</row>
    <row r="738"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</row>
    <row r="739"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</row>
    <row r="740"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</row>
    <row r="741"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</row>
    <row r="742"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</row>
    <row r="743"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</row>
    <row r="744"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</row>
    <row r="745"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</row>
    <row r="746"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</row>
    <row r="747"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</row>
    <row r="748"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</row>
    <row r="749"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</row>
    <row r="750"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</row>
    <row r="751"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</row>
    <row r="752"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</row>
    <row r="753"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</row>
    <row r="754"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</row>
    <row r="755"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</row>
    <row r="756"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</row>
    <row r="757"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</row>
    <row r="758"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</row>
    <row r="759"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</row>
    <row r="760"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</row>
    <row r="761"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</row>
    <row r="762"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</row>
    <row r="763"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</row>
    <row r="764"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</row>
    <row r="765"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</row>
    <row r="766"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</row>
    <row r="767"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</row>
    <row r="768"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</row>
    <row r="769"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</row>
    <row r="770"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</row>
    <row r="771"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</row>
    <row r="772"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</row>
    <row r="773"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</row>
    <row r="774"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</row>
    <row r="775"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</row>
    <row r="776"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</row>
    <row r="777"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</row>
    <row r="778"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</row>
    <row r="779"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</row>
    <row r="780"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</row>
    <row r="781"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</row>
    <row r="782"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</row>
    <row r="783"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</row>
    <row r="784"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</row>
    <row r="785"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</row>
    <row r="786"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</row>
    <row r="787"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</row>
    <row r="788"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</row>
    <row r="789"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</row>
    <row r="790"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</row>
    <row r="791"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</row>
    <row r="792"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</row>
    <row r="793"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</row>
    <row r="794"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</row>
    <row r="795"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</row>
    <row r="796"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</row>
    <row r="797"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</row>
    <row r="798"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</row>
    <row r="799"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</row>
    <row r="800"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</row>
    <row r="801"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</row>
    <row r="802"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</row>
    <row r="803"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</row>
    <row r="804"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</row>
    <row r="805"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</row>
    <row r="806"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</row>
    <row r="807"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</row>
    <row r="808"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</row>
    <row r="809"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</row>
    <row r="810"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</row>
    <row r="811"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</row>
    <row r="812"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</row>
    <row r="813"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</row>
    <row r="814"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</row>
    <row r="815"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</row>
    <row r="816"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</row>
    <row r="817"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</row>
    <row r="818"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</row>
    <row r="819"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</row>
    <row r="820"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</row>
    <row r="821"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</row>
    <row r="822"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</row>
    <row r="823"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</row>
    <row r="824"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</row>
    <row r="825"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</row>
    <row r="826"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</row>
    <row r="827"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</row>
    <row r="828"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</row>
    <row r="829"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</row>
    <row r="830"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</row>
    <row r="831"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</row>
    <row r="832"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</row>
    <row r="833"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</row>
    <row r="834"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</row>
    <row r="835"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</row>
    <row r="836"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</row>
    <row r="837"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</row>
    <row r="838"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</row>
    <row r="839"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</row>
    <row r="840"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</row>
    <row r="841"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</row>
    <row r="842"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</row>
    <row r="843"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</row>
    <row r="844"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</row>
    <row r="845"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</row>
    <row r="846"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</row>
    <row r="847"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</row>
    <row r="848"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</row>
    <row r="849"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</row>
    <row r="850"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</row>
    <row r="851"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</row>
    <row r="852"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</row>
    <row r="853"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</row>
    <row r="854"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</row>
    <row r="855"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</row>
    <row r="856"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</row>
    <row r="857"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</row>
    <row r="858"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</row>
    <row r="859"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</row>
    <row r="860"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</row>
    <row r="861"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</row>
    <row r="862"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</row>
    <row r="863"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</row>
    <row r="864"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</row>
    <row r="865"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</row>
    <row r="866"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</row>
    <row r="867"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</row>
    <row r="868"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</row>
    <row r="869"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</row>
    <row r="870"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</row>
    <row r="871"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</row>
    <row r="872"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</row>
    <row r="873"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</row>
    <row r="874"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</row>
    <row r="875"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</row>
    <row r="876"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</row>
    <row r="877"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</row>
    <row r="878"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</row>
    <row r="879"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</row>
    <row r="880"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</row>
    <row r="881"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</row>
    <row r="882"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</row>
    <row r="883"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</row>
    <row r="884"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</row>
    <row r="885"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</row>
    <row r="886"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</row>
    <row r="887"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</row>
    <row r="888"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</row>
    <row r="889"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</row>
    <row r="890"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</row>
    <row r="891"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</row>
    <row r="892"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</row>
    <row r="893"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</row>
    <row r="894"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</row>
    <row r="895"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</row>
    <row r="896"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</row>
    <row r="897"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</row>
    <row r="898"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</row>
    <row r="899"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</row>
    <row r="900"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</row>
    <row r="901"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</row>
    <row r="902"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</row>
    <row r="903"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</row>
    <row r="904"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</row>
    <row r="905"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</row>
    <row r="906"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</row>
    <row r="907"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</row>
    <row r="908"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</row>
    <row r="909"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</row>
    <row r="910"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</row>
    <row r="911"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</row>
    <row r="912"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</row>
    <row r="913"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</row>
    <row r="914"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</row>
    <row r="915"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</row>
    <row r="916"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</row>
    <row r="917"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</row>
    <row r="918"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</row>
    <row r="919"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</row>
    <row r="920"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</row>
    <row r="921"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</row>
    <row r="922"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</row>
    <row r="923"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</row>
    <row r="924"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</row>
    <row r="925"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</row>
    <row r="926"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</row>
    <row r="927"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</row>
    <row r="928"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</row>
    <row r="929"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</row>
    <row r="930"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</row>
    <row r="931"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</row>
    <row r="932"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</row>
    <row r="933"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</row>
    <row r="934"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</row>
    <row r="935"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</row>
    <row r="936"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</row>
    <row r="937"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</row>
    <row r="938"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</row>
    <row r="939"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</row>
    <row r="940"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</row>
    <row r="941"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</row>
    <row r="942"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</row>
    <row r="943"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</row>
    <row r="944"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</row>
    <row r="945"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</row>
    <row r="946"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</row>
    <row r="947"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</row>
    <row r="948"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</row>
    <row r="949"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</row>
    <row r="950"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</row>
    <row r="951"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</row>
    <row r="952"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</row>
    <row r="953"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</row>
    <row r="954"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</row>
    <row r="955"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</row>
    <row r="956"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</row>
    <row r="957"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</row>
    <row r="958"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</row>
    <row r="959"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</row>
    <row r="960"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</row>
    <row r="961"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</row>
    <row r="962"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</row>
    <row r="963"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</row>
    <row r="964"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</row>
    <row r="965"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</row>
    <row r="966"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</row>
    <row r="967"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</row>
    <row r="968"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</row>
    <row r="969"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</row>
    <row r="970"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</row>
    <row r="971"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</row>
    <row r="972"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</row>
    <row r="973"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</row>
    <row r="974"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</row>
    <row r="975"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</row>
    <row r="976"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</row>
    <row r="977"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</row>
    <row r="978"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</row>
    <row r="979"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</row>
    <row r="980"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</row>
    <row r="981"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</row>
    <row r="982"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</row>
    <row r="983"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</row>
    <row r="984"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</row>
    <row r="985"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</row>
    <row r="986"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</row>
    <row r="987"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</row>
    <row r="988"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</row>
    <row r="989"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</row>
    <row r="990"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</row>
    <row r="991"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</row>
    <row r="992"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</row>
    <row r="993"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</row>
    <row r="994"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</row>
    <row r="995"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</row>
    <row r="996"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</row>
    <row r="997"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</row>
    <row r="998"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</row>
    <row r="999"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</row>
    <row r="1000"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</row>
    <row r="1001"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</row>
    <row r="1002"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</row>
    <row r="1003">
      <c r="C1003" s="125"/>
      <c r="D1003" s="125"/>
      <c r="E1003" s="125"/>
      <c r="F1003" s="125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</row>
    <row r="1004">
      <c r="C1004" s="125"/>
      <c r="D1004" s="125"/>
      <c r="E1004" s="125"/>
      <c r="F1004" s="125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</row>
    <row r="1005">
      <c r="C1005" s="125"/>
      <c r="D1005" s="125"/>
      <c r="E1005" s="125"/>
      <c r="F1005" s="125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</row>
    <row r="1006">
      <c r="C1006" s="125"/>
      <c r="D1006" s="125"/>
      <c r="E1006" s="125"/>
      <c r="F1006" s="125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</row>
    <row r="1007">
      <c r="C1007" s="125"/>
      <c r="D1007" s="125"/>
      <c r="E1007" s="125"/>
      <c r="F1007" s="125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</row>
    <row r="1008">
      <c r="C1008" s="125"/>
      <c r="D1008" s="125"/>
      <c r="E1008" s="125"/>
      <c r="F1008" s="125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</row>
    <row r="1009">
      <c r="C1009" s="125"/>
      <c r="D1009" s="125"/>
      <c r="E1009" s="125"/>
      <c r="F1009" s="125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</row>
    <row r="1010">
      <c r="C1010" s="125"/>
      <c r="D1010" s="125"/>
      <c r="E1010" s="125"/>
      <c r="F1010" s="125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</row>
    <row r="1011">
      <c r="C1011" s="125"/>
      <c r="D1011" s="125"/>
      <c r="E1011" s="125"/>
      <c r="F1011" s="125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</row>
    <row r="1012">
      <c r="C1012" s="125"/>
      <c r="D1012" s="125"/>
      <c r="E1012" s="125"/>
      <c r="F1012" s="125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</row>
    <row r="1013">
      <c r="C1013" s="125"/>
      <c r="D1013" s="125"/>
      <c r="E1013" s="125"/>
      <c r="F1013" s="125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</row>
    <row r="1014">
      <c r="C1014" s="125"/>
      <c r="D1014" s="125"/>
      <c r="E1014" s="125"/>
      <c r="F1014" s="125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</row>
    <row r="1015">
      <c r="C1015" s="125"/>
      <c r="D1015" s="125"/>
      <c r="E1015" s="125"/>
      <c r="F1015" s="125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</row>
    <row r="1016">
      <c r="C1016" s="125"/>
      <c r="D1016" s="125"/>
      <c r="E1016" s="125"/>
      <c r="F1016" s="125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</row>
    <row r="1017">
      <c r="C1017" s="125"/>
      <c r="D1017" s="125"/>
      <c r="E1017" s="125"/>
      <c r="F1017" s="125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</row>
    <row r="1018">
      <c r="C1018" s="125"/>
      <c r="D1018" s="125"/>
      <c r="E1018" s="125"/>
      <c r="F1018" s="125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</row>
    <row r="1019">
      <c r="C1019" s="125"/>
      <c r="D1019" s="125"/>
      <c r="E1019" s="125"/>
      <c r="F1019" s="125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</row>
    <row r="1020">
      <c r="C1020" s="125"/>
      <c r="D1020" s="125"/>
      <c r="E1020" s="125"/>
      <c r="F1020" s="125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</row>
    <row r="1021">
      <c r="C1021" s="125"/>
      <c r="D1021" s="125"/>
      <c r="E1021" s="125"/>
      <c r="F1021" s="125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</row>
    <row r="1022">
      <c r="C1022" s="125"/>
      <c r="D1022" s="125"/>
      <c r="E1022" s="125"/>
      <c r="F1022" s="125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</row>
    <row r="1023">
      <c r="C1023" s="125"/>
      <c r="D1023" s="125"/>
      <c r="E1023" s="125"/>
      <c r="F1023" s="125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</row>
    <row r="1024">
      <c r="C1024" s="125"/>
      <c r="D1024" s="125"/>
      <c r="E1024" s="125"/>
      <c r="F1024" s="125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</row>
    <row r="1025">
      <c r="C1025" s="125"/>
      <c r="D1025" s="125"/>
      <c r="E1025" s="125"/>
      <c r="F1025" s="125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</row>
    <row r="1026">
      <c r="C1026" s="125"/>
      <c r="D1026" s="125"/>
      <c r="E1026" s="125"/>
      <c r="F1026" s="125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</row>
    <row r="1027">
      <c r="C1027" s="125"/>
      <c r="D1027" s="125"/>
      <c r="E1027" s="125"/>
      <c r="F1027" s="125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</row>
    <row r="1028">
      <c r="C1028" s="125"/>
      <c r="D1028" s="125"/>
      <c r="E1028" s="125"/>
      <c r="F1028" s="125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</row>
    <row r="1029">
      <c r="C1029" s="125"/>
      <c r="D1029" s="125"/>
      <c r="E1029" s="125"/>
      <c r="F1029" s="125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</row>
    <row r="1030">
      <c r="C1030" s="125"/>
      <c r="D1030" s="125"/>
      <c r="E1030" s="125"/>
      <c r="F1030" s="125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</row>
    <row r="1031">
      <c r="C1031" s="125"/>
      <c r="D1031" s="125"/>
      <c r="E1031" s="125"/>
      <c r="F1031" s="125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</row>
    <row r="1032">
      <c r="C1032" s="125"/>
      <c r="D1032" s="125"/>
      <c r="E1032" s="125"/>
      <c r="F1032" s="125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</row>
    <row r="1033">
      <c r="C1033" s="125"/>
      <c r="D1033" s="125"/>
      <c r="E1033" s="125"/>
      <c r="F1033" s="125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</row>
    <row r="1034">
      <c r="C1034" s="125"/>
      <c r="D1034" s="125"/>
      <c r="E1034" s="125"/>
      <c r="F1034" s="125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</row>
    <row r="1035">
      <c r="C1035" s="125"/>
      <c r="D1035" s="125"/>
      <c r="E1035" s="125"/>
      <c r="F1035" s="125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</row>
    <row r="1036">
      <c r="C1036" s="125"/>
      <c r="D1036" s="125"/>
      <c r="E1036" s="125"/>
      <c r="F1036" s="125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</row>
    <row r="1037">
      <c r="C1037" s="125"/>
      <c r="D1037" s="125"/>
      <c r="E1037" s="125"/>
      <c r="F1037" s="125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</row>
    <row r="1038">
      <c r="C1038" s="125"/>
      <c r="D1038" s="125"/>
      <c r="E1038" s="125"/>
      <c r="F1038" s="125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</row>
    <row r="1039">
      <c r="C1039" s="125"/>
      <c r="D1039" s="125"/>
      <c r="E1039" s="125"/>
      <c r="F1039" s="125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</row>
    <row r="1040">
      <c r="C1040" s="125"/>
      <c r="D1040" s="125"/>
      <c r="E1040" s="125"/>
      <c r="F1040" s="125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</row>
    <row r="1041">
      <c r="C1041" s="125"/>
      <c r="D1041" s="125"/>
      <c r="E1041" s="125"/>
      <c r="F1041" s="125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</row>
    <row r="1042">
      <c r="C1042" s="125"/>
      <c r="D1042" s="125"/>
      <c r="E1042" s="125"/>
      <c r="F1042" s="125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</row>
    <row r="1043">
      <c r="C1043" s="125"/>
      <c r="D1043" s="125"/>
      <c r="E1043" s="125"/>
      <c r="F1043" s="125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</row>
    <row r="1044">
      <c r="C1044" s="125"/>
      <c r="D1044" s="125"/>
      <c r="E1044" s="125"/>
      <c r="F1044" s="125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</row>
    <row r="1045">
      <c r="C1045" s="125"/>
      <c r="D1045" s="125"/>
      <c r="E1045" s="125"/>
      <c r="F1045" s="125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</row>
    <row r="1046">
      <c r="C1046" s="125"/>
      <c r="D1046" s="125"/>
      <c r="E1046" s="125"/>
      <c r="F1046" s="125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</row>
    <row r="1047">
      <c r="C1047" s="125"/>
      <c r="D1047" s="125"/>
      <c r="E1047" s="125"/>
      <c r="F1047" s="125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</row>
    <row r="1048">
      <c r="C1048" s="125"/>
      <c r="D1048" s="125"/>
      <c r="E1048" s="125"/>
      <c r="F1048" s="125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</row>
    <row r="1049">
      <c r="C1049" s="125"/>
      <c r="D1049" s="125"/>
      <c r="E1049" s="125"/>
      <c r="F1049" s="125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</row>
    <row r="1050">
      <c r="C1050" s="125"/>
      <c r="D1050" s="125"/>
      <c r="E1050" s="125"/>
      <c r="F1050" s="125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</row>
    <row r="1051">
      <c r="C1051" s="125"/>
      <c r="D1051" s="125"/>
      <c r="E1051" s="125"/>
      <c r="F1051" s="125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</row>
    <row r="1052">
      <c r="C1052" s="125"/>
      <c r="D1052" s="125"/>
      <c r="E1052" s="125"/>
      <c r="F1052" s="125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</row>
    <row r="1053">
      <c r="C1053" s="125"/>
      <c r="D1053" s="125"/>
      <c r="E1053" s="125"/>
      <c r="F1053" s="125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</row>
    <row r="1054">
      <c r="C1054" s="125"/>
      <c r="D1054" s="125"/>
      <c r="E1054" s="125"/>
      <c r="F1054" s="125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</row>
    <row r="1055">
      <c r="C1055" s="125"/>
      <c r="D1055" s="125"/>
      <c r="E1055" s="125"/>
      <c r="F1055" s="125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</row>
    <row r="1056">
      <c r="C1056" s="125"/>
      <c r="D1056" s="125"/>
      <c r="E1056" s="125"/>
      <c r="F1056" s="125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</row>
    <row r="1057">
      <c r="C1057" s="125"/>
      <c r="D1057" s="125"/>
      <c r="E1057" s="125"/>
      <c r="F1057" s="125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</row>
    <row r="1058">
      <c r="C1058" s="125"/>
      <c r="D1058" s="125"/>
      <c r="E1058" s="125"/>
      <c r="F1058" s="125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</row>
    <row r="1059">
      <c r="C1059" s="125"/>
      <c r="D1059" s="125"/>
      <c r="E1059" s="125"/>
      <c r="F1059" s="125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</row>
    <row r="1060">
      <c r="C1060" s="125"/>
      <c r="D1060" s="125"/>
      <c r="E1060" s="125"/>
      <c r="F1060" s="125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</row>
    <row r="1061">
      <c r="C1061" s="125"/>
      <c r="D1061" s="125"/>
      <c r="E1061" s="125"/>
      <c r="F1061" s="125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</row>
    <row r="1062">
      <c r="C1062" s="125"/>
      <c r="D1062" s="125"/>
      <c r="E1062" s="125"/>
      <c r="F1062" s="125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</row>
    <row r="1063">
      <c r="C1063" s="125"/>
      <c r="D1063" s="125"/>
      <c r="E1063" s="125"/>
      <c r="F1063" s="125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</row>
    <row r="1064">
      <c r="C1064" s="125"/>
      <c r="D1064" s="125"/>
      <c r="E1064" s="125"/>
      <c r="F1064" s="125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</row>
    <row r="1065">
      <c r="C1065" s="125"/>
      <c r="D1065" s="125"/>
      <c r="E1065" s="125"/>
      <c r="F1065" s="125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</row>
    <row r="1066">
      <c r="C1066" s="125"/>
      <c r="D1066" s="125"/>
      <c r="E1066" s="125"/>
      <c r="F1066" s="125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1.63"/>
    <col customWidth="1" min="3" max="3" width="8.0"/>
    <col customWidth="1" min="4" max="4" width="12.88"/>
    <col customWidth="1" min="5" max="5" width="14.88"/>
    <col customWidth="1" min="6" max="6" width="12.63"/>
    <col customWidth="1" min="7" max="7" width="13.0"/>
    <col customWidth="1" min="8" max="8" width="12.88"/>
    <col customWidth="1" min="9" max="9" width="10.5"/>
    <col customWidth="1" min="10" max="10" width="12.63"/>
    <col customWidth="1" min="11" max="11" width="14.75"/>
  </cols>
  <sheetData>
    <row r="1">
      <c r="A1" s="115"/>
    </row>
    <row r="2" hidden="1">
      <c r="A2" s="127" t="s">
        <v>154</v>
      </c>
      <c r="B2" s="128"/>
      <c r="C2" s="129"/>
      <c r="D2" s="88"/>
      <c r="E2" s="88"/>
    </row>
    <row r="3" hidden="1">
      <c r="A3" s="130" t="str">
        <f>"Capacity รวมทั้งทีม "&amp;SUM(C14:C19)&amp;" SP"</f>
        <v>Capacity รวมทั้งทีม 118.5 SP</v>
      </c>
      <c r="B3" s="128">
        <f>SUM(C14:C19)</f>
        <v>118.5</v>
      </c>
      <c r="C3" s="131"/>
      <c r="D3" s="132"/>
      <c r="F3" s="132"/>
      <c r="G3" s="132"/>
      <c r="H3" s="132"/>
      <c r="I3" s="132"/>
      <c r="J3" s="132"/>
    </row>
    <row r="4" hidden="1">
      <c r="A4" s="133" t="s">
        <v>155</v>
      </c>
      <c r="B4" s="134" t="str">
        <f>SUM(F20,G20,I20,J20, K20)</f>
        <v>#REF!</v>
      </c>
      <c r="C4" s="131"/>
      <c r="D4" s="132"/>
      <c r="F4" s="132"/>
      <c r="G4" s="132"/>
      <c r="H4" s="132"/>
      <c r="I4" s="132"/>
      <c r="J4" s="132"/>
    </row>
    <row r="5" hidden="1">
      <c r="A5" s="133" t="s">
        <v>156</v>
      </c>
      <c r="B5" s="131" t="str">
        <f>B3-B4</f>
        <v>#REF!</v>
      </c>
      <c r="C5" s="131"/>
      <c r="D5" s="132"/>
      <c r="F5" s="132"/>
      <c r="G5" s="102"/>
      <c r="H5" s="102"/>
      <c r="I5" s="132"/>
      <c r="J5" s="132"/>
    </row>
    <row r="6" hidden="1">
      <c r="A6" s="135" t="s">
        <v>48</v>
      </c>
      <c r="B6" s="129" t="str">
        <f>E20</f>
        <v>#REF!</v>
      </c>
      <c r="C6" s="129">
        <v>3.0</v>
      </c>
      <c r="D6" s="88"/>
      <c r="E6" s="88"/>
    </row>
    <row r="7" hidden="1">
      <c r="A7" s="135" t="s">
        <v>44</v>
      </c>
      <c r="B7" s="129" t="str">
        <f>F20</f>
        <v>#REF!</v>
      </c>
      <c r="C7" s="129">
        <v>1.0</v>
      </c>
      <c r="D7" s="88"/>
      <c r="E7" s="88"/>
    </row>
    <row r="8" hidden="1">
      <c r="A8" s="135" t="s">
        <v>157</v>
      </c>
      <c r="B8" s="129" t="str">
        <f>G20</f>
        <v>#REF!</v>
      </c>
      <c r="C8" s="129">
        <v>2.0</v>
      </c>
      <c r="D8" s="88"/>
      <c r="E8" s="88"/>
    </row>
    <row r="9" hidden="1">
      <c r="A9" s="135" t="s">
        <v>158</v>
      </c>
      <c r="B9" s="129" t="str">
        <f>I20</f>
        <v>#REF!</v>
      </c>
      <c r="C9" s="129">
        <v>1.0</v>
      </c>
      <c r="D9" s="88"/>
      <c r="E9" s="88"/>
    </row>
    <row r="10" hidden="1">
      <c r="A10" s="135" t="s">
        <v>159</v>
      </c>
      <c r="B10" s="129" t="str">
        <f>J20</f>
        <v>#REF!</v>
      </c>
      <c r="C10" s="129">
        <v>1.0</v>
      </c>
      <c r="D10" s="88"/>
      <c r="E10" s="88"/>
    </row>
    <row r="11" hidden="1">
      <c r="A11" s="135" t="s">
        <v>160</v>
      </c>
      <c r="B11" s="129" t="str">
        <f>K20</f>
        <v>#REF!</v>
      </c>
      <c r="C11" s="129"/>
      <c r="D11" s="88"/>
      <c r="E11" s="88"/>
    </row>
    <row r="12" hidden="1">
      <c r="A12" s="136" t="s">
        <v>161</v>
      </c>
      <c r="B12" s="129" t="str">
        <f>C20-D20</f>
        <v>#REF!</v>
      </c>
      <c r="C12" s="129"/>
      <c r="D12" s="88"/>
      <c r="E12" s="88"/>
    </row>
    <row r="13" hidden="1">
      <c r="A13" s="137" t="s">
        <v>162</v>
      </c>
      <c r="B13" s="138" t="s">
        <v>163</v>
      </c>
      <c r="C13" s="138" t="s">
        <v>164</v>
      </c>
      <c r="D13" s="138" t="s">
        <v>165</v>
      </c>
      <c r="E13" s="138" t="s">
        <v>166</v>
      </c>
      <c r="F13" s="137" t="s">
        <v>167</v>
      </c>
      <c r="G13" s="137" t="s">
        <v>168</v>
      </c>
      <c r="H13" s="137"/>
      <c r="I13" s="137" t="s">
        <v>169</v>
      </c>
      <c r="J13" s="137" t="s">
        <v>170</v>
      </c>
      <c r="K13" s="139" t="s">
        <v>171</v>
      </c>
    </row>
    <row r="14" hidden="1">
      <c r="A14" s="140" t="s">
        <v>32</v>
      </c>
      <c r="B14" s="101">
        <v>7.0</v>
      </c>
      <c r="C14" s="101">
        <f t="shared" ref="C14:C19" si="3">3*B14</f>
        <v>21</v>
      </c>
      <c r="D14" s="140" t="str">
        <f t="shared" ref="D14:D19" si="4">SUM(E14,F14,G14,I14,J14,K14)</f>
        <v>#REF!</v>
      </c>
      <c r="E14" s="141" t="str">
        <f t="shared" ref="E14:G14" si="1">3*#REF!</f>
        <v>#REF!</v>
      </c>
      <c r="F14" s="142" t="str">
        <f t="shared" si="1"/>
        <v>#REF!</v>
      </c>
      <c r="G14" s="140" t="str">
        <f t="shared" si="1"/>
        <v>#REF!</v>
      </c>
      <c r="H14" s="140"/>
      <c r="I14" s="140" t="str">
        <f t="shared" ref="I14:J14" si="2">3*#REF!</f>
        <v>#REF!</v>
      </c>
      <c r="J14" s="140" t="str">
        <f t="shared" si="2"/>
        <v>#REF!</v>
      </c>
      <c r="K14" s="143">
        <v>2.0</v>
      </c>
    </row>
    <row r="15" hidden="1">
      <c r="A15" s="140" t="s">
        <v>74</v>
      </c>
      <c r="B15" s="101">
        <v>6.0</v>
      </c>
      <c r="C15" s="101">
        <f t="shared" si="3"/>
        <v>18</v>
      </c>
      <c r="D15" s="140" t="str">
        <f t="shared" si="4"/>
        <v>#REF!</v>
      </c>
      <c r="E15" s="141" t="str">
        <f t="shared" ref="E15:G15" si="5">3*#REF!</f>
        <v>#REF!</v>
      </c>
      <c r="F15" s="141" t="str">
        <f t="shared" si="5"/>
        <v>#REF!</v>
      </c>
      <c r="G15" s="140" t="str">
        <f t="shared" si="5"/>
        <v>#REF!</v>
      </c>
      <c r="H15" s="140"/>
      <c r="I15" s="140" t="str">
        <f t="shared" ref="I15:K15" si="6">3*#REF!</f>
        <v>#REF!</v>
      </c>
      <c r="J15" s="140" t="str">
        <f t="shared" si="6"/>
        <v>#REF!</v>
      </c>
      <c r="K15" s="143" t="str">
        <f t="shared" si="6"/>
        <v>#REF!</v>
      </c>
    </row>
    <row r="16" hidden="1">
      <c r="A16" s="140" t="s">
        <v>73</v>
      </c>
      <c r="B16" s="101">
        <v>6.0</v>
      </c>
      <c r="C16" s="101">
        <f t="shared" si="3"/>
        <v>18</v>
      </c>
      <c r="D16" s="140" t="str">
        <f t="shared" si="4"/>
        <v>#REF!</v>
      </c>
      <c r="E16" s="141" t="str">
        <f t="shared" ref="E16:G16" si="7">3*#REF!</f>
        <v>#REF!</v>
      </c>
      <c r="F16" s="142" t="str">
        <f t="shared" si="7"/>
        <v>#REF!</v>
      </c>
      <c r="G16" s="140" t="str">
        <f t="shared" si="7"/>
        <v>#REF!</v>
      </c>
      <c r="H16" s="140"/>
      <c r="I16" s="140" t="str">
        <f t="shared" ref="I16:I19" si="9">3*#REF!</f>
        <v>#REF!</v>
      </c>
      <c r="J16" s="140"/>
      <c r="K16" s="143" t="str">
        <f t="shared" ref="K16:K17" si="10">3*#REF!</f>
        <v>#REF!</v>
      </c>
    </row>
    <row r="17" hidden="1">
      <c r="A17" s="140" t="s">
        <v>75</v>
      </c>
      <c r="B17" s="101">
        <v>7.0</v>
      </c>
      <c r="C17" s="101">
        <f t="shared" si="3"/>
        <v>21</v>
      </c>
      <c r="D17" s="140" t="str">
        <f t="shared" si="4"/>
        <v>#REF!</v>
      </c>
      <c r="E17" s="141" t="str">
        <f t="shared" ref="E17:F17" si="8">3*#REF!</f>
        <v>#REF!</v>
      </c>
      <c r="F17" s="142" t="str">
        <f t="shared" si="8"/>
        <v>#REF!</v>
      </c>
      <c r="G17" s="99"/>
      <c r="H17" s="99"/>
      <c r="I17" s="140" t="str">
        <f t="shared" si="9"/>
        <v>#REF!</v>
      </c>
      <c r="J17" s="99"/>
      <c r="K17" s="143" t="str">
        <f t="shared" si="10"/>
        <v>#REF!</v>
      </c>
    </row>
    <row r="18" hidden="1">
      <c r="A18" s="140" t="s">
        <v>76</v>
      </c>
      <c r="B18" s="101">
        <v>7.0</v>
      </c>
      <c r="C18" s="101">
        <f t="shared" si="3"/>
        <v>21</v>
      </c>
      <c r="D18" s="140" t="str">
        <f t="shared" si="4"/>
        <v>#REF!</v>
      </c>
      <c r="E18" s="141" t="str">
        <f t="shared" ref="E18:F18" si="11">3*#REF!</f>
        <v>#REF!</v>
      </c>
      <c r="F18" s="142" t="str">
        <f t="shared" si="11"/>
        <v>#REF!</v>
      </c>
      <c r="G18" s="140"/>
      <c r="H18" s="140"/>
      <c r="I18" s="140" t="str">
        <f t="shared" si="9"/>
        <v>#REF!</v>
      </c>
      <c r="J18" s="140"/>
      <c r="K18" s="143">
        <v>2.0</v>
      </c>
    </row>
    <row r="19" hidden="1">
      <c r="A19" s="140" t="s">
        <v>77</v>
      </c>
      <c r="B19" s="140">
        <v>6.5</v>
      </c>
      <c r="C19" s="101">
        <f t="shared" si="3"/>
        <v>19.5</v>
      </c>
      <c r="D19" s="140" t="str">
        <f t="shared" si="4"/>
        <v>#REF!</v>
      </c>
      <c r="E19" s="141" t="str">
        <f t="shared" ref="E19:F19" si="12">3*#REF!</f>
        <v>#REF!</v>
      </c>
      <c r="F19" s="142" t="str">
        <f t="shared" si="12"/>
        <v>#REF!</v>
      </c>
      <c r="G19" s="99"/>
      <c r="H19" s="99"/>
      <c r="I19" s="140" t="str">
        <f t="shared" si="9"/>
        <v>#REF!</v>
      </c>
      <c r="J19" s="99"/>
      <c r="K19" s="143">
        <v>3.0</v>
      </c>
    </row>
    <row r="20" hidden="1">
      <c r="A20" s="127" t="s">
        <v>172</v>
      </c>
      <c r="B20" s="144"/>
      <c r="C20" s="144">
        <f t="shared" ref="C20:D20" si="13">SUM(C14:C19)</f>
        <v>118.5</v>
      </c>
      <c r="D20" s="145" t="str">
        <f t="shared" si="13"/>
        <v>#REF!</v>
      </c>
      <c r="E20" s="146" t="str">
        <f t="shared" ref="E20:F20" si="14">3*#REF!</f>
        <v>#REF!</v>
      </c>
      <c r="F20" s="147" t="str">
        <f t="shared" si="14"/>
        <v>#REF!</v>
      </c>
      <c r="G20" s="144" t="str">
        <f>SUM(G14:G19)</f>
        <v>#REF!</v>
      </c>
      <c r="H20" s="144"/>
      <c r="I20" s="144" t="str">
        <f t="shared" ref="I20:K20" si="15">SUM(I14:I19)</f>
        <v>#REF!</v>
      </c>
      <c r="J20" s="144" t="str">
        <f t="shared" si="15"/>
        <v>#REF!</v>
      </c>
      <c r="K20" s="148" t="str">
        <f t="shared" si="15"/>
        <v>#REF!</v>
      </c>
    </row>
    <row r="21">
      <c r="A21" s="86"/>
      <c r="B21" s="149"/>
      <c r="C21" s="149"/>
      <c r="D21" s="88"/>
      <c r="E21" s="88"/>
    </row>
    <row r="22" hidden="1">
      <c r="A22" s="127" t="s">
        <v>173</v>
      </c>
      <c r="B22" s="150"/>
      <c r="C22" s="129"/>
      <c r="D22" s="88"/>
      <c r="E22" s="88"/>
    </row>
    <row r="23" hidden="1">
      <c r="A23" s="144" t="str">
        <f>"Capacity รวม "&amp;SUM(C34:C39)&amp;" SP"</f>
        <v>Capacity รวม 130.5 SP</v>
      </c>
      <c r="B23" s="150">
        <f>SUM(C34:C39)</f>
        <v>130.5</v>
      </c>
      <c r="C23" s="131"/>
      <c r="D23" s="132"/>
      <c r="F23" s="132"/>
      <c r="G23" s="151"/>
      <c r="H23" s="151"/>
      <c r="I23" s="132"/>
      <c r="J23" s="151"/>
    </row>
    <row r="24" hidden="1">
      <c r="A24" s="133" t="s">
        <v>155</v>
      </c>
      <c r="B24" s="134" t="str">
        <f>SUM(F40,G40,I40,J40, K40)</f>
        <v>#REF!</v>
      </c>
      <c r="C24" s="131"/>
      <c r="D24" s="132"/>
      <c r="F24" s="151"/>
      <c r="G24" s="132"/>
      <c r="H24" s="132"/>
      <c r="I24" s="132"/>
      <c r="J24" s="151"/>
    </row>
    <row r="25" hidden="1">
      <c r="A25" s="133" t="s">
        <v>156</v>
      </c>
      <c r="B25" s="131" t="str">
        <f>B23-B24</f>
        <v>#REF!</v>
      </c>
      <c r="C25" s="131"/>
      <c r="D25" s="132"/>
      <c r="F25" s="151"/>
      <c r="G25" s="132"/>
      <c r="H25" s="132"/>
      <c r="I25" s="132"/>
      <c r="J25" s="151"/>
    </row>
    <row r="26" hidden="1">
      <c r="A26" s="135" t="s">
        <v>48</v>
      </c>
      <c r="B26" s="129" t="str">
        <f>E40</f>
        <v>#REF!</v>
      </c>
      <c r="C26" s="129">
        <v>4.0</v>
      </c>
      <c r="D26" s="88"/>
      <c r="E26" s="88"/>
    </row>
    <row r="27" hidden="1">
      <c r="A27" s="135" t="s">
        <v>44</v>
      </c>
      <c r="B27" s="129" t="str">
        <f>F40</f>
        <v>#REF!</v>
      </c>
      <c r="C27" s="129">
        <v>1.0</v>
      </c>
      <c r="D27" s="88"/>
      <c r="E27" s="88"/>
    </row>
    <row r="28" hidden="1">
      <c r="A28" s="135" t="s">
        <v>157</v>
      </c>
      <c r="B28" s="129" t="str">
        <f>G40</f>
        <v>#REF!</v>
      </c>
      <c r="C28" s="129">
        <v>2.0</v>
      </c>
      <c r="D28" s="88"/>
      <c r="E28" s="88"/>
    </row>
    <row r="29" hidden="1">
      <c r="A29" s="135" t="s">
        <v>158</v>
      </c>
      <c r="B29" s="129" t="str">
        <f>I40</f>
        <v>#REF!</v>
      </c>
      <c r="C29" s="129">
        <v>0.0</v>
      </c>
      <c r="D29" s="88"/>
      <c r="E29" s="88"/>
    </row>
    <row r="30" hidden="1">
      <c r="A30" s="135" t="s">
        <v>159</v>
      </c>
      <c r="B30" s="129" t="str">
        <f>I40</f>
        <v>#REF!</v>
      </c>
      <c r="C30" s="129">
        <v>0.0</v>
      </c>
      <c r="D30" s="88"/>
      <c r="E30" s="88"/>
    </row>
    <row r="31" hidden="1">
      <c r="A31" s="135" t="s">
        <v>160</v>
      </c>
      <c r="B31" s="129" t="str">
        <f>K40</f>
        <v>#REF!</v>
      </c>
      <c r="C31" s="129">
        <v>1.0</v>
      </c>
      <c r="D31" s="88"/>
      <c r="E31" s="88"/>
    </row>
    <row r="32" hidden="1">
      <c r="A32" s="136" t="s">
        <v>161</v>
      </c>
      <c r="B32" s="129" t="str">
        <f>C40-D40</f>
        <v>#REF!</v>
      </c>
      <c r="C32" s="129"/>
      <c r="D32" s="88"/>
      <c r="E32" s="88"/>
    </row>
    <row r="33" hidden="1">
      <c r="A33" s="138" t="s">
        <v>162</v>
      </c>
      <c r="B33" s="138" t="s">
        <v>163</v>
      </c>
      <c r="C33" s="138" t="s">
        <v>164</v>
      </c>
      <c r="D33" s="138" t="s">
        <v>165</v>
      </c>
      <c r="E33" s="138" t="s">
        <v>166</v>
      </c>
      <c r="F33" s="137" t="s">
        <v>167</v>
      </c>
      <c r="G33" s="137" t="s">
        <v>168</v>
      </c>
      <c r="H33" s="137"/>
      <c r="I33" s="137" t="s">
        <v>170</v>
      </c>
      <c r="J33" s="152" t="s">
        <v>174</v>
      </c>
      <c r="K33" s="139" t="s">
        <v>171</v>
      </c>
    </row>
    <row r="34" hidden="1">
      <c r="A34" s="140" t="s">
        <v>32</v>
      </c>
      <c r="B34" s="101">
        <v>7.0</v>
      </c>
      <c r="C34" s="101">
        <f t="shared" ref="C34:C39" si="18">3*B34</f>
        <v>21</v>
      </c>
      <c r="D34" s="140" t="str">
        <f t="shared" ref="D34:D39" si="19">SUM(E34,F34,G34,I34,J34,K34)</f>
        <v>#REF!</v>
      </c>
      <c r="E34" s="141" t="str">
        <f t="shared" ref="E34:G34" si="16">3*#REF!</f>
        <v>#REF!</v>
      </c>
      <c r="F34" s="140" t="str">
        <f t="shared" si="16"/>
        <v>#REF!</v>
      </c>
      <c r="G34" s="140" t="str">
        <f t="shared" si="16"/>
        <v>#REF!</v>
      </c>
      <c r="H34" s="140"/>
      <c r="I34" s="140" t="str">
        <f t="shared" ref="I34:J34" si="17">3*#REF!</f>
        <v>#REF!</v>
      </c>
      <c r="J34" s="140" t="str">
        <f t="shared" si="17"/>
        <v>#REF!</v>
      </c>
      <c r="K34" s="143">
        <v>1.0</v>
      </c>
    </row>
    <row r="35" hidden="1">
      <c r="A35" s="140" t="s">
        <v>74</v>
      </c>
      <c r="B35" s="101">
        <v>7.5</v>
      </c>
      <c r="C35" s="101">
        <f t="shared" si="18"/>
        <v>22.5</v>
      </c>
      <c r="D35" s="140" t="str">
        <f t="shared" si="19"/>
        <v>#REF!</v>
      </c>
      <c r="E35" s="141" t="str">
        <f t="shared" ref="E35:G35" si="20">3*#REF!</f>
        <v>#REF!</v>
      </c>
      <c r="F35" s="140" t="str">
        <f t="shared" si="20"/>
        <v>#REF!</v>
      </c>
      <c r="G35" s="140" t="str">
        <f t="shared" si="20"/>
        <v>#REF!</v>
      </c>
      <c r="H35" s="140"/>
      <c r="I35" s="140" t="str">
        <f t="shared" ref="I35:I39" si="22">3*#REF!</f>
        <v>#REF!</v>
      </c>
      <c r="J35" s="140"/>
      <c r="K35" s="143" t="str">
        <f t="shared" ref="K35:K39" si="23">3*#REF!</f>
        <v>#REF!</v>
      </c>
    </row>
    <row r="36" hidden="1">
      <c r="A36" s="140" t="s">
        <v>73</v>
      </c>
      <c r="B36" s="101">
        <v>7.0</v>
      </c>
      <c r="C36" s="101">
        <f t="shared" si="18"/>
        <v>21</v>
      </c>
      <c r="D36" s="140" t="str">
        <f t="shared" si="19"/>
        <v>#REF!</v>
      </c>
      <c r="E36" s="141" t="str">
        <f t="shared" ref="E36:G36" si="21">3*#REF!</f>
        <v>#REF!</v>
      </c>
      <c r="F36" s="140" t="str">
        <f t="shared" si="21"/>
        <v>#REF!</v>
      </c>
      <c r="G36" s="140" t="str">
        <f t="shared" si="21"/>
        <v>#REF!</v>
      </c>
      <c r="H36" s="140"/>
      <c r="I36" s="140" t="str">
        <f t="shared" si="22"/>
        <v>#REF!</v>
      </c>
      <c r="J36" s="140"/>
      <c r="K36" s="143" t="str">
        <f t="shared" si="23"/>
        <v>#REF!</v>
      </c>
    </row>
    <row r="37" hidden="1">
      <c r="A37" s="140" t="s">
        <v>75</v>
      </c>
      <c r="B37" s="101">
        <v>7.0</v>
      </c>
      <c r="C37" s="101">
        <f t="shared" si="18"/>
        <v>21</v>
      </c>
      <c r="D37" s="140" t="str">
        <f t="shared" si="19"/>
        <v>#REF!</v>
      </c>
      <c r="E37" s="141" t="str">
        <f t="shared" ref="E37:G37" si="24">3*#REF!</f>
        <v>#REF!</v>
      </c>
      <c r="F37" s="140" t="str">
        <f t="shared" si="24"/>
        <v>#REF!</v>
      </c>
      <c r="G37" s="140" t="str">
        <f t="shared" si="24"/>
        <v>#REF!</v>
      </c>
      <c r="H37" s="140"/>
      <c r="I37" s="140" t="str">
        <f t="shared" si="22"/>
        <v>#REF!</v>
      </c>
      <c r="J37" s="99"/>
      <c r="K37" s="143" t="str">
        <f t="shared" si="23"/>
        <v>#REF!</v>
      </c>
    </row>
    <row r="38" hidden="1">
      <c r="A38" s="140" t="s">
        <v>76</v>
      </c>
      <c r="B38" s="101">
        <v>7.0</v>
      </c>
      <c r="C38" s="101">
        <f t="shared" si="18"/>
        <v>21</v>
      </c>
      <c r="D38" s="140" t="str">
        <f t="shared" si="19"/>
        <v>#REF!</v>
      </c>
      <c r="E38" s="141" t="str">
        <f t="shared" ref="E38:G38" si="25">3*#REF!</f>
        <v>#REF!</v>
      </c>
      <c r="F38" s="140" t="str">
        <f t="shared" si="25"/>
        <v>#REF!</v>
      </c>
      <c r="G38" s="140" t="str">
        <f t="shared" si="25"/>
        <v>#REF!</v>
      </c>
      <c r="H38" s="140"/>
      <c r="I38" s="140" t="str">
        <f t="shared" si="22"/>
        <v>#REF!</v>
      </c>
      <c r="J38" s="140"/>
      <c r="K38" s="143" t="str">
        <f t="shared" si="23"/>
        <v>#REF!</v>
      </c>
    </row>
    <row r="39" hidden="1">
      <c r="A39" s="140" t="s">
        <v>77</v>
      </c>
      <c r="B39" s="140">
        <v>8.0</v>
      </c>
      <c r="C39" s="101">
        <f t="shared" si="18"/>
        <v>24</v>
      </c>
      <c r="D39" s="140" t="str">
        <f t="shared" si="19"/>
        <v>#REF!</v>
      </c>
      <c r="E39" s="141" t="str">
        <f t="shared" ref="E39:G39" si="26">3*#REF!</f>
        <v>#REF!</v>
      </c>
      <c r="F39" s="140" t="str">
        <f t="shared" si="26"/>
        <v>#REF!</v>
      </c>
      <c r="G39" s="140" t="str">
        <f t="shared" si="26"/>
        <v>#REF!</v>
      </c>
      <c r="H39" s="140"/>
      <c r="I39" s="140" t="str">
        <f t="shared" si="22"/>
        <v>#REF!</v>
      </c>
      <c r="J39" s="140"/>
      <c r="K39" s="143" t="str">
        <f t="shared" si="23"/>
        <v>#REF!</v>
      </c>
    </row>
    <row r="40" hidden="1">
      <c r="A40" s="127" t="s">
        <v>172</v>
      </c>
      <c r="B40" s="99"/>
      <c r="C40" s="144">
        <f t="shared" ref="C40:D40" si="27">SUM(C34:C39)</f>
        <v>130.5</v>
      </c>
      <c r="D40" s="145" t="str">
        <f t="shared" si="27"/>
        <v>#REF!</v>
      </c>
      <c r="E40" s="146" t="str">
        <f t="shared" ref="E40:F40" si="28">3*#REF!</f>
        <v>#REF!</v>
      </c>
      <c r="F40" s="147" t="str">
        <f t="shared" si="28"/>
        <v>#REF!</v>
      </c>
      <c r="G40" s="144" t="str">
        <f>SUM(G34:G39)</f>
        <v>#REF!</v>
      </c>
      <c r="H40" s="144"/>
      <c r="I40" s="144" t="str">
        <f t="shared" ref="I40:K40" si="29">SUM(I34:I39)</f>
        <v>#REF!</v>
      </c>
      <c r="J40" s="144" t="str">
        <f t="shared" si="29"/>
        <v>#REF!</v>
      </c>
      <c r="K40" s="148" t="str">
        <f t="shared" si="29"/>
        <v>#REF!</v>
      </c>
    </row>
    <row r="41">
      <c r="A41" s="86"/>
      <c r="B41" s="149"/>
      <c r="C41" s="149"/>
      <c r="D41" s="88"/>
      <c r="E41" s="88"/>
    </row>
    <row r="42" hidden="1">
      <c r="A42" s="127" t="s">
        <v>175</v>
      </c>
      <c r="B42" s="153">
        <f>SUM(B43:B44)</f>
        <v>226.5</v>
      </c>
      <c r="C42" s="129"/>
      <c r="D42" s="88"/>
      <c r="E42" s="88"/>
    </row>
    <row r="43" hidden="1">
      <c r="A43" s="144" t="str">
        <f>"Capacity SA รวม "&amp;SUM(C55:C58)&amp;" SP"</f>
        <v>Capacity SA รวม 90 SP</v>
      </c>
      <c r="B43" s="128">
        <f>SUM(C55:C58)</f>
        <v>90</v>
      </c>
      <c r="C43" s="129"/>
      <c r="D43" s="88"/>
      <c r="E43" s="88"/>
    </row>
    <row r="44" hidden="1">
      <c r="A44" s="144" t="str">
        <f>"Capacity DEV รวม "&amp;SUM(C60:C65)&amp;" SP"</f>
        <v>Capacity DEV รวม 136.5 SP</v>
      </c>
      <c r="B44" s="154">
        <f>SUM(C60:C65)</f>
        <v>136.5</v>
      </c>
      <c r="C44" s="131"/>
      <c r="D44" s="132"/>
      <c r="I44" s="132"/>
      <c r="J44" s="151"/>
    </row>
    <row r="45" hidden="1">
      <c r="A45" s="133" t="s">
        <v>155</v>
      </c>
      <c r="B45" s="134">
        <f>SUM(F66:K66)</f>
        <v>24</v>
      </c>
      <c r="C45" s="131"/>
      <c r="D45" s="132"/>
      <c r="I45" s="132"/>
      <c r="J45" s="151"/>
    </row>
    <row r="46" hidden="1">
      <c r="A46" s="133" t="s">
        <v>156</v>
      </c>
      <c r="B46" s="131">
        <f>B44-B45</f>
        <v>112.5</v>
      </c>
      <c r="C46" s="131">
        <f>SUM(E60:E65)</f>
        <v>110</v>
      </c>
      <c r="D46" s="132"/>
      <c r="I46" s="132"/>
      <c r="J46" s="151"/>
    </row>
    <row r="47" hidden="1">
      <c r="A47" s="135" t="s">
        <v>48</v>
      </c>
      <c r="B47" s="129">
        <f>E66</f>
        <v>110</v>
      </c>
      <c r="C47" s="129">
        <v>6.0</v>
      </c>
      <c r="D47" s="88"/>
      <c r="E47" s="88"/>
    </row>
    <row r="48" hidden="1">
      <c r="A48" s="135" t="s">
        <v>44</v>
      </c>
      <c r="B48" s="129">
        <f>F66</f>
        <v>3</v>
      </c>
      <c r="C48" s="129">
        <v>1.0</v>
      </c>
      <c r="D48" s="88"/>
      <c r="E48" s="88"/>
    </row>
    <row r="49" hidden="1">
      <c r="A49" s="135" t="s">
        <v>157</v>
      </c>
      <c r="B49" s="129">
        <f>G66</f>
        <v>11</v>
      </c>
      <c r="C49" s="129">
        <v>1.0</v>
      </c>
      <c r="D49" s="88"/>
      <c r="E49" s="88"/>
    </row>
    <row r="50" hidden="1">
      <c r="A50" s="135" t="s">
        <v>158</v>
      </c>
      <c r="B50" s="129">
        <f>H66</f>
        <v>4</v>
      </c>
      <c r="C50" s="129">
        <v>1.0</v>
      </c>
      <c r="D50" s="88"/>
      <c r="E50" s="88"/>
    </row>
    <row r="51" hidden="1">
      <c r="A51" s="135" t="s">
        <v>159</v>
      </c>
      <c r="B51" s="129">
        <f>I66</f>
        <v>0</v>
      </c>
      <c r="C51" s="129">
        <v>0.0</v>
      </c>
      <c r="D51" s="88"/>
      <c r="E51" s="88"/>
    </row>
    <row r="52" hidden="1">
      <c r="A52" s="135" t="s">
        <v>176</v>
      </c>
      <c r="B52" s="129">
        <f>J66</f>
        <v>0</v>
      </c>
      <c r="C52" s="129"/>
      <c r="D52" s="88"/>
      <c r="E52" s="88"/>
    </row>
    <row r="53" hidden="1">
      <c r="A53" s="135" t="s">
        <v>160</v>
      </c>
      <c r="B53" s="129">
        <f>K66</f>
        <v>6</v>
      </c>
      <c r="C53" s="129"/>
      <c r="D53" s="88"/>
      <c r="E53" s="88"/>
    </row>
    <row r="54" hidden="1">
      <c r="A54" s="138" t="s">
        <v>162</v>
      </c>
      <c r="B54" s="138" t="s">
        <v>163</v>
      </c>
      <c r="C54" s="155" t="s">
        <v>164</v>
      </c>
      <c r="D54" s="156" t="s">
        <v>165</v>
      </c>
      <c r="E54" s="152" t="s">
        <v>177</v>
      </c>
      <c r="F54" s="152" t="s">
        <v>178</v>
      </c>
      <c r="G54" s="152" t="s">
        <v>157</v>
      </c>
      <c r="H54" s="152" t="s">
        <v>158</v>
      </c>
      <c r="I54" s="152" t="s">
        <v>159</v>
      </c>
      <c r="J54" s="152" t="s">
        <v>176</v>
      </c>
      <c r="K54" s="152" t="s">
        <v>160</v>
      </c>
    </row>
    <row r="55" hidden="1">
      <c r="A55" s="157" t="s">
        <v>30</v>
      </c>
      <c r="B55" s="158">
        <v>7.0</v>
      </c>
      <c r="C55" s="158">
        <f t="shared" ref="C55:C58" si="30">3*B55</f>
        <v>21</v>
      </c>
      <c r="D55" s="159">
        <f t="shared" ref="D55:D58" si="31">SUM(E55:K55)</f>
        <v>23</v>
      </c>
      <c r="E55" s="140">
        <v>3.0</v>
      </c>
      <c r="F55" s="140"/>
      <c r="G55" s="140"/>
      <c r="H55" s="140"/>
      <c r="I55" s="140"/>
      <c r="J55" s="140">
        <v>17.0</v>
      </c>
      <c r="K55" s="140">
        <v>3.0</v>
      </c>
    </row>
    <row r="56" hidden="1">
      <c r="A56" s="157" t="s">
        <v>72</v>
      </c>
      <c r="B56" s="158">
        <v>7.0</v>
      </c>
      <c r="C56" s="158">
        <f t="shared" si="30"/>
        <v>21</v>
      </c>
      <c r="D56" s="159">
        <f t="shared" si="31"/>
        <v>31</v>
      </c>
      <c r="E56" s="140">
        <v>23.0</v>
      </c>
      <c r="F56" s="140"/>
      <c r="G56" s="140"/>
      <c r="H56" s="140"/>
      <c r="I56" s="140"/>
      <c r="J56" s="140"/>
      <c r="K56" s="140">
        <v>8.0</v>
      </c>
    </row>
    <row r="57" hidden="1">
      <c r="A57" s="157" t="s">
        <v>24</v>
      </c>
      <c r="B57" s="158">
        <v>8.0</v>
      </c>
      <c r="C57" s="158">
        <f t="shared" si="30"/>
        <v>24</v>
      </c>
      <c r="D57" s="159">
        <f t="shared" si="31"/>
        <v>33</v>
      </c>
      <c r="E57" s="140"/>
      <c r="F57" s="140"/>
      <c r="G57" s="140">
        <v>8.0</v>
      </c>
      <c r="H57" s="140">
        <v>3.0</v>
      </c>
      <c r="I57" s="140"/>
      <c r="J57" s="140">
        <v>21.0</v>
      </c>
      <c r="K57" s="140">
        <v>1.0</v>
      </c>
    </row>
    <row r="58" ht="15.0" hidden="1" customHeight="1">
      <c r="A58" s="157" t="s">
        <v>28</v>
      </c>
      <c r="B58" s="158">
        <v>8.0</v>
      </c>
      <c r="C58" s="158">
        <f t="shared" si="30"/>
        <v>24</v>
      </c>
      <c r="D58" s="143">
        <f t="shared" si="31"/>
        <v>15</v>
      </c>
      <c r="E58" s="140">
        <v>15.0</v>
      </c>
      <c r="F58" s="140"/>
      <c r="G58" s="140"/>
      <c r="H58" s="140"/>
      <c r="I58" s="140"/>
      <c r="J58" s="140"/>
      <c r="K58" s="140"/>
    </row>
    <row r="59" ht="15.0" hidden="1" customHeight="1">
      <c r="A59" s="157"/>
      <c r="B59" s="158"/>
      <c r="C59" s="160">
        <f t="shared" ref="C59:D59" si="32">SUM(C55:C58)</f>
        <v>90</v>
      </c>
      <c r="D59" s="161">
        <f t="shared" si="32"/>
        <v>102</v>
      </c>
      <c r="E59" s="140"/>
      <c r="F59" s="140"/>
      <c r="G59" s="140"/>
      <c r="H59" s="140"/>
      <c r="I59" s="140"/>
      <c r="J59" s="140"/>
      <c r="K59" s="140"/>
    </row>
    <row r="60" hidden="1">
      <c r="A60" s="162" t="s">
        <v>32</v>
      </c>
      <c r="B60" s="163">
        <v>7.0</v>
      </c>
      <c r="C60" s="163">
        <f t="shared" ref="C60:C65" si="33">3*B60</f>
        <v>21</v>
      </c>
      <c r="D60" s="143">
        <f t="shared" ref="D60:D65" si="34">SUM(E60:K60)</f>
        <v>21</v>
      </c>
      <c r="E60" s="140">
        <v>21.0</v>
      </c>
      <c r="F60" s="140"/>
      <c r="G60" s="140"/>
      <c r="H60" s="140"/>
      <c r="I60" s="140"/>
      <c r="J60" s="140"/>
      <c r="K60" s="140"/>
    </row>
    <row r="61" hidden="1">
      <c r="A61" s="162" t="s">
        <v>74</v>
      </c>
      <c r="B61" s="163">
        <v>8.0</v>
      </c>
      <c r="C61" s="163">
        <f t="shared" si="33"/>
        <v>24</v>
      </c>
      <c r="D61" s="143">
        <f t="shared" si="34"/>
        <v>23</v>
      </c>
      <c r="E61" s="140">
        <v>8.0</v>
      </c>
      <c r="F61" s="140"/>
      <c r="G61" s="140">
        <v>11.0</v>
      </c>
      <c r="H61" s="140">
        <v>4.0</v>
      </c>
      <c r="I61" s="140"/>
      <c r="J61" s="140"/>
      <c r="K61" s="140"/>
    </row>
    <row r="62" hidden="1">
      <c r="A62" s="162" t="s">
        <v>73</v>
      </c>
      <c r="B62" s="163">
        <v>8.0</v>
      </c>
      <c r="C62" s="163">
        <f t="shared" si="33"/>
        <v>24</v>
      </c>
      <c r="D62" s="143">
        <f t="shared" si="34"/>
        <v>21</v>
      </c>
      <c r="E62" s="140">
        <v>18.0</v>
      </c>
      <c r="F62" s="140"/>
      <c r="G62" s="140"/>
      <c r="H62" s="140"/>
      <c r="I62" s="140"/>
      <c r="J62" s="140"/>
      <c r="K62" s="140">
        <v>3.0</v>
      </c>
    </row>
    <row r="63" hidden="1">
      <c r="A63" s="162" t="s">
        <v>75</v>
      </c>
      <c r="B63" s="163">
        <v>8.0</v>
      </c>
      <c r="C63" s="163">
        <f t="shared" si="33"/>
        <v>24</v>
      </c>
      <c r="D63" s="143">
        <f t="shared" si="34"/>
        <v>23</v>
      </c>
      <c r="E63" s="140">
        <v>23.0</v>
      </c>
      <c r="F63" s="140"/>
      <c r="G63" s="140"/>
      <c r="H63" s="140"/>
      <c r="I63" s="140"/>
      <c r="J63" s="140"/>
      <c r="K63" s="140"/>
    </row>
    <row r="64" hidden="1">
      <c r="A64" s="162" t="s">
        <v>76</v>
      </c>
      <c r="B64" s="163">
        <v>7.0</v>
      </c>
      <c r="C64" s="163">
        <f t="shared" si="33"/>
        <v>21</v>
      </c>
      <c r="D64" s="143">
        <f t="shared" si="34"/>
        <v>20</v>
      </c>
      <c r="E64" s="140">
        <v>17.0</v>
      </c>
      <c r="F64" s="140">
        <v>3.0</v>
      </c>
      <c r="G64" s="140"/>
      <c r="H64" s="140"/>
      <c r="I64" s="140"/>
      <c r="J64" s="140"/>
      <c r="K64" s="140"/>
    </row>
    <row r="65" hidden="1">
      <c r="A65" s="162" t="s">
        <v>77</v>
      </c>
      <c r="B65" s="162">
        <v>7.5</v>
      </c>
      <c r="C65" s="163">
        <f t="shared" si="33"/>
        <v>22.5</v>
      </c>
      <c r="D65" s="159">
        <f t="shared" si="34"/>
        <v>26</v>
      </c>
      <c r="E65" s="140">
        <v>23.0</v>
      </c>
      <c r="F65" s="140"/>
      <c r="G65" s="140"/>
      <c r="H65" s="140"/>
      <c r="I65" s="140"/>
      <c r="J65" s="140"/>
      <c r="K65" s="140">
        <v>3.0</v>
      </c>
    </row>
    <row r="66" hidden="1">
      <c r="A66" s="127" t="s">
        <v>172</v>
      </c>
      <c r="B66" s="99"/>
      <c r="C66" s="164">
        <f t="shared" ref="C66:K66" si="35">SUM(C60:C65)</f>
        <v>136.5</v>
      </c>
      <c r="D66" s="161">
        <f t="shared" si="35"/>
        <v>134</v>
      </c>
      <c r="E66" s="165">
        <f t="shared" si="35"/>
        <v>110</v>
      </c>
      <c r="F66" s="165">
        <f t="shared" si="35"/>
        <v>3</v>
      </c>
      <c r="G66" s="165">
        <f t="shared" si="35"/>
        <v>11</v>
      </c>
      <c r="H66" s="165">
        <f t="shared" si="35"/>
        <v>4</v>
      </c>
      <c r="I66" s="165">
        <f t="shared" si="35"/>
        <v>0</v>
      </c>
      <c r="J66" s="165">
        <f t="shared" si="35"/>
        <v>0</v>
      </c>
      <c r="K66" s="165">
        <f t="shared" si="35"/>
        <v>6</v>
      </c>
    </row>
    <row r="67" hidden="1">
      <c r="A67" s="86"/>
      <c r="B67" s="99"/>
      <c r="C67" s="134">
        <f t="shared" ref="C67:D67" si="36">SUM(C59,C66)</f>
        <v>226.5</v>
      </c>
      <c r="D67" s="134">
        <f t="shared" si="36"/>
        <v>236</v>
      </c>
      <c r="E67" s="99">
        <f t="shared" ref="E67:K67" si="37">SUM(E55:E65)</f>
        <v>151</v>
      </c>
      <c r="F67" s="99">
        <f t="shared" si="37"/>
        <v>3</v>
      </c>
      <c r="G67" s="99">
        <f t="shared" si="37"/>
        <v>19</v>
      </c>
      <c r="H67" s="99">
        <f t="shared" si="37"/>
        <v>7</v>
      </c>
      <c r="I67" s="99">
        <f t="shared" si="37"/>
        <v>0</v>
      </c>
      <c r="J67" s="99">
        <f t="shared" si="37"/>
        <v>38</v>
      </c>
      <c r="K67" s="99">
        <f t="shared" si="37"/>
        <v>18</v>
      </c>
    </row>
    <row r="68">
      <c r="A68" s="115"/>
    </row>
    <row r="69" hidden="1">
      <c r="A69" s="127" t="s">
        <v>179</v>
      </c>
      <c r="B69" s="153">
        <f>SUM(B70:B71)</f>
        <v>96</v>
      </c>
      <c r="C69" s="129"/>
      <c r="D69" s="88"/>
      <c r="E69" s="88"/>
    </row>
    <row r="70" hidden="1">
      <c r="A70" s="144" t="str">
        <f>"Capacity SA รวม "&amp;SUM(C88:C91)&amp;" SP"</f>
        <v>Capacity SA รวม 45 SP</v>
      </c>
      <c r="B70" s="128">
        <f>SUM(C82:C85)</f>
        <v>27</v>
      </c>
      <c r="C70" s="129"/>
      <c r="D70" s="88"/>
      <c r="E70" s="88"/>
    </row>
    <row r="71" hidden="1">
      <c r="A71" s="144" t="str">
        <f>"Capacity รวม "&amp;SUM(C86:C91)&amp;" SP"</f>
        <v>Capacity รวม 84 SP</v>
      </c>
      <c r="B71" s="154">
        <f>SUM(C87:C92)</f>
        <v>69</v>
      </c>
      <c r="C71" s="131"/>
      <c r="D71" s="132"/>
      <c r="I71" s="132"/>
      <c r="J71" s="151"/>
    </row>
    <row r="72" hidden="1">
      <c r="A72" s="133" t="s">
        <v>155</v>
      </c>
      <c r="B72" s="134">
        <f>SUM(F93:K93)</f>
        <v>19</v>
      </c>
      <c r="C72" s="131"/>
      <c r="D72" s="132"/>
      <c r="I72" s="132"/>
      <c r="J72" s="151"/>
    </row>
    <row r="73" hidden="1">
      <c r="A73" s="133" t="s">
        <v>156</v>
      </c>
      <c r="B73" s="131">
        <f>B71-B72</f>
        <v>50</v>
      </c>
      <c r="C73" s="131">
        <f>SUM(E87:E92)</f>
        <v>41</v>
      </c>
      <c r="D73" s="132"/>
      <c r="I73" s="132"/>
      <c r="J73" s="151"/>
    </row>
    <row r="74" hidden="1">
      <c r="A74" s="135" t="s">
        <v>48</v>
      </c>
      <c r="B74" s="129">
        <f>E92</f>
        <v>10</v>
      </c>
      <c r="C74" s="129">
        <v>0.0</v>
      </c>
      <c r="D74" s="88"/>
      <c r="E74" s="88"/>
    </row>
    <row r="75" hidden="1">
      <c r="A75" s="135" t="s">
        <v>44</v>
      </c>
      <c r="B75" s="129" t="str">
        <f>F92</f>
        <v/>
      </c>
      <c r="C75" s="129">
        <v>0.0</v>
      </c>
      <c r="D75" s="88"/>
      <c r="E75" s="88"/>
    </row>
    <row r="76" hidden="1">
      <c r="A76" s="135" t="s">
        <v>157</v>
      </c>
      <c r="B76" s="129" t="str">
        <f>G92</f>
        <v/>
      </c>
      <c r="C76" s="129">
        <v>0.0</v>
      </c>
      <c r="D76" s="88"/>
      <c r="E76" s="88"/>
    </row>
    <row r="77" hidden="1">
      <c r="A77" s="135" t="s">
        <v>158</v>
      </c>
      <c r="B77" s="129" t="str">
        <f>I92</f>
        <v/>
      </c>
      <c r="C77" s="129">
        <v>0.0</v>
      </c>
      <c r="D77" s="88"/>
      <c r="E77" s="88"/>
    </row>
    <row r="78" hidden="1">
      <c r="A78" s="135" t="s">
        <v>159</v>
      </c>
      <c r="B78" s="129" t="str">
        <f>K92</f>
        <v/>
      </c>
      <c r="C78" s="129">
        <v>0.0</v>
      </c>
      <c r="D78" s="88"/>
      <c r="E78" s="88"/>
    </row>
    <row r="79" hidden="1">
      <c r="A79" s="135" t="s">
        <v>176</v>
      </c>
      <c r="B79" s="129"/>
      <c r="C79" s="129"/>
      <c r="D79" s="88"/>
      <c r="E79" s="88"/>
    </row>
    <row r="80" hidden="1">
      <c r="A80" s="135" t="s">
        <v>160</v>
      </c>
      <c r="B80" s="129">
        <f>C92-D92</f>
        <v>2</v>
      </c>
      <c r="C80" s="129"/>
      <c r="D80" s="88"/>
      <c r="E80" s="88"/>
    </row>
    <row r="81" hidden="1">
      <c r="A81" s="152" t="s">
        <v>162</v>
      </c>
      <c r="B81" s="166" t="s">
        <v>163</v>
      </c>
      <c r="C81" s="155" t="s">
        <v>164</v>
      </c>
      <c r="D81" s="156" t="s">
        <v>165</v>
      </c>
      <c r="E81" s="152" t="s">
        <v>177</v>
      </c>
      <c r="F81" s="152" t="s">
        <v>178</v>
      </c>
      <c r="G81" s="152" t="s">
        <v>157</v>
      </c>
      <c r="H81" s="152" t="s">
        <v>158</v>
      </c>
      <c r="I81" s="152" t="s">
        <v>159</v>
      </c>
      <c r="J81" s="152" t="s">
        <v>176</v>
      </c>
      <c r="K81" s="152" t="s">
        <v>160</v>
      </c>
      <c r="L81" s="152" t="s">
        <v>180</v>
      </c>
      <c r="M81" s="167"/>
    </row>
    <row r="82" hidden="1">
      <c r="A82" s="157" t="s">
        <v>30</v>
      </c>
      <c r="B82" s="168">
        <v>3.0</v>
      </c>
      <c r="C82" s="158">
        <f t="shared" ref="C82:C85" si="38">3*B82</f>
        <v>9</v>
      </c>
      <c r="D82" s="159">
        <f t="shared" ref="D82:D85" si="39">SUM(E82:L82)</f>
        <v>14</v>
      </c>
      <c r="E82" s="140">
        <v>2.0</v>
      </c>
      <c r="F82" s="140"/>
      <c r="G82" s="140"/>
      <c r="H82" s="140"/>
      <c r="I82" s="140"/>
      <c r="J82" s="140">
        <v>6.0</v>
      </c>
      <c r="K82" s="140"/>
      <c r="L82" s="140">
        <v>6.0</v>
      </c>
      <c r="M82" s="167"/>
    </row>
    <row r="83" hidden="1">
      <c r="A83" s="157" t="s">
        <v>72</v>
      </c>
      <c r="B83" s="168">
        <v>0.0</v>
      </c>
      <c r="C83" s="158">
        <f t="shared" si="38"/>
        <v>0</v>
      </c>
      <c r="D83" s="159">
        <f t="shared" si="39"/>
        <v>0</v>
      </c>
      <c r="E83" s="140"/>
      <c r="F83" s="140"/>
      <c r="G83" s="140"/>
      <c r="H83" s="140"/>
      <c r="I83" s="140"/>
      <c r="J83" s="140"/>
      <c r="K83" s="140"/>
      <c r="L83" s="140"/>
      <c r="M83" s="167"/>
    </row>
    <row r="84" hidden="1">
      <c r="A84" s="157" t="s">
        <v>24</v>
      </c>
      <c r="B84" s="168">
        <v>3.0</v>
      </c>
      <c r="C84" s="158">
        <f t="shared" si="38"/>
        <v>9</v>
      </c>
      <c r="D84" s="143">
        <f t="shared" si="39"/>
        <v>0</v>
      </c>
      <c r="E84" s="140"/>
      <c r="F84" s="140"/>
      <c r="G84" s="140"/>
      <c r="H84" s="140"/>
      <c r="I84" s="140"/>
      <c r="J84" s="140"/>
      <c r="K84" s="140"/>
      <c r="L84" s="140"/>
      <c r="M84" s="167"/>
    </row>
    <row r="85" hidden="1">
      <c r="A85" s="157" t="s">
        <v>28</v>
      </c>
      <c r="B85" s="158">
        <v>3.0</v>
      </c>
      <c r="C85" s="158">
        <f t="shared" si="38"/>
        <v>9</v>
      </c>
      <c r="D85" s="143">
        <f t="shared" si="39"/>
        <v>0</v>
      </c>
      <c r="E85" s="140"/>
      <c r="F85" s="140"/>
      <c r="G85" s="140"/>
      <c r="H85" s="140"/>
      <c r="I85" s="140"/>
      <c r="J85" s="140"/>
      <c r="K85" s="140"/>
      <c r="L85" s="140"/>
      <c r="M85" s="167"/>
    </row>
    <row r="86" hidden="1">
      <c r="A86" s="157"/>
      <c r="B86" s="158"/>
      <c r="C86" s="160">
        <f t="shared" ref="C86:D86" si="40">SUM(C82:C85)</f>
        <v>27</v>
      </c>
      <c r="D86" s="161">
        <f t="shared" si="40"/>
        <v>14</v>
      </c>
      <c r="E86" s="140"/>
      <c r="F86" s="140"/>
      <c r="G86" s="140"/>
      <c r="H86" s="140"/>
      <c r="I86" s="140"/>
      <c r="J86" s="140"/>
      <c r="K86" s="140"/>
      <c r="L86" s="140"/>
      <c r="M86" s="167"/>
    </row>
    <row r="87" hidden="1">
      <c r="A87" s="162" t="s">
        <v>32</v>
      </c>
      <c r="B87" s="169">
        <v>4.0</v>
      </c>
      <c r="C87" s="163">
        <f t="shared" ref="C87:C92" si="41">3*B87</f>
        <v>12</v>
      </c>
      <c r="D87" s="143">
        <f t="shared" ref="D87:D92" si="42">SUM(E87:L87)</f>
        <v>10</v>
      </c>
      <c r="E87" s="140">
        <v>5.0</v>
      </c>
      <c r="F87" s="140"/>
      <c r="G87" s="140"/>
      <c r="H87" s="140"/>
      <c r="I87" s="140"/>
      <c r="J87" s="140">
        <v>5.0</v>
      </c>
      <c r="K87" s="140"/>
      <c r="L87" s="140"/>
      <c r="M87" s="167"/>
    </row>
    <row r="88" hidden="1">
      <c r="A88" s="162" t="s">
        <v>74</v>
      </c>
      <c r="B88" s="169">
        <v>3.0</v>
      </c>
      <c r="C88" s="163">
        <f t="shared" si="41"/>
        <v>9</v>
      </c>
      <c r="D88" s="159">
        <f t="shared" si="42"/>
        <v>9</v>
      </c>
      <c r="E88" s="140"/>
      <c r="F88" s="140">
        <v>3.0</v>
      </c>
      <c r="G88" s="140">
        <v>6.0</v>
      </c>
      <c r="H88" s="140"/>
      <c r="I88" s="140"/>
      <c r="J88" s="140"/>
      <c r="K88" s="140"/>
      <c r="L88" s="140"/>
      <c r="M88" s="167"/>
    </row>
    <row r="89" hidden="1">
      <c r="A89" s="162" t="s">
        <v>73</v>
      </c>
      <c r="B89" s="169">
        <v>4.0</v>
      </c>
      <c r="C89" s="163">
        <f t="shared" si="41"/>
        <v>12</v>
      </c>
      <c r="D89" s="159">
        <f t="shared" si="42"/>
        <v>12</v>
      </c>
      <c r="E89" s="140">
        <v>12.0</v>
      </c>
      <c r="F89" s="140"/>
      <c r="G89" s="140"/>
      <c r="H89" s="140"/>
      <c r="I89" s="140"/>
      <c r="J89" s="140"/>
      <c r="K89" s="140"/>
      <c r="L89" s="140"/>
      <c r="M89" s="167"/>
    </row>
    <row r="90" hidden="1">
      <c r="A90" s="162" t="s">
        <v>75</v>
      </c>
      <c r="B90" s="169">
        <v>4.0</v>
      </c>
      <c r="C90" s="163">
        <f t="shared" si="41"/>
        <v>12</v>
      </c>
      <c r="D90" s="143">
        <f t="shared" si="42"/>
        <v>8</v>
      </c>
      <c r="E90" s="140">
        <v>8.0</v>
      </c>
      <c r="F90" s="140"/>
      <c r="G90" s="140"/>
      <c r="H90" s="140"/>
      <c r="I90" s="140"/>
      <c r="J90" s="140"/>
      <c r="K90" s="140"/>
      <c r="L90" s="140"/>
      <c r="M90" s="167"/>
    </row>
    <row r="91" hidden="1">
      <c r="A91" s="162" t="s">
        <v>76</v>
      </c>
      <c r="B91" s="169">
        <v>4.0</v>
      </c>
      <c r="C91" s="163">
        <f t="shared" si="41"/>
        <v>12</v>
      </c>
      <c r="D91" s="159">
        <f t="shared" si="42"/>
        <v>11</v>
      </c>
      <c r="E91" s="140">
        <v>6.0</v>
      </c>
      <c r="F91" s="140">
        <v>5.0</v>
      </c>
      <c r="G91" s="140"/>
      <c r="H91" s="140"/>
      <c r="I91" s="140"/>
      <c r="J91" s="140"/>
      <c r="K91" s="140"/>
      <c r="L91" s="140"/>
    </row>
    <row r="92" hidden="1">
      <c r="A92" s="162" t="s">
        <v>77</v>
      </c>
      <c r="B92" s="170">
        <v>4.0</v>
      </c>
      <c r="C92" s="163">
        <f t="shared" si="41"/>
        <v>12</v>
      </c>
      <c r="D92" s="143">
        <f t="shared" si="42"/>
        <v>10</v>
      </c>
      <c r="E92" s="140">
        <v>10.0</v>
      </c>
      <c r="F92" s="140"/>
      <c r="G92" s="140"/>
      <c r="H92" s="140"/>
      <c r="I92" s="140"/>
      <c r="J92" s="140"/>
      <c r="K92" s="140"/>
      <c r="L92" s="140"/>
    </row>
    <row r="93" hidden="1">
      <c r="A93" s="127" t="s">
        <v>172</v>
      </c>
      <c r="B93" s="99"/>
      <c r="C93" s="164">
        <f t="shared" ref="C93:L93" si="43">SUM(C87:C92)</f>
        <v>69</v>
      </c>
      <c r="D93" s="161">
        <f t="shared" si="43"/>
        <v>60</v>
      </c>
      <c r="E93" s="165">
        <f t="shared" si="43"/>
        <v>41</v>
      </c>
      <c r="F93" s="165">
        <f t="shared" si="43"/>
        <v>8</v>
      </c>
      <c r="G93" s="165">
        <f t="shared" si="43"/>
        <v>6</v>
      </c>
      <c r="H93" s="165">
        <f t="shared" si="43"/>
        <v>0</v>
      </c>
      <c r="I93" s="165">
        <f t="shared" si="43"/>
        <v>0</v>
      </c>
      <c r="J93" s="165">
        <f t="shared" si="43"/>
        <v>5</v>
      </c>
      <c r="K93" s="165">
        <f t="shared" si="43"/>
        <v>0</v>
      </c>
      <c r="L93" s="165">
        <f t="shared" si="43"/>
        <v>0</v>
      </c>
    </row>
    <row r="94" hidden="1">
      <c r="A94" s="86"/>
      <c r="B94" s="99"/>
      <c r="C94" s="134">
        <f t="shared" ref="C94:D94" si="44">SUM(C86,C93)</f>
        <v>96</v>
      </c>
      <c r="D94" s="134">
        <f t="shared" si="44"/>
        <v>74</v>
      </c>
      <c r="E94" s="99">
        <f t="shared" ref="E94:L94" si="45">SUM(E82:E92)</f>
        <v>43</v>
      </c>
      <c r="F94" s="99">
        <f t="shared" si="45"/>
        <v>8</v>
      </c>
      <c r="G94" s="99">
        <f t="shared" si="45"/>
        <v>6</v>
      </c>
      <c r="H94" s="99">
        <f t="shared" si="45"/>
        <v>0</v>
      </c>
      <c r="I94" s="99">
        <f t="shared" si="45"/>
        <v>0</v>
      </c>
      <c r="J94" s="99">
        <f t="shared" si="45"/>
        <v>11</v>
      </c>
      <c r="K94" s="99">
        <f t="shared" si="45"/>
        <v>0</v>
      </c>
      <c r="L94" s="99">
        <f t="shared" si="45"/>
        <v>6</v>
      </c>
    </row>
    <row r="95">
      <c r="A95" s="86"/>
      <c r="B95" s="149"/>
      <c r="C95" s="149"/>
      <c r="E95" s="88"/>
    </row>
    <row r="96" hidden="1">
      <c r="A96" s="127" t="s">
        <v>181</v>
      </c>
      <c r="B96" s="153">
        <f>SUM(B97:B98)</f>
        <v>204</v>
      </c>
      <c r="C96" s="129"/>
      <c r="D96" s="88"/>
      <c r="E96" s="88"/>
    </row>
    <row r="97" hidden="1">
      <c r="A97" s="144" t="str">
        <f>"Capacity SA รวม "&amp;SUM(C115:C118)&amp;" SP"</f>
        <v>Capacity SA รวม 81 SP</v>
      </c>
      <c r="B97" s="128">
        <f>SUM(C109:C112)</f>
        <v>84</v>
      </c>
      <c r="C97" s="129"/>
      <c r="D97" s="88"/>
      <c r="E97" s="88"/>
    </row>
    <row r="98" hidden="1">
      <c r="A98" s="144" t="str">
        <f>"Capacity รวม "&amp;SUM(C113:C118)&amp;" SP"</f>
        <v>Capacity รวม 186 SP</v>
      </c>
      <c r="B98" s="154">
        <f>SUM(C114:C119)</f>
        <v>120</v>
      </c>
      <c r="C98" s="131"/>
      <c r="D98" s="132"/>
      <c r="I98" s="132"/>
      <c r="J98" s="151"/>
    </row>
    <row r="99" hidden="1">
      <c r="A99" s="133" t="s">
        <v>155</v>
      </c>
      <c r="B99" s="134">
        <f>SUM(F120:K120)</f>
        <v>44</v>
      </c>
      <c r="C99" s="131"/>
      <c r="D99" s="132"/>
      <c r="I99" s="132"/>
      <c r="J99" s="151"/>
    </row>
    <row r="100" hidden="1">
      <c r="A100" s="133" t="s">
        <v>156</v>
      </c>
      <c r="B100" s="131">
        <f>B98-B99</f>
        <v>76</v>
      </c>
      <c r="C100" s="131">
        <f>SUM(E114:E119)</f>
        <v>80</v>
      </c>
      <c r="D100" s="132"/>
      <c r="I100" s="132"/>
      <c r="J100" s="151"/>
    </row>
    <row r="101" hidden="1">
      <c r="A101" s="135" t="s">
        <v>48</v>
      </c>
      <c r="B101" s="129"/>
      <c r="C101" s="129">
        <v>0.0</v>
      </c>
      <c r="D101" s="88"/>
      <c r="E101" s="88"/>
    </row>
    <row r="102" hidden="1">
      <c r="A102" s="135" t="s">
        <v>44</v>
      </c>
      <c r="B102" s="129" t="str">
        <f>F119</f>
        <v/>
      </c>
      <c r="C102" s="129">
        <v>0.0</v>
      </c>
      <c r="D102" s="88"/>
      <c r="E102" s="88"/>
    </row>
    <row r="103" hidden="1">
      <c r="A103" s="135" t="s">
        <v>157</v>
      </c>
      <c r="B103" s="129" t="str">
        <f>G119</f>
        <v/>
      </c>
      <c r="C103" s="129">
        <v>0.0</v>
      </c>
      <c r="D103" s="88"/>
      <c r="E103" s="88"/>
    </row>
    <row r="104" hidden="1">
      <c r="A104" s="135" t="s">
        <v>158</v>
      </c>
      <c r="B104" s="129" t="str">
        <f>I119</f>
        <v/>
      </c>
      <c r="C104" s="129">
        <v>0.0</v>
      </c>
      <c r="D104" s="88"/>
      <c r="E104" s="88"/>
    </row>
    <row r="105" hidden="1">
      <c r="A105" s="135" t="s">
        <v>159</v>
      </c>
      <c r="B105" s="129" t="str">
        <f>K119</f>
        <v/>
      </c>
      <c r="C105" s="129">
        <v>0.0</v>
      </c>
      <c r="D105" s="88"/>
      <c r="E105" s="88"/>
    </row>
    <row r="106" hidden="1">
      <c r="A106" s="135" t="s">
        <v>176</v>
      </c>
      <c r="B106" s="129"/>
      <c r="C106" s="129"/>
      <c r="D106" s="88"/>
      <c r="E106" s="88"/>
    </row>
    <row r="107" hidden="1">
      <c r="A107" s="135" t="s">
        <v>160</v>
      </c>
      <c r="B107" s="129">
        <f>C119-D119</f>
        <v>0</v>
      </c>
      <c r="C107" s="129"/>
      <c r="D107" s="88"/>
      <c r="E107" s="88"/>
    </row>
    <row r="108" hidden="1">
      <c r="A108" s="152" t="s">
        <v>162</v>
      </c>
      <c r="B108" s="166" t="s">
        <v>163</v>
      </c>
      <c r="C108" s="155" t="s">
        <v>164</v>
      </c>
      <c r="D108" s="156" t="s">
        <v>165</v>
      </c>
      <c r="E108" s="152" t="s">
        <v>177</v>
      </c>
      <c r="F108" s="152" t="s">
        <v>178</v>
      </c>
      <c r="G108" s="152" t="s">
        <v>157</v>
      </c>
      <c r="H108" s="152" t="s">
        <v>158</v>
      </c>
      <c r="I108" s="152" t="s">
        <v>159</v>
      </c>
      <c r="J108" s="152" t="s">
        <v>176</v>
      </c>
      <c r="K108" s="152" t="s">
        <v>160</v>
      </c>
      <c r="L108" s="152" t="s">
        <v>180</v>
      </c>
      <c r="M108" s="152" t="s">
        <v>182</v>
      </c>
      <c r="N108" s="152" t="s">
        <v>183</v>
      </c>
    </row>
    <row r="109" hidden="1">
      <c r="A109" s="157" t="s">
        <v>30</v>
      </c>
      <c r="B109" s="158">
        <v>7.0</v>
      </c>
      <c r="C109" s="158">
        <f t="shared" ref="C109:C112" si="46">3*B109</f>
        <v>21</v>
      </c>
      <c r="D109" s="159">
        <f t="shared" ref="D109:D112" si="47">SUM(E109:N109)</f>
        <v>22</v>
      </c>
      <c r="E109" s="140"/>
      <c r="F109" s="140"/>
      <c r="G109" s="140"/>
      <c r="H109" s="140"/>
      <c r="I109" s="140"/>
      <c r="J109" s="140">
        <v>15.0</v>
      </c>
      <c r="K109" s="140">
        <v>2.0</v>
      </c>
      <c r="L109" s="140">
        <v>5.0</v>
      </c>
      <c r="M109" s="140"/>
      <c r="N109" s="140"/>
    </row>
    <row r="110" hidden="1">
      <c r="A110" s="157" t="s">
        <v>72</v>
      </c>
      <c r="B110" s="158">
        <v>7.0</v>
      </c>
      <c r="C110" s="158">
        <f t="shared" si="46"/>
        <v>21</v>
      </c>
      <c r="D110" s="159">
        <f t="shared" si="47"/>
        <v>24</v>
      </c>
      <c r="E110" s="140">
        <v>21.0</v>
      </c>
      <c r="F110" s="140"/>
      <c r="G110" s="140"/>
      <c r="H110" s="140"/>
      <c r="I110" s="140"/>
      <c r="J110" s="140">
        <v>1.0</v>
      </c>
      <c r="K110" s="140">
        <v>2.0</v>
      </c>
      <c r="L110" s="140"/>
      <c r="M110" s="140"/>
      <c r="N110" s="140"/>
    </row>
    <row r="111" hidden="1">
      <c r="A111" s="157" t="s">
        <v>24</v>
      </c>
      <c r="B111" s="158">
        <v>7.0</v>
      </c>
      <c r="C111" s="158">
        <f t="shared" si="46"/>
        <v>21</v>
      </c>
      <c r="D111" s="159">
        <f t="shared" si="47"/>
        <v>21</v>
      </c>
      <c r="E111" s="140"/>
      <c r="F111" s="140"/>
      <c r="G111" s="140">
        <v>5.0</v>
      </c>
      <c r="H111" s="140"/>
      <c r="I111" s="140"/>
      <c r="J111" s="140">
        <v>11.0</v>
      </c>
      <c r="K111" s="140"/>
      <c r="L111" s="140"/>
      <c r="M111" s="140">
        <v>5.0</v>
      </c>
      <c r="N111" s="140"/>
    </row>
    <row r="112" hidden="1">
      <c r="A112" s="157" t="s">
        <v>28</v>
      </c>
      <c r="B112" s="158">
        <v>7.0</v>
      </c>
      <c r="C112" s="158">
        <f t="shared" si="46"/>
        <v>21</v>
      </c>
      <c r="D112" s="159">
        <f t="shared" si="47"/>
        <v>22</v>
      </c>
      <c r="E112" s="140">
        <v>8.0</v>
      </c>
      <c r="F112" s="140"/>
      <c r="G112" s="140"/>
      <c r="H112" s="140"/>
      <c r="I112" s="140"/>
      <c r="J112" s="140">
        <v>3.0</v>
      </c>
      <c r="K112" s="140">
        <v>2.0</v>
      </c>
      <c r="L112" s="140"/>
      <c r="M112" s="140"/>
      <c r="N112" s="140">
        <v>9.0</v>
      </c>
    </row>
    <row r="113" hidden="1">
      <c r="A113" s="157"/>
      <c r="B113" s="158"/>
      <c r="C113" s="160">
        <f t="shared" ref="C113:D113" si="48">SUM(C109:C112)</f>
        <v>84</v>
      </c>
      <c r="D113" s="161">
        <f t="shared" si="48"/>
        <v>89</v>
      </c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</row>
    <row r="114" hidden="1">
      <c r="A114" s="162" t="s">
        <v>32</v>
      </c>
      <c r="B114" s="163">
        <v>7.0</v>
      </c>
      <c r="C114" s="163">
        <f t="shared" ref="C114:C119" si="49">3*B114</f>
        <v>21</v>
      </c>
      <c r="D114" s="159">
        <f t="shared" ref="D114:D119" si="50">SUM(E114:N114)</f>
        <v>22</v>
      </c>
      <c r="E114" s="140">
        <v>19.0</v>
      </c>
      <c r="F114" s="140"/>
      <c r="G114" s="140"/>
      <c r="H114" s="140"/>
      <c r="I114" s="140"/>
      <c r="J114" s="140">
        <v>3.0</v>
      </c>
      <c r="K114" s="140"/>
      <c r="L114" s="140"/>
      <c r="M114" s="140"/>
      <c r="N114" s="140"/>
    </row>
    <row r="115" hidden="1">
      <c r="A115" s="162" t="s">
        <v>74</v>
      </c>
      <c r="B115" s="163">
        <v>7.0</v>
      </c>
      <c r="C115" s="163">
        <f t="shared" si="49"/>
        <v>21</v>
      </c>
      <c r="D115" s="159">
        <f t="shared" si="50"/>
        <v>24</v>
      </c>
      <c r="E115" s="140"/>
      <c r="F115" s="140"/>
      <c r="G115" s="140">
        <v>21.0</v>
      </c>
      <c r="H115" s="140"/>
      <c r="I115" s="140"/>
      <c r="J115" s="140">
        <v>3.0</v>
      </c>
      <c r="K115" s="140"/>
      <c r="L115" s="140"/>
      <c r="M115" s="140"/>
      <c r="N115" s="140"/>
    </row>
    <row r="116" hidden="1">
      <c r="A116" s="162" t="s">
        <v>73</v>
      </c>
      <c r="B116" s="163">
        <v>7.0</v>
      </c>
      <c r="C116" s="163">
        <f t="shared" si="49"/>
        <v>21</v>
      </c>
      <c r="D116" s="159">
        <f t="shared" si="50"/>
        <v>21</v>
      </c>
      <c r="E116" s="140">
        <v>13.0</v>
      </c>
      <c r="F116" s="140"/>
      <c r="G116" s="140">
        <v>5.0</v>
      </c>
      <c r="H116" s="140"/>
      <c r="I116" s="140"/>
      <c r="J116" s="140">
        <v>3.0</v>
      </c>
      <c r="K116" s="140"/>
      <c r="L116" s="140"/>
      <c r="M116" s="140"/>
      <c r="N116" s="140"/>
    </row>
    <row r="117" hidden="1">
      <c r="A117" s="162" t="s">
        <v>75</v>
      </c>
      <c r="B117" s="163">
        <v>6.0</v>
      </c>
      <c r="C117" s="163">
        <f t="shared" si="49"/>
        <v>18</v>
      </c>
      <c r="D117" s="159">
        <f t="shared" si="50"/>
        <v>19</v>
      </c>
      <c r="E117" s="140">
        <v>16.0</v>
      </c>
      <c r="F117" s="140"/>
      <c r="G117" s="140"/>
      <c r="H117" s="140"/>
      <c r="I117" s="140"/>
      <c r="J117" s="140">
        <v>3.0</v>
      </c>
      <c r="K117" s="140"/>
      <c r="L117" s="140"/>
      <c r="M117" s="140"/>
      <c r="N117" s="140"/>
    </row>
    <row r="118" hidden="1">
      <c r="A118" s="162" t="s">
        <v>76</v>
      </c>
      <c r="B118" s="163">
        <v>7.0</v>
      </c>
      <c r="C118" s="163">
        <f t="shared" si="49"/>
        <v>21</v>
      </c>
      <c r="D118" s="159">
        <f t="shared" si="50"/>
        <v>20</v>
      </c>
      <c r="E118" s="140">
        <v>17.0</v>
      </c>
      <c r="F118" s="140"/>
      <c r="G118" s="140"/>
      <c r="H118" s="140"/>
      <c r="I118" s="140"/>
      <c r="J118" s="140">
        <v>3.0</v>
      </c>
      <c r="K118" s="140"/>
      <c r="L118" s="140"/>
      <c r="M118" s="140"/>
      <c r="N118" s="140"/>
    </row>
    <row r="119" hidden="1">
      <c r="A119" s="162" t="s">
        <v>77</v>
      </c>
      <c r="B119" s="163">
        <v>6.0</v>
      </c>
      <c r="C119" s="163">
        <f t="shared" si="49"/>
        <v>18</v>
      </c>
      <c r="D119" s="159">
        <f t="shared" si="50"/>
        <v>18</v>
      </c>
      <c r="E119" s="140">
        <v>15.0</v>
      </c>
      <c r="F119" s="140"/>
      <c r="G119" s="140"/>
      <c r="H119" s="140"/>
      <c r="I119" s="140"/>
      <c r="J119" s="140">
        <v>3.0</v>
      </c>
      <c r="K119" s="140"/>
      <c r="L119" s="140"/>
      <c r="M119" s="140"/>
      <c r="N119" s="140"/>
    </row>
    <row r="120" hidden="1">
      <c r="A120" s="127" t="s">
        <v>172</v>
      </c>
      <c r="B120" s="99"/>
      <c r="C120" s="164">
        <f t="shared" ref="C120:N120" si="51">SUM(C114:C119)</f>
        <v>120</v>
      </c>
      <c r="D120" s="161">
        <f t="shared" si="51"/>
        <v>124</v>
      </c>
      <c r="E120" s="165">
        <f t="shared" si="51"/>
        <v>80</v>
      </c>
      <c r="F120" s="165">
        <f t="shared" si="51"/>
        <v>0</v>
      </c>
      <c r="G120" s="165">
        <f t="shared" si="51"/>
        <v>26</v>
      </c>
      <c r="H120" s="165">
        <f t="shared" si="51"/>
        <v>0</v>
      </c>
      <c r="I120" s="165">
        <f t="shared" si="51"/>
        <v>0</v>
      </c>
      <c r="J120" s="165">
        <f t="shared" si="51"/>
        <v>18</v>
      </c>
      <c r="K120" s="165">
        <f t="shared" si="51"/>
        <v>0</v>
      </c>
      <c r="L120" s="165">
        <f t="shared" si="51"/>
        <v>0</v>
      </c>
      <c r="M120" s="165">
        <f t="shared" si="51"/>
        <v>0</v>
      </c>
      <c r="N120" s="165">
        <f t="shared" si="51"/>
        <v>0</v>
      </c>
    </row>
    <row r="121" hidden="1">
      <c r="A121" s="86"/>
      <c r="B121" s="99"/>
      <c r="C121" s="134">
        <f t="shared" ref="C121:D121" si="52">SUM(C113,C120)</f>
        <v>204</v>
      </c>
      <c r="D121" s="134">
        <f t="shared" si="52"/>
        <v>213</v>
      </c>
      <c r="E121" s="99">
        <f t="shared" ref="E121:N121" si="53">SUM(E109:E119)</f>
        <v>109</v>
      </c>
      <c r="F121" s="99">
        <f t="shared" si="53"/>
        <v>0</v>
      </c>
      <c r="G121" s="99">
        <f t="shared" si="53"/>
        <v>31</v>
      </c>
      <c r="H121" s="99">
        <f t="shared" si="53"/>
        <v>0</v>
      </c>
      <c r="I121" s="99">
        <f t="shared" si="53"/>
        <v>0</v>
      </c>
      <c r="J121" s="99">
        <f t="shared" si="53"/>
        <v>48</v>
      </c>
      <c r="K121" s="99">
        <f t="shared" si="53"/>
        <v>6</v>
      </c>
      <c r="L121" s="99">
        <f t="shared" si="53"/>
        <v>5</v>
      </c>
      <c r="M121" s="99">
        <f t="shared" si="53"/>
        <v>5</v>
      </c>
      <c r="N121" s="99">
        <f t="shared" si="53"/>
        <v>9</v>
      </c>
    </row>
    <row r="123" hidden="1">
      <c r="A123" s="127" t="s">
        <v>184</v>
      </c>
      <c r="B123" s="153">
        <f>SUM(B124:B125)</f>
        <v>198</v>
      </c>
      <c r="C123" s="129"/>
      <c r="D123" s="88"/>
      <c r="E123" s="88"/>
    </row>
    <row r="124" hidden="1">
      <c r="A124" s="144" t="str">
        <f>"Capacity SA"</f>
        <v>Capacity SA</v>
      </c>
      <c r="B124" s="128">
        <f>SUM(C136:C139)</f>
        <v>75</v>
      </c>
      <c r="C124" s="129"/>
      <c r="D124" s="88"/>
      <c r="E124" s="88"/>
    </row>
    <row r="125" hidden="1">
      <c r="A125" s="144" t="str">
        <f>"Capacity DEV"</f>
        <v>Capacity DEV</v>
      </c>
      <c r="B125" s="154">
        <f>SUM(C141:C146)</f>
        <v>123</v>
      </c>
      <c r="C125" s="131"/>
      <c r="D125" s="132"/>
      <c r="I125" s="132"/>
      <c r="J125" s="151"/>
    </row>
    <row r="126" hidden="1">
      <c r="A126" s="133" t="s">
        <v>155</v>
      </c>
      <c r="B126" s="134">
        <f>SUM(F147:K147)</f>
        <v>58</v>
      </c>
      <c r="C126" s="131"/>
      <c r="D126" s="132"/>
      <c r="I126" s="132"/>
      <c r="J126" s="151"/>
    </row>
    <row r="127" hidden="1">
      <c r="A127" s="133" t="s">
        <v>156</v>
      </c>
      <c r="B127" s="131">
        <f>B125-B126</f>
        <v>65</v>
      </c>
      <c r="C127" s="131">
        <f>SUM(E141:E146)</f>
        <v>73</v>
      </c>
      <c r="D127" s="132"/>
      <c r="I127" s="132"/>
      <c r="J127" s="151"/>
    </row>
    <row r="128" hidden="1">
      <c r="A128" s="135" t="s">
        <v>48</v>
      </c>
      <c r="B128" s="129"/>
      <c r="C128" s="129"/>
      <c r="D128" s="88"/>
      <c r="E128" s="88"/>
    </row>
    <row r="129" hidden="1">
      <c r="A129" s="135" t="s">
        <v>44</v>
      </c>
      <c r="B129" s="129" t="str">
        <f>F146</f>
        <v/>
      </c>
      <c r="C129" s="129"/>
      <c r="D129" s="88"/>
      <c r="E129" s="88"/>
    </row>
    <row r="130" hidden="1">
      <c r="A130" s="135" t="s">
        <v>157</v>
      </c>
      <c r="B130" s="129" t="str">
        <f>G146</f>
        <v/>
      </c>
      <c r="C130" s="129"/>
      <c r="D130" s="88"/>
      <c r="E130" s="88"/>
    </row>
    <row r="131" hidden="1">
      <c r="A131" s="135" t="s">
        <v>158</v>
      </c>
      <c r="B131" s="129" t="str">
        <f>I146</f>
        <v/>
      </c>
      <c r="C131" s="129"/>
      <c r="D131" s="88"/>
      <c r="E131" s="88"/>
    </row>
    <row r="132" hidden="1">
      <c r="A132" s="135" t="s">
        <v>159</v>
      </c>
      <c r="B132" s="129" t="str">
        <f>K146</f>
        <v/>
      </c>
      <c r="C132" s="129"/>
      <c r="D132" s="88"/>
      <c r="E132" s="88"/>
    </row>
    <row r="133" hidden="1">
      <c r="A133" s="135" t="s">
        <v>176</v>
      </c>
      <c r="B133" s="129"/>
      <c r="C133" s="129"/>
      <c r="D133" s="88"/>
      <c r="E133" s="88"/>
    </row>
    <row r="134" hidden="1">
      <c r="A134" s="135" t="s">
        <v>160</v>
      </c>
      <c r="B134" s="129"/>
      <c r="C134" s="129"/>
      <c r="D134" s="88"/>
      <c r="E134" s="88"/>
    </row>
    <row r="135" hidden="1">
      <c r="A135" s="152" t="s">
        <v>162</v>
      </c>
      <c r="B135" s="166" t="s">
        <v>163</v>
      </c>
      <c r="C135" s="155" t="s">
        <v>164</v>
      </c>
      <c r="D135" s="156" t="s">
        <v>165</v>
      </c>
      <c r="E135" s="152" t="s">
        <v>177</v>
      </c>
      <c r="F135" s="152" t="s">
        <v>178</v>
      </c>
      <c r="G135" s="152" t="s">
        <v>157</v>
      </c>
      <c r="H135" s="152" t="s">
        <v>158</v>
      </c>
      <c r="I135" s="152" t="s">
        <v>159</v>
      </c>
      <c r="J135" s="152" t="s">
        <v>176</v>
      </c>
      <c r="K135" s="152" t="s">
        <v>160</v>
      </c>
      <c r="L135" s="152" t="s">
        <v>180</v>
      </c>
      <c r="M135" s="152" t="s">
        <v>182</v>
      </c>
      <c r="N135" s="152" t="s">
        <v>183</v>
      </c>
      <c r="O135" s="152" t="s">
        <v>68</v>
      </c>
    </row>
    <row r="136" hidden="1">
      <c r="A136" s="157" t="s">
        <v>30</v>
      </c>
      <c r="B136" s="158">
        <v>7.0</v>
      </c>
      <c r="C136" s="158">
        <f t="shared" ref="C136:C139" si="54">3*B136</f>
        <v>21</v>
      </c>
      <c r="D136" s="159">
        <f t="shared" ref="D136:D139" si="55">SUM(E136:O136)</f>
        <v>23</v>
      </c>
      <c r="E136" s="140"/>
      <c r="F136" s="140"/>
      <c r="G136" s="140"/>
      <c r="H136" s="171"/>
      <c r="I136" s="171"/>
      <c r="J136" s="140">
        <v>13.0</v>
      </c>
      <c r="K136" s="140">
        <v>1.0</v>
      </c>
      <c r="L136" s="140">
        <v>9.0</v>
      </c>
      <c r="M136" s="171"/>
      <c r="N136" s="140"/>
      <c r="O136" s="140"/>
    </row>
    <row r="137" hidden="1">
      <c r="A137" s="157" t="s">
        <v>72</v>
      </c>
      <c r="B137" s="158">
        <v>5.0</v>
      </c>
      <c r="C137" s="158">
        <f t="shared" si="54"/>
        <v>15</v>
      </c>
      <c r="D137" s="159">
        <f t="shared" si="55"/>
        <v>18</v>
      </c>
      <c r="E137" s="140">
        <v>18.0</v>
      </c>
      <c r="F137" s="140"/>
      <c r="G137" s="140"/>
      <c r="H137" s="171"/>
      <c r="I137" s="171"/>
      <c r="J137" s="140"/>
      <c r="K137" s="140"/>
      <c r="L137" s="140"/>
      <c r="M137" s="171"/>
      <c r="N137" s="140"/>
      <c r="O137" s="140"/>
    </row>
    <row r="138" hidden="1">
      <c r="A138" s="157" t="s">
        <v>24</v>
      </c>
      <c r="B138" s="158">
        <v>6.0</v>
      </c>
      <c r="C138" s="158">
        <f t="shared" si="54"/>
        <v>18</v>
      </c>
      <c r="D138" s="159">
        <f t="shared" si="55"/>
        <v>19</v>
      </c>
      <c r="E138" s="140"/>
      <c r="F138" s="140">
        <v>3.0</v>
      </c>
      <c r="G138" s="140">
        <v>8.0</v>
      </c>
      <c r="H138" s="171"/>
      <c r="I138" s="171"/>
      <c r="J138" s="140">
        <v>8.0</v>
      </c>
      <c r="K138" s="140"/>
      <c r="L138" s="140"/>
      <c r="M138" s="171"/>
      <c r="N138" s="140"/>
      <c r="O138" s="140"/>
    </row>
    <row r="139" hidden="1">
      <c r="A139" s="157" t="s">
        <v>28</v>
      </c>
      <c r="B139" s="158">
        <v>7.0</v>
      </c>
      <c r="C139" s="158">
        <f t="shared" si="54"/>
        <v>21</v>
      </c>
      <c r="D139" s="159">
        <f t="shared" si="55"/>
        <v>20</v>
      </c>
      <c r="E139" s="140">
        <v>8.0</v>
      </c>
      <c r="F139" s="140"/>
      <c r="G139" s="140"/>
      <c r="H139" s="171"/>
      <c r="I139" s="171"/>
      <c r="J139" s="140"/>
      <c r="K139" s="140">
        <v>3.0</v>
      </c>
      <c r="L139" s="140"/>
      <c r="M139" s="171"/>
      <c r="N139" s="140">
        <v>9.0</v>
      </c>
      <c r="O139" s="140"/>
    </row>
    <row r="140" hidden="1">
      <c r="A140" s="157"/>
      <c r="B140" s="158"/>
      <c r="C140" s="160">
        <f t="shared" ref="C140:D140" si="56">SUM(C136:C139)</f>
        <v>75</v>
      </c>
      <c r="D140" s="161">
        <f t="shared" si="56"/>
        <v>80</v>
      </c>
      <c r="E140" s="140"/>
      <c r="F140" s="140"/>
      <c r="G140" s="140"/>
      <c r="H140" s="171"/>
      <c r="I140" s="171"/>
      <c r="J140" s="140"/>
      <c r="K140" s="140"/>
      <c r="L140" s="140"/>
      <c r="M140" s="171"/>
      <c r="N140" s="140"/>
      <c r="O140" s="140"/>
    </row>
    <row r="141" hidden="1">
      <c r="A141" s="162" t="s">
        <v>32</v>
      </c>
      <c r="B141" s="163">
        <v>6.0</v>
      </c>
      <c r="C141" s="163">
        <f t="shared" ref="C141:C146" si="57">3*B141</f>
        <v>18</v>
      </c>
      <c r="D141" s="143">
        <f t="shared" ref="D141:D146" si="58">SUM(E141:O141)</f>
        <v>16</v>
      </c>
      <c r="E141" s="140">
        <v>12.0</v>
      </c>
      <c r="F141" s="140"/>
      <c r="G141" s="140"/>
      <c r="H141" s="171"/>
      <c r="I141" s="171"/>
      <c r="J141" s="140"/>
      <c r="K141" s="140"/>
      <c r="L141" s="140"/>
      <c r="M141" s="171"/>
      <c r="N141" s="140"/>
      <c r="O141" s="140">
        <v>4.0</v>
      </c>
    </row>
    <row r="142" hidden="1">
      <c r="A142" s="162" t="s">
        <v>74</v>
      </c>
      <c r="B142" s="163">
        <v>7.0</v>
      </c>
      <c r="C142" s="163">
        <f t="shared" si="57"/>
        <v>21</v>
      </c>
      <c r="D142" s="143">
        <f t="shared" si="58"/>
        <v>19</v>
      </c>
      <c r="E142" s="140">
        <v>8.0</v>
      </c>
      <c r="F142" s="140"/>
      <c r="G142" s="140">
        <v>11.0</v>
      </c>
      <c r="H142" s="171"/>
      <c r="I142" s="171"/>
      <c r="J142" s="140"/>
      <c r="K142" s="140"/>
      <c r="L142" s="140"/>
      <c r="M142" s="171"/>
      <c r="N142" s="140"/>
      <c r="O142" s="140"/>
    </row>
    <row r="143" hidden="1">
      <c r="A143" s="162" t="s">
        <v>73</v>
      </c>
      <c r="B143" s="163">
        <v>7.0</v>
      </c>
      <c r="C143" s="163">
        <f t="shared" si="57"/>
        <v>21</v>
      </c>
      <c r="D143" s="143">
        <f t="shared" si="58"/>
        <v>16</v>
      </c>
      <c r="E143" s="140">
        <v>10.0</v>
      </c>
      <c r="F143" s="140"/>
      <c r="G143" s="140"/>
      <c r="H143" s="171"/>
      <c r="I143" s="171"/>
      <c r="J143" s="140">
        <v>5.0</v>
      </c>
      <c r="K143" s="140">
        <v>1.0</v>
      </c>
      <c r="L143" s="140"/>
      <c r="M143" s="171"/>
      <c r="N143" s="140"/>
      <c r="O143" s="140"/>
    </row>
    <row r="144" hidden="1">
      <c r="A144" s="162" t="s">
        <v>75</v>
      </c>
      <c r="B144" s="163">
        <v>7.0</v>
      </c>
      <c r="C144" s="163">
        <f t="shared" si="57"/>
        <v>21</v>
      </c>
      <c r="D144" s="143">
        <f t="shared" si="58"/>
        <v>16</v>
      </c>
      <c r="E144" s="140">
        <v>16.0</v>
      </c>
      <c r="F144" s="140"/>
      <c r="G144" s="140"/>
      <c r="H144" s="171"/>
      <c r="I144" s="171"/>
      <c r="J144" s="140"/>
      <c r="K144" s="140"/>
      <c r="L144" s="140"/>
      <c r="M144" s="171"/>
      <c r="N144" s="140"/>
      <c r="O144" s="140"/>
    </row>
    <row r="145" hidden="1">
      <c r="A145" s="162" t="s">
        <v>76</v>
      </c>
      <c r="B145" s="163">
        <v>7.0</v>
      </c>
      <c r="C145" s="163">
        <f t="shared" si="57"/>
        <v>21</v>
      </c>
      <c r="D145" s="143">
        <f t="shared" si="58"/>
        <v>17</v>
      </c>
      <c r="E145" s="140">
        <v>17.0</v>
      </c>
      <c r="F145" s="140"/>
      <c r="G145" s="140"/>
      <c r="H145" s="171"/>
      <c r="I145" s="171"/>
      <c r="J145" s="140"/>
      <c r="K145" s="140"/>
      <c r="L145" s="140"/>
      <c r="M145" s="171"/>
      <c r="N145" s="140"/>
      <c r="O145" s="140"/>
    </row>
    <row r="146" hidden="1">
      <c r="A146" s="162" t="s">
        <v>77</v>
      </c>
      <c r="B146" s="163">
        <v>7.0</v>
      </c>
      <c r="C146" s="163">
        <f t="shared" si="57"/>
        <v>21</v>
      </c>
      <c r="D146" s="143">
        <f t="shared" si="58"/>
        <v>18</v>
      </c>
      <c r="E146" s="140">
        <v>10.0</v>
      </c>
      <c r="F146" s="140"/>
      <c r="G146" s="140"/>
      <c r="H146" s="171"/>
      <c r="I146" s="171"/>
      <c r="J146" s="140">
        <v>5.0</v>
      </c>
      <c r="K146" s="140"/>
      <c r="L146" s="140"/>
      <c r="M146" s="171"/>
      <c r="N146" s="140"/>
      <c r="O146" s="140">
        <v>3.0</v>
      </c>
    </row>
    <row r="147" hidden="1">
      <c r="A147" s="127" t="s">
        <v>172</v>
      </c>
      <c r="B147" s="99"/>
      <c r="C147" s="164">
        <f t="shared" ref="C147:D147" si="59">SUM(C141:C146)</f>
        <v>123</v>
      </c>
      <c r="D147" s="161">
        <f t="shared" si="59"/>
        <v>102</v>
      </c>
      <c r="E147" s="165">
        <f t="shared" ref="E147:K147" si="60">SUM(E136:E146)</f>
        <v>99</v>
      </c>
      <c r="F147" s="165">
        <f t="shared" si="60"/>
        <v>3</v>
      </c>
      <c r="G147" s="165">
        <f t="shared" si="60"/>
        <v>19</v>
      </c>
      <c r="H147" s="165">
        <f t="shared" si="60"/>
        <v>0</v>
      </c>
      <c r="I147" s="165">
        <f t="shared" si="60"/>
        <v>0</v>
      </c>
      <c r="J147" s="165">
        <f t="shared" si="60"/>
        <v>31</v>
      </c>
      <c r="K147" s="165">
        <f t="shared" si="60"/>
        <v>5</v>
      </c>
      <c r="L147" s="165">
        <f t="shared" ref="L147:O147" si="61">SUM(L141:L146)</f>
        <v>0</v>
      </c>
      <c r="M147" s="165">
        <f t="shared" si="61"/>
        <v>0</v>
      </c>
      <c r="N147" s="165">
        <f t="shared" si="61"/>
        <v>0</v>
      </c>
      <c r="O147" s="165">
        <f t="shared" si="61"/>
        <v>7</v>
      </c>
    </row>
    <row r="148" hidden="1">
      <c r="A148" s="86"/>
      <c r="B148" s="99"/>
      <c r="C148" s="134">
        <f t="shared" ref="C148:D148" si="62">SUM(C140,C147)</f>
        <v>198</v>
      </c>
      <c r="D148" s="134">
        <f t="shared" si="62"/>
        <v>182</v>
      </c>
      <c r="E148" s="99">
        <f t="shared" ref="E148:O148" si="63">SUM(E136:E146)</f>
        <v>99</v>
      </c>
      <c r="F148" s="99">
        <f t="shared" si="63"/>
        <v>3</v>
      </c>
      <c r="G148" s="99">
        <f t="shared" si="63"/>
        <v>19</v>
      </c>
      <c r="H148" s="99">
        <f t="shared" si="63"/>
        <v>0</v>
      </c>
      <c r="I148" s="99">
        <f t="shared" si="63"/>
        <v>0</v>
      </c>
      <c r="J148" s="99">
        <f t="shared" si="63"/>
        <v>31</v>
      </c>
      <c r="K148" s="99">
        <f t="shared" si="63"/>
        <v>5</v>
      </c>
      <c r="L148" s="99">
        <f t="shared" si="63"/>
        <v>9</v>
      </c>
      <c r="M148" s="99">
        <f t="shared" si="63"/>
        <v>0</v>
      </c>
      <c r="N148" s="99">
        <f t="shared" si="63"/>
        <v>9</v>
      </c>
      <c r="O148" s="99">
        <f t="shared" si="63"/>
        <v>7</v>
      </c>
    </row>
    <row r="150" hidden="1">
      <c r="A150" s="127" t="s">
        <v>185</v>
      </c>
      <c r="B150" s="153">
        <f>SUM(B151:B152)</f>
        <v>222</v>
      </c>
      <c r="C150" s="129"/>
      <c r="D150" s="88"/>
      <c r="E150" s="88"/>
    </row>
    <row r="151" hidden="1">
      <c r="A151" s="144" t="str">
        <f>"Capacity SA"</f>
        <v>Capacity SA</v>
      </c>
      <c r="B151" s="128">
        <f>SUM(C164:C167)</f>
        <v>93</v>
      </c>
      <c r="C151" s="129"/>
      <c r="D151" s="88"/>
      <c r="E151" s="88"/>
    </row>
    <row r="152" hidden="1">
      <c r="A152" s="144" t="str">
        <f>"Capacity DEV"</f>
        <v>Capacity DEV</v>
      </c>
      <c r="B152" s="154">
        <f>SUM(C169:C174)</f>
        <v>129</v>
      </c>
      <c r="C152" s="131"/>
      <c r="D152" s="132"/>
      <c r="I152" s="132"/>
      <c r="J152" s="151"/>
    </row>
    <row r="153" hidden="1">
      <c r="A153" s="133" t="s">
        <v>155</v>
      </c>
      <c r="B153" s="134">
        <f>SUM(F174,G174,I174,J174)</f>
        <v>7</v>
      </c>
      <c r="C153" s="131"/>
      <c r="D153" s="132"/>
      <c r="I153" s="132"/>
      <c r="J153" s="151"/>
    </row>
    <row r="154" hidden="1">
      <c r="A154" s="133" t="s">
        <v>156</v>
      </c>
      <c r="B154" s="131">
        <f>B152-B153</f>
        <v>122</v>
      </c>
      <c r="C154" s="131">
        <f>SUM(E169:E174)</f>
        <v>19</v>
      </c>
      <c r="D154" s="132"/>
      <c r="I154" s="132"/>
      <c r="J154" s="151"/>
    </row>
    <row r="155" hidden="1">
      <c r="A155" s="135" t="s">
        <v>48</v>
      </c>
      <c r="B155" s="129">
        <f>E174</f>
        <v>6</v>
      </c>
      <c r="C155" s="129"/>
      <c r="D155" s="88"/>
      <c r="E155" s="88"/>
    </row>
    <row r="156" hidden="1">
      <c r="A156" s="135" t="s">
        <v>44</v>
      </c>
      <c r="B156" s="129" t="str">
        <f>F174</f>
        <v/>
      </c>
      <c r="C156" s="129"/>
      <c r="D156" s="88"/>
      <c r="E156" s="88"/>
    </row>
    <row r="157" hidden="1">
      <c r="A157" s="135" t="s">
        <v>157</v>
      </c>
      <c r="B157" s="129" t="str">
        <f>G174</f>
        <v/>
      </c>
      <c r="C157" s="129"/>
      <c r="D157" s="88"/>
      <c r="E157" s="88"/>
    </row>
    <row r="158" hidden="1">
      <c r="A158" s="135" t="s">
        <v>158</v>
      </c>
      <c r="B158" s="129" t="str">
        <f>I174</f>
        <v/>
      </c>
      <c r="C158" s="129"/>
      <c r="D158" s="88"/>
      <c r="E158" s="88"/>
    </row>
    <row r="159" hidden="1">
      <c r="A159" s="135" t="s">
        <v>159</v>
      </c>
      <c r="B159" s="129" t="str">
        <f>K174</f>
        <v/>
      </c>
      <c r="C159" s="129"/>
      <c r="D159" s="88"/>
      <c r="E159" s="88"/>
    </row>
    <row r="160" hidden="1">
      <c r="A160" s="135" t="s">
        <v>176</v>
      </c>
      <c r="B160" s="129"/>
      <c r="C160" s="129"/>
      <c r="D160" s="88"/>
      <c r="E160" s="88"/>
    </row>
    <row r="161" hidden="1">
      <c r="A161" s="135" t="s">
        <v>160</v>
      </c>
      <c r="B161" s="129"/>
      <c r="C161" s="129"/>
      <c r="D161" s="88"/>
      <c r="E161" s="88"/>
    </row>
    <row r="162" hidden="1">
      <c r="A162" s="152"/>
      <c r="B162" s="172"/>
      <c r="C162" s="173"/>
      <c r="D162" s="174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</row>
    <row r="163" hidden="1">
      <c r="A163" s="152" t="s">
        <v>162</v>
      </c>
      <c r="B163" s="166" t="s">
        <v>163</v>
      </c>
      <c r="C163" s="155" t="s">
        <v>164</v>
      </c>
      <c r="D163" s="156" t="s">
        <v>165</v>
      </c>
      <c r="E163" s="152" t="s">
        <v>177</v>
      </c>
      <c r="F163" s="152" t="s">
        <v>178</v>
      </c>
      <c r="G163" s="152" t="s">
        <v>157</v>
      </c>
      <c r="H163" s="152" t="s">
        <v>158</v>
      </c>
      <c r="I163" s="152" t="s">
        <v>159</v>
      </c>
      <c r="J163" s="152" t="s">
        <v>176</v>
      </c>
      <c r="K163" s="152" t="s">
        <v>160</v>
      </c>
      <c r="L163" s="152" t="s">
        <v>180</v>
      </c>
      <c r="M163" s="152" t="s">
        <v>182</v>
      </c>
      <c r="N163" s="152" t="s">
        <v>183</v>
      </c>
      <c r="O163" s="152" t="s">
        <v>68</v>
      </c>
    </row>
    <row r="164" hidden="1">
      <c r="A164" s="157" t="s">
        <v>30</v>
      </c>
      <c r="B164" s="158">
        <v>8.0</v>
      </c>
      <c r="C164" s="158">
        <f t="shared" ref="C164:C167" si="64">3*B164</f>
        <v>24</v>
      </c>
      <c r="D164" s="159">
        <f t="shared" ref="D164:D167" si="65">SUM(E164:O164)</f>
        <v>24</v>
      </c>
      <c r="E164" s="140"/>
      <c r="F164" s="140"/>
      <c r="G164" s="140"/>
      <c r="H164" s="140"/>
      <c r="I164" s="140"/>
      <c r="J164" s="140">
        <v>12.0</v>
      </c>
      <c r="K164" s="140"/>
      <c r="L164" s="140">
        <v>12.0</v>
      </c>
      <c r="M164" s="140"/>
      <c r="N164" s="140"/>
      <c r="O164" s="140"/>
    </row>
    <row r="165" hidden="1">
      <c r="A165" s="157" t="s">
        <v>72</v>
      </c>
      <c r="B165" s="158">
        <v>7.0</v>
      </c>
      <c r="C165" s="158">
        <f t="shared" si="64"/>
        <v>21</v>
      </c>
      <c r="D165" s="159">
        <f t="shared" si="65"/>
        <v>21</v>
      </c>
      <c r="E165" s="140">
        <v>12.0</v>
      </c>
      <c r="F165" s="140"/>
      <c r="G165" s="140"/>
      <c r="H165" s="140"/>
      <c r="I165" s="140"/>
      <c r="J165" s="140">
        <v>6.0</v>
      </c>
      <c r="K165" s="140">
        <v>3.0</v>
      </c>
      <c r="L165" s="140"/>
      <c r="M165" s="140"/>
      <c r="N165" s="140"/>
      <c r="O165" s="140"/>
    </row>
    <row r="166" hidden="1">
      <c r="A166" s="157" t="s">
        <v>24</v>
      </c>
      <c r="B166" s="158">
        <v>8.0</v>
      </c>
      <c r="C166" s="158">
        <f t="shared" si="64"/>
        <v>24</v>
      </c>
      <c r="D166" s="143">
        <f t="shared" si="65"/>
        <v>23</v>
      </c>
      <c r="E166" s="140">
        <v>8.0</v>
      </c>
      <c r="F166" s="140"/>
      <c r="G166" s="140">
        <v>5.0</v>
      </c>
      <c r="H166" s="140"/>
      <c r="I166" s="140"/>
      <c r="J166" s="140">
        <v>10.0</v>
      </c>
      <c r="K166" s="140"/>
      <c r="L166" s="140"/>
      <c r="M166" s="140"/>
      <c r="N166" s="140"/>
      <c r="O166" s="140"/>
    </row>
    <row r="167" hidden="1">
      <c r="A167" s="157" t="s">
        <v>28</v>
      </c>
      <c r="B167" s="158">
        <v>8.0</v>
      </c>
      <c r="C167" s="158">
        <f t="shared" si="64"/>
        <v>24</v>
      </c>
      <c r="D167" s="159">
        <f t="shared" si="65"/>
        <v>24</v>
      </c>
      <c r="E167" s="140">
        <v>12.0</v>
      </c>
      <c r="F167" s="140"/>
      <c r="G167" s="140"/>
      <c r="H167" s="140"/>
      <c r="I167" s="140"/>
      <c r="J167" s="140"/>
      <c r="K167" s="140"/>
      <c r="L167" s="140"/>
      <c r="M167" s="140"/>
      <c r="N167" s="140">
        <v>12.0</v>
      </c>
      <c r="O167" s="140"/>
    </row>
    <row r="168" hidden="1">
      <c r="A168" s="157"/>
      <c r="B168" s="158"/>
      <c r="C168" s="160">
        <f t="shared" ref="C168:D168" si="66">SUM(C164:C167)</f>
        <v>93</v>
      </c>
      <c r="D168" s="161">
        <f t="shared" si="66"/>
        <v>92</v>
      </c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</row>
    <row r="169" hidden="1">
      <c r="A169" s="162" t="s">
        <v>32</v>
      </c>
      <c r="B169" s="163">
        <v>7.0</v>
      </c>
      <c r="C169" s="163">
        <f t="shared" ref="C169:C174" si="67">3*B169</f>
        <v>21</v>
      </c>
      <c r="D169" s="143">
        <f t="shared" ref="D169:D174" si="68">SUM(E169:O169)</f>
        <v>19</v>
      </c>
      <c r="E169" s="140"/>
      <c r="F169" s="140"/>
      <c r="G169" s="140"/>
      <c r="H169" s="140"/>
      <c r="I169" s="140"/>
      <c r="J169" s="140">
        <v>6.0</v>
      </c>
      <c r="K169" s="140"/>
      <c r="L169" s="140">
        <v>5.0</v>
      </c>
      <c r="M169" s="140"/>
      <c r="N169" s="140"/>
      <c r="O169" s="140">
        <v>8.0</v>
      </c>
    </row>
    <row r="170" hidden="1">
      <c r="A170" s="162" t="s">
        <v>74</v>
      </c>
      <c r="B170" s="163">
        <v>8.0</v>
      </c>
      <c r="C170" s="163">
        <f t="shared" si="67"/>
        <v>24</v>
      </c>
      <c r="D170" s="143">
        <f t="shared" si="68"/>
        <v>22</v>
      </c>
      <c r="E170" s="140"/>
      <c r="F170" s="140"/>
      <c r="G170" s="140">
        <v>2.0</v>
      </c>
      <c r="H170" s="140"/>
      <c r="I170" s="140"/>
      <c r="J170" s="140"/>
      <c r="K170" s="140"/>
      <c r="L170" s="140">
        <v>8.0</v>
      </c>
      <c r="M170" s="140"/>
      <c r="N170" s="140"/>
      <c r="O170" s="140">
        <v>12.0</v>
      </c>
    </row>
    <row r="171" hidden="1">
      <c r="A171" s="162" t="s">
        <v>73</v>
      </c>
      <c r="B171" s="163">
        <v>4.0</v>
      </c>
      <c r="C171" s="163">
        <f t="shared" si="67"/>
        <v>12</v>
      </c>
      <c r="D171" s="159">
        <f t="shared" si="68"/>
        <v>12</v>
      </c>
      <c r="E171" s="140"/>
      <c r="F171" s="140"/>
      <c r="G171" s="140"/>
      <c r="H171" s="140"/>
      <c r="I171" s="140"/>
      <c r="J171" s="140">
        <v>12.0</v>
      </c>
      <c r="K171" s="140"/>
      <c r="L171" s="140"/>
      <c r="M171" s="140"/>
      <c r="N171" s="140"/>
      <c r="O171" s="140"/>
    </row>
    <row r="172" hidden="1">
      <c r="A172" s="162" t="s">
        <v>75</v>
      </c>
      <c r="B172" s="163">
        <v>8.0</v>
      </c>
      <c r="C172" s="163">
        <f t="shared" si="67"/>
        <v>24</v>
      </c>
      <c r="D172" s="143">
        <f t="shared" si="68"/>
        <v>26</v>
      </c>
      <c r="E172" s="140">
        <v>10.0</v>
      </c>
      <c r="F172" s="140"/>
      <c r="G172" s="140"/>
      <c r="H172" s="140"/>
      <c r="I172" s="140"/>
      <c r="J172" s="140">
        <v>8.0</v>
      </c>
      <c r="K172" s="140"/>
      <c r="L172" s="140"/>
      <c r="M172" s="140"/>
      <c r="N172" s="140"/>
      <c r="O172" s="140">
        <v>8.0</v>
      </c>
    </row>
    <row r="173" hidden="1">
      <c r="A173" s="162" t="s">
        <v>76</v>
      </c>
      <c r="B173" s="163">
        <v>8.0</v>
      </c>
      <c r="C173" s="163">
        <f t="shared" si="67"/>
        <v>24</v>
      </c>
      <c r="D173" s="143">
        <f t="shared" si="68"/>
        <v>21</v>
      </c>
      <c r="E173" s="140">
        <v>3.0</v>
      </c>
      <c r="F173" s="140"/>
      <c r="G173" s="140"/>
      <c r="H173" s="140"/>
      <c r="I173" s="140"/>
      <c r="J173" s="140">
        <v>10.0</v>
      </c>
      <c r="K173" s="140"/>
      <c r="L173" s="140"/>
      <c r="M173" s="140"/>
      <c r="N173" s="140"/>
      <c r="O173" s="140">
        <v>8.0</v>
      </c>
    </row>
    <row r="174" hidden="1">
      <c r="A174" s="162" t="s">
        <v>77</v>
      </c>
      <c r="B174" s="163">
        <v>8.0</v>
      </c>
      <c r="C174" s="163">
        <f t="shared" si="67"/>
        <v>24</v>
      </c>
      <c r="D174" s="143">
        <f t="shared" si="68"/>
        <v>21</v>
      </c>
      <c r="E174" s="140">
        <v>6.0</v>
      </c>
      <c r="F174" s="140"/>
      <c r="G174" s="140"/>
      <c r="H174" s="140"/>
      <c r="I174" s="140"/>
      <c r="J174" s="140">
        <v>7.0</v>
      </c>
      <c r="K174" s="140"/>
      <c r="L174" s="140"/>
      <c r="M174" s="140"/>
      <c r="N174" s="140"/>
      <c r="O174" s="140">
        <v>8.0</v>
      </c>
    </row>
    <row r="175" hidden="1">
      <c r="A175" s="127" t="s">
        <v>172</v>
      </c>
      <c r="B175" s="99"/>
      <c r="C175" s="164">
        <f t="shared" ref="C175:D175" si="69">SUM(C169:C174)</f>
        <v>129</v>
      </c>
      <c r="D175" s="161">
        <f t="shared" si="69"/>
        <v>121</v>
      </c>
      <c r="E175" s="165">
        <f t="shared" ref="E175:K175" si="70">SUM(E164:E174)</f>
        <v>51</v>
      </c>
      <c r="F175" s="165">
        <f t="shared" si="70"/>
        <v>0</v>
      </c>
      <c r="G175" s="165">
        <f t="shared" si="70"/>
        <v>7</v>
      </c>
      <c r="H175" s="165">
        <f t="shared" si="70"/>
        <v>0</v>
      </c>
      <c r="I175" s="165">
        <f t="shared" si="70"/>
        <v>0</v>
      </c>
      <c r="J175" s="165">
        <f t="shared" si="70"/>
        <v>71</v>
      </c>
      <c r="K175" s="165">
        <f t="shared" si="70"/>
        <v>3</v>
      </c>
      <c r="L175" s="165">
        <f t="shared" ref="L175:O175" si="71">SUM(L169:L174)</f>
        <v>13</v>
      </c>
      <c r="M175" s="165">
        <f t="shared" si="71"/>
        <v>0</v>
      </c>
      <c r="N175" s="165">
        <f t="shared" si="71"/>
        <v>0</v>
      </c>
      <c r="O175" s="165">
        <f t="shared" si="71"/>
        <v>44</v>
      </c>
    </row>
    <row r="176" hidden="1">
      <c r="A176" s="86"/>
      <c r="B176" s="99"/>
      <c r="C176" s="134">
        <f t="shared" ref="C176:D176" si="72">SUM(C168,C175)</f>
        <v>222</v>
      </c>
      <c r="D176" s="134">
        <f t="shared" si="72"/>
        <v>213</v>
      </c>
      <c r="E176" s="99"/>
      <c r="F176" s="99"/>
      <c r="G176" s="99"/>
      <c r="H176" s="99"/>
      <c r="I176" s="99"/>
      <c r="J176" s="99"/>
      <c r="K176" s="99"/>
      <c r="L176" s="99"/>
      <c r="M176" s="99">
        <f t="shared" ref="M176:O176" si="73">SUM(M164:M174)</f>
        <v>0</v>
      </c>
      <c r="N176" s="99">
        <f t="shared" si="73"/>
        <v>12</v>
      </c>
      <c r="O176" s="99">
        <f t="shared" si="73"/>
        <v>44</v>
      </c>
    </row>
    <row r="178" hidden="1">
      <c r="A178" s="127" t="s">
        <v>186</v>
      </c>
      <c r="B178" s="153">
        <f>SUM(B179:B180)</f>
        <v>183</v>
      </c>
      <c r="C178" s="129"/>
      <c r="D178" s="88"/>
      <c r="E178" s="88"/>
    </row>
    <row r="179" hidden="1">
      <c r="A179" s="144" t="str">
        <f>"Capacity SA รวม "&amp;SUM(C197:C200)&amp;" SP"</f>
        <v>Capacity SA รวม 81 SP</v>
      </c>
      <c r="B179" s="128">
        <f>SUM(C191:C194)</f>
        <v>60</v>
      </c>
      <c r="C179" s="129"/>
      <c r="D179" s="88"/>
      <c r="E179" s="88"/>
    </row>
    <row r="180" hidden="1">
      <c r="A180" s="144" t="str">
        <f>"Capacity รวม "&amp;SUM(C195:C200)&amp;" SP"</f>
        <v>Capacity รวม 162 SP</v>
      </c>
      <c r="B180" s="154">
        <f>SUM(C196:C201)</f>
        <v>123</v>
      </c>
      <c r="C180" s="131"/>
      <c r="D180" s="132"/>
      <c r="I180" s="132"/>
      <c r="J180" s="151"/>
    </row>
    <row r="181" hidden="1">
      <c r="A181" s="133" t="s">
        <v>155</v>
      </c>
      <c r="B181" s="134">
        <f>SUM(F201,G201,I201,J201)</f>
        <v>0</v>
      </c>
      <c r="C181" s="131"/>
      <c r="D181" s="132"/>
      <c r="I181" s="132"/>
      <c r="J181" s="151"/>
    </row>
    <row r="182" hidden="1">
      <c r="A182" s="133" t="s">
        <v>156</v>
      </c>
      <c r="B182" s="131">
        <f>B180-B181</f>
        <v>123</v>
      </c>
      <c r="C182" s="131">
        <f>SUM(E196:E201)</f>
        <v>21</v>
      </c>
      <c r="D182" s="132"/>
      <c r="I182" s="132"/>
      <c r="J182" s="151"/>
    </row>
    <row r="183" hidden="1">
      <c r="A183" s="135" t="s">
        <v>48</v>
      </c>
      <c r="B183" s="129">
        <f>E201</f>
        <v>4</v>
      </c>
      <c r="C183" s="129">
        <v>0.0</v>
      </c>
      <c r="D183" s="88"/>
      <c r="E183" s="88"/>
    </row>
    <row r="184" hidden="1">
      <c r="A184" s="135" t="s">
        <v>44</v>
      </c>
      <c r="B184" s="129" t="str">
        <f>F201</f>
        <v/>
      </c>
      <c r="C184" s="129">
        <v>0.0</v>
      </c>
      <c r="D184" s="88"/>
      <c r="E184" s="88"/>
    </row>
    <row r="185" hidden="1">
      <c r="A185" s="135" t="s">
        <v>157</v>
      </c>
      <c r="B185" s="129" t="str">
        <f>G201</f>
        <v/>
      </c>
      <c r="C185" s="129">
        <v>0.0</v>
      </c>
      <c r="D185" s="88"/>
      <c r="E185" s="88"/>
    </row>
    <row r="186" hidden="1">
      <c r="A186" s="135" t="s">
        <v>158</v>
      </c>
      <c r="B186" s="129" t="str">
        <f>I201</f>
        <v/>
      </c>
      <c r="C186" s="129">
        <v>0.0</v>
      </c>
      <c r="D186" s="88"/>
      <c r="E186" s="88"/>
    </row>
    <row r="187" hidden="1">
      <c r="A187" s="135" t="s">
        <v>159</v>
      </c>
      <c r="B187" s="129" t="str">
        <f>K201</f>
        <v/>
      </c>
      <c r="C187" s="129">
        <v>0.0</v>
      </c>
      <c r="D187" s="88"/>
      <c r="E187" s="88"/>
    </row>
    <row r="188" hidden="1">
      <c r="A188" s="135" t="s">
        <v>176</v>
      </c>
      <c r="B188" s="129"/>
      <c r="C188" s="129"/>
      <c r="D188" s="88"/>
      <c r="E188" s="88"/>
    </row>
    <row r="189" hidden="1">
      <c r="A189" s="135" t="s">
        <v>160</v>
      </c>
      <c r="B189" s="129">
        <f>C201-D201</f>
        <v>10</v>
      </c>
      <c r="C189" s="129"/>
      <c r="D189" s="88"/>
      <c r="E189" s="88"/>
    </row>
    <row r="190" hidden="1">
      <c r="A190" s="152" t="s">
        <v>162</v>
      </c>
      <c r="B190" s="166" t="s">
        <v>163</v>
      </c>
      <c r="C190" s="155" t="s">
        <v>164</v>
      </c>
      <c r="D190" s="156" t="s">
        <v>165</v>
      </c>
      <c r="E190" s="152" t="s">
        <v>177</v>
      </c>
      <c r="F190" s="152" t="s">
        <v>178</v>
      </c>
      <c r="G190" s="152" t="s">
        <v>157</v>
      </c>
      <c r="H190" s="152" t="s">
        <v>158</v>
      </c>
      <c r="I190" s="152" t="s">
        <v>159</v>
      </c>
      <c r="J190" s="152" t="s">
        <v>176</v>
      </c>
      <c r="K190" s="152" t="s">
        <v>160</v>
      </c>
      <c r="L190" s="152" t="s">
        <v>180</v>
      </c>
      <c r="M190" s="152" t="s">
        <v>182</v>
      </c>
      <c r="N190" s="152" t="s">
        <v>183</v>
      </c>
      <c r="O190" s="152" t="s">
        <v>66</v>
      </c>
      <c r="P190" s="152" t="s">
        <v>187</v>
      </c>
      <c r="Q190" s="152" t="s">
        <v>68</v>
      </c>
      <c r="R190" s="152" t="s">
        <v>68</v>
      </c>
    </row>
    <row r="191" hidden="1">
      <c r="A191" s="157" t="s">
        <v>30</v>
      </c>
      <c r="B191" s="158">
        <v>5.0</v>
      </c>
      <c r="C191" s="158">
        <f t="shared" ref="C191:C194" si="74">3*B191</f>
        <v>15</v>
      </c>
      <c r="D191" s="159">
        <f t="shared" ref="D191:D194" si="75">SUM(E191:Q191)</f>
        <v>20</v>
      </c>
      <c r="E191" s="140">
        <v>4.0</v>
      </c>
      <c r="F191" s="140"/>
      <c r="G191" s="140"/>
      <c r="H191" s="140"/>
      <c r="I191" s="140"/>
      <c r="J191" s="140">
        <v>7.0</v>
      </c>
      <c r="K191" s="140"/>
      <c r="L191" s="140">
        <v>8.0</v>
      </c>
      <c r="M191" s="140"/>
      <c r="N191" s="140"/>
      <c r="O191" s="140"/>
      <c r="P191" s="140">
        <v>1.0</v>
      </c>
      <c r="Q191" s="140"/>
      <c r="R191" s="140"/>
    </row>
    <row r="192" hidden="1">
      <c r="A192" s="157" t="s">
        <v>72</v>
      </c>
      <c r="B192" s="158">
        <v>5.5</v>
      </c>
      <c r="C192" s="158">
        <f t="shared" si="74"/>
        <v>16.5</v>
      </c>
      <c r="D192" s="159">
        <f t="shared" si="75"/>
        <v>30</v>
      </c>
      <c r="E192" s="140"/>
      <c r="F192" s="140"/>
      <c r="G192" s="140"/>
      <c r="H192" s="140"/>
      <c r="I192" s="140"/>
      <c r="J192" s="140">
        <v>20.0</v>
      </c>
      <c r="K192" s="140"/>
      <c r="L192" s="140"/>
      <c r="M192" s="140"/>
      <c r="N192" s="140"/>
      <c r="O192" s="140"/>
      <c r="P192" s="140"/>
      <c r="Q192" s="140">
        <v>10.0</v>
      </c>
      <c r="R192" s="140"/>
    </row>
    <row r="193" hidden="1">
      <c r="A193" s="157" t="s">
        <v>24</v>
      </c>
      <c r="B193" s="158">
        <v>4.5</v>
      </c>
      <c r="C193" s="158">
        <f t="shared" si="74"/>
        <v>13.5</v>
      </c>
      <c r="D193" s="159">
        <f t="shared" si="75"/>
        <v>20</v>
      </c>
      <c r="E193" s="140"/>
      <c r="F193" s="140"/>
      <c r="G193" s="140">
        <v>8.0</v>
      </c>
      <c r="H193" s="140"/>
      <c r="I193" s="140"/>
      <c r="J193" s="140">
        <v>12.0</v>
      </c>
      <c r="K193" s="140"/>
      <c r="L193" s="140"/>
      <c r="M193" s="140"/>
      <c r="N193" s="140"/>
      <c r="O193" s="140"/>
      <c r="P193" s="140"/>
      <c r="Q193" s="140"/>
      <c r="R193" s="140"/>
    </row>
    <row r="194" hidden="1">
      <c r="A194" s="157" t="s">
        <v>28</v>
      </c>
      <c r="B194" s="158">
        <v>5.0</v>
      </c>
      <c r="C194" s="158">
        <f t="shared" si="74"/>
        <v>15</v>
      </c>
      <c r="D194" s="159">
        <f t="shared" si="75"/>
        <v>15</v>
      </c>
      <c r="E194" s="140">
        <v>7.0</v>
      </c>
      <c r="F194" s="140"/>
      <c r="G194" s="140"/>
      <c r="H194" s="140"/>
      <c r="I194" s="140"/>
      <c r="J194" s="140"/>
      <c r="K194" s="140"/>
      <c r="L194" s="140"/>
      <c r="M194" s="140"/>
      <c r="N194" s="140"/>
      <c r="O194" s="140">
        <v>8.0</v>
      </c>
      <c r="P194" s="140"/>
      <c r="Q194" s="140"/>
      <c r="R194" s="140"/>
    </row>
    <row r="195" hidden="1">
      <c r="A195" s="157"/>
      <c r="B195" s="158"/>
      <c r="C195" s="160">
        <f t="shared" ref="C195:D195" si="76">SUM(C191:C194)</f>
        <v>60</v>
      </c>
      <c r="D195" s="161">
        <f t="shared" si="76"/>
        <v>85</v>
      </c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</row>
    <row r="196" hidden="1">
      <c r="A196" s="162" t="s">
        <v>32</v>
      </c>
      <c r="B196" s="163">
        <v>7.0</v>
      </c>
      <c r="C196" s="163">
        <f t="shared" ref="C196:C201" si="77">3*B196</f>
        <v>21</v>
      </c>
      <c r="D196" s="159">
        <f t="shared" ref="D196:D201" si="78">SUM(E196:R196)</f>
        <v>20</v>
      </c>
      <c r="E196" s="140"/>
      <c r="F196" s="140"/>
      <c r="G196" s="140"/>
      <c r="H196" s="140"/>
      <c r="I196" s="140"/>
      <c r="J196" s="140">
        <v>3.0</v>
      </c>
      <c r="K196" s="140"/>
      <c r="L196" s="140">
        <v>12.0</v>
      </c>
      <c r="M196" s="140"/>
      <c r="N196" s="140"/>
      <c r="O196" s="140"/>
      <c r="P196" s="140"/>
      <c r="Q196" s="140">
        <v>5.0</v>
      </c>
      <c r="R196" s="140"/>
    </row>
    <row r="197" hidden="1">
      <c r="A197" s="162" t="s">
        <v>74</v>
      </c>
      <c r="B197" s="163">
        <v>7.0</v>
      </c>
      <c r="C197" s="163">
        <f t="shared" si="77"/>
        <v>21</v>
      </c>
      <c r="D197" s="159">
        <f t="shared" si="78"/>
        <v>20</v>
      </c>
      <c r="E197" s="140"/>
      <c r="F197" s="140"/>
      <c r="G197" s="140">
        <v>17.0</v>
      </c>
      <c r="H197" s="140"/>
      <c r="I197" s="140"/>
      <c r="J197" s="140">
        <v>3.0</v>
      </c>
      <c r="K197" s="140"/>
      <c r="L197" s="140"/>
      <c r="M197" s="140"/>
      <c r="N197" s="140"/>
      <c r="O197" s="140"/>
      <c r="P197" s="140"/>
      <c r="Q197" s="140"/>
      <c r="R197" s="140"/>
    </row>
    <row r="198" hidden="1">
      <c r="A198" s="162" t="s">
        <v>73</v>
      </c>
      <c r="B198" s="163">
        <v>6.0</v>
      </c>
      <c r="C198" s="163">
        <f t="shared" si="77"/>
        <v>18</v>
      </c>
      <c r="D198" s="143">
        <f t="shared" si="78"/>
        <v>15</v>
      </c>
      <c r="E198" s="140">
        <v>6.0</v>
      </c>
      <c r="F198" s="140"/>
      <c r="G198" s="140"/>
      <c r="H198" s="140"/>
      <c r="I198" s="140"/>
      <c r="J198" s="140">
        <v>8.0</v>
      </c>
      <c r="K198" s="140">
        <v>1.0</v>
      </c>
      <c r="L198" s="140"/>
      <c r="M198" s="140"/>
      <c r="N198" s="140"/>
      <c r="O198" s="140"/>
      <c r="P198" s="140"/>
      <c r="Q198" s="140"/>
      <c r="R198" s="140"/>
    </row>
    <row r="199" hidden="1">
      <c r="A199" s="162" t="s">
        <v>75</v>
      </c>
      <c r="B199" s="163">
        <v>7.0</v>
      </c>
      <c r="C199" s="163">
        <f t="shared" si="77"/>
        <v>21</v>
      </c>
      <c r="D199" s="143">
        <f t="shared" si="78"/>
        <v>12</v>
      </c>
      <c r="E199" s="140">
        <v>9.0</v>
      </c>
      <c r="F199" s="140"/>
      <c r="G199" s="140">
        <v>3.0</v>
      </c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</row>
    <row r="200" hidden="1">
      <c r="A200" s="162" t="s">
        <v>76</v>
      </c>
      <c r="B200" s="163">
        <v>7.0</v>
      </c>
      <c r="C200" s="163">
        <f t="shared" si="77"/>
        <v>21</v>
      </c>
      <c r="D200" s="143">
        <f t="shared" si="78"/>
        <v>13</v>
      </c>
      <c r="E200" s="140">
        <v>2.0</v>
      </c>
      <c r="F200" s="140">
        <v>8.0</v>
      </c>
      <c r="G200" s="140"/>
      <c r="H200" s="140"/>
      <c r="I200" s="140"/>
      <c r="J200" s="140"/>
      <c r="K200" s="140"/>
      <c r="L200" s="140"/>
      <c r="M200" s="140"/>
      <c r="N200" s="140"/>
      <c r="O200" s="140"/>
      <c r="P200" s="140">
        <v>3.0</v>
      </c>
      <c r="Q200" s="140"/>
      <c r="R200" s="140"/>
    </row>
    <row r="201" hidden="1">
      <c r="A201" s="162" t="s">
        <v>77</v>
      </c>
      <c r="B201" s="163">
        <v>7.0</v>
      </c>
      <c r="C201" s="163">
        <f t="shared" si="77"/>
        <v>21</v>
      </c>
      <c r="D201" s="143">
        <f t="shared" si="78"/>
        <v>11</v>
      </c>
      <c r="E201" s="140">
        <v>4.0</v>
      </c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>
        <v>7.0</v>
      </c>
    </row>
    <row r="202" hidden="1">
      <c r="A202" s="127" t="s">
        <v>172</v>
      </c>
      <c r="B202" s="99"/>
      <c r="C202" s="164">
        <f t="shared" ref="C202:D202" si="79">SUM(C196:C201)</f>
        <v>123</v>
      </c>
      <c r="D202" s="161">
        <f t="shared" si="79"/>
        <v>91</v>
      </c>
      <c r="E202" s="165">
        <f t="shared" ref="E202:K202" si="80">SUM(E191:E201)</f>
        <v>32</v>
      </c>
      <c r="F202" s="165">
        <f t="shared" si="80"/>
        <v>8</v>
      </c>
      <c r="G202" s="165">
        <f t="shared" si="80"/>
        <v>28</v>
      </c>
      <c r="H202" s="165">
        <f t="shared" si="80"/>
        <v>0</v>
      </c>
      <c r="I202" s="165">
        <f t="shared" si="80"/>
        <v>0</v>
      </c>
      <c r="J202" s="165">
        <f t="shared" si="80"/>
        <v>53</v>
      </c>
      <c r="K202" s="165">
        <f t="shared" si="80"/>
        <v>1</v>
      </c>
      <c r="L202" s="165">
        <f t="shared" ref="L202:R202" si="81">SUM(L196:L201)</f>
        <v>12</v>
      </c>
      <c r="M202" s="165">
        <f t="shared" si="81"/>
        <v>0</v>
      </c>
      <c r="N202" s="165">
        <f t="shared" si="81"/>
        <v>0</v>
      </c>
      <c r="O202" s="165">
        <f t="shared" si="81"/>
        <v>0</v>
      </c>
      <c r="P202" s="165">
        <f t="shared" si="81"/>
        <v>3</v>
      </c>
      <c r="Q202" s="165">
        <f t="shared" si="81"/>
        <v>5</v>
      </c>
      <c r="R202" s="165">
        <f t="shared" si="81"/>
        <v>7</v>
      </c>
    </row>
    <row r="203" hidden="1">
      <c r="A203" s="86"/>
      <c r="B203" s="99"/>
      <c r="C203" s="134">
        <f t="shared" ref="C203:D203" si="82">SUM(C195,C202)</f>
        <v>183</v>
      </c>
      <c r="D203" s="134">
        <f t="shared" si="82"/>
        <v>176</v>
      </c>
      <c r="E203" s="99"/>
      <c r="F203" s="99"/>
      <c r="G203" s="99"/>
      <c r="H203" s="99"/>
      <c r="I203" s="99"/>
      <c r="J203" s="99"/>
      <c r="K203" s="99"/>
      <c r="L203" s="99">
        <f t="shared" ref="L203:R203" si="83">SUM(L191:L201)</f>
        <v>20</v>
      </c>
      <c r="M203" s="99">
        <f t="shared" si="83"/>
        <v>0</v>
      </c>
      <c r="N203" s="99">
        <f t="shared" si="83"/>
        <v>0</v>
      </c>
      <c r="O203" s="99">
        <f t="shared" si="83"/>
        <v>8</v>
      </c>
      <c r="P203" s="99">
        <f t="shared" si="83"/>
        <v>4</v>
      </c>
      <c r="Q203" s="99">
        <f t="shared" si="83"/>
        <v>15</v>
      </c>
      <c r="R203" s="99">
        <f t="shared" si="83"/>
        <v>7</v>
      </c>
    </row>
    <row r="205">
      <c r="A205" s="127" t="s">
        <v>188</v>
      </c>
      <c r="B205" s="153">
        <f>SUM(B206:B207)</f>
        <v>231</v>
      </c>
      <c r="C205" s="129"/>
      <c r="D205" s="88"/>
      <c r="E205" s="88"/>
    </row>
    <row r="206">
      <c r="A206" s="144" t="str">
        <f>"Capacity SA รวม "&amp;SUM(C224:C227)&amp;" SP"</f>
        <v>Capacity SA รวม 93 SP</v>
      </c>
      <c r="B206" s="128">
        <f>SUM(C218:C221)</f>
        <v>93</v>
      </c>
      <c r="C206" s="129"/>
      <c r="D206" s="88"/>
      <c r="E206" s="88"/>
    </row>
    <row r="207">
      <c r="A207" s="144" t="str">
        <f>"Capacity รวม "&amp;SUM(C222:C227)&amp;" SP"</f>
        <v>Capacity รวม 207 SP</v>
      </c>
      <c r="B207" s="154">
        <f>SUM(C223:C228)</f>
        <v>138</v>
      </c>
      <c r="C207" s="131"/>
      <c r="D207" s="132"/>
      <c r="I207" s="132"/>
      <c r="J207" s="151"/>
    </row>
    <row r="208">
      <c r="A208" s="133" t="s">
        <v>155</v>
      </c>
      <c r="B208" s="134">
        <f>SUM(F228,G228,I228,J228)</f>
        <v>0</v>
      </c>
      <c r="C208" s="131"/>
      <c r="D208" s="132"/>
      <c r="I208" s="132"/>
      <c r="J208" s="151"/>
    </row>
    <row r="209">
      <c r="A209" s="133" t="s">
        <v>156</v>
      </c>
      <c r="B209" s="131">
        <f>B207-B208</f>
        <v>138</v>
      </c>
      <c r="C209" s="131">
        <f>SUM(E223:E228)</f>
        <v>4</v>
      </c>
      <c r="D209" s="132"/>
      <c r="I209" s="132"/>
      <c r="J209" s="151"/>
    </row>
    <row r="210">
      <c r="A210" s="135" t="s">
        <v>48</v>
      </c>
      <c r="B210" s="129" t="str">
        <f>E228</f>
        <v/>
      </c>
      <c r="C210" s="129">
        <v>0.0</v>
      </c>
      <c r="D210" s="88"/>
      <c r="E210" s="88"/>
    </row>
    <row r="211">
      <c r="A211" s="135" t="s">
        <v>44</v>
      </c>
      <c r="B211" s="129" t="str">
        <f>F228</f>
        <v/>
      </c>
      <c r="C211" s="129">
        <v>0.0</v>
      </c>
      <c r="D211" s="88"/>
      <c r="E211" s="88"/>
    </row>
    <row r="212">
      <c r="A212" s="135" t="s">
        <v>157</v>
      </c>
      <c r="B212" s="129" t="str">
        <f>G228</f>
        <v/>
      </c>
      <c r="C212" s="129">
        <v>0.0</v>
      </c>
      <c r="D212" s="88"/>
      <c r="E212" s="88"/>
    </row>
    <row r="213">
      <c r="A213" s="135" t="s">
        <v>158</v>
      </c>
      <c r="B213" s="129" t="str">
        <f>I228</f>
        <v/>
      </c>
      <c r="C213" s="129">
        <v>0.0</v>
      </c>
      <c r="D213" s="88"/>
      <c r="E213" s="88"/>
    </row>
    <row r="214">
      <c r="A214" s="135" t="s">
        <v>159</v>
      </c>
      <c r="B214" s="129" t="str">
        <f>K228</f>
        <v/>
      </c>
      <c r="C214" s="129">
        <v>0.0</v>
      </c>
      <c r="D214" s="88"/>
      <c r="E214" s="88"/>
    </row>
    <row r="215">
      <c r="A215" s="135" t="s">
        <v>176</v>
      </c>
      <c r="B215" s="129"/>
      <c r="C215" s="129"/>
      <c r="D215" s="88"/>
      <c r="E215" s="88"/>
    </row>
    <row r="216">
      <c r="A216" s="135" t="s">
        <v>160</v>
      </c>
      <c r="B216" s="129">
        <f>C228-D228</f>
        <v>19</v>
      </c>
      <c r="C216" s="129"/>
      <c r="D216" s="88"/>
      <c r="E216" s="88"/>
    </row>
    <row r="217">
      <c r="A217" s="152" t="s">
        <v>162</v>
      </c>
      <c r="B217" s="166" t="s">
        <v>163</v>
      </c>
      <c r="C217" s="155" t="s">
        <v>164</v>
      </c>
      <c r="D217" s="156" t="s">
        <v>165</v>
      </c>
      <c r="E217" s="152" t="s">
        <v>177</v>
      </c>
      <c r="F217" s="152" t="s">
        <v>178</v>
      </c>
      <c r="G217" s="152" t="s">
        <v>157</v>
      </c>
      <c r="H217" s="152" t="s">
        <v>159</v>
      </c>
      <c r="I217" s="152" t="s">
        <v>176</v>
      </c>
      <c r="J217" s="152" t="s">
        <v>160</v>
      </c>
      <c r="K217" s="152" t="s">
        <v>180</v>
      </c>
      <c r="L217" s="152" t="s">
        <v>182</v>
      </c>
      <c r="M217" s="152" t="s">
        <v>183</v>
      </c>
      <c r="N217" s="152" t="s">
        <v>66</v>
      </c>
      <c r="O217" s="152" t="s">
        <v>187</v>
      </c>
      <c r="P217" s="152" t="s">
        <v>68</v>
      </c>
      <c r="Q217" s="152"/>
      <c r="R217" s="172"/>
    </row>
    <row r="218">
      <c r="A218" s="157" t="s">
        <v>30</v>
      </c>
      <c r="B218" s="158">
        <v>7.0</v>
      </c>
      <c r="C218" s="158">
        <f t="shared" ref="C218:C221" si="84">3*B218</f>
        <v>21</v>
      </c>
      <c r="D218" s="159">
        <f t="shared" ref="D218:D221" si="85">SUM(E218:Q218)</f>
        <v>24</v>
      </c>
      <c r="E218" s="140">
        <v>1.0</v>
      </c>
      <c r="F218" s="140"/>
      <c r="G218" s="140"/>
      <c r="H218" s="140"/>
      <c r="I218" s="140">
        <v>5.0</v>
      </c>
      <c r="J218" s="140"/>
      <c r="K218" s="140">
        <v>8.0</v>
      </c>
      <c r="L218" s="140"/>
      <c r="M218" s="140"/>
      <c r="N218" s="140">
        <v>2.0</v>
      </c>
      <c r="O218" s="140">
        <v>8.0</v>
      </c>
      <c r="P218" s="140"/>
      <c r="Q218" s="140"/>
      <c r="R218" s="175"/>
    </row>
    <row r="219">
      <c r="A219" s="157" t="s">
        <v>72</v>
      </c>
      <c r="B219" s="158">
        <v>8.0</v>
      </c>
      <c r="C219" s="158">
        <f t="shared" si="84"/>
        <v>24</v>
      </c>
      <c r="D219" s="159">
        <f t="shared" si="85"/>
        <v>32</v>
      </c>
      <c r="E219" s="140">
        <v>16.0</v>
      </c>
      <c r="F219" s="140"/>
      <c r="G219" s="140"/>
      <c r="H219" s="140"/>
      <c r="I219" s="140">
        <v>8.0</v>
      </c>
      <c r="J219" s="140"/>
      <c r="K219" s="140"/>
      <c r="L219" s="140"/>
      <c r="M219" s="140"/>
      <c r="N219" s="140"/>
      <c r="O219" s="140">
        <v>8.0</v>
      </c>
      <c r="P219" s="140"/>
      <c r="Q219" s="140"/>
      <c r="R219" s="175"/>
    </row>
    <row r="220">
      <c r="A220" s="157" t="s">
        <v>24</v>
      </c>
      <c r="B220" s="158">
        <v>8.0</v>
      </c>
      <c r="C220" s="158">
        <f t="shared" si="84"/>
        <v>24</v>
      </c>
      <c r="D220" s="159">
        <f t="shared" si="85"/>
        <v>26</v>
      </c>
      <c r="E220" s="140"/>
      <c r="F220" s="140"/>
      <c r="G220" s="140">
        <v>8.0</v>
      </c>
      <c r="H220" s="140"/>
      <c r="I220" s="140">
        <v>13.0</v>
      </c>
      <c r="J220" s="140"/>
      <c r="K220" s="140"/>
      <c r="L220" s="140"/>
      <c r="M220" s="140"/>
      <c r="N220" s="140">
        <v>5.0</v>
      </c>
      <c r="O220" s="140"/>
      <c r="P220" s="140"/>
      <c r="Q220" s="140"/>
      <c r="R220" s="175"/>
    </row>
    <row r="221">
      <c r="A221" s="157" t="s">
        <v>28</v>
      </c>
      <c r="B221" s="158">
        <v>8.0</v>
      </c>
      <c r="C221" s="158">
        <f t="shared" si="84"/>
        <v>24</v>
      </c>
      <c r="D221" s="159">
        <f t="shared" si="85"/>
        <v>24</v>
      </c>
      <c r="E221" s="140">
        <v>8.0</v>
      </c>
      <c r="F221" s="140"/>
      <c r="G221" s="140"/>
      <c r="H221" s="140"/>
      <c r="I221" s="140">
        <v>5.0</v>
      </c>
      <c r="J221" s="140"/>
      <c r="K221" s="140"/>
      <c r="L221" s="140"/>
      <c r="M221" s="140">
        <v>3.0</v>
      </c>
      <c r="N221" s="140">
        <v>8.0</v>
      </c>
      <c r="O221" s="140"/>
      <c r="P221" s="140"/>
      <c r="Q221" s="140"/>
      <c r="R221" s="175"/>
    </row>
    <row r="222">
      <c r="A222" s="157"/>
      <c r="B222" s="158"/>
      <c r="C222" s="160">
        <f t="shared" ref="C222:D222" si="86">SUM(C218:C221)</f>
        <v>93</v>
      </c>
      <c r="D222" s="161">
        <f t="shared" si="86"/>
        <v>106</v>
      </c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75"/>
    </row>
    <row r="223">
      <c r="A223" s="162" t="s">
        <v>32</v>
      </c>
      <c r="B223" s="163">
        <v>7.0</v>
      </c>
      <c r="C223" s="163">
        <f t="shared" ref="C223:C228" si="87">3*B223</f>
        <v>21</v>
      </c>
      <c r="D223" s="159">
        <f t="shared" ref="D223:D228" si="88">SUM(E223:R223)</f>
        <v>5</v>
      </c>
      <c r="E223" s="140"/>
      <c r="F223" s="140"/>
      <c r="G223" s="140"/>
      <c r="H223" s="140"/>
      <c r="I223" s="140"/>
      <c r="J223" s="140"/>
      <c r="K223" s="140"/>
      <c r="L223" s="140">
        <v>5.0</v>
      </c>
      <c r="M223" s="140"/>
      <c r="N223" s="140"/>
      <c r="O223" s="140"/>
      <c r="P223" s="140"/>
      <c r="Q223" s="140"/>
      <c r="R223" s="175"/>
    </row>
    <row r="224">
      <c r="A224" s="162" t="s">
        <v>74</v>
      </c>
      <c r="B224" s="163">
        <v>8.0</v>
      </c>
      <c r="C224" s="163">
        <f t="shared" si="87"/>
        <v>24</v>
      </c>
      <c r="D224" s="159">
        <f t="shared" si="88"/>
        <v>3</v>
      </c>
      <c r="E224" s="140"/>
      <c r="F224" s="140"/>
      <c r="G224" s="140">
        <v>3.0</v>
      </c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75"/>
    </row>
    <row r="225">
      <c r="A225" s="162" t="s">
        <v>73</v>
      </c>
      <c r="B225" s="163">
        <v>8.0</v>
      </c>
      <c r="C225" s="163">
        <f t="shared" si="87"/>
        <v>24</v>
      </c>
      <c r="D225" s="143">
        <f t="shared" si="88"/>
        <v>5</v>
      </c>
      <c r="E225" s="140"/>
      <c r="F225" s="140"/>
      <c r="G225" s="140"/>
      <c r="H225" s="140"/>
      <c r="I225" s="140"/>
      <c r="J225" s="140"/>
      <c r="K225" s="140"/>
      <c r="L225" s="140">
        <v>5.0</v>
      </c>
      <c r="M225" s="140"/>
      <c r="N225" s="140"/>
      <c r="O225" s="140"/>
      <c r="P225" s="140"/>
      <c r="Q225" s="140"/>
      <c r="R225" s="175"/>
    </row>
    <row r="226">
      <c r="A226" s="162" t="s">
        <v>75</v>
      </c>
      <c r="B226" s="163">
        <v>8.0</v>
      </c>
      <c r="C226" s="163">
        <f t="shared" si="87"/>
        <v>24</v>
      </c>
      <c r="D226" s="143">
        <f t="shared" si="88"/>
        <v>4</v>
      </c>
      <c r="E226" s="140">
        <v>4.0</v>
      </c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75"/>
    </row>
    <row r="227">
      <c r="A227" s="162" t="s">
        <v>76</v>
      </c>
      <c r="B227" s="163">
        <v>7.0</v>
      </c>
      <c r="C227" s="163">
        <f t="shared" si="87"/>
        <v>21</v>
      </c>
      <c r="D227" s="143">
        <f t="shared" si="88"/>
        <v>5</v>
      </c>
      <c r="E227" s="140"/>
      <c r="F227" s="140"/>
      <c r="G227" s="140"/>
      <c r="H227" s="140"/>
      <c r="I227" s="140"/>
      <c r="J227" s="140"/>
      <c r="K227" s="140"/>
      <c r="L227" s="140">
        <v>5.0</v>
      </c>
      <c r="M227" s="140"/>
      <c r="N227" s="140"/>
      <c r="O227" s="140"/>
      <c r="P227" s="140"/>
      <c r="Q227" s="140"/>
      <c r="R227" s="175"/>
    </row>
    <row r="228">
      <c r="A228" s="162" t="s">
        <v>77</v>
      </c>
      <c r="B228" s="163">
        <v>8.0</v>
      </c>
      <c r="C228" s="163">
        <f t="shared" si="87"/>
        <v>24</v>
      </c>
      <c r="D228" s="143">
        <f t="shared" si="88"/>
        <v>5</v>
      </c>
      <c r="E228" s="140"/>
      <c r="F228" s="140"/>
      <c r="G228" s="140"/>
      <c r="H228" s="140"/>
      <c r="I228" s="140"/>
      <c r="J228" s="140"/>
      <c r="K228" s="140"/>
      <c r="L228" s="140">
        <v>5.0</v>
      </c>
      <c r="M228" s="140"/>
      <c r="N228" s="140"/>
      <c r="O228" s="140"/>
      <c r="P228" s="140"/>
      <c r="Q228" s="140"/>
      <c r="R228" s="175"/>
    </row>
    <row r="229">
      <c r="A229" s="127" t="s">
        <v>172</v>
      </c>
      <c r="B229" s="99"/>
      <c r="C229" s="164">
        <f t="shared" ref="C229:D229" si="89">SUM(C223:C228)</f>
        <v>138</v>
      </c>
      <c r="D229" s="161">
        <f t="shared" si="89"/>
        <v>27</v>
      </c>
      <c r="E229" s="165">
        <f t="shared" ref="E229:J229" si="90">SUM(E218:E228)</f>
        <v>29</v>
      </c>
      <c r="F229" s="165">
        <f t="shared" si="90"/>
        <v>0</v>
      </c>
      <c r="G229" s="165">
        <f t="shared" si="90"/>
        <v>11</v>
      </c>
      <c r="H229" s="165">
        <f t="shared" si="90"/>
        <v>0</v>
      </c>
      <c r="I229" s="165">
        <f t="shared" si="90"/>
        <v>31</v>
      </c>
      <c r="J229" s="165">
        <f t="shared" si="90"/>
        <v>0</v>
      </c>
      <c r="K229" s="165">
        <f t="shared" ref="K229:P229" si="91">SUM(K223:K228)</f>
        <v>0</v>
      </c>
      <c r="L229" s="165">
        <f t="shared" si="91"/>
        <v>20</v>
      </c>
      <c r="M229" s="165">
        <f t="shared" si="91"/>
        <v>0</v>
      </c>
      <c r="N229" s="165">
        <f t="shared" si="91"/>
        <v>0</v>
      </c>
      <c r="O229" s="165">
        <f t="shared" si="91"/>
        <v>0</v>
      </c>
      <c r="P229" s="165">
        <f t="shared" si="91"/>
        <v>0</v>
      </c>
      <c r="Q229" s="165"/>
      <c r="R229" s="88"/>
    </row>
    <row r="230">
      <c r="A230" s="86"/>
      <c r="B230" s="99"/>
      <c r="C230" s="134">
        <f t="shared" ref="C230:D230" si="92">SUM(C222,C229)</f>
        <v>231</v>
      </c>
      <c r="D230" s="134">
        <f t="shared" si="92"/>
        <v>133</v>
      </c>
      <c r="E230" s="99"/>
      <c r="F230" s="99"/>
      <c r="G230" s="99"/>
      <c r="H230" s="99"/>
      <c r="I230" s="99"/>
      <c r="J230" s="99"/>
      <c r="K230" s="99"/>
      <c r="L230" s="99">
        <f t="shared" ref="L230:P230" si="93">SUM(L218:L228)</f>
        <v>20</v>
      </c>
      <c r="M230" s="99">
        <f t="shared" si="93"/>
        <v>3</v>
      </c>
      <c r="N230" s="99">
        <f t="shared" si="93"/>
        <v>15</v>
      </c>
      <c r="O230" s="99">
        <f t="shared" si="93"/>
        <v>16</v>
      </c>
      <c r="P230" s="99">
        <f t="shared" si="93"/>
        <v>0</v>
      </c>
      <c r="Q230" s="9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3" width="12.38"/>
    <col customWidth="1" min="6" max="6" width="19.88"/>
    <col customWidth="1" min="7" max="7" width="14.25"/>
    <col hidden="1" min="8" max="10" width="12.63"/>
    <col customWidth="1" min="13" max="13" width="12.38"/>
    <col customWidth="1" min="14" max="14" width="12.25"/>
    <col customWidth="1" min="21" max="21" width="14.13"/>
  </cols>
  <sheetData>
    <row r="1">
      <c r="A1" s="136" t="s">
        <v>189</v>
      </c>
      <c r="B1" s="176" t="s">
        <v>190</v>
      </c>
      <c r="C1" s="176" t="s">
        <v>71</v>
      </c>
      <c r="D1" s="176" t="s">
        <v>5</v>
      </c>
      <c r="E1" s="176" t="s">
        <v>191</v>
      </c>
      <c r="F1" s="177" t="s">
        <v>192</v>
      </c>
      <c r="G1" s="177" t="s">
        <v>193</v>
      </c>
      <c r="H1" s="178" t="s">
        <v>194</v>
      </c>
      <c r="I1" s="178" t="s">
        <v>195</v>
      </c>
      <c r="J1" s="178" t="s">
        <v>196</v>
      </c>
      <c r="K1" s="178" t="s">
        <v>197</v>
      </c>
      <c r="L1" s="178" t="s">
        <v>12</v>
      </c>
      <c r="M1" s="178" t="s">
        <v>198</v>
      </c>
      <c r="N1" s="178" t="s">
        <v>199</v>
      </c>
      <c r="O1" s="178" t="s">
        <v>200</v>
      </c>
      <c r="P1" s="178" t="s">
        <v>201</v>
      </c>
      <c r="Q1" s="178" t="s">
        <v>202</v>
      </c>
      <c r="R1" s="178" t="s">
        <v>203</v>
      </c>
      <c r="S1" s="178" t="s">
        <v>204</v>
      </c>
      <c r="T1" s="178" t="s">
        <v>194</v>
      </c>
      <c r="U1" s="178" t="s">
        <v>195</v>
      </c>
      <c r="V1" s="178" t="s">
        <v>196</v>
      </c>
    </row>
    <row r="2">
      <c r="A2" s="102" t="s">
        <v>205</v>
      </c>
      <c r="B2" s="179" t="s">
        <v>206</v>
      </c>
      <c r="C2" s="180">
        <v>46291.0</v>
      </c>
      <c r="D2" s="181" t="s">
        <v>207</v>
      </c>
      <c r="E2" s="182" t="s">
        <v>208</v>
      </c>
      <c r="F2" s="102" t="s">
        <v>30</v>
      </c>
      <c r="G2" s="102" t="s">
        <v>209</v>
      </c>
      <c r="H2" s="102" t="s">
        <v>210</v>
      </c>
      <c r="I2" s="102" t="s">
        <v>210</v>
      </c>
      <c r="J2" s="102" t="s">
        <v>210</v>
      </c>
      <c r="K2" s="102" t="s">
        <v>210</v>
      </c>
      <c r="L2" s="102" t="s">
        <v>210</v>
      </c>
      <c r="M2" s="183">
        <v>60.99</v>
      </c>
      <c r="N2" s="102" t="s">
        <v>210</v>
      </c>
      <c r="O2" s="102" t="s">
        <v>210</v>
      </c>
      <c r="P2" s="183">
        <v>960.0</v>
      </c>
      <c r="Q2" s="183">
        <v>182.61</v>
      </c>
      <c r="R2" s="102" t="s">
        <v>210</v>
      </c>
      <c r="S2" s="102" t="s">
        <v>210</v>
      </c>
      <c r="T2" s="102" t="s">
        <v>210</v>
      </c>
      <c r="U2" s="102" t="s">
        <v>210</v>
      </c>
      <c r="V2" s="102" t="s">
        <v>210</v>
      </c>
    </row>
    <row r="3">
      <c r="A3" s="184" t="s">
        <v>211</v>
      </c>
      <c r="B3" s="181" t="s">
        <v>212</v>
      </c>
      <c r="C3" s="181">
        <v>12.0</v>
      </c>
      <c r="D3" s="181" t="s">
        <v>207</v>
      </c>
      <c r="E3" s="182" t="s">
        <v>208</v>
      </c>
      <c r="F3" s="102" t="s">
        <v>213</v>
      </c>
      <c r="G3" s="102" t="s">
        <v>214</v>
      </c>
      <c r="H3" s="185">
        <v>520.0</v>
      </c>
      <c r="I3" s="185">
        <v>560.0</v>
      </c>
      <c r="J3" s="185">
        <v>620.0</v>
      </c>
      <c r="K3" s="185">
        <v>620.0</v>
      </c>
      <c r="L3" s="185">
        <v>700.0</v>
      </c>
      <c r="M3" s="185">
        <v>780.0</v>
      </c>
      <c r="N3" s="183">
        <v>896.0</v>
      </c>
      <c r="O3" s="183">
        <v>676.0</v>
      </c>
      <c r="P3" s="183">
        <v>676.0</v>
      </c>
      <c r="Q3" s="183">
        <v>676.0</v>
      </c>
      <c r="R3" s="183">
        <v>676.0</v>
      </c>
      <c r="S3" s="185">
        <v>676.0</v>
      </c>
      <c r="T3" s="183">
        <v>676.0</v>
      </c>
      <c r="U3" s="183">
        <v>676.0</v>
      </c>
      <c r="V3" s="186">
        <v>676.0</v>
      </c>
    </row>
    <row r="4">
      <c r="A4" s="184" t="s">
        <v>215</v>
      </c>
      <c r="B4" s="181" t="s">
        <v>212</v>
      </c>
      <c r="C4" s="181">
        <v>21.0</v>
      </c>
      <c r="D4" s="181" t="s">
        <v>207</v>
      </c>
      <c r="E4" s="182" t="s">
        <v>208</v>
      </c>
      <c r="F4" s="102" t="s">
        <v>216</v>
      </c>
      <c r="G4" s="102"/>
      <c r="H4" s="183">
        <v>150.99</v>
      </c>
      <c r="I4" s="183">
        <v>131.18</v>
      </c>
      <c r="J4" s="183">
        <v>120.39</v>
      </c>
      <c r="K4" s="183">
        <v>96.09</v>
      </c>
      <c r="L4" s="183">
        <v>149.76</v>
      </c>
      <c r="M4" s="183">
        <v>105.12</v>
      </c>
      <c r="N4" s="183">
        <v>103.78</v>
      </c>
      <c r="O4" s="183">
        <v>110.78</v>
      </c>
      <c r="P4" s="183">
        <v>97.66</v>
      </c>
      <c r="Q4" s="183">
        <v>129.79</v>
      </c>
      <c r="R4" s="183">
        <v>125.91</v>
      </c>
      <c r="S4" s="183">
        <v>123.63</v>
      </c>
      <c r="T4" s="183">
        <v>119.64</v>
      </c>
      <c r="U4" s="183">
        <v>139.68</v>
      </c>
      <c r="V4" s="186">
        <v>151.29</v>
      </c>
    </row>
    <row r="5">
      <c r="A5" s="184" t="s">
        <v>217</v>
      </c>
      <c r="B5" s="181" t="s">
        <v>212</v>
      </c>
      <c r="C5" s="181">
        <v>10.0</v>
      </c>
      <c r="D5" s="181" t="s">
        <v>207</v>
      </c>
      <c r="E5" s="182" t="s">
        <v>208</v>
      </c>
      <c r="F5" s="102" t="s">
        <v>218</v>
      </c>
      <c r="H5" s="183">
        <v>424.4</v>
      </c>
      <c r="I5" s="183">
        <v>414.8</v>
      </c>
      <c r="J5" s="183">
        <v>414.8</v>
      </c>
      <c r="K5" s="183">
        <v>391.4</v>
      </c>
      <c r="L5" s="183">
        <v>408.4</v>
      </c>
      <c r="M5" s="183">
        <v>440.06</v>
      </c>
      <c r="N5" s="183">
        <v>906.36</v>
      </c>
      <c r="O5" s="183">
        <v>1028.84</v>
      </c>
      <c r="P5" s="183">
        <v>994.25</v>
      </c>
      <c r="Q5" s="183">
        <v>1006.66</v>
      </c>
      <c r="R5" s="183">
        <v>1269.14</v>
      </c>
      <c r="S5" s="183">
        <v>1391.2</v>
      </c>
      <c r="T5" s="183">
        <v>1435.21</v>
      </c>
      <c r="U5" s="183">
        <v>1179.92</v>
      </c>
      <c r="V5" s="186">
        <v>1320.71</v>
      </c>
    </row>
    <row r="6">
      <c r="A6" s="102" t="s">
        <v>219</v>
      </c>
      <c r="B6" s="179" t="s">
        <v>206</v>
      </c>
      <c r="C6" s="180">
        <v>46283.0</v>
      </c>
      <c r="D6" s="181" t="s">
        <v>207</v>
      </c>
      <c r="E6" s="181"/>
      <c r="F6" s="102" t="s">
        <v>220</v>
      </c>
      <c r="G6" s="102"/>
      <c r="H6" s="102" t="s">
        <v>210</v>
      </c>
      <c r="I6" s="102" t="s">
        <v>210</v>
      </c>
      <c r="J6" s="102" t="s">
        <v>210</v>
      </c>
      <c r="K6" s="102" t="s">
        <v>210</v>
      </c>
      <c r="L6" s="102" t="s">
        <v>210</v>
      </c>
      <c r="M6" s="102" t="s">
        <v>210</v>
      </c>
      <c r="N6" s="102" t="s">
        <v>210</v>
      </c>
      <c r="O6" s="102" t="s">
        <v>210</v>
      </c>
      <c r="P6" s="183">
        <v>648.0</v>
      </c>
      <c r="Q6" s="102" t="s">
        <v>210</v>
      </c>
      <c r="R6" s="102" t="s">
        <v>210</v>
      </c>
      <c r="S6" s="102" t="s">
        <v>210</v>
      </c>
      <c r="T6" s="102" t="s">
        <v>210</v>
      </c>
      <c r="U6" s="102" t="s">
        <v>210</v>
      </c>
      <c r="V6" s="187" t="s">
        <v>210</v>
      </c>
    </row>
    <row r="7">
      <c r="A7" s="102" t="s">
        <v>221</v>
      </c>
      <c r="B7" s="179" t="s">
        <v>206</v>
      </c>
      <c r="C7" s="180">
        <v>46202.0</v>
      </c>
      <c r="D7" s="181" t="s">
        <v>207</v>
      </c>
      <c r="E7" s="182" t="s">
        <v>208</v>
      </c>
      <c r="F7" s="102" t="s">
        <v>222</v>
      </c>
      <c r="G7" s="102"/>
      <c r="H7" s="102" t="s">
        <v>210</v>
      </c>
      <c r="I7" s="102" t="s">
        <v>210</v>
      </c>
      <c r="J7" s="102" t="s">
        <v>210</v>
      </c>
      <c r="K7" s="102" t="s">
        <v>210</v>
      </c>
      <c r="L7" s="102" t="s">
        <v>210</v>
      </c>
      <c r="M7" s="183">
        <v>96.0</v>
      </c>
      <c r="N7" s="102" t="s">
        <v>210</v>
      </c>
      <c r="O7" s="102" t="s">
        <v>210</v>
      </c>
      <c r="P7" s="102" t="s">
        <v>210</v>
      </c>
      <c r="Q7" s="102" t="s">
        <v>210</v>
      </c>
      <c r="R7" s="102" t="s">
        <v>210</v>
      </c>
      <c r="S7" s="102" t="s">
        <v>210</v>
      </c>
      <c r="T7" s="102" t="s">
        <v>210</v>
      </c>
      <c r="U7" s="102" t="s">
        <v>210</v>
      </c>
      <c r="V7" s="187" t="s">
        <v>210</v>
      </c>
    </row>
    <row r="8">
      <c r="A8" s="188" t="s">
        <v>223</v>
      </c>
      <c r="B8" s="179" t="s">
        <v>206</v>
      </c>
      <c r="C8" s="189">
        <v>46368.0</v>
      </c>
      <c r="D8" s="181" t="s">
        <v>207</v>
      </c>
      <c r="E8" s="182" t="s">
        <v>208</v>
      </c>
      <c r="F8" s="102" t="s">
        <v>218</v>
      </c>
      <c r="G8" s="102"/>
      <c r="H8" s="102" t="s">
        <v>210</v>
      </c>
      <c r="I8" s="102" t="s">
        <v>210</v>
      </c>
      <c r="J8" s="102" t="s">
        <v>210</v>
      </c>
      <c r="K8" s="102" t="s">
        <v>210</v>
      </c>
      <c r="L8" s="102" t="s">
        <v>210</v>
      </c>
      <c r="M8" s="102" t="s">
        <v>210</v>
      </c>
      <c r="N8" s="102" t="s">
        <v>210</v>
      </c>
      <c r="O8" s="102" t="s">
        <v>210</v>
      </c>
      <c r="P8" s="102" t="s">
        <v>210</v>
      </c>
      <c r="Q8" s="183">
        <v>38.19</v>
      </c>
      <c r="R8" s="102" t="s">
        <v>210</v>
      </c>
      <c r="S8" s="102" t="s">
        <v>210</v>
      </c>
      <c r="T8" s="102" t="s">
        <v>210</v>
      </c>
      <c r="U8" s="102" t="s">
        <v>210</v>
      </c>
      <c r="V8" s="187" t="s">
        <v>210</v>
      </c>
    </row>
    <row r="9">
      <c r="A9" s="190" t="s">
        <v>224</v>
      </c>
      <c r="B9" s="179" t="s">
        <v>206</v>
      </c>
      <c r="C9" s="189">
        <v>46082.0</v>
      </c>
      <c r="D9" s="191" t="s">
        <v>225</v>
      </c>
      <c r="E9" s="191"/>
      <c r="F9" s="102" t="s">
        <v>222</v>
      </c>
      <c r="G9" s="102"/>
      <c r="H9" s="102" t="s">
        <v>210</v>
      </c>
      <c r="I9" s="102" t="s">
        <v>210</v>
      </c>
      <c r="J9" s="183">
        <v>799.0</v>
      </c>
      <c r="K9" s="102" t="s">
        <v>210</v>
      </c>
      <c r="L9" s="102" t="s">
        <v>210</v>
      </c>
      <c r="M9" s="102" t="s">
        <v>210</v>
      </c>
      <c r="N9" s="102" t="s">
        <v>210</v>
      </c>
      <c r="O9" s="102" t="s">
        <v>210</v>
      </c>
      <c r="P9" s="102" t="s">
        <v>210</v>
      </c>
      <c r="Q9" s="183" t="s">
        <v>210</v>
      </c>
      <c r="R9" s="102" t="s">
        <v>210</v>
      </c>
      <c r="S9" s="102" t="s">
        <v>210</v>
      </c>
      <c r="T9" s="102" t="s">
        <v>210</v>
      </c>
      <c r="U9" s="102" t="s">
        <v>210</v>
      </c>
      <c r="V9" s="187" t="s">
        <v>210</v>
      </c>
    </row>
    <row r="10">
      <c r="A10" s="190" t="s">
        <v>226</v>
      </c>
      <c r="B10" s="179" t="s">
        <v>212</v>
      </c>
      <c r="C10" s="192">
        <v>4.0</v>
      </c>
      <c r="D10" s="191" t="s">
        <v>225</v>
      </c>
      <c r="E10" s="191"/>
      <c r="F10" s="102" t="s">
        <v>227</v>
      </c>
      <c r="G10" s="102" t="s">
        <v>210</v>
      </c>
      <c r="H10" s="183">
        <v>27.0</v>
      </c>
      <c r="I10" s="183">
        <v>27.0</v>
      </c>
      <c r="J10" s="183">
        <v>36.0</v>
      </c>
      <c r="K10" s="183">
        <v>36.0</v>
      </c>
      <c r="L10" s="183">
        <v>36.0</v>
      </c>
      <c r="M10" s="183">
        <v>36.0</v>
      </c>
      <c r="N10" s="183">
        <v>36.0</v>
      </c>
      <c r="O10" s="183">
        <v>36.0</v>
      </c>
      <c r="P10" s="183">
        <v>36.0</v>
      </c>
      <c r="Q10" s="183">
        <v>36.0</v>
      </c>
      <c r="R10" s="185">
        <v>36.0</v>
      </c>
      <c r="S10" s="185">
        <v>36.0</v>
      </c>
      <c r="T10" s="102" t="s">
        <v>210</v>
      </c>
      <c r="U10" s="102" t="s">
        <v>210</v>
      </c>
      <c r="V10" s="187" t="s">
        <v>210</v>
      </c>
    </row>
    <row r="11">
      <c r="A11" s="190" t="s">
        <v>228</v>
      </c>
      <c r="B11" s="179" t="s">
        <v>212</v>
      </c>
      <c r="C11" s="192">
        <v>1.0</v>
      </c>
      <c r="D11" s="191" t="s">
        <v>225</v>
      </c>
      <c r="E11" s="191"/>
      <c r="F11" s="102" t="s">
        <v>229</v>
      </c>
      <c r="G11" s="102"/>
      <c r="H11" s="102" t="s">
        <v>210</v>
      </c>
      <c r="I11" s="102" t="s">
        <v>210</v>
      </c>
      <c r="J11" s="102" t="s">
        <v>210</v>
      </c>
      <c r="K11" s="102" t="s">
        <v>210</v>
      </c>
      <c r="L11" s="102" t="s">
        <v>210</v>
      </c>
      <c r="M11" s="102" t="s">
        <v>210</v>
      </c>
      <c r="N11" s="185">
        <v>40.0</v>
      </c>
      <c r="O11" s="185">
        <v>40.0</v>
      </c>
      <c r="P11" s="102" t="s">
        <v>210</v>
      </c>
      <c r="Q11" s="183" t="s">
        <v>210</v>
      </c>
      <c r="R11" s="102" t="s">
        <v>210</v>
      </c>
      <c r="S11" s="102" t="s">
        <v>210</v>
      </c>
      <c r="T11" s="102" t="s">
        <v>210</v>
      </c>
      <c r="U11" s="102" t="s">
        <v>210</v>
      </c>
      <c r="V11" s="187" t="s">
        <v>210</v>
      </c>
    </row>
    <row r="12">
      <c r="B12" s="193"/>
      <c r="C12" s="193"/>
      <c r="D12" s="193"/>
      <c r="E12" s="193"/>
    </row>
    <row r="13">
      <c r="A13" s="102" t="s">
        <v>230</v>
      </c>
      <c r="B13" s="193"/>
      <c r="C13" s="193"/>
      <c r="D13" s="193"/>
      <c r="E13" s="193"/>
      <c r="H13" s="183">
        <f t="shared" ref="H13:V13" si="1">H5*1.5-H5</f>
        <v>212.2</v>
      </c>
      <c r="I13" s="183">
        <f t="shared" si="1"/>
        <v>207.4</v>
      </c>
      <c r="J13" s="183">
        <f t="shared" si="1"/>
        <v>207.4</v>
      </c>
      <c r="K13" s="183">
        <f t="shared" si="1"/>
        <v>195.7</v>
      </c>
      <c r="L13" s="183">
        <f t="shared" si="1"/>
        <v>204.2</v>
      </c>
      <c r="M13" s="183">
        <f t="shared" si="1"/>
        <v>220.03</v>
      </c>
      <c r="N13" s="183">
        <f t="shared" si="1"/>
        <v>453.18</v>
      </c>
      <c r="O13" s="183">
        <f t="shared" si="1"/>
        <v>514.42</v>
      </c>
      <c r="P13" s="183">
        <f t="shared" si="1"/>
        <v>497.125</v>
      </c>
      <c r="Q13" s="183">
        <f t="shared" si="1"/>
        <v>503.33</v>
      </c>
      <c r="R13" s="183">
        <f t="shared" si="1"/>
        <v>634.57</v>
      </c>
      <c r="S13" s="183">
        <f t="shared" si="1"/>
        <v>695.6</v>
      </c>
      <c r="T13" s="183">
        <f t="shared" si="1"/>
        <v>717.605</v>
      </c>
      <c r="U13" s="183">
        <f t="shared" si="1"/>
        <v>589.96</v>
      </c>
      <c r="V13" s="183">
        <f t="shared" si="1"/>
        <v>660.355</v>
      </c>
    </row>
    <row r="14">
      <c r="A14" s="184"/>
      <c r="B14" s="194"/>
      <c r="C14" s="194"/>
      <c r="D14" s="194"/>
      <c r="E14" s="194"/>
      <c r="F14" s="121"/>
      <c r="G14" s="184" t="s">
        <v>231</v>
      </c>
      <c r="H14" s="195">
        <f t="shared" ref="H14:V14" si="2">SUM(H2:H13)*35</f>
        <v>46710.65</v>
      </c>
      <c r="I14" s="195">
        <f t="shared" si="2"/>
        <v>46913.3</v>
      </c>
      <c r="J14" s="195">
        <f t="shared" si="2"/>
        <v>76915.65</v>
      </c>
      <c r="K14" s="195">
        <f t="shared" si="2"/>
        <v>46871.65</v>
      </c>
      <c r="L14" s="195">
        <f t="shared" si="2"/>
        <v>52442.6</v>
      </c>
      <c r="M14" s="195">
        <f t="shared" si="2"/>
        <v>60837</v>
      </c>
      <c r="N14" s="195">
        <f t="shared" si="2"/>
        <v>85236.2</v>
      </c>
      <c r="O14" s="195">
        <f t="shared" si="2"/>
        <v>84211.4</v>
      </c>
      <c r="P14" s="195">
        <f t="shared" si="2"/>
        <v>136816.225</v>
      </c>
      <c r="Q14" s="195">
        <f t="shared" si="2"/>
        <v>90040.3</v>
      </c>
      <c r="R14" s="195">
        <f t="shared" si="2"/>
        <v>95956.7</v>
      </c>
      <c r="S14" s="195">
        <f t="shared" si="2"/>
        <v>102285.05</v>
      </c>
      <c r="T14" s="195">
        <f t="shared" si="2"/>
        <v>103195.925</v>
      </c>
      <c r="U14" s="195">
        <f t="shared" si="2"/>
        <v>90494.6</v>
      </c>
      <c r="V14" s="195">
        <f t="shared" si="2"/>
        <v>98292.425</v>
      </c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</row>
    <row r="15">
      <c r="A15" s="196" t="s">
        <v>232</v>
      </c>
      <c r="B15" s="197"/>
      <c r="C15" s="197"/>
      <c r="D15" s="197"/>
      <c r="E15" s="197"/>
      <c r="F15" s="198"/>
      <c r="G15" s="198"/>
      <c r="H15" s="198"/>
      <c r="I15" s="198"/>
      <c r="J15" s="198"/>
      <c r="K15" s="196">
        <v>17.0</v>
      </c>
      <c r="L15" s="196">
        <v>18.0</v>
      </c>
      <c r="M15" s="196">
        <v>24.0</v>
      </c>
      <c r="N15" s="196">
        <v>42.0</v>
      </c>
      <c r="O15" s="196">
        <v>42.0</v>
      </c>
      <c r="P15" s="196">
        <v>39.0</v>
      </c>
      <c r="Q15" s="196">
        <v>35.0</v>
      </c>
      <c r="R15" s="196">
        <v>40.0</v>
      </c>
      <c r="S15" s="196">
        <v>45.0</v>
      </c>
      <c r="T15" s="196">
        <v>46.0</v>
      </c>
      <c r="U15" s="196">
        <v>41.0</v>
      </c>
      <c r="V15" s="196">
        <v>42.0</v>
      </c>
    </row>
    <row r="16">
      <c r="B16" s="193"/>
      <c r="C16" s="193"/>
      <c r="D16" s="193"/>
      <c r="E16" s="193"/>
    </row>
    <row r="17">
      <c r="B17" s="193"/>
      <c r="C17" s="193"/>
      <c r="D17" s="193"/>
      <c r="E17" s="193"/>
    </row>
    <row r="18">
      <c r="A18" s="102" t="s">
        <v>233</v>
      </c>
      <c r="B18" s="199">
        <f>SUM(K14:V14)</f>
        <v>1046680.075</v>
      </c>
      <c r="C18" s="193"/>
      <c r="D18" s="193"/>
      <c r="E18" s="19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</row>
    <row r="19">
      <c r="B19" s="193"/>
      <c r="C19" s="193"/>
      <c r="D19" s="193"/>
      <c r="E19" s="193"/>
    </row>
    <row r="20">
      <c r="B20" s="193"/>
      <c r="C20" s="193"/>
      <c r="D20" s="193"/>
      <c r="E20" s="193"/>
    </row>
    <row r="21">
      <c r="B21" s="193"/>
      <c r="C21" s="193"/>
      <c r="D21" s="193"/>
      <c r="E21" s="193"/>
    </row>
    <row r="22">
      <c r="B22" s="179"/>
      <c r="C22" s="200"/>
      <c r="D22" s="193"/>
      <c r="E22" s="193"/>
    </row>
    <row r="23">
      <c r="B23" s="201"/>
      <c r="C23" s="179"/>
      <c r="D23" s="193"/>
      <c r="E23" s="193"/>
    </row>
    <row r="24">
      <c r="B24" s="201"/>
      <c r="C24" s="179"/>
      <c r="D24" s="193"/>
      <c r="E24" s="193"/>
    </row>
    <row r="25">
      <c r="B25" s="201"/>
      <c r="C25" s="179"/>
      <c r="D25" s="193"/>
      <c r="E25" s="193"/>
    </row>
    <row r="26">
      <c r="B26" s="193"/>
      <c r="C26" s="193"/>
      <c r="D26" s="193"/>
      <c r="E26" s="193"/>
    </row>
    <row r="27">
      <c r="B27" s="193"/>
      <c r="C27" s="179"/>
      <c r="D27" s="193"/>
      <c r="E27" s="193"/>
    </row>
    <row r="28">
      <c r="B28" s="193"/>
      <c r="C28" s="200"/>
      <c r="D28" s="193"/>
      <c r="E28" s="193"/>
    </row>
    <row r="29">
      <c r="B29" s="193"/>
      <c r="C29" s="193"/>
      <c r="D29" s="193"/>
      <c r="E29" s="193"/>
    </row>
    <row r="30">
      <c r="A30" s="96" t="s">
        <v>234</v>
      </c>
      <c r="B30" s="202" t="s">
        <v>212</v>
      </c>
      <c r="C30" s="202">
        <v>1.0</v>
      </c>
      <c r="D30" s="202" t="s">
        <v>207</v>
      </c>
      <c r="E30" s="202"/>
      <c r="F30" s="96" t="s">
        <v>235</v>
      </c>
      <c r="G30" s="96"/>
      <c r="H30" s="203">
        <v>7567.47</v>
      </c>
      <c r="I30" s="203">
        <v>7037.99</v>
      </c>
      <c r="J30" s="203">
        <v>7699.45</v>
      </c>
      <c r="K30" s="203">
        <v>7753.38</v>
      </c>
      <c r="L30" s="203">
        <v>9103.31</v>
      </c>
      <c r="M30" s="203">
        <v>8970.96</v>
      </c>
      <c r="N30" s="203">
        <v>9092.62</v>
      </c>
      <c r="O30" s="203">
        <v>13186.36</v>
      </c>
      <c r="P30" s="203">
        <v>22225.59</v>
      </c>
      <c r="Q30" s="203">
        <v>10667.12</v>
      </c>
      <c r="R30" s="204">
        <v>10406.61</v>
      </c>
      <c r="S30" s="204">
        <v>10888.43</v>
      </c>
      <c r="T30" s="204">
        <v>11336.8</v>
      </c>
      <c r="U30" s="204">
        <v>10323.53</v>
      </c>
      <c r="V30" s="205"/>
    </row>
    <row r="31">
      <c r="A31" s="102" t="s">
        <v>234</v>
      </c>
      <c r="B31" s="193"/>
      <c r="C31" s="193"/>
      <c r="D31" s="193"/>
      <c r="E31" s="193"/>
      <c r="G31" s="102" t="s">
        <v>231</v>
      </c>
      <c r="H31" s="206">
        <f t="shared" ref="H31:U31" si="3">H30*35</f>
        <v>264861.45</v>
      </c>
      <c r="I31" s="206">
        <f t="shared" si="3"/>
        <v>246329.65</v>
      </c>
      <c r="J31" s="206">
        <f t="shared" si="3"/>
        <v>269480.75</v>
      </c>
      <c r="K31" s="206">
        <f t="shared" si="3"/>
        <v>271368.3</v>
      </c>
      <c r="L31" s="206">
        <f t="shared" si="3"/>
        <v>318615.85</v>
      </c>
      <c r="M31" s="206">
        <f t="shared" si="3"/>
        <v>313983.6</v>
      </c>
      <c r="N31" s="206">
        <f t="shared" si="3"/>
        <v>318241.7</v>
      </c>
      <c r="O31" s="206">
        <f t="shared" si="3"/>
        <v>461522.6</v>
      </c>
      <c r="P31" s="206">
        <f t="shared" si="3"/>
        <v>777895.65</v>
      </c>
      <c r="Q31" s="206">
        <f t="shared" si="3"/>
        <v>373349.2</v>
      </c>
      <c r="R31" s="206">
        <f t="shared" si="3"/>
        <v>364231.35</v>
      </c>
      <c r="S31" s="206">
        <f t="shared" si="3"/>
        <v>381095.05</v>
      </c>
      <c r="T31" s="206">
        <f t="shared" si="3"/>
        <v>396788</v>
      </c>
      <c r="U31" s="206">
        <f t="shared" si="3"/>
        <v>361323.55</v>
      </c>
    </row>
    <row r="32">
      <c r="B32" s="193"/>
      <c r="C32" s="193"/>
      <c r="D32" s="193"/>
      <c r="E32" s="193"/>
    </row>
    <row r="33">
      <c r="B33" s="179"/>
      <c r="C33" s="179"/>
      <c r="D33" s="193"/>
      <c r="E33" s="193"/>
    </row>
    <row r="34">
      <c r="B34" s="193"/>
      <c r="C34" s="193"/>
      <c r="D34" s="193"/>
      <c r="E34" s="193"/>
    </row>
    <row r="35">
      <c r="B35" s="193"/>
      <c r="C35" s="193"/>
      <c r="D35" s="193"/>
      <c r="E35" s="193"/>
    </row>
    <row r="36">
      <c r="B36" s="193"/>
      <c r="C36" s="193"/>
      <c r="D36" s="193"/>
      <c r="E36" s="193"/>
    </row>
    <row r="37">
      <c r="B37" s="193"/>
      <c r="C37" s="193"/>
      <c r="D37" s="193"/>
      <c r="E37" s="193"/>
    </row>
    <row r="38">
      <c r="B38" s="193"/>
      <c r="C38" s="193"/>
      <c r="D38" s="193"/>
      <c r="E38" s="193"/>
    </row>
    <row r="39">
      <c r="B39" s="193"/>
      <c r="C39" s="193"/>
      <c r="D39" s="193"/>
      <c r="E39" s="193"/>
    </row>
    <row r="40">
      <c r="B40" s="193"/>
      <c r="C40" s="193"/>
      <c r="D40" s="193"/>
      <c r="E40" s="193"/>
    </row>
    <row r="41">
      <c r="B41" s="193"/>
      <c r="C41" s="193"/>
      <c r="D41" s="193"/>
      <c r="E41" s="193"/>
    </row>
    <row r="42">
      <c r="B42" s="193"/>
      <c r="C42" s="193"/>
      <c r="D42" s="193"/>
      <c r="E42" s="193"/>
    </row>
    <row r="43">
      <c r="B43" s="193"/>
      <c r="C43" s="193"/>
      <c r="D43" s="193"/>
      <c r="E43" s="193"/>
    </row>
    <row r="44">
      <c r="B44" s="193"/>
      <c r="C44" s="193"/>
      <c r="D44" s="193"/>
      <c r="E44" s="193"/>
    </row>
    <row r="45">
      <c r="B45" s="193"/>
      <c r="C45" s="193"/>
      <c r="D45" s="193"/>
      <c r="E45" s="193"/>
    </row>
    <row r="46">
      <c r="B46" s="193"/>
      <c r="C46" s="193"/>
      <c r="D46" s="193"/>
      <c r="E46" s="193"/>
    </row>
    <row r="47">
      <c r="B47" s="193"/>
      <c r="C47" s="193"/>
      <c r="D47" s="193"/>
      <c r="E47" s="193"/>
    </row>
    <row r="48">
      <c r="B48" s="193"/>
      <c r="C48" s="193"/>
      <c r="D48" s="193"/>
      <c r="E48" s="193"/>
    </row>
    <row r="49">
      <c r="B49" s="193"/>
      <c r="C49" s="193"/>
      <c r="D49" s="193"/>
      <c r="E49" s="193"/>
    </row>
    <row r="50">
      <c r="B50" s="193"/>
      <c r="C50" s="193"/>
      <c r="D50" s="193"/>
      <c r="E50" s="193"/>
    </row>
    <row r="51">
      <c r="B51" s="193"/>
      <c r="C51" s="193"/>
      <c r="D51" s="193"/>
      <c r="E51" s="193"/>
    </row>
    <row r="52">
      <c r="B52" s="193"/>
      <c r="C52" s="193"/>
      <c r="D52" s="193"/>
      <c r="E52" s="193"/>
    </row>
    <row r="53">
      <c r="B53" s="193"/>
      <c r="C53" s="193"/>
      <c r="D53" s="193"/>
      <c r="E53" s="193"/>
    </row>
    <row r="54">
      <c r="B54" s="193"/>
      <c r="C54" s="193"/>
      <c r="D54" s="193"/>
      <c r="E54" s="193"/>
    </row>
    <row r="55">
      <c r="B55" s="193"/>
      <c r="C55" s="193"/>
      <c r="D55" s="193"/>
      <c r="E55" s="193"/>
    </row>
    <row r="56">
      <c r="B56" s="193"/>
      <c r="C56" s="193"/>
      <c r="D56" s="193"/>
      <c r="E56" s="193"/>
    </row>
    <row r="57">
      <c r="B57" s="193"/>
      <c r="C57" s="193"/>
      <c r="D57" s="193"/>
      <c r="E57" s="193"/>
    </row>
    <row r="58">
      <c r="B58" s="193"/>
      <c r="C58" s="193"/>
      <c r="D58" s="193"/>
      <c r="E58" s="193"/>
    </row>
    <row r="59">
      <c r="B59" s="193"/>
      <c r="C59" s="193"/>
      <c r="D59" s="193"/>
      <c r="E59" s="193"/>
    </row>
    <row r="60">
      <c r="B60" s="193"/>
      <c r="C60" s="193"/>
      <c r="D60" s="193"/>
      <c r="E60" s="193"/>
    </row>
    <row r="61">
      <c r="B61" s="193"/>
      <c r="C61" s="193"/>
      <c r="D61" s="193"/>
      <c r="E61" s="193"/>
    </row>
    <row r="62">
      <c r="B62" s="193"/>
      <c r="C62" s="193"/>
      <c r="D62" s="193"/>
      <c r="E62" s="193"/>
    </row>
    <row r="63">
      <c r="B63" s="193"/>
      <c r="C63" s="193"/>
      <c r="D63" s="193"/>
      <c r="E63" s="193"/>
    </row>
    <row r="64">
      <c r="B64" s="193"/>
      <c r="C64" s="193"/>
      <c r="D64" s="193"/>
      <c r="E64" s="193"/>
    </row>
    <row r="65">
      <c r="B65" s="193"/>
      <c r="C65" s="193"/>
      <c r="D65" s="193"/>
      <c r="E65" s="193"/>
    </row>
    <row r="66">
      <c r="B66" s="193"/>
      <c r="C66" s="193"/>
      <c r="D66" s="193"/>
      <c r="E66" s="193"/>
    </row>
    <row r="67">
      <c r="B67" s="193"/>
      <c r="C67" s="193"/>
      <c r="D67" s="193"/>
      <c r="E67" s="193"/>
    </row>
    <row r="68">
      <c r="B68" s="193"/>
      <c r="C68" s="193"/>
      <c r="D68" s="193"/>
      <c r="E68" s="193"/>
    </row>
    <row r="69">
      <c r="B69" s="193"/>
      <c r="C69" s="193"/>
      <c r="D69" s="193"/>
      <c r="E69" s="193"/>
    </row>
    <row r="70">
      <c r="B70" s="193"/>
      <c r="C70" s="193"/>
      <c r="D70" s="193"/>
      <c r="E70" s="193"/>
    </row>
    <row r="71">
      <c r="B71" s="193"/>
      <c r="C71" s="193"/>
      <c r="D71" s="193"/>
      <c r="E71" s="193"/>
    </row>
    <row r="72">
      <c r="B72" s="193"/>
      <c r="C72" s="193"/>
      <c r="D72" s="193"/>
      <c r="E72" s="193"/>
    </row>
    <row r="73">
      <c r="B73" s="193"/>
      <c r="C73" s="193"/>
      <c r="D73" s="193"/>
      <c r="E73" s="193"/>
    </row>
    <row r="74">
      <c r="B74" s="193"/>
      <c r="C74" s="193"/>
      <c r="D74" s="193"/>
      <c r="E74" s="193"/>
    </row>
    <row r="75">
      <c r="B75" s="193"/>
      <c r="C75" s="193"/>
      <c r="D75" s="193"/>
      <c r="E75" s="193"/>
    </row>
    <row r="76">
      <c r="B76" s="193"/>
      <c r="C76" s="193"/>
      <c r="D76" s="193"/>
      <c r="E76" s="193"/>
    </row>
    <row r="77">
      <c r="B77" s="193"/>
      <c r="C77" s="193"/>
      <c r="D77" s="193"/>
      <c r="E77" s="193"/>
    </row>
    <row r="78">
      <c r="B78" s="193"/>
      <c r="C78" s="193"/>
      <c r="D78" s="193"/>
      <c r="E78" s="193"/>
    </row>
    <row r="79">
      <c r="B79" s="193"/>
      <c r="C79" s="193"/>
      <c r="D79" s="193"/>
      <c r="E79" s="193"/>
    </row>
    <row r="80">
      <c r="B80" s="193"/>
      <c r="C80" s="193"/>
      <c r="D80" s="193"/>
      <c r="E80" s="193"/>
    </row>
    <row r="81">
      <c r="B81" s="193"/>
      <c r="C81" s="193"/>
      <c r="D81" s="193"/>
      <c r="E81" s="193"/>
    </row>
    <row r="82">
      <c r="B82" s="193"/>
      <c r="C82" s="193"/>
      <c r="D82" s="193"/>
      <c r="E82" s="193"/>
    </row>
    <row r="83">
      <c r="B83" s="193"/>
      <c r="C83" s="193"/>
      <c r="D83" s="193"/>
      <c r="E83" s="193"/>
    </row>
    <row r="84">
      <c r="B84" s="193"/>
      <c r="C84" s="193"/>
      <c r="D84" s="193"/>
      <c r="E84" s="193"/>
    </row>
    <row r="85">
      <c r="B85" s="193"/>
      <c r="C85" s="193"/>
      <c r="D85" s="193"/>
      <c r="E85" s="193"/>
    </row>
    <row r="86">
      <c r="B86" s="193"/>
      <c r="C86" s="193"/>
      <c r="D86" s="193"/>
      <c r="E86" s="193"/>
    </row>
    <row r="87">
      <c r="B87" s="193"/>
      <c r="C87" s="193"/>
      <c r="D87" s="193"/>
      <c r="E87" s="193"/>
    </row>
    <row r="88">
      <c r="B88" s="193"/>
      <c r="C88" s="193"/>
      <c r="D88" s="193"/>
      <c r="E88" s="193"/>
    </row>
    <row r="89">
      <c r="B89" s="193"/>
      <c r="C89" s="193"/>
      <c r="D89" s="193"/>
      <c r="E89" s="193"/>
    </row>
    <row r="90">
      <c r="B90" s="193"/>
      <c r="C90" s="193"/>
      <c r="D90" s="193"/>
      <c r="E90" s="193"/>
    </row>
    <row r="91">
      <c r="B91" s="193"/>
      <c r="C91" s="193"/>
      <c r="D91" s="193"/>
      <c r="E91" s="193"/>
    </row>
    <row r="92">
      <c r="B92" s="193"/>
      <c r="C92" s="193"/>
      <c r="D92" s="193"/>
      <c r="E92" s="193"/>
    </row>
    <row r="93">
      <c r="B93" s="193"/>
      <c r="C93" s="193"/>
      <c r="D93" s="193"/>
      <c r="E93" s="193"/>
    </row>
    <row r="94">
      <c r="B94" s="193"/>
      <c r="C94" s="193"/>
      <c r="D94" s="193"/>
      <c r="E94" s="193"/>
    </row>
    <row r="95">
      <c r="B95" s="193"/>
      <c r="C95" s="193"/>
      <c r="D95" s="193"/>
      <c r="E95" s="193"/>
    </row>
    <row r="96">
      <c r="B96" s="193"/>
      <c r="C96" s="193"/>
      <c r="D96" s="193"/>
      <c r="E96" s="193"/>
    </row>
    <row r="97">
      <c r="B97" s="193"/>
      <c r="C97" s="193"/>
      <c r="D97" s="193"/>
      <c r="E97" s="193"/>
    </row>
    <row r="98">
      <c r="B98" s="193"/>
      <c r="C98" s="193"/>
      <c r="D98" s="193"/>
      <c r="E98" s="193"/>
    </row>
    <row r="99">
      <c r="B99" s="193"/>
      <c r="C99" s="193"/>
      <c r="D99" s="193"/>
      <c r="E99" s="193"/>
    </row>
    <row r="100">
      <c r="B100" s="193"/>
      <c r="C100" s="193"/>
      <c r="D100" s="193"/>
      <c r="E100" s="193"/>
    </row>
    <row r="101">
      <c r="B101" s="193"/>
      <c r="C101" s="193"/>
      <c r="D101" s="193"/>
      <c r="E101" s="193"/>
    </row>
    <row r="102">
      <c r="B102" s="193"/>
      <c r="C102" s="193"/>
      <c r="D102" s="193"/>
      <c r="E102" s="193"/>
    </row>
    <row r="103">
      <c r="B103" s="193"/>
      <c r="C103" s="193"/>
      <c r="D103" s="193"/>
      <c r="E103" s="193"/>
    </row>
    <row r="104">
      <c r="B104" s="193"/>
      <c r="C104" s="193"/>
      <c r="D104" s="193"/>
      <c r="E104" s="193"/>
    </row>
    <row r="105">
      <c r="B105" s="193"/>
      <c r="C105" s="193"/>
      <c r="D105" s="193"/>
      <c r="E105" s="193"/>
    </row>
    <row r="106">
      <c r="B106" s="193"/>
      <c r="C106" s="193"/>
      <c r="D106" s="193"/>
      <c r="E106" s="193"/>
    </row>
    <row r="107">
      <c r="B107" s="193"/>
      <c r="C107" s="193"/>
      <c r="D107" s="193"/>
      <c r="E107" s="193"/>
    </row>
    <row r="108">
      <c r="B108" s="193"/>
      <c r="C108" s="193"/>
      <c r="D108" s="193"/>
      <c r="E108" s="193"/>
    </row>
    <row r="109">
      <c r="B109" s="193"/>
      <c r="C109" s="193"/>
      <c r="D109" s="193"/>
      <c r="E109" s="193"/>
    </row>
    <row r="110">
      <c r="B110" s="193"/>
      <c r="C110" s="193"/>
      <c r="D110" s="193"/>
      <c r="E110" s="193"/>
    </row>
    <row r="111">
      <c r="B111" s="193"/>
      <c r="C111" s="193"/>
      <c r="D111" s="193"/>
      <c r="E111" s="193"/>
    </row>
    <row r="112">
      <c r="B112" s="193"/>
      <c r="C112" s="193"/>
      <c r="D112" s="193"/>
      <c r="E112" s="193"/>
    </row>
    <row r="113">
      <c r="B113" s="193"/>
      <c r="C113" s="193"/>
      <c r="D113" s="193"/>
      <c r="E113" s="193"/>
    </row>
    <row r="114">
      <c r="B114" s="193"/>
      <c r="C114" s="193"/>
      <c r="D114" s="193"/>
      <c r="E114" s="193"/>
    </row>
    <row r="115">
      <c r="B115" s="193"/>
      <c r="C115" s="193"/>
      <c r="D115" s="193"/>
      <c r="E115" s="193"/>
    </row>
    <row r="116">
      <c r="B116" s="193"/>
      <c r="C116" s="193"/>
      <c r="D116" s="193"/>
      <c r="E116" s="193"/>
    </row>
    <row r="117">
      <c r="B117" s="193"/>
      <c r="C117" s="193"/>
      <c r="D117" s="193"/>
      <c r="E117" s="193"/>
    </row>
    <row r="118">
      <c r="B118" s="193"/>
      <c r="C118" s="193"/>
      <c r="D118" s="193"/>
      <c r="E118" s="193"/>
    </row>
    <row r="119">
      <c r="B119" s="193"/>
      <c r="C119" s="193"/>
      <c r="D119" s="193"/>
      <c r="E119" s="193"/>
    </row>
    <row r="120">
      <c r="B120" s="193"/>
      <c r="C120" s="193"/>
      <c r="D120" s="193"/>
      <c r="E120" s="193"/>
    </row>
    <row r="121">
      <c r="B121" s="193"/>
      <c r="C121" s="193"/>
      <c r="D121" s="193"/>
      <c r="E121" s="193"/>
    </row>
    <row r="122">
      <c r="B122" s="193"/>
      <c r="C122" s="193"/>
      <c r="D122" s="193"/>
      <c r="E122" s="193"/>
    </row>
    <row r="123">
      <c r="B123" s="193"/>
      <c r="C123" s="193"/>
      <c r="D123" s="193"/>
      <c r="E123" s="193"/>
    </row>
    <row r="124">
      <c r="B124" s="193"/>
      <c r="C124" s="193"/>
      <c r="D124" s="193"/>
      <c r="E124" s="193"/>
    </row>
    <row r="125">
      <c r="B125" s="193"/>
      <c r="C125" s="193"/>
      <c r="D125" s="193"/>
      <c r="E125" s="193"/>
    </row>
    <row r="126">
      <c r="B126" s="193"/>
      <c r="C126" s="193"/>
      <c r="D126" s="193"/>
      <c r="E126" s="193"/>
    </row>
    <row r="127">
      <c r="B127" s="193"/>
      <c r="C127" s="193"/>
      <c r="D127" s="193"/>
      <c r="E127" s="193"/>
    </row>
    <row r="128">
      <c r="B128" s="193"/>
      <c r="C128" s="193"/>
      <c r="D128" s="193"/>
      <c r="E128" s="193"/>
    </row>
    <row r="129">
      <c r="B129" s="193"/>
      <c r="C129" s="193"/>
      <c r="D129" s="193"/>
      <c r="E129" s="193"/>
    </row>
    <row r="130">
      <c r="B130" s="193"/>
      <c r="C130" s="193"/>
      <c r="D130" s="193"/>
      <c r="E130" s="193"/>
    </row>
    <row r="131">
      <c r="B131" s="193"/>
      <c r="C131" s="193"/>
      <c r="D131" s="193"/>
      <c r="E131" s="193"/>
    </row>
    <row r="132">
      <c r="B132" s="193"/>
      <c r="C132" s="193"/>
      <c r="D132" s="193"/>
      <c r="E132" s="193"/>
    </row>
    <row r="133">
      <c r="B133" s="193"/>
      <c r="C133" s="193"/>
      <c r="D133" s="193"/>
      <c r="E133" s="193"/>
    </row>
    <row r="134">
      <c r="B134" s="193"/>
      <c r="C134" s="193"/>
      <c r="D134" s="193"/>
      <c r="E134" s="193"/>
    </row>
    <row r="135">
      <c r="B135" s="193"/>
      <c r="C135" s="193"/>
      <c r="D135" s="193"/>
      <c r="E135" s="193"/>
    </row>
    <row r="136">
      <c r="B136" s="193"/>
      <c r="C136" s="193"/>
      <c r="D136" s="193"/>
      <c r="E136" s="193"/>
    </row>
    <row r="137">
      <c r="B137" s="193"/>
      <c r="C137" s="193"/>
      <c r="D137" s="193"/>
      <c r="E137" s="193"/>
    </row>
    <row r="138">
      <c r="B138" s="193"/>
      <c r="C138" s="193"/>
      <c r="D138" s="193"/>
      <c r="E138" s="193"/>
    </row>
    <row r="139">
      <c r="B139" s="193"/>
      <c r="C139" s="193"/>
      <c r="D139" s="193"/>
      <c r="E139" s="193"/>
    </row>
    <row r="140">
      <c r="B140" s="193"/>
      <c r="C140" s="193"/>
      <c r="D140" s="193"/>
      <c r="E140" s="193"/>
    </row>
    <row r="141">
      <c r="B141" s="193"/>
      <c r="C141" s="193"/>
      <c r="D141" s="193"/>
      <c r="E141" s="193"/>
    </row>
    <row r="142">
      <c r="B142" s="193"/>
      <c r="C142" s="193"/>
      <c r="D142" s="193"/>
      <c r="E142" s="193"/>
    </row>
    <row r="143">
      <c r="B143" s="193"/>
      <c r="C143" s="193"/>
      <c r="D143" s="193"/>
      <c r="E143" s="193"/>
    </row>
    <row r="144">
      <c r="B144" s="193"/>
      <c r="C144" s="193"/>
      <c r="D144" s="193"/>
      <c r="E144" s="193"/>
    </row>
    <row r="145">
      <c r="B145" s="193"/>
      <c r="C145" s="193"/>
      <c r="D145" s="193"/>
      <c r="E145" s="193"/>
    </row>
    <row r="146">
      <c r="B146" s="193"/>
      <c r="C146" s="193"/>
      <c r="D146" s="193"/>
      <c r="E146" s="193"/>
    </row>
    <row r="147">
      <c r="B147" s="193"/>
      <c r="C147" s="193"/>
      <c r="D147" s="193"/>
      <c r="E147" s="193"/>
    </row>
    <row r="148">
      <c r="B148" s="193"/>
      <c r="C148" s="193"/>
      <c r="D148" s="193"/>
      <c r="E148" s="193"/>
    </row>
    <row r="149">
      <c r="B149" s="193"/>
      <c r="C149" s="193"/>
      <c r="D149" s="193"/>
      <c r="E149" s="193"/>
    </row>
    <row r="150">
      <c r="B150" s="193"/>
      <c r="C150" s="193"/>
      <c r="D150" s="193"/>
      <c r="E150" s="193"/>
    </row>
    <row r="151">
      <c r="B151" s="193"/>
      <c r="C151" s="193"/>
      <c r="D151" s="193"/>
      <c r="E151" s="193"/>
    </row>
    <row r="152">
      <c r="B152" s="193"/>
      <c r="C152" s="193"/>
      <c r="D152" s="193"/>
      <c r="E152" s="193"/>
    </row>
    <row r="153">
      <c r="B153" s="193"/>
      <c r="C153" s="193"/>
      <c r="D153" s="193"/>
      <c r="E153" s="193"/>
    </row>
    <row r="154">
      <c r="B154" s="193"/>
      <c r="C154" s="193"/>
      <c r="D154" s="193"/>
      <c r="E154" s="193"/>
    </row>
    <row r="155">
      <c r="B155" s="193"/>
      <c r="C155" s="193"/>
      <c r="D155" s="193"/>
      <c r="E155" s="193"/>
    </row>
    <row r="156">
      <c r="B156" s="193"/>
      <c r="C156" s="193"/>
      <c r="D156" s="193"/>
      <c r="E156" s="193"/>
    </row>
    <row r="157">
      <c r="B157" s="193"/>
      <c r="C157" s="193"/>
      <c r="D157" s="193"/>
      <c r="E157" s="193"/>
    </row>
    <row r="158">
      <c r="B158" s="193"/>
      <c r="C158" s="193"/>
      <c r="D158" s="193"/>
      <c r="E158" s="193"/>
    </row>
    <row r="159">
      <c r="B159" s="193"/>
      <c r="C159" s="193"/>
      <c r="D159" s="193"/>
      <c r="E159" s="193"/>
    </row>
    <row r="160">
      <c r="B160" s="193"/>
      <c r="C160" s="193"/>
      <c r="D160" s="193"/>
      <c r="E160" s="193"/>
    </row>
    <row r="161">
      <c r="B161" s="193"/>
      <c r="C161" s="193"/>
      <c r="D161" s="193"/>
      <c r="E161" s="193"/>
    </row>
    <row r="162">
      <c r="B162" s="193"/>
      <c r="C162" s="193"/>
      <c r="D162" s="193"/>
      <c r="E162" s="193"/>
    </row>
    <row r="163">
      <c r="B163" s="193"/>
      <c r="C163" s="193"/>
      <c r="D163" s="193"/>
      <c r="E163" s="193"/>
    </row>
    <row r="164">
      <c r="B164" s="193"/>
      <c r="C164" s="193"/>
      <c r="D164" s="193"/>
      <c r="E164" s="193"/>
    </row>
    <row r="165">
      <c r="B165" s="193"/>
      <c r="C165" s="193"/>
      <c r="D165" s="193"/>
      <c r="E165" s="193"/>
    </row>
    <row r="166">
      <c r="B166" s="193"/>
      <c r="C166" s="193"/>
      <c r="D166" s="193"/>
      <c r="E166" s="193"/>
    </row>
    <row r="167">
      <c r="B167" s="193"/>
      <c r="C167" s="193"/>
      <c r="D167" s="193"/>
      <c r="E167" s="193"/>
    </row>
    <row r="168">
      <c r="B168" s="193"/>
      <c r="C168" s="193"/>
      <c r="D168" s="193"/>
      <c r="E168" s="193"/>
    </row>
    <row r="169">
      <c r="B169" s="193"/>
      <c r="C169" s="193"/>
      <c r="D169" s="193"/>
      <c r="E169" s="193"/>
    </row>
    <row r="170">
      <c r="B170" s="193"/>
      <c r="C170" s="193"/>
      <c r="D170" s="193"/>
      <c r="E170" s="193"/>
    </row>
    <row r="171">
      <c r="B171" s="193"/>
      <c r="C171" s="193"/>
      <c r="D171" s="193"/>
      <c r="E171" s="193"/>
    </row>
    <row r="172">
      <c r="B172" s="193"/>
      <c r="C172" s="193"/>
      <c r="D172" s="193"/>
      <c r="E172" s="193"/>
    </row>
    <row r="173">
      <c r="B173" s="193"/>
      <c r="C173" s="193"/>
      <c r="D173" s="193"/>
      <c r="E173" s="193"/>
    </row>
    <row r="174">
      <c r="B174" s="193"/>
      <c r="C174" s="193"/>
      <c r="D174" s="193"/>
      <c r="E174" s="193"/>
    </row>
    <row r="175">
      <c r="B175" s="193"/>
      <c r="C175" s="193"/>
      <c r="D175" s="193"/>
      <c r="E175" s="193"/>
    </row>
    <row r="176">
      <c r="B176" s="193"/>
      <c r="C176" s="193"/>
      <c r="D176" s="193"/>
      <c r="E176" s="193"/>
    </row>
    <row r="177">
      <c r="B177" s="193"/>
      <c r="C177" s="193"/>
      <c r="D177" s="193"/>
      <c r="E177" s="193"/>
    </row>
    <row r="178">
      <c r="B178" s="193"/>
      <c r="C178" s="193"/>
      <c r="D178" s="193"/>
      <c r="E178" s="193"/>
    </row>
    <row r="179">
      <c r="B179" s="193"/>
      <c r="C179" s="193"/>
      <c r="D179" s="193"/>
      <c r="E179" s="193"/>
    </row>
    <row r="180">
      <c r="B180" s="193"/>
      <c r="C180" s="193"/>
      <c r="D180" s="193"/>
      <c r="E180" s="193"/>
    </row>
    <row r="181">
      <c r="B181" s="193"/>
      <c r="C181" s="193"/>
      <c r="D181" s="193"/>
      <c r="E181" s="193"/>
    </row>
    <row r="182">
      <c r="B182" s="193"/>
      <c r="C182" s="193"/>
      <c r="D182" s="193"/>
      <c r="E182" s="193"/>
    </row>
    <row r="183">
      <c r="B183" s="193"/>
      <c r="C183" s="193"/>
      <c r="D183" s="193"/>
      <c r="E183" s="193"/>
    </row>
    <row r="184">
      <c r="B184" s="193"/>
      <c r="C184" s="193"/>
      <c r="D184" s="193"/>
      <c r="E184" s="193"/>
    </row>
    <row r="185">
      <c r="B185" s="193"/>
      <c r="C185" s="193"/>
      <c r="D185" s="193"/>
      <c r="E185" s="193"/>
    </row>
    <row r="186">
      <c r="B186" s="193"/>
      <c r="C186" s="193"/>
      <c r="D186" s="193"/>
      <c r="E186" s="193"/>
    </row>
    <row r="187">
      <c r="B187" s="193"/>
      <c r="C187" s="193"/>
      <c r="D187" s="193"/>
      <c r="E187" s="193"/>
    </row>
    <row r="188">
      <c r="B188" s="193"/>
      <c r="C188" s="193"/>
      <c r="D188" s="193"/>
      <c r="E188" s="193"/>
    </row>
    <row r="189">
      <c r="B189" s="193"/>
      <c r="C189" s="193"/>
      <c r="D189" s="193"/>
      <c r="E189" s="193"/>
    </row>
    <row r="190">
      <c r="B190" s="193"/>
      <c r="C190" s="193"/>
      <c r="D190" s="193"/>
      <c r="E190" s="193"/>
    </row>
    <row r="191">
      <c r="B191" s="193"/>
      <c r="C191" s="193"/>
      <c r="D191" s="193"/>
      <c r="E191" s="193"/>
    </row>
    <row r="192">
      <c r="B192" s="193"/>
      <c r="C192" s="193"/>
      <c r="D192" s="193"/>
      <c r="E192" s="193"/>
    </row>
    <row r="193">
      <c r="B193" s="193"/>
      <c r="C193" s="193"/>
      <c r="D193" s="193"/>
      <c r="E193" s="193"/>
    </row>
    <row r="194">
      <c r="B194" s="193"/>
      <c r="C194" s="193"/>
      <c r="D194" s="193"/>
      <c r="E194" s="193"/>
    </row>
    <row r="195">
      <c r="B195" s="193"/>
      <c r="C195" s="193"/>
      <c r="D195" s="193"/>
      <c r="E195" s="193"/>
    </row>
    <row r="196">
      <c r="B196" s="193"/>
      <c r="C196" s="193"/>
      <c r="D196" s="193"/>
      <c r="E196" s="193"/>
    </row>
    <row r="197">
      <c r="B197" s="193"/>
      <c r="C197" s="193"/>
      <c r="D197" s="193"/>
      <c r="E197" s="193"/>
    </row>
    <row r="198">
      <c r="B198" s="193"/>
      <c r="C198" s="193"/>
      <c r="D198" s="193"/>
      <c r="E198" s="193"/>
    </row>
    <row r="199">
      <c r="B199" s="193"/>
      <c r="C199" s="193"/>
      <c r="D199" s="193"/>
      <c r="E199" s="193"/>
    </row>
    <row r="200">
      <c r="B200" s="193"/>
      <c r="C200" s="193"/>
      <c r="D200" s="193"/>
      <c r="E200" s="193"/>
    </row>
    <row r="201">
      <c r="B201" s="193"/>
      <c r="C201" s="193"/>
      <c r="D201" s="193"/>
      <c r="E201" s="193"/>
    </row>
    <row r="202">
      <c r="B202" s="193"/>
      <c r="C202" s="193"/>
      <c r="D202" s="193"/>
      <c r="E202" s="193"/>
    </row>
    <row r="203">
      <c r="B203" s="193"/>
      <c r="C203" s="193"/>
      <c r="D203" s="193"/>
      <c r="E203" s="193"/>
    </row>
    <row r="204">
      <c r="B204" s="193"/>
      <c r="C204" s="193"/>
      <c r="D204" s="193"/>
      <c r="E204" s="193"/>
    </row>
    <row r="205">
      <c r="B205" s="193"/>
      <c r="C205" s="193"/>
      <c r="D205" s="193"/>
      <c r="E205" s="193"/>
    </row>
    <row r="206">
      <c r="B206" s="193"/>
      <c r="C206" s="193"/>
      <c r="D206" s="193"/>
      <c r="E206" s="193"/>
    </row>
    <row r="207">
      <c r="B207" s="193"/>
      <c r="C207" s="193"/>
      <c r="D207" s="193"/>
      <c r="E207" s="193"/>
    </row>
    <row r="208">
      <c r="B208" s="193"/>
      <c r="C208" s="193"/>
      <c r="D208" s="193"/>
      <c r="E208" s="193"/>
    </row>
    <row r="209">
      <c r="B209" s="193"/>
      <c r="C209" s="193"/>
      <c r="D209" s="193"/>
      <c r="E209" s="193"/>
    </row>
    <row r="210">
      <c r="B210" s="193"/>
      <c r="C210" s="193"/>
      <c r="D210" s="193"/>
      <c r="E210" s="193"/>
    </row>
    <row r="211">
      <c r="B211" s="193"/>
      <c r="C211" s="193"/>
      <c r="D211" s="193"/>
      <c r="E211" s="193"/>
    </row>
    <row r="212">
      <c r="B212" s="193"/>
      <c r="C212" s="193"/>
      <c r="D212" s="193"/>
      <c r="E212" s="193"/>
    </row>
    <row r="213">
      <c r="B213" s="193"/>
      <c r="C213" s="193"/>
      <c r="D213" s="193"/>
      <c r="E213" s="193"/>
    </row>
    <row r="214">
      <c r="B214" s="193"/>
      <c r="C214" s="193"/>
      <c r="D214" s="193"/>
      <c r="E214" s="193"/>
    </row>
    <row r="215">
      <c r="B215" s="193"/>
      <c r="C215" s="193"/>
      <c r="D215" s="193"/>
      <c r="E215" s="193"/>
    </row>
    <row r="216">
      <c r="B216" s="193"/>
      <c r="C216" s="193"/>
      <c r="D216" s="193"/>
      <c r="E216" s="193"/>
    </row>
    <row r="217">
      <c r="B217" s="193"/>
      <c r="C217" s="193"/>
      <c r="D217" s="193"/>
      <c r="E217" s="193"/>
    </row>
    <row r="218">
      <c r="B218" s="193"/>
      <c r="C218" s="193"/>
      <c r="D218" s="193"/>
      <c r="E218" s="193"/>
    </row>
    <row r="219">
      <c r="B219" s="193"/>
      <c r="C219" s="193"/>
      <c r="D219" s="193"/>
      <c r="E219" s="193"/>
    </row>
    <row r="220">
      <c r="B220" s="193"/>
      <c r="C220" s="193"/>
      <c r="D220" s="193"/>
      <c r="E220" s="193"/>
    </row>
    <row r="221">
      <c r="B221" s="193"/>
      <c r="C221" s="193"/>
      <c r="D221" s="193"/>
      <c r="E221" s="193"/>
    </row>
    <row r="222">
      <c r="B222" s="193"/>
      <c r="C222" s="193"/>
      <c r="D222" s="193"/>
      <c r="E222" s="193"/>
    </row>
    <row r="223">
      <c r="B223" s="193"/>
      <c r="C223" s="193"/>
      <c r="D223" s="193"/>
      <c r="E223" s="193"/>
    </row>
    <row r="224">
      <c r="B224" s="193"/>
      <c r="C224" s="193"/>
      <c r="D224" s="193"/>
      <c r="E224" s="193"/>
    </row>
    <row r="225">
      <c r="B225" s="193"/>
      <c r="C225" s="193"/>
      <c r="D225" s="193"/>
      <c r="E225" s="193"/>
    </row>
    <row r="226">
      <c r="B226" s="193"/>
      <c r="C226" s="193"/>
      <c r="D226" s="193"/>
      <c r="E226" s="193"/>
    </row>
    <row r="227">
      <c r="B227" s="193"/>
      <c r="C227" s="193"/>
      <c r="D227" s="193"/>
      <c r="E227" s="193"/>
    </row>
    <row r="228">
      <c r="B228" s="193"/>
      <c r="C228" s="193"/>
      <c r="D228" s="193"/>
      <c r="E228" s="193"/>
    </row>
    <row r="229">
      <c r="B229" s="193"/>
      <c r="C229" s="193"/>
      <c r="D229" s="193"/>
      <c r="E229" s="193"/>
    </row>
    <row r="230">
      <c r="B230" s="193"/>
      <c r="C230" s="193"/>
      <c r="D230" s="193"/>
      <c r="E230" s="193"/>
    </row>
    <row r="231">
      <c r="B231" s="193"/>
      <c r="C231" s="193"/>
      <c r="D231" s="193"/>
      <c r="E231" s="193"/>
    </row>
    <row r="232">
      <c r="B232" s="193"/>
      <c r="C232" s="193"/>
      <c r="D232" s="193"/>
      <c r="E232" s="193"/>
    </row>
    <row r="233">
      <c r="B233" s="193"/>
      <c r="C233" s="193"/>
      <c r="D233" s="193"/>
      <c r="E233" s="193"/>
    </row>
    <row r="234">
      <c r="B234" s="193"/>
      <c r="C234" s="193"/>
      <c r="D234" s="193"/>
      <c r="E234" s="193"/>
    </row>
    <row r="235">
      <c r="B235" s="193"/>
      <c r="C235" s="193"/>
      <c r="D235" s="193"/>
      <c r="E235" s="193"/>
    </row>
    <row r="236">
      <c r="B236" s="193"/>
      <c r="C236" s="193"/>
      <c r="D236" s="193"/>
      <c r="E236" s="193"/>
    </row>
    <row r="237">
      <c r="B237" s="193"/>
      <c r="C237" s="193"/>
      <c r="D237" s="193"/>
      <c r="E237" s="193"/>
    </row>
    <row r="238">
      <c r="B238" s="193"/>
      <c r="C238" s="193"/>
      <c r="D238" s="193"/>
      <c r="E238" s="193"/>
    </row>
    <row r="239">
      <c r="B239" s="193"/>
      <c r="C239" s="193"/>
      <c r="D239" s="193"/>
      <c r="E239" s="193"/>
    </row>
    <row r="240">
      <c r="B240" s="193"/>
      <c r="C240" s="193"/>
      <c r="D240" s="193"/>
      <c r="E240" s="193"/>
    </row>
    <row r="241">
      <c r="B241" s="193"/>
      <c r="C241" s="193"/>
      <c r="D241" s="193"/>
      <c r="E241" s="193"/>
    </row>
    <row r="242">
      <c r="B242" s="193"/>
      <c r="C242" s="193"/>
      <c r="D242" s="193"/>
      <c r="E242" s="193"/>
    </row>
    <row r="243">
      <c r="B243" s="193"/>
      <c r="C243" s="193"/>
      <c r="D243" s="193"/>
      <c r="E243" s="193"/>
    </row>
    <row r="244">
      <c r="B244" s="193"/>
      <c r="C244" s="193"/>
      <c r="D244" s="193"/>
      <c r="E244" s="193"/>
    </row>
    <row r="245">
      <c r="B245" s="193"/>
      <c r="C245" s="193"/>
      <c r="D245" s="193"/>
      <c r="E245" s="193"/>
    </row>
    <row r="246">
      <c r="B246" s="193"/>
      <c r="C246" s="193"/>
      <c r="D246" s="193"/>
      <c r="E246" s="193"/>
    </row>
    <row r="247">
      <c r="B247" s="193"/>
      <c r="C247" s="193"/>
      <c r="D247" s="193"/>
      <c r="E247" s="193"/>
    </row>
    <row r="248">
      <c r="B248" s="193"/>
      <c r="C248" s="193"/>
      <c r="D248" s="193"/>
      <c r="E248" s="193"/>
    </row>
    <row r="249">
      <c r="B249" s="193"/>
      <c r="C249" s="193"/>
      <c r="D249" s="193"/>
      <c r="E249" s="193"/>
    </row>
    <row r="250">
      <c r="B250" s="193"/>
      <c r="C250" s="193"/>
      <c r="D250" s="193"/>
      <c r="E250" s="193"/>
    </row>
    <row r="251">
      <c r="B251" s="193"/>
      <c r="C251" s="193"/>
      <c r="D251" s="193"/>
      <c r="E251" s="193"/>
    </row>
    <row r="252">
      <c r="B252" s="193"/>
      <c r="C252" s="193"/>
      <c r="D252" s="193"/>
      <c r="E252" s="193"/>
    </row>
    <row r="253">
      <c r="B253" s="193"/>
      <c r="C253" s="193"/>
      <c r="D253" s="193"/>
      <c r="E253" s="193"/>
    </row>
    <row r="254">
      <c r="B254" s="193"/>
      <c r="C254" s="193"/>
      <c r="D254" s="193"/>
      <c r="E254" s="193"/>
    </row>
    <row r="255">
      <c r="B255" s="193"/>
      <c r="C255" s="193"/>
      <c r="D255" s="193"/>
      <c r="E255" s="193"/>
    </row>
    <row r="256">
      <c r="B256" s="193"/>
      <c r="C256" s="193"/>
      <c r="D256" s="193"/>
      <c r="E256" s="193"/>
    </row>
    <row r="257">
      <c r="B257" s="193"/>
      <c r="C257" s="193"/>
      <c r="D257" s="193"/>
      <c r="E257" s="193"/>
    </row>
    <row r="258">
      <c r="B258" s="193"/>
      <c r="C258" s="193"/>
      <c r="D258" s="193"/>
      <c r="E258" s="193"/>
    </row>
    <row r="259">
      <c r="B259" s="193"/>
      <c r="C259" s="193"/>
      <c r="D259" s="193"/>
      <c r="E259" s="193"/>
    </row>
    <row r="260">
      <c r="B260" s="193"/>
      <c r="C260" s="193"/>
      <c r="D260" s="193"/>
      <c r="E260" s="193"/>
    </row>
    <row r="261">
      <c r="B261" s="193"/>
      <c r="C261" s="193"/>
      <c r="D261" s="193"/>
      <c r="E261" s="193"/>
    </row>
    <row r="262">
      <c r="B262" s="193"/>
      <c r="C262" s="193"/>
      <c r="D262" s="193"/>
      <c r="E262" s="193"/>
    </row>
    <row r="263">
      <c r="B263" s="193"/>
      <c r="C263" s="193"/>
      <c r="D263" s="193"/>
      <c r="E263" s="193"/>
    </row>
    <row r="264">
      <c r="B264" s="193"/>
      <c r="C264" s="193"/>
      <c r="D264" s="193"/>
      <c r="E264" s="193"/>
    </row>
    <row r="265">
      <c r="B265" s="193"/>
      <c r="C265" s="193"/>
      <c r="D265" s="193"/>
      <c r="E265" s="193"/>
    </row>
    <row r="266">
      <c r="B266" s="193"/>
      <c r="C266" s="193"/>
      <c r="D266" s="193"/>
      <c r="E266" s="193"/>
    </row>
    <row r="267">
      <c r="B267" s="193"/>
      <c r="C267" s="193"/>
      <c r="D267" s="193"/>
      <c r="E267" s="193"/>
    </row>
    <row r="268">
      <c r="B268" s="193"/>
      <c r="C268" s="193"/>
      <c r="D268" s="193"/>
      <c r="E268" s="193"/>
    </row>
    <row r="269">
      <c r="B269" s="193"/>
      <c r="C269" s="193"/>
      <c r="D269" s="193"/>
      <c r="E269" s="193"/>
    </row>
    <row r="270">
      <c r="B270" s="193"/>
      <c r="C270" s="193"/>
      <c r="D270" s="193"/>
      <c r="E270" s="193"/>
    </row>
    <row r="271">
      <c r="B271" s="193"/>
      <c r="C271" s="193"/>
      <c r="D271" s="193"/>
      <c r="E271" s="193"/>
    </row>
    <row r="272">
      <c r="B272" s="193"/>
      <c r="C272" s="193"/>
      <c r="D272" s="193"/>
      <c r="E272" s="193"/>
    </row>
    <row r="273">
      <c r="B273" s="193"/>
      <c r="C273" s="193"/>
      <c r="D273" s="193"/>
      <c r="E273" s="193"/>
    </row>
    <row r="274">
      <c r="B274" s="193"/>
      <c r="C274" s="193"/>
      <c r="D274" s="193"/>
      <c r="E274" s="193"/>
    </row>
    <row r="275">
      <c r="B275" s="193"/>
      <c r="C275" s="193"/>
      <c r="D275" s="193"/>
      <c r="E275" s="193"/>
    </row>
    <row r="276">
      <c r="B276" s="193"/>
      <c r="C276" s="193"/>
      <c r="D276" s="193"/>
      <c r="E276" s="193"/>
    </row>
    <row r="277">
      <c r="B277" s="193"/>
      <c r="C277" s="193"/>
      <c r="D277" s="193"/>
      <c r="E277" s="193"/>
    </row>
    <row r="278">
      <c r="B278" s="193"/>
      <c r="C278" s="193"/>
      <c r="D278" s="193"/>
      <c r="E278" s="193"/>
    </row>
    <row r="279">
      <c r="B279" s="193"/>
      <c r="C279" s="193"/>
      <c r="D279" s="193"/>
      <c r="E279" s="193"/>
    </row>
    <row r="280">
      <c r="B280" s="193"/>
      <c r="C280" s="193"/>
      <c r="D280" s="193"/>
      <c r="E280" s="193"/>
    </row>
    <row r="281">
      <c r="B281" s="193"/>
      <c r="C281" s="193"/>
      <c r="D281" s="193"/>
      <c r="E281" s="193"/>
    </row>
    <row r="282">
      <c r="B282" s="193"/>
      <c r="C282" s="193"/>
      <c r="D282" s="193"/>
      <c r="E282" s="193"/>
    </row>
    <row r="283">
      <c r="B283" s="193"/>
      <c r="C283" s="193"/>
      <c r="D283" s="193"/>
      <c r="E283" s="193"/>
    </row>
    <row r="284">
      <c r="B284" s="193"/>
      <c r="C284" s="193"/>
      <c r="D284" s="193"/>
      <c r="E284" s="193"/>
    </row>
    <row r="285">
      <c r="B285" s="193"/>
      <c r="C285" s="193"/>
      <c r="D285" s="193"/>
      <c r="E285" s="193"/>
    </row>
    <row r="286">
      <c r="B286" s="193"/>
      <c r="C286" s="193"/>
      <c r="D286" s="193"/>
      <c r="E286" s="193"/>
    </row>
    <row r="287">
      <c r="B287" s="193"/>
      <c r="C287" s="193"/>
      <c r="D287" s="193"/>
      <c r="E287" s="193"/>
    </row>
    <row r="288">
      <c r="B288" s="193"/>
      <c r="C288" s="193"/>
      <c r="D288" s="193"/>
      <c r="E288" s="193"/>
    </row>
    <row r="289">
      <c r="B289" s="193"/>
      <c r="C289" s="193"/>
      <c r="D289" s="193"/>
      <c r="E289" s="193"/>
    </row>
    <row r="290">
      <c r="B290" s="193"/>
      <c r="C290" s="193"/>
      <c r="D290" s="193"/>
      <c r="E290" s="193"/>
    </row>
    <row r="291">
      <c r="B291" s="193"/>
      <c r="C291" s="193"/>
      <c r="D291" s="193"/>
      <c r="E291" s="193"/>
    </row>
    <row r="292">
      <c r="B292" s="193"/>
      <c r="C292" s="193"/>
      <c r="D292" s="193"/>
      <c r="E292" s="193"/>
    </row>
    <row r="293">
      <c r="B293" s="193"/>
      <c r="C293" s="193"/>
      <c r="D293" s="193"/>
      <c r="E293" s="193"/>
    </row>
    <row r="294">
      <c r="B294" s="193"/>
      <c r="C294" s="193"/>
      <c r="D294" s="193"/>
      <c r="E294" s="193"/>
    </row>
    <row r="295">
      <c r="B295" s="193"/>
      <c r="C295" s="193"/>
      <c r="D295" s="193"/>
      <c r="E295" s="193"/>
    </row>
    <row r="296">
      <c r="B296" s="193"/>
      <c r="C296" s="193"/>
      <c r="D296" s="193"/>
      <c r="E296" s="193"/>
    </row>
    <row r="297">
      <c r="B297" s="193"/>
      <c r="C297" s="193"/>
      <c r="D297" s="193"/>
      <c r="E297" s="193"/>
    </row>
    <row r="298">
      <c r="B298" s="193"/>
      <c r="C298" s="193"/>
      <c r="D298" s="193"/>
      <c r="E298" s="193"/>
    </row>
    <row r="299">
      <c r="B299" s="193"/>
      <c r="C299" s="193"/>
      <c r="D299" s="193"/>
      <c r="E299" s="193"/>
    </row>
    <row r="300">
      <c r="B300" s="193"/>
      <c r="C300" s="193"/>
      <c r="D300" s="193"/>
      <c r="E300" s="193"/>
    </row>
    <row r="301">
      <c r="B301" s="193"/>
      <c r="C301" s="193"/>
      <c r="D301" s="193"/>
      <c r="E301" s="193"/>
    </row>
    <row r="302">
      <c r="B302" s="193"/>
      <c r="C302" s="193"/>
      <c r="D302" s="193"/>
      <c r="E302" s="193"/>
    </row>
    <row r="303">
      <c r="B303" s="193"/>
      <c r="C303" s="193"/>
      <c r="D303" s="193"/>
      <c r="E303" s="193"/>
    </row>
    <row r="304">
      <c r="B304" s="193"/>
      <c r="C304" s="193"/>
      <c r="D304" s="193"/>
      <c r="E304" s="193"/>
    </row>
    <row r="305">
      <c r="B305" s="193"/>
      <c r="C305" s="193"/>
      <c r="D305" s="193"/>
      <c r="E305" s="193"/>
    </row>
    <row r="306">
      <c r="B306" s="193"/>
      <c r="C306" s="193"/>
      <c r="D306" s="193"/>
      <c r="E306" s="193"/>
    </row>
    <row r="307">
      <c r="B307" s="193"/>
      <c r="C307" s="193"/>
      <c r="D307" s="193"/>
      <c r="E307" s="193"/>
    </row>
    <row r="308">
      <c r="B308" s="193"/>
      <c r="C308" s="193"/>
      <c r="D308" s="193"/>
      <c r="E308" s="193"/>
    </row>
    <row r="309">
      <c r="B309" s="193"/>
      <c r="C309" s="193"/>
      <c r="D309" s="193"/>
      <c r="E309" s="193"/>
    </row>
    <row r="310">
      <c r="B310" s="193"/>
      <c r="C310" s="193"/>
      <c r="D310" s="193"/>
      <c r="E310" s="193"/>
    </row>
    <row r="311">
      <c r="B311" s="193"/>
      <c r="C311" s="193"/>
      <c r="D311" s="193"/>
      <c r="E311" s="193"/>
    </row>
    <row r="312">
      <c r="B312" s="193"/>
      <c r="C312" s="193"/>
      <c r="D312" s="193"/>
      <c r="E312" s="193"/>
    </row>
    <row r="313">
      <c r="B313" s="193"/>
      <c r="C313" s="193"/>
      <c r="D313" s="193"/>
      <c r="E313" s="193"/>
    </row>
    <row r="314">
      <c r="B314" s="193"/>
      <c r="C314" s="193"/>
      <c r="D314" s="193"/>
      <c r="E314" s="193"/>
    </row>
    <row r="315">
      <c r="B315" s="193"/>
      <c r="C315" s="193"/>
      <c r="D315" s="193"/>
      <c r="E315" s="193"/>
    </row>
    <row r="316">
      <c r="B316" s="193"/>
      <c r="C316" s="193"/>
      <c r="D316" s="193"/>
      <c r="E316" s="193"/>
    </row>
    <row r="317">
      <c r="B317" s="193"/>
      <c r="C317" s="193"/>
      <c r="D317" s="193"/>
      <c r="E317" s="193"/>
    </row>
    <row r="318">
      <c r="B318" s="193"/>
      <c r="C318" s="193"/>
      <c r="D318" s="193"/>
      <c r="E318" s="193"/>
    </row>
    <row r="319">
      <c r="B319" s="193"/>
      <c r="C319" s="193"/>
      <c r="D319" s="193"/>
      <c r="E319" s="193"/>
    </row>
    <row r="320">
      <c r="B320" s="193"/>
      <c r="C320" s="193"/>
      <c r="D320" s="193"/>
      <c r="E320" s="193"/>
    </row>
    <row r="321">
      <c r="B321" s="193"/>
      <c r="C321" s="193"/>
      <c r="D321" s="193"/>
      <c r="E321" s="193"/>
    </row>
    <row r="322">
      <c r="B322" s="193"/>
      <c r="C322" s="193"/>
      <c r="D322" s="193"/>
      <c r="E322" s="193"/>
    </row>
    <row r="323">
      <c r="B323" s="193"/>
      <c r="C323" s="193"/>
      <c r="D323" s="193"/>
      <c r="E323" s="193"/>
    </row>
    <row r="324">
      <c r="B324" s="193"/>
      <c r="C324" s="193"/>
      <c r="D324" s="193"/>
      <c r="E324" s="193"/>
    </row>
    <row r="325">
      <c r="B325" s="193"/>
      <c r="C325" s="193"/>
      <c r="D325" s="193"/>
      <c r="E325" s="193"/>
    </row>
    <row r="326">
      <c r="B326" s="193"/>
      <c r="C326" s="193"/>
      <c r="D326" s="193"/>
      <c r="E326" s="193"/>
    </row>
    <row r="327">
      <c r="B327" s="193"/>
      <c r="C327" s="193"/>
      <c r="D327" s="193"/>
      <c r="E327" s="193"/>
    </row>
    <row r="328">
      <c r="B328" s="193"/>
      <c r="C328" s="193"/>
      <c r="D328" s="193"/>
      <c r="E328" s="193"/>
    </row>
    <row r="329">
      <c r="B329" s="193"/>
      <c r="C329" s="193"/>
      <c r="D329" s="193"/>
      <c r="E329" s="193"/>
    </row>
    <row r="330">
      <c r="B330" s="193"/>
      <c r="C330" s="193"/>
      <c r="D330" s="193"/>
      <c r="E330" s="193"/>
    </row>
    <row r="331">
      <c r="B331" s="193"/>
      <c r="C331" s="193"/>
      <c r="D331" s="193"/>
      <c r="E331" s="193"/>
    </row>
    <row r="332">
      <c r="B332" s="193"/>
      <c r="C332" s="193"/>
      <c r="D332" s="193"/>
      <c r="E332" s="193"/>
    </row>
    <row r="333">
      <c r="B333" s="193"/>
      <c r="C333" s="193"/>
      <c r="D333" s="193"/>
      <c r="E333" s="193"/>
    </row>
    <row r="334">
      <c r="B334" s="193"/>
      <c r="C334" s="193"/>
      <c r="D334" s="193"/>
      <c r="E334" s="193"/>
    </row>
    <row r="335">
      <c r="B335" s="193"/>
      <c r="C335" s="193"/>
      <c r="D335" s="193"/>
      <c r="E335" s="193"/>
    </row>
    <row r="336">
      <c r="B336" s="193"/>
      <c r="C336" s="193"/>
      <c r="D336" s="193"/>
      <c r="E336" s="193"/>
    </row>
    <row r="337">
      <c r="B337" s="193"/>
      <c r="C337" s="193"/>
      <c r="D337" s="193"/>
      <c r="E337" s="193"/>
    </row>
    <row r="338">
      <c r="B338" s="193"/>
      <c r="C338" s="193"/>
      <c r="D338" s="193"/>
      <c r="E338" s="193"/>
    </row>
    <row r="339">
      <c r="B339" s="193"/>
      <c r="C339" s="193"/>
      <c r="D339" s="193"/>
      <c r="E339" s="193"/>
    </row>
    <row r="340">
      <c r="B340" s="193"/>
      <c r="C340" s="193"/>
      <c r="D340" s="193"/>
      <c r="E340" s="193"/>
    </row>
    <row r="341">
      <c r="B341" s="193"/>
      <c r="C341" s="193"/>
      <c r="D341" s="193"/>
      <c r="E341" s="193"/>
    </row>
    <row r="342">
      <c r="B342" s="193"/>
      <c r="C342" s="193"/>
      <c r="D342" s="193"/>
      <c r="E342" s="193"/>
    </row>
    <row r="343">
      <c r="B343" s="193"/>
      <c r="C343" s="193"/>
      <c r="D343" s="193"/>
      <c r="E343" s="193"/>
    </row>
    <row r="344">
      <c r="B344" s="193"/>
      <c r="C344" s="193"/>
      <c r="D344" s="193"/>
      <c r="E344" s="193"/>
    </row>
    <row r="345">
      <c r="B345" s="193"/>
      <c r="C345" s="193"/>
      <c r="D345" s="193"/>
      <c r="E345" s="193"/>
    </row>
    <row r="346">
      <c r="B346" s="193"/>
      <c r="C346" s="193"/>
      <c r="D346" s="193"/>
      <c r="E346" s="193"/>
    </row>
    <row r="347">
      <c r="B347" s="193"/>
      <c r="C347" s="193"/>
      <c r="D347" s="193"/>
      <c r="E347" s="193"/>
    </row>
    <row r="348">
      <c r="B348" s="193"/>
      <c r="C348" s="193"/>
      <c r="D348" s="193"/>
      <c r="E348" s="193"/>
    </row>
    <row r="349">
      <c r="B349" s="193"/>
      <c r="C349" s="193"/>
      <c r="D349" s="193"/>
      <c r="E349" s="193"/>
    </row>
    <row r="350">
      <c r="B350" s="193"/>
      <c r="C350" s="193"/>
      <c r="D350" s="193"/>
      <c r="E350" s="193"/>
    </row>
    <row r="351">
      <c r="B351" s="193"/>
      <c r="C351" s="193"/>
      <c r="D351" s="193"/>
      <c r="E351" s="193"/>
    </row>
    <row r="352">
      <c r="B352" s="193"/>
      <c r="C352" s="193"/>
      <c r="D352" s="193"/>
      <c r="E352" s="193"/>
    </row>
    <row r="353">
      <c r="B353" s="193"/>
      <c r="C353" s="193"/>
      <c r="D353" s="193"/>
      <c r="E353" s="193"/>
    </row>
    <row r="354">
      <c r="B354" s="193"/>
      <c r="C354" s="193"/>
      <c r="D354" s="193"/>
      <c r="E354" s="193"/>
    </row>
    <row r="355">
      <c r="B355" s="193"/>
      <c r="C355" s="193"/>
      <c r="D355" s="193"/>
      <c r="E355" s="193"/>
    </row>
    <row r="356">
      <c r="B356" s="193"/>
      <c r="C356" s="193"/>
      <c r="D356" s="193"/>
      <c r="E356" s="193"/>
    </row>
    <row r="357">
      <c r="B357" s="193"/>
      <c r="C357" s="193"/>
      <c r="D357" s="193"/>
      <c r="E357" s="193"/>
    </row>
    <row r="358">
      <c r="B358" s="193"/>
      <c r="C358" s="193"/>
      <c r="D358" s="193"/>
      <c r="E358" s="193"/>
    </row>
    <row r="359">
      <c r="B359" s="193"/>
      <c r="C359" s="193"/>
      <c r="D359" s="193"/>
      <c r="E359" s="193"/>
    </row>
    <row r="360">
      <c r="B360" s="193"/>
      <c r="C360" s="193"/>
      <c r="D360" s="193"/>
      <c r="E360" s="193"/>
    </row>
    <row r="361">
      <c r="B361" s="193"/>
      <c r="C361" s="193"/>
      <c r="D361" s="193"/>
      <c r="E361" s="193"/>
    </row>
    <row r="362">
      <c r="B362" s="193"/>
      <c r="C362" s="193"/>
      <c r="D362" s="193"/>
      <c r="E362" s="193"/>
    </row>
    <row r="363">
      <c r="B363" s="193"/>
      <c r="C363" s="193"/>
      <c r="D363" s="193"/>
      <c r="E363" s="193"/>
    </row>
    <row r="364">
      <c r="B364" s="193"/>
      <c r="C364" s="193"/>
      <c r="D364" s="193"/>
      <c r="E364" s="193"/>
    </row>
    <row r="365">
      <c r="B365" s="193"/>
      <c r="C365" s="193"/>
      <c r="D365" s="193"/>
      <c r="E365" s="193"/>
    </row>
    <row r="366">
      <c r="B366" s="193"/>
      <c r="C366" s="193"/>
      <c r="D366" s="193"/>
      <c r="E366" s="193"/>
    </row>
    <row r="367">
      <c r="B367" s="193"/>
      <c r="C367" s="193"/>
      <c r="D367" s="193"/>
      <c r="E367" s="193"/>
    </row>
    <row r="368">
      <c r="B368" s="193"/>
      <c r="C368" s="193"/>
      <c r="D368" s="193"/>
      <c r="E368" s="193"/>
    </row>
    <row r="369">
      <c r="B369" s="193"/>
      <c r="C369" s="193"/>
      <c r="D369" s="193"/>
      <c r="E369" s="193"/>
    </row>
    <row r="370">
      <c r="B370" s="193"/>
      <c r="C370" s="193"/>
      <c r="D370" s="193"/>
      <c r="E370" s="193"/>
    </row>
    <row r="371">
      <c r="B371" s="193"/>
      <c r="C371" s="193"/>
      <c r="D371" s="193"/>
      <c r="E371" s="193"/>
    </row>
    <row r="372">
      <c r="B372" s="193"/>
      <c r="C372" s="193"/>
      <c r="D372" s="193"/>
      <c r="E372" s="193"/>
    </row>
    <row r="373">
      <c r="B373" s="193"/>
      <c r="C373" s="193"/>
      <c r="D373" s="193"/>
      <c r="E373" s="193"/>
    </row>
    <row r="374">
      <c r="B374" s="193"/>
      <c r="C374" s="193"/>
      <c r="D374" s="193"/>
      <c r="E374" s="193"/>
    </row>
    <row r="375">
      <c r="B375" s="193"/>
      <c r="C375" s="193"/>
      <c r="D375" s="193"/>
      <c r="E375" s="193"/>
    </row>
    <row r="376">
      <c r="B376" s="193"/>
      <c r="C376" s="193"/>
      <c r="D376" s="193"/>
      <c r="E376" s="193"/>
    </row>
    <row r="377">
      <c r="B377" s="193"/>
      <c r="C377" s="193"/>
      <c r="D377" s="193"/>
      <c r="E377" s="193"/>
    </row>
    <row r="378">
      <c r="B378" s="193"/>
      <c r="C378" s="193"/>
      <c r="D378" s="193"/>
      <c r="E378" s="193"/>
    </row>
    <row r="379">
      <c r="B379" s="193"/>
      <c r="C379" s="193"/>
      <c r="D379" s="193"/>
      <c r="E379" s="193"/>
    </row>
    <row r="380">
      <c r="B380" s="193"/>
      <c r="C380" s="193"/>
      <c r="D380" s="193"/>
      <c r="E380" s="193"/>
    </row>
    <row r="381">
      <c r="B381" s="193"/>
      <c r="C381" s="193"/>
      <c r="D381" s="193"/>
      <c r="E381" s="193"/>
    </row>
    <row r="382">
      <c r="B382" s="193"/>
      <c r="C382" s="193"/>
      <c r="D382" s="193"/>
      <c r="E382" s="193"/>
    </row>
    <row r="383">
      <c r="B383" s="193"/>
      <c r="C383" s="193"/>
      <c r="D383" s="193"/>
      <c r="E383" s="193"/>
    </row>
    <row r="384">
      <c r="B384" s="193"/>
      <c r="C384" s="193"/>
      <c r="D384" s="193"/>
      <c r="E384" s="193"/>
    </row>
    <row r="385">
      <c r="B385" s="193"/>
      <c r="C385" s="193"/>
      <c r="D385" s="193"/>
      <c r="E385" s="193"/>
    </row>
    <row r="386">
      <c r="B386" s="193"/>
      <c r="C386" s="193"/>
      <c r="D386" s="193"/>
      <c r="E386" s="193"/>
    </row>
    <row r="387">
      <c r="B387" s="193"/>
      <c r="C387" s="193"/>
      <c r="D387" s="193"/>
      <c r="E387" s="193"/>
    </row>
    <row r="388">
      <c r="B388" s="193"/>
      <c r="C388" s="193"/>
      <c r="D388" s="193"/>
      <c r="E388" s="193"/>
    </row>
    <row r="389">
      <c r="B389" s="193"/>
      <c r="C389" s="193"/>
      <c r="D389" s="193"/>
      <c r="E389" s="193"/>
    </row>
    <row r="390">
      <c r="B390" s="193"/>
      <c r="C390" s="193"/>
      <c r="D390" s="193"/>
      <c r="E390" s="193"/>
    </row>
    <row r="391">
      <c r="B391" s="193"/>
      <c r="C391" s="193"/>
      <c r="D391" s="193"/>
      <c r="E391" s="193"/>
    </row>
    <row r="392">
      <c r="B392" s="193"/>
      <c r="C392" s="193"/>
      <c r="D392" s="193"/>
      <c r="E392" s="193"/>
    </row>
    <row r="393">
      <c r="B393" s="193"/>
      <c r="C393" s="193"/>
      <c r="D393" s="193"/>
      <c r="E393" s="193"/>
    </row>
    <row r="394">
      <c r="B394" s="193"/>
      <c r="C394" s="193"/>
      <c r="D394" s="193"/>
      <c r="E394" s="193"/>
    </row>
    <row r="395">
      <c r="B395" s="193"/>
      <c r="C395" s="193"/>
      <c r="D395" s="193"/>
      <c r="E395" s="193"/>
    </row>
    <row r="396">
      <c r="B396" s="193"/>
      <c r="C396" s="193"/>
      <c r="D396" s="193"/>
      <c r="E396" s="193"/>
    </row>
    <row r="397">
      <c r="B397" s="193"/>
      <c r="C397" s="193"/>
      <c r="D397" s="193"/>
      <c r="E397" s="193"/>
    </row>
    <row r="398">
      <c r="B398" s="193"/>
      <c r="C398" s="193"/>
      <c r="D398" s="193"/>
      <c r="E398" s="193"/>
    </row>
    <row r="399">
      <c r="B399" s="193"/>
      <c r="C399" s="193"/>
      <c r="D399" s="193"/>
      <c r="E399" s="193"/>
    </row>
    <row r="400">
      <c r="B400" s="193"/>
      <c r="C400" s="193"/>
      <c r="D400" s="193"/>
      <c r="E400" s="193"/>
    </row>
    <row r="401">
      <c r="B401" s="193"/>
      <c r="C401" s="193"/>
      <c r="D401" s="193"/>
      <c r="E401" s="193"/>
    </row>
    <row r="402">
      <c r="B402" s="193"/>
      <c r="C402" s="193"/>
      <c r="D402" s="193"/>
      <c r="E402" s="193"/>
    </row>
    <row r="403">
      <c r="B403" s="193"/>
      <c r="C403" s="193"/>
      <c r="D403" s="193"/>
      <c r="E403" s="193"/>
    </row>
    <row r="404">
      <c r="B404" s="193"/>
      <c r="C404" s="193"/>
      <c r="D404" s="193"/>
      <c r="E404" s="193"/>
    </row>
    <row r="405">
      <c r="B405" s="193"/>
      <c r="C405" s="193"/>
      <c r="D405" s="193"/>
      <c r="E405" s="193"/>
    </row>
    <row r="406">
      <c r="B406" s="193"/>
      <c r="C406" s="193"/>
      <c r="D406" s="193"/>
      <c r="E406" s="193"/>
    </row>
    <row r="407">
      <c r="B407" s="193"/>
      <c r="C407" s="193"/>
      <c r="D407" s="193"/>
      <c r="E407" s="193"/>
    </row>
    <row r="408">
      <c r="B408" s="193"/>
      <c r="C408" s="193"/>
      <c r="D408" s="193"/>
      <c r="E408" s="193"/>
    </row>
    <row r="409">
      <c r="B409" s="193"/>
      <c r="C409" s="193"/>
      <c r="D409" s="193"/>
      <c r="E409" s="193"/>
    </row>
    <row r="410">
      <c r="B410" s="193"/>
      <c r="C410" s="193"/>
      <c r="D410" s="193"/>
      <c r="E410" s="193"/>
    </row>
    <row r="411">
      <c r="B411" s="193"/>
      <c r="C411" s="193"/>
      <c r="D411" s="193"/>
      <c r="E411" s="193"/>
    </row>
    <row r="412">
      <c r="B412" s="193"/>
      <c r="C412" s="193"/>
      <c r="D412" s="193"/>
      <c r="E412" s="193"/>
    </row>
    <row r="413">
      <c r="B413" s="193"/>
      <c r="C413" s="193"/>
      <c r="D413" s="193"/>
      <c r="E413" s="193"/>
    </row>
    <row r="414">
      <c r="B414" s="193"/>
      <c r="C414" s="193"/>
      <c r="D414" s="193"/>
      <c r="E414" s="193"/>
    </row>
    <row r="415">
      <c r="B415" s="193"/>
      <c r="C415" s="193"/>
      <c r="D415" s="193"/>
      <c r="E415" s="193"/>
    </row>
    <row r="416">
      <c r="B416" s="193"/>
      <c r="C416" s="193"/>
      <c r="D416" s="193"/>
      <c r="E416" s="193"/>
    </row>
    <row r="417">
      <c r="B417" s="193"/>
      <c r="C417" s="193"/>
      <c r="D417" s="193"/>
      <c r="E417" s="193"/>
    </row>
    <row r="418">
      <c r="B418" s="193"/>
      <c r="C418" s="193"/>
      <c r="D418" s="193"/>
      <c r="E418" s="193"/>
    </row>
    <row r="419">
      <c r="B419" s="193"/>
      <c r="C419" s="193"/>
      <c r="D419" s="193"/>
      <c r="E419" s="193"/>
    </row>
    <row r="420">
      <c r="B420" s="193"/>
      <c r="C420" s="193"/>
      <c r="D420" s="193"/>
      <c r="E420" s="193"/>
    </row>
    <row r="421">
      <c r="B421" s="193"/>
      <c r="C421" s="193"/>
      <c r="D421" s="193"/>
      <c r="E421" s="193"/>
    </row>
    <row r="422">
      <c r="B422" s="193"/>
      <c r="C422" s="193"/>
      <c r="D422" s="193"/>
      <c r="E422" s="193"/>
    </row>
    <row r="423">
      <c r="B423" s="193"/>
      <c r="C423" s="193"/>
      <c r="D423" s="193"/>
      <c r="E423" s="193"/>
    </row>
    <row r="424">
      <c r="B424" s="193"/>
      <c r="C424" s="193"/>
      <c r="D424" s="193"/>
      <c r="E424" s="193"/>
    </row>
    <row r="425">
      <c r="B425" s="193"/>
      <c r="C425" s="193"/>
      <c r="D425" s="193"/>
      <c r="E425" s="193"/>
    </row>
    <row r="426">
      <c r="B426" s="193"/>
      <c r="C426" s="193"/>
      <c r="D426" s="193"/>
      <c r="E426" s="193"/>
    </row>
    <row r="427">
      <c r="B427" s="193"/>
      <c r="C427" s="193"/>
      <c r="D427" s="193"/>
      <c r="E427" s="193"/>
    </row>
    <row r="428">
      <c r="B428" s="193"/>
      <c r="C428" s="193"/>
      <c r="D428" s="193"/>
      <c r="E428" s="193"/>
    </row>
    <row r="429">
      <c r="B429" s="193"/>
      <c r="C429" s="193"/>
      <c r="D429" s="193"/>
      <c r="E429" s="193"/>
    </row>
    <row r="430">
      <c r="B430" s="193"/>
      <c r="C430" s="193"/>
      <c r="D430" s="193"/>
      <c r="E430" s="193"/>
    </row>
    <row r="431">
      <c r="B431" s="193"/>
      <c r="C431" s="193"/>
      <c r="D431" s="193"/>
      <c r="E431" s="193"/>
    </row>
    <row r="432">
      <c r="B432" s="193"/>
      <c r="C432" s="193"/>
      <c r="D432" s="193"/>
      <c r="E432" s="193"/>
    </row>
    <row r="433">
      <c r="B433" s="193"/>
      <c r="C433" s="193"/>
      <c r="D433" s="193"/>
      <c r="E433" s="193"/>
    </row>
    <row r="434">
      <c r="B434" s="193"/>
      <c r="C434" s="193"/>
      <c r="D434" s="193"/>
      <c r="E434" s="193"/>
    </row>
    <row r="435">
      <c r="B435" s="193"/>
      <c r="C435" s="193"/>
      <c r="D435" s="193"/>
      <c r="E435" s="193"/>
    </row>
    <row r="436">
      <c r="B436" s="193"/>
      <c r="C436" s="193"/>
      <c r="D436" s="193"/>
      <c r="E436" s="193"/>
    </row>
    <row r="437">
      <c r="B437" s="193"/>
      <c r="C437" s="193"/>
      <c r="D437" s="193"/>
      <c r="E437" s="193"/>
    </row>
    <row r="438">
      <c r="B438" s="193"/>
      <c r="C438" s="193"/>
      <c r="D438" s="193"/>
      <c r="E438" s="193"/>
    </row>
    <row r="439">
      <c r="B439" s="193"/>
      <c r="C439" s="193"/>
      <c r="D439" s="193"/>
      <c r="E439" s="193"/>
    </row>
    <row r="440">
      <c r="B440" s="193"/>
      <c r="C440" s="193"/>
      <c r="D440" s="193"/>
      <c r="E440" s="193"/>
    </row>
    <row r="441">
      <c r="B441" s="193"/>
      <c r="C441" s="193"/>
      <c r="D441" s="193"/>
      <c r="E441" s="193"/>
    </row>
    <row r="442">
      <c r="B442" s="193"/>
      <c r="C442" s="193"/>
      <c r="D442" s="193"/>
      <c r="E442" s="193"/>
    </row>
    <row r="443">
      <c r="B443" s="193"/>
      <c r="C443" s="193"/>
      <c r="D443" s="193"/>
      <c r="E443" s="193"/>
    </row>
    <row r="444">
      <c r="B444" s="193"/>
      <c r="C444" s="193"/>
      <c r="D444" s="193"/>
      <c r="E444" s="193"/>
    </row>
    <row r="445">
      <c r="B445" s="193"/>
      <c r="C445" s="193"/>
      <c r="D445" s="193"/>
      <c r="E445" s="193"/>
    </row>
    <row r="446">
      <c r="B446" s="193"/>
      <c r="C446" s="193"/>
      <c r="D446" s="193"/>
      <c r="E446" s="193"/>
    </row>
    <row r="447">
      <c r="B447" s="193"/>
      <c r="C447" s="193"/>
      <c r="D447" s="193"/>
      <c r="E447" s="193"/>
    </row>
    <row r="448">
      <c r="B448" s="193"/>
      <c r="C448" s="193"/>
      <c r="D448" s="193"/>
      <c r="E448" s="193"/>
    </row>
    <row r="449">
      <c r="B449" s="193"/>
      <c r="C449" s="193"/>
      <c r="D449" s="193"/>
      <c r="E449" s="193"/>
    </row>
    <row r="450">
      <c r="B450" s="193"/>
      <c r="C450" s="193"/>
      <c r="D450" s="193"/>
      <c r="E450" s="193"/>
    </row>
    <row r="451">
      <c r="B451" s="193"/>
      <c r="C451" s="193"/>
      <c r="D451" s="193"/>
      <c r="E451" s="193"/>
    </row>
    <row r="452">
      <c r="B452" s="193"/>
      <c r="C452" s="193"/>
      <c r="D452" s="193"/>
      <c r="E452" s="193"/>
    </row>
    <row r="453">
      <c r="B453" s="193"/>
      <c r="C453" s="193"/>
      <c r="D453" s="193"/>
      <c r="E453" s="193"/>
    </row>
    <row r="454">
      <c r="B454" s="193"/>
      <c r="C454" s="193"/>
      <c r="D454" s="193"/>
      <c r="E454" s="193"/>
    </row>
    <row r="455">
      <c r="B455" s="193"/>
      <c r="C455" s="193"/>
      <c r="D455" s="193"/>
      <c r="E455" s="193"/>
    </row>
    <row r="456">
      <c r="B456" s="193"/>
      <c r="C456" s="193"/>
      <c r="D456" s="193"/>
      <c r="E456" s="193"/>
    </row>
    <row r="457">
      <c r="B457" s="193"/>
      <c r="C457" s="193"/>
      <c r="D457" s="193"/>
      <c r="E457" s="193"/>
    </row>
    <row r="458">
      <c r="B458" s="193"/>
      <c r="C458" s="193"/>
      <c r="D458" s="193"/>
      <c r="E458" s="193"/>
    </row>
    <row r="459">
      <c r="B459" s="193"/>
      <c r="C459" s="193"/>
      <c r="D459" s="193"/>
      <c r="E459" s="193"/>
    </row>
    <row r="460">
      <c r="B460" s="193"/>
      <c r="C460" s="193"/>
      <c r="D460" s="193"/>
      <c r="E460" s="193"/>
    </row>
    <row r="461">
      <c r="B461" s="193"/>
      <c r="C461" s="193"/>
      <c r="D461" s="193"/>
      <c r="E461" s="193"/>
    </row>
    <row r="462">
      <c r="B462" s="193"/>
      <c r="C462" s="193"/>
      <c r="D462" s="193"/>
      <c r="E462" s="193"/>
    </row>
    <row r="463">
      <c r="B463" s="193"/>
      <c r="C463" s="193"/>
      <c r="D463" s="193"/>
      <c r="E463" s="193"/>
    </row>
    <row r="464">
      <c r="B464" s="193"/>
      <c r="C464" s="193"/>
      <c r="D464" s="193"/>
      <c r="E464" s="193"/>
    </row>
    <row r="465">
      <c r="B465" s="193"/>
      <c r="C465" s="193"/>
      <c r="D465" s="193"/>
      <c r="E465" s="193"/>
    </row>
    <row r="466">
      <c r="B466" s="193"/>
      <c r="C466" s="193"/>
      <c r="D466" s="193"/>
      <c r="E466" s="193"/>
    </row>
    <row r="467">
      <c r="B467" s="193"/>
      <c r="C467" s="193"/>
      <c r="D467" s="193"/>
      <c r="E467" s="193"/>
    </row>
    <row r="468">
      <c r="B468" s="193"/>
      <c r="C468" s="193"/>
      <c r="D468" s="193"/>
      <c r="E468" s="193"/>
    </row>
    <row r="469">
      <c r="B469" s="193"/>
      <c r="C469" s="193"/>
      <c r="D469" s="193"/>
      <c r="E469" s="193"/>
    </row>
    <row r="470">
      <c r="B470" s="193"/>
      <c r="C470" s="193"/>
      <c r="D470" s="193"/>
      <c r="E470" s="193"/>
    </row>
    <row r="471">
      <c r="B471" s="193"/>
      <c r="C471" s="193"/>
      <c r="D471" s="193"/>
      <c r="E471" s="193"/>
    </row>
    <row r="472">
      <c r="B472" s="193"/>
      <c r="C472" s="193"/>
      <c r="D472" s="193"/>
      <c r="E472" s="193"/>
    </row>
    <row r="473">
      <c r="B473" s="193"/>
      <c r="C473" s="193"/>
      <c r="D473" s="193"/>
      <c r="E473" s="193"/>
    </row>
    <row r="474">
      <c r="B474" s="193"/>
      <c r="C474" s="193"/>
      <c r="D474" s="193"/>
      <c r="E474" s="193"/>
    </row>
    <row r="475">
      <c r="B475" s="193"/>
      <c r="C475" s="193"/>
      <c r="D475" s="193"/>
      <c r="E475" s="193"/>
    </row>
    <row r="476">
      <c r="B476" s="193"/>
      <c r="C476" s="193"/>
      <c r="D476" s="193"/>
      <c r="E476" s="193"/>
    </row>
    <row r="477">
      <c r="B477" s="193"/>
      <c r="C477" s="193"/>
      <c r="D477" s="193"/>
      <c r="E477" s="193"/>
    </row>
    <row r="478">
      <c r="B478" s="193"/>
      <c r="C478" s="193"/>
      <c r="D478" s="193"/>
      <c r="E478" s="193"/>
    </row>
    <row r="479">
      <c r="B479" s="193"/>
      <c r="C479" s="193"/>
      <c r="D479" s="193"/>
      <c r="E479" s="193"/>
    </row>
    <row r="480">
      <c r="B480" s="193"/>
      <c r="C480" s="193"/>
      <c r="D480" s="193"/>
      <c r="E480" s="193"/>
    </row>
    <row r="481">
      <c r="B481" s="193"/>
      <c r="C481" s="193"/>
      <c r="D481" s="193"/>
      <c r="E481" s="193"/>
    </row>
    <row r="482">
      <c r="B482" s="193"/>
      <c r="C482" s="193"/>
      <c r="D482" s="193"/>
      <c r="E482" s="193"/>
    </row>
    <row r="483">
      <c r="B483" s="193"/>
      <c r="C483" s="193"/>
      <c r="D483" s="193"/>
      <c r="E483" s="193"/>
    </row>
    <row r="484">
      <c r="B484" s="193"/>
      <c r="C484" s="193"/>
      <c r="D484" s="193"/>
      <c r="E484" s="193"/>
    </row>
    <row r="485">
      <c r="B485" s="193"/>
      <c r="C485" s="193"/>
      <c r="D485" s="193"/>
      <c r="E485" s="193"/>
    </row>
    <row r="486">
      <c r="B486" s="193"/>
      <c r="C486" s="193"/>
      <c r="D486" s="193"/>
      <c r="E486" s="193"/>
    </row>
    <row r="487">
      <c r="B487" s="193"/>
      <c r="C487" s="193"/>
      <c r="D487" s="193"/>
      <c r="E487" s="193"/>
    </row>
    <row r="488">
      <c r="B488" s="193"/>
      <c r="C488" s="193"/>
      <c r="D488" s="193"/>
      <c r="E488" s="193"/>
    </row>
    <row r="489">
      <c r="B489" s="193"/>
      <c r="C489" s="193"/>
      <c r="D489" s="193"/>
      <c r="E489" s="193"/>
    </row>
    <row r="490">
      <c r="B490" s="193"/>
      <c r="C490" s="193"/>
      <c r="D490" s="193"/>
      <c r="E490" s="193"/>
    </row>
    <row r="491">
      <c r="B491" s="193"/>
      <c r="C491" s="193"/>
      <c r="D491" s="193"/>
      <c r="E491" s="193"/>
    </row>
    <row r="492">
      <c r="B492" s="193"/>
      <c r="C492" s="193"/>
      <c r="D492" s="193"/>
      <c r="E492" s="193"/>
    </row>
    <row r="493">
      <c r="B493" s="193"/>
      <c r="C493" s="193"/>
      <c r="D493" s="193"/>
      <c r="E493" s="193"/>
    </row>
    <row r="494">
      <c r="B494" s="193"/>
      <c r="C494" s="193"/>
      <c r="D494" s="193"/>
      <c r="E494" s="193"/>
    </row>
    <row r="495">
      <c r="B495" s="193"/>
      <c r="C495" s="193"/>
      <c r="D495" s="193"/>
      <c r="E495" s="193"/>
    </row>
    <row r="496">
      <c r="B496" s="193"/>
      <c r="C496" s="193"/>
      <c r="D496" s="193"/>
      <c r="E496" s="193"/>
    </row>
    <row r="497">
      <c r="B497" s="193"/>
      <c r="C497" s="193"/>
      <c r="D497" s="193"/>
      <c r="E497" s="193"/>
    </row>
    <row r="498">
      <c r="B498" s="193"/>
      <c r="C498" s="193"/>
      <c r="D498" s="193"/>
      <c r="E498" s="193"/>
    </row>
    <row r="499">
      <c r="B499" s="193"/>
      <c r="C499" s="193"/>
      <c r="D499" s="193"/>
      <c r="E499" s="193"/>
    </row>
    <row r="500">
      <c r="B500" s="193"/>
      <c r="C500" s="193"/>
      <c r="D500" s="193"/>
      <c r="E500" s="193"/>
    </row>
    <row r="501">
      <c r="B501" s="193"/>
      <c r="C501" s="193"/>
      <c r="D501" s="193"/>
      <c r="E501" s="193"/>
    </row>
    <row r="502">
      <c r="B502" s="193"/>
      <c r="C502" s="193"/>
      <c r="D502" s="193"/>
      <c r="E502" s="193"/>
    </row>
    <row r="503">
      <c r="B503" s="193"/>
      <c r="C503" s="193"/>
      <c r="D503" s="193"/>
      <c r="E503" s="193"/>
    </row>
    <row r="504">
      <c r="B504" s="193"/>
      <c r="C504" s="193"/>
      <c r="D504" s="193"/>
      <c r="E504" s="193"/>
    </row>
    <row r="505">
      <c r="B505" s="193"/>
      <c r="C505" s="193"/>
      <c r="D505" s="193"/>
      <c r="E505" s="193"/>
    </row>
    <row r="506">
      <c r="B506" s="193"/>
      <c r="C506" s="193"/>
      <c r="D506" s="193"/>
      <c r="E506" s="193"/>
    </row>
    <row r="507">
      <c r="B507" s="193"/>
      <c r="C507" s="193"/>
      <c r="D507" s="193"/>
      <c r="E507" s="193"/>
    </row>
    <row r="508">
      <c r="B508" s="193"/>
      <c r="C508" s="193"/>
      <c r="D508" s="193"/>
      <c r="E508" s="193"/>
    </row>
    <row r="509">
      <c r="B509" s="193"/>
      <c r="C509" s="193"/>
      <c r="D509" s="193"/>
      <c r="E509" s="193"/>
    </row>
    <row r="510">
      <c r="B510" s="193"/>
      <c r="C510" s="193"/>
      <c r="D510" s="193"/>
      <c r="E510" s="193"/>
    </row>
    <row r="511">
      <c r="B511" s="193"/>
      <c r="C511" s="193"/>
      <c r="D511" s="193"/>
      <c r="E511" s="193"/>
    </row>
    <row r="512">
      <c r="B512" s="193"/>
      <c r="C512" s="193"/>
      <c r="D512" s="193"/>
      <c r="E512" s="193"/>
    </row>
    <row r="513">
      <c r="B513" s="193"/>
      <c r="C513" s="193"/>
      <c r="D513" s="193"/>
      <c r="E513" s="193"/>
    </row>
    <row r="514">
      <c r="B514" s="193"/>
      <c r="C514" s="193"/>
      <c r="D514" s="193"/>
      <c r="E514" s="193"/>
    </row>
    <row r="515">
      <c r="B515" s="193"/>
      <c r="C515" s="193"/>
      <c r="D515" s="193"/>
      <c r="E515" s="193"/>
    </row>
    <row r="516">
      <c r="B516" s="193"/>
      <c r="C516" s="193"/>
      <c r="D516" s="193"/>
      <c r="E516" s="193"/>
    </row>
    <row r="517">
      <c r="B517" s="193"/>
      <c r="C517" s="193"/>
      <c r="D517" s="193"/>
      <c r="E517" s="193"/>
    </row>
    <row r="518">
      <c r="B518" s="193"/>
      <c r="C518" s="193"/>
      <c r="D518" s="193"/>
      <c r="E518" s="193"/>
    </row>
    <row r="519">
      <c r="B519" s="193"/>
      <c r="C519" s="193"/>
      <c r="D519" s="193"/>
      <c r="E519" s="193"/>
    </row>
    <row r="520">
      <c r="B520" s="193"/>
      <c r="C520" s="193"/>
      <c r="D520" s="193"/>
      <c r="E520" s="193"/>
    </row>
    <row r="521">
      <c r="B521" s="193"/>
      <c r="C521" s="193"/>
      <c r="D521" s="193"/>
      <c r="E521" s="193"/>
    </row>
    <row r="522">
      <c r="B522" s="193"/>
      <c r="C522" s="193"/>
      <c r="D522" s="193"/>
      <c r="E522" s="193"/>
    </row>
    <row r="523">
      <c r="B523" s="193"/>
      <c r="C523" s="193"/>
      <c r="D523" s="193"/>
      <c r="E523" s="193"/>
    </row>
    <row r="524">
      <c r="B524" s="193"/>
      <c r="C524" s="193"/>
      <c r="D524" s="193"/>
      <c r="E524" s="193"/>
    </row>
    <row r="525">
      <c r="B525" s="193"/>
      <c r="C525" s="193"/>
      <c r="D525" s="193"/>
      <c r="E525" s="193"/>
    </row>
    <row r="526">
      <c r="B526" s="193"/>
      <c r="C526" s="193"/>
      <c r="D526" s="193"/>
      <c r="E526" s="193"/>
    </row>
    <row r="527">
      <c r="B527" s="193"/>
      <c r="C527" s="193"/>
      <c r="D527" s="193"/>
      <c r="E527" s="193"/>
    </row>
    <row r="528">
      <c r="B528" s="193"/>
      <c r="C528" s="193"/>
      <c r="D528" s="193"/>
      <c r="E528" s="193"/>
    </row>
    <row r="529">
      <c r="B529" s="193"/>
      <c r="C529" s="193"/>
      <c r="D529" s="193"/>
      <c r="E529" s="193"/>
    </row>
    <row r="530">
      <c r="B530" s="193"/>
      <c r="C530" s="193"/>
      <c r="D530" s="193"/>
      <c r="E530" s="193"/>
    </row>
    <row r="531">
      <c r="B531" s="193"/>
      <c r="C531" s="193"/>
      <c r="D531" s="193"/>
      <c r="E531" s="193"/>
    </row>
    <row r="532">
      <c r="B532" s="193"/>
      <c r="C532" s="193"/>
      <c r="D532" s="193"/>
      <c r="E532" s="193"/>
    </row>
    <row r="533">
      <c r="B533" s="193"/>
      <c r="C533" s="193"/>
      <c r="D533" s="193"/>
      <c r="E533" s="193"/>
    </row>
    <row r="534">
      <c r="B534" s="193"/>
      <c r="C534" s="193"/>
      <c r="D534" s="193"/>
      <c r="E534" s="193"/>
    </row>
    <row r="535">
      <c r="B535" s="193"/>
      <c r="C535" s="193"/>
      <c r="D535" s="193"/>
      <c r="E535" s="193"/>
    </row>
    <row r="536">
      <c r="B536" s="193"/>
      <c r="C536" s="193"/>
      <c r="D536" s="193"/>
      <c r="E536" s="193"/>
    </row>
    <row r="537">
      <c r="B537" s="193"/>
      <c r="C537" s="193"/>
      <c r="D537" s="193"/>
      <c r="E537" s="193"/>
    </row>
    <row r="538">
      <c r="B538" s="193"/>
      <c r="C538" s="193"/>
      <c r="D538" s="193"/>
      <c r="E538" s="193"/>
    </row>
    <row r="539">
      <c r="B539" s="193"/>
      <c r="C539" s="193"/>
      <c r="D539" s="193"/>
      <c r="E539" s="193"/>
    </row>
    <row r="540">
      <c r="B540" s="193"/>
      <c r="C540" s="193"/>
      <c r="D540" s="193"/>
      <c r="E540" s="193"/>
    </row>
    <row r="541">
      <c r="B541" s="193"/>
      <c r="C541" s="193"/>
      <c r="D541" s="193"/>
      <c r="E541" s="193"/>
    </row>
    <row r="542">
      <c r="B542" s="193"/>
      <c r="C542" s="193"/>
      <c r="D542" s="193"/>
      <c r="E542" s="193"/>
    </row>
    <row r="543">
      <c r="B543" s="193"/>
      <c r="C543" s="193"/>
      <c r="D543" s="193"/>
      <c r="E543" s="193"/>
    </row>
    <row r="544">
      <c r="B544" s="193"/>
      <c r="C544" s="193"/>
      <c r="D544" s="193"/>
      <c r="E544" s="193"/>
    </row>
    <row r="545">
      <c r="B545" s="193"/>
      <c r="C545" s="193"/>
      <c r="D545" s="193"/>
      <c r="E545" s="193"/>
    </row>
    <row r="546">
      <c r="B546" s="193"/>
      <c r="C546" s="193"/>
      <c r="D546" s="193"/>
      <c r="E546" s="193"/>
    </row>
    <row r="547">
      <c r="B547" s="193"/>
      <c r="C547" s="193"/>
      <c r="D547" s="193"/>
      <c r="E547" s="193"/>
    </row>
    <row r="548">
      <c r="B548" s="193"/>
      <c r="C548" s="193"/>
      <c r="D548" s="193"/>
      <c r="E548" s="193"/>
    </row>
    <row r="549">
      <c r="B549" s="193"/>
      <c r="C549" s="193"/>
      <c r="D549" s="193"/>
      <c r="E549" s="193"/>
    </row>
    <row r="550">
      <c r="B550" s="193"/>
      <c r="C550" s="193"/>
      <c r="D550" s="193"/>
      <c r="E550" s="193"/>
    </row>
    <row r="551">
      <c r="B551" s="193"/>
      <c r="C551" s="193"/>
      <c r="D551" s="193"/>
      <c r="E551" s="193"/>
    </row>
    <row r="552">
      <c r="B552" s="193"/>
      <c r="C552" s="193"/>
      <c r="D552" s="193"/>
      <c r="E552" s="193"/>
    </row>
    <row r="553">
      <c r="B553" s="193"/>
      <c r="C553" s="193"/>
      <c r="D553" s="193"/>
      <c r="E553" s="193"/>
    </row>
    <row r="554">
      <c r="B554" s="193"/>
      <c r="C554" s="193"/>
      <c r="D554" s="193"/>
      <c r="E554" s="193"/>
    </row>
    <row r="555">
      <c r="B555" s="193"/>
      <c r="C555" s="193"/>
      <c r="D555" s="193"/>
      <c r="E555" s="193"/>
    </row>
    <row r="556">
      <c r="B556" s="193"/>
      <c r="C556" s="193"/>
      <c r="D556" s="193"/>
      <c r="E556" s="193"/>
    </row>
    <row r="557">
      <c r="B557" s="193"/>
      <c r="C557" s="193"/>
      <c r="D557" s="193"/>
      <c r="E557" s="193"/>
    </row>
    <row r="558">
      <c r="B558" s="193"/>
      <c r="C558" s="193"/>
      <c r="D558" s="193"/>
      <c r="E558" s="193"/>
    </row>
    <row r="559">
      <c r="B559" s="193"/>
      <c r="C559" s="193"/>
      <c r="D559" s="193"/>
      <c r="E559" s="193"/>
    </row>
    <row r="560">
      <c r="B560" s="193"/>
      <c r="C560" s="193"/>
      <c r="D560" s="193"/>
      <c r="E560" s="193"/>
    </row>
    <row r="561">
      <c r="B561" s="193"/>
      <c r="C561" s="193"/>
      <c r="D561" s="193"/>
      <c r="E561" s="193"/>
    </row>
    <row r="562">
      <c r="B562" s="193"/>
      <c r="C562" s="193"/>
      <c r="D562" s="193"/>
      <c r="E562" s="193"/>
    </row>
    <row r="563">
      <c r="B563" s="193"/>
      <c r="C563" s="193"/>
      <c r="D563" s="193"/>
      <c r="E563" s="193"/>
    </row>
    <row r="564">
      <c r="B564" s="193"/>
      <c r="C564" s="193"/>
      <c r="D564" s="193"/>
      <c r="E564" s="193"/>
    </row>
    <row r="565">
      <c r="B565" s="193"/>
      <c r="C565" s="193"/>
      <c r="D565" s="193"/>
      <c r="E565" s="193"/>
    </row>
    <row r="566">
      <c r="B566" s="193"/>
      <c r="C566" s="193"/>
      <c r="D566" s="193"/>
      <c r="E566" s="193"/>
    </row>
    <row r="567">
      <c r="B567" s="193"/>
      <c r="C567" s="193"/>
      <c r="D567" s="193"/>
      <c r="E567" s="193"/>
    </row>
    <row r="568">
      <c r="B568" s="193"/>
      <c r="C568" s="193"/>
      <c r="D568" s="193"/>
      <c r="E568" s="193"/>
    </row>
    <row r="569">
      <c r="B569" s="193"/>
      <c r="C569" s="193"/>
      <c r="D569" s="193"/>
      <c r="E569" s="193"/>
    </row>
    <row r="570">
      <c r="B570" s="193"/>
      <c r="C570" s="193"/>
      <c r="D570" s="193"/>
      <c r="E570" s="193"/>
    </row>
    <row r="571">
      <c r="B571" s="193"/>
      <c r="C571" s="193"/>
      <c r="D571" s="193"/>
      <c r="E571" s="193"/>
    </row>
    <row r="572">
      <c r="B572" s="193"/>
      <c r="C572" s="193"/>
      <c r="D572" s="193"/>
      <c r="E572" s="193"/>
    </row>
    <row r="573">
      <c r="B573" s="193"/>
      <c r="C573" s="193"/>
      <c r="D573" s="193"/>
      <c r="E573" s="193"/>
    </row>
    <row r="574">
      <c r="B574" s="193"/>
      <c r="C574" s="193"/>
      <c r="D574" s="193"/>
      <c r="E574" s="193"/>
    </row>
    <row r="575">
      <c r="B575" s="193"/>
      <c r="C575" s="193"/>
      <c r="D575" s="193"/>
      <c r="E575" s="193"/>
    </row>
    <row r="576">
      <c r="B576" s="193"/>
      <c r="C576" s="193"/>
      <c r="D576" s="193"/>
      <c r="E576" s="193"/>
    </row>
    <row r="577">
      <c r="B577" s="193"/>
      <c r="C577" s="193"/>
      <c r="D577" s="193"/>
      <c r="E577" s="193"/>
    </row>
    <row r="578">
      <c r="B578" s="193"/>
      <c r="C578" s="193"/>
      <c r="D578" s="193"/>
      <c r="E578" s="193"/>
    </row>
    <row r="579">
      <c r="B579" s="193"/>
      <c r="C579" s="193"/>
      <c r="D579" s="193"/>
      <c r="E579" s="193"/>
    </row>
    <row r="580">
      <c r="B580" s="193"/>
      <c r="C580" s="193"/>
      <c r="D580" s="193"/>
      <c r="E580" s="193"/>
    </row>
    <row r="581">
      <c r="B581" s="193"/>
      <c r="C581" s="193"/>
      <c r="D581" s="193"/>
      <c r="E581" s="193"/>
    </row>
    <row r="582">
      <c r="B582" s="193"/>
      <c r="C582" s="193"/>
      <c r="D582" s="193"/>
      <c r="E582" s="193"/>
    </row>
    <row r="583">
      <c r="B583" s="193"/>
      <c r="C583" s="193"/>
      <c r="D583" s="193"/>
      <c r="E583" s="193"/>
    </row>
    <row r="584">
      <c r="B584" s="193"/>
      <c r="C584" s="193"/>
      <c r="D584" s="193"/>
      <c r="E584" s="193"/>
    </row>
    <row r="585">
      <c r="B585" s="193"/>
      <c r="C585" s="193"/>
      <c r="D585" s="193"/>
      <c r="E585" s="193"/>
    </row>
    <row r="586">
      <c r="B586" s="193"/>
      <c r="C586" s="193"/>
      <c r="D586" s="193"/>
      <c r="E586" s="193"/>
    </row>
    <row r="587">
      <c r="B587" s="193"/>
      <c r="C587" s="193"/>
      <c r="D587" s="193"/>
      <c r="E587" s="193"/>
    </row>
    <row r="588">
      <c r="B588" s="193"/>
      <c r="C588" s="193"/>
      <c r="D588" s="193"/>
      <c r="E588" s="193"/>
    </row>
    <row r="589">
      <c r="B589" s="193"/>
      <c r="C589" s="193"/>
      <c r="D589" s="193"/>
      <c r="E589" s="193"/>
    </row>
    <row r="590">
      <c r="B590" s="193"/>
      <c r="C590" s="193"/>
      <c r="D590" s="193"/>
      <c r="E590" s="193"/>
    </row>
    <row r="591">
      <c r="B591" s="193"/>
      <c r="C591" s="193"/>
      <c r="D591" s="193"/>
      <c r="E591" s="193"/>
    </row>
    <row r="592">
      <c r="B592" s="193"/>
      <c r="C592" s="193"/>
      <c r="D592" s="193"/>
      <c r="E592" s="193"/>
    </row>
    <row r="593">
      <c r="B593" s="193"/>
      <c r="C593" s="193"/>
      <c r="D593" s="193"/>
      <c r="E593" s="193"/>
    </row>
    <row r="594">
      <c r="B594" s="193"/>
      <c r="C594" s="193"/>
      <c r="D594" s="193"/>
      <c r="E594" s="193"/>
    </row>
    <row r="595">
      <c r="B595" s="193"/>
      <c r="C595" s="193"/>
      <c r="D595" s="193"/>
      <c r="E595" s="193"/>
    </row>
    <row r="596">
      <c r="B596" s="193"/>
      <c r="C596" s="193"/>
      <c r="D596" s="193"/>
      <c r="E596" s="193"/>
    </row>
    <row r="597">
      <c r="B597" s="193"/>
      <c r="C597" s="193"/>
      <c r="D597" s="193"/>
      <c r="E597" s="193"/>
    </row>
    <row r="598">
      <c r="B598" s="193"/>
      <c r="C598" s="193"/>
      <c r="D598" s="193"/>
      <c r="E598" s="193"/>
    </row>
    <row r="599">
      <c r="B599" s="193"/>
      <c r="C599" s="193"/>
      <c r="D599" s="193"/>
      <c r="E599" s="193"/>
    </row>
    <row r="600">
      <c r="B600" s="193"/>
      <c r="C600" s="193"/>
      <c r="D600" s="193"/>
      <c r="E600" s="193"/>
    </row>
    <row r="601">
      <c r="B601" s="193"/>
      <c r="C601" s="193"/>
      <c r="D601" s="193"/>
      <c r="E601" s="193"/>
    </row>
    <row r="602">
      <c r="B602" s="193"/>
      <c r="C602" s="193"/>
      <c r="D602" s="193"/>
      <c r="E602" s="193"/>
    </row>
    <row r="603">
      <c r="B603" s="193"/>
      <c r="C603" s="193"/>
      <c r="D603" s="193"/>
      <c r="E603" s="193"/>
    </row>
    <row r="604">
      <c r="B604" s="193"/>
      <c r="C604" s="193"/>
      <c r="D604" s="193"/>
      <c r="E604" s="193"/>
    </row>
    <row r="605">
      <c r="B605" s="193"/>
      <c r="C605" s="193"/>
      <c r="D605" s="193"/>
      <c r="E605" s="193"/>
    </row>
    <row r="606">
      <c r="B606" s="193"/>
      <c r="C606" s="193"/>
      <c r="D606" s="193"/>
      <c r="E606" s="193"/>
    </row>
    <row r="607">
      <c r="B607" s="193"/>
      <c r="C607" s="193"/>
      <c r="D607" s="193"/>
      <c r="E607" s="193"/>
    </row>
    <row r="608">
      <c r="B608" s="193"/>
      <c r="C608" s="193"/>
      <c r="D608" s="193"/>
      <c r="E608" s="193"/>
    </row>
    <row r="609">
      <c r="B609" s="193"/>
      <c r="C609" s="193"/>
      <c r="D609" s="193"/>
      <c r="E609" s="193"/>
    </row>
    <row r="610">
      <c r="B610" s="193"/>
      <c r="C610" s="193"/>
      <c r="D610" s="193"/>
      <c r="E610" s="193"/>
    </row>
    <row r="611">
      <c r="B611" s="193"/>
      <c r="C611" s="193"/>
      <c r="D611" s="193"/>
      <c r="E611" s="193"/>
    </row>
    <row r="612">
      <c r="B612" s="193"/>
      <c r="C612" s="193"/>
      <c r="D612" s="193"/>
      <c r="E612" s="193"/>
    </row>
    <row r="613">
      <c r="B613" s="193"/>
      <c r="C613" s="193"/>
      <c r="D613" s="193"/>
      <c r="E613" s="193"/>
    </row>
    <row r="614">
      <c r="B614" s="193"/>
      <c r="C614" s="193"/>
      <c r="D614" s="193"/>
      <c r="E614" s="193"/>
    </row>
    <row r="615">
      <c r="B615" s="193"/>
      <c r="C615" s="193"/>
      <c r="D615" s="193"/>
      <c r="E615" s="193"/>
    </row>
    <row r="616">
      <c r="B616" s="193"/>
      <c r="C616" s="193"/>
      <c r="D616" s="193"/>
      <c r="E616" s="193"/>
    </row>
    <row r="617">
      <c r="B617" s="193"/>
      <c r="C617" s="193"/>
      <c r="D617" s="193"/>
      <c r="E617" s="193"/>
    </row>
    <row r="618">
      <c r="B618" s="193"/>
      <c r="C618" s="193"/>
      <c r="D618" s="193"/>
      <c r="E618" s="193"/>
    </row>
    <row r="619">
      <c r="B619" s="193"/>
      <c r="C619" s="193"/>
      <c r="D619" s="193"/>
      <c r="E619" s="193"/>
    </row>
    <row r="620">
      <c r="B620" s="193"/>
      <c r="C620" s="193"/>
      <c r="D620" s="193"/>
      <c r="E620" s="193"/>
    </row>
    <row r="621">
      <c r="B621" s="193"/>
      <c r="C621" s="193"/>
      <c r="D621" s="193"/>
      <c r="E621" s="193"/>
    </row>
    <row r="622">
      <c r="B622" s="193"/>
      <c r="C622" s="193"/>
      <c r="D622" s="193"/>
      <c r="E622" s="193"/>
    </row>
    <row r="623">
      <c r="B623" s="193"/>
      <c r="C623" s="193"/>
      <c r="D623" s="193"/>
      <c r="E623" s="193"/>
    </row>
    <row r="624">
      <c r="B624" s="193"/>
      <c r="C624" s="193"/>
      <c r="D624" s="193"/>
      <c r="E624" s="193"/>
    </row>
    <row r="625">
      <c r="B625" s="193"/>
      <c r="C625" s="193"/>
      <c r="D625" s="193"/>
      <c r="E625" s="193"/>
    </row>
    <row r="626">
      <c r="B626" s="193"/>
      <c r="C626" s="193"/>
      <c r="D626" s="193"/>
      <c r="E626" s="193"/>
    </row>
    <row r="627">
      <c r="B627" s="193"/>
      <c r="C627" s="193"/>
      <c r="D627" s="193"/>
      <c r="E627" s="193"/>
    </row>
    <row r="628">
      <c r="B628" s="193"/>
      <c r="C628" s="193"/>
      <c r="D628" s="193"/>
      <c r="E628" s="193"/>
    </row>
    <row r="629">
      <c r="B629" s="193"/>
      <c r="C629" s="193"/>
      <c r="D629" s="193"/>
      <c r="E629" s="193"/>
    </row>
    <row r="630">
      <c r="B630" s="193"/>
      <c r="C630" s="193"/>
      <c r="D630" s="193"/>
      <c r="E630" s="193"/>
    </row>
    <row r="631">
      <c r="B631" s="193"/>
      <c r="C631" s="193"/>
      <c r="D631" s="193"/>
      <c r="E631" s="193"/>
    </row>
    <row r="632">
      <c r="B632" s="193"/>
      <c r="C632" s="193"/>
      <c r="D632" s="193"/>
      <c r="E632" s="193"/>
    </row>
    <row r="633">
      <c r="B633" s="193"/>
      <c r="C633" s="193"/>
      <c r="D633" s="193"/>
      <c r="E633" s="193"/>
    </row>
    <row r="634">
      <c r="B634" s="193"/>
      <c r="C634" s="193"/>
      <c r="D634" s="193"/>
      <c r="E634" s="193"/>
    </row>
    <row r="635">
      <c r="B635" s="193"/>
      <c r="C635" s="193"/>
      <c r="D635" s="193"/>
      <c r="E635" s="193"/>
    </row>
    <row r="636">
      <c r="B636" s="193"/>
      <c r="C636" s="193"/>
      <c r="D636" s="193"/>
      <c r="E636" s="193"/>
    </row>
    <row r="637">
      <c r="B637" s="193"/>
      <c r="C637" s="193"/>
      <c r="D637" s="193"/>
      <c r="E637" s="193"/>
    </row>
    <row r="638">
      <c r="B638" s="193"/>
      <c r="C638" s="193"/>
      <c r="D638" s="193"/>
      <c r="E638" s="193"/>
    </row>
    <row r="639">
      <c r="B639" s="193"/>
      <c r="C639" s="193"/>
      <c r="D639" s="193"/>
      <c r="E639" s="193"/>
    </row>
    <row r="640">
      <c r="B640" s="193"/>
      <c r="C640" s="193"/>
      <c r="D640" s="193"/>
      <c r="E640" s="193"/>
    </row>
    <row r="641">
      <c r="B641" s="193"/>
      <c r="C641" s="193"/>
      <c r="D641" s="193"/>
      <c r="E641" s="193"/>
    </row>
    <row r="642">
      <c r="B642" s="193"/>
      <c r="C642" s="193"/>
      <c r="D642" s="193"/>
      <c r="E642" s="193"/>
    </row>
    <row r="643">
      <c r="B643" s="193"/>
      <c r="C643" s="193"/>
      <c r="D643" s="193"/>
      <c r="E643" s="193"/>
    </row>
    <row r="644">
      <c r="B644" s="193"/>
      <c r="C644" s="193"/>
      <c r="D644" s="193"/>
      <c r="E644" s="193"/>
    </row>
    <row r="645">
      <c r="B645" s="193"/>
      <c r="C645" s="193"/>
      <c r="D645" s="193"/>
      <c r="E645" s="193"/>
    </row>
    <row r="646">
      <c r="B646" s="193"/>
      <c r="C646" s="193"/>
      <c r="D646" s="193"/>
      <c r="E646" s="193"/>
    </row>
    <row r="647">
      <c r="B647" s="193"/>
      <c r="C647" s="193"/>
      <c r="D647" s="193"/>
      <c r="E647" s="193"/>
    </row>
    <row r="648">
      <c r="B648" s="193"/>
      <c r="C648" s="193"/>
      <c r="D648" s="193"/>
      <c r="E648" s="193"/>
    </row>
    <row r="649">
      <c r="B649" s="193"/>
      <c r="C649" s="193"/>
      <c r="D649" s="193"/>
      <c r="E649" s="193"/>
    </row>
    <row r="650">
      <c r="B650" s="193"/>
      <c r="C650" s="193"/>
      <c r="D650" s="193"/>
      <c r="E650" s="193"/>
    </row>
    <row r="651">
      <c r="B651" s="193"/>
      <c r="C651" s="193"/>
      <c r="D651" s="193"/>
      <c r="E651" s="193"/>
    </row>
    <row r="652">
      <c r="B652" s="193"/>
      <c r="C652" s="193"/>
      <c r="D652" s="193"/>
      <c r="E652" s="193"/>
    </row>
    <row r="653">
      <c r="B653" s="193"/>
      <c r="C653" s="193"/>
      <c r="D653" s="193"/>
      <c r="E653" s="193"/>
    </row>
    <row r="654">
      <c r="B654" s="193"/>
      <c r="C654" s="193"/>
      <c r="D654" s="193"/>
      <c r="E654" s="193"/>
    </row>
    <row r="655">
      <c r="B655" s="193"/>
      <c r="C655" s="193"/>
      <c r="D655" s="193"/>
      <c r="E655" s="193"/>
    </row>
    <row r="656">
      <c r="B656" s="193"/>
      <c r="C656" s="193"/>
      <c r="D656" s="193"/>
      <c r="E656" s="193"/>
    </row>
    <row r="657">
      <c r="B657" s="193"/>
      <c r="C657" s="193"/>
      <c r="D657" s="193"/>
      <c r="E657" s="193"/>
    </row>
    <row r="658">
      <c r="B658" s="193"/>
      <c r="C658" s="193"/>
      <c r="D658" s="193"/>
      <c r="E658" s="193"/>
    </row>
    <row r="659">
      <c r="B659" s="193"/>
      <c r="C659" s="193"/>
      <c r="D659" s="193"/>
      <c r="E659" s="193"/>
    </row>
    <row r="660">
      <c r="B660" s="193"/>
      <c r="C660" s="193"/>
      <c r="D660" s="193"/>
      <c r="E660" s="193"/>
    </row>
    <row r="661">
      <c r="B661" s="193"/>
      <c r="C661" s="193"/>
      <c r="D661" s="193"/>
      <c r="E661" s="193"/>
    </row>
    <row r="662">
      <c r="B662" s="193"/>
      <c r="C662" s="193"/>
      <c r="D662" s="193"/>
      <c r="E662" s="193"/>
    </row>
    <row r="663">
      <c r="B663" s="193"/>
      <c r="C663" s="193"/>
      <c r="D663" s="193"/>
      <c r="E663" s="193"/>
    </row>
    <row r="664">
      <c r="B664" s="193"/>
      <c r="C664" s="193"/>
      <c r="D664" s="193"/>
      <c r="E664" s="193"/>
    </row>
    <row r="665">
      <c r="B665" s="193"/>
      <c r="C665" s="193"/>
      <c r="D665" s="193"/>
      <c r="E665" s="193"/>
    </row>
    <row r="666">
      <c r="B666" s="193"/>
      <c r="C666" s="193"/>
      <c r="D666" s="193"/>
      <c r="E666" s="193"/>
    </row>
    <row r="667">
      <c r="B667" s="193"/>
      <c r="C667" s="193"/>
      <c r="D667" s="193"/>
      <c r="E667" s="193"/>
    </row>
    <row r="668">
      <c r="B668" s="193"/>
      <c r="C668" s="193"/>
      <c r="D668" s="193"/>
      <c r="E668" s="193"/>
    </row>
    <row r="669">
      <c r="B669" s="193"/>
      <c r="C669" s="193"/>
      <c r="D669" s="193"/>
      <c r="E669" s="193"/>
    </row>
    <row r="670">
      <c r="B670" s="193"/>
      <c r="C670" s="193"/>
      <c r="D670" s="193"/>
      <c r="E670" s="193"/>
    </row>
    <row r="671">
      <c r="B671" s="193"/>
      <c r="C671" s="193"/>
      <c r="D671" s="193"/>
      <c r="E671" s="193"/>
    </row>
    <row r="672">
      <c r="B672" s="193"/>
      <c r="C672" s="193"/>
      <c r="D672" s="193"/>
      <c r="E672" s="193"/>
    </row>
    <row r="673">
      <c r="B673" s="193"/>
      <c r="C673" s="193"/>
      <c r="D673" s="193"/>
      <c r="E673" s="193"/>
    </row>
    <row r="674">
      <c r="B674" s="193"/>
      <c r="C674" s="193"/>
      <c r="D674" s="193"/>
      <c r="E674" s="193"/>
    </row>
    <row r="675">
      <c r="B675" s="193"/>
      <c r="C675" s="193"/>
      <c r="D675" s="193"/>
      <c r="E675" s="193"/>
    </row>
    <row r="676">
      <c r="B676" s="193"/>
      <c r="C676" s="193"/>
      <c r="D676" s="193"/>
      <c r="E676" s="193"/>
    </row>
    <row r="677">
      <c r="B677" s="193"/>
      <c r="C677" s="193"/>
      <c r="D677" s="193"/>
      <c r="E677" s="193"/>
    </row>
    <row r="678">
      <c r="B678" s="193"/>
      <c r="C678" s="193"/>
      <c r="D678" s="193"/>
      <c r="E678" s="193"/>
    </row>
    <row r="679">
      <c r="B679" s="193"/>
      <c r="C679" s="193"/>
      <c r="D679" s="193"/>
      <c r="E679" s="193"/>
    </row>
    <row r="680">
      <c r="B680" s="193"/>
      <c r="C680" s="193"/>
      <c r="D680" s="193"/>
      <c r="E680" s="193"/>
    </row>
    <row r="681">
      <c r="B681" s="193"/>
      <c r="C681" s="193"/>
      <c r="D681" s="193"/>
      <c r="E681" s="193"/>
    </row>
    <row r="682">
      <c r="B682" s="193"/>
      <c r="C682" s="193"/>
      <c r="D682" s="193"/>
      <c r="E682" s="193"/>
    </row>
    <row r="683">
      <c r="B683" s="193"/>
      <c r="C683" s="193"/>
      <c r="D683" s="193"/>
      <c r="E683" s="193"/>
    </row>
    <row r="684">
      <c r="B684" s="193"/>
      <c r="C684" s="193"/>
      <c r="D684" s="193"/>
      <c r="E684" s="193"/>
    </row>
    <row r="685">
      <c r="B685" s="193"/>
      <c r="C685" s="193"/>
      <c r="D685" s="193"/>
      <c r="E685" s="193"/>
    </row>
    <row r="686">
      <c r="B686" s="193"/>
      <c r="C686" s="193"/>
      <c r="D686" s="193"/>
      <c r="E686" s="193"/>
    </row>
    <row r="687">
      <c r="B687" s="193"/>
      <c r="C687" s="193"/>
      <c r="D687" s="193"/>
      <c r="E687" s="193"/>
    </row>
    <row r="688">
      <c r="B688" s="193"/>
      <c r="C688" s="193"/>
      <c r="D688" s="193"/>
      <c r="E688" s="193"/>
    </row>
    <row r="689">
      <c r="B689" s="193"/>
      <c r="C689" s="193"/>
      <c r="D689" s="193"/>
      <c r="E689" s="193"/>
    </row>
    <row r="690">
      <c r="B690" s="193"/>
      <c r="C690" s="193"/>
      <c r="D690" s="193"/>
      <c r="E690" s="193"/>
    </row>
    <row r="691">
      <c r="B691" s="193"/>
      <c r="C691" s="193"/>
      <c r="D691" s="193"/>
      <c r="E691" s="193"/>
    </row>
    <row r="692">
      <c r="B692" s="193"/>
      <c r="C692" s="193"/>
      <c r="D692" s="193"/>
      <c r="E692" s="193"/>
    </row>
    <row r="693">
      <c r="B693" s="193"/>
      <c r="C693" s="193"/>
      <c r="D693" s="193"/>
      <c r="E693" s="193"/>
    </row>
    <row r="694">
      <c r="B694" s="193"/>
      <c r="C694" s="193"/>
      <c r="D694" s="193"/>
      <c r="E694" s="193"/>
    </row>
    <row r="695">
      <c r="B695" s="193"/>
      <c r="C695" s="193"/>
      <c r="D695" s="193"/>
      <c r="E695" s="193"/>
    </row>
    <row r="696">
      <c r="B696" s="193"/>
      <c r="C696" s="193"/>
      <c r="D696" s="193"/>
      <c r="E696" s="193"/>
    </row>
    <row r="697">
      <c r="B697" s="193"/>
      <c r="C697" s="193"/>
      <c r="D697" s="193"/>
      <c r="E697" s="193"/>
    </row>
    <row r="698">
      <c r="B698" s="193"/>
      <c r="C698" s="193"/>
      <c r="D698" s="193"/>
      <c r="E698" s="193"/>
    </row>
    <row r="699">
      <c r="B699" s="193"/>
      <c r="C699" s="193"/>
      <c r="D699" s="193"/>
      <c r="E699" s="193"/>
    </row>
    <row r="700">
      <c r="B700" s="193"/>
      <c r="C700" s="193"/>
      <c r="D700" s="193"/>
      <c r="E700" s="193"/>
    </row>
    <row r="701">
      <c r="B701" s="193"/>
      <c r="C701" s="193"/>
      <c r="D701" s="193"/>
      <c r="E701" s="193"/>
    </row>
    <row r="702">
      <c r="B702" s="193"/>
      <c r="C702" s="193"/>
      <c r="D702" s="193"/>
      <c r="E702" s="193"/>
    </row>
    <row r="703">
      <c r="B703" s="193"/>
      <c r="C703" s="193"/>
      <c r="D703" s="193"/>
      <c r="E703" s="193"/>
    </row>
    <row r="704">
      <c r="B704" s="193"/>
      <c r="C704" s="193"/>
      <c r="D704" s="193"/>
      <c r="E704" s="193"/>
    </row>
    <row r="705">
      <c r="B705" s="193"/>
      <c r="C705" s="193"/>
      <c r="D705" s="193"/>
      <c r="E705" s="193"/>
    </row>
    <row r="706">
      <c r="B706" s="193"/>
      <c r="C706" s="193"/>
      <c r="D706" s="193"/>
      <c r="E706" s="193"/>
    </row>
    <row r="707">
      <c r="B707" s="193"/>
      <c r="C707" s="193"/>
      <c r="D707" s="193"/>
      <c r="E707" s="193"/>
    </row>
    <row r="708">
      <c r="B708" s="193"/>
      <c r="C708" s="193"/>
      <c r="D708" s="193"/>
      <c r="E708" s="193"/>
    </row>
    <row r="709">
      <c r="B709" s="193"/>
      <c r="C709" s="193"/>
      <c r="D709" s="193"/>
      <c r="E709" s="193"/>
    </row>
    <row r="710">
      <c r="B710" s="193"/>
      <c r="C710" s="193"/>
      <c r="D710" s="193"/>
      <c r="E710" s="193"/>
    </row>
    <row r="711">
      <c r="B711" s="193"/>
      <c r="C711" s="193"/>
      <c r="D711" s="193"/>
      <c r="E711" s="193"/>
    </row>
    <row r="712">
      <c r="B712" s="193"/>
      <c r="C712" s="193"/>
      <c r="D712" s="193"/>
      <c r="E712" s="193"/>
    </row>
    <row r="713">
      <c r="B713" s="193"/>
      <c r="C713" s="193"/>
      <c r="D713" s="193"/>
      <c r="E713" s="193"/>
    </row>
    <row r="714">
      <c r="B714" s="193"/>
      <c r="C714" s="193"/>
      <c r="D714" s="193"/>
      <c r="E714" s="193"/>
    </row>
    <row r="715">
      <c r="B715" s="193"/>
      <c r="C715" s="193"/>
      <c r="D715" s="193"/>
      <c r="E715" s="193"/>
    </row>
    <row r="716">
      <c r="B716" s="193"/>
      <c r="C716" s="193"/>
      <c r="D716" s="193"/>
      <c r="E716" s="193"/>
    </row>
    <row r="717">
      <c r="B717" s="193"/>
      <c r="C717" s="193"/>
      <c r="D717" s="193"/>
      <c r="E717" s="193"/>
    </row>
    <row r="718">
      <c r="B718" s="193"/>
      <c r="C718" s="193"/>
      <c r="D718" s="193"/>
      <c r="E718" s="193"/>
    </row>
    <row r="719">
      <c r="B719" s="193"/>
      <c r="C719" s="193"/>
      <c r="D719" s="193"/>
      <c r="E719" s="193"/>
    </row>
    <row r="720">
      <c r="B720" s="193"/>
      <c r="C720" s="193"/>
      <c r="D720" s="193"/>
      <c r="E720" s="193"/>
    </row>
    <row r="721">
      <c r="B721" s="193"/>
      <c r="C721" s="193"/>
      <c r="D721" s="193"/>
      <c r="E721" s="193"/>
    </row>
    <row r="722">
      <c r="B722" s="193"/>
      <c r="C722" s="193"/>
      <c r="D722" s="193"/>
      <c r="E722" s="193"/>
    </row>
    <row r="723">
      <c r="B723" s="193"/>
      <c r="C723" s="193"/>
      <c r="D723" s="193"/>
      <c r="E723" s="193"/>
    </row>
    <row r="724">
      <c r="B724" s="193"/>
      <c r="C724" s="193"/>
      <c r="D724" s="193"/>
      <c r="E724" s="193"/>
    </row>
    <row r="725">
      <c r="B725" s="193"/>
      <c r="C725" s="193"/>
      <c r="D725" s="193"/>
      <c r="E725" s="193"/>
    </row>
    <row r="726">
      <c r="B726" s="193"/>
      <c r="C726" s="193"/>
      <c r="D726" s="193"/>
      <c r="E726" s="193"/>
    </row>
    <row r="727">
      <c r="B727" s="193"/>
      <c r="C727" s="193"/>
      <c r="D727" s="193"/>
      <c r="E727" s="193"/>
    </row>
    <row r="728">
      <c r="B728" s="193"/>
      <c r="C728" s="193"/>
      <c r="D728" s="193"/>
      <c r="E728" s="193"/>
    </row>
    <row r="729">
      <c r="B729" s="193"/>
      <c r="C729" s="193"/>
      <c r="D729" s="193"/>
      <c r="E729" s="193"/>
    </row>
    <row r="730">
      <c r="B730" s="193"/>
      <c r="C730" s="193"/>
      <c r="D730" s="193"/>
      <c r="E730" s="193"/>
    </row>
    <row r="731">
      <c r="B731" s="193"/>
      <c r="C731" s="193"/>
      <c r="D731" s="193"/>
      <c r="E731" s="193"/>
    </row>
    <row r="732">
      <c r="B732" s="193"/>
      <c r="C732" s="193"/>
      <c r="D732" s="193"/>
      <c r="E732" s="193"/>
    </row>
    <row r="733">
      <c r="B733" s="193"/>
      <c r="C733" s="193"/>
      <c r="D733" s="193"/>
      <c r="E733" s="193"/>
    </row>
    <row r="734">
      <c r="B734" s="193"/>
      <c r="C734" s="193"/>
      <c r="D734" s="193"/>
      <c r="E734" s="193"/>
    </row>
    <row r="735">
      <c r="B735" s="193"/>
      <c r="C735" s="193"/>
      <c r="D735" s="193"/>
      <c r="E735" s="193"/>
    </row>
    <row r="736">
      <c r="B736" s="193"/>
      <c r="C736" s="193"/>
      <c r="D736" s="193"/>
      <c r="E736" s="193"/>
    </row>
    <row r="737">
      <c r="B737" s="193"/>
      <c r="C737" s="193"/>
      <c r="D737" s="193"/>
      <c r="E737" s="193"/>
    </row>
    <row r="738">
      <c r="B738" s="193"/>
      <c r="C738" s="193"/>
      <c r="D738" s="193"/>
      <c r="E738" s="193"/>
    </row>
    <row r="739">
      <c r="B739" s="193"/>
      <c r="C739" s="193"/>
      <c r="D739" s="193"/>
      <c r="E739" s="193"/>
    </row>
    <row r="740">
      <c r="B740" s="193"/>
      <c r="C740" s="193"/>
      <c r="D740" s="193"/>
      <c r="E740" s="193"/>
    </row>
    <row r="741">
      <c r="B741" s="193"/>
      <c r="C741" s="193"/>
      <c r="D741" s="193"/>
      <c r="E741" s="193"/>
    </row>
    <row r="742">
      <c r="B742" s="193"/>
      <c r="C742" s="193"/>
      <c r="D742" s="193"/>
      <c r="E742" s="193"/>
    </row>
    <row r="743">
      <c r="B743" s="193"/>
      <c r="C743" s="193"/>
      <c r="D743" s="193"/>
      <c r="E743" s="193"/>
    </row>
    <row r="744">
      <c r="B744" s="193"/>
      <c r="C744" s="193"/>
      <c r="D744" s="193"/>
      <c r="E744" s="193"/>
    </row>
    <row r="745">
      <c r="B745" s="193"/>
      <c r="C745" s="193"/>
      <c r="D745" s="193"/>
      <c r="E745" s="193"/>
    </row>
    <row r="746">
      <c r="B746" s="193"/>
      <c r="C746" s="193"/>
      <c r="D746" s="193"/>
      <c r="E746" s="193"/>
    </row>
    <row r="747">
      <c r="B747" s="193"/>
      <c r="C747" s="193"/>
      <c r="D747" s="193"/>
      <c r="E747" s="193"/>
    </row>
    <row r="748">
      <c r="B748" s="193"/>
      <c r="C748" s="193"/>
      <c r="D748" s="193"/>
      <c r="E748" s="193"/>
    </row>
    <row r="749">
      <c r="B749" s="193"/>
      <c r="C749" s="193"/>
      <c r="D749" s="193"/>
      <c r="E749" s="193"/>
    </row>
    <row r="750">
      <c r="B750" s="193"/>
      <c r="C750" s="193"/>
      <c r="D750" s="193"/>
      <c r="E750" s="193"/>
    </row>
    <row r="751">
      <c r="B751" s="193"/>
      <c r="C751" s="193"/>
      <c r="D751" s="193"/>
      <c r="E751" s="193"/>
    </row>
    <row r="752">
      <c r="B752" s="193"/>
      <c r="C752" s="193"/>
      <c r="D752" s="193"/>
      <c r="E752" s="193"/>
    </row>
    <row r="753">
      <c r="B753" s="193"/>
      <c r="C753" s="193"/>
      <c r="D753" s="193"/>
      <c r="E753" s="193"/>
    </row>
    <row r="754">
      <c r="B754" s="193"/>
      <c r="C754" s="193"/>
      <c r="D754" s="193"/>
      <c r="E754" s="193"/>
    </row>
    <row r="755">
      <c r="B755" s="193"/>
      <c r="C755" s="193"/>
      <c r="D755" s="193"/>
      <c r="E755" s="193"/>
    </row>
    <row r="756">
      <c r="B756" s="193"/>
      <c r="C756" s="193"/>
      <c r="D756" s="193"/>
      <c r="E756" s="193"/>
    </row>
    <row r="757">
      <c r="B757" s="193"/>
      <c r="C757" s="193"/>
      <c r="D757" s="193"/>
      <c r="E757" s="193"/>
    </row>
    <row r="758">
      <c r="B758" s="193"/>
      <c r="C758" s="193"/>
      <c r="D758" s="193"/>
      <c r="E758" s="193"/>
    </row>
    <row r="759">
      <c r="B759" s="193"/>
      <c r="C759" s="193"/>
      <c r="D759" s="193"/>
      <c r="E759" s="193"/>
    </row>
    <row r="760">
      <c r="B760" s="193"/>
      <c r="C760" s="193"/>
      <c r="D760" s="193"/>
      <c r="E760" s="193"/>
    </row>
    <row r="761">
      <c r="B761" s="193"/>
      <c r="C761" s="193"/>
      <c r="D761" s="193"/>
      <c r="E761" s="193"/>
    </row>
    <row r="762">
      <c r="B762" s="193"/>
      <c r="C762" s="193"/>
      <c r="D762" s="193"/>
      <c r="E762" s="193"/>
    </row>
    <row r="763">
      <c r="B763" s="193"/>
      <c r="C763" s="193"/>
      <c r="D763" s="193"/>
      <c r="E763" s="193"/>
    </row>
    <row r="764">
      <c r="B764" s="193"/>
      <c r="C764" s="193"/>
      <c r="D764" s="193"/>
      <c r="E764" s="193"/>
    </row>
    <row r="765">
      <c r="B765" s="193"/>
      <c r="C765" s="193"/>
      <c r="D765" s="193"/>
      <c r="E765" s="193"/>
    </row>
    <row r="766">
      <c r="B766" s="193"/>
      <c r="C766" s="193"/>
      <c r="D766" s="193"/>
      <c r="E766" s="193"/>
    </row>
    <row r="767">
      <c r="B767" s="193"/>
      <c r="C767" s="193"/>
      <c r="D767" s="193"/>
      <c r="E767" s="193"/>
    </row>
    <row r="768">
      <c r="B768" s="193"/>
      <c r="C768" s="193"/>
      <c r="D768" s="193"/>
      <c r="E768" s="193"/>
    </row>
    <row r="769">
      <c r="B769" s="193"/>
      <c r="C769" s="193"/>
      <c r="D769" s="193"/>
      <c r="E769" s="193"/>
    </row>
    <row r="770">
      <c r="B770" s="193"/>
      <c r="C770" s="193"/>
      <c r="D770" s="193"/>
      <c r="E770" s="193"/>
    </row>
    <row r="771">
      <c r="B771" s="193"/>
      <c r="C771" s="193"/>
      <c r="D771" s="193"/>
      <c r="E771" s="193"/>
    </row>
    <row r="772">
      <c r="B772" s="193"/>
      <c r="C772" s="193"/>
      <c r="D772" s="193"/>
      <c r="E772" s="193"/>
    </row>
    <row r="773">
      <c r="B773" s="193"/>
      <c r="C773" s="193"/>
      <c r="D773" s="193"/>
      <c r="E773" s="193"/>
    </row>
    <row r="774">
      <c r="B774" s="193"/>
      <c r="C774" s="193"/>
      <c r="D774" s="193"/>
      <c r="E774" s="193"/>
    </row>
    <row r="775">
      <c r="B775" s="193"/>
      <c r="C775" s="193"/>
      <c r="D775" s="193"/>
      <c r="E775" s="193"/>
    </row>
    <row r="776">
      <c r="B776" s="193"/>
      <c r="C776" s="193"/>
      <c r="D776" s="193"/>
      <c r="E776" s="193"/>
    </row>
    <row r="777">
      <c r="B777" s="193"/>
      <c r="C777" s="193"/>
      <c r="D777" s="193"/>
      <c r="E777" s="193"/>
    </row>
    <row r="778">
      <c r="B778" s="193"/>
      <c r="C778" s="193"/>
      <c r="D778" s="193"/>
      <c r="E778" s="193"/>
    </row>
    <row r="779">
      <c r="B779" s="193"/>
      <c r="C779" s="193"/>
      <c r="D779" s="193"/>
      <c r="E779" s="193"/>
    </row>
    <row r="780">
      <c r="B780" s="193"/>
      <c r="C780" s="193"/>
      <c r="D780" s="193"/>
      <c r="E780" s="193"/>
    </row>
    <row r="781">
      <c r="B781" s="193"/>
      <c r="C781" s="193"/>
      <c r="D781" s="193"/>
      <c r="E781" s="193"/>
    </row>
    <row r="782">
      <c r="B782" s="193"/>
      <c r="C782" s="193"/>
      <c r="D782" s="193"/>
      <c r="E782" s="193"/>
    </row>
    <row r="783">
      <c r="B783" s="193"/>
      <c r="C783" s="193"/>
      <c r="D783" s="193"/>
      <c r="E783" s="193"/>
    </row>
    <row r="784">
      <c r="B784" s="193"/>
      <c r="C784" s="193"/>
      <c r="D784" s="193"/>
      <c r="E784" s="193"/>
    </row>
    <row r="785">
      <c r="B785" s="193"/>
      <c r="C785" s="193"/>
      <c r="D785" s="193"/>
      <c r="E785" s="193"/>
    </row>
    <row r="786">
      <c r="B786" s="193"/>
      <c r="C786" s="193"/>
      <c r="D786" s="193"/>
      <c r="E786" s="193"/>
    </row>
    <row r="787">
      <c r="B787" s="193"/>
      <c r="C787" s="193"/>
      <c r="D787" s="193"/>
      <c r="E787" s="193"/>
    </row>
    <row r="788">
      <c r="B788" s="193"/>
      <c r="C788" s="193"/>
      <c r="D788" s="193"/>
      <c r="E788" s="193"/>
    </row>
    <row r="789">
      <c r="B789" s="193"/>
      <c r="C789" s="193"/>
      <c r="D789" s="193"/>
      <c r="E789" s="193"/>
    </row>
    <row r="790">
      <c r="B790" s="193"/>
      <c r="C790" s="193"/>
      <c r="D790" s="193"/>
      <c r="E790" s="193"/>
    </row>
    <row r="791">
      <c r="B791" s="193"/>
      <c r="C791" s="193"/>
      <c r="D791" s="193"/>
      <c r="E791" s="193"/>
    </row>
    <row r="792">
      <c r="B792" s="193"/>
      <c r="C792" s="193"/>
      <c r="D792" s="193"/>
      <c r="E792" s="193"/>
    </row>
    <row r="793">
      <c r="B793" s="193"/>
      <c r="C793" s="193"/>
      <c r="D793" s="193"/>
      <c r="E793" s="193"/>
    </row>
    <row r="794">
      <c r="B794" s="193"/>
      <c r="C794" s="193"/>
      <c r="D794" s="193"/>
      <c r="E794" s="193"/>
    </row>
    <row r="795">
      <c r="B795" s="193"/>
      <c r="C795" s="193"/>
      <c r="D795" s="193"/>
      <c r="E795" s="193"/>
    </row>
    <row r="796">
      <c r="B796" s="193"/>
      <c r="C796" s="193"/>
      <c r="D796" s="193"/>
      <c r="E796" s="193"/>
    </row>
    <row r="797">
      <c r="B797" s="193"/>
      <c r="C797" s="193"/>
      <c r="D797" s="193"/>
      <c r="E797" s="193"/>
    </row>
    <row r="798">
      <c r="B798" s="193"/>
      <c r="C798" s="193"/>
      <c r="D798" s="193"/>
      <c r="E798" s="193"/>
    </row>
    <row r="799">
      <c r="B799" s="193"/>
      <c r="C799" s="193"/>
      <c r="D799" s="193"/>
      <c r="E799" s="193"/>
    </row>
    <row r="800">
      <c r="B800" s="193"/>
      <c r="C800" s="193"/>
      <c r="D800" s="193"/>
      <c r="E800" s="193"/>
    </row>
    <row r="801">
      <c r="B801" s="193"/>
      <c r="C801" s="193"/>
      <c r="D801" s="193"/>
      <c r="E801" s="193"/>
    </row>
    <row r="802">
      <c r="B802" s="193"/>
      <c r="C802" s="193"/>
      <c r="D802" s="193"/>
      <c r="E802" s="193"/>
    </row>
    <row r="803">
      <c r="B803" s="193"/>
      <c r="C803" s="193"/>
      <c r="D803" s="193"/>
      <c r="E803" s="193"/>
    </row>
    <row r="804">
      <c r="B804" s="193"/>
      <c r="C804" s="193"/>
      <c r="D804" s="193"/>
      <c r="E804" s="193"/>
    </row>
    <row r="805">
      <c r="B805" s="193"/>
      <c r="C805" s="193"/>
      <c r="D805" s="193"/>
      <c r="E805" s="193"/>
    </row>
    <row r="806">
      <c r="B806" s="193"/>
      <c r="C806" s="193"/>
      <c r="D806" s="193"/>
      <c r="E806" s="193"/>
    </row>
    <row r="807">
      <c r="B807" s="193"/>
      <c r="C807" s="193"/>
      <c r="D807" s="193"/>
      <c r="E807" s="193"/>
    </row>
    <row r="808">
      <c r="B808" s="193"/>
      <c r="C808" s="193"/>
      <c r="D808" s="193"/>
      <c r="E808" s="193"/>
    </row>
    <row r="809">
      <c r="B809" s="193"/>
      <c r="C809" s="193"/>
      <c r="D809" s="193"/>
      <c r="E809" s="193"/>
    </row>
    <row r="810">
      <c r="B810" s="193"/>
      <c r="C810" s="193"/>
      <c r="D810" s="193"/>
      <c r="E810" s="193"/>
    </row>
    <row r="811">
      <c r="B811" s="193"/>
      <c r="C811" s="193"/>
      <c r="D811" s="193"/>
      <c r="E811" s="193"/>
    </row>
    <row r="812">
      <c r="B812" s="193"/>
      <c r="C812" s="193"/>
      <c r="D812" s="193"/>
      <c r="E812" s="193"/>
    </row>
    <row r="813">
      <c r="B813" s="193"/>
      <c r="C813" s="193"/>
      <c r="D813" s="193"/>
      <c r="E813" s="193"/>
    </row>
    <row r="814">
      <c r="B814" s="193"/>
      <c r="C814" s="193"/>
      <c r="D814" s="193"/>
      <c r="E814" s="193"/>
    </row>
    <row r="815">
      <c r="B815" s="193"/>
      <c r="C815" s="193"/>
      <c r="D815" s="193"/>
      <c r="E815" s="193"/>
    </row>
    <row r="816">
      <c r="B816" s="193"/>
      <c r="C816" s="193"/>
      <c r="D816" s="193"/>
      <c r="E816" s="193"/>
    </row>
    <row r="817">
      <c r="B817" s="193"/>
      <c r="C817" s="193"/>
      <c r="D817" s="193"/>
      <c r="E817" s="193"/>
    </row>
    <row r="818">
      <c r="B818" s="193"/>
      <c r="C818" s="193"/>
      <c r="D818" s="193"/>
      <c r="E818" s="193"/>
    </row>
    <row r="819">
      <c r="B819" s="193"/>
      <c r="C819" s="193"/>
      <c r="D819" s="193"/>
      <c r="E819" s="193"/>
    </row>
    <row r="820">
      <c r="B820" s="193"/>
      <c r="C820" s="193"/>
      <c r="D820" s="193"/>
      <c r="E820" s="193"/>
    </row>
    <row r="821">
      <c r="B821" s="193"/>
      <c r="C821" s="193"/>
      <c r="D821" s="193"/>
      <c r="E821" s="193"/>
    </row>
    <row r="822">
      <c r="B822" s="193"/>
      <c r="C822" s="193"/>
      <c r="D822" s="193"/>
      <c r="E822" s="193"/>
    </row>
    <row r="823">
      <c r="B823" s="193"/>
      <c r="C823" s="193"/>
      <c r="D823" s="193"/>
      <c r="E823" s="193"/>
    </row>
    <row r="824">
      <c r="B824" s="193"/>
      <c r="C824" s="193"/>
      <c r="D824" s="193"/>
      <c r="E824" s="193"/>
    </row>
    <row r="825">
      <c r="B825" s="193"/>
      <c r="C825" s="193"/>
      <c r="D825" s="193"/>
      <c r="E825" s="193"/>
    </row>
    <row r="826">
      <c r="B826" s="193"/>
      <c r="C826" s="193"/>
      <c r="D826" s="193"/>
      <c r="E826" s="193"/>
    </row>
    <row r="827">
      <c r="B827" s="193"/>
      <c r="C827" s="193"/>
      <c r="D827" s="193"/>
      <c r="E827" s="193"/>
    </row>
    <row r="828">
      <c r="B828" s="193"/>
      <c r="C828" s="193"/>
      <c r="D828" s="193"/>
      <c r="E828" s="193"/>
    </row>
    <row r="829">
      <c r="B829" s="193"/>
      <c r="C829" s="193"/>
      <c r="D829" s="193"/>
      <c r="E829" s="193"/>
    </row>
    <row r="830">
      <c r="B830" s="193"/>
      <c r="C830" s="193"/>
      <c r="D830" s="193"/>
      <c r="E830" s="193"/>
    </row>
    <row r="831">
      <c r="B831" s="193"/>
      <c r="C831" s="193"/>
      <c r="D831" s="193"/>
      <c r="E831" s="193"/>
    </row>
    <row r="832">
      <c r="B832" s="193"/>
      <c r="C832" s="193"/>
      <c r="D832" s="193"/>
      <c r="E832" s="193"/>
    </row>
    <row r="833">
      <c r="B833" s="193"/>
      <c r="C833" s="193"/>
      <c r="D833" s="193"/>
      <c r="E833" s="193"/>
    </row>
    <row r="834">
      <c r="B834" s="193"/>
      <c r="C834" s="193"/>
      <c r="D834" s="193"/>
      <c r="E834" s="193"/>
    </row>
    <row r="835">
      <c r="B835" s="193"/>
      <c r="C835" s="193"/>
      <c r="D835" s="193"/>
      <c r="E835" s="193"/>
    </row>
    <row r="836">
      <c r="B836" s="193"/>
      <c r="C836" s="193"/>
      <c r="D836" s="193"/>
      <c r="E836" s="193"/>
    </row>
    <row r="837">
      <c r="B837" s="193"/>
      <c r="C837" s="193"/>
      <c r="D837" s="193"/>
      <c r="E837" s="193"/>
    </row>
    <row r="838">
      <c r="B838" s="193"/>
      <c r="C838" s="193"/>
      <c r="D838" s="193"/>
      <c r="E838" s="193"/>
    </row>
    <row r="839">
      <c r="B839" s="193"/>
      <c r="C839" s="193"/>
      <c r="D839" s="193"/>
      <c r="E839" s="193"/>
    </row>
    <row r="840">
      <c r="B840" s="193"/>
      <c r="C840" s="193"/>
      <c r="D840" s="193"/>
      <c r="E840" s="193"/>
    </row>
    <row r="841">
      <c r="B841" s="193"/>
      <c r="C841" s="193"/>
      <c r="D841" s="193"/>
      <c r="E841" s="193"/>
    </row>
    <row r="842">
      <c r="B842" s="193"/>
      <c r="C842" s="193"/>
      <c r="D842" s="193"/>
      <c r="E842" s="193"/>
    </row>
    <row r="843">
      <c r="B843" s="193"/>
      <c r="C843" s="193"/>
      <c r="D843" s="193"/>
      <c r="E843" s="193"/>
    </row>
    <row r="844">
      <c r="B844" s="193"/>
      <c r="C844" s="193"/>
      <c r="D844" s="193"/>
      <c r="E844" s="193"/>
    </row>
    <row r="845">
      <c r="B845" s="193"/>
      <c r="C845" s="193"/>
      <c r="D845" s="193"/>
      <c r="E845" s="193"/>
    </row>
    <row r="846">
      <c r="B846" s="193"/>
      <c r="C846" s="193"/>
      <c r="D846" s="193"/>
      <c r="E846" s="193"/>
    </row>
    <row r="847">
      <c r="B847" s="193"/>
      <c r="C847" s="193"/>
      <c r="D847" s="193"/>
      <c r="E847" s="193"/>
    </row>
    <row r="848">
      <c r="B848" s="193"/>
      <c r="C848" s="193"/>
      <c r="D848" s="193"/>
      <c r="E848" s="193"/>
    </row>
    <row r="849">
      <c r="B849" s="193"/>
      <c r="C849" s="193"/>
      <c r="D849" s="193"/>
      <c r="E849" s="193"/>
    </row>
    <row r="850">
      <c r="B850" s="193"/>
      <c r="C850" s="193"/>
      <c r="D850" s="193"/>
      <c r="E850" s="193"/>
    </row>
    <row r="851">
      <c r="B851" s="193"/>
      <c r="C851" s="193"/>
      <c r="D851" s="193"/>
      <c r="E851" s="193"/>
    </row>
    <row r="852">
      <c r="B852" s="193"/>
      <c r="C852" s="193"/>
      <c r="D852" s="193"/>
      <c r="E852" s="193"/>
    </row>
    <row r="853">
      <c r="B853" s="193"/>
      <c r="C853" s="193"/>
      <c r="D853" s="193"/>
      <c r="E853" s="193"/>
    </row>
    <row r="854">
      <c r="B854" s="193"/>
      <c r="C854" s="193"/>
      <c r="D854" s="193"/>
      <c r="E854" s="193"/>
    </row>
    <row r="855">
      <c r="B855" s="193"/>
      <c r="C855" s="193"/>
      <c r="D855" s="193"/>
      <c r="E855" s="193"/>
    </row>
    <row r="856">
      <c r="B856" s="193"/>
      <c r="C856" s="193"/>
      <c r="D856" s="193"/>
      <c r="E856" s="193"/>
    </row>
    <row r="857">
      <c r="B857" s="193"/>
      <c r="C857" s="193"/>
      <c r="D857" s="193"/>
      <c r="E857" s="193"/>
    </row>
    <row r="858">
      <c r="B858" s="193"/>
      <c r="C858" s="193"/>
      <c r="D858" s="193"/>
      <c r="E858" s="193"/>
    </row>
    <row r="859">
      <c r="B859" s="193"/>
      <c r="C859" s="193"/>
      <c r="D859" s="193"/>
      <c r="E859" s="193"/>
    </row>
    <row r="860">
      <c r="B860" s="193"/>
      <c r="C860" s="193"/>
      <c r="D860" s="193"/>
      <c r="E860" s="193"/>
    </row>
    <row r="861">
      <c r="B861" s="193"/>
      <c r="C861" s="193"/>
      <c r="D861" s="193"/>
      <c r="E861" s="193"/>
    </row>
    <row r="862">
      <c r="B862" s="193"/>
      <c r="C862" s="193"/>
      <c r="D862" s="193"/>
      <c r="E862" s="193"/>
    </row>
    <row r="863">
      <c r="B863" s="193"/>
      <c r="C863" s="193"/>
      <c r="D863" s="193"/>
      <c r="E863" s="193"/>
    </row>
    <row r="864">
      <c r="B864" s="193"/>
      <c r="C864" s="193"/>
      <c r="D864" s="193"/>
      <c r="E864" s="193"/>
    </row>
    <row r="865">
      <c r="B865" s="193"/>
      <c r="C865" s="193"/>
      <c r="D865" s="193"/>
      <c r="E865" s="193"/>
    </row>
    <row r="866">
      <c r="B866" s="193"/>
      <c r="C866" s="193"/>
      <c r="D866" s="193"/>
      <c r="E866" s="193"/>
    </row>
    <row r="867">
      <c r="B867" s="193"/>
      <c r="C867" s="193"/>
      <c r="D867" s="193"/>
      <c r="E867" s="193"/>
    </row>
    <row r="868">
      <c r="B868" s="193"/>
      <c r="C868" s="193"/>
      <c r="D868" s="193"/>
      <c r="E868" s="193"/>
    </row>
    <row r="869">
      <c r="B869" s="193"/>
      <c r="C869" s="193"/>
      <c r="D869" s="193"/>
      <c r="E869" s="193"/>
    </row>
    <row r="870">
      <c r="B870" s="193"/>
      <c r="C870" s="193"/>
      <c r="D870" s="193"/>
      <c r="E870" s="193"/>
    </row>
    <row r="871">
      <c r="B871" s="193"/>
      <c r="C871" s="193"/>
      <c r="D871" s="193"/>
      <c r="E871" s="193"/>
    </row>
    <row r="872">
      <c r="B872" s="193"/>
      <c r="C872" s="193"/>
      <c r="D872" s="193"/>
      <c r="E872" s="193"/>
    </row>
    <row r="873">
      <c r="B873" s="193"/>
      <c r="C873" s="193"/>
      <c r="D873" s="193"/>
      <c r="E873" s="193"/>
    </row>
    <row r="874">
      <c r="B874" s="193"/>
      <c r="C874" s="193"/>
      <c r="D874" s="193"/>
      <c r="E874" s="193"/>
    </row>
    <row r="875">
      <c r="B875" s="193"/>
      <c r="C875" s="193"/>
      <c r="D875" s="193"/>
      <c r="E875" s="193"/>
    </row>
    <row r="876">
      <c r="B876" s="193"/>
      <c r="C876" s="193"/>
      <c r="D876" s="193"/>
      <c r="E876" s="193"/>
    </row>
    <row r="877">
      <c r="B877" s="193"/>
      <c r="C877" s="193"/>
      <c r="D877" s="193"/>
      <c r="E877" s="193"/>
    </row>
    <row r="878">
      <c r="B878" s="193"/>
      <c r="C878" s="193"/>
      <c r="D878" s="193"/>
      <c r="E878" s="193"/>
    </row>
    <row r="879">
      <c r="B879" s="193"/>
      <c r="C879" s="193"/>
      <c r="D879" s="193"/>
      <c r="E879" s="193"/>
    </row>
    <row r="880">
      <c r="B880" s="193"/>
      <c r="C880" s="193"/>
      <c r="D880" s="193"/>
      <c r="E880" s="193"/>
    </row>
    <row r="881">
      <c r="B881" s="193"/>
      <c r="C881" s="193"/>
      <c r="D881" s="193"/>
      <c r="E881" s="193"/>
    </row>
    <row r="882">
      <c r="B882" s="193"/>
      <c r="C882" s="193"/>
      <c r="D882" s="193"/>
      <c r="E882" s="193"/>
    </row>
    <row r="883">
      <c r="B883" s="193"/>
      <c r="C883" s="193"/>
      <c r="D883" s="193"/>
      <c r="E883" s="193"/>
    </row>
    <row r="884">
      <c r="B884" s="193"/>
      <c r="C884" s="193"/>
      <c r="D884" s="193"/>
      <c r="E884" s="193"/>
    </row>
    <row r="885">
      <c r="B885" s="193"/>
      <c r="C885" s="193"/>
      <c r="D885" s="193"/>
      <c r="E885" s="193"/>
    </row>
    <row r="886">
      <c r="B886" s="193"/>
      <c r="C886" s="193"/>
      <c r="D886" s="193"/>
      <c r="E886" s="193"/>
    </row>
    <row r="887">
      <c r="B887" s="193"/>
      <c r="C887" s="193"/>
      <c r="D887" s="193"/>
      <c r="E887" s="193"/>
    </row>
    <row r="888">
      <c r="B888" s="193"/>
      <c r="C888" s="193"/>
      <c r="D888" s="193"/>
      <c r="E888" s="193"/>
    </row>
    <row r="889">
      <c r="B889" s="193"/>
      <c r="C889" s="193"/>
      <c r="D889" s="193"/>
      <c r="E889" s="193"/>
    </row>
    <row r="890">
      <c r="B890" s="193"/>
      <c r="C890" s="193"/>
      <c r="D890" s="193"/>
      <c r="E890" s="193"/>
    </row>
    <row r="891">
      <c r="B891" s="193"/>
      <c r="C891" s="193"/>
      <c r="D891" s="193"/>
      <c r="E891" s="193"/>
    </row>
    <row r="892">
      <c r="B892" s="193"/>
      <c r="C892" s="193"/>
      <c r="D892" s="193"/>
      <c r="E892" s="193"/>
    </row>
    <row r="893">
      <c r="B893" s="193"/>
      <c r="C893" s="193"/>
      <c r="D893" s="193"/>
      <c r="E893" s="193"/>
    </row>
    <row r="894">
      <c r="B894" s="193"/>
      <c r="C894" s="193"/>
      <c r="D894" s="193"/>
      <c r="E894" s="193"/>
    </row>
    <row r="895">
      <c r="B895" s="193"/>
      <c r="C895" s="193"/>
      <c r="D895" s="193"/>
      <c r="E895" s="193"/>
    </row>
    <row r="896">
      <c r="B896" s="193"/>
      <c r="C896" s="193"/>
      <c r="D896" s="193"/>
      <c r="E896" s="193"/>
    </row>
    <row r="897">
      <c r="B897" s="193"/>
      <c r="C897" s="193"/>
      <c r="D897" s="193"/>
      <c r="E897" s="193"/>
    </row>
    <row r="898">
      <c r="B898" s="193"/>
      <c r="C898" s="193"/>
      <c r="D898" s="193"/>
      <c r="E898" s="193"/>
    </row>
    <row r="899">
      <c r="B899" s="193"/>
      <c r="C899" s="193"/>
      <c r="D899" s="193"/>
      <c r="E899" s="193"/>
    </row>
    <row r="900">
      <c r="B900" s="193"/>
      <c r="C900" s="193"/>
      <c r="D900" s="193"/>
      <c r="E900" s="193"/>
    </row>
    <row r="901">
      <c r="B901" s="193"/>
      <c r="C901" s="193"/>
      <c r="D901" s="193"/>
      <c r="E901" s="193"/>
    </row>
    <row r="902">
      <c r="B902" s="193"/>
      <c r="C902" s="193"/>
      <c r="D902" s="193"/>
      <c r="E902" s="193"/>
    </row>
    <row r="903">
      <c r="B903" s="193"/>
      <c r="C903" s="193"/>
      <c r="D903" s="193"/>
      <c r="E903" s="193"/>
    </row>
    <row r="904">
      <c r="B904" s="193"/>
      <c r="C904" s="193"/>
      <c r="D904" s="193"/>
      <c r="E904" s="193"/>
    </row>
    <row r="905">
      <c r="B905" s="193"/>
      <c r="C905" s="193"/>
      <c r="D905" s="193"/>
      <c r="E905" s="193"/>
    </row>
    <row r="906">
      <c r="B906" s="193"/>
      <c r="C906" s="193"/>
      <c r="D906" s="193"/>
      <c r="E906" s="193"/>
    </row>
    <row r="907">
      <c r="B907" s="193"/>
      <c r="C907" s="193"/>
      <c r="D907" s="193"/>
      <c r="E907" s="193"/>
    </row>
    <row r="908">
      <c r="B908" s="193"/>
      <c r="C908" s="193"/>
      <c r="D908" s="193"/>
      <c r="E908" s="193"/>
    </row>
    <row r="909">
      <c r="B909" s="193"/>
      <c r="C909" s="193"/>
      <c r="D909" s="193"/>
      <c r="E909" s="193"/>
    </row>
    <row r="910">
      <c r="B910" s="193"/>
      <c r="C910" s="193"/>
      <c r="D910" s="193"/>
      <c r="E910" s="193"/>
    </row>
    <row r="911">
      <c r="B911" s="193"/>
      <c r="C911" s="193"/>
      <c r="D911" s="193"/>
      <c r="E911" s="193"/>
    </row>
    <row r="912">
      <c r="B912" s="193"/>
      <c r="C912" s="193"/>
      <c r="D912" s="193"/>
      <c r="E912" s="193"/>
    </row>
    <row r="913">
      <c r="B913" s="193"/>
      <c r="C913" s="193"/>
      <c r="D913" s="193"/>
      <c r="E913" s="193"/>
    </row>
    <row r="914">
      <c r="B914" s="193"/>
      <c r="C914" s="193"/>
      <c r="D914" s="193"/>
      <c r="E914" s="193"/>
    </row>
    <row r="915">
      <c r="B915" s="193"/>
      <c r="C915" s="193"/>
      <c r="D915" s="193"/>
      <c r="E915" s="193"/>
    </row>
    <row r="916">
      <c r="B916" s="193"/>
      <c r="C916" s="193"/>
      <c r="D916" s="193"/>
      <c r="E916" s="193"/>
    </row>
    <row r="917">
      <c r="B917" s="193"/>
      <c r="C917" s="193"/>
      <c r="D917" s="193"/>
      <c r="E917" s="193"/>
    </row>
    <row r="918">
      <c r="B918" s="193"/>
      <c r="C918" s="193"/>
      <c r="D918" s="193"/>
      <c r="E918" s="193"/>
    </row>
    <row r="919">
      <c r="B919" s="193"/>
      <c r="C919" s="193"/>
      <c r="D919" s="193"/>
      <c r="E919" s="193"/>
    </row>
    <row r="920">
      <c r="B920" s="193"/>
      <c r="C920" s="193"/>
      <c r="D920" s="193"/>
      <c r="E920" s="193"/>
    </row>
    <row r="921">
      <c r="B921" s="193"/>
      <c r="C921" s="193"/>
      <c r="D921" s="193"/>
      <c r="E921" s="193"/>
    </row>
    <row r="922">
      <c r="B922" s="193"/>
      <c r="C922" s="193"/>
      <c r="D922" s="193"/>
      <c r="E922" s="193"/>
    </row>
    <row r="923">
      <c r="B923" s="193"/>
      <c r="C923" s="193"/>
      <c r="D923" s="193"/>
      <c r="E923" s="193"/>
    </row>
    <row r="924">
      <c r="B924" s="193"/>
      <c r="C924" s="193"/>
      <c r="D924" s="193"/>
      <c r="E924" s="193"/>
    </row>
    <row r="925">
      <c r="B925" s="193"/>
      <c r="C925" s="193"/>
      <c r="D925" s="193"/>
      <c r="E925" s="193"/>
    </row>
    <row r="926">
      <c r="B926" s="193"/>
      <c r="C926" s="193"/>
      <c r="D926" s="193"/>
      <c r="E926" s="193"/>
    </row>
    <row r="927">
      <c r="B927" s="193"/>
      <c r="C927" s="193"/>
      <c r="D927" s="193"/>
      <c r="E927" s="193"/>
    </row>
    <row r="928">
      <c r="B928" s="193"/>
      <c r="C928" s="193"/>
      <c r="D928" s="193"/>
      <c r="E928" s="193"/>
    </row>
    <row r="929">
      <c r="B929" s="193"/>
      <c r="C929" s="193"/>
      <c r="D929" s="193"/>
      <c r="E929" s="193"/>
    </row>
    <row r="930">
      <c r="B930" s="193"/>
      <c r="C930" s="193"/>
      <c r="D930" s="193"/>
      <c r="E930" s="193"/>
    </row>
    <row r="931">
      <c r="B931" s="193"/>
      <c r="C931" s="193"/>
      <c r="D931" s="193"/>
      <c r="E931" s="193"/>
    </row>
    <row r="932">
      <c r="B932" s="193"/>
      <c r="C932" s="193"/>
      <c r="D932" s="193"/>
      <c r="E932" s="193"/>
    </row>
    <row r="933">
      <c r="B933" s="193"/>
      <c r="C933" s="193"/>
      <c r="D933" s="193"/>
      <c r="E933" s="193"/>
    </row>
    <row r="934">
      <c r="B934" s="193"/>
      <c r="C934" s="193"/>
      <c r="D934" s="193"/>
      <c r="E934" s="193"/>
    </row>
    <row r="935">
      <c r="B935" s="193"/>
      <c r="C935" s="193"/>
      <c r="D935" s="193"/>
      <c r="E935" s="193"/>
    </row>
    <row r="936">
      <c r="B936" s="193"/>
      <c r="C936" s="193"/>
      <c r="D936" s="193"/>
      <c r="E936" s="193"/>
    </row>
    <row r="937">
      <c r="B937" s="193"/>
      <c r="C937" s="193"/>
      <c r="D937" s="193"/>
      <c r="E937" s="193"/>
    </row>
    <row r="938">
      <c r="B938" s="193"/>
      <c r="C938" s="193"/>
      <c r="D938" s="193"/>
      <c r="E938" s="193"/>
    </row>
    <row r="939">
      <c r="B939" s="193"/>
      <c r="C939" s="193"/>
      <c r="D939" s="193"/>
      <c r="E939" s="193"/>
    </row>
    <row r="940">
      <c r="B940" s="193"/>
      <c r="C940" s="193"/>
      <c r="D940" s="193"/>
      <c r="E940" s="193"/>
    </row>
    <row r="941">
      <c r="B941" s="193"/>
      <c r="C941" s="193"/>
      <c r="D941" s="193"/>
      <c r="E941" s="193"/>
    </row>
    <row r="942">
      <c r="B942" s="193"/>
      <c r="C942" s="193"/>
      <c r="D942" s="193"/>
      <c r="E942" s="193"/>
    </row>
    <row r="943">
      <c r="B943" s="193"/>
      <c r="C943" s="193"/>
      <c r="D943" s="193"/>
      <c r="E943" s="193"/>
    </row>
    <row r="944">
      <c r="B944" s="193"/>
      <c r="C944" s="193"/>
      <c r="D944" s="193"/>
      <c r="E944" s="193"/>
    </row>
    <row r="945">
      <c r="B945" s="193"/>
      <c r="C945" s="193"/>
      <c r="D945" s="193"/>
      <c r="E945" s="193"/>
    </row>
    <row r="946">
      <c r="B946" s="193"/>
      <c r="C946" s="193"/>
      <c r="D946" s="193"/>
      <c r="E946" s="193"/>
    </row>
    <row r="947">
      <c r="B947" s="193"/>
      <c r="C947" s="193"/>
      <c r="D947" s="193"/>
      <c r="E947" s="193"/>
    </row>
    <row r="948">
      <c r="B948" s="193"/>
      <c r="C948" s="193"/>
      <c r="D948" s="193"/>
      <c r="E948" s="193"/>
    </row>
    <row r="949">
      <c r="B949" s="193"/>
      <c r="C949" s="193"/>
      <c r="D949" s="193"/>
      <c r="E949" s="193"/>
    </row>
    <row r="950">
      <c r="B950" s="193"/>
      <c r="C950" s="193"/>
      <c r="D950" s="193"/>
      <c r="E950" s="193"/>
    </row>
    <row r="951">
      <c r="B951" s="193"/>
      <c r="C951" s="193"/>
      <c r="D951" s="193"/>
      <c r="E951" s="193"/>
    </row>
    <row r="952">
      <c r="B952" s="193"/>
      <c r="C952" s="193"/>
      <c r="D952" s="193"/>
      <c r="E952" s="193"/>
    </row>
    <row r="953">
      <c r="B953" s="193"/>
      <c r="C953" s="193"/>
      <c r="D953" s="193"/>
      <c r="E953" s="193"/>
    </row>
    <row r="954">
      <c r="B954" s="193"/>
      <c r="C954" s="193"/>
      <c r="D954" s="193"/>
      <c r="E954" s="193"/>
    </row>
    <row r="955">
      <c r="B955" s="193"/>
      <c r="C955" s="193"/>
      <c r="D955" s="193"/>
      <c r="E955" s="193"/>
    </row>
    <row r="956">
      <c r="B956" s="193"/>
      <c r="C956" s="193"/>
      <c r="D956" s="193"/>
      <c r="E956" s="193"/>
    </row>
    <row r="957">
      <c r="B957" s="193"/>
      <c r="C957" s="193"/>
      <c r="D957" s="193"/>
      <c r="E957" s="193"/>
    </row>
    <row r="958">
      <c r="B958" s="193"/>
      <c r="C958" s="193"/>
      <c r="D958" s="193"/>
      <c r="E958" s="193"/>
    </row>
    <row r="959">
      <c r="B959" s="193"/>
      <c r="C959" s="193"/>
      <c r="D959" s="193"/>
      <c r="E959" s="193"/>
    </row>
    <row r="960">
      <c r="B960" s="193"/>
      <c r="C960" s="193"/>
      <c r="D960" s="193"/>
      <c r="E960" s="193"/>
    </row>
    <row r="961">
      <c r="B961" s="193"/>
      <c r="C961" s="193"/>
      <c r="D961" s="193"/>
      <c r="E961" s="193"/>
    </row>
    <row r="962">
      <c r="B962" s="193"/>
      <c r="C962" s="193"/>
      <c r="D962" s="193"/>
      <c r="E962" s="193"/>
    </row>
    <row r="963">
      <c r="B963" s="193"/>
      <c r="C963" s="193"/>
      <c r="D963" s="193"/>
      <c r="E963" s="193"/>
    </row>
    <row r="964">
      <c r="B964" s="193"/>
      <c r="C964" s="193"/>
      <c r="D964" s="193"/>
      <c r="E964" s="193"/>
    </row>
    <row r="965">
      <c r="B965" s="193"/>
      <c r="C965" s="193"/>
      <c r="D965" s="193"/>
      <c r="E965" s="193"/>
    </row>
    <row r="966">
      <c r="B966" s="193"/>
      <c r="C966" s="193"/>
      <c r="D966" s="193"/>
      <c r="E966" s="193"/>
    </row>
    <row r="967">
      <c r="B967" s="193"/>
      <c r="C967" s="193"/>
      <c r="D967" s="193"/>
      <c r="E967" s="193"/>
    </row>
    <row r="968">
      <c r="B968" s="193"/>
      <c r="C968" s="193"/>
      <c r="D968" s="193"/>
      <c r="E968" s="193"/>
    </row>
    <row r="969">
      <c r="B969" s="193"/>
      <c r="C969" s="193"/>
      <c r="D969" s="193"/>
      <c r="E969" s="193"/>
    </row>
    <row r="970">
      <c r="B970" s="193"/>
      <c r="C970" s="193"/>
      <c r="D970" s="193"/>
      <c r="E970" s="193"/>
    </row>
    <row r="971">
      <c r="B971" s="193"/>
      <c r="C971" s="193"/>
      <c r="D971" s="193"/>
      <c r="E971" s="193"/>
    </row>
    <row r="972">
      <c r="B972" s="193"/>
      <c r="C972" s="193"/>
      <c r="D972" s="193"/>
      <c r="E972" s="193"/>
    </row>
    <row r="973">
      <c r="B973" s="193"/>
      <c r="C973" s="193"/>
      <c r="D973" s="193"/>
      <c r="E973" s="193"/>
    </row>
    <row r="974">
      <c r="B974" s="193"/>
      <c r="C974" s="193"/>
      <c r="D974" s="193"/>
      <c r="E974" s="193"/>
    </row>
    <row r="975">
      <c r="B975" s="193"/>
      <c r="C975" s="193"/>
      <c r="D975" s="193"/>
      <c r="E975" s="193"/>
    </row>
    <row r="976">
      <c r="B976" s="193"/>
      <c r="C976" s="193"/>
      <c r="D976" s="193"/>
      <c r="E976" s="193"/>
    </row>
    <row r="977">
      <c r="B977" s="193"/>
      <c r="C977" s="193"/>
      <c r="D977" s="193"/>
      <c r="E977" s="193"/>
    </row>
    <row r="978">
      <c r="B978" s="193"/>
      <c r="C978" s="193"/>
      <c r="D978" s="193"/>
      <c r="E978" s="193"/>
    </row>
    <row r="979">
      <c r="B979" s="193"/>
      <c r="C979" s="193"/>
      <c r="D979" s="193"/>
      <c r="E979" s="193"/>
    </row>
    <row r="980">
      <c r="B980" s="193"/>
      <c r="C980" s="193"/>
      <c r="D980" s="193"/>
      <c r="E980" s="193"/>
    </row>
    <row r="981">
      <c r="B981" s="193"/>
      <c r="C981" s="193"/>
      <c r="D981" s="193"/>
      <c r="E981" s="193"/>
    </row>
    <row r="982">
      <c r="B982" s="193"/>
      <c r="C982" s="193"/>
      <c r="D982" s="193"/>
      <c r="E982" s="193"/>
    </row>
    <row r="983">
      <c r="B983" s="193"/>
      <c r="C983" s="193"/>
      <c r="D983" s="193"/>
      <c r="E983" s="193"/>
    </row>
    <row r="984">
      <c r="B984" s="193"/>
      <c r="C984" s="193"/>
      <c r="D984" s="193"/>
      <c r="E984" s="193"/>
    </row>
    <row r="985">
      <c r="B985" s="193"/>
      <c r="C985" s="193"/>
      <c r="D985" s="193"/>
      <c r="E985" s="193"/>
    </row>
    <row r="986">
      <c r="B986" s="193"/>
      <c r="C986" s="193"/>
      <c r="D986" s="193"/>
      <c r="E986" s="193"/>
    </row>
    <row r="987">
      <c r="B987" s="193"/>
      <c r="C987" s="193"/>
      <c r="D987" s="193"/>
      <c r="E987" s="193"/>
    </row>
    <row r="988">
      <c r="B988" s="193"/>
      <c r="C988" s="193"/>
      <c r="D988" s="193"/>
      <c r="E988" s="193"/>
    </row>
    <row r="989">
      <c r="B989" s="193"/>
      <c r="C989" s="193"/>
      <c r="D989" s="193"/>
      <c r="E989" s="193"/>
    </row>
    <row r="990">
      <c r="B990" s="193"/>
      <c r="C990" s="193"/>
      <c r="D990" s="193"/>
      <c r="E990" s="193"/>
    </row>
  </sheetData>
  <hyperlinks>
    <hyperlink r:id="rId1" ref="E2"/>
    <hyperlink r:id="rId2" ref="E3"/>
    <hyperlink r:id="rId3" ref="E4"/>
    <hyperlink r:id="rId4" ref="E5"/>
    <hyperlink r:id="rId5" ref="E7"/>
    <hyperlink r:id="rId6" ref="A8"/>
    <hyperlink r:id="rId7" ref="E8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3" width="12.38"/>
    <col customWidth="1" min="5" max="5" width="17.25"/>
    <col customWidth="1" min="6" max="6" width="14.25"/>
    <col customWidth="1" min="9" max="9" width="12.38"/>
    <col customWidth="1" min="10" max="10" width="12.25"/>
    <col customWidth="1" min="17" max="17" width="14.13"/>
  </cols>
  <sheetData>
    <row r="1">
      <c r="A1" s="136" t="s">
        <v>189</v>
      </c>
      <c r="B1" s="176" t="s">
        <v>190</v>
      </c>
      <c r="C1" s="176" t="s">
        <v>71</v>
      </c>
      <c r="D1" s="176" t="s">
        <v>5</v>
      </c>
      <c r="E1" s="177" t="s">
        <v>192</v>
      </c>
      <c r="F1" s="177" t="s">
        <v>193</v>
      </c>
      <c r="G1" s="178" t="s">
        <v>197</v>
      </c>
      <c r="H1" s="178" t="s">
        <v>12</v>
      </c>
      <c r="I1" s="178" t="s">
        <v>198</v>
      </c>
      <c r="J1" s="178" t="s">
        <v>199</v>
      </c>
      <c r="K1" s="178" t="s">
        <v>200</v>
      </c>
      <c r="L1" s="178" t="s">
        <v>201</v>
      </c>
      <c r="M1" s="178" t="s">
        <v>202</v>
      </c>
      <c r="N1" s="178" t="s">
        <v>203</v>
      </c>
      <c r="O1" s="178" t="s">
        <v>204</v>
      </c>
      <c r="P1" s="178" t="s">
        <v>194</v>
      </c>
      <c r="Q1" s="178" t="s">
        <v>195</v>
      </c>
      <c r="R1" s="178" t="s">
        <v>196</v>
      </c>
    </row>
    <row r="2">
      <c r="A2" s="102" t="s">
        <v>205</v>
      </c>
      <c r="B2" s="179" t="s">
        <v>206</v>
      </c>
      <c r="C2" s="180">
        <v>46291.0</v>
      </c>
      <c r="D2" s="181" t="s">
        <v>207</v>
      </c>
      <c r="E2" s="102" t="s">
        <v>30</v>
      </c>
      <c r="F2" s="102" t="s">
        <v>209</v>
      </c>
      <c r="G2" s="102" t="s">
        <v>210</v>
      </c>
      <c r="H2" s="102" t="s">
        <v>210</v>
      </c>
      <c r="I2" s="183">
        <v>60.99</v>
      </c>
      <c r="J2" s="102" t="s">
        <v>210</v>
      </c>
      <c r="K2" s="102" t="s">
        <v>210</v>
      </c>
      <c r="L2" s="183">
        <v>960.0</v>
      </c>
      <c r="M2" s="183">
        <v>182.61</v>
      </c>
      <c r="N2" s="102" t="s">
        <v>210</v>
      </c>
      <c r="O2" s="102" t="s">
        <v>210</v>
      </c>
      <c r="P2" s="102" t="s">
        <v>210</v>
      </c>
      <c r="Q2" s="102" t="s">
        <v>210</v>
      </c>
    </row>
    <row r="3">
      <c r="A3" s="102" t="s">
        <v>211</v>
      </c>
      <c r="B3" s="179" t="s">
        <v>212</v>
      </c>
      <c r="C3" s="179">
        <v>12.0</v>
      </c>
      <c r="D3" s="181" t="s">
        <v>207</v>
      </c>
      <c r="E3" s="102" t="s">
        <v>213</v>
      </c>
      <c r="F3" s="102" t="s">
        <v>214</v>
      </c>
      <c r="G3" s="183">
        <v>676.0</v>
      </c>
      <c r="H3" s="183">
        <v>676.0</v>
      </c>
      <c r="I3" s="183">
        <v>676.0</v>
      </c>
      <c r="J3" s="183">
        <v>676.0</v>
      </c>
      <c r="K3" s="183">
        <v>676.0</v>
      </c>
      <c r="L3" s="183">
        <v>676.0</v>
      </c>
      <c r="M3" s="183">
        <v>676.0</v>
      </c>
      <c r="N3" s="183">
        <v>676.0</v>
      </c>
      <c r="O3" s="183">
        <v>676.0</v>
      </c>
      <c r="P3" s="183">
        <v>676.0</v>
      </c>
      <c r="Q3" s="183">
        <v>676.0</v>
      </c>
      <c r="R3" s="183">
        <v>676.0</v>
      </c>
    </row>
    <row r="4">
      <c r="A4" s="102" t="s">
        <v>215</v>
      </c>
      <c r="B4" s="179" t="s">
        <v>212</v>
      </c>
      <c r="C4" s="179">
        <v>21.0</v>
      </c>
      <c r="D4" s="181" t="s">
        <v>207</v>
      </c>
      <c r="E4" s="102" t="s">
        <v>236</v>
      </c>
      <c r="F4" s="102"/>
      <c r="G4" s="183">
        <v>150.0</v>
      </c>
      <c r="H4" s="183">
        <v>150.0</v>
      </c>
      <c r="I4" s="183">
        <v>150.0</v>
      </c>
      <c r="J4" s="183">
        <v>150.0</v>
      </c>
      <c r="K4" s="183">
        <v>150.0</v>
      </c>
      <c r="L4" s="183">
        <v>150.0</v>
      </c>
      <c r="M4" s="183">
        <v>150.0</v>
      </c>
      <c r="N4" s="183">
        <v>150.0</v>
      </c>
      <c r="O4" s="183">
        <v>150.0</v>
      </c>
      <c r="P4" s="183">
        <v>150.0</v>
      </c>
      <c r="Q4" s="183">
        <v>150.0</v>
      </c>
      <c r="R4" s="183">
        <v>150.0</v>
      </c>
    </row>
    <row r="5">
      <c r="A5" s="102" t="s">
        <v>237</v>
      </c>
      <c r="B5" s="179" t="s">
        <v>212</v>
      </c>
      <c r="C5" s="179">
        <v>10.0</v>
      </c>
      <c r="D5" s="181" t="s">
        <v>207</v>
      </c>
      <c r="E5" s="102" t="s">
        <v>218</v>
      </c>
      <c r="F5" s="102" t="s">
        <v>238</v>
      </c>
      <c r="G5" s="183">
        <v>1500.0</v>
      </c>
      <c r="H5" s="183">
        <v>1500.0</v>
      </c>
      <c r="I5" s="183">
        <v>1500.0</v>
      </c>
      <c r="J5" s="183">
        <v>1500.0</v>
      </c>
      <c r="K5" s="183">
        <v>1500.0</v>
      </c>
      <c r="L5" s="183">
        <v>1500.0</v>
      </c>
      <c r="M5" s="183">
        <v>1500.0</v>
      </c>
      <c r="N5" s="183">
        <v>1500.0</v>
      </c>
      <c r="O5" s="183">
        <v>1500.0</v>
      </c>
      <c r="P5" s="183">
        <v>1500.0</v>
      </c>
      <c r="Q5" s="183">
        <v>1500.0</v>
      </c>
      <c r="R5" s="183">
        <v>1500.0</v>
      </c>
    </row>
    <row r="6">
      <c r="A6" s="102" t="s">
        <v>219</v>
      </c>
      <c r="B6" s="179" t="s">
        <v>206</v>
      </c>
      <c r="C6" s="180">
        <v>46283.0</v>
      </c>
      <c r="D6" s="181" t="s">
        <v>207</v>
      </c>
      <c r="E6" s="102" t="s">
        <v>220</v>
      </c>
      <c r="F6" s="102"/>
      <c r="G6" s="102" t="s">
        <v>210</v>
      </c>
      <c r="H6" s="102" t="s">
        <v>210</v>
      </c>
      <c r="I6" s="102" t="s">
        <v>210</v>
      </c>
      <c r="J6" s="102" t="s">
        <v>210</v>
      </c>
      <c r="K6" s="102" t="s">
        <v>210</v>
      </c>
      <c r="L6" s="183">
        <v>648.0</v>
      </c>
      <c r="M6" s="102" t="s">
        <v>210</v>
      </c>
      <c r="N6" s="102" t="s">
        <v>210</v>
      </c>
      <c r="O6" s="102" t="s">
        <v>210</v>
      </c>
      <c r="P6" s="102" t="s">
        <v>210</v>
      </c>
      <c r="Q6" s="102" t="s">
        <v>210</v>
      </c>
      <c r="R6" s="187" t="s">
        <v>210</v>
      </c>
    </row>
    <row r="7">
      <c r="A7" s="102" t="s">
        <v>221</v>
      </c>
      <c r="B7" s="179" t="s">
        <v>206</v>
      </c>
      <c r="C7" s="180">
        <v>46202.0</v>
      </c>
      <c r="D7" s="181" t="s">
        <v>207</v>
      </c>
      <c r="E7" s="102" t="s">
        <v>222</v>
      </c>
      <c r="F7" s="102"/>
      <c r="G7" s="102" t="s">
        <v>210</v>
      </c>
      <c r="H7" s="102" t="s">
        <v>210</v>
      </c>
      <c r="I7" s="183">
        <v>96.0</v>
      </c>
      <c r="J7" s="102" t="s">
        <v>210</v>
      </c>
      <c r="K7" s="102" t="s">
        <v>210</v>
      </c>
      <c r="L7" s="102" t="s">
        <v>210</v>
      </c>
      <c r="M7" s="102" t="s">
        <v>210</v>
      </c>
      <c r="N7" s="102" t="s">
        <v>210</v>
      </c>
      <c r="O7" s="102" t="s">
        <v>210</v>
      </c>
      <c r="P7" s="102" t="s">
        <v>210</v>
      </c>
      <c r="Q7" s="102" t="s">
        <v>210</v>
      </c>
      <c r="R7" s="187" t="s">
        <v>210</v>
      </c>
    </row>
    <row r="8">
      <c r="A8" s="188" t="s">
        <v>239</v>
      </c>
      <c r="B8" s="179" t="s">
        <v>206</v>
      </c>
      <c r="C8" s="189">
        <v>46368.0</v>
      </c>
      <c r="D8" s="181" t="s">
        <v>207</v>
      </c>
      <c r="E8" s="102" t="s">
        <v>218</v>
      </c>
      <c r="F8" s="102"/>
      <c r="G8" s="102" t="s">
        <v>210</v>
      </c>
      <c r="H8" s="102" t="s">
        <v>210</v>
      </c>
      <c r="I8" s="102" t="s">
        <v>210</v>
      </c>
      <c r="J8" s="102" t="s">
        <v>210</v>
      </c>
      <c r="K8" s="102" t="s">
        <v>210</v>
      </c>
      <c r="L8" s="102" t="s">
        <v>210</v>
      </c>
      <c r="M8" s="183">
        <v>38.19</v>
      </c>
      <c r="N8" s="102" t="s">
        <v>210</v>
      </c>
      <c r="O8" s="102" t="s">
        <v>210</v>
      </c>
      <c r="P8" s="102" t="s">
        <v>210</v>
      </c>
      <c r="Q8" s="102" t="s">
        <v>210</v>
      </c>
      <c r="R8" s="187" t="s">
        <v>210</v>
      </c>
    </row>
    <row r="9">
      <c r="A9" s="190" t="s">
        <v>240</v>
      </c>
      <c r="B9" s="179" t="s">
        <v>212</v>
      </c>
      <c r="C9" s="192">
        <v>23.0</v>
      </c>
      <c r="D9" s="181" t="s">
        <v>207</v>
      </c>
      <c r="E9" s="207">
        <v>7200.0</v>
      </c>
      <c r="F9" s="102" t="s">
        <v>241</v>
      </c>
      <c r="G9" s="102"/>
      <c r="H9" s="102"/>
      <c r="I9" s="102"/>
      <c r="J9" s="102"/>
      <c r="K9" s="102"/>
      <c r="L9" s="102"/>
      <c r="M9" s="183"/>
      <c r="N9" s="102"/>
      <c r="O9" s="102"/>
      <c r="P9" s="102"/>
      <c r="Q9" s="102"/>
      <c r="R9" s="187"/>
    </row>
    <row r="10">
      <c r="A10" s="102" t="s">
        <v>242</v>
      </c>
      <c r="B10" s="179" t="s">
        <v>212</v>
      </c>
      <c r="C10" s="179"/>
      <c r="D10" s="208" t="s">
        <v>63</v>
      </c>
      <c r="E10" s="102"/>
      <c r="F10" s="209">
        <v>16.0</v>
      </c>
      <c r="G10" s="210">
        <v>640.0</v>
      </c>
      <c r="H10" s="210">
        <v>640.0</v>
      </c>
      <c r="I10" s="210">
        <v>640.0</v>
      </c>
      <c r="J10" s="210">
        <v>640.0</v>
      </c>
      <c r="K10" s="210">
        <v>640.0</v>
      </c>
      <c r="L10" s="210">
        <v>640.0</v>
      </c>
      <c r="M10" s="210">
        <v>640.0</v>
      </c>
      <c r="N10" s="210">
        <v>640.0</v>
      </c>
      <c r="O10" s="210">
        <v>640.0</v>
      </c>
      <c r="P10" s="210">
        <v>640.0</v>
      </c>
      <c r="Q10" s="210">
        <v>640.0</v>
      </c>
      <c r="R10" s="210">
        <v>640.0</v>
      </c>
    </row>
    <row r="11">
      <c r="B11" s="193"/>
      <c r="C11" s="193"/>
      <c r="D11" s="193"/>
    </row>
    <row r="12">
      <c r="A12" s="102" t="s">
        <v>230</v>
      </c>
      <c r="B12" s="193"/>
      <c r="C12" s="193"/>
      <c r="D12" s="193"/>
      <c r="G12" s="183">
        <f t="shared" ref="G12:R12" si="1">G5*1.5-G5</f>
        <v>750</v>
      </c>
      <c r="H12" s="183">
        <f t="shared" si="1"/>
        <v>750</v>
      </c>
      <c r="I12" s="183">
        <f t="shared" si="1"/>
        <v>750</v>
      </c>
      <c r="J12" s="183">
        <f t="shared" si="1"/>
        <v>750</v>
      </c>
      <c r="K12" s="183">
        <f t="shared" si="1"/>
        <v>750</v>
      </c>
      <c r="L12" s="183">
        <f t="shared" si="1"/>
        <v>750</v>
      </c>
      <c r="M12" s="183">
        <f t="shared" si="1"/>
        <v>750</v>
      </c>
      <c r="N12" s="183">
        <f t="shared" si="1"/>
        <v>750</v>
      </c>
      <c r="O12" s="183">
        <f t="shared" si="1"/>
        <v>750</v>
      </c>
      <c r="P12" s="183">
        <f t="shared" si="1"/>
        <v>750</v>
      </c>
      <c r="Q12" s="183">
        <f t="shared" si="1"/>
        <v>750</v>
      </c>
      <c r="R12" s="183">
        <f t="shared" si="1"/>
        <v>750</v>
      </c>
    </row>
    <row r="13">
      <c r="A13" s="184"/>
      <c r="B13" s="194"/>
      <c r="C13" s="194"/>
      <c r="D13" s="194"/>
      <c r="E13" s="121"/>
      <c r="F13" s="184" t="s">
        <v>231</v>
      </c>
      <c r="G13" s="195">
        <f t="shared" ref="G13:R13" si="2">SUM(G2:G12)*35</f>
        <v>130060</v>
      </c>
      <c r="H13" s="195">
        <f t="shared" si="2"/>
        <v>130060</v>
      </c>
      <c r="I13" s="195">
        <f t="shared" si="2"/>
        <v>135554.65</v>
      </c>
      <c r="J13" s="195">
        <f t="shared" si="2"/>
        <v>130060</v>
      </c>
      <c r="K13" s="195">
        <f t="shared" si="2"/>
        <v>130060</v>
      </c>
      <c r="L13" s="195">
        <f t="shared" si="2"/>
        <v>186340</v>
      </c>
      <c r="M13" s="195">
        <f t="shared" si="2"/>
        <v>137788</v>
      </c>
      <c r="N13" s="195">
        <f t="shared" si="2"/>
        <v>130060</v>
      </c>
      <c r="O13" s="195">
        <f t="shared" si="2"/>
        <v>130060</v>
      </c>
      <c r="P13" s="195">
        <f t="shared" si="2"/>
        <v>130060</v>
      </c>
      <c r="Q13" s="195">
        <f t="shared" si="2"/>
        <v>130060</v>
      </c>
      <c r="R13" s="195">
        <f t="shared" si="2"/>
        <v>130060</v>
      </c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</row>
    <row r="14">
      <c r="A14" s="196" t="s">
        <v>232</v>
      </c>
      <c r="B14" s="197"/>
      <c r="C14" s="197"/>
      <c r="D14" s="197"/>
      <c r="E14" s="198"/>
      <c r="F14" s="198"/>
      <c r="G14" s="196">
        <v>50.0</v>
      </c>
      <c r="H14" s="196">
        <v>50.0</v>
      </c>
      <c r="I14" s="196">
        <v>50.0</v>
      </c>
      <c r="J14" s="196">
        <v>50.0</v>
      </c>
      <c r="K14" s="196">
        <v>50.0</v>
      </c>
      <c r="L14" s="196">
        <v>50.0</v>
      </c>
      <c r="M14" s="196">
        <v>50.0</v>
      </c>
      <c r="N14" s="196">
        <v>50.0</v>
      </c>
      <c r="O14" s="196">
        <v>50.0</v>
      </c>
      <c r="P14" s="196">
        <v>50.0</v>
      </c>
      <c r="Q14" s="196">
        <v>50.0</v>
      </c>
      <c r="R14" s="196">
        <v>50.0</v>
      </c>
      <c r="S14" s="196"/>
      <c r="T14" s="196">
        <v>41.0</v>
      </c>
      <c r="U14" s="198"/>
    </row>
    <row r="15">
      <c r="B15" s="193"/>
      <c r="C15" s="193"/>
      <c r="D15" s="193"/>
    </row>
    <row r="16">
      <c r="B16" s="193"/>
      <c r="C16" s="193"/>
      <c r="D16" s="193"/>
    </row>
    <row r="17">
      <c r="A17" s="102" t="s">
        <v>243</v>
      </c>
      <c r="B17" s="199">
        <f>SUM(G13:R13)+E9</f>
        <v>1637422.65</v>
      </c>
      <c r="C17" s="193"/>
      <c r="D17" s="193"/>
      <c r="G17" s="183"/>
      <c r="H17" s="183"/>
      <c r="I17" s="183"/>
      <c r="J17" s="183"/>
      <c r="K17" s="183"/>
      <c r="L17" s="183"/>
      <c r="M17" s="183"/>
      <c r="N17" s="183"/>
      <c r="O17" s="183"/>
      <c r="P17" s="183"/>
    </row>
    <row r="18">
      <c r="B18" s="193"/>
      <c r="C18" s="193"/>
      <c r="D18" s="193"/>
    </row>
    <row r="19">
      <c r="B19" s="193"/>
      <c r="C19" s="193"/>
      <c r="D19" s="193"/>
    </row>
    <row r="20">
      <c r="B20" s="193"/>
      <c r="C20" s="193"/>
      <c r="D20" s="193"/>
    </row>
    <row r="21">
      <c r="B21" s="179"/>
      <c r="C21" s="200"/>
      <c r="D21" s="193"/>
    </row>
    <row r="22">
      <c r="B22" s="201"/>
      <c r="C22" s="179"/>
      <c r="D22" s="193"/>
    </row>
    <row r="23">
      <c r="B23" s="201"/>
      <c r="C23" s="179"/>
      <c r="D23" s="193"/>
    </row>
    <row r="24">
      <c r="B24" s="201"/>
      <c r="C24" s="179"/>
      <c r="D24" s="193"/>
    </row>
    <row r="25">
      <c r="B25" s="193"/>
      <c r="C25" s="193"/>
      <c r="D25" s="193"/>
    </row>
    <row r="26">
      <c r="B26" s="193"/>
      <c r="C26" s="179"/>
      <c r="D26" s="193"/>
    </row>
    <row r="27">
      <c r="B27" s="193"/>
      <c r="C27" s="200"/>
      <c r="D27" s="193"/>
    </row>
    <row r="28">
      <c r="B28" s="193"/>
      <c r="C28" s="193"/>
      <c r="D28" s="193"/>
    </row>
    <row r="29">
      <c r="A29" s="96" t="s">
        <v>234</v>
      </c>
      <c r="B29" s="202" t="s">
        <v>212</v>
      </c>
      <c r="C29" s="202">
        <v>1.0</v>
      </c>
      <c r="D29" s="202" t="s">
        <v>207</v>
      </c>
      <c r="E29" s="96" t="s">
        <v>235</v>
      </c>
      <c r="F29" s="96"/>
      <c r="G29" s="203">
        <v>7753.38</v>
      </c>
      <c r="H29" s="203">
        <v>9103.31</v>
      </c>
      <c r="I29" s="203">
        <v>8970.96</v>
      </c>
      <c r="J29" s="203">
        <v>9092.62</v>
      </c>
      <c r="K29" s="203">
        <v>13186.36</v>
      </c>
      <c r="L29" s="203">
        <v>22225.59</v>
      </c>
      <c r="M29" s="203">
        <v>10667.12</v>
      </c>
      <c r="N29" s="204">
        <v>10406.61</v>
      </c>
      <c r="O29" s="204">
        <v>10888.43</v>
      </c>
      <c r="P29" s="204">
        <v>11336.8</v>
      </c>
      <c r="Q29" s="204">
        <v>10323.53</v>
      </c>
      <c r="R29" s="205"/>
    </row>
    <row r="30">
      <c r="A30" s="102" t="s">
        <v>234</v>
      </c>
      <c r="B30" s="193"/>
      <c r="C30" s="193"/>
      <c r="D30" s="193"/>
      <c r="F30" s="102" t="s">
        <v>231</v>
      </c>
      <c r="G30" s="206">
        <f t="shared" ref="G30:Q30" si="3">G29*35</f>
        <v>271368.3</v>
      </c>
      <c r="H30" s="206">
        <f t="shared" si="3"/>
        <v>318615.85</v>
      </c>
      <c r="I30" s="206">
        <f t="shared" si="3"/>
        <v>313983.6</v>
      </c>
      <c r="J30" s="206">
        <f t="shared" si="3"/>
        <v>318241.7</v>
      </c>
      <c r="K30" s="206">
        <f t="shared" si="3"/>
        <v>461522.6</v>
      </c>
      <c r="L30" s="206">
        <f t="shared" si="3"/>
        <v>777895.65</v>
      </c>
      <c r="M30" s="206">
        <f t="shared" si="3"/>
        <v>373349.2</v>
      </c>
      <c r="N30" s="206">
        <f t="shared" si="3"/>
        <v>364231.35</v>
      </c>
      <c r="O30" s="206">
        <f t="shared" si="3"/>
        <v>381095.05</v>
      </c>
      <c r="P30" s="206">
        <f t="shared" si="3"/>
        <v>396788</v>
      </c>
      <c r="Q30" s="206">
        <f t="shared" si="3"/>
        <v>361323.55</v>
      </c>
    </row>
    <row r="31">
      <c r="B31" s="193"/>
      <c r="C31" s="193"/>
      <c r="D31" s="193"/>
    </row>
    <row r="32">
      <c r="B32" s="179"/>
      <c r="C32" s="179"/>
      <c r="D32" s="193"/>
    </row>
    <row r="33">
      <c r="B33" s="193"/>
      <c r="C33" s="193"/>
      <c r="D33" s="193"/>
    </row>
    <row r="34">
      <c r="B34" s="193"/>
      <c r="C34" s="193"/>
      <c r="D34" s="193"/>
    </row>
    <row r="35">
      <c r="B35" s="193"/>
      <c r="C35" s="193"/>
      <c r="D35" s="193"/>
    </row>
    <row r="36">
      <c r="B36" s="193"/>
      <c r="C36" s="193"/>
      <c r="D36" s="193"/>
    </row>
    <row r="37">
      <c r="B37" s="193"/>
      <c r="C37" s="193"/>
      <c r="D37" s="193"/>
    </row>
    <row r="38">
      <c r="B38" s="193"/>
      <c r="C38" s="193"/>
      <c r="D38" s="193"/>
    </row>
    <row r="39">
      <c r="B39" s="193"/>
      <c r="C39" s="193"/>
      <c r="D39" s="193"/>
    </row>
    <row r="40">
      <c r="B40" s="193"/>
      <c r="C40" s="193"/>
      <c r="D40" s="193"/>
    </row>
    <row r="41">
      <c r="B41" s="193"/>
      <c r="C41" s="193"/>
      <c r="D41" s="193"/>
    </row>
    <row r="42">
      <c r="B42" s="193"/>
      <c r="C42" s="193"/>
      <c r="D42" s="193"/>
    </row>
    <row r="43">
      <c r="B43" s="193"/>
      <c r="C43" s="193"/>
      <c r="D43" s="193"/>
    </row>
    <row r="44">
      <c r="B44" s="193"/>
      <c r="C44" s="193"/>
      <c r="D44" s="193"/>
    </row>
    <row r="45">
      <c r="B45" s="193"/>
      <c r="C45" s="193"/>
      <c r="D45" s="193"/>
    </row>
    <row r="46">
      <c r="B46" s="193"/>
      <c r="C46" s="193"/>
      <c r="D46" s="193"/>
    </row>
    <row r="47">
      <c r="B47" s="193"/>
      <c r="C47" s="193"/>
      <c r="D47" s="193"/>
    </row>
    <row r="48">
      <c r="B48" s="193"/>
      <c r="C48" s="193"/>
      <c r="D48" s="193"/>
    </row>
    <row r="49">
      <c r="B49" s="193"/>
      <c r="C49" s="193"/>
      <c r="D49" s="193"/>
    </row>
    <row r="50">
      <c r="B50" s="193"/>
      <c r="C50" s="193"/>
      <c r="D50" s="193"/>
    </row>
    <row r="51">
      <c r="B51" s="193"/>
      <c r="C51" s="193"/>
      <c r="D51" s="193"/>
    </row>
    <row r="52">
      <c r="B52" s="193"/>
      <c r="C52" s="193"/>
      <c r="D52" s="193"/>
    </row>
    <row r="53">
      <c r="B53" s="193"/>
      <c r="C53" s="193"/>
      <c r="D53" s="193"/>
    </row>
    <row r="54">
      <c r="B54" s="193"/>
      <c r="C54" s="193"/>
      <c r="D54" s="193"/>
    </row>
    <row r="55">
      <c r="B55" s="193"/>
      <c r="C55" s="193"/>
      <c r="D55" s="193"/>
    </row>
    <row r="56">
      <c r="B56" s="193"/>
      <c r="C56" s="193"/>
      <c r="D56" s="193"/>
    </row>
    <row r="57">
      <c r="B57" s="193"/>
      <c r="C57" s="193"/>
      <c r="D57" s="193"/>
    </row>
    <row r="58">
      <c r="B58" s="193"/>
      <c r="C58" s="193"/>
      <c r="D58" s="193"/>
    </row>
    <row r="59">
      <c r="B59" s="193"/>
      <c r="C59" s="193"/>
      <c r="D59" s="193"/>
    </row>
    <row r="60">
      <c r="B60" s="193"/>
      <c r="C60" s="193"/>
      <c r="D60" s="193"/>
    </row>
    <row r="61">
      <c r="B61" s="193"/>
      <c r="C61" s="193"/>
      <c r="D61" s="193"/>
    </row>
    <row r="62">
      <c r="B62" s="193"/>
      <c r="C62" s="193"/>
      <c r="D62" s="193"/>
    </row>
    <row r="63">
      <c r="B63" s="193"/>
      <c r="C63" s="193"/>
      <c r="D63" s="193"/>
    </row>
    <row r="64">
      <c r="B64" s="193"/>
      <c r="C64" s="193"/>
      <c r="D64" s="193"/>
    </row>
    <row r="65">
      <c r="B65" s="193"/>
      <c r="C65" s="193"/>
      <c r="D65" s="193"/>
    </row>
    <row r="66">
      <c r="B66" s="193"/>
      <c r="C66" s="193"/>
      <c r="D66" s="193"/>
    </row>
    <row r="67">
      <c r="B67" s="193"/>
      <c r="C67" s="193"/>
      <c r="D67" s="193"/>
    </row>
    <row r="68">
      <c r="B68" s="193"/>
      <c r="C68" s="193"/>
      <c r="D68" s="193"/>
    </row>
    <row r="69">
      <c r="B69" s="193"/>
      <c r="C69" s="193"/>
      <c r="D69" s="193"/>
    </row>
    <row r="70">
      <c r="B70" s="193"/>
      <c r="C70" s="193"/>
      <c r="D70" s="193"/>
    </row>
    <row r="71">
      <c r="B71" s="193"/>
      <c r="C71" s="193"/>
      <c r="D71" s="193"/>
    </row>
    <row r="72">
      <c r="B72" s="193"/>
      <c r="C72" s="193"/>
      <c r="D72" s="193"/>
    </row>
    <row r="73">
      <c r="B73" s="193"/>
      <c r="C73" s="193"/>
      <c r="D73" s="193"/>
    </row>
    <row r="74">
      <c r="B74" s="193"/>
      <c r="C74" s="193"/>
      <c r="D74" s="193"/>
    </row>
    <row r="75">
      <c r="B75" s="193"/>
      <c r="C75" s="193"/>
      <c r="D75" s="193"/>
    </row>
    <row r="76">
      <c r="B76" s="193"/>
      <c r="C76" s="193"/>
      <c r="D76" s="193"/>
    </row>
    <row r="77">
      <c r="B77" s="193"/>
      <c r="C77" s="193"/>
      <c r="D77" s="193"/>
    </row>
    <row r="78">
      <c r="B78" s="193"/>
      <c r="C78" s="193"/>
      <c r="D78" s="193"/>
    </row>
    <row r="79">
      <c r="B79" s="193"/>
      <c r="C79" s="193"/>
      <c r="D79" s="193"/>
    </row>
    <row r="80">
      <c r="B80" s="193"/>
      <c r="C80" s="193"/>
      <c r="D80" s="193"/>
    </row>
    <row r="81">
      <c r="B81" s="193"/>
      <c r="C81" s="193"/>
      <c r="D81" s="193"/>
    </row>
    <row r="82">
      <c r="B82" s="193"/>
      <c r="C82" s="193"/>
      <c r="D82" s="193"/>
    </row>
    <row r="83">
      <c r="B83" s="193"/>
      <c r="C83" s="193"/>
      <c r="D83" s="193"/>
    </row>
    <row r="84">
      <c r="B84" s="193"/>
      <c r="C84" s="193"/>
      <c r="D84" s="193"/>
    </row>
    <row r="85">
      <c r="B85" s="193"/>
      <c r="C85" s="193"/>
      <c r="D85" s="193"/>
    </row>
    <row r="86">
      <c r="B86" s="193"/>
      <c r="C86" s="193"/>
      <c r="D86" s="193"/>
    </row>
    <row r="87">
      <c r="B87" s="193"/>
      <c r="C87" s="193"/>
      <c r="D87" s="193"/>
    </row>
    <row r="88">
      <c r="B88" s="193"/>
      <c r="C88" s="193"/>
      <c r="D88" s="193"/>
    </row>
    <row r="89">
      <c r="B89" s="193"/>
      <c r="C89" s="193"/>
      <c r="D89" s="193"/>
    </row>
    <row r="90">
      <c r="B90" s="193"/>
      <c r="C90" s="193"/>
      <c r="D90" s="193"/>
    </row>
    <row r="91">
      <c r="B91" s="193"/>
      <c r="C91" s="193"/>
      <c r="D91" s="193"/>
    </row>
    <row r="92">
      <c r="B92" s="193"/>
      <c r="C92" s="193"/>
      <c r="D92" s="193"/>
    </row>
    <row r="93">
      <c r="B93" s="193"/>
      <c r="C93" s="193"/>
      <c r="D93" s="193"/>
    </row>
    <row r="94">
      <c r="B94" s="193"/>
      <c r="C94" s="193"/>
      <c r="D94" s="193"/>
    </row>
    <row r="95">
      <c r="B95" s="193"/>
      <c r="C95" s="193"/>
      <c r="D95" s="193"/>
    </row>
    <row r="96">
      <c r="B96" s="193"/>
      <c r="C96" s="193"/>
      <c r="D96" s="193"/>
    </row>
    <row r="97">
      <c r="B97" s="193"/>
      <c r="C97" s="193"/>
      <c r="D97" s="193"/>
    </row>
    <row r="98">
      <c r="B98" s="193"/>
      <c r="C98" s="193"/>
      <c r="D98" s="193"/>
    </row>
    <row r="99">
      <c r="B99" s="193"/>
      <c r="C99" s="193"/>
      <c r="D99" s="193"/>
    </row>
    <row r="100">
      <c r="B100" s="193"/>
      <c r="C100" s="193"/>
      <c r="D100" s="193"/>
    </row>
    <row r="101">
      <c r="B101" s="193"/>
      <c r="C101" s="193"/>
      <c r="D101" s="193"/>
    </row>
    <row r="102">
      <c r="B102" s="193"/>
      <c r="C102" s="193"/>
      <c r="D102" s="193"/>
    </row>
    <row r="103">
      <c r="B103" s="193"/>
      <c r="C103" s="193"/>
      <c r="D103" s="193"/>
    </row>
    <row r="104">
      <c r="B104" s="193"/>
      <c r="C104" s="193"/>
      <c r="D104" s="193"/>
    </row>
    <row r="105">
      <c r="B105" s="193"/>
      <c r="C105" s="193"/>
      <c r="D105" s="193"/>
    </row>
    <row r="106">
      <c r="B106" s="193"/>
      <c r="C106" s="193"/>
      <c r="D106" s="193"/>
    </row>
    <row r="107">
      <c r="B107" s="193"/>
      <c r="C107" s="193"/>
      <c r="D107" s="193"/>
    </row>
    <row r="108">
      <c r="B108" s="193"/>
      <c r="C108" s="193"/>
      <c r="D108" s="193"/>
    </row>
    <row r="109">
      <c r="B109" s="193"/>
      <c r="C109" s="193"/>
      <c r="D109" s="193"/>
    </row>
    <row r="110">
      <c r="B110" s="193"/>
      <c r="C110" s="193"/>
      <c r="D110" s="193"/>
    </row>
    <row r="111">
      <c r="B111" s="193"/>
      <c r="C111" s="193"/>
      <c r="D111" s="193"/>
    </row>
    <row r="112">
      <c r="B112" s="193"/>
      <c r="C112" s="193"/>
      <c r="D112" s="193"/>
    </row>
    <row r="113">
      <c r="B113" s="193"/>
      <c r="C113" s="193"/>
      <c r="D113" s="193"/>
    </row>
    <row r="114">
      <c r="B114" s="193"/>
      <c r="C114" s="193"/>
      <c r="D114" s="193"/>
    </row>
    <row r="115">
      <c r="B115" s="193"/>
      <c r="C115" s="193"/>
      <c r="D115" s="193"/>
    </row>
    <row r="116">
      <c r="B116" s="193"/>
      <c r="C116" s="193"/>
      <c r="D116" s="193"/>
    </row>
    <row r="117">
      <c r="B117" s="193"/>
      <c r="C117" s="193"/>
      <c r="D117" s="193"/>
    </row>
    <row r="118">
      <c r="B118" s="193"/>
      <c r="C118" s="193"/>
      <c r="D118" s="193"/>
    </row>
    <row r="119">
      <c r="B119" s="193"/>
      <c r="C119" s="193"/>
      <c r="D119" s="193"/>
    </row>
    <row r="120">
      <c r="B120" s="193"/>
      <c r="C120" s="193"/>
      <c r="D120" s="193"/>
    </row>
    <row r="121">
      <c r="B121" s="193"/>
      <c r="C121" s="193"/>
      <c r="D121" s="193"/>
    </row>
    <row r="122">
      <c r="B122" s="193"/>
      <c r="C122" s="193"/>
      <c r="D122" s="193"/>
    </row>
    <row r="123">
      <c r="B123" s="193"/>
      <c r="C123" s="193"/>
      <c r="D123" s="193"/>
    </row>
    <row r="124">
      <c r="B124" s="193"/>
      <c r="C124" s="193"/>
      <c r="D124" s="193"/>
    </row>
    <row r="125">
      <c r="B125" s="193"/>
      <c r="C125" s="193"/>
      <c r="D125" s="193"/>
    </row>
    <row r="126">
      <c r="B126" s="193"/>
      <c r="C126" s="193"/>
      <c r="D126" s="193"/>
    </row>
    <row r="127">
      <c r="B127" s="193"/>
      <c r="C127" s="193"/>
      <c r="D127" s="193"/>
    </row>
    <row r="128">
      <c r="B128" s="193"/>
      <c r="C128" s="193"/>
      <c r="D128" s="193"/>
    </row>
    <row r="129">
      <c r="B129" s="193"/>
      <c r="C129" s="193"/>
      <c r="D129" s="193"/>
    </row>
    <row r="130">
      <c r="B130" s="193"/>
      <c r="C130" s="193"/>
      <c r="D130" s="193"/>
    </row>
    <row r="131">
      <c r="B131" s="193"/>
      <c r="C131" s="193"/>
      <c r="D131" s="193"/>
    </row>
    <row r="132">
      <c r="B132" s="193"/>
      <c r="C132" s="193"/>
      <c r="D132" s="193"/>
    </row>
    <row r="133">
      <c r="B133" s="193"/>
      <c r="C133" s="193"/>
      <c r="D133" s="193"/>
    </row>
    <row r="134">
      <c r="B134" s="193"/>
      <c r="C134" s="193"/>
      <c r="D134" s="193"/>
    </row>
    <row r="135">
      <c r="B135" s="193"/>
      <c r="C135" s="193"/>
      <c r="D135" s="193"/>
    </row>
    <row r="136">
      <c r="B136" s="193"/>
      <c r="C136" s="193"/>
      <c r="D136" s="193"/>
    </row>
    <row r="137">
      <c r="B137" s="193"/>
      <c r="C137" s="193"/>
      <c r="D137" s="193"/>
    </row>
    <row r="138">
      <c r="B138" s="193"/>
      <c r="C138" s="193"/>
      <c r="D138" s="193"/>
    </row>
    <row r="139">
      <c r="B139" s="193"/>
      <c r="C139" s="193"/>
      <c r="D139" s="193"/>
    </row>
    <row r="140">
      <c r="B140" s="193"/>
      <c r="C140" s="193"/>
      <c r="D140" s="193"/>
    </row>
    <row r="141">
      <c r="B141" s="193"/>
      <c r="C141" s="193"/>
      <c r="D141" s="193"/>
    </row>
    <row r="142">
      <c r="B142" s="193"/>
      <c r="C142" s="193"/>
      <c r="D142" s="193"/>
    </row>
    <row r="143">
      <c r="B143" s="193"/>
      <c r="C143" s="193"/>
      <c r="D143" s="193"/>
    </row>
    <row r="144">
      <c r="B144" s="193"/>
      <c r="C144" s="193"/>
      <c r="D144" s="193"/>
    </row>
    <row r="145">
      <c r="B145" s="193"/>
      <c r="C145" s="193"/>
      <c r="D145" s="193"/>
    </row>
    <row r="146">
      <c r="B146" s="193"/>
      <c r="C146" s="193"/>
      <c r="D146" s="193"/>
    </row>
    <row r="147">
      <c r="B147" s="193"/>
      <c r="C147" s="193"/>
      <c r="D147" s="193"/>
    </row>
    <row r="148">
      <c r="B148" s="193"/>
      <c r="C148" s="193"/>
      <c r="D148" s="193"/>
    </row>
    <row r="149">
      <c r="B149" s="193"/>
      <c r="C149" s="193"/>
      <c r="D149" s="193"/>
    </row>
    <row r="150">
      <c r="B150" s="193"/>
      <c r="C150" s="193"/>
      <c r="D150" s="193"/>
    </row>
    <row r="151">
      <c r="B151" s="193"/>
      <c r="C151" s="193"/>
      <c r="D151" s="193"/>
    </row>
    <row r="152">
      <c r="B152" s="193"/>
      <c r="C152" s="193"/>
      <c r="D152" s="193"/>
    </row>
    <row r="153">
      <c r="B153" s="193"/>
      <c r="C153" s="193"/>
      <c r="D153" s="193"/>
    </row>
    <row r="154">
      <c r="B154" s="193"/>
      <c r="C154" s="193"/>
      <c r="D154" s="193"/>
    </row>
    <row r="155">
      <c r="B155" s="193"/>
      <c r="C155" s="193"/>
      <c r="D155" s="193"/>
    </row>
    <row r="156">
      <c r="B156" s="193"/>
      <c r="C156" s="193"/>
      <c r="D156" s="193"/>
    </row>
    <row r="157">
      <c r="B157" s="193"/>
      <c r="C157" s="193"/>
      <c r="D157" s="193"/>
    </row>
    <row r="158">
      <c r="B158" s="193"/>
      <c r="C158" s="193"/>
      <c r="D158" s="193"/>
    </row>
    <row r="159">
      <c r="B159" s="193"/>
      <c r="C159" s="193"/>
      <c r="D159" s="193"/>
    </row>
    <row r="160">
      <c r="B160" s="193"/>
      <c r="C160" s="193"/>
      <c r="D160" s="193"/>
    </row>
    <row r="161">
      <c r="B161" s="193"/>
      <c r="C161" s="193"/>
      <c r="D161" s="193"/>
    </row>
    <row r="162">
      <c r="B162" s="193"/>
      <c r="C162" s="193"/>
      <c r="D162" s="193"/>
    </row>
    <row r="163">
      <c r="B163" s="193"/>
      <c r="C163" s="193"/>
      <c r="D163" s="193"/>
    </row>
    <row r="164">
      <c r="B164" s="193"/>
      <c r="C164" s="193"/>
      <c r="D164" s="193"/>
    </row>
    <row r="165">
      <c r="B165" s="193"/>
      <c r="C165" s="193"/>
      <c r="D165" s="193"/>
    </row>
    <row r="166">
      <c r="B166" s="193"/>
      <c r="C166" s="193"/>
      <c r="D166" s="193"/>
    </row>
    <row r="167">
      <c r="B167" s="193"/>
      <c r="C167" s="193"/>
      <c r="D167" s="193"/>
    </row>
    <row r="168">
      <c r="B168" s="193"/>
      <c r="C168" s="193"/>
      <c r="D168" s="193"/>
    </row>
    <row r="169">
      <c r="B169" s="193"/>
      <c r="C169" s="193"/>
      <c r="D169" s="193"/>
    </row>
    <row r="170">
      <c r="B170" s="193"/>
      <c r="C170" s="193"/>
      <c r="D170" s="193"/>
    </row>
    <row r="171">
      <c r="B171" s="193"/>
      <c r="C171" s="193"/>
      <c r="D171" s="193"/>
    </row>
    <row r="172">
      <c r="B172" s="193"/>
      <c r="C172" s="193"/>
      <c r="D172" s="193"/>
    </row>
    <row r="173">
      <c r="B173" s="193"/>
      <c r="C173" s="193"/>
      <c r="D173" s="193"/>
    </row>
    <row r="174">
      <c r="B174" s="193"/>
      <c r="C174" s="193"/>
      <c r="D174" s="193"/>
    </row>
    <row r="175">
      <c r="B175" s="193"/>
      <c r="C175" s="193"/>
      <c r="D175" s="193"/>
    </row>
    <row r="176">
      <c r="B176" s="193"/>
      <c r="C176" s="193"/>
      <c r="D176" s="193"/>
    </row>
    <row r="177">
      <c r="B177" s="193"/>
      <c r="C177" s="193"/>
      <c r="D177" s="193"/>
    </row>
    <row r="178">
      <c r="B178" s="193"/>
      <c r="C178" s="193"/>
      <c r="D178" s="193"/>
    </row>
    <row r="179">
      <c r="B179" s="193"/>
      <c r="C179" s="193"/>
      <c r="D179" s="193"/>
    </row>
    <row r="180">
      <c r="B180" s="193"/>
      <c r="C180" s="193"/>
      <c r="D180" s="193"/>
    </row>
    <row r="181">
      <c r="B181" s="193"/>
      <c r="C181" s="193"/>
      <c r="D181" s="193"/>
    </row>
    <row r="182">
      <c r="B182" s="193"/>
      <c r="C182" s="193"/>
      <c r="D182" s="193"/>
    </row>
    <row r="183">
      <c r="B183" s="193"/>
      <c r="C183" s="193"/>
      <c r="D183" s="193"/>
    </row>
    <row r="184">
      <c r="B184" s="193"/>
      <c r="C184" s="193"/>
      <c r="D184" s="193"/>
    </row>
    <row r="185">
      <c r="B185" s="193"/>
      <c r="C185" s="193"/>
      <c r="D185" s="193"/>
    </row>
    <row r="186">
      <c r="B186" s="193"/>
      <c r="C186" s="193"/>
      <c r="D186" s="193"/>
    </row>
    <row r="187">
      <c r="B187" s="193"/>
      <c r="C187" s="193"/>
      <c r="D187" s="193"/>
    </row>
    <row r="188">
      <c r="B188" s="193"/>
      <c r="C188" s="193"/>
      <c r="D188" s="193"/>
    </row>
    <row r="189">
      <c r="B189" s="193"/>
      <c r="C189" s="193"/>
      <c r="D189" s="193"/>
    </row>
    <row r="190">
      <c r="B190" s="193"/>
      <c r="C190" s="193"/>
      <c r="D190" s="193"/>
    </row>
    <row r="191">
      <c r="B191" s="193"/>
      <c r="C191" s="193"/>
      <c r="D191" s="193"/>
    </row>
    <row r="192">
      <c r="B192" s="193"/>
      <c r="C192" s="193"/>
      <c r="D192" s="193"/>
    </row>
    <row r="193">
      <c r="B193" s="193"/>
      <c r="C193" s="193"/>
      <c r="D193" s="193"/>
    </row>
    <row r="194">
      <c r="B194" s="193"/>
      <c r="C194" s="193"/>
      <c r="D194" s="193"/>
    </row>
    <row r="195">
      <c r="B195" s="193"/>
      <c r="C195" s="193"/>
      <c r="D195" s="193"/>
    </row>
    <row r="196">
      <c r="B196" s="193"/>
      <c r="C196" s="193"/>
      <c r="D196" s="193"/>
    </row>
    <row r="197">
      <c r="B197" s="193"/>
      <c r="C197" s="193"/>
      <c r="D197" s="193"/>
    </row>
    <row r="198">
      <c r="B198" s="193"/>
      <c r="C198" s="193"/>
      <c r="D198" s="193"/>
    </row>
    <row r="199">
      <c r="B199" s="193"/>
      <c r="C199" s="193"/>
      <c r="D199" s="193"/>
    </row>
    <row r="200">
      <c r="B200" s="193"/>
      <c r="C200" s="193"/>
      <c r="D200" s="193"/>
    </row>
    <row r="201">
      <c r="B201" s="193"/>
      <c r="C201" s="193"/>
      <c r="D201" s="193"/>
    </row>
    <row r="202">
      <c r="B202" s="193"/>
      <c r="C202" s="193"/>
      <c r="D202" s="193"/>
    </row>
    <row r="203">
      <c r="B203" s="193"/>
      <c r="C203" s="193"/>
      <c r="D203" s="193"/>
    </row>
    <row r="204">
      <c r="B204" s="193"/>
      <c r="C204" s="193"/>
      <c r="D204" s="193"/>
    </row>
    <row r="205">
      <c r="B205" s="193"/>
      <c r="C205" s="193"/>
      <c r="D205" s="193"/>
    </row>
    <row r="206">
      <c r="B206" s="193"/>
      <c r="C206" s="193"/>
      <c r="D206" s="193"/>
    </row>
    <row r="207">
      <c r="B207" s="193"/>
      <c r="C207" s="193"/>
      <c r="D207" s="193"/>
    </row>
    <row r="208">
      <c r="B208" s="193"/>
      <c r="C208" s="193"/>
      <c r="D208" s="193"/>
    </row>
    <row r="209">
      <c r="B209" s="193"/>
      <c r="C209" s="193"/>
      <c r="D209" s="193"/>
    </row>
    <row r="210">
      <c r="B210" s="193"/>
      <c r="C210" s="193"/>
      <c r="D210" s="193"/>
    </row>
    <row r="211">
      <c r="B211" s="193"/>
      <c r="C211" s="193"/>
      <c r="D211" s="193"/>
    </row>
    <row r="212">
      <c r="B212" s="193"/>
      <c r="C212" s="193"/>
      <c r="D212" s="193"/>
    </row>
    <row r="213">
      <c r="B213" s="193"/>
      <c r="C213" s="193"/>
      <c r="D213" s="193"/>
    </row>
    <row r="214">
      <c r="B214" s="193"/>
      <c r="C214" s="193"/>
      <c r="D214" s="193"/>
    </row>
    <row r="215">
      <c r="B215" s="193"/>
      <c r="C215" s="193"/>
      <c r="D215" s="193"/>
    </row>
    <row r="216">
      <c r="B216" s="193"/>
      <c r="C216" s="193"/>
      <c r="D216" s="193"/>
    </row>
    <row r="217">
      <c r="B217" s="193"/>
      <c r="C217" s="193"/>
      <c r="D217" s="193"/>
    </row>
    <row r="218">
      <c r="B218" s="193"/>
      <c r="C218" s="193"/>
      <c r="D218" s="193"/>
    </row>
    <row r="219">
      <c r="B219" s="193"/>
      <c r="C219" s="193"/>
      <c r="D219" s="193"/>
    </row>
    <row r="220">
      <c r="B220" s="193"/>
      <c r="C220" s="193"/>
      <c r="D220" s="193"/>
    </row>
    <row r="221">
      <c r="B221" s="193"/>
      <c r="C221" s="193"/>
      <c r="D221" s="193"/>
    </row>
    <row r="222">
      <c r="B222" s="193"/>
      <c r="C222" s="193"/>
      <c r="D222" s="193"/>
    </row>
    <row r="223">
      <c r="B223" s="193"/>
      <c r="C223" s="193"/>
      <c r="D223" s="193"/>
    </row>
    <row r="224">
      <c r="B224" s="193"/>
      <c r="C224" s="193"/>
      <c r="D224" s="193"/>
    </row>
    <row r="225">
      <c r="B225" s="193"/>
      <c r="C225" s="193"/>
      <c r="D225" s="193"/>
    </row>
    <row r="226">
      <c r="B226" s="193"/>
      <c r="C226" s="193"/>
      <c r="D226" s="193"/>
    </row>
    <row r="227">
      <c r="B227" s="193"/>
      <c r="C227" s="193"/>
      <c r="D227" s="193"/>
    </row>
    <row r="228">
      <c r="B228" s="193"/>
      <c r="C228" s="193"/>
      <c r="D228" s="193"/>
    </row>
    <row r="229">
      <c r="B229" s="193"/>
      <c r="C229" s="193"/>
      <c r="D229" s="193"/>
    </row>
    <row r="230">
      <c r="B230" s="193"/>
      <c r="C230" s="193"/>
      <c r="D230" s="193"/>
    </row>
    <row r="231">
      <c r="B231" s="193"/>
      <c r="C231" s="193"/>
      <c r="D231" s="193"/>
    </row>
    <row r="232">
      <c r="B232" s="193"/>
      <c r="C232" s="193"/>
      <c r="D232" s="193"/>
    </row>
    <row r="233">
      <c r="B233" s="193"/>
      <c r="C233" s="193"/>
      <c r="D233" s="193"/>
    </row>
    <row r="234">
      <c r="B234" s="193"/>
      <c r="C234" s="193"/>
      <c r="D234" s="193"/>
    </row>
    <row r="235">
      <c r="B235" s="193"/>
      <c r="C235" s="193"/>
      <c r="D235" s="193"/>
    </row>
    <row r="236">
      <c r="B236" s="193"/>
      <c r="C236" s="193"/>
      <c r="D236" s="193"/>
    </row>
    <row r="237">
      <c r="B237" s="193"/>
      <c r="C237" s="193"/>
      <c r="D237" s="193"/>
    </row>
    <row r="238">
      <c r="B238" s="193"/>
      <c r="C238" s="193"/>
      <c r="D238" s="193"/>
    </row>
    <row r="239">
      <c r="B239" s="193"/>
      <c r="C239" s="193"/>
      <c r="D239" s="193"/>
    </row>
    <row r="240">
      <c r="B240" s="193"/>
      <c r="C240" s="193"/>
      <c r="D240" s="193"/>
    </row>
    <row r="241">
      <c r="B241" s="193"/>
      <c r="C241" s="193"/>
      <c r="D241" s="193"/>
    </row>
    <row r="242">
      <c r="B242" s="193"/>
      <c r="C242" s="193"/>
      <c r="D242" s="193"/>
    </row>
    <row r="243">
      <c r="B243" s="193"/>
      <c r="C243" s="193"/>
      <c r="D243" s="193"/>
    </row>
    <row r="244">
      <c r="B244" s="193"/>
      <c r="C244" s="193"/>
      <c r="D244" s="193"/>
    </row>
    <row r="245">
      <c r="B245" s="193"/>
      <c r="C245" s="193"/>
      <c r="D245" s="193"/>
    </row>
    <row r="246">
      <c r="B246" s="193"/>
      <c r="C246" s="193"/>
      <c r="D246" s="193"/>
    </row>
    <row r="247">
      <c r="B247" s="193"/>
      <c r="C247" s="193"/>
      <c r="D247" s="193"/>
    </row>
    <row r="248">
      <c r="B248" s="193"/>
      <c r="C248" s="193"/>
      <c r="D248" s="193"/>
    </row>
    <row r="249">
      <c r="B249" s="193"/>
      <c r="C249" s="193"/>
      <c r="D249" s="193"/>
    </row>
    <row r="250">
      <c r="B250" s="193"/>
      <c r="C250" s="193"/>
      <c r="D250" s="193"/>
    </row>
    <row r="251">
      <c r="B251" s="193"/>
      <c r="C251" s="193"/>
      <c r="D251" s="193"/>
    </row>
    <row r="252">
      <c r="B252" s="193"/>
      <c r="C252" s="193"/>
      <c r="D252" s="193"/>
    </row>
    <row r="253">
      <c r="B253" s="193"/>
      <c r="C253" s="193"/>
      <c r="D253" s="193"/>
    </row>
    <row r="254">
      <c r="B254" s="193"/>
      <c r="C254" s="193"/>
      <c r="D254" s="193"/>
    </row>
    <row r="255">
      <c r="B255" s="193"/>
      <c r="C255" s="193"/>
      <c r="D255" s="193"/>
    </row>
    <row r="256">
      <c r="B256" s="193"/>
      <c r="C256" s="193"/>
      <c r="D256" s="193"/>
    </row>
    <row r="257">
      <c r="B257" s="193"/>
      <c r="C257" s="193"/>
      <c r="D257" s="193"/>
    </row>
    <row r="258">
      <c r="B258" s="193"/>
      <c r="C258" s="193"/>
      <c r="D258" s="193"/>
    </row>
    <row r="259">
      <c r="B259" s="193"/>
      <c r="C259" s="193"/>
      <c r="D259" s="193"/>
    </row>
    <row r="260">
      <c r="B260" s="193"/>
      <c r="C260" s="193"/>
      <c r="D260" s="193"/>
    </row>
    <row r="261">
      <c r="B261" s="193"/>
      <c r="C261" s="193"/>
      <c r="D261" s="193"/>
    </row>
    <row r="262">
      <c r="B262" s="193"/>
      <c r="C262" s="193"/>
      <c r="D262" s="193"/>
    </row>
    <row r="263">
      <c r="B263" s="193"/>
      <c r="C263" s="193"/>
      <c r="D263" s="193"/>
    </row>
    <row r="264">
      <c r="B264" s="193"/>
      <c r="C264" s="193"/>
      <c r="D264" s="193"/>
    </row>
    <row r="265">
      <c r="B265" s="193"/>
      <c r="C265" s="193"/>
      <c r="D265" s="193"/>
    </row>
    <row r="266">
      <c r="B266" s="193"/>
      <c r="C266" s="193"/>
      <c r="D266" s="193"/>
    </row>
    <row r="267">
      <c r="B267" s="193"/>
      <c r="C267" s="193"/>
      <c r="D267" s="193"/>
    </row>
    <row r="268">
      <c r="B268" s="193"/>
      <c r="C268" s="193"/>
      <c r="D268" s="193"/>
    </row>
    <row r="269">
      <c r="B269" s="193"/>
      <c r="C269" s="193"/>
      <c r="D269" s="193"/>
    </row>
    <row r="270">
      <c r="B270" s="193"/>
      <c r="C270" s="193"/>
      <c r="D270" s="193"/>
    </row>
    <row r="271">
      <c r="B271" s="193"/>
      <c r="C271" s="193"/>
      <c r="D271" s="193"/>
    </row>
    <row r="272">
      <c r="B272" s="193"/>
      <c r="C272" s="193"/>
      <c r="D272" s="193"/>
    </row>
    <row r="273">
      <c r="B273" s="193"/>
      <c r="C273" s="193"/>
      <c r="D273" s="193"/>
    </row>
    <row r="274">
      <c r="B274" s="193"/>
      <c r="C274" s="193"/>
      <c r="D274" s="193"/>
    </row>
    <row r="275">
      <c r="B275" s="193"/>
      <c r="C275" s="193"/>
      <c r="D275" s="193"/>
    </row>
    <row r="276">
      <c r="B276" s="193"/>
      <c r="C276" s="193"/>
      <c r="D276" s="193"/>
    </row>
    <row r="277">
      <c r="B277" s="193"/>
      <c r="C277" s="193"/>
      <c r="D277" s="193"/>
    </row>
    <row r="278">
      <c r="B278" s="193"/>
      <c r="C278" s="193"/>
      <c r="D278" s="193"/>
    </row>
    <row r="279">
      <c r="B279" s="193"/>
      <c r="C279" s="193"/>
      <c r="D279" s="193"/>
    </row>
    <row r="280">
      <c r="B280" s="193"/>
      <c r="C280" s="193"/>
      <c r="D280" s="193"/>
    </row>
    <row r="281">
      <c r="B281" s="193"/>
      <c r="C281" s="193"/>
      <c r="D281" s="193"/>
    </row>
    <row r="282">
      <c r="B282" s="193"/>
      <c r="C282" s="193"/>
      <c r="D282" s="193"/>
    </row>
    <row r="283">
      <c r="B283" s="193"/>
      <c r="C283" s="193"/>
      <c r="D283" s="193"/>
    </row>
    <row r="284">
      <c r="B284" s="193"/>
      <c r="C284" s="193"/>
      <c r="D284" s="193"/>
    </row>
    <row r="285">
      <c r="B285" s="193"/>
      <c r="C285" s="193"/>
      <c r="D285" s="193"/>
    </row>
    <row r="286">
      <c r="B286" s="193"/>
      <c r="C286" s="193"/>
      <c r="D286" s="193"/>
    </row>
    <row r="287">
      <c r="B287" s="193"/>
      <c r="C287" s="193"/>
      <c r="D287" s="193"/>
    </row>
    <row r="288">
      <c r="B288" s="193"/>
      <c r="C288" s="193"/>
      <c r="D288" s="193"/>
    </row>
    <row r="289">
      <c r="B289" s="193"/>
      <c r="C289" s="193"/>
      <c r="D289" s="193"/>
    </row>
    <row r="290">
      <c r="B290" s="193"/>
      <c r="C290" s="193"/>
      <c r="D290" s="193"/>
    </row>
    <row r="291">
      <c r="B291" s="193"/>
      <c r="C291" s="193"/>
      <c r="D291" s="193"/>
    </row>
    <row r="292">
      <c r="B292" s="193"/>
      <c r="C292" s="193"/>
      <c r="D292" s="193"/>
    </row>
    <row r="293">
      <c r="B293" s="193"/>
      <c r="C293" s="193"/>
      <c r="D293" s="193"/>
    </row>
    <row r="294">
      <c r="B294" s="193"/>
      <c r="C294" s="193"/>
      <c r="D294" s="193"/>
    </row>
    <row r="295">
      <c r="B295" s="193"/>
      <c r="C295" s="193"/>
      <c r="D295" s="193"/>
    </row>
    <row r="296">
      <c r="B296" s="193"/>
      <c r="C296" s="193"/>
      <c r="D296" s="193"/>
    </row>
    <row r="297">
      <c r="B297" s="193"/>
      <c r="C297" s="193"/>
      <c r="D297" s="193"/>
    </row>
    <row r="298">
      <c r="B298" s="193"/>
      <c r="C298" s="193"/>
      <c r="D298" s="193"/>
    </row>
    <row r="299">
      <c r="B299" s="193"/>
      <c r="C299" s="193"/>
      <c r="D299" s="193"/>
    </row>
    <row r="300">
      <c r="B300" s="193"/>
      <c r="C300" s="193"/>
      <c r="D300" s="193"/>
    </row>
    <row r="301">
      <c r="B301" s="193"/>
      <c r="C301" s="193"/>
      <c r="D301" s="193"/>
    </row>
    <row r="302">
      <c r="B302" s="193"/>
      <c r="C302" s="193"/>
      <c r="D302" s="193"/>
    </row>
    <row r="303">
      <c r="B303" s="193"/>
      <c r="C303" s="193"/>
      <c r="D303" s="193"/>
    </row>
    <row r="304">
      <c r="B304" s="193"/>
      <c r="C304" s="193"/>
      <c r="D304" s="193"/>
    </row>
    <row r="305">
      <c r="B305" s="193"/>
      <c r="C305" s="193"/>
      <c r="D305" s="193"/>
    </row>
    <row r="306">
      <c r="B306" s="193"/>
      <c r="C306" s="193"/>
      <c r="D306" s="193"/>
    </row>
    <row r="307">
      <c r="B307" s="193"/>
      <c r="C307" s="193"/>
      <c r="D307" s="193"/>
    </row>
    <row r="308">
      <c r="B308" s="193"/>
      <c r="C308" s="193"/>
      <c r="D308" s="193"/>
    </row>
    <row r="309">
      <c r="B309" s="193"/>
      <c r="C309" s="193"/>
      <c r="D309" s="193"/>
    </row>
    <row r="310">
      <c r="B310" s="193"/>
      <c r="C310" s="193"/>
      <c r="D310" s="193"/>
    </row>
    <row r="311">
      <c r="B311" s="193"/>
      <c r="C311" s="193"/>
      <c r="D311" s="193"/>
    </row>
    <row r="312">
      <c r="B312" s="193"/>
      <c r="C312" s="193"/>
      <c r="D312" s="193"/>
    </row>
    <row r="313">
      <c r="B313" s="193"/>
      <c r="C313" s="193"/>
      <c r="D313" s="193"/>
    </row>
    <row r="314">
      <c r="B314" s="193"/>
      <c r="C314" s="193"/>
      <c r="D314" s="193"/>
    </row>
    <row r="315">
      <c r="B315" s="193"/>
      <c r="C315" s="193"/>
      <c r="D315" s="193"/>
    </row>
    <row r="316">
      <c r="B316" s="193"/>
      <c r="C316" s="193"/>
      <c r="D316" s="193"/>
    </row>
    <row r="317">
      <c r="B317" s="193"/>
      <c r="C317" s="193"/>
      <c r="D317" s="193"/>
    </row>
    <row r="318">
      <c r="B318" s="193"/>
      <c r="C318" s="193"/>
      <c r="D318" s="193"/>
    </row>
    <row r="319">
      <c r="B319" s="193"/>
      <c r="C319" s="193"/>
      <c r="D319" s="193"/>
    </row>
    <row r="320">
      <c r="B320" s="193"/>
      <c r="C320" s="193"/>
      <c r="D320" s="193"/>
    </row>
    <row r="321">
      <c r="B321" s="193"/>
      <c r="C321" s="193"/>
      <c r="D321" s="193"/>
    </row>
    <row r="322">
      <c r="B322" s="193"/>
      <c r="C322" s="193"/>
      <c r="D322" s="193"/>
    </row>
    <row r="323">
      <c r="B323" s="193"/>
      <c r="C323" s="193"/>
      <c r="D323" s="193"/>
    </row>
    <row r="324">
      <c r="B324" s="193"/>
      <c r="C324" s="193"/>
      <c r="D324" s="193"/>
    </row>
    <row r="325">
      <c r="B325" s="193"/>
      <c r="C325" s="193"/>
      <c r="D325" s="193"/>
    </row>
    <row r="326">
      <c r="B326" s="193"/>
      <c r="C326" s="193"/>
      <c r="D326" s="193"/>
    </row>
    <row r="327">
      <c r="B327" s="193"/>
      <c r="C327" s="193"/>
      <c r="D327" s="193"/>
    </row>
    <row r="328">
      <c r="B328" s="193"/>
      <c r="C328" s="193"/>
      <c r="D328" s="193"/>
    </row>
    <row r="329">
      <c r="B329" s="193"/>
      <c r="C329" s="193"/>
      <c r="D329" s="193"/>
    </row>
    <row r="330">
      <c r="B330" s="193"/>
      <c r="C330" s="193"/>
      <c r="D330" s="193"/>
    </row>
    <row r="331">
      <c r="B331" s="193"/>
      <c r="C331" s="193"/>
      <c r="D331" s="193"/>
    </row>
    <row r="332">
      <c r="B332" s="193"/>
      <c r="C332" s="193"/>
      <c r="D332" s="193"/>
    </row>
    <row r="333">
      <c r="B333" s="193"/>
      <c r="C333" s="193"/>
      <c r="D333" s="193"/>
    </row>
    <row r="334">
      <c r="B334" s="193"/>
      <c r="C334" s="193"/>
      <c r="D334" s="193"/>
    </row>
    <row r="335">
      <c r="B335" s="193"/>
      <c r="C335" s="193"/>
      <c r="D335" s="193"/>
    </row>
    <row r="336">
      <c r="B336" s="193"/>
      <c r="C336" s="193"/>
      <c r="D336" s="193"/>
    </row>
    <row r="337">
      <c r="B337" s="193"/>
      <c r="C337" s="193"/>
      <c r="D337" s="193"/>
    </row>
    <row r="338">
      <c r="B338" s="193"/>
      <c r="C338" s="193"/>
      <c r="D338" s="193"/>
    </row>
    <row r="339">
      <c r="B339" s="193"/>
      <c r="C339" s="193"/>
      <c r="D339" s="193"/>
    </row>
    <row r="340">
      <c r="B340" s="193"/>
      <c r="C340" s="193"/>
      <c r="D340" s="193"/>
    </row>
    <row r="341">
      <c r="B341" s="193"/>
      <c r="C341" s="193"/>
      <c r="D341" s="193"/>
    </row>
    <row r="342">
      <c r="B342" s="193"/>
      <c r="C342" s="193"/>
      <c r="D342" s="193"/>
    </row>
    <row r="343">
      <c r="B343" s="193"/>
      <c r="C343" s="193"/>
      <c r="D343" s="193"/>
    </row>
    <row r="344">
      <c r="B344" s="193"/>
      <c r="C344" s="193"/>
      <c r="D344" s="193"/>
    </row>
    <row r="345">
      <c r="B345" s="193"/>
      <c r="C345" s="193"/>
      <c r="D345" s="193"/>
    </row>
    <row r="346">
      <c r="B346" s="193"/>
      <c r="C346" s="193"/>
      <c r="D346" s="193"/>
    </row>
    <row r="347">
      <c r="B347" s="193"/>
      <c r="C347" s="193"/>
      <c r="D347" s="193"/>
    </row>
    <row r="348">
      <c r="B348" s="193"/>
      <c r="C348" s="193"/>
      <c r="D348" s="193"/>
    </row>
    <row r="349">
      <c r="B349" s="193"/>
      <c r="C349" s="193"/>
      <c r="D349" s="193"/>
    </row>
    <row r="350">
      <c r="B350" s="193"/>
      <c r="C350" s="193"/>
      <c r="D350" s="193"/>
    </row>
    <row r="351">
      <c r="B351" s="193"/>
      <c r="C351" s="193"/>
      <c r="D351" s="193"/>
    </row>
    <row r="352">
      <c r="B352" s="193"/>
      <c r="C352" s="193"/>
      <c r="D352" s="193"/>
    </row>
    <row r="353">
      <c r="B353" s="193"/>
      <c r="C353" s="193"/>
      <c r="D353" s="193"/>
    </row>
    <row r="354">
      <c r="B354" s="193"/>
      <c r="C354" s="193"/>
      <c r="D354" s="193"/>
    </row>
    <row r="355">
      <c r="B355" s="193"/>
      <c r="C355" s="193"/>
      <c r="D355" s="193"/>
    </row>
    <row r="356">
      <c r="B356" s="193"/>
      <c r="C356" s="193"/>
      <c r="D356" s="193"/>
    </row>
    <row r="357">
      <c r="B357" s="193"/>
      <c r="C357" s="193"/>
      <c r="D357" s="193"/>
    </row>
    <row r="358">
      <c r="B358" s="193"/>
      <c r="C358" s="193"/>
      <c r="D358" s="193"/>
    </row>
    <row r="359">
      <c r="B359" s="193"/>
      <c r="C359" s="193"/>
      <c r="D359" s="193"/>
    </row>
    <row r="360">
      <c r="B360" s="193"/>
      <c r="C360" s="193"/>
      <c r="D360" s="193"/>
    </row>
    <row r="361">
      <c r="B361" s="193"/>
      <c r="C361" s="193"/>
      <c r="D361" s="193"/>
    </row>
    <row r="362">
      <c r="B362" s="193"/>
      <c r="C362" s="193"/>
      <c r="D362" s="193"/>
    </row>
    <row r="363">
      <c r="B363" s="193"/>
      <c r="C363" s="193"/>
      <c r="D363" s="193"/>
    </row>
    <row r="364">
      <c r="B364" s="193"/>
      <c r="C364" s="193"/>
      <c r="D364" s="193"/>
    </row>
    <row r="365">
      <c r="B365" s="193"/>
      <c r="C365" s="193"/>
      <c r="D365" s="193"/>
    </row>
    <row r="366">
      <c r="B366" s="193"/>
      <c r="C366" s="193"/>
      <c r="D366" s="193"/>
    </row>
    <row r="367">
      <c r="B367" s="193"/>
      <c r="C367" s="193"/>
      <c r="D367" s="193"/>
    </row>
    <row r="368">
      <c r="B368" s="193"/>
      <c r="C368" s="193"/>
      <c r="D368" s="193"/>
    </row>
    <row r="369">
      <c r="B369" s="193"/>
      <c r="C369" s="193"/>
      <c r="D369" s="193"/>
    </row>
    <row r="370">
      <c r="B370" s="193"/>
      <c r="C370" s="193"/>
      <c r="D370" s="193"/>
    </row>
    <row r="371">
      <c r="B371" s="193"/>
      <c r="C371" s="193"/>
      <c r="D371" s="193"/>
    </row>
    <row r="372">
      <c r="B372" s="193"/>
      <c r="C372" s="193"/>
      <c r="D372" s="193"/>
    </row>
    <row r="373">
      <c r="B373" s="193"/>
      <c r="C373" s="193"/>
      <c r="D373" s="193"/>
    </row>
    <row r="374">
      <c r="B374" s="193"/>
      <c r="C374" s="193"/>
      <c r="D374" s="193"/>
    </row>
    <row r="375">
      <c r="B375" s="193"/>
      <c r="C375" s="193"/>
      <c r="D375" s="193"/>
    </row>
    <row r="376">
      <c r="B376" s="193"/>
      <c r="C376" s="193"/>
      <c r="D376" s="193"/>
    </row>
    <row r="377">
      <c r="B377" s="193"/>
      <c r="C377" s="193"/>
      <c r="D377" s="193"/>
    </row>
    <row r="378">
      <c r="B378" s="193"/>
      <c r="C378" s="193"/>
      <c r="D378" s="193"/>
    </row>
    <row r="379">
      <c r="B379" s="193"/>
      <c r="C379" s="193"/>
      <c r="D379" s="193"/>
    </row>
    <row r="380">
      <c r="B380" s="193"/>
      <c r="C380" s="193"/>
      <c r="D380" s="193"/>
    </row>
    <row r="381">
      <c r="B381" s="193"/>
      <c r="C381" s="193"/>
      <c r="D381" s="193"/>
    </row>
    <row r="382">
      <c r="B382" s="193"/>
      <c r="C382" s="193"/>
      <c r="D382" s="193"/>
    </row>
    <row r="383">
      <c r="B383" s="193"/>
      <c r="C383" s="193"/>
      <c r="D383" s="193"/>
    </row>
    <row r="384">
      <c r="B384" s="193"/>
      <c r="C384" s="193"/>
      <c r="D384" s="193"/>
    </row>
    <row r="385">
      <c r="B385" s="193"/>
      <c r="C385" s="193"/>
      <c r="D385" s="193"/>
    </row>
    <row r="386">
      <c r="B386" s="193"/>
      <c r="C386" s="193"/>
      <c r="D386" s="193"/>
    </row>
    <row r="387">
      <c r="B387" s="193"/>
      <c r="C387" s="193"/>
      <c r="D387" s="193"/>
    </row>
    <row r="388">
      <c r="B388" s="193"/>
      <c r="C388" s="193"/>
      <c r="D388" s="193"/>
    </row>
    <row r="389">
      <c r="B389" s="193"/>
      <c r="C389" s="193"/>
      <c r="D389" s="193"/>
    </row>
    <row r="390">
      <c r="B390" s="193"/>
      <c r="C390" s="193"/>
      <c r="D390" s="193"/>
    </row>
    <row r="391">
      <c r="B391" s="193"/>
      <c r="C391" s="193"/>
      <c r="D391" s="193"/>
    </row>
    <row r="392">
      <c r="B392" s="193"/>
      <c r="C392" s="193"/>
      <c r="D392" s="193"/>
    </row>
    <row r="393">
      <c r="B393" s="193"/>
      <c r="C393" s="193"/>
      <c r="D393" s="193"/>
    </row>
    <row r="394">
      <c r="B394" s="193"/>
      <c r="C394" s="193"/>
      <c r="D394" s="193"/>
    </row>
    <row r="395">
      <c r="B395" s="193"/>
      <c r="C395" s="193"/>
      <c r="D395" s="193"/>
    </row>
    <row r="396">
      <c r="B396" s="193"/>
      <c r="C396" s="193"/>
      <c r="D396" s="193"/>
    </row>
    <row r="397">
      <c r="B397" s="193"/>
      <c r="C397" s="193"/>
      <c r="D397" s="193"/>
    </row>
    <row r="398">
      <c r="B398" s="193"/>
      <c r="C398" s="193"/>
      <c r="D398" s="193"/>
    </row>
    <row r="399">
      <c r="B399" s="193"/>
      <c r="C399" s="193"/>
      <c r="D399" s="193"/>
    </row>
    <row r="400">
      <c r="B400" s="193"/>
      <c r="C400" s="193"/>
      <c r="D400" s="193"/>
    </row>
    <row r="401">
      <c r="B401" s="193"/>
      <c r="C401" s="193"/>
      <c r="D401" s="193"/>
    </row>
    <row r="402">
      <c r="B402" s="193"/>
      <c r="C402" s="193"/>
      <c r="D402" s="193"/>
    </row>
    <row r="403">
      <c r="B403" s="193"/>
      <c r="C403" s="193"/>
      <c r="D403" s="193"/>
    </row>
    <row r="404">
      <c r="B404" s="193"/>
      <c r="C404" s="193"/>
      <c r="D404" s="193"/>
    </row>
    <row r="405">
      <c r="B405" s="193"/>
      <c r="C405" s="193"/>
      <c r="D405" s="193"/>
    </row>
    <row r="406">
      <c r="B406" s="193"/>
      <c r="C406" s="193"/>
      <c r="D406" s="193"/>
    </row>
    <row r="407">
      <c r="B407" s="193"/>
      <c r="C407" s="193"/>
      <c r="D407" s="193"/>
    </row>
    <row r="408">
      <c r="B408" s="193"/>
      <c r="C408" s="193"/>
      <c r="D408" s="193"/>
    </row>
    <row r="409">
      <c r="B409" s="193"/>
      <c r="C409" s="193"/>
      <c r="D409" s="193"/>
    </row>
    <row r="410">
      <c r="B410" s="193"/>
      <c r="C410" s="193"/>
      <c r="D410" s="193"/>
    </row>
    <row r="411">
      <c r="B411" s="193"/>
      <c r="C411" s="193"/>
      <c r="D411" s="193"/>
    </row>
    <row r="412">
      <c r="B412" s="193"/>
      <c r="C412" s="193"/>
      <c r="D412" s="193"/>
    </row>
    <row r="413">
      <c r="B413" s="193"/>
      <c r="C413" s="193"/>
      <c r="D413" s="193"/>
    </row>
    <row r="414">
      <c r="B414" s="193"/>
      <c r="C414" s="193"/>
      <c r="D414" s="193"/>
    </row>
    <row r="415">
      <c r="B415" s="193"/>
      <c r="C415" s="193"/>
      <c r="D415" s="193"/>
    </row>
    <row r="416">
      <c r="B416" s="193"/>
      <c r="C416" s="193"/>
      <c r="D416" s="193"/>
    </row>
    <row r="417">
      <c r="B417" s="193"/>
      <c r="C417" s="193"/>
      <c r="D417" s="193"/>
    </row>
    <row r="418">
      <c r="B418" s="193"/>
      <c r="C418" s="193"/>
      <c r="D418" s="193"/>
    </row>
    <row r="419">
      <c r="B419" s="193"/>
      <c r="C419" s="193"/>
      <c r="D419" s="193"/>
    </row>
    <row r="420">
      <c r="B420" s="193"/>
      <c r="C420" s="193"/>
      <c r="D420" s="193"/>
    </row>
    <row r="421">
      <c r="B421" s="193"/>
      <c r="C421" s="193"/>
      <c r="D421" s="193"/>
    </row>
    <row r="422">
      <c r="B422" s="193"/>
      <c r="C422" s="193"/>
      <c r="D422" s="193"/>
    </row>
    <row r="423">
      <c r="B423" s="193"/>
      <c r="C423" s="193"/>
      <c r="D423" s="193"/>
    </row>
    <row r="424">
      <c r="B424" s="193"/>
      <c r="C424" s="193"/>
      <c r="D424" s="193"/>
    </row>
    <row r="425">
      <c r="B425" s="193"/>
      <c r="C425" s="193"/>
      <c r="D425" s="193"/>
    </row>
    <row r="426">
      <c r="B426" s="193"/>
      <c r="C426" s="193"/>
      <c r="D426" s="193"/>
    </row>
    <row r="427">
      <c r="B427" s="193"/>
      <c r="C427" s="193"/>
      <c r="D427" s="193"/>
    </row>
    <row r="428">
      <c r="B428" s="193"/>
      <c r="C428" s="193"/>
      <c r="D428" s="193"/>
    </row>
    <row r="429">
      <c r="B429" s="193"/>
      <c r="C429" s="193"/>
      <c r="D429" s="193"/>
    </row>
    <row r="430">
      <c r="B430" s="193"/>
      <c r="C430" s="193"/>
      <c r="D430" s="193"/>
    </row>
    <row r="431">
      <c r="B431" s="193"/>
      <c r="C431" s="193"/>
      <c r="D431" s="193"/>
    </row>
    <row r="432">
      <c r="B432" s="193"/>
      <c r="C432" s="193"/>
      <c r="D432" s="193"/>
    </row>
    <row r="433">
      <c r="B433" s="193"/>
      <c r="C433" s="193"/>
      <c r="D433" s="193"/>
    </row>
    <row r="434">
      <c r="B434" s="193"/>
      <c r="C434" s="193"/>
      <c r="D434" s="193"/>
    </row>
    <row r="435">
      <c r="B435" s="193"/>
      <c r="C435" s="193"/>
      <c r="D435" s="193"/>
    </row>
    <row r="436">
      <c r="B436" s="193"/>
      <c r="C436" s="193"/>
      <c r="D436" s="193"/>
    </row>
    <row r="437">
      <c r="B437" s="193"/>
      <c r="C437" s="193"/>
      <c r="D437" s="193"/>
    </row>
    <row r="438">
      <c r="B438" s="193"/>
      <c r="C438" s="193"/>
      <c r="D438" s="193"/>
    </row>
    <row r="439">
      <c r="B439" s="193"/>
      <c r="C439" s="193"/>
      <c r="D439" s="193"/>
    </row>
    <row r="440">
      <c r="B440" s="193"/>
      <c r="C440" s="193"/>
      <c r="D440" s="193"/>
    </row>
    <row r="441">
      <c r="B441" s="193"/>
      <c r="C441" s="193"/>
      <c r="D441" s="193"/>
    </row>
    <row r="442">
      <c r="B442" s="193"/>
      <c r="C442" s="193"/>
      <c r="D442" s="193"/>
    </row>
    <row r="443">
      <c r="B443" s="193"/>
      <c r="C443" s="193"/>
      <c r="D443" s="193"/>
    </row>
    <row r="444">
      <c r="B444" s="193"/>
      <c r="C444" s="193"/>
      <c r="D444" s="193"/>
    </row>
    <row r="445">
      <c r="B445" s="193"/>
      <c r="C445" s="193"/>
      <c r="D445" s="193"/>
    </row>
    <row r="446">
      <c r="B446" s="193"/>
      <c r="C446" s="193"/>
      <c r="D446" s="193"/>
    </row>
    <row r="447">
      <c r="B447" s="193"/>
      <c r="C447" s="193"/>
      <c r="D447" s="193"/>
    </row>
    <row r="448">
      <c r="B448" s="193"/>
      <c r="C448" s="193"/>
      <c r="D448" s="193"/>
    </row>
    <row r="449">
      <c r="B449" s="193"/>
      <c r="C449" s="193"/>
      <c r="D449" s="193"/>
    </row>
    <row r="450">
      <c r="B450" s="193"/>
      <c r="C450" s="193"/>
      <c r="D450" s="193"/>
    </row>
    <row r="451">
      <c r="B451" s="193"/>
      <c r="C451" s="193"/>
      <c r="D451" s="193"/>
    </row>
    <row r="452">
      <c r="B452" s="193"/>
      <c r="C452" s="193"/>
      <c r="D452" s="193"/>
    </row>
    <row r="453">
      <c r="B453" s="193"/>
      <c r="C453" s="193"/>
      <c r="D453" s="193"/>
    </row>
    <row r="454">
      <c r="B454" s="193"/>
      <c r="C454" s="193"/>
      <c r="D454" s="193"/>
    </row>
    <row r="455">
      <c r="B455" s="193"/>
      <c r="C455" s="193"/>
      <c r="D455" s="193"/>
    </row>
    <row r="456">
      <c r="B456" s="193"/>
      <c r="C456" s="193"/>
      <c r="D456" s="193"/>
    </row>
    <row r="457">
      <c r="B457" s="193"/>
      <c r="C457" s="193"/>
      <c r="D457" s="193"/>
    </row>
    <row r="458">
      <c r="B458" s="193"/>
      <c r="C458" s="193"/>
      <c r="D458" s="193"/>
    </row>
    <row r="459">
      <c r="B459" s="193"/>
      <c r="C459" s="193"/>
      <c r="D459" s="193"/>
    </row>
    <row r="460">
      <c r="B460" s="193"/>
      <c r="C460" s="193"/>
      <c r="D460" s="193"/>
    </row>
    <row r="461">
      <c r="B461" s="193"/>
      <c r="C461" s="193"/>
      <c r="D461" s="193"/>
    </row>
    <row r="462">
      <c r="B462" s="193"/>
      <c r="C462" s="193"/>
      <c r="D462" s="193"/>
    </row>
    <row r="463">
      <c r="B463" s="193"/>
      <c r="C463" s="193"/>
      <c r="D463" s="193"/>
    </row>
    <row r="464">
      <c r="B464" s="193"/>
      <c r="C464" s="193"/>
      <c r="D464" s="193"/>
    </row>
    <row r="465">
      <c r="B465" s="193"/>
      <c r="C465" s="193"/>
      <c r="D465" s="193"/>
    </row>
    <row r="466">
      <c r="B466" s="193"/>
      <c r="C466" s="193"/>
      <c r="D466" s="193"/>
    </row>
    <row r="467">
      <c r="B467" s="193"/>
      <c r="C467" s="193"/>
      <c r="D467" s="193"/>
    </row>
    <row r="468">
      <c r="B468" s="193"/>
      <c r="C468" s="193"/>
      <c r="D468" s="193"/>
    </row>
    <row r="469">
      <c r="B469" s="193"/>
      <c r="C469" s="193"/>
      <c r="D469" s="193"/>
    </row>
    <row r="470">
      <c r="B470" s="193"/>
      <c r="C470" s="193"/>
      <c r="D470" s="193"/>
    </row>
    <row r="471">
      <c r="B471" s="193"/>
      <c r="C471" s="193"/>
      <c r="D471" s="193"/>
    </row>
    <row r="472">
      <c r="B472" s="193"/>
      <c r="C472" s="193"/>
      <c r="D472" s="193"/>
    </row>
    <row r="473">
      <c r="B473" s="193"/>
      <c r="C473" s="193"/>
      <c r="D473" s="193"/>
    </row>
    <row r="474">
      <c r="B474" s="193"/>
      <c r="C474" s="193"/>
      <c r="D474" s="193"/>
    </row>
    <row r="475">
      <c r="B475" s="193"/>
      <c r="C475" s="193"/>
      <c r="D475" s="193"/>
    </row>
    <row r="476">
      <c r="B476" s="193"/>
      <c r="C476" s="193"/>
      <c r="D476" s="193"/>
    </row>
    <row r="477">
      <c r="B477" s="193"/>
      <c r="C477" s="193"/>
      <c r="D477" s="193"/>
    </row>
    <row r="478">
      <c r="B478" s="193"/>
      <c r="C478" s="193"/>
      <c r="D478" s="193"/>
    </row>
    <row r="479">
      <c r="B479" s="193"/>
      <c r="C479" s="193"/>
      <c r="D479" s="193"/>
    </row>
    <row r="480">
      <c r="B480" s="193"/>
      <c r="C480" s="193"/>
      <c r="D480" s="193"/>
    </row>
    <row r="481">
      <c r="B481" s="193"/>
      <c r="C481" s="193"/>
      <c r="D481" s="193"/>
    </row>
    <row r="482">
      <c r="B482" s="193"/>
      <c r="C482" s="193"/>
      <c r="D482" s="193"/>
    </row>
    <row r="483">
      <c r="B483" s="193"/>
      <c r="C483" s="193"/>
      <c r="D483" s="193"/>
    </row>
    <row r="484">
      <c r="B484" s="193"/>
      <c r="C484" s="193"/>
      <c r="D484" s="193"/>
    </row>
    <row r="485">
      <c r="B485" s="193"/>
      <c r="C485" s="193"/>
      <c r="D485" s="193"/>
    </row>
    <row r="486">
      <c r="B486" s="193"/>
      <c r="C486" s="193"/>
      <c r="D486" s="193"/>
    </row>
    <row r="487">
      <c r="B487" s="193"/>
      <c r="C487" s="193"/>
      <c r="D487" s="193"/>
    </row>
    <row r="488">
      <c r="B488" s="193"/>
      <c r="C488" s="193"/>
      <c r="D488" s="193"/>
    </row>
    <row r="489">
      <c r="B489" s="193"/>
      <c r="C489" s="193"/>
      <c r="D489" s="193"/>
    </row>
    <row r="490">
      <c r="B490" s="193"/>
      <c r="C490" s="193"/>
      <c r="D490" s="193"/>
    </row>
    <row r="491">
      <c r="B491" s="193"/>
      <c r="C491" s="193"/>
      <c r="D491" s="193"/>
    </row>
    <row r="492">
      <c r="B492" s="193"/>
      <c r="C492" s="193"/>
      <c r="D492" s="193"/>
    </row>
    <row r="493">
      <c r="B493" s="193"/>
      <c r="C493" s="193"/>
      <c r="D493" s="193"/>
    </row>
    <row r="494">
      <c r="B494" s="193"/>
      <c r="C494" s="193"/>
      <c r="D494" s="193"/>
    </row>
    <row r="495">
      <c r="B495" s="193"/>
      <c r="C495" s="193"/>
      <c r="D495" s="193"/>
    </row>
    <row r="496">
      <c r="B496" s="193"/>
      <c r="C496" s="193"/>
      <c r="D496" s="193"/>
    </row>
    <row r="497">
      <c r="B497" s="193"/>
      <c r="C497" s="193"/>
      <c r="D497" s="193"/>
    </row>
    <row r="498">
      <c r="B498" s="193"/>
      <c r="C498" s="193"/>
      <c r="D498" s="193"/>
    </row>
    <row r="499">
      <c r="B499" s="193"/>
      <c r="C499" s="193"/>
      <c r="D499" s="193"/>
    </row>
    <row r="500">
      <c r="B500" s="193"/>
      <c r="C500" s="193"/>
      <c r="D500" s="193"/>
    </row>
    <row r="501">
      <c r="B501" s="193"/>
      <c r="C501" s="193"/>
      <c r="D501" s="193"/>
    </row>
    <row r="502">
      <c r="B502" s="193"/>
      <c r="C502" s="193"/>
      <c r="D502" s="193"/>
    </row>
    <row r="503">
      <c r="B503" s="193"/>
      <c r="C503" s="193"/>
      <c r="D503" s="193"/>
    </row>
    <row r="504">
      <c r="B504" s="193"/>
      <c r="C504" s="193"/>
      <c r="D504" s="193"/>
    </row>
    <row r="505">
      <c r="B505" s="193"/>
      <c r="C505" s="193"/>
      <c r="D505" s="193"/>
    </row>
    <row r="506">
      <c r="B506" s="193"/>
      <c r="C506" s="193"/>
      <c r="D506" s="193"/>
    </row>
    <row r="507">
      <c r="B507" s="193"/>
      <c r="C507" s="193"/>
      <c r="D507" s="193"/>
    </row>
    <row r="508">
      <c r="B508" s="193"/>
      <c r="C508" s="193"/>
      <c r="D508" s="193"/>
    </row>
    <row r="509">
      <c r="B509" s="193"/>
      <c r="C509" s="193"/>
      <c r="D509" s="193"/>
    </row>
    <row r="510">
      <c r="B510" s="193"/>
      <c r="C510" s="193"/>
      <c r="D510" s="193"/>
    </row>
    <row r="511">
      <c r="B511" s="193"/>
      <c r="C511" s="193"/>
      <c r="D511" s="193"/>
    </row>
    <row r="512">
      <c r="B512" s="193"/>
      <c r="C512" s="193"/>
      <c r="D512" s="193"/>
    </row>
    <row r="513">
      <c r="B513" s="193"/>
      <c r="C513" s="193"/>
      <c r="D513" s="193"/>
    </row>
    <row r="514">
      <c r="B514" s="193"/>
      <c r="C514" s="193"/>
      <c r="D514" s="193"/>
    </row>
    <row r="515">
      <c r="B515" s="193"/>
      <c r="C515" s="193"/>
      <c r="D515" s="193"/>
    </row>
    <row r="516">
      <c r="B516" s="193"/>
      <c r="C516" s="193"/>
      <c r="D516" s="193"/>
    </row>
    <row r="517">
      <c r="B517" s="193"/>
      <c r="C517" s="193"/>
      <c r="D517" s="193"/>
    </row>
    <row r="518">
      <c r="B518" s="193"/>
      <c r="C518" s="193"/>
      <c r="D518" s="193"/>
    </row>
    <row r="519">
      <c r="B519" s="193"/>
      <c r="C519" s="193"/>
      <c r="D519" s="193"/>
    </row>
    <row r="520">
      <c r="B520" s="193"/>
      <c r="C520" s="193"/>
      <c r="D520" s="193"/>
    </row>
    <row r="521">
      <c r="B521" s="193"/>
      <c r="C521" s="193"/>
      <c r="D521" s="193"/>
    </row>
    <row r="522">
      <c r="B522" s="193"/>
      <c r="C522" s="193"/>
      <c r="D522" s="193"/>
    </row>
    <row r="523">
      <c r="B523" s="193"/>
      <c r="C523" s="193"/>
      <c r="D523" s="193"/>
    </row>
    <row r="524">
      <c r="B524" s="193"/>
      <c r="C524" s="193"/>
      <c r="D524" s="193"/>
    </row>
    <row r="525">
      <c r="B525" s="193"/>
      <c r="C525" s="193"/>
      <c r="D525" s="193"/>
    </row>
    <row r="526">
      <c r="B526" s="193"/>
      <c r="C526" s="193"/>
      <c r="D526" s="193"/>
    </row>
    <row r="527">
      <c r="B527" s="193"/>
      <c r="C527" s="193"/>
      <c r="D527" s="193"/>
    </row>
    <row r="528">
      <c r="B528" s="193"/>
      <c r="C528" s="193"/>
      <c r="D528" s="193"/>
    </row>
    <row r="529">
      <c r="B529" s="193"/>
      <c r="C529" s="193"/>
      <c r="D529" s="193"/>
    </row>
    <row r="530">
      <c r="B530" s="193"/>
      <c r="C530" s="193"/>
      <c r="D530" s="193"/>
    </row>
    <row r="531">
      <c r="B531" s="193"/>
      <c r="C531" s="193"/>
      <c r="D531" s="193"/>
    </row>
    <row r="532">
      <c r="B532" s="193"/>
      <c r="C532" s="193"/>
      <c r="D532" s="193"/>
    </row>
    <row r="533">
      <c r="B533" s="193"/>
      <c r="C533" s="193"/>
      <c r="D533" s="193"/>
    </row>
    <row r="534">
      <c r="B534" s="193"/>
      <c r="C534" s="193"/>
      <c r="D534" s="193"/>
    </row>
    <row r="535">
      <c r="B535" s="193"/>
      <c r="C535" s="193"/>
      <c r="D535" s="193"/>
    </row>
    <row r="536">
      <c r="B536" s="193"/>
      <c r="C536" s="193"/>
      <c r="D536" s="193"/>
    </row>
    <row r="537">
      <c r="B537" s="193"/>
      <c r="C537" s="193"/>
      <c r="D537" s="193"/>
    </row>
    <row r="538">
      <c r="B538" s="193"/>
      <c r="C538" s="193"/>
      <c r="D538" s="193"/>
    </row>
    <row r="539">
      <c r="B539" s="193"/>
      <c r="C539" s="193"/>
      <c r="D539" s="193"/>
    </row>
    <row r="540">
      <c r="B540" s="193"/>
      <c r="C540" s="193"/>
      <c r="D540" s="193"/>
    </row>
    <row r="541">
      <c r="B541" s="193"/>
      <c r="C541" s="193"/>
      <c r="D541" s="193"/>
    </row>
    <row r="542">
      <c r="B542" s="193"/>
      <c r="C542" s="193"/>
      <c r="D542" s="193"/>
    </row>
    <row r="543">
      <c r="B543" s="193"/>
      <c r="C543" s="193"/>
      <c r="D543" s="193"/>
    </row>
    <row r="544">
      <c r="B544" s="193"/>
      <c r="C544" s="193"/>
      <c r="D544" s="193"/>
    </row>
    <row r="545">
      <c r="B545" s="193"/>
      <c r="C545" s="193"/>
      <c r="D545" s="193"/>
    </row>
    <row r="546">
      <c r="B546" s="193"/>
      <c r="C546" s="193"/>
      <c r="D546" s="193"/>
    </row>
    <row r="547">
      <c r="B547" s="193"/>
      <c r="C547" s="193"/>
      <c r="D547" s="193"/>
    </row>
    <row r="548">
      <c r="B548" s="193"/>
      <c r="C548" s="193"/>
      <c r="D548" s="193"/>
    </row>
    <row r="549">
      <c r="B549" s="193"/>
      <c r="C549" s="193"/>
      <c r="D549" s="193"/>
    </row>
    <row r="550">
      <c r="B550" s="193"/>
      <c r="C550" s="193"/>
      <c r="D550" s="193"/>
    </row>
    <row r="551">
      <c r="B551" s="193"/>
      <c r="C551" s="193"/>
      <c r="D551" s="193"/>
    </row>
    <row r="552">
      <c r="B552" s="193"/>
      <c r="C552" s="193"/>
      <c r="D552" s="193"/>
    </row>
    <row r="553">
      <c r="B553" s="193"/>
      <c r="C553" s="193"/>
      <c r="D553" s="193"/>
    </row>
    <row r="554">
      <c r="B554" s="193"/>
      <c r="C554" s="193"/>
      <c r="D554" s="193"/>
    </row>
    <row r="555">
      <c r="B555" s="193"/>
      <c r="C555" s="193"/>
      <c r="D555" s="193"/>
    </row>
    <row r="556">
      <c r="B556" s="193"/>
      <c r="C556" s="193"/>
      <c r="D556" s="193"/>
    </row>
    <row r="557">
      <c r="B557" s="193"/>
      <c r="C557" s="193"/>
      <c r="D557" s="193"/>
    </row>
    <row r="558">
      <c r="B558" s="193"/>
      <c r="C558" s="193"/>
      <c r="D558" s="193"/>
    </row>
    <row r="559">
      <c r="B559" s="193"/>
      <c r="C559" s="193"/>
      <c r="D559" s="193"/>
    </row>
    <row r="560">
      <c r="B560" s="193"/>
      <c r="C560" s="193"/>
      <c r="D560" s="193"/>
    </row>
    <row r="561">
      <c r="B561" s="193"/>
      <c r="C561" s="193"/>
      <c r="D561" s="193"/>
    </row>
    <row r="562">
      <c r="B562" s="193"/>
      <c r="C562" s="193"/>
      <c r="D562" s="193"/>
    </row>
    <row r="563">
      <c r="B563" s="193"/>
      <c r="C563" s="193"/>
      <c r="D563" s="193"/>
    </row>
    <row r="564">
      <c r="B564" s="193"/>
      <c r="C564" s="193"/>
      <c r="D564" s="193"/>
    </row>
    <row r="565">
      <c r="B565" s="193"/>
      <c r="C565" s="193"/>
      <c r="D565" s="193"/>
    </row>
    <row r="566">
      <c r="B566" s="193"/>
      <c r="C566" s="193"/>
      <c r="D566" s="193"/>
    </row>
    <row r="567">
      <c r="B567" s="193"/>
      <c r="C567" s="193"/>
      <c r="D567" s="193"/>
    </row>
    <row r="568">
      <c r="B568" s="193"/>
      <c r="C568" s="193"/>
      <c r="D568" s="193"/>
    </row>
    <row r="569">
      <c r="B569" s="193"/>
      <c r="C569" s="193"/>
      <c r="D569" s="193"/>
    </row>
    <row r="570">
      <c r="B570" s="193"/>
      <c r="C570" s="193"/>
      <c r="D570" s="193"/>
    </row>
    <row r="571">
      <c r="B571" s="193"/>
      <c r="C571" s="193"/>
      <c r="D571" s="193"/>
    </row>
    <row r="572">
      <c r="B572" s="193"/>
      <c r="C572" s="193"/>
      <c r="D572" s="193"/>
    </row>
    <row r="573">
      <c r="B573" s="193"/>
      <c r="C573" s="193"/>
      <c r="D573" s="193"/>
    </row>
    <row r="574">
      <c r="B574" s="193"/>
      <c r="C574" s="193"/>
      <c r="D574" s="193"/>
    </row>
    <row r="575">
      <c r="B575" s="193"/>
      <c r="C575" s="193"/>
      <c r="D575" s="193"/>
    </row>
    <row r="576">
      <c r="B576" s="193"/>
      <c r="C576" s="193"/>
      <c r="D576" s="193"/>
    </row>
    <row r="577">
      <c r="B577" s="193"/>
      <c r="C577" s="193"/>
      <c r="D577" s="193"/>
    </row>
    <row r="578">
      <c r="B578" s="193"/>
      <c r="C578" s="193"/>
      <c r="D578" s="193"/>
    </row>
    <row r="579">
      <c r="B579" s="193"/>
      <c r="C579" s="193"/>
      <c r="D579" s="193"/>
    </row>
    <row r="580">
      <c r="B580" s="193"/>
      <c r="C580" s="193"/>
      <c r="D580" s="193"/>
    </row>
    <row r="581">
      <c r="B581" s="193"/>
      <c r="C581" s="193"/>
      <c r="D581" s="193"/>
    </row>
    <row r="582">
      <c r="B582" s="193"/>
      <c r="C582" s="193"/>
      <c r="D582" s="193"/>
    </row>
    <row r="583">
      <c r="B583" s="193"/>
      <c r="C583" s="193"/>
      <c r="D583" s="193"/>
    </row>
    <row r="584">
      <c r="B584" s="193"/>
      <c r="C584" s="193"/>
      <c r="D584" s="193"/>
    </row>
    <row r="585">
      <c r="B585" s="193"/>
      <c r="C585" s="193"/>
      <c r="D585" s="193"/>
    </row>
    <row r="586">
      <c r="B586" s="193"/>
      <c r="C586" s="193"/>
      <c r="D586" s="193"/>
    </row>
    <row r="587">
      <c r="B587" s="193"/>
      <c r="C587" s="193"/>
      <c r="D587" s="193"/>
    </row>
    <row r="588">
      <c r="B588" s="193"/>
      <c r="C588" s="193"/>
      <c r="D588" s="193"/>
    </row>
    <row r="589">
      <c r="B589" s="193"/>
      <c r="C589" s="193"/>
      <c r="D589" s="193"/>
    </row>
    <row r="590">
      <c r="B590" s="193"/>
      <c r="C590" s="193"/>
      <c r="D590" s="193"/>
    </row>
    <row r="591">
      <c r="B591" s="193"/>
      <c r="C591" s="193"/>
      <c r="D591" s="193"/>
    </row>
    <row r="592">
      <c r="B592" s="193"/>
      <c r="C592" s="193"/>
      <c r="D592" s="193"/>
    </row>
    <row r="593">
      <c r="B593" s="193"/>
      <c r="C593" s="193"/>
      <c r="D593" s="193"/>
    </row>
    <row r="594">
      <c r="B594" s="193"/>
      <c r="C594" s="193"/>
      <c r="D594" s="193"/>
    </row>
    <row r="595">
      <c r="B595" s="193"/>
      <c r="C595" s="193"/>
      <c r="D595" s="193"/>
    </row>
    <row r="596">
      <c r="B596" s="193"/>
      <c r="C596" s="193"/>
      <c r="D596" s="193"/>
    </row>
    <row r="597">
      <c r="B597" s="193"/>
      <c r="C597" s="193"/>
      <c r="D597" s="193"/>
    </row>
    <row r="598">
      <c r="B598" s="193"/>
      <c r="C598" s="193"/>
      <c r="D598" s="193"/>
    </row>
    <row r="599">
      <c r="B599" s="193"/>
      <c r="C599" s="193"/>
      <c r="D599" s="193"/>
    </row>
    <row r="600">
      <c r="B600" s="193"/>
      <c r="C600" s="193"/>
      <c r="D600" s="193"/>
    </row>
    <row r="601">
      <c r="B601" s="193"/>
      <c r="C601" s="193"/>
      <c r="D601" s="193"/>
    </row>
    <row r="602">
      <c r="B602" s="193"/>
      <c r="C602" s="193"/>
      <c r="D602" s="193"/>
    </row>
    <row r="603">
      <c r="B603" s="193"/>
      <c r="C603" s="193"/>
      <c r="D603" s="193"/>
    </row>
    <row r="604">
      <c r="B604" s="193"/>
      <c r="C604" s="193"/>
      <c r="D604" s="193"/>
    </row>
    <row r="605">
      <c r="B605" s="193"/>
      <c r="C605" s="193"/>
      <c r="D605" s="193"/>
    </row>
    <row r="606">
      <c r="B606" s="193"/>
      <c r="C606" s="193"/>
      <c r="D606" s="193"/>
    </row>
    <row r="607">
      <c r="B607" s="193"/>
      <c r="C607" s="193"/>
      <c r="D607" s="193"/>
    </row>
    <row r="608">
      <c r="B608" s="193"/>
      <c r="C608" s="193"/>
      <c r="D608" s="193"/>
    </row>
    <row r="609">
      <c r="B609" s="193"/>
      <c r="C609" s="193"/>
      <c r="D609" s="193"/>
    </row>
    <row r="610">
      <c r="B610" s="193"/>
      <c r="C610" s="193"/>
      <c r="D610" s="193"/>
    </row>
    <row r="611">
      <c r="B611" s="193"/>
      <c r="C611" s="193"/>
      <c r="D611" s="193"/>
    </row>
    <row r="612">
      <c r="B612" s="193"/>
      <c r="C612" s="193"/>
      <c r="D612" s="193"/>
    </row>
    <row r="613">
      <c r="B613" s="193"/>
      <c r="C613" s="193"/>
      <c r="D613" s="193"/>
    </row>
    <row r="614">
      <c r="B614" s="193"/>
      <c r="C614" s="193"/>
      <c r="D614" s="193"/>
    </row>
    <row r="615">
      <c r="B615" s="193"/>
      <c r="C615" s="193"/>
      <c r="D615" s="193"/>
    </row>
    <row r="616">
      <c r="B616" s="193"/>
      <c r="C616" s="193"/>
      <c r="D616" s="193"/>
    </row>
    <row r="617">
      <c r="B617" s="193"/>
      <c r="C617" s="193"/>
      <c r="D617" s="193"/>
    </row>
    <row r="618">
      <c r="B618" s="193"/>
      <c r="C618" s="193"/>
      <c r="D618" s="193"/>
    </row>
    <row r="619">
      <c r="B619" s="193"/>
      <c r="C619" s="193"/>
      <c r="D619" s="193"/>
    </row>
    <row r="620">
      <c r="B620" s="193"/>
      <c r="C620" s="193"/>
      <c r="D620" s="193"/>
    </row>
    <row r="621">
      <c r="B621" s="193"/>
      <c r="C621" s="193"/>
      <c r="D621" s="193"/>
    </row>
    <row r="622">
      <c r="B622" s="193"/>
      <c r="C622" s="193"/>
      <c r="D622" s="193"/>
    </row>
    <row r="623">
      <c r="B623" s="193"/>
      <c r="C623" s="193"/>
      <c r="D623" s="193"/>
    </row>
    <row r="624">
      <c r="B624" s="193"/>
      <c r="C624" s="193"/>
      <c r="D624" s="193"/>
    </row>
    <row r="625">
      <c r="B625" s="193"/>
      <c r="C625" s="193"/>
      <c r="D625" s="193"/>
    </row>
    <row r="626">
      <c r="B626" s="193"/>
      <c r="C626" s="193"/>
      <c r="D626" s="193"/>
    </row>
    <row r="627">
      <c r="B627" s="193"/>
      <c r="C627" s="193"/>
      <c r="D627" s="193"/>
    </row>
    <row r="628">
      <c r="B628" s="193"/>
      <c r="C628" s="193"/>
      <c r="D628" s="193"/>
    </row>
    <row r="629">
      <c r="B629" s="193"/>
      <c r="C629" s="193"/>
      <c r="D629" s="193"/>
    </row>
    <row r="630">
      <c r="B630" s="193"/>
      <c r="C630" s="193"/>
      <c r="D630" s="193"/>
    </row>
    <row r="631">
      <c r="B631" s="193"/>
      <c r="C631" s="193"/>
      <c r="D631" s="193"/>
    </row>
    <row r="632">
      <c r="B632" s="193"/>
      <c r="C632" s="193"/>
      <c r="D632" s="193"/>
    </row>
    <row r="633">
      <c r="B633" s="193"/>
      <c r="C633" s="193"/>
      <c r="D633" s="193"/>
    </row>
    <row r="634">
      <c r="B634" s="193"/>
      <c r="C634" s="193"/>
      <c r="D634" s="193"/>
    </row>
    <row r="635">
      <c r="B635" s="193"/>
      <c r="C635" s="193"/>
      <c r="D635" s="193"/>
    </row>
    <row r="636">
      <c r="B636" s="193"/>
      <c r="C636" s="193"/>
      <c r="D636" s="193"/>
    </row>
    <row r="637">
      <c r="B637" s="193"/>
      <c r="C637" s="193"/>
      <c r="D637" s="193"/>
    </row>
    <row r="638">
      <c r="B638" s="193"/>
      <c r="C638" s="193"/>
      <c r="D638" s="193"/>
    </row>
    <row r="639">
      <c r="B639" s="193"/>
      <c r="C639" s="193"/>
      <c r="D639" s="193"/>
    </row>
    <row r="640">
      <c r="B640" s="193"/>
      <c r="C640" s="193"/>
      <c r="D640" s="193"/>
    </row>
    <row r="641">
      <c r="B641" s="193"/>
      <c r="C641" s="193"/>
      <c r="D641" s="193"/>
    </row>
    <row r="642">
      <c r="B642" s="193"/>
      <c r="C642" s="193"/>
      <c r="D642" s="193"/>
    </row>
    <row r="643">
      <c r="B643" s="193"/>
      <c r="C643" s="193"/>
      <c r="D643" s="193"/>
    </row>
    <row r="644">
      <c r="B644" s="193"/>
      <c r="C644" s="193"/>
      <c r="D644" s="193"/>
    </row>
    <row r="645">
      <c r="B645" s="193"/>
      <c r="C645" s="193"/>
      <c r="D645" s="193"/>
    </row>
    <row r="646">
      <c r="B646" s="193"/>
      <c r="C646" s="193"/>
      <c r="D646" s="193"/>
    </row>
    <row r="647">
      <c r="B647" s="193"/>
      <c r="C647" s="193"/>
      <c r="D647" s="193"/>
    </row>
    <row r="648">
      <c r="B648" s="193"/>
      <c r="C648" s="193"/>
      <c r="D648" s="193"/>
    </row>
    <row r="649">
      <c r="B649" s="193"/>
      <c r="C649" s="193"/>
      <c r="D649" s="193"/>
    </row>
    <row r="650">
      <c r="B650" s="193"/>
      <c r="C650" s="193"/>
      <c r="D650" s="193"/>
    </row>
    <row r="651">
      <c r="B651" s="193"/>
      <c r="C651" s="193"/>
      <c r="D651" s="193"/>
    </row>
    <row r="652">
      <c r="B652" s="193"/>
      <c r="C652" s="193"/>
      <c r="D652" s="193"/>
    </row>
    <row r="653">
      <c r="B653" s="193"/>
      <c r="C653" s="193"/>
      <c r="D653" s="193"/>
    </row>
    <row r="654">
      <c r="B654" s="193"/>
      <c r="C654" s="193"/>
      <c r="D654" s="193"/>
    </row>
    <row r="655">
      <c r="B655" s="193"/>
      <c r="C655" s="193"/>
      <c r="D655" s="193"/>
    </row>
    <row r="656">
      <c r="B656" s="193"/>
      <c r="C656" s="193"/>
      <c r="D656" s="193"/>
    </row>
    <row r="657">
      <c r="B657" s="193"/>
      <c r="C657" s="193"/>
      <c r="D657" s="193"/>
    </row>
    <row r="658">
      <c r="B658" s="193"/>
      <c r="C658" s="193"/>
      <c r="D658" s="193"/>
    </row>
    <row r="659">
      <c r="B659" s="193"/>
      <c r="C659" s="193"/>
      <c r="D659" s="193"/>
    </row>
    <row r="660">
      <c r="B660" s="193"/>
      <c r="C660" s="193"/>
      <c r="D660" s="193"/>
    </row>
    <row r="661">
      <c r="B661" s="193"/>
      <c r="C661" s="193"/>
      <c r="D661" s="193"/>
    </row>
    <row r="662">
      <c r="B662" s="193"/>
      <c r="C662" s="193"/>
      <c r="D662" s="193"/>
    </row>
    <row r="663">
      <c r="B663" s="193"/>
      <c r="C663" s="193"/>
      <c r="D663" s="193"/>
    </row>
    <row r="664">
      <c r="B664" s="193"/>
      <c r="C664" s="193"/>
      <c r="D664" s="193"/>
    </row>
    <row r="665">
      <c r="B665" s="193"/>
      <c r="C665" s="193"/>
      <c r="D665" s="193"/>
    </row>
    <row r="666">
      <c r="B666" s="193"/>
      <c r="C666" s="193"/>
      <c r="D666" s="193"/>
    </row>
    <row r="667">
      <c r="B667" s="193"/>
      <c r="C667" s="193"/>
      <c r="D667" s="193"/>
    </row>
    <row r="668">
      <c r="B668" s="193"/>
      <c r="C668" s="193"/>
      <c r="D668" s="193"/>
    </row>
    <row r="669">
      <c r="B669" s="193"/>
      <c r="C669" s="193"/>
      <c r="D669" s="193"/>
    </row>
    <row r="670">
      <c r="B670" s="193"/>
      <c r="C670" s="193"/>
      <c r="D670" s="193"/>
    </row>
    <row r="671">
      <c r="B671" s="193"/>
      <c r="C671" s="193"/>
      <c r="D671" s="193"/>
    </row>
    <row r="672">
      <c r="B672" s="193"/>
      <c r="C672" s="193"/>
      <c r="D672" s="193"/>
    </row>
    <row r="673">
      <c r="B673" s="193"/>
      <c r="C673" s="193"/>
      <c r="D673" s="193"/>
    </row>
    <row r="674">
      <c r="B674" s="193"/>
      <c r="C674" s="193"/>
      <c r="D674" s="193"/>
    </row>
    <row r="675">
      <c r="B675" s="193"/>
      <c r="C675" s="193"/>
      <c r="D675" s="193"/>
    </row>
    <row r="676">
      <c r="B676" s="193"/>
      <c r="C676" s="193"/>
      <c r="D676" s="193"/>
    </row>
    <row r="677">
      <c r="B677" s="193"/>
      <c r="C677" s="193"/>
      <c r="D677" s="193"/>
    </row>
    <row r="678">
      <c r="B678" s="193"/>
      <c r="C678" s="193"/>
      <c r="D678" s="193"/>
    </row>
    <row r="679">
      <c r="B679" s="193"/>
      <c r="C679" s="193"/>
      <c r="D679" s="193"/>
    </row>
    <row r="680">
      <c r="B680" s="193"/>
      <c r="C680" s="193"/>
      <c r="D680" s="193"/>
    </row>
    <row r="681">
      <c r="B681" s="193"/>
      <c r="C681" s="193"/>
      <c r="D681" s="193"/>
    </row>
    <row r="682">
      <c r="B682" s="193"/>
      <c r="C682" s="193"/>
      <c r="D682" s="193"/>
    </row>
    <row r="683">
      <c r="B683" s="193"/>
      <c r="C683" s="193"/>
      <c r="D683" s="193"/>
    </row>
    <row r="684">
      <c r="B684" s="193"/>
      <c r="C684" s="193"/>
      <c r="D684" s="193"/>
    </row>
    <row r="685">
      <c r="B685" s="193"/>
      <c r="C685" s="193"/>
      <c r="D685" s="193"/>
    </row>
    <row r="686">
      <c r="B686" s="193"/>
      <c r="C686" s="193"/>
      <c r="D686" s="193"/>
    </row>
    <row r="687">
      <c r="B687" s="193"/>
      <c r="C687" s="193"/>
      <c r="D687" s="193"/>
    </row>
    <row r="688">
      <c r="B688" s="193"/>
      <c r="C688" s="193"/>
      <c r="D688" s="193"/>
    </row>
    <row r="689">
      <c r="B689" s="193"/>
      <c r="C689" s="193"/>
      <c r="D689" s="193"/>
    </row>
    <row r="690">
      <c r="B690" s="193"/>
      <c r="C690" s="193"/>
      <c r="D690" s="193"/>
    </row>
    <row r="691">
      <c r="B691" s="193"/>
      <c r="C691" s="193"/>
      <c r="D691" s="193"/>
    </row>
    <row r="692">
      <c r="B692" s="193"/>
      <c r="C692" s="193"/>
      <c r="D692" s="193"/>
    </row>
    <row r="693">
      <c r="B693" s="193"/>
      <c r="C693" s="193"/>
      <c r="D693" s="193"/>
    </row>
    <row r="694">
      <c r="B694" s="193"/>
      <c r="C694" s="193"/>
      <c r="D694" s="193"/>
    </row>
    <row r="695">
      <c r="B695" s="193"/>
      <c r="C695" s="193"/>
      <c r="D695" s="193"/>
    </row>
    <row r="696">
      <c r="B696" s="193"/>
      <c r="C696" s="193"/>
      <c r="D696" s="193"/>
    </row>
    <row r="697">
      <c r="B697" s="193"/>
      <c r="C697" s="193"/>
      <c r="D697" s="193"/>
    </row>
    <row r="698">
      <c r="B698" s="193"/>
      <c r="C698" s="193"/>
      <c r="D698" s="193"/>
    </row>
    <row r="699">
      <c r="B699" s="193"/>
      <c r="C699" s="193"/>
      <c r="D699" s="193"/>
    </row>
    <row r="700">
      <c r="B700" s="193"/>
      <c r="C700" s="193"/>
      <c r="D700" s="193"/>
    </row>
    <row r="701">
      <c r="B701" s="193"/>
      <c r="C701" s="193"/>
      <c r="D701" s="193"/>
    </row>
    <row r="702">
      <c r="B702" s="193"/>
      <c r="C702" s="193"/>
      <c r="D702" s="193"/>
    </row>
    <row r="703">
      <c r="B703" s="193"/>
      <c r="C703" s="193"/>
      <c r="D703" s="193"/>
    </row>
    <row r="704">
      <c r="B704" s="193"/>
      <c r="C704" s="193"/>
      <c r="D704" s="193"/>
    </row>
    <row r="705">
      <c r="B705" s="193"/>
      <c r="C705" s="193"/>
      <c r="D705" s="193"/>
    </row>
    <row r="706">
      <c r="B706" s="193"/>
      <c r="C706" s="193"/>
      <c r="D706" s="193"/>
    </row>
    <row r="707">
      <c r="B707" s="193"/>
      <c r="C707" s="193"/>
      <c r="D707" s="193"/>
    </row>
    <row r="708">
      <c r="B708" s="193"/>
      <c r="C708" s="193"/>
      <c r="D708" s="193"/>
    </row>
    <row r="709">
      <c r="B709" s="193"/>
      <c r="C709" s="193"/>
      <c r="D709" s="193"/>
    </row>
    <row r="710">
      <c r="B710" s="193"/>
      <c r="C710" s="193"/>
      <c r="D710" s="193"/>
    </row>
    <row r="711">
      <c r="B711" s="193"/>
      <c r="C711" s="193"/>
      <c r="D711" s="193"/>
    </row>
    <row r="712">
      <c r="B712" s="193"/>
      <c r="C712" s="193"/>
      <c r="D712" s="193"/>
    </row>
    <row r="713">
      <c r="B713" s="193"/>
      <c r="C713" s="193"/>
      <c r="D713" s="193"/>
    </row>
    <row r="714">
      <c r="B714" s="193"/>
      <c r="C714" s="193"/>
      <c r="D714" s="193"/>
    </row>
    <row r="715">
      <c r="B715" s="193"/>
      <c r="C715" s="193"/>
      <c r="D715" s="193"/>
    </row>
    <row r="716">
      <c r="B716" s="193"/>
      <c r="C716" s="193"/>
      <c r="D716" s="193"/>
    </row>
    <row r="717">
      <c r="B717" s="193"/>
      <c r="C717" s="193"/>
      <c r="D717" s="193"/>
    </row>
    <row r="718">
      <c r="B718" s="193"/>
      <c r="C718" s="193"/>
      <c r="D718" s="193"/>
    </row>
    <row r="719">
      <c r="B719" s="193"/>
      <c r="C719" s="193"/>
      <c r="D719" s="193"/>
    </row>
    <row r="720">
      <c r="B720" s="193"/>
      <c r="C720" s="193"/>
      <c r="D720" s="193"/>
    </row>
    <row r="721">
      <c r="B721" s="193"/>
      <c r="C721" s="193"/>
      <c r="D721" s="193"/>
    </row>
    <row r="722">
      <c r="B722" s="193"/>
      <c r="C722" s="193"/>
      <c r="D722" s="193"/>
    </row>
    <row r="723">
      <c r="B723" s="193"/>
      <c r="C723" s="193"/>
      <c r="D723" s="193"/>
    </row>
    <row r="724">
      <c r="B724" s="193"/>
      <c r="C724" s="193"/>
      <c r="D724" s="193"/>
    </row>
    <row r="725">
      <c r="B725" s="193"/>
      <c r="C725" s="193"/>
      <c r="D725" s="193"/>
    </row>
    <row r="726">
      <c r="B726" s="193"/>
      <c r="C726" s="193"/>
      <c r="D726" s="193"/>
    </row>
    <row r="727">
      <c r="B727" s="193"/>
      <c r="C727" s="193"/>
      <c r="D727" s="193"/>
    </row>
    <row r="728">
      <c r="B728" s="193"/>
      <c r="C728" s="193"/>
      <c r="D728" s="193"/>
    </row>
    <row r="729">
      <c r="B729" s="193"/>
      <c r="C729" s="193"/>
      <c r="D729" s="193"/>
    </row>
    <row r="730">
      <c r="B730" s="193"/>
      <c r="C730" s="193"/>
      <c r="D730" s="193"/>
    </row>
    <row r="731">
      <c r="B731" s="193"/>
      <c r="C731" s="193"/>
      <c r="D731" s="193"/>
    </row>
    <row r="732">
      <c r="B732" s="193"/>
      <c r="C732" s="193"/>
      <c r="D732" s="193"/>
    </row>
    <row r="733">
      <c r="B733" s="193"/>
      <c r="C733" s="193"/>
      <c r="D733" s="193"/>
    </row>
    <row r="734">
      <c r="B734" s="193"/>
      <c r="C734" s="193"/>
      <c r="D734" s="193"/>
    </row>
    <row r="735">
      <c r="B735" s="193"/>
      <c r="C735" s="193"/>
      <c r="D735" s="193"/>
    </row>
    <row r="736">
      <c r="B736" s="193"/>
      <c r="C736" s="193"/>
      <c r="D736" s="193"/>
    </row>
    <row r="737">
      <c r="B737" s="193"/>
      <c r="C737" s="193"/>
      <c r="D737" s="193"/>
    </row>
    <row r="738">
      <c r="B738" s="193"/>
      <c r="C738" s="193"/>
      <c r="D738" s="193"/>
    </row>
    <row r="739">
      <c r="B739" s="193"/>
      <c r="C739" s="193"/>
      <c r="D739" s="193"/>
    </row>
    <row r="740">
      <c r="B740" s="193"/>
      <c r="C740" s="193"/>
      <c r="D740" s="193"/>
    </row>
    <row r="741">
      <c r="B741" s="193"/>
      <c r="C741" s="193"/>
      <c r="D741" s="193"/>
    </row>
    <row r="742">
      <c r="B742" s="193"/>
      <c r="C742" s="193"/>
      <c r="D742" s="193"/>
    </row>
    <row r="743">
      <c r="B743" s="193"/>
      <c r="C743" s="193"/>
      <c r="D743" s="193"/>
    </row>
    <row r="744">
      <c r="B744" s="193"/>
      <c r="C744" s="193"/>
      <c r="D744" s="193"/>
    </row>
    <row r="745">
      <c r="B745" s="193"/>
      <c r="C745" s="193"/>
      <c r="D745" s="193"/>
    </row>
    <row r="746">
      <c r="B746" s="193"/>
      <c r="C746" s="193"/>
      <c r="D746" s="193"/>
    </row>
    <row r="747">
      <c r="B747" s="193"/>
      <c r="C747" s="193"/>
      <c r="D747" s="193"/>
    </row>
    <row r="748">
      <c r="B748" s="193"/>
      <c r="C748" s="193"/>
      <c r="D748" s="193"/>
    </row>
    <row r="749">
      <c r="B749" s="193"/>
      <c r="C749" s="193"/>
      <c r="D749" s="193"/>
    </row>
    <row r="750">
      <c r="B750" s="193"/>
      <c r="C750" s="193"/>
      <c r="D750" s="193"/>
    </row>
    <row r="751">
      <c r="B751" s="193"/>
      <c r="C751" s="193"/>
      <c r="D751" s="193"/>
    </row>
    <row r="752">
      <c r="B752" s="193"/>
      <c r="C752" s="193"/>
      <c r="D752" s="193"/>
    </row>
    <row r="753">
      <c r="B753" s="193"/>
      <c r="C753" s="193"/>
      <c r="D753" s="193"/>
    </row>
    <row r="754">
      <c r="B754" s="193"/>
      <c r="C754" s="193"/>
      <c r="D754" s="193"/>
    </row>
    <row r="755">
      <c r="B755" s="193"/>
      <c r="C755" s="193"/>
      <c r="D755" s="193"/>
    </row>
    <row r="756">
      <c r="B756" s="193"/>
      <c r="C756" s="193"/>
      <c r="D756" s="193"/>
    </row>
    <row r="757">
      <c r="B757" s="193"/>
      <c r="C757" s="193"/>
      <c r="D757" s="193"/>
    </row>
    <row r="758">
      <c r="B758" s="193"/>
      <c r="C758" s="193"/>
      <c r="D758" s="193"/>
    </row>
    <row r="759">
      <c r="B759" s="193"/>
      <c r="C759" s="193"/>
      <c r="D759" s="193"/>
    </row>
    <row r="760">
      <c r="B760" s="193"/>
      <c r="C760" s="193"/>
      <c r="D760" s="193"/>
    </row>
    <row r="761">
      <c r="B761" s="193"/>
      <c r="C761" s="193"/>
      <c r="D761" s="193"/>
    </row>
    <row r="762">
      <c r="B762" s="193"/>
      <c r="C762" s="193"/>
      <c r="D762" s="193"/>
    </row>
    <row r="763">
      <c r="B763" s="193"/>
      <c r="C763" s="193"/>
      <c r="D763" s="193"/>
    </row>
    <row r="764">
      <c r="B764" s="193"/>
      <c r="C764" s="193"/>
      <c r="D764" s="193"/>
    </row>
    <row r="765">
      <c r="B765" s="193"/>
      <c r="C765" s="193"/>
      <c r="D765" s="193"/>
    </row>
    <row r="766">
      <c r="B766" s="193"/>
      <c r="C766" s="193"/>
      <c r="D766" s="193"/>
    </row>
    <row r="767">
      <c r="B767" s="193"/>
      <c r="C767" s="193"/>
      <c r="D767" s="193"/>
    </row>
    <row r="768">
      <c r="B768" s="193"/>
      <c r="C768" s="193"/>
      <c r="D768" s="193"/>
    </row>
    <row r="769">
      <c r="B769" s="193"/>
      <c r="C769" s="193"/>
      <c r="D769" s="193"/>
    </row>
    <row r="770">
      <c r="B770" s="193"/>
      <c r="C770" s="193"/>
      <c r="D770" s="193"/>
    </row>
    <row r="771">
      <c r="B771" s="193"/>
      <c r="C771" s="193"/>
      <c r="D771" s="193"/>
    </row>
    <row r="772">
      <c r="B772" s="193"/>
      <c r="C772" s="193"/>
      <c r="D772" s="193"/>
    </row>
    <row r="773">
      <c r="B773" s="193"/>
      <c r="C773" s="193"/>
      <c r="D773" s="193"/>
    </row>
    <row r="774">
      <c r="B774" s="193"/>
      <c r="C774" s="193"/>
      <c r="D774" s="193"/>
    </row>
    <row r="775">
      <c r="B775" s="193"/>
      <c r="C775" s="193"/>
      <c r="D775" s="193"/>
    </row>
    <row r="776">
      <c r="B776" s="193"/>
      <c r="C776" s="193"/>
      <c r="D776" s="193"/>
    </row>
    <row r="777">
      <c r="B777" s="193"/>
      <c r="C777" s="193"/>
      <c r="D777" s="193"/>
    </row>
    <row r="778">
      <c r="B778" s="193"/>
      <c r="C778" s="193"/>
      <c r="D778" s="193"/>
    </row>
    <row r="779">
      <c r="B779" s="193"/>
      <c r="C779" s="193"/>
      <c r="D779" s="193"/>
    </row>
    <row r="780">
      <c r="B780" s="193"/>
      <c r="C780" s="193"/>
      <c r="D780" s="193"/>
    </row>
    <row r="781">
      <c r="B781" s="193"/>
      <c r="C781" s="193"/>
      <c r="D781" s="193"/>
    </row>
    <row r="782">
      <c r="B782" s="193"/>
      <c r="C782" s="193"/>
      <c r="D782" s="193"/>
    </row>
    <row r="783">
      <c r="B783" s="193"/>
      <c r="C783" s="193"/>
      <c r="D783" s="193"/>
    </row>
    <row r="784">
      <c r="B784" s="193"/>
      <c r="C784" s="193"/>
      <c r="D784" s="193"/>
    </row>
    <row r="785">
      <c r="B785" s="193"/>
      <c r="C785" s="193"/>
      <c r="D785" s="193"/>
    </row>
    <row r="786">
      <c r="B786" s="193"/>
      <c r="C786" s="193"/>
      <c r="D786" s="193"/>
    </row>
    <row r="787">
      <c r="B787" s="193"/>
      <c r="C787" s="193"/>
      <c r="D787" s="193"/>
    </row>
    <row r="788">
      <c r="B788" s="193"/>
      <c r="C788" s="193"/>
      <c r="D788" s="193"/>
    </row>
    <row r="789">
      <c r="B789" s="193"/>
      <c r="C789" s="193"/>
      <c r="D789" s="193"/>
    </row>
    <row r="790">
      <c r="B790" s="193"/>
      <c r="C790" s="193"/>
      <c r="D790" s="193"/>
    </row>
    <row r="791">
      <c r="B791" s="193"/>
      <c r="C791" s="193"/>
      <c r="D791" s="193"/>
    </row>
    <row r="792">
      <c r="B792" s="193"/>
      <c r="C792" s="193"/>
      <c r="D792" s="193"/>
    </row>
    <row r="793">
      <c r="B793" s="193"/>
      <c r="C793" s="193"/>
      <c r="D793" s="193"/>
    </row>
    <row r="794">
      <c r="B794" s="193"/>
      <c r="C794" s="193"/>
      <c r="D794" s="193"/>
    </row>
    <row r="795">
      <c r="B795" s="193"/>
      <c r="C795" s="193"/>
      <c r="D795" s="193"/>
    </row>
    <row r="796">
      <c r="B796" s="193"/>
      <c r="C796" s="193"/>
      <c r="D796" s="193"/>
    </row>
    <row r="797">
      <c r="B797" s="193"/>
      <c r="C797" s="193"/>
      <c r="D797" s="193"/>
    </row>
    <row r="798">
      <c r="B798" s="193"/>
      <c r="C798" s="193"/>
      <c r="D798" s="193"/>
    </row>
    <row r="799">
      <c r="B799" s="193"/>
      <c r="C799" s="193"/>
      <c r="D799" s="193"/>
    </row>
    <row r="800">
      <c r="B800" s="193"/>
      <c r="C800" s="193"/>
      <c r="D800" s="193"/>
    </row>
    <row r="801">
      <c r="B801" s="193"/>
      <c r="C801" s="193"/>
      <c r="D801" s="193"/>
    </row>
    <row r="802">
      <c r="B802" s="193"/>
      <c r="C802" s="193"/>
      <c r="D802" s="193"/>
    </row>
    <row r="803">
      <c r="B803" s="193"/>
      <c r="C803" s="193"/>
      <c r="D803" s="193"/>
    </row>
    <row r="804">
      <c r="B804" s="193"/>
      <c r="C804" s="193"/>
      <c r="D804" s="193"/>
    </row>
    <row r="805">
      <c r="B805" s="193"/>
      <c r="C805" s="193"/>
      <c r="D805" s="193"/>
    </row>
    <row r="806">
      <c r="B806" s="193"/>
      <c r="C806" s="193"/>
      <c r="D806" s="193"/>
    </row>
    <row r="807">
      <c r="B807" s="193"/>
      <c r="C807" s="193"/>
      <c r="D807" s="193"/>
    </row>
    <row r="808">
      <c r="B808" s="193"/>
      <c r="C808" s="193"/>
      <c r="D808" s="193"/>
    </row>
    <row r="809">
      <c r="B809" s="193"/>
      <c r="C809" s="193"/>
      <c r="D809" s="193"/>
    </row>
    <row r="810">
      <c r="B810" s="193"/>
      <c r="C810" s="193"/>
      <c r="D810" s="193"/>
    </row>
    <row r="811">
      <c r="B811" s="193"/>
      <c r="C811" s="193"/>
      <c r="D811" s="193"/>
    </row>
    <row r="812">
      <c r="B812" s="193"/>
      <c r="C812" s="193"/>
      <c r="D812" s="193"/>
    </row>
    <row r="813">
      <c r="B813" s="193"/>
      <c r="C813" s="193"/>
      <c r="D813" s="193"/>
    </row>
    <row r="814">
      <c r="B814" s="193"/>
      <c r="C814" s="193"/>
      <c r="D814" s="193"/>
    </row>
    <row r="815">
      <c r="B815" s="193"/>
      <c r="C815" s="193"/>
      <c r="D815" s="193"/>
    </row>
    <row r="816">
      <c r="B816" s="193"/>
      <c r="C816" s="193"/>
      <c r="D816" s="193"/>
    </row>
    <row r="817">
      <c r="B817" s="193"/>
      <c r="C817" s="193"/>
      <c r="D817" s="193"/>
    </row>
    <row r="818">
      <c r="B818" s="193"/>
      <c r="C818" s="193"/>
      <c r="D818" s="193"/>
    </row>
    <row r="819">
      <c r="B819" s="193"/>
      <c r="C819" s="193"/>
      <c r="D819" s="193"/>
    </row>
    <row r="820">
      <c r="B820" s="193"/>
      <c r="C820" s="193"/>
      <c r="D820" s="193"/>
    </row>
    <row r="821">
      <c r="B821" s="193"/>
      <c r="C821" s="193"/>
      <c r="D821" s="193"/>
    </row>
    <row r="822">
      <c r="B822" s="193"/>
      <c r="C822" s="193"/>
      <c r="D822" s="193"/>
    </row>
    <row r="823">
      <c r="B823" s="193"/>
      <c r="C823" s="193"/>
      <c r="D823" s="193"/>
    </row>
    <row r="824">
      <c r="B824" s="193"/>
      <c r="C824" s="193"/>
      <c r="D824" s="193"/>
    </row>
    <row r="825">
      <c r="B825" s="193"/>
      <c r="C825" s="193"/>
      <c r="D825" s="193"/>
    </row>
    <row r="826">
      <c r="B826" s="193"/>
      <c r="C826" s="193"/>
      <c r="D826" s="193"/>
    </row>
    <row r="827">
      <c r="B827" s="193"/>
      <c r="C827" s="193"/>
      <c r="D827" s="193"/>
    </row>
    <row r="828">
      <c r="B828" s="193"/>
      <c r="C828" s="193"/>
      <c r="D828" s="193"/>
    </row>
    <row r="829">
      <c r="B829" s="193"/>
      <c r="C829" s="193"/>
      <c r="D829" s="193"/>
    </row>
    <row r="830">
      <c r="B830" s="193"/>
      <c r="C830" s="193"/>
      <c r="D830" s="193"/>
    </row>
    <row r="831">
      <c r="B831" s="193"/>
      <c r="C831" s="193"/>
      <c r="D831" s="193"/>
    </row>
    <row r="832">
      <c r="B832" s="193"/>
      <c r="C832" s="193"/>
      <c r="D832" s="193"/>
    </row>
    <row r="833">
      <c r="B833" s="193"/>
      <c r="C833" s="193"/>
      <c r="D833" s="193"/>
    </row>
    <row r="834">
      <c r="B834" s="193"/>
      <c r="C834" s="193"/>
      <c r="D834" s="193"/>
    </row>
    <row r="835">
      <c r="B835" s="193"/>
      <c r="C835" s="193"/>
      <c r="D835" s="193"/>
    </row>
    <row r="836">
      <c r="B836" s="193"/>
      <c r="C836" s="193"/>
      <c r="D836" s="193"/>
    </row>
    <row r="837">
      <c r="B837" s="193"/>
      <c r="C837" s="193"/>
      <c r="D837" s="193"/>
    </row>
    <row r="838">
      <c r="B838" s="193"/>
      <c r="C838" s="193"/>
      <c r="D838" s="193"/>
    </row>
    <row r="839">
      <c r="B839" s="193"/>
      <c r="C839" s="193"/>
      <c r="D839" s="193"/>
    </row>
    <row r="840">
      <c r="B840" s="193"/>
      <c r="C840" s="193"/>
      <c r="D840" s="193"/>
    </row>
    <row r="841">
      <c r="B841" s="193"/>
      <c r="C841" s="193"/>
      <c r="D841" s="193"/>
    </row>
    <row r="842">
      <c r="B842" s="193"/>
      <c r="C842" s="193"/>
      <c r="D842" s="193"/>
    </row>
    <row r="843">
      <c r="B843" s="193"/>
      <c r="C843" s="193"/>
      <c r="D843" s="193"/>
    </row>
    <row r="844">
      <c r="B844" s="193"/>
      <c r="C844" s="193"/>
      <c r="D844" s="193"/>
    </row>
    <row r="845">
      <c r="B845" s="193"/>
      <c r="C845" s="193"/>
      <c r="D845" s="193"/>
    </row>
    <row r="846">
      <c r="B846" s="193"/>
      <c r="C846" s="193"/>
      <c r="D846" s="193"/>
    </row>
    <row r="847">
      <c r="B847" s="193"/>
      <c r="C847" s="193"/>
      <c r="D847" s="193"/>
    </row>
    <row r="848">
      <c r="B848" s="193"/>
      <c r="C848" s="193"/>
      <c r="D848" s="193"/>
    </row>
    <row r="849">
      <c r="B849" s="193"/>
      <c r="C849" s="193"/>
      <c r="D849" s="193"/>
    </row>
    <row r="850">
      <c r="B850" s="193"/>
      <c r="C850" s="193"/>
      <c r="D850" s="193"/>
    </row>
    <row r="851">
      <c r="B851" s="193"/>
      <c r="C851" s="193"/>
      <c r="D851" s="193"/>
    </row>
    <row r="852">
      <c r="B852" s="193"/>
      <c r="C852" s="193"/>
      <c r="D852" s="193"/>
    </row>
    <row r="853">
      <c r="B853" s="193"/>
      <c r="C853" s="193"/>
      <c r="D853" s="193"/>
    </row>
    <row r="854">
      <c r="B854" s="193"/>
      <c r="C854" s="193"/>
      <c r="D854" s="193"/>
    </row>
    <row r="855">
      <c r="B855" s="193"/>
      <c r="C855" s="193"/>
      <c r="D855" s="193"/>
    </row>
    <row r="856">
      <c r="B856" s="193"/>
      <c r="C856" s="193"/>
      <c r="D856" s="193"/>
    </row>
    <row r="857">
      <c r="B857" s="193"/>
      <c r="C857" s="193"/>
      <c r="D857" s="193"/>
    </row>
    <row r="858">
      <c r="B858" s="193"/>
      <c r="C858" s="193"/>
      <c r="D858" s="193"/>
    </row>
    <row r="859">
      <c r="B859" s="193"/>
      <c r="C859" s="193"/>
      <c r="D859" s="193"/>
    </row>
    <row r="860">
      <c r="B860" s="193"/>
      <c r="C860" s="193"/>
      <c r="D860" s="193"/>
    </row>
    <row r="861">
      <c r="B861" s="193"/>
      <c r="C861" s="193"/>
      <c r="D861" s="193"/>
    </row>
    <row r="862">
      <c r="B862" s="193"/>
      <c r="C862" s="193"/>
      <c r="D862" s="193"/>
    </row>
    <row r="863">
      <c r="B863" s="193"/>
      <c r="C863" s="193"/>
      <c r="D863" s="193"/>
    </row>
    <row r="864">
      <c r="B864" s="193"/>
      <c r="C864" s="193"/>
      <c r="D864" s="193"/>
    </row>
    <row r="865">
      <c r="B865" s="193"/>
      <c r="C865" s="193"/>
      <c r="D865" s="193"/>
    </row>
    <row r="866">
      <c r="B866" s="193"/>
      <c r="C866" s="193"/>
      <c r="D866" s="193"/>
    </row>
    <row r="867">
      <c r="B867" s="193"/>
      <c r="C867" s="193"/>
      <c r="D867" s="193"/>
    </row>
    <row r="868">
      <c r="B868" s="193"/>
      <c r="C868" s="193"/>
      <c r="D868" s="193"/>
    </row>
    <row r="869">
      <c r="B869" s="193"/>
      <c r="C869" s="193"/>
      <c r="D869" s="193"/>
    </row>
    <row r="870">
      <c r="B870" s="193"/>
      <c r="C870" s="193"/>
      <c r="D870" s="193"/>
    </row>
    <row r="871">
      <c r="B871" s="193"/>
      <c r="C871" s="193"/>
      <c r="D871" s="193"/>
    </row>
    <row r="872">
      <c r="B872" s="193"/>
      <c r="C872" s="193"/>
      <c r="D872" s="193"/>
    </row>
    <row r="873">
      <c r="B873" s="193"/>
      <c r="C873" s="193"/>
      <c r="D873" s="193"/>
    </row>
    <row r="874">
      <c r="B874" s="193"/>
      <c r="C874" s="193"/>
      <c r="D874" s="193"/>
    </row>
    <row r="875">
      <c r="B875" s="193"/>
      <c r="C875" s="193"/>
      <c r="D875" s="193"/>
    </row>
    <row r="876">
      <c r="B876" s="193"/>
      <c r="C876" s="193"/>
      <c r="D876" s="193"/>
    </row>
    <row r="877">
      <c r="B877" s="193"/>
      <c r="C877" s="193"/>
      <c r="D877" s="193"/>
    </row>
    <row r="878">
      <c r="B878" s="193"/>
      <c r="C878" s="193"/>
      <c r="D878" s="193"/>
    </row>
    <row r="879">
      <c r="B879" s="193"/>
      <c r="C879" s="193"/>
      <c r="D879" s="193"/>
    </row>
    <row r="880">
      <c r="B880" s="193"/>
      <c r="C880" s="193"/>
      <c r="D880" s="193"/>
    </row>
    <row r="881">
      <c r="B881" s="193"/>
      <c r="C881" s="193"/>
      <c r="D881" s="193"/>
    </row>
    <row r="882">
      <c r="B882" s="193"/>
      <c r="C882" s="193"/>
      <c r="D882" s="193"/>
    </row>
    <row r="883">
      <c r="B883" s="193"/>
      <c r="C883" s="193"/>
      <c r="D883" s="193"/>
    </row>
    <row r="884">
      <c r="B884" s="193"/>
      <c r="C884" s="193"/>
      <c r="D884" s="193"/>
    </row>
    <row r="885">
      <c r="B885" s="193"/>
      <c r="C885" s="193"/>
      <c r="D885" s="193"/>
    </row>
    <row r="886">
      <c r="B886" s="193"/>
      <c r="C886" s="193"/>
      <c r="D886" s="193"/>
    </row>
    <row r="887">
      <c r="B887" s="193"/>
      <c r="C887" s="193"/>
      <c r="D887" s="193"/>
    </row>
    <row r="888">
      <c r="B888" s="193"/>
      <c r="C888" s="193"/>
      <c r="D888" s="193"/>
    </row>
    <row r="889">
      <c r="B889" s="193"/>
      <c r="C889" s="193"/>
      <c r="D889" s="193"/>
    </row>
    <row r="890">
      <c r="B890" s="193"/>
      <c r="C890" s="193"/>
      <c r="D890" s="193"/>
    </row>
    <row r="891">
      <c r="B891" s="193"/>
      <c r="C891" s="193"/>
      <c r="D891" s="193"/>
    </row>
    <row r="892">
      <c r="B892" s="193"/>
      <c r="C892" s="193"/>
      <c r="D892" s="193"/>
    </row>
    <row r="893">
      <c r="B893" s="193"/>
      <c r="C893" s="193"/>
      <c r="D893" s="193"/>
    </row>
    <row r="894">
      <c r="B894" s="193"/>
      <c r="C894" s="193"/>
      <c r="D894" s="193"/>
    </row>
    <row r="895">
      <c r="B895" s="193"/>
      <c r="C895" s="193"/>
      <c r="D895" s="193"/>
    </row>
    <row r="896">
      <c r="B896" s="193"/>
      <c r="C896" s="193"/>
      <c r="D896" s="193"/>
    </row>
    <row r="897">
      <c r="B897" s="193"/>
      <c r="C897" s="193"/>
      <c r="D897" s="193"/>
    </row>
    <row r="898">
      <c r="B898" s="193"/>
      <c r="C898" s="193"/>
      <c r="D898" s="193"/>
    </row>
    <row r="899">
      <c r="B899" s="193"/>
      <c r="C899" s="193"/>
      <c r="D899" s="193"/>
    </row>
    <row r="900">
      <c r="B900" s="193"/>
      <c r="C900" s="193"/>
      <c r="D900" s="193"/>
    </row>
    <row r="901">
      <c r="B901" s="193"/>
      <c r="C901" s="193"/>
      <c r="D901" s="193"/>
    </row>
    <row r="902">
      <c r="B902" s="193"/>
      <c r="C902" s="193"/>
      <c r="D902" s="193"/>
    </row>
    <row r="903">
      <c r="B903" s="193"/>
      <c r="C903" s="193"/>
      <c r="D903" s="193"/>
    </row>
    <row r="904">
      <c r="B904" s="193"/>
      <c r="C904" s="193"/>
      <c r="D904" s="193"/>
    </row>
    <row r="905">
      <c r="B905" s="193"/>
      <c r="C905" s="193"/>
      <c r="D905" s="193"/>
    </row>
    <row r="906">
      <c r="B906" s="193"/>
      <c r="C906" s="193"/>
      <c r="D906" s="193"/>
    </row>
    <row r="907">
      <c r="B907" s="193"/>
      <c r="C907" s="193"/>
      <c r="D907" s="193"/>
    </row>
    <row r="908">
      <c r="B908" s="193"/>
      <c r="C908" s="193"/>
      <c r="D908" s="193"/>
    </row>
    <row r="909">
      <c r="B909" s="193"/>
      <c r="C909" s="193"/>
      <c r="D909" s="193"/>
    </row>
    <row r="910">
      <c r="B910" s="193"/>
      <c r="C910" s="193"/>
      <c r="D910" s="193"/>
    </row>
    <row r="911">
      <c r="B911" s="193"/>
      <c r="C911" s="193"/>
      <c r="D911" s="193"/>
    </row>
    <row r="912">
      <c r="B912" s="193"/>
      <c r="C912" s="193"/>
      <c r="D912" s="193"/>
    </row>
    <row r="913">
      <c r="B913" s="193"/>
      <c r="C913" s="193"/>
      <c r="D913" s="193"/>
    </row>
    <row r="914">
      <c r="B914" s="193"/>
      <c r="C914" s="193"/>
      <c r="D914" s="193"/>
    </row>
    <row r="915">
      <c r="B915" s="193"/>
      <c r="C915" s="193"/>
      <c r="D915" s="193"/>
    </row>
    <row r="916">
      <c r="B916" s="193"/>
      <c r="C916" s="193"/>
      <c r="D916" s="193"/>
    </row>
    <row r="917">
      <c r="B917" s="193"/>
      <c r="C917" s="193"/>
      <c r="D917" s="193"/>
    </row>
    <row r="918">
      <c r="B918" s="193"/>
      <c r="C918" s="193"/>
      <c r="D918" s="193"/>
    </row>
    <row r="919">
      <c r="B919" s="193"/>
      <c r="C919" s="193"/>
      <c r="D919" s="193"/>
    </row>
    <row r="920">
      <c r="B920" s="193"/>
      <c r="C920" s="193"/>
      <c r="D920" s="193"/>
    </row>
    <row r="921">
      <c r="B921" s="193"/>
      <c r="C921" s="193"/>
      <c r="D921" s="193"/>
    </row>
    <row r="922">
      <c r="B922" s="193"/>
      <c r="C922" s="193"/>
      <c r="D922" s="193"/>
    </row>
    <row r="923">
      <c r="B923" s="193"/>
      <c r="C923" s="193"/>
      <c r="D923" s="193"/>
    </row>
    <row r="924">
      <c r="B924" s="193"/>
      <c r="C924" s="193"/>
      <c r="D924" s="193"/>
    </row>
    <row r="925">
      <c r="B925" s="193"/>
      <c r="C925" s="193"/>
      <c r="D925" s="193"/>
    </row>
    <row r="926">
      <c r="B926" s="193"/>
      <c r="C926" s="193"/>
      <c r="D926" s="193"/>
    </row>
    <row r="927">
      <c r="B927" s="193"/>
      <c r="C927" s="193"/>
      <c r="D927" s="193"/>
    </row>
    <row r="928">
      <c r="B928" s="193"/>
      <c r="C928" s="193"/>
      <c r="D928" s="193"/>
    </row>
    <row r="929">
      <c r="B929" s="193"/>
      <c r="C929" s="193"/>
      <c r="D929" s="193"/>
    </row>
    <row r="930">
      <c r="B930" s="193"/>
      <c r="C930" s="193"/>
      <c r="D930" s="193"/>
    </row>
    <row r="931">
      <c r="B931" s="193"/>
      <c r="C931" s="193"/>
      <c r="D931" s="193"/>
    </row>
    <row r="932">
      <c r="B932" s="193"/>
      <c r="C932" s="193"/>
      <c r="D932" s="193"/>
    </row>
    <row r="933">
      <c r="B933" s="193"/>
      <c r="C933" s="193"/>
      <c r="D933" s="193"/>
    </row>
    <row r="934">
      <c r="B934" s="193"/>
      <c r="C934" s="193"/>
      <c r="D934" s="193"/>
    </row>
    <row r="935">
      <c r="B935" s="193"/>
      <c r="C935" s="193"/>
      <c r="D935" s="193"/>
    </row>
    <row r="936">
      <c r="B936" s="193"/>
      <c r="C936" s="193"/>
      <c r="D936" s="193"/>
    </row>
    <row r="937">
      <c r="B937" s="193"/>
      <c r="C937" s="193"/>
      <c r="D937" s="193"/>
    </row>
    <row r="938">
      <c r="B938" s="193"/>
      <c r="C938" s="193"/>
      <c r="D938" s="193"/>
    </row>
    <row r="939">
      <c r="B939" s="193"/>
      <c r="C939" s="193"/>
      <c r="D939" s="193"/>
    </row>
    <row r="940">
      <c r="B940" s="193"/>
      <c r="C940" s="193"/>
      <c r="D940" s="193"/>
    </row>
    <row r="941">
      <c r="B941" s="193"/>
      <c r="C941" s="193"/>
      <c r="D941" s="193"/>
    </row>
    <row r="942">
      <c r="B942" s="193"/>
      <c r="C942" s="193"/>
      <c r="D942" s="193"/>
    </row>
    <row r="943">
      <c r="B943" s="193"/>
      <c r="C943" s="193"/>
      <c r="D943" s="193"/>
    </row>
    <row r="944">
      <c r="B944" s="193"/>
      <c r="C944" s="193"/>
      <c r="D944" s="193"/>
    </row>
    <row r="945">
      <c r="B945" s="193"/>
      <c r="C945" s="193"/>
      <c r="D945" s="193"/>
    </row>
    <row r="946">
      <c r="B946" s="193"/>
      <c r="C946" s="193"/>
      <c r="D946" s="193"/>
    </row>
    <row r="947">
      <c r="B947" s="193"/>
      <c r="C947" s="193"/>
      <c r="D947" s="193"/>
    </row>
    <row r="948">
      <c r="B948" s="193"/>
      <c r="C948" s="193"/>
      <c r="D948" s="193"/>
    </row>
    <row r="949">
      <c r="B949" s="193"/>
      <c r="C949" s="193"/>
      <c r="D949" s="193"/>
    </row>
    <row r="950">
      <c r="B950" s="193"/>
      <c r="C950" s="193"/>
      <c r="D950" s="193"/>
    </row>
    <row r="951">
      <c r="B951" s="193"/>
      <c r="C951" s="193"/>
      <c r="D951" s="193"/>
    </row>
    <row r="952">
      <c r="B952" s="193"/>
      <c r="C952" s="193"/>
      <c r="D952" s="193"/>
    </row>
    <row r="953">
      <c r="B953" s="193"/>
      <c r="C953" s="193"/>
      <c r="D953" s="193"/>
    </row>
    <row r="954">
      <c r="B954" s="193"/>
      <c r="C954" s="193"/>
      <c r="D954" s="193"/>
    </row>
    <row r="955">
      <c r="B955" s="193"/>
      <c r="C955" s="193"/>
      <c r="D955" s="193"/>
    </row>
    <row r="956">
      <c r="B956" s="193"/>
      <c r="C956" s="193"/>
      <c r="D956" s="193"/>
    </row>
    <row r="957">
      <c r="B957" s="193"/>
      <c r="C957" s="193"/>
      <c r="D957" s="193"/>
    </row>
    <row r="958">
      <c r="B958" s="193"/>
      <c r="C958" s="193"/>
      <c r="D958" s="193"/>
    </row>
    <row r="959">
      <c r="B959" s="193"/>
      <c r="C959" s="193"/>
      <c r="D959" s="193"/>
    </row>
    <row r="960">
      <c r="B960" s="193"/>
      <c r="C960" s="193"/>
      <c r="D960" s="193"/>
    </row>
    <row r="961">
      <c r="B961" s="193"/>
      <c r="C961" s="193"/>
      <c r="D961" s="193"/>
    </row>
    <row r="962">
      <c r="B962" s="193"/>
      <c r="C962" s="193"/>
      <c r="D962" s="193"/>
    </row>
    <row r="963">
      <c r="B963" s="193"/>
      <c r="C963" s="193"/>
      <c r="D963" s="193"/>
    </row>
    <row r="964">
      <c r="B964" s="193"/>
      <c r="C964" s="193"/>
      <c r="D964" s="193"/>
    </row>
    <row r="965">
      <c r="B965" s="193"/>
      <c r="C965" s="193"/>
      <c r="D965" s="193"/>
    </row>
    <row r="966">
      <c r="B966" s="193"/>
      <c r="C966" s="193"/>
      <c r="D966" s="193"/>
    </row>
    <row r="967">
      <c r="B967" s="193"/>
      <c r="C967" s="193"/>
      <c r="D967" s="193"/>
    </row>
    <row r="968">
      <c r="B968" s="193"/>
      <c r="C968" s="193"/>
      <c r="D968" s="193"/>
    </row>
    <row r="969">
      <c r="B969" s="193"/>
      <c r="C969" s="193"/>
      <c r="D969" s="193"/>
    </row>
    <row r="970">
      <c r="B970" s="193"/>
      <c r="C970" s="193"/>
      <c r="D970" s="193"/>
    </row>
    <row r="971">
      <c r="B971" s="193"/>
      <c r="C971" s="193"/>
      <c r="D971" s="193"/>
    </row>
    <row r="972">
      <c r="B972" s="193"/>
      <c r="C972" s="193"/>
      <c r="D972" s="193"/>
    </row>
    <row r="973">
      <c r="B973" s="193"/>
      <c r="C973" s="193"/>
      <c r="D973" s="193"/>
    </row>
    <row r="974">
      <c r="B974" s="193"/>
      <c r="C974" s="193"/>
      <c r="D974" s="193"/>
    </row>
    <row r="975">
      <c r="B975" s="193"/>
      <c r="C975" s="193"/>
      <c r="D975" s="193"/>
    </row>
    <row r="976">
      <c r="B976" s="193"/>
      <c r="C976" s="193"/>
      <c r="D976" s="193"/>
    </row>
    <row r="977">
      <c r="B977" s="193"/>
      <c r="C977" s="193"/>
      <c r="D977" s="193"/>
    </row>
    <row r="978">
      <c r="B978" s="193"/>
      <c r="C978" s="193"/>
      <c r="D978" s="193"/>
    </row>
    <row r="979">
      <c r="B979" s="193"/>
      <c r="C979" s="193"/>
      <c r="D979" s="193"/>
    </row>
    <row r="980">
      <c r="B980" s="193"/>
      <c r="C980" s="193"/>
      <c r="D980" s="193"/>
    </row>
    <row r="981">
      <c r="B981" s="193"/>
      <c r="C981" s="193"/>
      <c r="D981" s="193"/>
    </row>
    <row r="982">
      <c r="B982" s="193"/>
      <c r="C982" s="193"/>
      <c r="D982" s="193"/>
    </row>
    <row r="983">
      <c r="B983" s="193"/>
      <c r="C983" s="193"/>
      <c r="D983" s="193"/>
    </row>
    <row r="984">
      <c r="B984" s="193"/>
      <c r="C984" s="193"/>
      <c r="D984" s="193"/>
    </row>
    <row r="985">
      <c r="B985" s="193"/>
      <c r="C985" s="193"/>
      <c r="D985" s="193"/>
    </row>
    <row r="986">
      <c r="B986" s="193"/>
      <c r="C986" s="193"/>
      <c r="D986" s="193"/>
    </row>
    <row r="987">
      <c r="B987" s="193"/>
      <c r="C987" s="193"/>
      <c r="D987" s="193"/>
    </row>
    <row r="988">
      <c r="B988" s="193"/>
      <c r="C988" s="193"/>
      <c r="D988" s="193"/>
    </row>
    <row r="989">
      <c r="B989" s="193"/>
      <c r="C989" s="193"/>
      <c r="D989" s="193"/>
    </row>
  </sheetData>
  <hyperlinks>
    <hyperlink r:id="rId1" ref="A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  <col customWidth="1" min="9" max="9" width="17.13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143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21.0</v>
      </c>
      <c r="C3" s="219">
        <v>427.0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2.0</v>
      </c>
      <c r="D6" s="212"/>
      <c r="E6" s="212"/>
      <c r="F6" s="221" t="s">
        <v>254</v>
      </c>
    </row>
    <row r="7" ht="22.5" customHeight="1">
      <c r="A7" s="218" t="s">
        <v>255</v>
      </c>
      <c r="B7" s="216">
        <f>SUM('Sprint 26'!O:O)</f>
        <v>425</v>
      </c>
      <c r="C7" s="212">
        <f>ROUND(SUM('Sprint 26'!U:U)/3600,2)</f>
        <v>472.17</v>
      </c>
      <c r="D7" s="216">
        <f>SUMIF('Sprint 26'!J:J, "Done", 'Sprint 26'!O:O)</f>
        <v>121</v>
      </c>
      <c r="E7" s="212">
        <f>ROUND(SUMIF('Sprint 26'!J:J, "Done", 'Sprint 26'!U:U)/3600,2)</f>
        <v>136.17</v>
      </c>
      <c r="F7" s="217"/>
      <c r="I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26'!U:U, ('Sprint 26'!Q:Q = ""mid-sprint"")))/3600,0),2)"),0.0)</f>
        <v>0</v>
      </c>
      <c r="D9" s="212">
        <f>IFERROR(__xludf.DUMMYFUNCTION("IFERROR(SUM(FILTER('Sprint 26'!O:O, (('Sprint 26'!J:J = ""Done"")) * ('Sprint 26'!Q:Q = ""mid-sprint""))),0)"),0.0)</f>
        <v>0</v>
      </c>
      <c r="E9" s="212">
        <f>IFERROR(__xludf.DUMMYFUNCTION("ROUND(IFERROR(SUM(FILTER('Sprint 26'!U:U, (('Sprint 26'!J:J = ""Done"")) * ('Sprint 26'!P:P = ""mid-sprint"")))/3600,0),2)"),0.0)</f>
        <v>0</v>
      </c>
      <c r="F9" s="225" t="s">
        <v>257</v>
      </c>
    </row>
    <row r="10" ht="22.5" customHeight="1">
      <c r="A10" s="218" t="s">
        <v>258</v>
      </c>
      <c r="B10" s="212">
        <f>IFERROR(__xludf.DUMMYFUNCTION("ROUND(IFERROR(SUM(FILTER('Sprint 26'!U:U, ('Sprint 26'!Q:Q = ""change-request"")))/3600,0),2)"),0.0)</f>
        <v>0</v>
      </c>
      <c r="D10" s="212">
        <f>IFERROR(__xludf.DUMMYFUNCTION("IFERROR(SUM(FILTER('Sprint 26'!O:O, (('Sprint 26'!J:J = ""Done"")) * ('Sprint 26'!Q:Q = ""change-request""))),0)"),0.0)</f>
        <v>0</v>
      </c>
      <c r="E10" s="212">
        <f>IFERROR(__xludf.DUMMYFUNCTION("ROUND(IFERROR(SUM(FILTER('Sprint 26'!U:U, (('Sprint 26'!J:J = ""Done"")) * ('Sprint 26'!Q:Q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26'!O:O, ('Sprint 26'!E:E = ""Aek:Atiphat Nanthachitvanich""))),0)"),33.0)</f>
        <v>33</v>
      </c>
      <c r="C12" s="223">
        <f>IFERROR(__xludf.DUMMYFUNCTION("ROUND(IFERROR(SUM(FILTER('Sprint 26'!U:U, ('Sprint 26'!E:E = ""Aek:Atiphat Nanthachitvanich"")))/3600,0),2)"),47.5)</f>
        <v>47.5</v>
      </c>
      <c r="D12" s="216">
        <f>IFERROR(__xludf.DUMMYFUNCTION("IFERROR(SUM(FILTER('Sprint 26'!O:O, (('Sprint 26'!J:J = ""Done"")) * ('Sprint 26'!E:E = ""Aek:Atiphat Nanthachitvanich""))),0)"),13.0)</f>
        <v>13</v>
      </c>
      <c r="E12" s="223">
        <f>IFERROR(__xludf.DUMMYFUNCTION("ROUND(IFERROR(SUM(FILTER('Sprint 26'!U:U, (('Sprint 26'!J:J = ""Done"")) * ('Sprint 26'!E:E = ""Aek:Atiphat Nanthachitvanich"")))/3600,0),2)"),15.5)</f>
        <v>15.5</v>
      </c>
      <c r="F12" s="224"/>
    </row>
    <row r="13" ht="22.5" customHeight="1">
      <c r="A13" s="218" t="s">
        <v>32</v>
      </c>
      <c r="B13" s="216">
        <f>IFERROR(__xludf.DUMMYFUNCTION("IFERROR(SUM(FILTER('Sprint 26'!O:O, ('Sprint 26'!E:E = ""A:Phongthorn""))),0)"),83.0)</f>
        <v>83</v>
      </c>
      <c r="C13" s="223">
        <f>IFERROR(__xludf.DUMMYFUNCTION("ROUND(IFERROR(SUM(FILTER('Sprint 26'!U:U, ('Sprint 26'!E:E = ""A:Phongthorn"")))/3600,0),2)"),220.0)</f>
        <v>220</v>
      </c>
      <c r="D13" s="216">
        <f>IFERROR(__xludf.DUMMYFUNCTION("IFERROR(SUM(FILTER('Sprint 26'!O:O, (('Sprint 26'!J:J = ""Done"")) * ('Sprint 26'!E:E = ""A:Phongthorn""))),0)"),4.0)</f>
        <v>4</v>
      </c>
      <c r="E13" s="223">
        <f>IFERROR(__xludf.DUMMYFUNCTION("ROUND(IFERROR(SUM(FILTER('Sprint 26'!U:U, (('Sprint 26'!J:J = ""Done"")) * ('Sprint 26'!E:E = ""A:Phongthorn"")))/3600,0),2)"),8.0)</f>
        <v>8</v>
      </c>
      <c r="F13" s="224"/>
    </row>
    <row r="14" ht="22.5" customHeight="1">
      <c r="A14" s="218" t="s">
        <v>72</v>
      </c>
      <c r="B14" s="216">
        <f>IFERROR(__xludf.DUMMYFUNCTION("IFERROR(SUM(FILTER('Sprint 26'!O:O, ('Sprint 26'!E:E = ""Aom: Pornsawan Polnyiem""))),0)"),35.0)</f>
        <v>35</v>
      </c>
      <c r="C14" s="223">
        <f>IFERROR(__xludf.DUMMYFUNCTION("ROUND(IFERROR(SUM(FILTER('Sprint 26'!U:U, ('Sprint 26'!E:E = ""Aom: Pornsawan Polnyiem"")))/3600,0),2)"),0.67)</f>
        <v>0.67</v>
      </c>
      <c r="D14" s="216">
        <f>IFERROR(__xludf.DUMMYFUNCTION("IFERROR(SUM(FILTER('Sprint 26'!O:O, (('Sprint 26'!J:J = ""Done"")) * ('Sprint 26'!E:E = ""Aom: Pornsawan Polnyiem""))),0)"),17.0)</f>
        <v>17</v>
      </c>
      <c r="E14" s="223">
        <f>IFERROR(__xludf.DUMMYFUNCTION("ROUND(IFERROR(SUM(FILTER('Sprint 26'!U:U, (('Sprint 26'!J:J = ""Done"")) * ('Sprint 26'!E:E = ""Aom: Pornsawan Polnyiem"")))/3600,0),2)"),0.67)</f>
        <v>0.67</v>
      </c>
      <c r="F14" s="224"/>
    </row>
    <row r="15" ht="22.5" customHeight="1">
      <c r="A15" s="218" t="s">
        <v>24</v>
      </c>
      <c r="B15" s="216">
        <f>IFERROR(__xludf.DUMMYFUNCTION("IFERROR(SUM(FILTER('Sprint 26'!O:O, ('Sprint 26'!E:E = ""Zan : Isarapong Bulan""))),0)"),17.0)</f>
        <v>17</v>
      </c>
      <c r="C15" s="223">
        <f>IFERROR(__xludf.DUMMYFUNCTION("ROUND(IFERROR(SUM(FILTER('Sprint 26'!U:U, ('Sprint 26'!E:E = ""Zan : Isarapong Bulan"")))/3600,0),2)"),0.0)</f>
        <v>0</v>
      </c>
      <c r="D15" s="216">
        <f>IFERROR(__xludf.DUMMYFUNCTION("IFERROR(SUM(FILTER('Sprint 26'!O:O, (('Sprint 26'!J:J = ""Done"")) * ('Sprint 26'!E:E = ""Zan : Isarapong Bulan""))),0)"),0.0)</f>
        <v>0</v>
      </c>
      <c r="E15" s="223">
        <f>IFERROR(__xludf.DUMMYFUNCTION("ROUND(IFERROR(SUM(FILTER('Sprint 26'!U:U, (('Sprint 26'!J:J = ""Done"")) * ('Sprint 26'!E:E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26'!O:O, ('Sprint 26'!E:E = ""Mai:Sateta Abvanawong""))),0)"),32.0)</f>
        <v>32</v>
      </c>
      <c r="C16" s="223">
        <f>IFERROR(__xludf.DUMMYFUNCTION("ROUND(IFERROR(SUM(FILTER('Sprint 26'!U:U, ('Sprint 26'!E:E = ""Mai:Sateta Abvanawong"")))/3600,0),2)"),52.0)</f>
        <v>52</v>
      </c>
      <c r="D16" s="216">
        <f>IFERROR(__xludf.DUMMYFUNCTION("IFERROR(SUM(FILTER('Sprint 26'!O:O, (('Sprint 26'!J:J = ""Done"")) * ('Sprint 26'!E:E = ""Mai:Sateta Abvanawong""))),0)"),11.0)</f>
        <v>11</v>
      </c>
      <c r="E16" s="223">
        <f>IFERROR(__xludf.DUMMYFUNCTION("ROUND(IFERROR(SUM(FILTER('Sprint 26'!U:U, (('Sprint 26'!J:J = ""Done"")) * ('Sprint 26'!E:E = ""Mai:Sateta Abvanawong""))),0)/3600,2)"),28.0)</f>
        <v>28</v>
      </c>
      <c r="F16" s="224"/>
    </row>
    <row r="17" ht="22.5" customHeight="1">
      <c r="A17" s="218" t="s">
        <v>74</v>
      </c>
      <c r="B17" s="216">
        <f>IFERROR(__xludf.DUMMYFUNCTION("IFERROR(SUM(FILTER('Sprint 26'!O:O, ('Sprint 26'!E:E = ""Mac: Jarupong Pawichpongkul""))),0)"),56.0)</f>
        <v>56</v>
      </c>
      <c r="C17" s="223">
        <f>IFERROR(__xludf.DUMMYFUNCTION("ROUND(IFERROR(SUM(FILTER('Sprint 26'!U:U, ('Sprint 26'!E:E = ""Mac: Jarupong Pawichpongkul"")))/3600,0),2)"),56.0)</f>
        <v>56</v>
      </c>
      <c r="D17" s="216">
        <f>IFERROR(__xludf.DUMMYFUNCTION("IFERROR(SUM(FILTER('Sprint 26'!O:O, (('Sprint 26'!J:J = ""Done"")) * ('Sprint 26'!E:E = ""Mac: Jarupong Pawichpongkul""))),0)"),5.0)</f>
        <v>5</v>
      </c>
      <c r="E17" s="223">
        <f>IFERROR(__xludf.DUMMYFUNCTION("ROUND(IFERROR(SUM(FILTER('Sprint 26'!U:U, (('Sprint 26'!J:J = ""Done"")) * ('Sprint 26'!E:E = ""Mac: 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26'!O:O, ('Sprint 26'!E:E = ""Moss : Kittapath Sangvikukit""))),0)"),51.0)</f>
        <v>51</v>
      </c>
      <c r="C18" s="223">
        <f>IFERROR(__xludf.DUMMYFUNCTION("ROUND(IFERROR(SUM(FILTER('Sprint 26'!U:U, ('Sprint 26'!E:E = ""Moss : Kittapath Sangvikukit"")))/3600,0),2)"),86.0)</f>
        <v>86</v>
      </c>
      <c r="D18" s="216">
        <f>IFERROR(__xludf.DUMMYFUNCTION("IFERROR(SUM(FILTER('Sprint 26'!O:O, (('Sprint 26'!J:J = ""Done"")) * ('Sprint 26'!E:E = ""Moss : Kittapath Sangvikukit""))),0)"),39.0)</f>
        <v>39</v>
      </c>
      <c r="E18" s="223">
        <f>IFERROR(__xludf.DUMMYFUNCTION("ROUND(IFERROR(SUM(FILTER('Sprint 26'!U:U, (('Sprint 26'!J:J = ""Done"")) * ('Sprint 26'!E:E = ""Moss : Kittapath Sangvikukit"")))/3600,0),2)"),74.0)</f>
        <v>74</v>
      </c>
      <c r="F18" s="224"/>
    </row>
    <row r="19" ht="22.5" customHeight="1">
      <c r="A19" s="218" t="s">
        <v>28</v>
      </c>
      <c r="B19" s="216">
        <f>IFERROR(__xludf.DUMMYFUNCTION("IFERROR(SUM(FILTER('Sprint 26'!O:O, ('Sprint 26'!E:E = ""Jack: Warin Kesorn""))),0)"),12.0)</f>
        <v>12</v>
      </c>
      <c r="C19" s="223">
        <f>IFERROR(__xludf.DUMMYFUNCTION("ROUND(IFERROR(SUM(FILTER('Sprint 26'!U:U, ('Sprint 26'!E:E = ""Jack: Warin Kesorn"")))/3600,0),2)"),0.0)</f>
        <v>0</v>
      </c>
      <c r="D19" s="216">
        <f>IFERROR(__xludf.DUMMYFUNCTION("IFERROR(SUM(FILTER('Sprint 26'!O:O, (('Sprint 26'!J:J = ""Done"")) * ('Sprint 26'!E:E = ""Jack: Warin Kesorn""))),0)"),9.0)</f>
        <v>9</v>
      </c>
      <c r="E19" s="223">
        <f>IFERROR(__xludf.DUMMYFUNCTION("ROUND(IFERROR(SUM(FILTER('Sprint 26'!U:U, (('Sprint 26'!J:J = ""Done"")) * ('Sprint 26'!E:E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26'!O:O, ('Sprint 26'!E:E = ""Nim : muthita munmueang""))),0)"),41.0)</f>
        <v>41</v>
      </c>
      <c r="C20" s="223">
        <f>IFERROR(__xludf.DUMMYFUNCTION("ROUND(IFERROR(SUM(FILTER('Sprint 26'!U:U, ('Sprint 26'!E:E = ""Nim : muthita munmueang"")))/3600,0),2)"),8.0)</f>
        <v>8</v>
      </c>
      <c r="D20" s="216">
        <f>IFERROR(__xludf.DUMMYFUNCTION("IFERROR(SUM(FILTER('Sprint 26'!O:O, (('Sprint 26'!J:J = ""Done"")) * ('Sprint 26'!E:E = ""Nim : muthita munmueang""))),0)"),12.0)</f>
        <v>12</v>
      </c>
      <c r="E20" s="223">
        <f>IFERROR(__xludf.DUMMYFUNCTION("ROUND(IFERROR(SUM(FILTER('Sprint 26'!U:U, (('Sprint 26'!J:J = ""Done"")) * ('Sprint 26'!E:E = ""Nim : muthita munmueang"")))/3600,0),2)"),8.0)</f>
        <v>8</v>
      </c>
      <c r="F20" s="224"/>
    </row>
    <row r="21" ht="22.5" customHeight="1">
      <c r="A21" s="221" t="s">
        <v>77</v>
      </c>
      <c r="B21" s="224">
        <f>IFERROR(__xludf.DUMMYFUNCTION("IFERROR(SUM(FILTER('Sprint 26'!O:O, ('Sprint 26'!E:E = ""Arm:Worawat Chotipongchoawalit""))),0)"),64.0)</f>
        <v>64</v>
      </c>
      <c r="C21" s="223">
        <f>IFERROR(__xludf.DUMMYFUNCTION("ROUND(IFERROR(SUM(FILTER('Sprint 26'!U:U, ('Sprint 26'!E:E = ""Arm:Worawat Chotipongchoawalit"")))/3600,0),2)"),0.0)</f>
        <v>0</v>
      </c>
      <c r="D21" s="216">
        <f>IFERROR(__xludf.DUMMYFUNCTION("IFERROR(SUM(FILTER('Sprint 26'!O:O, (('Sprint 26'!J:J = ""Done"")) * ('Sprint 26'!E:E = ""Arm:Worawat Chotipongchoawalit""))),0)"),10.0)</f>
        <v>10</v>
      </c>
      <c r="E21" s="223">
        <f>IFERROR(__xludf.DUMMYFUNCTION("ROUND(IFERROR(SUM(FILTER('Sprint 26'!U:U, (('Sprint 26'!J:J = ""Done"")) * ('Sprint 26'!E:E = ""Arm:Worawat Chotipongchoawalit"")))/3600,0),2)"),0.0)</f>
        <v>0</v>
      </c>
      <c r="F21" s="224"/>
    </row>
    <row r="22">
      <c r="C22" s="125"/>
    </row>
    <row r="23">
      <c r="C23" s="125"/>
    </row>
    <row r="24" ht="20.25" customHeight="1">
      <c r="A24" s="226"/>
      <c r="B24" s="227"/>
      <c r="C24" s="227"/>
      <c r="D24" s="227"/>
      <c r="E24" s="227"/>
      <c r="F24" s="227"/>
      <c r="G24" s="227"/>
      <c r="H24" s="227"/>
      <c r="I24" s="227"/>
      <c r="J24" s="227"/>
      <c r="K24" s="227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>
      <c r="A25" s="102"/>
    </row>
    <row r="26">
      <c r="A26" s="102"/>
    </row>
    <row r="27" ht="32.25" customHeight="1">
      <c r="A27" s="102"/>
    </row>
    <row r="28" ht="22.5" customHeight="1">
      <c r="A28" s="102"/>
    </row>
    <row r="29">
      <c r="A29" s="102"/>
      <c r="B29" s="102"/>
    </row>
    <row r="30" ht="21.0" customHeight="1">
      <c r="A30" s="102"/>
      <c r="B30" s="102"/>
      <c r="F30" s="102"/>
    </row>
    <row r="31">
      <c r="C31" s="125"/>
    </row>
    <row r="32">
      <c r="C32" s="125"/>
    </row>
    <row r="33">
      <c r="C33" s="125"/>
    </row>
    <row r="34">
      <c r="C34" s="125"/>
    </row>
    <row r="35">
      <c r="C35" s="125"/>
    </row>
    <row r="36">
      <c r="C36" s="125"/>
    </row>
    <row r="37">
      <c r="C37" s="125"/>
    </row>
    <row r="38">
      <c r="C38" s="125"/>
    </row>
    <row r="39">
      <c r="C39" s="125"/>
    </row>
    <row r="40">
      <c r="C40" s="125"/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</sheetData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39" width="17.5"/>
    <col customWidth="1" min="40" max="40" width="21.38"/>
    <col customWidth="1" min="41" max="43" width="17.5"/>
    <col customWidth="1" min="44" max="44" width="21.25"/>
    <col customWidth="1" min="45" max="45" width="17.5"/>
    <col customWidth="1" min="46" max="46" width="21.25"/>
    <col customWidth="1" min="47" max="47" width="20.13"/>
    <col customWidth="1" min="48" max="48" width="21.25"/>
    <col customWidth="1" min="49" max="49" width="20.13"/>
    <col customWidth="1" min="50" max="50" width="21.25"/>
    <col customWidth="1" min="51" max="51" width="20.13"/>
    <col customWidth="1" min="53" max="53" width="17.5"/>
    <col customWidth="1" min="54" max="54" width="21.25"/>
    <col customWidth="1" min="55" max="55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274</v>
      </c>
      <c r="T1" s="102" t="s">
        <v>274</v>
      </c>
      <c r="U1" s="102" t="s">
        <v>275</v>
      </c>
      <c r="V1" s="102" t="s">
        <v>70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102" t="s">
        <v>70</v>
      </c>
      <c r="AF1" s="102" t="s">
        <v>70</v>
      </c>
      <c r="AG1" s="102" t="s">
        <v>70</v>
      </c>
      <c r="AH1" s="102" t="s">
        <v>70</v>
      </c>
      <c r="AQ1" s="102"/>
      <c r="AR1" s="102"/>
      <c r="BL1" s="88"/>
      <c r="BM1" s="88"/>
    </row>
    <row r="2">
      <c r="A2" s="102" t="s">
        <v>276</v>
      </c>
      <c r="B2" s="102" t="s">
        <v>277</v>
      </c>
      <c r="C2" s="229" t="s">
        <v>278</v>
      </c>
      <c r="D2" s="102" t="s">
        <v>279</v>
      </c>
      <c r="E2" s="102" t="s">
        <v>280</v>
      </c>
      <c r="F2" s="102" t="s">
        <v>281</v>
      </c>
      <c r="G2" s="102" t="s">
        <v>282</v>
      </c>
      <c r="H2" s="102" t="s">
        <v>283</v>
      </c>
      <c r="I2" s="102" t="s">
        <v>284</v>
      </c>
      <c r="J2" s="102" t="s">
        <v>63</v>
      </c>
      <c r="L2" s="229" t="s">
        <v>285</v>
      </c>
      <c r="M2" s="229" t="s">
        <v>285</v>
      </c>
      <c r="O2" s="230"/>
      <c r="U2" s="230"/>
      <c r="V2" s="102" t="s">
        <v>286</v>
      </c>
      <c r="W2" s="102" t="s">
        <v>287</v>
      </c>
      <c r="X2" s="102" t="s">
        <v>288</v>
      </c>
    </row>
    <row r="3">
      <c r="A3" s="102" t="s">
        <v>276</v>
      </c>
      <c r="B3" s="102" t="s">
        <v>289</v>
      </c>
      <c r="C3" s="229" t="s">
        <v>290</v>
      </c>
      <c r="D3" s="102" t="s">
        <v>291</v>
      </c>
      <c r="E3" s="102" t="s">
        <v>280</v>
      </c>
      <c r="F3" s="102" t="s">
        <v>281</v>
      </c>
      <c r="G3" s="102" t="s">
        <v>282</v>
      </c>
      <c r="H3" s="102" t="s">
        <v>283</v>
      </c>
      <c r="I3" s="102" t="s">
        <v>284</v>
      </c>
      <c r="J3" s="102" t="s">
        <v>63</v>
      </c>
      <c r="L3" s="229" t="s">
        <v>285</v>
      </c>
      <c r="M3" s="229" t="s">
        <v>285</v>
      </c>
      <c r="O3" s="230"/>
      <c r="U3" s="230"/>
      <c r="V3" s="102" t="s">
        <v>286</v>
      </c>
      <c r="W3" s="102" t="s">
        <v>287</v>
      </c>
      <c r="X3" s="102" t="s">
        <v>288</v>
      </c>
    </row>
    <row r="4">
      <c r="A4" s="102" t="s">
        <v>276</v>
      </c>
      <c r="B4" s="102" t="s">
        <v>292</v>
      </c>
      <c r="C4" s="229" t="s">
        <v>293</v>
      </c>
      <c r="D4" s="102" t="s">
        <v>279</v>
      </c>
      <c r="E4" s="102" t="s">
        <v>280</v>
      </c>
      <c r="F4" s="102" t="s">
        <v>281</v>
      </c>
      <c r="G4" s="102" t="s">
        <v>282</v>
      </c>
      <c r="H4" s="102" t="s">
        <v>283</v>
      </c>
      <c r="I4" s="102" t="s">
        <v>284</v>
      </c>
      <c r="J4" s="102" t="s">
        <v>63</v>
      </c>
      <c r="L4" s="229" t="s">
        <v>285</v>
      </c>
      <c r="M4" s="229" t="s">
        <v>285</v>
      </c>
      <c r="O4" s="230"/>
      <c r="U4" s="230"/>
      <c r="V4" s="102" t="s">
        <v>286</v>
      </c>
      <c r="W4" s="102" t="s">
        <v>287</v>
      </c>
      <c r="X4" s="102" t="s">
        <v>288</v>
      </c>
    </row>
    <row r="5">
      <c r="A5" s="102" t="s">
        <v>276</v>
      </c>
      <c r="B5" s="102" t="s">
        <v>294</v>
      </c>
      <c r="C5" s="229" t="s">
        <v>295</v>
      </c>
      <c r="D5" s="102" t="s">
        <v>291</v>
      </c>
      <c r="E5" s="102" t="s">
        <v>280</v>
      </c>
      <c r="F5" s="102" t="s">
        <v>281</v>
      </c>
      <c r="G5" s="102" t="s">
        <v>282</v>
      </c>
      <c r="H5" s="102" t="s">
        <v>283</v>
      </c>
      <c r="I5" s="102" t="s">
        <v>284</v>
      </c>
      <c r="J5" s="102" t="s">
        <v>63</v>
      </c>
      <c r="L5" s="229" t="s">
        <v>285</v>
      </c>
      <c r="M5" s="229" t="s">
        <v>285</v>
      </c>
      <c r="O5" s="230"/>
      <c r="U5" s="230"/>
      <c r="V5" s="102" t="s">
        <v>286</v>
      </c>
      <c r="W5" s="102" t="s">
        <v>287</v>
      </c>
      <c r="X5" s="102" t="s">
        <v>288</v>
      </c>
    </row>
    <row r="6">
      <c r="A6" s="102" t="s">
        <v>276</v>
      </c>
      <c r="B6" s="102" t="s">
        <v>296</v>
      </c>
      <c r="C6" s="229" t="s">
        <v>297</v>
      </c>
      <c r="D6" s="102" t="s">
        <v>279</v>
      </c>
      <c r="E6" s="102" t="s">
        <v>280</v>
      </c>
      <c r="F6" s="102" t="s">
        <v>281</v>
      </c>
      <c r="G6" s="102" t="s">
        <v>282</v>
      </c>
      <c r="H6" s="102" t="s">
        <v>283</v>
      </c>
      <c r="I6" s="102" t="s">
        <v>284</v>
      </c>
      <c r="J6" s="102" t="s">
        <v>63</v>
      </c>
      <c r="L6" s="229" t="s">
        <v>285</v>
      </c>
      <c r="M6" s="229" t="s">
        <v>285</v>
      </c>
      <c r="O6" s="230"/>
      <c r="U6" s="230"/>
      <c r="V6" s="102" t="s">
        <v>298</v>
      </c>
      <c r="W6" s="102" t="s">
        <v>299</v>
      </c>
      <c r="X6" s="102" t="s">
        <v>286</v>
      </c>
      <c r="Y6" s="102" t="s">
        <v>287</v>
      </c>
      <c r="Z6" s="102" t="s">
        <v>288</v>
      </c>
    </row>
    <row r="7">
      <c r="A7" s="102" t="s">
        <v>276</v>
      </c>
      <c r="B7" s="102" t="s">
        <v>300</v>
      </c>
      <c r="C7" s="229" t="s">
        <v>301</v>
      </c>
      <c r="D7" s="102" t="s">
        <v>291</v>
      </c>
      <c r="E7" s="102" t="s">
        <v>280</v>
      </c>
      <c r="F7" s="102" t="s">
        <v>281</v>
      </c>
      <c r="G7" s="102" t="s">
        <v>282</v>
      </c>
      <c r="H7" s="102" t="s">
        <v>283</v>
      </c>
      <c r="I7" s="102" t="s">
        <v>284</v>
      </c>
      <c r="J7" s="102" t="s">
        <v>63</v>
      </c>
      <c r="L7" s="229" t="s">
        <v>285</v>
      </c>
      <c r="M7" s="229" t="s">
        <v>285</v>
      </c>
      <c r="O7" s="230"/>
      <c r="U7" s="230"/>
      <c r="V7" s="102" t="s">
        <v>298</v>
      </c>
      <c r="W7" s="102" t="s">
        <v>299</v>
      </c>
      <c r="X7" s="102" t="s">
        <v>286</v>
      </c>
      <c r="Y7" s="102" t="s">
        <v>287</v>
      </c>
      <c r="Z7" s="102" t="s">
        <v>288</v>
      </c>
    </row>
    <row r="8">
      <c r="A8" s="102" t="s">
        <v>276</v>
      </c>
      <c r="B8" s="102" t="s">
        <v>302</v>
      </c>
      <c r="C8" s="229" t="s">
        <v>303</v>
      </c>
      <c r="D8" s="102" t="s">
        <v>279</v>
      </c>
      <c r="E8" s="102" t="s">
        <v>280</v>
      </c>
      <c r="F8" s="102" t="s">
        <v>281</v>
      </c>
      <c r="G8" s="102" t="s">
        <v>304</v>
      </c>
      <c r="H8" s="102" t="s">
        <v>305</v>
      </c>
      <c r="I8" s="102" t="s">
        <v>284</v>
      </c>
      <c r="J8" s="102" t="s">
        <v>26</v>
      </c>
      <c r="L8" s="229" t="s">
        <v>306</v>
      </c>
      <c r="M8" s="229" t="s">
        <v>307</v>
      </c>
      <c r="O8" s="230"/>
      <c r="U8" s="230"/>
      <c r="V8" s="102" t="s">
        <v>288</v>
      </c>
    </row>
    <row r="9">
      <c r="A9" s="102" t="s">
        <v>276</v>
      </c>
      <c r="B9" s="102" t="s">
        <v>308</v>
      </c>
      <c r="C9" s="229" t="s">
        <v>309</v>
      </c>
      <c r="D9" s="102" t="s">
        <v>291</v>
      </c>
      <c r="E9" s="102" t="s">
        <v>280</v>
      </c>
      <c r="F9" s="102" t="s">
        <v>281</v>
      </c>
      <c r="G9" s="102" t="s">
        <v>304</v>
      </c>
      <c r="H9" s="102" t="s">
        <v>305</v>
      </c>
      <c r="I9" s="102" t="s">
        <v>284</v>
      </c>
      <c r="J9" s="102" t="s">
        <v>26</v>
      </c>
      <c r="L9" s="229" t="s">
        <v>306</v>
      </c>
      <c r="M9" s="229" t="s">
        <v>307</v>
      </c>
      <c r="O9" s="230"/>
      <c r="U9" s="230"/>
      <c r="V9" s="102" t="s">
        <v>288</v>
      </c>
    </row>
    <row r="10">
      <c r="A10" s="102" t="s">
        <v>310</v>
      </c>
      <c r="B10" s="102" t="s">
        <v>311</v>
      </c>
      <c r="C10" s="229" t="s">
        <v>312</v>
      </c>
      <c r="D10" s="102" t="s">
        <v>313</v>
      </c>
      <c r="E10" s="102" t="s">
        <v>314</v>
      </c>
      <c r="F10" s="102" t="s">
        <v>315</v>
      </c>
      <c r="G10" s="102" t="s">
        <v>316</v>
      </c>
      <c r="H10" s="102" t="s">
        <v>317</v>
      </c>
      <c r="I10" s="102" t="s">
        <v>318</v>
      </c>
      <c r="J10" s="102" t="s">
        <v>26</v>
      </c>
      <c r="L10" s="229" t="s">
        <v>319</v>
      </c>
      <c r="M10" s="229" t="s">
        <v>320</v>
      </c>
      <c r="N10" s="229" t="s">
        <v>321</v>
      </c>
      <c r="O10" s="102">
        <v>1.0</v>
      </c>
      <c r="P10" s="102" t="s">
        <v>322</v>
      </c>
      <c r="Q10" s="102" t="s">
        <v>323</v>
      </c>
      <c r="U10" s="102">
        <v>1800.0</v>
      </c>
      <c r="V10" s="102" t="s">
        <v>324</v>
      </c>
    </row>
    <row r="11">
      <c r="A11" s="102" t="s">
        <v>310</v>
      </c>
      <c r="B11" s="102" t="s">
        <v>325</v>
      </c>
      <c r="C11" s="229" t="s">
        <v>326</v>
      </c>
      <c r="D11" s="102" t="s">
        <v>327</v>
      </c>
      <c r="E11" s="102" t="s">
        <v>328</v>
      </c>
      <c r="F11" s="102" t="s">
        <v>329</v>
      </c>
      <c r="G11" s="102" t="s">
        <v>304</v>
      </c>
      <c r="H11" s="102" t="s">
        <v>305</v>
      </c>
      <c r="I11" s="102" t="s">
        <v>284</v>
      </c>
      <c r="J11" s="102" t="s">
        <v>26</v>
      </c>
      <c r="L11" s="229" t="s">
        <v>330</v>
      </c>
      <c r="M11" s="229" t="s">
        <v>307</v>
      </c>
      <c r="O11" s="230"/>
      <c r="P11" s="102" t="s">
        <v>331</v>
      </c>
      <c r="U11" s="230"/>
      <c r="V11" s="102" t="s">
        <v>288</v>
      </c>
    </row>
    <row r="12">
      <c r="A12" s="102" t="s">
        <v>332</v>
      </c>
      <c r="B12" s="102" t="s">
        <v>333</v>
      </c>
      <c r="C12" s="229" t="s">
        <v>334</v>
      </c>
      <c r="D12" s="102" t="s">
        <v>335</v>
      </c>
      <c r="E12" s="102" t="s">
        <v>328</v>
      </c>
      <c r="F12" s="102" t="s">
        <v>329</v>
      </c>
      <c r="G12" s="102" t="s">
        <v>280</v>
      </c>
      <c r="H12" s="102" t="s">
        <v>281</v>
      </c>
      <c r="I12" s="102" t="s">
        <v>284</v>
      </c>
      <c r="J12" s="102" t="s">
        <v>336</v>
      </c>
      <c r="L12" s="229" t="s">
        <v>337</v>
      </c>
      <c r="M12" s="229" t="s">
        <v>338</v>
      </c>
      <c r="O12" s="230"/>
      <c r="U12" s="230"/>
      <c r="V12" s="102" t="s">
        <v>288</v>
      </c>
    </row>
    <row r="13">
      <c r="A13" s="102" t="s">
        <v>276</v>
      </c>
      <c r="B13" s="102" t="s">
        <v>339</v>
      </c>
      <c r="C13" s="229" t="s">
        <v>340</v>
      </c>
      <c r="D13" s="102" t="s">
        <v>279</v>
      </c>
      <c r="E13" s="102" t="s">
        <v>280</v>
      </c>
      <c r="F13" s="102" t="s">
        <v>281</v>
      </c>
      <c r="G13" s="102" t="s">
        <v>282</v>
      </c>
      <c r="H13" s="102" t="s">
        <v>283</v>
      </c>
      <c r="I13" s="102" t="s">
        <v>284</v>
      </c>
      <c r="J13" s="102" t="s">
        <v>26</v>
      </c>
      <c r="L13" s="229" t="s">
        <v>341</v>
      </c>
      <c r="M13" s="229" t="s">
        <v>338</v>
      </c>
      <c r="O13" s="230"/>
      <c r="U13" s="230"/>
      <c r="V13" s="102" t="s">
        <v>288</v>
      </c>
    </row>
    <row r="14">
      <c r="A14" s="102" t="s">
        <v>276</v>
      </c>
      <c r="B14" s="102" t="s">
        <v>342</v>
      </c>
      <c r="C14" s="229" t="s">
        <v>343</v>
      </c>
      <c r="D14" s="102" t="s">
        <v>291</v>
      </c>
      <c r="E14" s="102" t="s">
        <v>280</v>
      </c>
      <c r="F14" s="102" t="s">
        <v>281</v>
      </c>
      <c r="G14" s="102" t="s">
        <v>282</v>
      </c>
      <c r="H14" s="102" t="s">
        <v>283</v>
      </c>
      <c r="I14" s="102" t="s">
        <v>284</v>
      </c>
      <c r="J14" s="102" t="s">
        <v>26</v>
      </c>
      <c r="L14" s="229" t="s">
        <v>341</v>
      </c>
      <c r="M14" s="229" t="s">
        <v>344</v>
      </c>
      <c r="O14" s="230"/>
      <c r="U14" s="230"/>
      <c r="V14" s="102" t="s">
        <v>288</v>
      </c>
    </row>
    <row r="15">
      <c r="A15" s="102" t="s">
        <v>276</v>
      </c>
      <c r="B15" s="102" t="s">
        <v>345</v>
      </c>
      <c r="C15" s="229" t="s">
        <v>346</v>
      </c>
      <c r="D15" s="102" t="s">
        <v>347</v>
      </c>
      <c r="E15" s="102" t="s">
        <v>280</v>
      </c>
      <c r="F15" s="102" t="s">
        <v>281</v>
      </c>
      <c r="G15" s="102" t="s">
        <v>280</v>
      </c>
      <c r="H15" s="102" t="s">
        <v>281</v>
      </c>
      <c r="I15" s="102" t="s">
        <v>284</v>
      </c>
      <c r="J15" s="102" t="s">
        <v>26</v>
      </c>
      <c r="L15" s="229" t="s">
        <v>348</v>
      </c>
      <c r="M15" s="229" t="s">
        <v>349</v>
      </c>
      <c r="O15" s="230"/>
      <c r="U15" s="230"/>
      <c r="V15" s="102" t="s">
        <v>298</v>
      </c>
      <c r="W15" s="102" t="s">
        <v>299</v>
      </c>
      <c r="X15" s="102" t="s">
        <v>286</v>
      </c>
      <c r="Y15" s="102" t="s">
        <v>287</v>
      </c>
      <c r="Z15" s="102" t="s">
        <v>288</v>
      </c>
    </row>
    <row r="16">
      <c r="A16" s="102" t="s">
        <v>310</v>
      </c>
      <c r="B16" s="102" t="s">
        <v>350</v>
      </c>
      <c r="C16" s="229" t="s">
        <v>351</v>
      </c>
      <c r="D16" s="102" t="s">
        <v>352</v>
      </c>
      <c r="E16" s="102" t="s">
        <v>353</v>
      </c>
      <c r="F16" s="102" t="s">
        <v>354</v>
      </c>
      <c r="G16" s="102" t="s">
        <v>353</v>
      </c>
      <c r="H16" s="102" t="s">
        <v>354</v>
      </c>
      <c r="I16" s="102" t="s">
        <v>284</v>
      </c>
      <c r="J16" s="102" t="s">
        <v>355</v>
      </c>
      <c r="L16" s="229" t="s">
        <v>356</v>
      </c>
      <c r="M16" s="229" t="s">
        <v>357</v>
      </c>
      <c r="O16" s="102">
        <v>1.0</v>
      </c>
      <c r="U16" s="230"/>
      <c r="V16" s="102" t="s">
        <v>358</v>
      </c>
    </row>
    <row r="17">
      <c r="A17" s="102" t="s">
        <v>310</v>
      </c>
      <c r="B17" s="102" t="s">
        <v>359</v>
      </c>
      <c r="C17" s="229" t="s">
        <v>360</v>
      </c>
      <c r="D17" s="102" t="s">
        <v>361</v>
      </c>
      <c r="E17" s="102" t="s">
        <v>282</v>
      </c>
      <c r="F17" s="102" t="s">
        <v>283</v>
      </c>
      <c r="G17" s="102" t="s">
        <v>362</v>
      </c>
      <c r="H17" s="102" t="s">
        <v>363</v>
      </c>
      <c r="I17" s="102" t="s">
        <v>284</v>
      </c>
      <c r="J17" s="102" t="s">
        <v>26</v>
      </c>
      <c r="L17" s="229" t="s">
        <v>364</v>
      </c>
      <c r="M17" s="229" t="s">
        <v>365</v>
      </c>
      <c r="N17" s="229" t="s">
        <v>321</v>
      </c>
      <c r="O17" s="102">
        <v>1.0</v>
      </c>
      <c r="P17" s="102" t="s">
        <v>366</v>
      </c>
      <c r="Q17" s="102" t="s">
        <v>367</v>
      </c>
      <c r="R17" s="102" t="s">
        <v>368</v>
      </c>
      <c r="U17" s="102">
        <v>600.0</v>
      </c>
      <c r="V17" s="102" t="s">
        <v>324</v>
      </c>
    </row>
    <row r="18">
      <c r="A18" s="102" t="s">
        <v>310</v>
      </c>
      <c r="B18" s="102" t="s">
        <v>369</v>
      </c>
      <c r="C18" s="229" t="s">
        <v>370</v>
      </c>
      <c r="D18" s="102" t="s">
        <v>371</v>
      </c>
      <c r="G18" s="102" t="s">
        <v>353</v>
      </c>
      <c r="H18" s="102" t="s">
        <v>354</v>
      </c>
      <c r="I18" s="102" t="s">
        <v>284</v>
      </c>
      <c r="J18" s="102" t="s">
        <v>63</v>
      </c>
      <c r="L18" s="229" t="s">
        <v>372</v>
      </c>
      <c r="M18" s="229" t="s">
        <v>372</v>
      </c>
      <c r="O18" s="230"/>
      <c r="U18" s="230"/>
      <c r="V18" s="102" t="s">
        <v>324</v>
      </c>
    </row>
    <row r="19">
      <c r="A19" s="102" t="s">
        <v>310</v>
      </c>
      <c r="B19" s="102" t="s">
        <v>373</v>
      </c>
      <c r="C19" s="229" t="s">
        <v>374</v>
      </c>
      <c r="D19" s="102" t="s">
        <v>375</v>
      </c>
      <c r="E19" s="102" t="s">
        <v>353</v>
      </c>
      <c r="F19" s="102" t="s">
        <v>354</v>
      </c>
      <c r="G19" s="102" t="s">
        <v>353</v>
      </c>
      <c r="H19" s="102" t="s">
        <v>354</v>
      </c>
      <c r="I19" s="102" t="s">
        <v>284</v>
      </c>
      <c r="J19" s="102" t="s">
        <v>34</v>
      </c>
      <c r="L19" s="229" t="s">
        <v>376</v>
      </c>
      <c r="M19" s="229" t="s">
        <v>377</v>
      </c>
      <c r="O19" s="102">
        <v>8.0</v>
      </c>
      <c r="U19" s="230"/>
      <c r="V19" s="102" t="s">
        <v>324</v>
      </c>
    </row>
    <row r="20">
      <c r="A20" s="102" t="s">
        <v>310</v>
      </c>
      <c r="B20" s="102" t="s">
        <v>378</v>
      </c>
      <c r="C20" s="229" t="s">
        <v>379</v>
      </c>
      <c r="D20" s="102" t="s">
        <v>380</v>
      </c>
      <c r="E20" s="102" t="s">
        <v>353</v>
      </c>
      <c r="F20" s="102" t="s">
        <v>354</v>
      </c>
      <c r="G20" s="102" t="s">
        <v>314</v>
      </c>
      <c r="H20" s="102" t="s">
        <v>315</v>
      </c>
      <c r="I20" s="102" t="s">
        <v>284</v>
      </c>
      <c r="J20" s="102" t="s">
        <v>63</v>
      </c>
      <c r="L20" s="229" t="s">
        <v>381</v>
      </c>
      <c r="M20" s="229" t="s">
        <v>382</v>
      </c>
      <c r="O20" s="230"/>
      <c r="P20" s="102" t="s">
        <v>383</v>
      </c>
      <c r="Q20" s="102" t="s">
        <v>384</v>
      </c>
      <c r="R20" s="102" t="s">
        <v>385</v>
      </c>
      <c r="S20" s="102" t="s">
        <v>386</v>
      </c>
      <c r="U20" s="230"/>
      <c r="V20" s="102" t="s">
        <v>387</v>
      </c>
    </row>
    <row r="21">
      <c r="A21" s="102" t="s">
        <v>276</v>
      </c>
      <c r="B21" s="102" t="s">
        <v>388</v>
      </c>
      <c r="C21" s="229" t="s">
        <v>389</v>
      </c>
      <c r="D21" s="102" t="s">
        <v>390</v>
      </c>
      <c r="E21" s="102" t="s">
        <v>391</v>
      </c>
      <c r="F21" s="102" t="s">
        <v>392</v>
      </c>
      <c r="G21" s="102" t="s">
        <v>391</v>
      </c>
      <c r="H21" s="102" t="s">
        <v>392</v>
      </c>
      <c r="I21" s="102" t="s">
        <v>284</v>
      </c>
      <c r="J21" s="102" t="s">
        <v>34</v>
      </c>
      <c r="L21" s="229" t="s">
        <v>393</v>
      </c>
      <c r="M21" s="229" t="s">
        <v>393</v>
      </c>
      <c r="O21" s="230"/>
      <c r="U21" s="230"/>
      <c r="V21" s="102" t="s">
        <v>394</v>
      </c>
      <c r="W21" s="102" t="s">
        <v>395</v>
      </c>
      <c r="X21" s="102" t="s">
        <v>387</v>
      </c>
    </row>
    <row r="22">
      <c r="A22" s="102" t="s">
        <v>276</v>
      </c>
      <c r="B22" s="102" t="s">
        <v>396</v>
      </c>
      <c r="C22" s="229" t="s">
        <v>397</v>
      </c>
      <c r="D22" s="102" t="s">
        <v>398</v>
      </c>
      <c r="E22" s="102" t="s">
        <v>391</v>
      </c>
      <c r="F22" s="102" t="s">
        <v>392</v>
      </c>
      <c r="G22" s="102" t="s">
        <v>391</v>
      </c>
      <c r="H22" s="102" t="s">
        <v>392</v>
      </c>
      <c r="I22" s="102" t="s">
        <v>284</v>
      </c>
      <c r="J22" s="102" t="s">
        <v>26</v>
      </c>
      <c r="L22" s="229" t="s">
        <v>399</v>
      </c>
      <c r="M22" s="229" t="s">
        <v>400</v>
      </c>
      <c r="O22" s="230"/>
      <c r="U22" s="230"/>
      <c r="V22" s="102" t="s">
        <v>394</v>
      </c>
      <c r="W22" s="102" t="s">
        <v>395</v>
      </c>
      <c r="X22" s="102" t="s">
        <v>387</v>
      </c>
    </row>
    <row r="23">
      <c r="A23" s="102" t="s">
        <v>276</v>
      </c>
      <c r="B23" s="102" t="s">
        <v>401</v>
      </c>
      <c r="C23" s="229" t="s">
        <v>402</v>
      </c>
      <c r="D23" s="102" t="s">
        <v>279</v>
      </c>
      <c r="E23" s="102" t="s">
        <v>280</v>
      </c>
      <c r="F23" s="102" t="s">
        <v>281</v>
      </c>
      <c r="G23" s="102" t="s">
        <v>282</v>
      </c>
      <c r="H23" s="102" t="s">
        <v>283</v>
      </c>
      <c r="I23" s="102" t="s">
        <v>284</v>
      </c>
      <c r="J23" s="102" t="s">
        <v>26</v>
      </c>
      <c r="L23" s="229" t="s">
        <v>403</v>
      </c>
      <c r="M23" s="229" t="s">
        <v>404</v>
      </c>
      <c r="O23" s="230"/>
      <c r="U23" s="230"/>
      <c r="V23" s="102" t="s">
        <v>286</v>
      </c>
      <c r="W23" s="102" t="s">
        <v>287</v>
      </c>
      <c r="X23" s="102" t="s">
        <v>288</v>
      </c>
    </row>
    <row r="24">
      <c r="A24" s="102" t="s">
        <v>276</v>
      </c>
      <c r="B24" s="102" t="s">
        <v>405</v>
      </c>
      <c r="C24" s="229" t="s">
        <v>406</v>
      </c>
      <c r="D24" s="102" t="s">
        <v>291</v>
      </c>
      <c r="E24" s="102" t="s">
        <v>280</v>
      </c>
      <c r="F24" s="102" t="s">
        <v>281</v>
      </c>
      <c r="G24" s="102" t="s">
        <v>282</v>
      </c>
      <c r="H24" s="102" t="s">
        <v>283</v>
      </c>
      <c r="I24" s="102" t="s">
        <v>284</v>
      </c>
      <c r="J24" s="102" t="s">
        <v>26</v>
      </c>
      <c r="L24" s="229" t="s">
        <v>403</v>
      </c>
      <c r="M24" s="229" t="s">
        <v>403</v>
      </c>
      <c r="O24" s="230"/>
      <c r="U24" s="230"/>
      <c r="V24" s="102" t="s">
        <v>286</v>
      </c>
      <c r="W24" s="102" t="s">
        <v>287</v>
      </c>
      <c r="X24" s="102" t="s">
        <v>288</v>
      </c>
    </row>
    <row r="25">
      <c r="A25" s="102" t="s">
        <v>276</v>
      </c>
      <c r="B25" s="102" t="s">
        <v>407</v>
      </c>
      <c r="C25" s="229" t="s">
        <v>408</v>
      </c>
      <c r="D25" s="102" t="s">
        <v>279</v>
      </c>
      <c r="E25" s="102" t="s">
        <v>280</v>
      </c>
      <c r="F25" s="102" t="s">
        <v>281</v>
      </c>
      <c r="G25" s="102" t="s">
        <v>282</v>
      </c>
      <c r="H25" s="102" t="s">
        <v>283</v>
      </c>
      <c r="I25" s="102" t="s">
        <v>284</v>
      </c>
      <c r="J25" s="102" t="s">
        <v>26</v>
      </c>
      <c r="L25" s="229" t="s">
        <v>403</v>
      </c>
      <c r="M25" s="229" t="s">
        <v>409</v>
      </c>
      <c r="O25" s="230"/>
      <c r="U25" s="230"/>
      <c r="V25" s="102" t="s">
        <v>286</v>
      </c>
      <c r="W25" s="102" t="s">
        <v>287</v>
      </c>
      <c r="X25" s="102" t="s">
        <v>288</v>
      </c>
    </row>
    <row r="26">
      <c r="A26" s="102" t="s">
        <v>276</v>
      </c>
      <c r="B26" s="102" t="s">
        <v>410</v>
      </c>
      <c r="C26" s="229" t="s">
        <v>411</v>
      </c>
      <c r="D26" s="102" t="s">
        <v>291</v>
      </c>
      <c r="E26" s="102" t="s">
        <v>280</v>
      </c>
      <c r="F26" s="102" t="s">
        <v>281</v>
      </c>
      <c r="G26" s="102" t="s">
        <v>282</v>
      </c>
      <c r="H26" s="102" t="s">
        <v>283</v>
      </c>
      <c r="I26" s="102" t="s">
        <v>284</v>
      </c>
      <c r="J26" s="102" t="s">
        <v>26</v>
      </c>
      <c r="L26" s="229" t="s">
        <v>403</v>
      </c>
      <c r="M26" s="229" t="s">
        <v>403</v>
      </c>
      <c r="O26" s="230"/>
      <c r="U26" s="230"/>
      <c r="V26" s="102" t="s">
        <v>286</v>
      </c>
      <c r="W26" s="102" t="s">
        <v>287</v>
      </c>
      <c r="X26" s="102" t="s">
        <v>288</v>
      </c>
    </row>
    <row r="27">
      <c r="A27" s="102" t="s">
        <v>276</v>
      </c>
      <c r="B27" s="102" t="s">
        <v>412</v>
      </c>
      <c r="C27" s="229" t="s">
        <v>413</v>
      </c>
      <c r="D27" s="102" t="s">
        <v>414</v>
      </c>
      <c r="G27" s="102" t="s">
        <v>391</v>
      </c>
      <c r="H27" s="102" t="s">
        <v>392</v>
      </c>
      <c r="I27" s="102" t="s">
        <v>284</v>
      </c>
      <c r="J27" s="102" t="s">
        <v>63</v>
      </c>
      <c r="L27" s="229" t="s">
        <v>415</v>
      </c>
      <c r="M27" s="229" t="s">
        <v>416</v>
      </c>
      <c r="O27" s="230"/>
      <c r="U27" s="230"/>
      <c r="V27" s="102" t="s">
        <v>394</v>
      </c>
      <c r="W27" s="102" t="s">
        <v>417</v>
      </c>
      <c r="X27" s="102" t="s">
        <v>324</v>
      </c>
    </row>
    <row r="28">
      <c r="A28" s="102" t="s">
        <v>276</v>
      </c>
      <c r="B28" s="102" t="s">
        <v>418</v>
      </c>
      <c r="C28" s="229" t="s">
        <v>419</v>
      </c>
      <c r="D28" s="102" t="s">
        <v>279</v>
      </c>
      <c r="E28" s="102" t="s">
        <v>280</v>
      </c>
      <c r="F28" s="102" t="s">
        <v>281</v>
      </c>
      <c r="G28" s="102" t="s">
        <v>282</v>
      </c>
      <c r="H28" s="102" t="s">
        <v>283</v>
      </c>
      <c r="I28" s="102" t="s">
        <v>284</v>
      </c>
      <c r="J28" s="102" t="s">
        <v>26</v>
      </c>
      <c r="L28" s="229" t="s">
        <v>420</v>
      </c>
      <c r="M28" s="229" t="s">
        <v>420</v>
      </c>
      <c r="O28" s="230"/>
      <c r="U28" s="230"/>
      <c r="V28" s="102" t="s">
        <v>298</v>
      </c>
      <c r="W28" s="102" t="s">
        <v>299</v>
      </c>
      <c r="X28" s="102" t="s">
        <v>286</v>
      </c>
      <c r="Y28" s="102" t="s">
        <v>287</v>
      </c>
      <c r="Z28" s="102" t="s">
        <v>288</v>
      </c>
    </row>
    <row r="29">
      <c r="A29" s="102" t="s">
        <v>276</v>
      </c>
      <c r="B29" s="102" t="s">
        <v>421</v>
      </c>
      <c r="C29" s="229" t="s">
        <v>422</v>
      </c>
      <c r="D29" s="102" t="s">
        <v>291</v>
      </c>
      <c r="E29" s="102" t="s">
        <v>280</v>
      </c>
      <c r="F29" s="102" t="s">
        <v>281</v>
      </c>
      <c r="G29" s="102" t="s">
        <v>282</v>
      </c>
      <c r="H29" s="102" t="s">
        <v>283</v>
      </c>
      <c r="I29" s="102" t="s">
        <v>284</v>
      </c>
      <c r="J29" s="102" t="s">
        <v>26</v>
      </c>
      <c r="L29" s="229" t="s">
        <v>420</v>
      </c>
      <c r="M29" s="229" t="s">
        <v>420</v>
      </c>
      <c r="O29" s="230"/>
      <c r="U29" s="230"/>
      <c r="V29" s="102" t="s">
        <v>298</v>
      </c>
      <c r="W29" s="102" t="s">
        <v>299</v>
      </c>
      <c r="X29" s="102" t="s">
        <v>286</v>
      </c>
      <c r="Y29" s="102" t="s">
        <v>287</v>
      </c>
      <c r="Z29" s="102" t="s">
        <v>288</v>
      </c>
    </row>
    <row r="30">
      <c r="A30" s="102" t="s">
        <v>310</v>
      </c>
      <c r="B30" s="102" t="s">
        <v>423</v>
      </c>
      <c r="C30" s="229" t="s">
        <v>424</v>
      </c>
      <c r="D30" s="102" t="s">
        <v>425</v>
      </c>
      <c r="E30" s="102" t="s">
        <v>314</v>
      </c>
      <c r="F30" s="102" t="s">
        <v>315</v>
      </c>
      <c r="G30" s="102" t="s">
        <v>362</v>
      </c>
      <c r="H30" s="102" t="s">
        <v>363</v>
      </c>
      <c r="I30" s="102" t="s">
        <v>284</v>
      </c>
      <c r="J30" s="102" t="s">
        <v>26</v>
      </c>
      <c r="L30" s="229" t="s">
        <v>426</v>
      </c>
      <c r="M30" s="229" t="s">
        <v>365</v>
      </c>
      <c r="N30" s="229" t="s">
        <v>427</v>
      </c>
      <c r="O30" s="102">
        <v>1.0</v>
      </c>
      <c r="P30" s="102" t="s">
        <v>367</v>
      </c>
      <c r="Q30" s="102" t="s">
        <v>368</v>
      </c>
      <c r="U30" s="102">
        <v>1800.0</v>
      </c>
      <c r="V30" s="102" t="s">
        <v>324</v>
      </c>
    </row>
    <row r="31">
      <c r="A31" s="102" t="s">
        <v>310</v>
      </c>
      <c r="B31" s="102" t="s">
        <v>428</v>
      </c>
      <c r="C31" s="229" t="s">
        <v>429</v>
      </c>
      <c r="D31" s="102" t="s">
        <v>430</v>
      </c>
      <c r="E31" s="102" t="s">
        <v>314</v>
      </c>
      <c r="F31" s="102" t="s">
        <v>315</v>
      </c>
      <c r="G31" s="102" t="s">
        <v>362</v>
      </c>
      <c r="H31" s="102" t="s">
        <v>363</v>
      </c>
      <c r="I31" s="102" t="s">
        <v>318</v>
      </c>
      <c r="J31" s="102" t="s">
        <v>26</v>
      </c>
      <c r="L31" s="229" t="s">
        <v>431</v>
      </c>
      <c r="M31" s="229" t="s">
        <v>365</v>
      </c>
      <c r="N31" s="229" t="s">
        <v>432</v>
      </c>
      <c r="O31" s="102">
        <v>1.0</v>
      </c>
      <c r="P31" s="102" t="s">
        <v>433</v>
      </c>
      <c r="Q31" s="102" t="s">
        <v>434</v>
      </c>
      <c r="R31" s="102" t="s">
        <v>435</v>
      </c>
      <c r="U31" s="102">
        <v>600.0</v>
      </c>
      <c r="V31" s="102" t="s">
        <v>324</v>
      </c>
    </row>
    <row r="32">
      <c r="A32" s="102" t="s">
        <v>310</v>
      </c>
      <c r="B32" s="102" t="s">
        <v>436</v>
      </c>
      <c r="C32" s="229" t="s">
        <v>437</v>
      </c>
      <c r="D32" s="102" t="s">
        <v>438</v>
      </c>
      <c r="E32" s="102" t="s">
        <v>314</v>
      </c>
      <c r="F32" s="102" t="s">
        <v>315</v>
      </c>
      <c r="G32" s="102" t="s">
        <v>314</v>
      </c>
      <c r="H32" s="102" t="s">
        <v>315</v>
      </c>
      <c r="I32" s="102" t="s">
        <v>284</v>
      </c>
      <c r="J32" s="102" t="s">
        <v>34</v>
      </c>
      <c r="L32" s="229" t="s">
        <v>439</v>
      </c>
      <c r="M32" s="229" t="s">
        <v>440</v>
      </c>
      <c r="O32" s="102">
        <v>2.0</v>
      </c>
      <c r="P32" s="102" t="s">
        <v>441</v>
      </c>
      <c r="Q32" s="102" t="s">
        <v>442</v>
      </c>
      <c r="R32" s="102" t="s">
        <v>443</v>
      </c>
      <c r="U32" s="230"/>
      <c r="V32" s="102" t="s">
        <v>444</v>
      </c>
    </row>
    <row r="33">
      <c r="A33" s="102" t="s">
        <v>276</v>
      </c>
      <c r="B33" s="102" t="s">
        <v>445</v>
      </c>
      <c r="C33" s="229" t="s">
        <v>446</v>
      </c>
      <c r="D33" s="102" t="s">
        <v>279</v>
      </c>
      <c r="E33" s="102" t="s">
        <v>280</v>
      </c>
      <c r="F33" s="102" t="s">
        <v>281</v>
      </c>
      <c r="G33" s="102" t="s">
        <v>282</v>
      </c>
      <c r="H33" s="102" t="s">
        <v>283</v>
      </c>
      <c r="I33" s="102" t="s">
        <v>284</v>
      </c>
      <c r="J33" s="102" t="s">
        <v>26</v>
      </c>
      <c r="L33" s="229" t="s">
        <v>447</v>
      </c>
      <c r="M33" s="229" t="s">
        <v>448</v>
      </c>
      <c r="O33" s="230"/>
      <c r="U33" s="230"/>
      <c r="V33" s="102" t="s">
        <v>288</v>
      </c>
    </row>
    <row r="34">
      <c r="A34" s="102" t="s">
        <v>276</v>
      </c>
      <c r="B34" s="102" t="s">
        <v>449</v>
      </c>
      <c r="C34" s="229" t="s">
        <v>450</v>
      </c>
      <c r="D34" s="102" t="s">
        <v>291</v>
      </c>
      <c r="E34" s="102" t="s">
        <v>280</v>
      </c>
      <c r="F34" s="102" t="s">
        <v>281</v>
      </c>
      <c r="G34" s="102" t="s">
        <v>282</v>
      </c>
      <c r="H34" s="102" t="s">
        <v>283</v>
      </c>
      <c r="I34" s="102" t="s">
        <v>284</v>
      </c>
      <c r="J34" s="102" t="s">
        <v>26</v>
      </c>
      <c r="L34" s="229" t="s">
        <v>447</v>
      </c>
      <c r="M34" s="229" t="s">
        <v>448</v>
      </c>
      <c r="O34" s="230"/>
      <c r="U34" s="230"/>
      <c r="V34" s="102" t="s">
        <v>288</v>
      </c>
    </row>
    <row r="35">
      <c r="A35" s="102" t="s">
        <v>310</v>
      </c>
      <c r="B35" s="102" t="s">
        <v>451</v>
      </c>
      <c r="C35" s="229" t="s">
        <v>452</v>
      </c>
      <c r="D35" s="102" t="s">
        <v>453</v>
      </c>
      <c r="E35" s="102" t="s">
        <v>328</v>
      </c>
      <c r="F35" s="102" t="s">
        <v>329</v>
      </c>
      <c r="G35" s="102" t="s">
        <v>282</v>
      </c>
      <c r="H35" s="102" t="s">
        <v>283</v>
      </c>
      <c r="I35" s="102" t="s">
        <v>284</v>
      </c>
      <c r="J35" s="102" t="s">
        <v>454</v>
      </c>
      <c r="L35" s="229" t="s">
        <v>455</v>
      </c>
      <c r="M35" s="229" t="s">
        <v>456</v>
      </c>
      <c r="O35" s="230"/>
      <c r="P35" s="102" t="s">
        <v>457</v>
      </c>
      <c r="U35" s="230"/>
      <c r="V35" s="102" t="s">
        <v>288</v>
      </c>
    </row>
    <row r="36">
      <c r="A36" s="102" t="s">
        <v>276</v>
      </c>
      <c r="B36" s="102" t="s">
        <v>458</v>
      </c>
      <c r="C36" s="229" t="s">
        <v>459</v>
      </c>
      <c r="D36" s="102" t="s">
        <v>347</v>
      </c>
      <c r="E36" s="102" t="s">
        <v>280</v>
      </c>
      <c r="F36" s="102" t="s">
        <v>281</v>
      </c>
      <c r="G36" s="102" t="s">
        <v>280</v>
      </c>
      <c r="H36" s="102" t="s">
        <v>281</v>
      </c>
      <c r="I36" s="102" t="s">
        <v>284</v>
      </c>
      <c r="J36" s="102" t="s">
        <v>26</v>
      </c>
      <c r="L36" s="229" t="s">
        <v>460</v>
      </c>
      <c r="M36" s="229" t="s">
        <v>461</v>
      </c>
      <c r="O36" s="230"/>
      <c r="U36" s="230"/>
      <c r="V36" s="102" t="s">
        <v>298</v>
      </c>
      <c r="W36" s="102" t="s">
        <v>299</v>
      </c>
      <c r="X36" s="102" t="s">
        <v>286</v>
      </c>
      <c r="Y36" s="102" t="s">
        <v>287</v>
      </c>
      <c r="Z36" s="102" t="s">
        <v>288</v>
      </c>
    </row>
    <row r="37">
      <c r="A37" s="102" t="s">
        <v>276</v>
      </c>
      <c r="B37" s="102" t="s">
        <v>462</v>
      </c>
      <c r="C37" s="229" t="s">
        <v>463</v>
      </c>
      <c r="D37" s="102" t="s">
        <v>279</v>
      </c>
      <c r="E37" s="102" t="s">
        <v>280</v>
      </c>
      <c r="F37" s="102" t="s">
        <v>281</v>
      </c>
      <c r="G37" s="102" t="s">
        <v>282</v>
      </c>
      <c r="H37" s="102" t="s">
        <v>283</v>
      </c>
      <c r="I37" s="102" t="s">
        <v>284</v>
      </c>
      <c r="J37" s="102" t="s">
        <v>26</v>
      </c>
      <c r="L37" s="229" t="s">
        <v>464</v>
      </c>
      <c r="M37" s="229" t="s">
        <v>465</v>
      </c>
      <c r="O37" s="230"/>
      <c r="U37" s="230"/>
      <c r="V37" s="102" t="s">
        <v>298</v>
      </c>
      <c r="W37" s="102" t="s">
        <v>299</v>
      </c>
      <c r="X37" s="102" t="s">
        <v>286</v>
      </c>
      <c r="Y37" s="102" t="s">
        <v>287</v>
      </c>
      <c r="Z37" s="102" t="s">
        <v>288</v>
      </c>
    </row>
    <row r="38">
      <c r="A38" s="102" t="s">
        <v>276</v>
      </c>
      <c r="B38" s="102" t="s">
        <v>466</v>
      </c>
      <c r="C38" s="229" t="s">
        <v>467</v>
      </c>
      <c r="D38" s="102" t="s">
        <v>291</v>
      </c>
      <c r="E38" s="102" t="s">
        <v>280</v>
      </c>
      <c r="F38" s="102" t="s">
        <v>281</v>
      </c>
      <c r="G38" s="102" t="s">
        <v>282</v>
      </c>
      <c r="H38" s="102" t="s">
        <v>283</v>
      </c>
      <c r="I38" s="102" t="s">
        <v>284</v>
      </c>
      <c r="J38" s="102" t="s">
        <v>26</v>
      </c>
      <c r="L38" s="229" t="s">
        <v>464</v>
      </c>
      <c r="M38" s="229" t="s">
        <v>464</v>
      </c>
      <c r="O38" s="230"/>
      <c r="U38" s="230"/>
      <c r="V38" s="102" t="s">
        <v>298</v>
      </c>
      <c r="W38" s="102" t="s">
        <v>299</v>
      </c>
      <c r="X38" s="102" t="s">
        <v>286</v>
      </c>
      <c r="Y38" s="102" t="s">
        <v>287</v>
      </c>
      <c r="Z38" s="102" t="s">
        <v>288</v>
      </c>
    </row>
    <row r="39">
      <c r="A39" s="102" t="s">
        <v>310</v>
      </c>
      <c r="B39" s="102" t="s">
        <v>468</v>
      </c>
      <c r="C39" s="229" t="s">
        <v>469</v>
      </c>
      <c r="D39" s="102" t="s">
        <v>470</v>
      </c>
      <c r="E39" s="102" t="s">
        <v>314</v>
      </c>
      <c r="F39" s="102" t="s">
        <v>315</v>
      </c>
      <c r="G39" s="102" t="s">
        <v>316</v>
      </c>
      <c r="H39" s="102" t="s">
        <v>317</v>
      </c>
      <c r="I39" s="102" t="s">
        <v>284</v>
      </c>
      <c r="J39" s="102" t="s">
        <v>26</v>
      </c>
      <c r="L39" s="229" t="s">
        <v>471</v>
      </c>
      <c r="M39" s="229" t="s">
        <v>365</v>
      </c>
      <c r="N39" s="229" t="s">
        <v>472</v>
      </c>
      <c r="O39" s="102">
        <v>1.0</v>
      </c>
      <c r="P39" s="102" t="s">
        <v>473</v>
      </c>
      <c r="Q39" s="102" t="s">
        <v>474</v>
      </c>
      <c r="U39" s="102">
        <v>900.0</v>
      </c>
      <c r="V39" s="102" t="s">
        <v>324</v>
      </c>
    </row>
    <row r="40">
      <c r="A40" s="102" t="s">
        <v>332</v>
      </c>
      <c r="B40" s="102" t="s">
        <v>475</v>
      </c>
      <c r="C40" s="229" t="s">
        <v>476</v>
      </c>
      <c r="D40" s="102" t="s">
        <v>477</v>
      </c>
      <c r="E40" s="102" t="s">
        <v>282</v>
      </c>
      <c r="F40" s="102" t="s">
        <v>283</v>
      </c>
      <c r="G40" s="102" t="s">
        <v>316</v>
      </c>
      <c r="H40" s="102" t="s">
        <v>317</v>
      </c>
      <c r="I40" s="102" t="s">
        <v>318</v>
      </c>
      <c r="J40" s="102" t="s">
        <v>478</v>
      </c>
      <c r="L40" s="229" t="s">
        <v>479</v>
      </c>
      <c r="M40" s="229" t="s">
        <v>480</v>
      </c>
      <c r="N40" s="229" t="s">
        <v>321</v>
      </c>
      <c r="O40" s="230"/>
      <c r="P40" s="102" t="s">
        <v>481</v>
      </c>
      <c r="Q40" s="102" t="s">
        <v>368</v>
      </c>
      <c r="R40" s="102" t="s">
        <v>474</v>
      </c>
      <c r="U40" s="230"/>
      <c r="V40" s="102" t="s">
        <v>324</v>
      </c>
    </row>
    <row r="41">
      <c r="A41" s="102" t="s">
        <v>276</v>
      </c>
      <c r="B41" s="102" t="s">
        <v>482</v>
      </c>
      <c r="C41" s="229" t="s">
        <v>483</v>
      </c>
      <c r="D41" s="102" t="s">
        <v>279</v>
      </c>
      <c r="E41" s="102" t="s">
        <v>280</v>
      </c>
      <c r="F41" s="102" t="s">
        <v>281</v>
      </c>
      <c r="G41" s="102" t="s">
        <v>282</v>
      </c>
      <c r="H41" s="102" t="s">
        <v>283</v>
      </c>
      <c r="I41" s="102" t="s">
        <v>284</v>
      </c>
      <c r="J41" s="102" t="s">
        <v>26</v>
      </c>
      <c r="L41" s="229" t="s">
        <v>484</v>
      </c>
      <c r="M41" s="229" t="s">
        <v>485</v>
      </c>
      <c r="O41" s="230"/>
      <c r="U41" s="230"/>
      <c r="V41" s="102" t="s">
        <v>287</v>
      </c>
      <c r="W41" s="102" t="s">
        <v>288</v>
      </c>
    </row>
    <row r="42">
      <c r="A42" s="102" t="s">
        <v>276</v>
      </c>
      <c r="B42" s="102" t="s">
        <v>486</v>
      </c>
      <c r="C42" s="229" t="s">
        <v>487</v>
      </c>
      <c r="D42" s="102" t="s">
        <v>279</v>
      </c>
      <c r="E42" s="102" t="s">
        <v>280</v>
      </c>
      <c r="F42" s="102" t="s">
        <v>281</v>
      </c>
      <c r="G42" s="102" t="s">
        <v>282</v>
      </c>
      <c r="H42" s="102" t="s">
        <v>283</v>
      </c>
      <c r="I42" s="102" t="s">
        <v>284</v>
      </c>
      <c r="J42" s="102" t="s">
        <v>26</v>
      </c>
      <c r="L42" s="229" t="s">
        <v>484</v>
      </c>
      <c r="M42" s="229" t="s">
        <v>485</v>
      </c>
      <c r="O42" s="230"/>
      <c r="U42" s="230"/>
      <c r="V42" s="102" t="s">
        <v>287</v>
      </c>
      <c r="W42" s="102" t="s">
        <v>288</v>
      </c>
    </row>
    <row r="43">
      <c r="A43" s="102" t="s">
        <v>276</v>
      </c>
      <c r="B43" s="102" t="s">
        <v>488</v>
      </c>
      <c r="C43" s="229" t="s">
        <v>489</v>
      </c>
      <c r="D43" s="102" t="s">
        <v>291</v>
      </c>
      <c r="E43" s="102" t="s">
        <v>280</v>
      </c>
      <c r="F43" s="102" t="s">
        <v>281</v>
      </c>
      <c r="G43" s="102" t="s">
        <v>282</v>
      </c>
      <c r="H43" s="102" t="s">
        <v>283</v>
      </c>
      <c r="I43" s="102" t="s">
        <v>284</v>
      </c>
      <c r="J43" s="102" t="s">
        <v>26</v>
      </c>
      <c r="L43" s="229" t="s">
        <v>484</v>
      </c>
      <c r="M43" s="229" t="s">
        <v>485</v>
      </c>
      <c r="O43" s="230"/>
      <c r="U43" s="230"/>
      <c r="V43" s="102" t="s">
        <v>287</v>
      </c>
      <c r="W43" s="102" t="s">
        <v>288</v>
      </c>
    </row>
    <row r="44">
      <c r="A44" s="102" t="s">
        <v>276</v>
      </c>
      <c r="B44" s="102" t="s">
        <v>490</v>
      </c>
      <c r="C44" s="229" t="s">
        <v>491</v>
      </c>
      <c r="D44" s="102" t="s">
        <v>291</v>
      </c>
      <c r="E44" s="102" t="s">
        <v>280</v>
      </c>
      <c r="F44" s="102" t="s">
        <v>281</v>
      </c>
      <c r="G44" s="102" t="s">
        <v>282</v>
      </c>
      <c r="H44" s="102" t="s">
        <v>283</v>
      </c>
      <c r="I44" s="102" t="s">
        <v>284</v>
      </c>
      <c r="J44" s="102" t="s">
        <v>26</v>
      </c>
      <c r="L44" s="229" t="s">
        <v>484</v>
      </c>
      <c r="M44" s="229" t="s">
        <v>485</v>
      </c>
      <c r="O44" s="230"/>
      <c r="U44" s="230"/>
      <c r="V44" s="102" t="s">
        <v>287</v>
      </c>
      <c r="W44" s="102" t="s">
        <v>288</v>
      </c>
    </row>
    <row r="45">
      <c r="A45" s="102" t="s">
        <v>332</v>
      </c>
      <c r="B45" s="102" t="s">
        <v>492</v>
      </c>
      <c r="C45" s="229" t="s">
        <v>493</v>
      </c>
      <c r="D45" s="102" t="s">
        <v>494</v>
      </c>
      <c r="E45" s="102" t="s">
        <v>495</v>
      </c>
      <c r="F45" s="102" t="s">
        <v>496</v>
      </c>
      <c r="G45" s="102" t="s">
        <v>280</v>
      </c>
      <c r="H45" s="102" t="s">
        <v>281</v>
      </c>
      <c r="I45" s="102" t="s">
        <v>284</v>
      </c>
      <c r="J45" s="102" t="s">
        <v>497</v>
      </c>
      <c r="L45" s="229" t="s">
        <v>498</v>
      </c>
      <c r="M45" s="229" t="s">
        <v>499</v>
      </c>
      <c r="O45" s="230"/>
      <c r="U45" s="230"/>
      <c r="V45" s="102" t="s">
        <v>288</v>
      </c>
    </row>
    <row r="46">
      <c r="A46" s="102" t="s">
        <v>310</v>
      </c>
      <c r="B46" s="102" t="s">
        <v>500</v>
      </c>
      <c r="C46" s="229" t="s">
        <v>501</v>
      </c>
      <c r="D46" s="102" t="s">
        <v>502</v>
      </c>
      <c r="E46" s="102" t="s">
        <v>328</v>
      </c>
      <c r="F46" s="102" t="s">
        <v>329</v>
      </c>
      <c r="G46" s="102" t="s">
        <v>282</v>
      </c>
      <c r="H46" s="102" t="s">
        <v>283</v>
      </c>
      <c r="I46" s="102" t="s">
        <v>284</v>
      </c>
      <c r="J46" s="102" t="s">
        <v>26</v>
      </c>
      <c r="L46" s="229" t="s">
        <v>503</v>
      </c>
      <c r="M46" s="229" t="s">
        <v>456</v>
      </c>
      <c r="O46" s="230"/>
      <c r="P46" s="102" t="s">
        <v>504</v>
      </c>
      <c r="U46" s="230"/>
      <c r="V46" s="102" t="s">
        <v>288</v>
      </c>
    </row>
    <row r="47">
      <c r="A47" s="102" t="s">
        <v>310</v>
      </c>
      <c r="B47" s="102" t="s">
        <v>505</v>
      </c>
      <c r="C47" s="229" t="s">
        <v>506</v>
      </c>
      <c r="D47" s="102" t="s">
        <v>507</v>
      </c>
      <c r="E47" s="102" t="s">
        <v>495</v>
      </c>
      <c r="F47" s="102" t="s">
        <v>496</v>
      </c>
      <c r="G47" s="102" t="s">
        <v>282</v>
      </c>
      <c r="H47" s="102" t="s">
        <v>283</v>
      </c>
      <c r="I47" s="102" t="s">
        <v>284</v>
      </c>
      <c r="J47" s="102" t="s">
        <v>26</v>
      </c>
      <c r="L47" s="229" t="s">
        <v>508</v>
      </c>
      <c r="M47" s="229" t="s">
        <v>509</v>
      </c>
      <c r="N47" s="229" t="s">
        <v>321</v>
      </c>
      <c r="O47" s="102">
        <v>3.0</v>
      </c>
      <c r="P47" s="102" t="s">
        <v>331</v>
      </c>
      <c r="U47" s="102">
        <v>28800.0</v>
      </c>
      <c r="V47" s="102" t="s">
        <v>288</v>
      </c>
    </row>
    <row r="48">
      <c r="A48" s="102" t="s">
        <v>310</v>
      </c>
      <c r="B48" s="102" t="s">
        <v>510</v>
      </c>
      <c r="C48" s="229" t="s">
        <v>511</v>
      </c>
      <c r="D48" s="102" t="s">
        <v>512</v>
      </c>
      <c r="E48" s="102" t="s">
        <v>513</v>
      </c>
      <c r="F48" s="102" t="s">
        <v>514</v>
      </c>
      <c r="G48" s="102" t="s">
        <v>316</v>
      </c>
      <c r="H48" s="102" t="s">
        <v>317</v>
      </c>
      <c r="I48" s="102" t="s">
        <v>515</v>
      </c>
      <c r="J48" s="102" t="s">
        <v>26</v>
      </c>
      <c r="L48" s="229" t="s">
        <v>516</v>
      </c>
      <c r="M48" s="229" t="s">
        <v>365</v>
      </c>
      <c r="N48" s="229" t="s">
        <v>517</v>
      </c>
      <c r="O48" s="102">
        <v>1.0</v>
      </c>
      <c r="P48" s="102" t="s">
        <v>368</v>
      </c>
      <c r="U48" s="102">
        <v>7200.0</v>
      </c>
      <c r="V48" s="102" t="s">
        <v>324</v>
      </c>
    </row>
    <row r="49">
      <c r="A49" s="102" t="s">
        <v>276</v>
      </c>
      <c r="B49" s="102" t="s">
        <v>518</v>
      </c>
      <c r="C49" s="229" t="s">
        <v>519</v>
      </c>
      <c r="D49" s="102" t="s">
        <v>520</v>
      </c>
      <c r="E49" s="102" t="s">
        <v>521</v>
      </c>
      <c r="F49" s="102" t="s">
        <v>522</v>
      </c>
      <c r="G49" s="102" t="s">
        <v>521</v>
      </c>
      <c r="H49" s="102" t="s">
        <v>522</v>
      </c>
      <c r="I49" s="102" t="s">
        <v>284</v>
      </c>
      <c r="J49" s="102" t="s">
        <v>26</v>
      </c>
      <c r="L49" s="229" t="s">
        <v>523</v>
      </c>
      <c r="M49" s="229" t="s">
        <v>524</v>
      </c>
      <c r="O49" s="230"/>
      <c r="U49" s="230"/>
      <c r="V49" s="102" t="s">
        <v>417</v>
      </c>
      <c r="W49" s="102" t="s">
        <v>324</v>
      </c>
    </row>
    <row r="50">
      <c r="A50" s="102" t="s">
        <v>276</v>
      </c>
      <c r="B50" s="102" t="s">
        <v>525</v>
      </c>
      <c r="C50" s="229" t="s">
        <v>526</v>
      </c>
      <c r="D50" s="102" t="s">
        <v>279</v>
      </c>
      <c r="E50" s="102" t="s">
        <v>280</v>
      </c>
      <c r="F50" s="102" t="s">
        <v>281</v>
      </c>
      <c r="G50" s="102" t="s">
        <v>282</v>
      </c>
      <c r="H50" s="102" t="s">
        <v>283</v>
      </c>
      <c r="I50" s="102" t="s">
        <v>284</v>
      </c>
      <c r="J50" s="102" t="s">
        <v>26</v>
      </c>
      <c r="L50" s="229" t="s">
        <v>527</v>
      </c>
      <c r="M50" s="229" t="s">
        <v>528</v>
      </c>
      <c r="O50" s="230"/>
      <c r="U50" s="230"/>
      <c r="V50" s="102" t="s">
        <v>529</v>
      </c>
      <c r="W50" s="102" t="s">
        <v>298</v>
      </c>
      <c r="X50" s="102" t="s">
        <v>299</v>
      </c>
      <c r="Y50" s="102" t="s">
        <v>286</v>
      </c>
      <c r="Z50" s="102" t="s">
        <v>287</v>
      </c>
      <c r="AA50" s="102" t="s">
        <v>288</v>
      </c>
    </row>
    <row r="51">
      <c r="A51" s="102" t="s">
        <v>276</v>
      </c>
      <c r="B51" s="102" t="s">
        <v>530</v>
      </c>
      <c r="C51" s="229" t="s">
        <v>531</v>
      </c>
      <c r="D51" s="102" t="s">
        <v>291</v>
      </c>
      <c r="E51" s="102" t="s">
        <v>280</v>
      </c>
      <c r="F51" s="102" t="s">
        <v>281</v>
      </c>
      <c r="G51" s="102" t="s">
        <v>282</v>
      </c>
      <c r="H51" s="102" t="s">
        <v>283</v>
      </c>
      <c r="I51" s="102" t="s">
        <v>284</v>
      </c>
      <c r="J51" s="102" t="s">
        <v>26</v>
      </c>
      <c r="L51" s="229" t="s">
        <v>527</v>
      </c>
      <c r="M51" s="229" t="s">
        <v>532</v>
      </c>
      <c r="O51" s="230"/>
      <c r="U51" s="230"/>
      <c r="V51" s="102" t="s">
        <v>529</v>
      </c>
      <c r="W51" s="102" t="s">
        <v>298</v>
      </c>
      <c r="X51" s="102" t="s">
        <v>299</v>
      </c>
      <c r="Y51" s="102" t="s">
        <v>286</v>
      </c>
      <c r="Z51" s="102" t="s">
        <v>287</v>
      </c>
      <c r="AA51" s="102" t="s">
        <v>288</v>
      </c>
    </row>
    <row r="52">
      <c r="A52" s="102" t="s">
        <v>332</v>
      </c>
      <c r="B52" s="102" t="s">
        <v>533</v>
      </c>
      <c r="C52" s="229" t="s">
        <v>534</v>
      </c>
      <c r="D52" s="102" t="s">
        <v>535</v>
      </c>
      <c r="E52" s="102" t="s">
        <v>353</v>
      </c>
      <c r="F52" s="102" t="s">
        <v>354</v>
      </c>
      <c r="G52" s="102" t="s">
        <v>316</v>
      </c>
      <c r="H52" s="102" t="s">
        <v>317</v>
      </c>
      <c r="I52" s="102" t="s">
        <v>318</v>
      </c>
      <c r="J52" s="102" t="s">
        <v>336</v>
      </c>
      <c r="L52" s="229" t="s">
        <v>536</v>
      </c>
      <c r="M52" s="229" t="s">
        <v>480</v>
      </c>
      <c r="N52" s="229" t="s">
        <v>537</v>
      </c>
      <c r="O52" s="230"/>
      <c r="P52" s="102" t="s">
        <v>322</v>
      </c>
      <c r="Q52" s="102" t="s">
        <v>538</v>
      </c>
      <c r="U52" s="230"/>
      <c r="V52" s="102" t="s">
        <v>324</v>
      </c>
    </row>
    <row r="53">
      <c r="A53" s="102" t="s">
        <v>276</v>
      </c>
      <c r="B53" s="102" t="s">
        <v>539</v>
      </c>
      <c r="C53" s="229" t="s">
        <v>540</v>
      </c>
      <c r="D53" s="102" t="s">
        <v>541</v>
      </c>
      <c r="E53" s="102" t="s">
        <v>542</v>
      </c>
      <c r="F53" s="102" t="s">
        <v>543</v>
      </c>
      <c r="G53" s="102" t="s">
        <v>316</v>
      </c>
      <c r="H53" s="102" t="s">
        <v>317</v>
      </c>
      <c r="I53" s="102" t="s">
        <v>284</v>
      </c>
      <c r="J53" s="102" t="s">
        <v>26</v>
      </c>
      <c r="L53" s="229" t="s">
        <v>544</v>
      </c>
      <c r="M53" s="229" t="s">
        <v>545</v>
      </c>
      <c r="O53" s="230"/>
      <c r="U53" s="230"/>
      <c r="V53" s="102" t="s">
        <v>324</v>
      </c>
    </row>
    <row r="54">
      <c r="A54" s="102" t="s">
        <v>276</v>
      </c>
      <c r="B54" s="102" t="s">
        <v>546</v>
      </c>
      <c r="C54" s="229" t="s">
        <v>547</v>
      </c>
      <c r="D54" s="102" t="s">
        <v>548</v>
      </c>
      <c r="E54" s="102" t="s">
        <v>549</v>
      </c>
      <c r="F54" s="102" t="s">
        <v>550</v>
      </c>
      <c r="G54" s="102" t="s">
        <v>316</v>
      </c>
      <c r="H54" s="102" t="s">
        <v>317</v>
      </c>
      <c r="I54" s="102" t="s">
        <v>284</v>
      </c>
      <c r="J54" s="102" t="s">
        <v>34</v>
      </c>
      <c r="L54" s="229" t="s">
        <v>551</v>
      </c>
      <c r="M54" s="229" t="s">
        <v>552</v>
      </c>
      <c r="O54" s="230"/>
      <c r="U54" s="230"/>
      <c r="V54" s="102" t="s">
        <v>324</v>
      </c>
    </row>
    <row r="55">
      <c r="A55" s="102" t="s">
        <v>310</v>
      </c>
      <c r="B55" s="102" t="s">
        <v>553</v>
      </c>
      <c r="C55" s="229" t="s">
        <v>554</v>
      </c>
      <c r="D55" s="102" t="s">
        <v>555</v>
      </c>
      <c r="E55" s="102" t="s">
        <v>556</v>
      </c>
      <c r="F55" s="102" t="s">
        <v>557</v>
      </c>
      <c r="G55" s="102" t="s">
        <v>316</v>
      </c>
      <c r="H55" s="102" t="s">
        <v>317</v>
      </c>
      <c r="I55" s="102" t="s">
        <v>284</v>
      </c>
      <c r="J55" s="102" t="s">
        <v>34</v>
      </c>
      <c r="L55" s="229" t="s">
        <v>558</v>
      </c>
      <c r="M55" s="229" t="s">
        <v>365</v>
      </c>
      <c r="N55" s="229" t="s">
        <v>559</v>
      </c>
      <c r="O55" s="230"/>
      <c r="P55" s="102" t="s">
        <v>560</v>
      </c>
      <c r="Q55" s="102" t="s">
        <v>474</v>
      </c>
      <c r="U55" s="230"/>
      <c r="V55" s="102" t="s">
        <v>324</v>
      </c>
    </row>
    <row r="56">
      <c r="A56" s="102" t="s">
        <v>310</v>
      </c>
      <c r="B56" s="102" t="s">
        <v>561</v>
      </c>
      <c r="C56" s="229" t="s">
        <v>562</v>
      </c>
      <c r="D56" s="102" t="s">
        <v>563</v>
      </c>
      <c r="E56" s="102" t="s">
        <v>564</v>
      </c>
      <c r="F56" s="102" t="s">
        <v>565</v>
      </c>
      <c r="G56" s="102" t="s">
        <v>353</v>
      </c>
      <c r="H56" s="102" t="s">
        <v>354</v>
      </c>
      <c r="I56" s="102" t="s">
        <v>284</v>
      </c>
      <c r="J56" s="102" t="s">
        <v>454</v>
      </c>
      <c r="L56" s="229" t="s">
        <v>566</v>
      </c>
      <c r="M56" s="229" t="s">
        <v>567</v>
      </c>
      <c r="N56" s="229" t="s">
        <v>517</v>
      </c>
      <c r="O56" s="102">
        <v>2.0</v>
      </c>
      <c r="U56" s="230"/>
      <c r="V56" s="102" t="s">
        <v>358</v>
      </c>
    </row>
    <row r="57">
      <c r="A57" s="102" t="s">
        <v>310</v>
      </c>
      <c r="B57" s="102" t="s">
        <v>568</v>
      </c>
      <c r="C57" s="229" t="s">
        <v>569</v>
      </c>
      <c r="D57" s="102" t="s">
        <v>570</v>
      </c>
      <c r="E57" s="102" t="s">
        <v>564</v>
      </c>
      <c r="F57" s="102" t="s">
        <v>565</v>
      </c>
      <c r="G57" s="102" t="s">
        <v>353</v>
      </c>
      <c r="H57" s="102" t="s">
        <v>354</v>
      </c>
      <c r="I57" s="102" t="s">
        <v>284</v>
      </c>
      <c r="J57" s="102" t="s">
        <v>454</v>
      </c>
      <c r="L57" s="229" t="s">
        <v>571</v>
      </c>
      <c r="M57" s="229" t="s">
        <v>567</v>
      </c>
      <c r="N57" s="229" t="s">
        <v>517</v>
      </c>
      <c r="O57" s="102">
        <v>2.0</v>
      </c>
      <c r="U57" s="230"/>
      <c r="V57" s="102" t="s">
        <v>358</v>
      </c>
    </row>
    <row r="58">
      <c r="A58" s="102" t="s">
        <v>310</v>
      </c>
      <c r="B58" s="102" t="s">
        <v>572</v>
      </c>
      <c r="C58" s="229" t="s">
        <v>573</v>
      </c>
      <c r="D58" s="102" t="s">
        <v>574</v>
      </c>
      <c r="E58" s="102" t="s">
        <v>564</v>
      </c>
      <c r="F58" s="102" t="s">
        <v>565</v>
      </c>
      <c r="G58" s="102" t="s">
        <v>353</v>
      </c>
      <c r="H58" s="102" t="s">
        <v>354</v>
      </c>
      <c r="I58" s="102" t="s">
        <v>284</v>
      </c>
      <c r="J58" s="102" t="s">
        <v>454</v>
      </c>
      <c r="L58" s="229" t="s">
        <v>571</v>
      </c>
      <c r="M58" s="229" t="s">
        <v>567</v>
      </c>
      <c r="N58" s="229" t="s">
        <v>575</v>
      </c>
      <c r="O58" s="102">
        <v>3.0</v>
      </c>
      <c r="U58" s="230"/>
      <c r="V58" s="102" t="s">
        <v>358</v>
      </c>
    </row>
    <row r="59">
      <c r="A59" s="102" t="s">
        <v>310</v>
      </c>
      <c r="B59" s="102" t="s">
        <v>576</v>
      </c>
      <c r="C59" s="229" t="s">
        <v>577</v>
      </c>
      <c r="D59" s="102" t="s">
        <v>578</v>
      </c>
      <c r="E59" s="102" t="s">
        <v>314</v>
      </c>
      <c r="F59" s="102" t="s">
        <v>315</v>
      </c>
      <c r="G59" s="102" t="s">
        <v>353</v>
      </c>
      <c r="H59" s="102" t="s">
        <v>354</v>
      </c>
      <c r="I59" s="102" t="s">
        <v>284</v>
      </c>
      <c r="J59" s="102" t="s">
        <v>63</v>
      </c>
      <c r="L59" s="229" t="s">
        <v>579</v>
      </c>
      <c r="M59" s="229" t="s">
        <v>580</v>
      </c>
      <c r="O59" s="230"/>
      <c r="U59" s="230"/>
      <c r="V59" s="102" t="s">
        <v>358</v>
      </c>
    </row>
    <row r="60">
      <c r="A60" s="102" t="s">
        <v>310</v>
      </c>
      <c r="B60" s="102" t="s">
        <v>581</v>
      </c>
      <c r="C60" s="229" t="s">
        <v>582</v>
      </c>
      <c r="D60" s="102" t="s">
        <v>583</v>
      </c>
      <c r="E60" s="102" t="s">
        <v>584</v>
      </c>
      <c r="F60" s="102" t="s">
        <v>585</v>
      </c>
      <c r="G60" s="102" t="s">
        <v>353</v>
      </c>
      <c r="H60" s="102" t="s">
        <v>354</v>
      </c>
      <c r="I60" s="102" t="s">
        <v>284</v>
      </c>
      <c r="J60" s="102" t="s">
        <v>454</v>
      </c>
      <c r="L60" s="229" t="s">
        <v>586</v>
      </c>
      <c r="M60" s="229" t="s">
        <v>587</v>
      </c>
      <c r="O60" s="102">
        <v>3.0</v>
      </c>
      <c r="U60" s="230"/>
      <c r="V60" s="102" t="s">
        <v>588</v>
      </c>
    </row>
    <row r="61">
      <c r="A61" s="102" t="s">
        <v>310</v>
      </c>
      <c r="B61" s="102" t="s">
        <v>589</v>
      </c>
      <c r="C61" s="229" t="s">
        <v>590</v>
      </c>
      <c r="D61" s="102" t="s">
        <v>591</v>
      </c>
      <c r="E61" s="102" t="s">
        <v>584</v>
      </c>
      <c r="F61" s="102" t="s">
        <v>585</v>
      </c>
      <c r="G61" s="102" t="s">
        <v>353</v>
      </c>
      <c r="H61" s="102" t="s">
        <v>354</v>
      </c>
      <c r="I61" s="102" t="s">
        <v>284</v>
      </c>
      <c r="J61" s="102" t="s">
        <v>454</v>
      </c>
      <c r="L61" s="229" t="s">
        <v>592</v>
      </c>
      <c r="M61" s="229" t="s">
        <v>587</v>
      </c>
      <c r="O61" s="102">
        <v>2.0</v>
      </c>
      <c r="P61" s="102" t="s">
        <v>593</v>
      </c>
      <c r="U61" s="230"/>
      <c r="V61" s="102" t="s">
        <v>588</v>
      </c>
    </row>
    <row r="62">
      <c r="A62" s="102" t="s">
        <v>310</v>
      </c>
      <c r="B62" s="102" t="s">
        <v>594</v>
      </c>
      <c r="C62" s="229" t="s">
        <v>595</v>
      </c>
      <c r="D62" s="102" t="s">
        <v>596</v>
      </c>
      <c r="E62" s="102" t="s">
        <v>584</v>
      </c>
      <c r="F62" s="102" t="s">
        <v>585</v>
      </c>
      <c r="G62" s="102" t="s">
        <v>353</v>
      </c>
      <c r="H62" s="102" t="s">
        <v>354</v>
      </c>
      <c r="I62" s="102" t="s">
        <v>284</v>
      </c>
      <c r="J62" s="102" t="s">
        <v>454</v>
      </c>
      <c r="L62" s="229" t="s">
        <v>592</v>
      </c>
      <c r="M62" s="229" t="s">
        <v>587</v>
      </c>
      <c r="O62" s="102">
        <v>1.0</v>
      </c>
      <c r="P62" s="102" t="s">
        <v>593</v>
      </c>
      <c r="U62" s="230"/>
      <c r="V62" s="102" t="s">
        <v>588</v>
      </c>
    </row>
    <row r="63">
      <c r="A63" s="102" t="s">
        <v>276</v>
      </c>
      <c r="B63" s="102" t="s">
        <v>597</v>
      </c>
      <c r="C63" s="229" t="s">
        <v>598</v>
      </c>
      <c r="D63" s="102" t="s">
        <v>279</v>
      </c>
      <c r="E63" s="102" t="s">
        <v>280</v>
      </c>
      <c r="F63" s="102" t="s">
        <v>281</v>
      </c>
      <c r="G63" s="102" t="s">
        <v>282</v>
      </c>
      <c r="H63" s="102" t="s">
        <v>283</v>
      </c>
      <c r="I63" s="102" t="s">
        <v>284</v>
      </c>
      <c r="J63" s="102" t="s">
        <v>26</v>
      </c>
      <c r="L63" s="229" t="s">
        <v>599</v>
      </c>
      <c r="M63" s="229" t="s">
        <v>600</v>
      </c>
      <c r="O63" s="230"/>
      <c r="U63" s="230"/>
      <c r="V63" s="102" t="s">
        <v>529</v>
      </c>
      <c r="W63" s="102" t="s">
        <v>298</v>
      </c>
      <c r="X63" s="102" t="s">
        <v>299</v>
      </c>
      <c r="Y63" s="102" t="s">
        <v>286</v>
      </c>
      <c r="Z63" s="102" t="s">
        <v>287</v>
      </c>
      <c r="AA63" s="102" t="s">
        <v>288</v>
      </c>
    </row>
    <row r="64">
      <c r="A64" s="102" t="s">
        <v>276</v>
      </c>
      <c r="B64" s="102" t="s">
        <v>601</v>
      </c>
      <c r="C64" s="229" t="s">
        <v>602</v>
      </c>
      <c r="D64" s="102" t="s">
        <v>291</v>
      </c>
      <c r="E64" s="102" t="s">
        <v>280</v>
      </c>
      <c r="F64" s="102" t="s">
        <v>281</v>
      </c>
      <c r="G64" s="102" t="s">
        <v>282</v>
      </c>
      <c r="H64" s="102" t="s">
        <v>283</v>
      </c>
      <c r="I64" s="102" t="s">
        <v>284</v>
      </c>
      <c r="J64" s="102" t="s">
        <v>26</v>
      </c>
      <c r="L64" s="229" t="s">
        <v>599</v>
      </c>
      <c r="M64" s="229" t="s">
        <v>532</v>
      </c>
      <c r="O64" s="230"/>
      <c r="U64" s="230"/>
      <c r="V64" s="102" t="s">
        <v>529</v>
      </c>
      <c r="W64" s="102" t="s">
        <v>298</v>
      </c>
      <c r="X64" s="102" t="s">
        <v>299</v>
      </c>
      <c r="Y64" s="102" t="s">
        <v>286</v>
      </c>
      <c r="Z64" s="102" t="s">
        <v>287</v>
      </c>
      <c r="AA64" s="102" t="s">
        <v>288</v>
      </c>
    </row>
    <row r="65">
      <c r="A65" s="102" t="s">
        <v>276</v>
      </c>
      <c r="B65" s="102" t="s">
        <v>603</v>
      </c>
      <c r="C65" s="229" t="s">
        <v>604</v>
      </c>
      <c r="D65" s="102" t="s">
        <v>279</v>
      </c>
      <c r="E65" s="102" t="s">
        <v>280</v>
      </c>
      <c r="F65" s="102" t="s">
        <v>281</v>
      </c>
      <c r="G65" s="102" t="s">
        <v>282</v>
      </c>
      <c r="H65" s="102" t="s">
        <v>283</v>
      </c>
      <c r="I65" s="102" t="s">
        <v>284</v>
      </c>
      <c r="J65" s="102" t="s">
        <v>26</v>
      </c>
      <c r="L65" s="229" t="s">
        <v>599</v>
      </c>
      <c r="M65" s="229" t="s">
        <v>600</v>
      </c>
      <c r="O65" s="230"/>
      <c r="U65" s="230"/>
      <c r="V65" s="102" t="s">
        <v>286</v>
      </c>
      <c r="W65" s="102" t="s">
        <v>287</v>
      </c>
      <c r="X65" s="102" t="s">
        <v>288</v>
      </c>
    </row>
    <row r="66">
      <c r="A66" s="102" t="s">
        <v>276</v>
      </c>
      <c r="B66" s="102" t="s">
        <v>605</v>
      </c>
      <c r="C66" s="229" t="s">
        <v>606</v>
      </c>
      <c r="D66" s="102" t="s">
        <v>279</v>
      </c>
      <c r="E66" s="102" t="s">
        <v>280</v>
      </c>
      <c r="F66" s="102" t="s">
        <v>281</v>
      </c>
      <c r="G66" s="102" t="s">
        <v>282</v>
      </c>
      <c r="H66" s="102" t="s">
        <v>283</v>
      </c>
      <c r="I66" s="102" t="s">
        <v>284</v>
      </c>
      <c r="J66" s="102" t="s">
        <v>26</v>
      </c>
      <c r="L66" s="229" t="s">
        <v>599</v>
      </c>
      <c r="M66" s="229" t="s">
        <v>607</v>
      </c>
      <c r="O66" s="230"/>
      <c r="U66" s="230"/>
      <c r="V66" s="102" t="s">
        <v>286</v>
      </c>
      <c r="W66" s="102" t="s">
        <v>287</v>
      </c>
      <c r="X66" s="102" t="s">
        <v>288</v>
      </c>
    </row>
    <row r="67">
      <c r="A67" s="102" t="s">
        <v>276</v>
      </c>
      <c r="B67" s="102" t="s">
        <v>608</v>
      </c>
      <c r="C67" s="229" t="s">
        <v>609</v>
      </c>
      <c r="D67" s="102" t="s">
        <v>291</v>
      </c>
      <c r="E67" s="102" t="s">
        <v>280</v>
      </c>
      <c r="F67" s="102" t="s">
        <v>281</v>
      </c>
      <c r="G67" s="102" t="s">
        <v>282</v>
      </c>
      <c r="H67" s="102" t="s">
        <v>283</v>
      </c>
      <c r="I67" s="102" t="s">
        <v>284</v>
      </c>
      <c r="J67" s="102" t="s">
        <v>26</v>
      </c>
      <c r="L67" s="229" t="s">
        <v>599</v>
      </c>
      <c r="M67" s="229" t="s">
        <v>532</v>
      </c>
      <c r="O67" s="230"/>
      <c r="U67" s="230"/>
      <c r="V67" s="102" t="s">
        <v>286</v>
      </c>
      <c r="W67" s="102" t="s">
        <v>287</v>
      </c>
      <c r="X67" s="102" t="s">
        <v>288</v>
      </c>
    </row>
    <row r="68">
      <c r="A68" s="102" t="s">
        <v>276</v>
      </c>
      <c r="B68" s="102" t="s">
        <v>610</v>
      </c>
      <c r="C68" s="229" t="s">
        <v>611</v>
      </c>
      <c r="D68" s="102" t="s">
        <v>291</v>
      </c>
      <c r="E68" s="102" t="s">
        <v>280</v>
      </c>
      <c r="F68" s="102" t="s">
        <v>281</v>
      </c>
      <c r="G68" s="102" t="s">
        <v>282</v>
      </c>
      <c r="H68" s="102" t="s">
        <v>283</v>
      </c>
      <c r="I68" s="102" t="s">
        <v>284</v>
      </c>
      <c r="J68" s="102" t="s">
        <v>26</v>
      </c>
      <c r="L68" s="229" t="s">
        <v>599</v>
      </c>
      <c r="M68" s="229" t="s">
        <v>532</v>
      </c>
      <c r="O68" s="230"/>
      <c r="U68" s="230"/>
      <c r="V68" s="102" t="s">
        <v>286</v>
      </c>
      <c r="W68" s="102" t="s">
        <v>287</v>
      </c>
      <c r="X68" s="102" t="s">
        <v>288</v>
      </c>
    </row>
    <row r="69">
      <c r="A69" s="102" t="s">
        <v>276</v>
      </c>
      <c r="B69" s="102" t="s">
        <v>612</v>
      </c>
      <c r="C69" s="229" t="s">
        <v>613</v>
      </c>
      <c r="D69" s="102" t="s">
        <v>279</v>
      </c>
      <c r="E69" s="102" t="s">
        <v>280</v>
      </c>
      <c r="F69" s="102" t="s">
        <v>281</v>
      </c>
      <c r="G69" s="102" t="s">
        <v>282</v>
      </c>
      <c r="H69" s="102" t="s">
        <v>283</v>
      </c>
      <c r="I69" s="102" t="s">
        <v>284</v>
      </c>
      <c r="J69" s="102" t="s">
        <v>26</v>
      </c>
      <c r="L69" s="229" t="s">
        <v>599</v>
      </c>
      <c r="M69" s="229" t="s">
        <v>607</v>
      </c>
      <c r="O69" s="230"/>
      <c r="U69" s="230"/>
      <c r="V69" s="102" t="s">
        <v>286</v>
      </c>
      <c r="W69" s="102" t="s">
        <v>287</v>
      </c>
      <c r="X69" s="102" t="s">
        <v>288</v>
      </c>
    </row>
    <row r="70">
      <c r="A70" s="102" t="s">
        <v>276</v>
      </c>
      <c r="B70" s="102" t="s">
        <v>614</v>
      </c>
      <c r="C70" s="229" t="s">
        <v>615</v>
      </c>
      <c r="D70" s="102" t="s">
        <v>291</v>
      </c>
      <c r="E70" s="102" t="s">
        <v>280</v>
      </c>
      <c r="F70" s="102" t="s">
        <v>281</v>
      </c>
      <c r="G70" s="102" t="s">
        <v>282</v>
      </c>
      <c r="H70" s="102" t="s">
        <v>283</v>
      </c>
      <c r="I70" s="102" t="s">
        <v>284</v>
      </c>
      <c r="J70" s="102" t="s">
        <v>26</v>
      </c>
      <c r="L70" s="229" t="s">
        <v>599</v>
      </c>
      <c r="M70" s="229" t="s">
        <v>532</v>
      </c>
      <c r="O70" s="230"/>
      <c r="U70" s="230"/>
      <c r="V70" s="102" t="s">
        <v>286</v>
      </c>
      <c r="W70" s="102" t="s">
        <v>287</v>
      </c>
      <c r="X70" s="102" t="s">
        <v>288</v>
      </c>
    </row>
    <row r="71">
      <c r="A71" s="102" t="s">
        <v>310</v>
      </c>
      <c r="B71" s="102" t="s">
        <v>616</v>
      </c>
      <c r="C71" s="229" t="s">
        <v>617</v>
      </c>
      <c r="D71" s="102" t="s">
        <v>618</v>
      </c>
      <c r="E71" s="102" t="s">
        <v>564</v>
      </c>
      <c r="F71" s="102" t="s">
        <v>565</v>
      </c>
      <c r="G71" s="102" t="s">
        <v>353</v>
      </c>
      <c r="H71" s="102" t="s">
        <v>354</v>
      </c>
      <c r="I71" s="102" t="s">
        <v>284</v>
      </c>
      <c r="J71" s="102" t="s">
        <v>355</v>
      </c>
      <c r="L71" s="229" t="s">
        <v>619</v>
      </c>
      <c r="M71" s="229" t="s">
        <v>620</v>
      </c>
      <c r="N71" s="229" t="s">
        <v>321</v>
      </c>
      <c r="O71" s="102">
        <v>5.0</v>
      </c>
      <c r="U71" s="230"/>
      <c r="V71" s="102" t="s">
        <v>358</v>
      </c>
    </row>
    <row r="72">
      <c r="A72" s="102" t="s">
        <v>310</v>
      </c>
      <c r="B72" s="102" t="s">
        <v>621</v>
      </c>
      <c r="C72" s="229" t="s">
        <v>622</v>
      </c>
      <c r="D72" s="102" t="s">
        <v>623</v>
      </c>
      <c r="E72" s="102" t="s">
        <v>584</v>
      </c>
      <c r="F72" s="102" t="s">
        <v>585</v>
      </c>
      <c r="G72" s="102" t="s">
        <v>353</v>
      </c>
      <c r="H72" s="102" t="s">
        <v>354</v>
      </c>
      <c r="I72" s="102" t="s">
        <v>284</v>
      </c>
      <c r="J72" s="102" t="s">
        <v>454</v>
      </c>
      <c r="L72" s="229" t="s">
        <v>624</v>
      </c>
      <c r="M72" s="229" t="s">
        <v>587</v>
      </c>
      <c r="O72" s="102">
        <v>2.0</v>
      </c>
      <c r="P72" s="102" t="s">
        <v>593</v>
      </c>
      <c r="U72" s="230"/>
      <c r="V72" s="102" t="s">
        <v>588</v>
      </c>
    </row>
    <row r="73">
      <c r="A73" s="102" t="s">
        <v>310</v>
      </c>
      <c r="B73" s="102" t="s">
        <v>625</v>
      </c>
      <c r="C73" s="229" t="s">
        <v>626</v>
      </c>
      <c r="D73" s="102" t="s">
        <v>627</v>
      </c>
      <c r="E73" s="102" t="s">
        <v>282</v>
      </c>
      <c r="F73" s="102" t="s">
        <v>283</v>
      </c>
      <c r="G73" s="102" t="s">
        <v>282</v>
      </c>
      <c r="H73" s="102" t="s">
        <v>283</v>
      </c>
      <c r="I73" s="102" t="s">
        <v>284</v>
      </c>
      <c r="J73" s="102" t="s">
        <v>34</v>
      </c>
      <c r="L73" s="229" t="s">
        <v>628</v>
      </c>
      <c r="M73" s="229" t="s">
        <v>629</v>
      </c>
      <c r="N73" s="229" t="s">
        <v>321</v>
      </c>
      <c r="O73" s="102">
        <v>5.0</v>
      </c>
      <c r="U73" s="230"/>
      <c r="V73" s="102" t="s">
        <v>324</v>
      </c>
    </row>
    <row r="74">
      <c r="A74" s="102" t="s">
        <v>630</v>
      </c>
      <c r="B74" s="102" t="s">
        <v>631</v>
      </c>
      <c r="C74" s="229" t="s">
        <v>632</v>
      </c>
      <c r="D74" s="102" t="s">
        <v>627</v>
      </c>
      <c r="G74" s="102" t="s">
        <v>282</v>
      </c>
      <c r="H74" s="102" t="s">
        <v>283</v>
      </c>
      <c r="I74" s="102" t="s">
        <v>284</v>
      </c>
      <c r="J74" s="102" t="s">
        <v>63</v>
      </c>
      <c r="L74" s="229" t="s">
        <v>633</v>
      </c>
      <c r="M74" s="229" t="s">
        <v>633</v>
      </c>
      <c r="O74" s="230"/>
      <c r="U74" s="230"/>
      <c r="V74" s="102" t="s">
        <v>324</v>
      </c>
    </row>
    <row r="75">
      <c r="A75" s="102" t="s">
        <v>630</v>
      </c>
      <c r="B75" s="102" t="s">
        <v>634</v>
      </c>
      <c r="C75" s="229" t="s">
        <v>635</v>
      </c>
      <c r="D75" s="102" t="s">
        <v>627</v>
      </c>
      <c r="G75" s="102" t="s">
        <v>282</v>
      </c>
      <c r="H75" s="102" t="s">
        <v>283</v>
      </c>
      <c r="I75" s="102" t="s">
        <v>284</v>
      </c>
      <c r="J75" s="102" t="s">
        <v>63</v>
      </c>
      <c r="L75" s="229" t="s">
        <v>636</v>
      </c>
      <c r="M75" s="229" t="s">
        <v>636</v>
      </c>
      <c r="O75" s="230"/>
      <c r="U75" s="230"/>
      <c r="V75" s="102" t="s">
        <v>324</v>
      </c>
    </row>
    <row r="76">
      <c r="A76" s="102" t="s">
        <v>276</v>
      </c>
      <c r="B76" s="102" t="s">
        <v>637</v>
      </c>
      <c r="C76" s="229" t="s">
        <v>638</v>
      </c>
      <c r="D76" s="102" t="s">
        <v>279</v>
      </c>
      <c r="E76" s="102" t="s">
        <v>280</v>
      </c>
      <c r="F76" s="102" t="s">
        <v>281</v>
      </c>
      <c r="G76" s="102" t="s">
        <v>282</v>
      </c>
      <c r="H76" s="102" t="s">
        <v>283</v>
      </c>
      <c r="I76" s="102" t="s">
        <v>284</v>
      </c>
      <c r="J76" s="102" t="s">
        <v>26</v>
      </c>
      <c r="L76" s="229" t="s">
        <v>639</v>
      </c>
      <c r="M76" s="229" t="s">
        <v>640</v>
      </c>
      <c r="O76" s="230"/>
      <c r="U76" s="230"/>
      <c r="V76" s="102" t="s">
        <v>288</v>
      </c>
    </row>
    <row r="77">
      <c r="A77" s="102" t="s">
        <v>276</v>
      </c>
      <c r="B77" s="102" t="s">
        <v>641</v>
      </c>
      <c r="C77" s="229" t="s">
        <v>642</v>
      </c>
      <c r="D77" s="102" t="s">
        <v>291</v>
      </c>
      <c r="E77" s="102" t="s">
        <v>280</v>
      </c>
      <c r="F77" s="102" t="s">
        <v>281</v>
      </c>
      <c r="G77" s="102" t="s">
        <v>282</v>
      </c>
      <c r="H77" s="102" t="s">
        <v>283</v>
      </c>
      <c r="I77" s="102" t="s">
        <v>284</v>
      </c>
      <c r="J77" s="102" t="s">
        <v>26</v>
      </c>
      <c r="L77" s="229" t="s">
        <v>643</v>
      </c>
      <c r="M77" s="229" t="s">
        <v>644</v>
      </c>
      <c r="O77" s="230"/>
      <c r="U77" s="230"/>
      <c r="V77" s="102" t="s">
        <v>288</v>
      </c>
    </row>
    <row r="78">
      <c r="A78" s="102" t="s">
        <v>310</v>
      </c>
      <c r="B78" s="102" t="s">
        <v>645</v>
      </c>
      <c r="C78" s="229" t="s">
        <v>646</v>
      </c>
      <c r="D78" s="102" t="s">
        <v>647</v>
      </c>
      <c r="E78" s="102" t="s">
        <v>513</v>
      </c>
      <c r="F78" s="102" t="s">
        <v>514</v>
      </c>
      <c r="G78" s="102" t="s">
        <v>314</v>
      </c>
      <c r="H78" s="102" t="s">
        <v>315</v>
      </c>
      <c r="I78" s="102" t="s">
        <v>648</v>
      </c>
      <c r="J78" s="102" t="s">
        <v>355</v>
      </c>
      <c r="L78" s="229" t="s">
        <v>649</v>
      </c>
      <c r="M78" s="229" t="s">
        <v>440</v>
      </c>
      <c r="N78" s="229" t="s">
        <v>472</v>
      </c>
      <c r="O78" s="102">
        <v>5.0</v>
      </c>
      <c r="P78" s="102" t="s">
        <v>593</v>
      </c>
      <c r="Q78" s="102" t="s">
        <v>650</v>
      </c>
      <c r="R78" s="102" t="s">
        <v>651</v>
      </c>
      <c r="U78" s="102">
        <v>57600.0</v>
      </c>
      <c r="V78" s="102" t="s">
        <v>444</v>
      </c>
    </row>
    <row r="79">
      <c r="A79" s="102" t="s">
        <v>310</v>
      </c>
      <c r="B79" s="102" t="s">
        <v>652</v>
      </c>
      <c r="C79" s="229" t="s">
        <v>653</v>
      </c>
      <c r="D79" s="102" t="s">
        <v>654</v>
      </c>
      <c r="E79" s="102" t="s">
        <v>314</v>
      </c>
      <c r="F79" s="102" t="s">
        <v>315</v>
      </c>
      <c r="G79" s="102" t="s">
        <v>314</v>
      </c>
      <c r="H79" s="102" t="s">
        <v>315</v>
      </c>
      <c r="I79" s="102" t="s">
        <v>284</v>
      </c>
      <c r="J79" s="102" t="s">
        <v>26</v>
      </c>
      <c r="L79" s="229" t="s">
        <v>655</v>
      </c>
      <c r="M79" s="229" t="s">
        <v>656</v>
      </c>
      <c r="O79" s="102">
        <v>1.0</v>
      </c>
      <c r="U79" s="102">
        <v>7200.0</v>
      </c>
      <c r="V79" s="102" t="s">
        <v>324</v>
      </c>
    </row>
    <row r="80">
      <c r="A80" s="102" t="s">
        <v>310</v>
      </c>
      <c r="B80" s="102" t="s">
        <v>657</v>
      </c>
      <c r="C80" s="229" t="s">
        <v>658</v>
      </c>
      <c r="D80" s="102" t="s">
        <v>659</v>
      </c>
      <c r="E80" s="102" t="s">
        <v>314</v>
      </c>
      <c r="F80" s="102" t="s">
        <v>315</v>
      </c>
      <c r="G80" s="102" t="s">
        <v>314</v>
      </c>
      <c r="H80" s="102" t="s">
        <v>315</v>
      </c>
      <c r="I80" s="102" t="s">
        <v>284</v>
      </c>
      <c r="J80" s="102" t="s">
        <v>26</v>
      </c>
      <c r="L80" s="229" t="s">
        <v>660</v>
      </c>
      <c r="M80" s="229" t="s">
        <v>661</v>
      </c>
      <c r="O80" s="102">
        <v>3.0</v>
      </c>
      <c r="U80" s="102">
        <v>28800.0</v>
      </c>
      <c r="V80" s="102" t="s">
        <v>324</v>
      </c>
    </row>
    <row r="81">
      <c r="A81" s="102" t="s">
        <v>310</v>
      </c>
      <c r="B81" s="102" t="s">
        <v>662</v>
      </c>
      <c r="C81" s="229" t="s">
        <v>663</v>
      </c>
      <c r="D81" s="102" t="s">
        <v>627</v>
      </c>
      <c r="E81" s="102" t="s">
        <v>314</v>
      </c>
      <c r="F81" s="102" t="s">
        <v>315</v>
      </c>
      <c r="G81" s="102" t="s">
        <v>314</v>
      </c>
      <c r="H81" s="102" t="s">
        <v>315</v>
      </c>
      <c r="I81" s="102" t="s">
        <v>284</v>
      </c>
      <c r="J81" s="102" t="s">
        <v>26</v>
      </c>
      <c r="L81" s="229" t="s">
        <v>660</v>
      </c>
      <c r="M81" s="229" t="s">
        <v>664</v>
      </c>
      <c r="O81" s="102">
        <v>2.0</v>
      </c>
      <c r="U81" s="102">
        <v>14400.0</v>
      </c>
      <c r="V81" s="102" t="s">
        <v>324</v>
      </c>
    </row>
    <row r="82">
      <c r="A82" s="102" t="s">
        <v>310</v>
      </c>
      <c r="B82" s="102" t="s">
        <v>665</v>
      </c>
      <c r="C82" s="229" t="s">
        <v>666</v>
      </c>
      <c r="D82" s="102" t="s">
        <v>667</v>
      </c>
      <c r="E82" s="102" t="s">
        <v>513</v>
      </c>
      <c r="F82" s="102" t="s">
        <v>514</v>
      </c>
      <c r="G82" s="102" t="s">
        <v>314</v>
      </c>
      <c r="H82" s="102" t="s">
        <v>315</v>
      </c>
      <c r="I82" s="102" t="s">
        <v>284</v>
      </c>
      <c r="J82" s="102" t="s">
        <v>355</v>
      </c>
      <c r="L82" s="229" t="s">
        <v>668</v>
      </c>
      <c r="M82" s="229" t="s">
        <v>669</v>
      </c>
      <c r="O82" s="102">
        <v>1.0</v>
      </c>
      <c r="P82" s="102" t="s">
        <v>670</v>
      </c>
      <c r="Q82" s="102" t="s">
        <v>671</v>
      </c>
      <c r="R82" s="102" t="s">
        <v>672</v>
      </c>
      <c r="S82" s="102" t="s">
        <v>673</v>
      </c>
      <c r="T82" s="102" t="s">
        <v>674</v>
      </c>
      <c r="U82" s="230"/>
      <c r="V82" s="102" t="s">
        <v>324</v>
      </c>
    </row>
    <row r="83">
      <c r="A83" s="102" t="s">
        <v>310</v>
      </c>
      <c r="B83" s="102" t="s">
        <v>675</v>
      </c>
      <c r="C83" s="229" t="s">
        <v>676</v>
      </c>
      <c r="D83" s="102" t="s">
        <v>677</v>
      </c>
      <c r="E83" s="102" t="s">
        <v>495</v>
      </c>
      <c r="F83" s="102" t="s">
        <v>496</v>
      </c>
      <c r="G83" s="102" t="s">
        <v>353</v>
      </c>
      <c r="H83" s="102" t="s">
        <v>354</v>
      </c>
      <c r="I83" s="102" t="s">
        <v>284</v>
      </c>
      <c r="J83" s="102" t="s">
        <v>678</v>
      </c>
      <c r="L83" s="229" t="s">
        <v>679</v>
      </c>
      <c r="M83" s="229" t="s">
        <v>567</v>
      </c>
      <c r="N83" s="229" t="s">
        <v>321</v>
      </c>
      <c r="O83" s="102">
        <v>3.0</v>
      </c>
      <c r="P83" s="102" t="s">
        <v>593</v>
      </c>
      <c r="U83" s="102">
        <v>28800.0</v>
      </c>
      <c r="V83" s="102" t="s">
        <v>358</v>
      </c>
    </row>
    <row r="84">
      <c r="A84" s="102" t="s">
        <v>310</v>
      </c>
      <c r="B84" s="102" t="s">
        <v>680</v>
      </c>
      <c r="C84" s="229" t="s">
        <v>681</v>
      </c>
      <c r="D84" s="102" t="s">
        <v>682</v>
      </c>
      <c r="E84" s="102" t="s">
        <v>564</v>
      </c>
      <c r="F84" s="102" t="s">
        <v>565</v>
      </c>
      <c r="G84" s="102" t="s">
        <v>353</v>
      </c>
      <c r="H84" s="102" t="s">
        <v>354</v>
      </c>
      <c r="I84" s="102" t="s">
        <v>284</v>
      </c>
      <c r="J84" s="102" t="s">
        <v>678</v>
      </c>
      <c r="L84" s="229" t="s">
        <v>683</v>
      </c>
      <c r="M84" s="229" t="s">
        <v>567</v>
      </c>
      <c r="N84" s="229" t="s">
        <v>472</v>
      </c>
      <c r="O84" s="102">
        <v>5.0</v>
      </c>
      <c r="U84" s="230"/>
      <c r="V84" s="102" t="s">
        <v>358</v>
      </c>
    </row>
    <row r="85">
      <c r="A85" s="102" t="s">
        <v>310</v>
      </c>
      <c r="B85" s="102" t="s">
        <v>684</v>
      </c>
      <c r="C85" s="229" t="s">
        <v>685</v>
      </c>
      <c r="D85" s="102" t="s">
        <v>686</v>
      </c>
      <c r="E85" s="102" t="s">
        <v>314</v>
      </c>
      <c r="F85" s="102" t="s">
        <v>315</v>
      </c>
      <c r="G85" s="102" t="s">
        <v>314</v>
      </c>
      <c r="H85" s="102" t="s">
        <v>315</v>
      </c>
      <c r="I85" s="102" t="s">
        <v>284</v>
      </c>
      <c r="J85" s="102" t="s">
        <v>26</v>
      </c>
      <c r="L85" s="229" t="s">
        <v>687</v>
      </c>
      <c r="M85" s="229" t="s">
        <v>688</v>
      </c>
      <c r="O85" s="102">
        <v>2.0</v>
      </c>
      <c r="U85" s="230"/>
      <c r="V85" s="102" t="s">
        <v>689</v>
      </c>
    </row>
    <row r="86">
      <c r="A86" s="102" t="s">
        <v>310</v>
      </c>
      <c r="B86" s="102" t="s">
        <v>690</v>
      </c>
      <c r="C86" s="229" t="s">
        <v>691</v>
      </c>
      <c r="D86" s="102" t="s">
        <v>692</v>
      </c>
      <c r="E86" s="102" t="s">
        <v>513</v>
      </c>
      <c r="F86" s="102" t="s">
        <v>514</v>
      </c>
      <c r="G86" s="102" t="s">
        <v>314</v>
      </c>
      <c r="H86" s="102" t="s">
        <v>315</v>
      </c>
      <c r="I86" s="102" t="s">
        <v>284</v>
      </c>
      <c r="J86" s="102" t="s">
        <v>26</v>
      </c>
      <c r="L86" s="229" t="s">
        <v>693</v>
      </c>
      <c r="M86" s="229" t="s">
        <v>669</v>
      </c>
      <c r="N86" s="229" t="s">
        <v>694</v>
      </c>
      <c r="O86" s="102">
        <v>1.0</v>
      </c>
      <c r="P86" s="102" t="s">
        <v>695</v>
      </c>
      <c r="Q86" s="102" t="s">
        <v>696</v>
      </c>
      <c r="R86" s="102" t="s">
        <v>697</v>
      </c>
      <c r="S86" s="102" t="s">
        <v>698</v>
      </c>
      <c r="U86" s="102">
        <v>7200.0</v>
      </c>
      <c r="V86" s="102" t="s">
        <v>324</v>
      </c>
    </row>
    <row r="87">
      <c r="A87" s="102" t="s">
        <v>310</v>
      </c>
      <c r="B87" s="102" t="s">
        <v>699</v>
      </c>
      <c r="C87" s="229" t="s">
        <v>700</v>
      </c>
      <c r="D87" s="102" t="s">
        <v>701</v>
      </c>
      <c r="E87" s="102" t="s">
        <v>304</v>
      </c>
      <c r="F87" s="102" t="s">
        <v>305</v>
      </c>
      <c r="G87" s="102" t="s">
        <v>314</v>
      </c>
      <c r="H87" s="102" t="s">
        <v>315</v>
      </c>
      <c r="I87" s="102" t="s">
        <v>284</v>
      </c>
      <c r="J87" s="102" t="s">
        <v>34</v>
      </c>
      <c r="L87" s="229" t="s">
        <v>702</v>
      </c>
      <c r="M87" s="229" t="s">
        <v>703</v>
      </c>
      <c r="O87" s="230"/>
      <c r="P87" s="102" t="s">
        <v>704</v>
      </c>
      <c r="Q87" s="102" t="s">
        <v>705</v>
      </c>
      <c r="R87" s="102" t="s">
        <v>706</v>
      </c>
      <c r="S87" s="102" t="s">
        <v>707</v>
      </c>
      <c r="U87" s="230"/>
      <c r="V87" s="102" t="s">
        <v>708</v>
      </c>
    </row>
    <row r="88">
      <c r="A88" s="102" t="s">
        <v>310</v>
      </c>
      <c r="B88" s="102" t="s">
        <v>709</v>
      </c>
      <c r="C88" s="229" t="s">
        <v>710</v>
      </c>
      <c r="D88" s="102" t="s">
        <v>711</v>
      </c>
      <c r="E88" s="102" t="s">
        <v>564</v>
      </c>
      <c r="F88" s="102" t="s">
        <v>565</v>
      </c>
      <c r="G88" s="102" t="s">
        <v>353</v>
      </c>
      <c r="H88" s="102" t="s">
        <v>354</v>
      </c>
      <c r="I88" s="102" t="s">
        <v>284</v>
      </c>
      <c r="J88" s="102" t="s">
        <v>454</v>
      </c>
      <c r="L88" s="229" t="s">
        <v>712</v>
      </c>
      <c r="M88" s="229" t="s">
        <v>567</v>
      </c>
      <c r="N88" s="229" t="s">
        <v>713</v>
      </c>
      <c r="O88" s="102">
        <v>1.0</v>
      </c>
      <c r="U88" s="230"/>
      <c r="V88" s="102" t="s">
        <v>714</v>
      </c>
      <c r="W88" s="102" t="s">
        <v>358</v>
      </c>
    </row>
    <row r="89">
      <c r="A89" s="102" t="s">
        <v>310</v>
      </c>
      <c r="B89" s="102" t="s">
        <v>715</v>
      </c>
      <c r="C89" s="229" t="s">
        <v>716</v>
      </c>
      <c r="D89" s="102" t="s">
        <v>717</v>
      </c>
      <c r="E89" s="102" t="s">
        <v>513</v>
      </c>
      <c r="F89" s="102" t="s">
        <v>514</v>
      </c>
      <c r="G89" s="102" t="s">
        <v>314</v>
      </c>
      <c r="H89" s="102" t="s">
        <v>315</v>
      </c>
      <c r="I89" s="102" t="s">
        <v>284</v>
      </c>
      <c r="J89" s="102" t="s">
        <v>355</v>
      </c>
      <c r="L89" s="229" t="s">
        <v>718</v>
      </c>
      <c r="M89" s="229" t="s">
        <v>480</v>
      </c>
      <c r="N89" s="229" t="s">
        <v>575</v>
      </c>
      <c r="O89" s="102">
        <v>5.0</v>
      </c>
      <c r="P89" s="102" t="s">
        <v>719</v>
      </c>
      <c r="Q89" s="102" t="s">
        <v>671</v>
      </c>
      <c r="R89" s="102" t="s">
        <v>720</v>
      </c>
      <c r="S89" s="102" t="s">
        <v>721</v>
      </c>
      <c r="U89" s="102">
        <v>57600.0</v>
      </c>
      <c r="V89" s="102" t="s">
        <v>387</v>
      </c>
    </row>
    <row r="90">
      <c r="A90" s="102" t="s">
        <v>310</v>
      </c>
      <c r="B90" s="102" t="s">
        <v>722</v>
      </c>
      <c r="C90" s="229" t="s">
        <v>723</v>
      </c>
      <c r="D90" s="102" t="s">
        <v>724</v>
      </c>
      <c r="E90" s="102" t="s">
        <v>314</v>
      </c>
      <c r="F90" s="102" t="s">
        <v>315</v>
      </c>
      <c r="G90" s="102" t="s">
        <v>314</v>
      </c>
      <c r="H90" s="102" t="s">
        <v>315</v>
      </c>
      <c r="I90" s="102" t="s">
        <v>284</v>
      </c>
      <c r="J90" s="102" t="s">
        <v>63</v>
      </c>
      <c r="L90" s="229" t="s">
        <v>725</v>
      </c>
      <c r="M90" s="229" t="s">
        <v>726</v>
      </c>
      <c r="O90" s="102">
        <v>8.0</v>
      </c>
      <c r="U90" s="230"/>
      <c r="V90" s="102" t="s">
        <v>444</v>
      </c>
    </row>
    <row r="91">
      <c r="A91" s="102" t="s">
        <v>310</v>
      </c>
      <c r="B91" s="102" t="s">
        <v>727</v>
      </c>
      <c r="C91" s="229" t="s">
        <v>728</v>
      </c>
      <c r="D91" s="102" t="s">
        <v>729</v>
      </c>
      <c r="E91" s="102" t="s">
        <v>513</v>
      </c>
      <c r="F91" s="102" t="s">
        <v>514</v>
      </c>
      <c r="G91" s="102" t="s">
        <v>314</v>
      </c>
      <c r="H91" s="102" t="s">
        <v>315</v>
      </c>
      <c r="I91" s="102" t="s">
        <v>515</v>
      </c>
      <c r="J91" s="102" t="s">
        <v>26</v>
      </c>
      <c r="L91" s="229" t="s">
        <v>730</v>
      </c>
      <c r="M91" s="229" t="s">
        <v>440</v>
      </c>
      <c r="N91" s="229" t="s">
        <v>517</v>
      </c>
      <c r="O91" s="102">
        <v>2.0</v>
      </c>
      <c r="P91" s="102" t="s">
        <v>731</v>
      </c>
      <c r="Q91" s="102" t="s">
        <v>732</v>
      </c>
      <c r="U91" s="102">
        <v>14400.0</v>
      </c>
      <c r="V91" s="102" t="s">
        <v>444</v>
      </c>
    </row>
    <row r="92">
      <c r="A92" s="102" t="s">
        <v>310</v>
      </c>
      <c r="B92" s="102" t="s">
        <v>733</v>
      </c>
      <c r="C92" s="229" t="s">
        <v>734</v>
      </c>
      <c r="D92" s="102" t="s">
        <v>735</v>
      </c>
      <c r="E92" s="102" t="s">
        <v>556</v>
      </c>
      <c r="F92" s="102" t="s">
        <v>557</v>
      </c>
      <c r="G92" s="102" t="s">
        <v>353</v>
      </c>
      <c r="H92" s="102" t="s">
        <v>354</v>
      </c>
      <c r="I92" s="102" t="s">
        <v>284</v>
      </c>
      <c r="J92" s="102" t="s">
        <v>678</v>
      </c>
      <c r="L92" s="229" t="s">
        <v>736</v>
      </c>
      <c r="M92" s="229" t="s">
        <v>567</v>
      </c>
      <c r="N92" s="229" t="s">
        <v>432</v>
      </c>
      <c r="O92" s="102">
        <v>8.0</v>
      </c>
      <c r="U92" s="102">
        <v>86400.0</v>
      </c>
      <c r="V92" s="102" t="s">
        <v>324</v>
      </c>
    </row>
    <row r="93">
      <c r="A93" s="102" t="s">
        <v>310</v>
      </c>
      <c r="B93" s="102" t="s">
        <v>737</v>
      </c>
      <c r="C93" s="229" t="s">
        <v>738</v>
      </c>
      <c r="D93" s="102" t="s">
        <v>739</v>
      </c>
      <c r="E93" s="102" t="s">
        <v>564</v>
      </c>
      <c r="F93" s="102" t="s">
        <v>565</v>
      </c>
      <c r="G93" s="102" t="s">
        <v>282</v>
      </c>
      <c r="H93" s="102" t="s">
        <v>283</v>
      </c>
      <c r="I93" s="102" t="s">
        <v>284</v>
      </c>
      <c r="J93" s="102" t="s">
        <v>678</v>
      </c>
      <c r="L93" s="229" t="s">
        <v>740</v>
      </c>
      <c r="M93" s="229" t="s">
        <v>741</v>
      </c>
      <c r="N93" s="229" t="s">
        <v>427</v>
      </c>
      <c r="O93" s="102">
        <v>3.0</v>
      </c>
      <c r="U93" s="230"/>
      <c r="V93" s="102" t="s">
        <v>742</v>
      </c>
    </row>
    <row r="94">
      <c r="A94" s="102" t="s">
        <v>310</v>
      </c>
      <c r="B94" s="102" t="s">
        <v>743</v>
      </c>
      <c r="C94" s="229" t="s">
        <v>744</v>
      </c>
      <c r="D94" s="102" t="s">
        <v>745</v>
      </c>
      <c r="E94" s="102" t="s">
        <v>304</v>
      </c>
      <c r="F94" s="102" t="s">
        <v>305</v>
      </c>
      <c r="G94" s="102" t="s">
        <v>304</v>
      </c>
      <c r="H94" s="102" t="s">
        <v>305</v>
      </c>
      <c r="I94" s="102" t="s">
        <v>284</v>
      </c>
      <c r="J94" s="102" t="s">
        <v>26</v>
      </c>
      <c r="L94" s="229" t="s">
        <v>746</v>
      </c>
      <c r="M94" s="229" t="s">
        <v>747</v>
      </c>
      <c r="N94" s="229" t="s">
        <v>321</v>
      </c>
      <c r="O94" s="102">
        <v>1.0</v>
      </c>
      <c r="P94" s="102" t="s">
        <v>27</v>
      </c>
      <c r="Q94" s="102" t="s">
        <v>593</v>
      </c>
      <c r="U94" s="230"/>
      <c r="V94" s="102" t="s">
        <v>288</v>
      </c>
    </row>
    <row r="95">
      <c r="A95" s="102" t="s">
        <v>332</v>
      </c>
      <c r="B95" s="102" t="s">
        <v>748</v>
      </c>
      <c r="C95" s="229" t="s">
        <v>749</v>
      </c>
      <c r="D95" s="102" t="s">
        <v>750</v>
      </c>
      <c r="E95" s="102" t="s">
        <v>751</v>
      </c>
      <c r="F95" s="102" t="s">
        <v>752</v>
      </c>
      <c r="G95" s="102" t="s">
        <v>316</v>
      </c>
      <c r="H95" s="102" t="s">
        <v>317</v>
      </c>
      <c r="I95" s="102" t="s">
        <v>284</v>
      </c>
      <c r="J95" s="102" t="s">
        <v>336</v>
      </c>
      <c r="L95" s="229" t="s">
        <v>753</v>
      </c>
      <c r="M95" s="229" t="s">
        <v>754</v>
      </c>
      <c r="N95" s="229" t="s">
        <v>755</v>
      </c>
      <c r="O95" s="230"/>
      <c r="P95" s="102" t="s">
        <v>27</v>
      </c>
      <c r="Q95" s="102" t="s">
        <v>367</v>
      </c>
      <c r="U95" s="230"/>
      <c r="V95" s="102" t="s">
        <v>324</v>
      </c>
    </row>
    <row r="96">
      <c r="A96" s="102" t="s">
        <v>332</v>
      </c>
      <c r="B96" s="102" t="s">
        <v>756</v>
      </c>
      <c r="C96" s="229" t="s">
        <v>757</v>
      </c>
      <c r="D96" s="102" t="s">
        <v>758</v>
      </c>
      <c r="E96" s="102" t="s">
        <v>304</v>
      </c>
      <c r="F96" s="102" t="s">
        <v>305</v>
      </c>
      <c r="G96" s="102" t="s">
        <v>316</v>
      </c>
      <c r="H96" s="102" t="s">
        <v>317</v>
      </c>
      <c r="I96" s="102" t="s">
        <v>284</v>
      </c>
      <c r="J96" s="102" t="s">
        <v>759</v>
      </c>
      <c r="L96" s="229" t="s">
        <v>760</v>
      </c>
      <c r="M96" s="229" t="s">
        <v>480</v>
      </c>
      <c r="N96" s="229" t="s">
        <v>755</v>
      </c>
      <c r="O96" s="230"/>
      <c r="U96" s="230"/>
      <c r="V96" s="102" t="s">
        <v>324</v>
      </c>
    </row>
    <row r="97">
      <c r="A97" s="102" t="s">
        <v>310</v>
      </c>
      <c r="B97" s="102" t="s">
        <v>761</v>
      </c>
      <c r="C97" s="229" t="s">
        <v>762</v>
      </c>
      <c r="D97" s="102" t="s">
        <v>763</v>
      </c>
      <c r="E97" s="102" t="s">
        <v>353</v>
      </c>
      <c r="F97" s="102" t="s">
        <v>354</v>
      </c>
      <c r="G97" s="102" t="s">
        <v>316</v>
      </c>
      <c r="H97" s="102" t="s">
        <v>317</v>
      </c>
      <c r="I97" s="102" t="s">
        <v>318</v>
      </c>
      <c r="J97" s="102" t="s">
        <v>26</v>
      </c>
      <c r="L97" s="229" t="s">
        <v>764</v>
      </c>
      <c r="M97" s="229" t="s">
        <v>365</v>
      </c>
      <c r="N97" s="229" t="s">
        <v>713</v>
      </c>
      <c r="O97" s="230"/>
      <c r="P97" s="102" t="s">
        <v>322</v>
      </c>
      <c r="Q97" s="102" t="s">
        <v>538</v>
      </c>
      <c r="U97" s="230"/>
      <c r="V97" s="102" t="s">
        <v>417</v>
      </c>
      <c r="W97" s="102" t="s">
        <v>324</v>
      </c>
    </row>
    <row r="98">
      <c r="A98" s="102" t="s">
        <v>310</v>
      </c>
      <c r="B98" s="102" t="s">
        <v>765</v>
      </c>
      <c r="C98" s="229" t="s">
        <v>766</v>
      </c>
      <c r="D98" s="102" t="s">
        <v>767</v>
      </c>
      <c r="E98" s="102" t="s">
        <v>314</v>
      </c>
      <c r="F98" s="102" t="s">
        <v>315</v>
      </c>
      <c r="G98" s="102" t="s">
        <v>316</v>
      </c>
      <c r="H98" s="102" t="s">
        <v>317</v>
      </c>
      <c r="I98" s="102" t="s">
        <v>284</v>
      </c>
      <c r="J98" s="102" t="s">
        <v>26</v>
      </c>
      <c r="L98" s="229" t="s">
        <v>768</v>
      </c>
      <c r="M98" s="229" t="s">
        <v>365</v>
      </c>
      <c r="N98" s="229" t="s">
        <v>427</v>
      </c>
      <c r="O98" s="102">
        <v>1.0</v>
      </c>
      <c r="U98" s="102">
        <v>300.0</v>
      </c>
      <c r="V98" s="102" t="s">
        <v>324</v>
      </c>
      <c r="AC98" s="231"/>
    </row>
    <row r="99">
      <c r="A99" s="102" t="s">
        <v>310</v>
      </c>
      <c r="B99" s="102" t="s">
        <v>769</v>
      </c>
      <c r="C99" s="229" t="s">
        <v>770</v>
      </c>
      <c r="D99" s="102" t="s">
        <v>771</v>
      </c>
      <c r="E99" s="102" t="s">
        <v>282</v>
      </c>
      <c r="F99" s="102" t="s">
        <v>283</v>
      </c>
      <c r="G99" s="102" t="s">
        <v>282</v>
      </c>
      <c r="H99" s="102" t="s">
        <v>283</v>
      </c>
      <c r="I99" s="102" t="s">
        <v>284</v>
      </c>
      <c r="J99" s="102" t="s">
        <v>26</v>
      </c>
      <c r="L99" s="229" t="s">
        <v>772</v>
      </c>
      <c r="M99" s="229" t="s">
        <v>669</v>
      </c>
      <c r="O99" s="102">
        <v>2.0</v>
      </c>
      <c r="U99" s="230"/>
      <c r="V99" s="102" t="s">
        <v>324</v>
      </c>
    </row>
    <row r="100">
      <c r="A100" s="102" t="s">
        <v>310</v>
      </c>
      <c r="B100" s="102" t="s">
        <v>773</v>
      </c>
      <c r="C100" s="229" t="s">
        <v>774</v>
      </c>
      <c r="D100" s="102" t="s">
        <v>775</v>
      </c>
      <c r="E100" s="102" t="s">
        <v>584</v>
      </c>
      <c r="F100" s="102" t="s">
        <v>585</v>
      </c>
      <c r="G100" s="102" t="s">
        <v>282</v>
      </c>
      <c r="H100" s="102" t="s">
        <v>283</v>
      </c>
      <c r="I100" s="102" t="s">
        <v>284</v>
      </c>
      <c r="J100" s="102" t="s">
        <v>26</v>
      </c>
      <c r="L100" s="229" t="s">
        <v>776</v>
      </c>
      <c r="M100" s="229" t="s">
        <v>509</v>
      </c>
      <c r="O100" s="102">
        <v>1.0</v>
      </c>
      <c r="P100" s="102" t="s">
        <v>777</v>
      </c>
      <c r="U100" s="230"/>
      <c r="V100" s="102" t="s">
        <v>288</v>
      </c>
    </row>
    <row r="101">
      <c r="A101" s="102" t="s">
        <v>310</v>
      </c>
      <c r="B101" s="102" t="s">
        <v>778</v>
      </c>
      <c r="C101" s="229" t="s">
        <v>779</v>
      </c>
      <c r="D101" s="102" t="s">
        <v>780</v>
      </c>
      <c r="E101" s="102" t="s">
        <v>282</v>
      </c>
      <c r="F101" s="102" t="s">
        <v>283</v>
      </c>
      <c r="G101" s="102" t="s">
        <v>316</v>
      </c>
      <c r="H101" s="102" t="s">
        <v>317</v>
      </c>
      <c r="I101" s="102" t="s">
        <v>284</v>
      </c>
      <c r="J101" s="102" t="s">
        <v>26</v>
      </c>
      <c r="L101" s="229" t="s">
        <v>781</v>
      </c>
      <c r="M101" s="229" t="s">
        <v>365</v>
      </c>
      <c r="N101" s="229" t="s">
        <v>575</v>
      </c>
      <c r="O101" s="102">
        <v>1.0</v>
      </c>
      <c r="P101" s="102" t="s">
        <v>433</v>
      </c>
      <c r="Q101" s="102" t="s">
        <v>782</v>
      </c>
      <c r="R101" s="102" t="s">
        <v>783</v>
      </c>
      <c r="U101" s="102">
        <v>1800.0</v>
      </c>
      <c r="V101" s="102" t="s">
        <v>417</v>
      </c>
      <c r="W101" s="102" t="s">
        <v>324</v>
      </c>
    </row>
    <row r="102">
      <c r="A102" s="102" t="s">
        <v>310</v>
      </c>
      <c r="B102" s="102" t="s">
        <v>784</v>
      </c>
      <c r="C102" s="229" t="s">
        <v>785</v>
      </c>
      <c r="D102" s="102" t="s">
        <v>786</v>
      </c>
      <c r="E102" s="102" t="s">
        <v>314</v>
      </c>
      <c r="F102" s="102" t="s">
        <v>315</v>
      </c>
      <c r="G102" s="102" t="s">
        <v>282</v>
      </c>
      <c r="H102" s="102" t="s">
        <v>283</v>
      </c>
      <c r="I102" s="102" t="s">
        <v>284</v>
      </c>
      <c r="J102" s="102" t="s">
        <v>355</v>
      </c>
      <c r="L102" s="229" t="s">
        <v>787</v>
      </c>
      <c r="M102" s="229" t="s">
        <v>788</v>
      </c>
      <c r="O102" s="102">
        <v>1.0</v>
      </c>
      <c r="U102" s="230"/>
      <c r="V102" s="102" t="s">
        <v>288</v>
      </c>
    </row>
    <row r="103">
      <c r="A103" s="102" t="s">
        <v>310</v>
      </c>
      <c r="B103" s="102" t="s">
        <v>789</v>
      </c>
      <c r="C103" s="229" t="s">
        <v>790</v>
      </c>
      <c r="D103" s="102" t="s">
        <v>791</v>
      </c>
      <c r="E103" s="102" t="s">
        <v>314</v>
      </c>
      <c r="F103" s="102" t="s">
        <v>315</v>
      </c>
      <c r="G103" s="102" t="s">
        <v>282</v>
      </c>
      <c r="H103" s="102" t="s">
        <v>283</v>
      </c>
      <c r="I103" s="102" t="s">
        <v>284</v>
      </c>
      <c r="J103" s="102" t="s">
        <v>355</v>
      </c>
      <c r="L103" s="229" t="s">
        <v>787</v>
      </c>
      <c r="M103" s="229" t="s">
        <v>788</v>
      </c>
      <c r="O103" s="102">
        <v>1.0</v>
      </c>
      <c r="U103" s="230"/>
      <c r="V103" s="102" t="s">
        <v>288</v>
      </c>
    </row>
    <row r="104">
      <c r="A104" s="102" t="s">
        <v>310</v>
      </c>
      <c r="B104" s="102" t="s">
        <v>792</v>
      </c>
      <c r="C104" s="229" t="s">
        <v>793</v>
      </c>
      <c r="D104" s="102" t="s">
        <v>794</v>
      </c>
      <c r="E104" s="102" t="s">
        <v>495</v>
      </c>
      <c r="F104" s="102" t="s">
        <v>496</v>
      </c>
      <c r="G104" s="102" t="s">
        <v>282</v>
      </c>
      <c r="H104" s="102" t="s">
        <v>283</v>
      </c>
      <c r="I104" s="102" t="s">
        <v>284</v>
      </c>
      <c r="J104" s="102" t="s">
        <v>355</v>
      </c>
      <c r="L104" s="229" t="s">
        <v>787</v>
      </c>
      <c r="M104" s="229" t="s">
        <v>788</v>
      </c>
      <c r="O104" s="102">
        <v>2.0</v>
      </c>
      <c r="U104" s="230"/>
      <c r="V104" s="102" t="s">
        <v>288</v>
      </c>
    </row>
    <row r="105">
      <c r="A105" s="102" t="s">
        <v>310</v>
      </c>
      <c r="B105" s="102" t="s">
        <v>795</v>
      </c>
      <c r="C105" s="229" t="s">
        <v>796</v>
      </c>
      <c r="D105" s="102" t="s">
        <v>797</v>
      </c>
      <c r="E105" s="102" t="s">
        <v>304</v>
      </c>
      <c r="F105" s="102" t="s">
        <v>305</v>
      </c>
      <c r="G105" s="102" t="s">
        <v>282</v>
      </c>
      <c r="H105" s="102" t="s">
        <v>283</v>
      </c>
      <c r="I105" s="102" t="s">
        <v>284</v>
      </c>
      <c r="J105" s="102" t="s">
        <v>26</v>
      </c>
      <c r="L105" s="229" t="s">
        <v>787</v>
      </c>
      <c r="M105" s="229" t="s">
        <v>788</v>
      </c>
      <c r="O105" s="102">
        <v>2.0</v>
      </c>
      <c r="U105" s="230"/>
      <c r="V105" s="102" t="s">
        <v>288</v>
      </c>
    </row>
    <row r="106">
      <c r="A106" s="102" t="s">
        <v>310</v>
      </c>
      <c r="B106" s="102" t="s">
        <v>798</v>
      </c>
      <c r="C106" s="229" t="s">
        <v>799</v>
      </c>
      <c r="D106" s="102" t="s">
        <v>800</v>
      </c>
      <c r="E106" s="102" t="s">
        <v>556</v>
      </c>
      <c r="F106" s="102" t="s">
        <v>557</v>
      </c>
      <c r="G106" s="102" t="s">
        <v>282</v>
      </c>
      <c r="H106" s="102" t="s">
        <v>283</v>
      </c>
      <c r="I106" s="102" t="s">
        <v>284</v>
      </c>
      <c r="J106" s="102" t="s">
        <v>355</v>
      </c>
      <c r="L106" s="229" t="s">
        <v>787</v>
      </c>
      <c r="M106" s="229" t="s">
        <v>788</v>
      </c>
      <c r="O106" s="102">
        <v>2.0</v>
      </c>
      <c r="U106" s="230"/>
      <c r="V106" s="102" t="s">
        <v>288</v>
      </c>
    </row>
    <row r="107">
      <c r="A107" s="102" t="s">
        <v>310</v>
      </c>
      <c r="B107" s="102" t="s">
        <v>801</v>
      </c>
      <c r="C107" s="229" t="s">
        <v>802</v>
      </c>
      <c r="D107" s="102" t="s">
        <v>803</v>
      </c>
      <c r="E107" s="102" t="s">
        <v>282</v>
      </c>
      <c r="F107" s="102" t="s">
        <v>283</v>
      </c>
      <c r="G107" s="102" t="s">
        <v>282</v>
      </c>
      <c r="H107" s="102" t="s">
        <v>283</v>
      </c>
      <c r="I107" s="102" t="s">
        <v>284</v>
      </c>
      <c r="J107" s="102" t="s">
        <v>26</v>
      </c>
      <c r="L107" s="229" t="s">
        <v>787</v>
      </c>
      <c r="M107" s="229" t="s">
        <v>788</v>
      </c>
      <c r="O107" s="102">
        <v>1.0</v>
      </c>
      <c r="U107" s="230"/>
      <c r="V107" s="102" t="s">
        <v>288</v>
      </c>
    </row>
    <row r="108">
      <c r="A108" s="102" t="s">
        <v>310</v>
      </c>
      <c r="B108" s="102" t="s">
        <v>804</v>
      </c>
      <c r="C108" s="229" t="s">
        <v>805</v>
      </c>
      <c r="D108" s="102" t="s">
        <v>806</v>
      </c>
      <c r="E108" s="102" t="s">
        <v>282</v>
      </c>
      <c r="F108" s="102" t="s">
        <v>283</v>
      </c>
      <c r="G108" s="102" t="s">
        <v>282</v>
      </c>
      <c r="H108" s="102" t="s">
        <v>283</v>
      </c>
      <c r="I108" s="102" t="s">
        <v>284</v>
      </c>
      <c r="J108" s="102" t="s">
        <v>26</v>
      </c>
      <c r="L108" s="229" t="s">
        <v>787</v>
      </c>
      <c r="M108" s="229" t="s">
        <v>456</v>
      </c>
      <c r="O108" s="102">
        <v>1.0</v>
      </c>
      <c r="U108" s="230"/>
      <c r="V108" s="102" t="s">
        <v>288</v>
      </c>
    </row>
    <row r="109">
      <c r="A109" s="102" t="s">
        <v>310</v>
      </c>
      <c r="B109" s="102" t="s">
        <v>807</v>
      </c>
      <c r="C109" s="229" t="s">
        <v>808</v>
      </c>
      <c r="D109" s="102" t="s">
        <v>809</v>
      </c>
      <c r="E109" s="102" t="s">
        <v>564</v>
      </c>
      <c r="F109" s="102" t="s">
        <v>565</v>
      </c>
      <c r="G109" s="102" t="s">
        <v>282</v>
      </c>
      <c r="H109" s="102" t="s">
        <v>283</v>
      </c>
      <c r="I109" s="102" t="s">
        <v>284</v>
      </c>
      <c r="J109" s="102" t="s">
        <v>678</v>
      </c>
      <c r="L109" s="229" t="s">
        <v>810</v>
      </c>
      <c r="M109" s="229" t="s">
        <v>788</v>
      </c>
      <c r="O109" s="102">
        <v>2.0</v>
      </c>
      <c r="U109" s="102">
        <v>0.0</v>
      </c>
      <c r="V109" s="102" t="s">
        <v>288</v>
      </c>
    </row>
    <row r="110">
      <c r="A110" s="102" t="s">
        <v>310</v>
      </c>
      <c r="B110" s="102" t="s">
        <v>811</v>
      </c>
      <c r="C110" s="229" t="s">
        <v>812</v>
      </c>
      <c r="D110" s="102" t="s">
        <v>813</v>
      </c>
      <c r="E110" s="102" t="s">
        <v>353</v>
      </c>
      <c r="F110" s="102" t="s">
        <v>354</v>
      </c>
      <c r="G110" s="102" t="s">
        <v>282</v>
      </c>
      <c r="H110" s="102" t="s">
        <v>283</v>
      </c>
      <c r="I110" s="102" t="s">
        <v>284</v>
      </c>
      <c r="J110" s="102" t="s">
        <v>355</v>
      </c>
      <c r="L110" s="229" t="s">
        <v>810</v>
      </c>
      <c r="M110" s="229" t="s">
        <v>788</v>
      </c>
      <c r="O110" s="230"/>
      <c r="U110" s="230"/>
      <c r="V110" s="102" t="s">
        <v>288</v>
      </c>
    </row>
    <row r="111">
      <c r="A111" s="102" t="s">
        <v>310</v>
      </c>
      <c r="B111" s="102" t="s">
        <v>814</v>
      </c>
      <c r="C111" s="229" t="s">
        <v>815</v>
      </c>
      <c r="D111" s="102" t="s">
        <v>816</v>
      </c>
      <c r="E111" s="102" t="s">
        <v>353</v>
      </c>
      <c r="F111" s="102" t="s">
        <v>354</v>
      </c>
      <c r="G111" s="102" t="s">
        <v>282</v>
      </c>
      <c r="H111" s="102" t="s">
        <v>283</v>
      </c>
      <c r="I111" s="102" t="s">
        <v>284</v>
      </c>
      <c r="J111" s="102" t="s">
        <v>355</v>
      </c>
      <c r="L111" s="229" t="s">
        <v>810</v>
      </c>
      <c r="M111" s="229" t="s">
        <v>788</v>
      </c>
      <c r="O111" s="230"/>
      <c r="U111" s="230"/>
      <c r="V111" s="102" t="s">
        <v>288</v>
      </c>
    </row>
    <row r="112">
      <c r="A112" s="102" t="s">
        <v>310</v>
      </c>
      <c r="B112" s="102" t="s">
        <v>817</v>
      </c>
      <c r="C112" s="229" t="s">
        <v>818</v>
      </c>
      <c r="D112" s="102" t="s">
        <v>819</v>
      </c>
      <c r="E112" s="102" t="s">
        <v>328</v>
      </c>
      <c r="F112" s="102" t="s">
        <v>329</v>
      </c>
      <c r="G112" s="102" t="s">
        <v>282</v>
      </c>
      <c r="H112" s="102" t="s">
        <v>283</v>
      </c>
      <c r="I112" s="102" t="s">
        <v>284</v>
      </c>
      <c r="J112" s="102" t="s">
        <v>355</v>
      </c>
      <c r="L112" s="229" t="s">
        <v>810</v>
      </c>
      <c r="M112" s="229" t="s">
        <v>788</v>
      </c>
      <c r="O112" s="230"/>
      <c r="U112" s="230"/>
      <c r="V112" s="102" t="s">
        <v>288</v>
      </c>
    </row>
    <row r="113">
      <c r="A113" s="102" t="s">
        <v>310</v>
      </c>
      <c r="B113" s="102" t="s">
        <v>820</v>
      </c>
      <c r="C113" s="229" t="s">
        <v>821</v>
      </c>
      <c r="D113" s="102" t="s">
        <v>822</v>
      </c>
      <c r="E113" s="102" t="s">
        <v>353</v>
      </c>
      <c r="F113" s="102" t="s">
        <v>354</v>
      </c>
      <c r="G113" s="102" t="s">
        <v>282</v>
      </c>
      <c r="H113" s="102" t="s">
        <v>283</v>
      </c>
      <c r="I113" s="102" t="s">
        <v>284</v>
      </c>
      <c r="J113" s="102" t="s">
        <v>355</v>
      </c>
      <c r="L113" s="229" t="s">
        <v>810</v>
      </c>
      <c r="M113" s="229" t="s">
        <v>788</v>
      </c>
      <c r="O113" s="230"/>
      <c r="U113" s="230"/>
      <c r="V113" s="102" t="s">
        <v>288</v>
      </c>
    </row>
    <row r="114">
      <c r="A114" s="102" t="s">
        <v>310</v>
      </c>
      <c r="B114" s="102" t="s">
        <v>823</v>
      </c>
      <c r="C114" s="229" t="s">
        <v>824</v>
      </c>
      <c r="D114" s="102" t="s">
        <v>825</v>
      </c>
      <c r="E114" s="102" t="s">
        <v>353</v>
      </c>
      <c r="F114" s="102" t="s">
        <v>354</v>
      </c>
      <c r="G114" s="102" t="s">
        <v>282</v>
      </c>
      <c r="H114" s="102" t="s">
        <v>283</v>
      </c>
      <c r="I114" s="102" t="s">
        <v>284</v>
      </c>
      <c r="J114" s="102" t="s">
        <v>355</v>
      </c>
      <c r="L114" s="229" t="s">
        <v>810</v>
      </c>
      <c r="M114" s="229" t="s">
        <v>788</v>
      </c>
      <c r="O114" s="230"/>
      <c r="U114" s="230"/>
      <c r="V114" s="102" t="s">
        <v>288</v>
      </c>
    </row>
    <row r="115">
      <c r="A115" s="102" t="s">
        <v>310</v>
      </c>
      <c r="B115" s="102" t="s">
        <v>826</v>
      </c>
      <c r="C115" s="229" t="s">
        <v>827</v>
      </c>
      <c r="D115" s="102" t="s">
        <v>828</v>
      </c>
      <c r="E115" s="102" t="s">
        <v>353</v>
      </c>
      <c r="F115" s="102" t="s">
        <v>354</v>
      </c>
      <c r="G115" s="102" t="s">
        <v>282</v>
      </c>
      <c r="H115" s="102" t="s">
        <v>283</v>
      </c>
      <c r="I115" s="102" t="s">
        <v>284</v>
      </c>
      <c r="J115" s="102" t="s">
        <v>355</v>
      </c>
      <c r="L115" s="229" t="s">
        <v>810</v>
      </c>
      <c r="M115" s="229" t="s">
        <v>788</v>
      </c>
      <c r="O115" s="230"/>
      <c r="U115" s="230"/>
      <c r="V115" s="102" t="s">
        <v>288</v>
      </c>
      <c r="AQ115" s="102"/>
    </row>
    <row r="116">
      <c r="A116" s="102" t="s">
        <v>310</v>
      </c>
      <c r="B116" s="102" t="s">
        <v>829</v>
      </c>
      <c r="C116" s="229" t="s">
        <v>830</v>
      </c>
      <c r="D116" s="102" t="s">
        <v>831</v>
      </c>
      <c r="E116" s="102" t="s">
        <v>353</v>
      </c>
      <c r="F116" s="102" t="s">
        <v>354</v>
      </c>
      <c r="G116" s="102" t="s">
        <v>282</v>
      </c>
      <c r="H116" s="102" t="s">
        <v>283</v>
      </c>
      <c r="I116" s="102" t="s">
        <v>284</v>
      </c>
      <c r="J116" s="102" t="s">
        <v>63</v>
      </c>
      <c r="L116" s="229" t="s">
        <v>810</v>
      </c>
      <c r="M116" s="229" t="s">
        <v>788</v>
      </c>
      <c r="O116" s="230"/>
      <c r="U116" s="230"/>
      <c r="V116" s="102" t="s">
        <v>288</v>
      </c>
      <c r="AQ116" s="102"/>
    </row>
    <row r="117">
      <c r="A117" s="102" t="s">
        <v>310</v>
      </c>
      <c r="B117" s="102" t="s">
        <v>832</v>
      </c>
      <c r="C117" s="229" t="s">
        <v>833</v>
      </c>
      <c r="D117" s="102" t="s">
        <v>834</v>
      </c>
      <c r="E117" s="102" t="s">
        <v>556</v>
      </c>
      <c r="F117" s="102" t="s">
        <v>557</v>
      </c>
      <c r="G117" s="102" t="s">
        <v>282</v>
      </c>
      <c r="H117" s="102" t="s">
        <v>283</v>
      </c>
      <c r="I117" s="102" t="s">
        <v>284</v>
      </c>
      <c r="J117" s="102" t="s">
        <v>355</v>
      </c>
      <c r="L117" s="229" t="s">
        <v>835</v>
      </c>
      <c r="M117" s="229" t="s">
        <v>788</v>
      </c>
      <c r="O117" s="102">
        <v>2.0</v>
      </c>
      <c r="U117" s="230"/>
      <c r="V117" s="102" t="s">
        <v>288</v>
      </c>
      <c r="AQ117" s="102"/>
    </row>
    <row r="118">
      <c r="A118" s="102" t="s">
        <v>310</v>
      </c>
      <c r="B118" s="102" t="s">
        <v>836</v>
      </c>
      <c r="C118" s="229" t="s">
        <v>837</v>
      </c>
      <c r="D118" s="102" t="s">
        <v>838</v>
      </c>
      <c r="E118" s="102" t="s">
        <v>584</v>
      </c>
      <c r="F118" s="102" t="s">
        <v>585</v>
      </c>
      <c r="G118" s="102" t="s">
        <v>282</v>
      </c>
      <c r="H118" s="102" t="s">
        <v>283</v>
      </c>
      <c r="I118" s="102" t="s">
        <v>284</v>
      </c>
      <c r="J118" s="102" t="s">
        <v>355</v>
      </c>
      <c r="L118" s="229" t="s">
        <v>835</v>
      </c>
      <c r="M118" s="229" t="s">
        <v>788</v>
      </c>
      <c r="O118" s="102">
        <v>2.0</v>
      </c>
      <c r="U118" s="230"/>
      <c r="V118" s="102" t="s">
        <v>288</v>
      </c>
      <c r="AQ118" s="102"/>
    </row>
    <row r="119">
      <c r="A119" s="102" t="s">
        <v>310</v>
      </c>
      <c r="B119" s="102" t="s">
        <v>839</v>
      </c>
      <c r="C119" s="229" t="s">
        <v>840</v>
      </c>
      <c r="D119" s="102" t="s">
        <v>841</v>
      </c>
      <c r="E119" s="102" t="s">
        <v>495</v>
      </c>
      <c r="F119" s="102" t="s">
        <v>496</v>
      </c>
      <c r="G119" s="102" t="s">
        <v>282</v>
      </c>
      <c r="H119" s="102" t="s">
        <v>283</v>
      </c>
      <c r="I119" s="102" t="s">
        <v>284</v>
      </c>
      <c r="J119" s="102" t="s">
        <v>355</v>
      </c>
      <c r="L119" s="229" t="s">
        <v>835</v>
      </c>
      <c r="M119" s="229" t="s">
        <v>788</v>
      </c>
      <c r="O119" s="102">
        <v>2.0</v>
      </c>
      <c r="U119" s="230"/>
      <c r="V119" s="102" t="s">
        <v>288</v>
      </c>
      <c r="AQ119" s="102"/>
    </row>
    <row r="120">
      <c r="A120" s="102" t="s">
        <v>310</v>
      </c>
      <c r="B120" s="102" t="s">
        <v>842</v>
      </c>
      <c r="C120" s="229" t="s">
        <v>843</v>
      </c>
      <c r="D120" s="102" t="s">
        <v>844</v>
      </c>
      <c r="E120" s="102" t="s">
        <v>556</v>
      </c>
      <c r="F120" s="102" t="s">
        <v>557</v>
      </c>
      <c r="G120" s="102" t="s">
        <v>282</v>
      </c>
      <c r="H120" s="102" t="s">
        <v>283</v>
      </c>
      <c r="I120" s="102" t="s">
        <v>284</v>
      </c>
      <c r="J120" s="102" t="s">
        <v>355</v>
      </c>
      <c r="L120" s="229" t="s">
        <v>835</v>
      </c>
      <c r="M120" s="229" t="s">
        <v>788</v>
      </c>
      <c r="O120" s="102">
        <v>2.0</v>
      </c>
      <c r="U120" s="230"/>
      <c r="V120" s="102" t="s">
        <v>288</v>
      </c>
    </row>
    <row r="121">
      <c r="A121" s="102" t="s">
        <v>310</v>
      </c>
      <c r="B121" s="102" t="s">
        <v>845</v>
      </c>
      <c r="C121" s="229" t="s">
        <v>846</v>
      </c>
      <c r="D121" s="102" t="s">
        <v>847</v>
      </c>
      <c r="E121" s="102" t="s">
        <v>564</v>
      </c>
      <c r="F121" s="102" t="s">
        <v>565</v>
      </c>
      <c r="G121" s="102" t="s">
        <v>282</v>
      </c>
      <c r="H121" s="102" t="s">
        <v>283</v>
      </c>
      <c r="I121" s="102" t="s">
        <v>284</v>
      </c>
      <c r="J121" s="102" t="s">
        <v>678</v>
      </c>
      <c r="L121" s="229" t="s">
        <v>835</v>
      </c>
      <c r="M121" s="229" t="s">
        <v>788</v>
      </c>
      <c r="O121" s="102">
        <v>2.0</v>
      </c>
      <c r="U121" s="102">
        <v>0.0</v>
      </c>
      <c r="V121" s="102" t="s">
        <v>288</v>
      </c>
      <c r="AP121" s="102"/>
      <c r="AQ121" s="102"/>
      <c r="AR121" s="102"/>
    </row>
    <row r="122">
      <c r="A122" s="102" t="s">
        <v>310</v>
      </c>
      <c r="B122" s="102" t="s">
        <v>848</v>
      </c>
      <c r="C122" s="229" t="s">
        <v>849</v>
      </c>
      <c r="D122" s="102" t="s">
        <v>850</v>
      </c>
      <c r="E122" s="102" t="s">
        <v>495</v>
      </c>
      <c r="F122" s="102" t="s">
        <v>496</v>
      </c>
      <c r="G122" s="102" t="s">
        <v>282</v>
      </c>
      <c r="H122" s="102" t="s">
        <v>283</v>
      </c>
      <c r="I122" s="102" t="s">
        <v>284</v>
      </c>
      <c r="J122" s="102" t="s">
        <v>355</v>
      </c>
      <c r="L122" s="229" t="s">
        <v>835</v>
      </c>
      <c r="M122" s="229" t="s">
        <v>788</v>
      </c>
      <c r="O122" s="102">
        <v>2.0</v>
      </c>
      <c r="U122" s="230"/>
      <c r="V122" s="102" t="s">
        <v>288</v>
      </c>
      <c r="AP122" s="102"/>
      <c r="AQ122" s="102"/>
      <c r="AR122" s="102"/>
    </row>
    <row r="123">
      <c r="A123" s="102" t="s">
        <v>310</v>
      </c>
      <c r="B123" s="102" t="s">
        <v>851</v>
      </c>
      <c r="C123" s="229" t="s">
        <v>852</v>
      </c>
      <c r="D123" s="102" t="s">
        <v>853</v>
      </c>
      <c r="E123" s="102" t="s">
        <v>328</v>
      </c>
      <c r="F123" s="102" t="s">
        <v>329</v>
      </c>
      <c r="G123" s="102" t="s">
        <v>282</v>
      </c>
      <c r="H123" s="102" t="s">
        <v>283</v>
      </c>
      <c r="I123" s="102" t="s">
        <v>284</v>
      </c>
      <c r="J123" s="102" t="s">
        <v>355</v>
      </c>
      <c r="L123" s="229" t="s">
        <v>835</v>
      </c>
      <c r="M123" s="229" t="s">
        <v>788</v>
      </c>
      <c r="O123" s="230"/>
      <c r="U123" s="230"/>
      <c r="V123" s="102" t="s">
        <v>288</v>
      </c>
    </row>
    <row r="124">
      <c r="A124" s="102" t="s">
        <v>310</v>
      </c>
      <c r="B124" s="102" t="s">
        <v>854</v>
      </c>
      <c r="C124" s="229" t="s">
        <v>855</v>
      </c>
      <c r="D124" s="102" t="s">
        <v>856</v>
      </c>
      <c r="E124" s="102" t="s">
        <v>282</v>
      </c>
      <c r="F124" s="102" t="s">
        <v>283</v>
      </c>
      <c r="G124" s="102" t="s">
        <v>282</v>
      </c>
      <c r="H124" s="102" t="s">
        <v>283</v>
      </c>
      <c r="I124" s="102" t="s">
        <v>284</v>
      </c>
      <c r="J124" s="102" t="s">
        <v>26</v>
      </c>
      <c r="L124" s="229" t="s">
        <v>835</v>
      </c>
      <c r="M124" s="229" t="s">
        <v>456</v>
      </c>
      <c r="O124" s="230"/>
      <c r="U124" s="230"/>
      <c r="V124" s="102" t="s">
        <v>288</v>
      </c>
      <c r="AP124" s="102"/>
      <c r="AQ124" s="102"/>
    </row>
    <row r="125">
      <c r="A125" s="102" t="s">
        <v>310</v>
      </c>
      <c r="B125" s="102" t="s">
        <v>857</v>
      </c>
      <c r="C125" s="229" t="s">
        <v>858</v>
      </c>
      <c r="D125" s="102" t="s">
        <v>859</v>
      </c>
      <c r="E125" s="102" t="s">
        <v>282</v>
      </c>
      <c r="F125" s="102" t="s">
        <v>283</v>
      </c>
      <c r="G125" s="102" t="s">
        <v>282</v>
      </c>
      <c r="H125" s="102" t="s">
        <v>283</v>
      </c>
      <c r="I125" s="102" t="s">
        <v>284</v>
      </c>
      <c r="J125" s="102" t="s">
        <v>26</v>
      </c>
      <c r="L125" s="229" t="s">
        <v>835</v>
      </c>
      <c r="M125" s="229" t="s">
        <v>456</v>
      </c>
      <c r="O125" s="230"/>
      <c r="U125" s="230"/>
      <c r="V125" s="102" t="s">
        <v>288</v>
      </c>
      <c r="AP125" s="102"/>
      <c r="AQ125" s="102"/>
    </row>
    <row r="126">
      <c r="A126" s="102" t="s">
        <v>310</v>
      </c>
      <c r="B126" s="102" t="s">
        <v>860</v>
      </c>
      <c r="C126" s="229" t="s">
        <v>861</v>
      </c>
      <c r="D126" s="102" t="s">
        <v>862</v>
      </c>
      <c r="E126" s="102" t="s">
        <v>304</v>
      </c>
      <c r="F126" s="102" t="s">
        <v>305</v>
      </c>
      <c r="G126" s="102" t="s">
        <v>282</v>
      </c>
      <c r="H126" s="102" t="s">
        <v>283</v>
      </c>
      <c r="I126" s="102" t="s">
        <v>284</v>
      </c>
      <c r="J126" s="102" t="s">
        <v>355</v>
      </c>
      <c r="L126" s="229" t="s">
        <v>835</v>
      </c>
      <c r="M126" s="229" t="s">
        <v>863</v>
      </c>
      <c r="O126" s="102">
        <v>3.0</v>
      </c>
      <c r="U126" s="230"/>
      <c r="V126" s="102" t="s">
        <v>288</v>
      </c>
      <c r="AP126" s="102"/>
      <c r="AQ126" s="102"/>
    </row>
    <row r="127">
      <c r="A127" s="102" t="s">
        <v>310</v>
      </c>
      <c r="B127" s="102" t="s">
        <v>864</v>
      </c>
      <c r="C127" s="229" t="s">
        <v>865</v>
      </c>
      <c r="D127" s="102" t="s">
        <v>866</v>
      </c>
      <c r="E127" s="102" t="s">
        <v>304</v>
      </c>
      <c r="F127" s="102" t="s">
        <v>305</v>
      </c>
      <c r="G127" s="102" t="s">
        <v>282</v>
      </c>
      <c r="H127" s="102" t="s">
        <v>283</v>
      </c>
      <c r="I127" s="102" t="s">
        <v>284</v>
      </c>
      <c r="J127" s="102" t="s">
        <v>26</v>
      </c>
      <c r="L127" s="229" t="s">
        <v>867</v>
      </c>
      <c r="M127" s="229" t="s">
        <v>788</v>
      </c>
      <c r="O127" s="102">
        <v>3.0</v>
      </c>
      <c r="U127" s="230"/>
      <c r="V127" s="102" t="s">
        <v>288</v>
      </c>
      <c r="AP127" s="102"/>
      <c r="AQ127" s="102"/>
    </row>
    <row r="128">
      <c r="A128" s="102" t="s">
        <v>310</v>
      </c>
      <c r="B128" s="102" t="s">
        <v>868</v>
      </c>
      <c r="C128" s="229" t="s">
        <v>869</v>
      </c>
      <c r="D128" s="102" t="s">
        <v>870</v>
      </c>
      <c r="E128" s="102" t="s">
        <v>564</v>
      </c>
      <c r="F128" s="102" t="s">
        <v>565</v>
      </c>
      <c r="G128" s="102" t="s">
        <v>282</v>
      </c>
      <c r="H128" s="102" t="s">
        <v>283</v>
      </c>
      <c r="I128" s="102" t="s">
        <v>284</v>
      </c>
      <c r="J128" s="102" t="s">
        <v>678</v>
      </c>
      <c r="L128" s="229" t="s">
        <v>867</v>
      </c>
      <c r="M128" s="229" t="s">
        <v>788</v>
      </c>
      <c r="O128" s="102">
        <v>2.0</v>
      </c>
      <c r="U128" s="102">
        <v>0.0</v>
      </c>
      <c r="V128" s="102" t="s">
        <v>288</v>
      </c>
      <c r="AP128" s="102"/>
      <c r="AQ128" s="102"/>
    </row>
    <row r="129">
      <c r="A129" s="102" t="s">
        <v>310</v>
      </c>
      <c r="B129" s="102" t="s">
        <v>871</v>
      </c>
      <c r="C129" s="229" t="s">
        <v>872</v>
      </c>
      <c r="D129" s="102" t="s">
        <v>873</v>
      </c>
      <c r="E129" s="102" t="s">
        <v>513</v>
      </c>
      <c r="F129" s="102" t="s">
        <v>514</v>
      </c>
      <c r="G129" s="102" t="s">
        <v>282</v>
      </c>
      <c r="H129" s="102" t="s">
        <v>283</v>
      </c>
      <c r="I129" s="102" t="s">
        <v>284</v>
      </c>
      <c r="J129" s="102" t="s">
        <v>355</v>
      </c>
      <c r="L129" s="229" t="s">
        <v>874</v>
      </c>
      <c r="M129" s="229" t="s">
        <v>788</v>
      </c>
      <c r="N129" s="229" t="s">
        <v>321</v>
      </c>
      <c r="O129" s="102">
        <v>1.0</v>
      </c>
      <c r="P129" s="102" t="s">
        <v>593</v>
      </c>
      <c r="U129" s="102">
        <v>7200.0</v>
      </c>
      <c r="V129" s="102" t="s">
        <v>288</v>
      </c>
      <c r="AP129" s="102"/>
      <c r="AQ129" s="102"/>
    </row>
    <row r="130">
      <c r="A130" s="102" t="s">
        <v>310</v>
      </c>
      <c r="B130" s="102" t="s">
        <v>875</v>
      </c>
      <c r="C130" s="229" t="s">
        <v>876</v>
      </c>
      <c r="D130" s="102" t="s">
        <v>877</v>
      </c>
      <c r="E130" s="102" t="s">
        <v>328</v>
      </c>
      <c r="F130" s="102" t="s">
        <v>329</v>
      </c>
      <c r="G130" s="102" t="s">
        <v>282</v>
      </c>
      <c r="H130" s="102" t="s">
        <v>283</v>
      </c>
      <c r="I130" s="102" t="s">
        <v>284</v>
      </c>
      <c r="J130" s="102" t="s">
        <v>678</v>
      </c>
      <c r="L130" s="229" t="s">
        <v>878</v>
      </c>
      <c r="M130" s="229" t="s">
        <v>741</v>
      </c>
      <c r="O130" s="102">
        <v>5.0</v>
      </c>
      <c r="U130" s="230"/>
      <c r="V130" s="102" t="s">
        <v>742</v>
      </c>
      <c r="AP130" s="102"/>
      <c r="AQ130" s="102"/>
      <c r="AR130" s="102"/>
    </row>
    <row r="131">
      <c r="A131" s="102" t="s">
        <v>310</v>
      </c>
      <c r="B131" s="102" t="s">
        <v>879</v>
      </c>
      <c r="C131" s="229" t="s">
        <v>880</v>
      </c>
      <c r="D131" s="102" t="s">
        <v>881</v>
      </c>
      <c r="E131" s="102" t="s">
        <v>328</v>
      </c>
      <c r="F131" s="102" t="s">
        <v>329</v>
      </c>
      <c r="G131" s="102" t="s">
        <v>282</v>
      </c>
      <c r="H131" s="102" t="s">
        <v>283</v>
      </c>
      <c r="I131" s="102" t="s">
        <v>284</v>
      </c>
      <c r="J131" s="102" t="s">
        <v>678</v>
      </c>
      <c r="L131" s="229" t="s">
        <v>882</v>
      </c>
      <c r="M131" s="229" t="s">
        <v>741</v>
      </c>
      <c r="O131" s="102">
        <v>2.0</v>
      </c>
      <c r="U131" s="230"/>
      <c r="V131" s="102" t="s">
        <v>742</v>
      </c>
      <c r="AP131" s="102"/>
      <c r="AQ131" s="102"/>
      <c r="AR131" s="102"/>
    </row>
    <row r="132">
      <c r="A132" s="102" t="s">
        <v>310</v>
      </c>
      <c r="B132" s="102" t="s">
        <v>883</v>
      </c>
      <c r="C132" s="229" t="s">
        <v>884</v>
      </c>
      <c r="D132" s="102" t="s">
        <v>885</v>
      </c>
      <c r="E132" s="102" t="s">
        <v>513</v>
      </c>
      <c r="F132" s="102" t="s">
        <v>514</v>
      </c>
      <c r="G132" s="102" t="s">
        <v>353</v>
      </c>
      <c r="H132" s="102" t="s">
        <v>354</v>
      </c>
      <c r="I132" s="102" t="s">
        <v>284</v>
      </c>
      <c r="J132" s="102" t="s">
        <v>678</v>
      </c>
      <c r="L132" s="229" t="s">
        <v>886</v>
      </c>
      <c r="M132" s="229" t="s">
        <v>887</v>
      </c>
      <c r="N132" s="229" t="s">
        <v>888</v>
      </c>
      <c r="O132" s="102">
        <v>3.0</v>
      </c>
      <c r="U132" s="102">
        <v>28800.0</v>
      </c>
      <c r="V132" s="102" t="s">
        <v>395</v>
      </c>
      <c r="W132" s="102" t="s">
        <v>387</v>
      </c>
      <c r="AP132" s="102"/>
      <c r="AQ132" s="102"/>
      <c r="AR132" s="102"/>
    </row>
    <row r="133">
      <c r="A133" s="102" t="s">
        <v>310</v>
      </c>
      <c r="B133" s="102" t="s">
        <v>889</v>
      </c>
      <c r="C133" s="229" t="s">
        <v>890</v>
      </c>
      <c r="D133" s="102" t="s">
        <v>891</v>
      </c>
      <c r="E133" s="102" t="s">
        <v>564</v>
      </c>
      <c r="F133" s="102" t="s">
        <v>565</v>
      </c>
      <c r="G133" s="102" t="s">
        <v>353</v>
      </c>
      <c r="H133" s="102" t="s">
        <v>354</v>
      </c>
      <c r="I133" s="102" t="s">
        <v>284</v>
      </c>
      <c r="J133" s="102" t="s">
        <v>678</v>
      </c>
      <c r="L133" s="229" t="s">
        <v>892</v>
      </c>
      <c r="M133" s="229" t="s">
        <v>567</v>
      </c>
      <c r="N133" s="229" t="s">
        <v>537</v>
      </c>
      <c r="O133" s="102">
        <v>3.0</v>
      </c>
      <c r="U133" s="230"/>
      <c r="V133" s="102" t="s">
        <v>358</v>
      </c>
    </row>
    <row r="134">
      <c r="A134" s="102" t="s">
        <v>310</v>
      </c>
      <c r="B134" s="102" t="s">
        <v>893</v>
      </c>
      <c r="C134" s="229" t="s">
        <v>894</v>
      </c>
      <c r="D134" s="102" t="s">
        <v>895</v>
      </c>
      <c r="E134" s="102" t="s">
        <v>513</v>
      </c>
      <c r="F134" s="102" t="s">
        <v>514</v>
      </c>
      <c r="G134" s="102" t="s">
        <v>282</v>
      </c>
      <c r="H134" s="102" t="s">
        <v>283</v>
      </c>
      <c r="I134" s="102" t="s">
        <v>284</v>
      </c>
      <c r="J134" s="102" t="s">
        <v>34</v>
      </c>
      <c r="L134" s="229" t="s">
        <v>896</v>
      </c>
      <c r="M134" s="229" t="s">
        <v>456</v>
      </c>
      <c r="O134" s="230"/>
      <c r="P134" s="102" t="s">
        <v>593</v>
      </c>
      <c r="Q134" s="102" t="s">
        <v>457</v>
      </c>
      <c r="U134" s="230"/>
      <c r="V134" s="102" t="s">
        <v>287</v>
      </c>
      <c r="W134" s="102" t="s">
        <v>288</v>
      </c>
    </row>
    <row r="135">
      <c r="A135" s="102" t="s">
        <v>310</v>
      </c>
      <c r="B135" s="102" t="s">
        <v>897</v>
      </c>
      <c r="C135" s="229" t="s">
        <v>898</v>
      </c>
      <c r="D135" s="102" t="s">
        <v>899</v>
      </c>
      <c r="E135" s="102" t="s">
        <v>282</v>
      </c>
      <c r="F135" s="102" t="s">
        <v>283</v>
      </c>
      <c r="G135" s="102" t="s">
        <v>314</v>
      </c>
      <c r="H135" s="102" t="s">
        <v>315</v>
      </c>
      <c r="I135" s="102" t="s">
        <v>284</v>
      </c>
      <c r="J135" s="102" t="s">
        <v>26</v>
      </c>
      <c r="L135" s="229" t="s">
        <v>900</v>
      </c>
      <c r="M135" s="229" t="s">
        <v>901</v>
      </c>
      <c r="O135" s="102">
        <v>5.0</v>
      </c>
      <c r="U135" s="230"/>
      <c r="V135" s="102" t="s">
        <v>387</v>
      </c>
    </row>
    <row r="136">
      <c r="A136" s="102" t="s">
        <v>310</v>
      </c>
      <c r="B136" s="102" t="s">
        <v>902</v>
      </c>
      <c r="C136" s="229" t="s">
        <v>903</v>
      </c>
      <c r="D136" s="102" t="s">
        <v>904</v>
      </c>
      <c r="E136" s="102" t="s">
        <v>282</v>
      </c>
      <c r="F136" s="102" t="s">
        <v>283</v>
      </c>
      <c r="G136" s="102" t="s">
        <v>314</v>
      </c>
      <c r="H136" s="102" t="s">
        <v>315</v>
      </c>
      <c r="I136" s="102" t="s">
        <v>284</v>
      </c>
      <c r="J136" s="102" t="s">
        <v>26</v>
      </c>
      <c r="L136" s="229" t="s">
        <v>905</v>
      </c>
      <c r="M136" s="229" t="s">
        <v>480</v>
      </c>
      <c r="O136" s="102">
        <v>5.0</v>
      </c>
      <c r="U136" s="230"/>
      <c r="V136" s="102" t="s">
        <v>387</v>
      </c>
    </row>
    <row r="137">
      <c r="A137" s="102" t="s">
        <v>310</v>
      </c>
      <c r="B137" s="102" t="s">
        <v>906</v>
      </c>
      <c r="C137" s="229" t="s">
        <v>907</v>
      </c>
      <c r="D137" s="102" t="s">
        <v>908</v>
      </c>
      <c r="G137" s="102" t="s">
        <v>314</v>
      </c>
      <c r="H137" s="102" t="s">
        <v>315</v>
      </c>
      <c r="I137" s="102" t="s">
        <v>284</v>
      </c>
      <c r="J137" s="102" t="s">
        <v>63</v>
      </c>
      <c r="L137" s="229" t="s">
        <v>909</v>
      </c>
      <c r="M137" s="229" t="s">
        <v>910</v>
      </c>
      <c r="O137" s="230"/>
      <c r="U137" s="230"/>
      <c r="V137" s="102" t="s">
        <v>387</v>
      </c>
    </row>
    <row r="138">
      <c r="A138" s="102" t="s">
        <v>310</v>
      </c>
      <c r="B138" s="102" t="s">
        <v>911</v>
      </c>
      <c r="C138" s="229" t="s">
        <v>912</v>
      </c>
      <c r="D138" s="102" t="s">
        <v>913</v>
      </c>
      <c r="E138" s="102" t="s">
        <v>353</v>
      </c>
      <c r="F138" s="102" t="s">
        <v>354</v>
      </c>
      <c r="G138" s="102" t="s">
        <v>314</v>
      </c>
      <c r="H138" s="102" t="s">
        <v>315</v>
      </c>
      <c r="I138" s="102" t="s">
        <v>284</v>
      </c>
      <c r="J138" s="102" t="s">
        <v>63</v>
      </c>
      <c r="L138" s="229" t="s">
        <v>914</v>
      </c>
      <c r="M138" s="229" t="s">
        <v>909</v>
      </c>
      <c r="O138" s="230"/>
      <c r="U138" s="230"/>
      <c r="V138" s="102" t="s">
        <v>387</v>
      </c>
    </row>
    <row r="139">
      <c r="A139" s="102" t="s">
        <v>332</v>
      </c>
      <c r="B139" s="102" t="s">
        <v>915</v>
      </c>
      <c r="C139" s="229" t="s">
        <v>916</v>
      </c>
      <c r="D139" s="102" t="s">
        <v>917</v>
      </c>
      <c r="E139" s="102" t="s">
        <v>304</v>
      </c>
      <c r="F139" s="102" t="s">
        <v>305</v>
      </c>
      <c r="G139" s="102" t="s">
        <v>362</v>
      </c>
      <c r="H139" s="102" t="s">
        <v>363</v>
      </c>
      <c r="I139" s="102" t="s">
        <v>284</v>
      </c>
      <c r="J139" s="102" t="s">
        <v>336</v>
      </c>
      <c r="L139" s="229" t="s">
        <v>918</v>
      </c>
      <c r="M139" s="229" t="s">
        <v>480</v>
      </c>
      <c r="O139" s="230"/>
      <c r="P139" s="102" t="s">
        <v>473</v>
      </c>
      <c r="U139" s="230"/>
      <c r="V139" s="102" t="s">
        <v>417</v>
      </c>
      <c r="W139" s="102" t="s">
        <v>324</v>
      </c>
    </row>
    <row r="140">
      <c r="A140" s="102" t="s">
        <v>332</v>
      </c>
      <c r="B140" s="102" t="s">
        <v>919</v>
      </c>
      <c r="C140" s="229" t="s">
        <v>920</v>
      </c>
      <c r="D140" s="102" t="s">
        <v>921</v>
      </c>
      <c r="E140" s="102" t="s">
        <v>282</v>
      </c>
      <c r="F140" s="102" t="s">
        <v>283</v>
      </c>
      <c r="G140" s="102" t="s">
        <v>316</v>
      </c>
      <c r="H140" s="102" t="s">
        <v>317</v>
      </c>
      <c r="I140" s="102" t="s">
        <v>648</v>
      </c>
      <c r="J140" s="102" t="s">
        <v>922</v>
      </c>
      <c r="L140" s="229" t="s">
        <v>923</v>
      </c>
      <c r="M140" s="229" t="s">
        <v>480</v>
      </c>
      <c r="N140" s="229" t="s">
        <v>924</v>
      </c>
      <c r="O140" s="230"/>
      <c r="P140" s="102" t="s">
        <v>783</v>
      </c>
      <c r="Q140" s="102" t="s">
        <v>368</v>
      </c>
      <c r="U140" s="230"/>
      <c r="V140" s="102" t="s">
        <v>417</v>
      </c>
      <c r="W140" s="102" t="s">
        <v>324</v>
      </c>
    </row>
    <row r="141">
      <c r="A141" s="102" t="s">
        <v>332</v>
      </c>
      <c r="B141" s="102" t="s">
        <v>925</v>
      </c>
      <c r="C141" s="229" t="s">
        <v>926</v>
      </c>
      <c r="D141" s="102" t="s">
        <v>927</v>
      </c>
      <c r="E141" s="102" t="s">
        <v>495</v>
      </c>
      <c r="F141" s="102" t="s">
        <v>496</v>
      </c>
      <c r="G141" s="102" t="s">
        <v>362</v>
      </c>
      <c r="H141" s="102" t="s">
        <v>363</v>
      </c>
      <c r="I141" s="102" t="s">
        <v>284</v>
      </c>
      <c r="J141" s="102" t="s">
        <v>336</v>
      </c>
      <c r="L141" s="229" t="s">
        <v>928</v>
      </c>
      <c r="M141" s="229" t="s">
        <v>929</v>
      </c>
      <c r="N141" s="229" t="s">
        <v>472</v>
      </c>
      <c r="O141" s="230"/>
      <c r="P141" s="102" t="s">
        <v>27</v>
      </c>
      <c r="Q141" s="102" t="s">
        <v>367</v>
      </c>
      <c r="R141" s="102" t="s">
        <v>930</v>
      </c>
      <c r="U141" s="230"/>
      <c r="V141" s="102" t="s">
        <v>417</v>
      </c>
      <c r="W141" s="102" t="s">
        <v>324</v>
      </c>
    </row>
    <row r="142">
      <c r="A142" s="102" t="s">
        <v>310</v>
      </c>
      <c r="B142" s="102" t="s">
        <v>931</v>
      </c>
      <c r="C142" s="229" t="s">
        <v>932</v>
      </c>
      <c r="D142" s="102" t="s">
        <v>933</v>
      </c>
      <c r="E142" s="102" t="s">
        <v>934</v>
      </c>
      <c r="F142" s="102" t="s">
        <v>935</v>
      </c>
      <c r="G142" s="102" t="s">
        <v>316</v>
      </c>
      <c r="H142" s="102" t="s">
        <v>317</v>
      </c>
      <c r="I142" s="102" t="s">
        <v>284</v>
      </c>
      <c r="J142" s="102" t="s">
        <v>26</v>
      </c>
      <c r="L142" s="229" t="s">
        <v>936</v>
      </c>
      <c r="M142" s="229" t="s">
        <v>937</v>
      </c>
      <c r="N142" s="229" t="s">
        <v>938</v>
      </c>
      <c r="O142" s="102">
        <v>1.0</v>
      </c>
      <c r="U142" s="102">
        <v>7200.0</v>
      </c>
      <c r="V142" s="102" t="s">
        <v>417</v>
      </c>
      <c r="W142" s="102" t="s">
        <v>324</v>
      </c>
    </row>
    <row r="143">
      <c r="A143" s="102" t="s">
        <v>310</v>
      </c>
      <c r="B143" s="102" t="s">
        <v>939</v>
      </c>
      <c r="C143" s="229" t="s">
        <v>940</v>
      </c>
      <c r="D143" s="102" t="s">
        <v>941</v>
      </c>
      <c r="E143" s="102" t="s">
        <v>328</v>
      </c>
      <c r="F143" s="102" t="s">
        <v>329</v>
      </c>
      <c r="G143" s="102" t="s">
        <v>353</v>
      </c>
      <c r="H143" s="102" t="s">
        <v>354</v>
      </c>
      <c r="I143" s="102" t="s">
        <v>284</v>
      </c>
      <c r="J143" s="102" t="s">
        <v>26</v>
      </c>
      <c r="L143" s="229" t="s">
        <v>942</v>
      </c>
      <c r="M143" s="229" t="s">
        <v>943</v>
      </c>
      <c r="N143" s="229" t="s">
        <v>944</v>
      </c>
      <c r="O143" s="230"/>
      <c r="P143" s="102" t="s">
        <v>538</v>
      </c>
      <c r="Q143" s="102" t="s">
        <v>593</v>
      </c>
      <c r="U143" s="230"/>
      <c r="V143" s="102" t="s">
        <v>395</v>
      </c>
      <c r="W143" s="102" t="s">
        <v>387</v>
      </c>
    </row>
    <row r="144">
      <c r="A144" s="102" t="s">
        <v>310</v>
      </c>
      <c r="B144" s="102" t="s">
        <v>945</v>
      </c>
      <c r="C144" s="229" t="s">
        <v>946</v>
      </c>
      <c r="D144" s="102" t="s">
        <v>947</v>
      </c>
      <c r="E144" s="102" t="s">
        <v>564</v>
      </c>
      <c r="F144" s="102" t="s">
        <v>565</v>
      </c>
      <c r="G144" s="102" t="s">
        <v>353</v>
      </c>
      <c r="H144" s="102" t="s">
        <v>354</v>
      </c>
      <c r="I144" s="102" t="s">
        <v>284</v>
      </c>
      <c r="J144" s="102" t="s">
        <v>678</v>
      </c>
      <c r="L144" s="229" t="s">
        <v>948</v>
      </c>
      <c r="M144" s="229" t="s">
        <v>949</v>
      </c>
      <c r="N144" s="229" t="s">
        <v>950</v>
      </c>
      <c r="O144" s="102">
        <v>8.0</v>
      </c>
      <c r="P144" s="102" t="s">
        <v>593</v>
      </c>
      <c r="U144" s="102">
        <v>86400.0</v>
      </c>
      <c r="V144" s="102" t="s">
        <v>714</v>
      </c>
      <c r="W144" s="102" t="s">
        <v>358</v>
      </c>
    </row>
    <row r="145">
      <c r="A145" s="102" t="s">
        <v>310</v>
      </c>
      <c r="B145" s="102" t="s">
        <v>951</v>
      </c>
      <c r="C145" s="229" t="s">
        <v>952</v>
      </c>
      <c r="D145" s="102" t="s">
        <v>953</v>
      </c>
      <c r="E145" s="102" t="s">
        <v>564</v>
      </c>
      <c r="F145" s="102" t="s">
        <v>565</v>
      </c>
      <c r="G145" s="102" t="s">
        <v>353</v>
      </c>
      <c r="H145" s="102" t="s">
        <v>354</v>
      </c>
      <c r="I145" s="102" t="s">
        <v>284</v>
      </c>
      <c r="J145" s="102" t="s">
        <v>454</v>
      </c>
      <c r="L145" s="229" t="s">
        <v>954</v>
      </c>
      <c r="M145" s="229" t="s">
        <v>949</v>
      </c>
      <c r="N145" s="229" t="s">
        <v>955</v>
      </c>
      <c r="O145" s="102">
        <v>1.0</v>
      </c>
      <c r="P145" s="102" t="s">
        <v>593</v>
      </c>
      <c r="U145" s="102">
        <v>7200.0</v>
      </c>
      <c r="V145" s="102" t="s">
        <v>714</v>
      </c>
      <c r="W145" s="102" t="s">
        <v>358</v>
      </c>
    </row>
    <row r="146">
      <c r="A146" s="102" t="s">
        <v>310</v>
      </c>
      <c r="B146" s="102" t="s">
        <v>956</v>
      </c>
      <c r="C146" s="229" t="s">
        <v>957</v>
      </c>
      <c r="D146" s="102" t="s">
        <v>958</v>
      </c>
      <c r="E146" s="102" t="s">
        <v>353</v>
      </c>
      <c r="F146" s="102" t="s">
        <v>354</v>
      </c>
      <c r="G146" s="102" t="s">
        <v>353</v>
      </c>
      <c r="H146" s="102" t="s">
        <v>354</v>
      </c>
      <c r="I146" s="102" t="s">
        <v>284</v>
      </c>
      <c r="J146" s="102" t="s">
        <v>355</v>
      </c>
      <c r="L146" s="229" t="s">
        <v>959</v>
      </c>
      <c r="M146" s="229" t="s">
        <v>960</v>
      </c>
      <c r="O146" s="102">
        <v>8.0</v>
      </c>
      <c r="U146" s="230"/>
      <c r="V146" s="102" t="s">
        <v>287</v>
      </c>
      <c r="W146" s="102" t="s">
        <v>288</v>
      </c>
    </row>
    <row r="147">
      <c r="A147" s="102" t="s">
        <v>310</v>
      </c>
      <c r="B147" s="102" t="s">
        <v>961</v>
      </c>
      <c r="C147" s="229" t="s">
        <v>962</v>
      </c>
      <c r="D147" s="102" t="s">
        <v>963</v>
      </c>
      <c r="E147" s="102" t="s">
        <v>328</v>
      </c>
      <c r="F147" s="102" t="s">
        <v>329</v>
      </c>
      <c r="G147" s="102" t="s">
        <v>314</v>
      </c>
      <c r="H147" s="102" t="s">
        <v>315</v>
      </c>
      <c r="I147" s="102" t="s">
        <v>284</v>
      </c>
      <c r="J147" s="102" t="s">
        <v>678</v>
      </c>
      <c r="L147" s="229" t="s">
        <v>964</v>
      </c>
      <c r="M147" s="229" t="s">
        <v>965</v>
      </c>
      <c r="O147" s="102">
        <v>3.0</v>
      </c>
      <c r="U147" s="230"/>
      <c r="V147" s="102" t="s">
        <v>966</v>
      </c>
      <c r="W147" s="102" t="s">
        <v>689</v>
      </c>
    </row>
    <row r="148">
      <c r="A148" s="102" t="s">
        <v>310</v>
      </c>
      <c r="B148" s="102" t="s">
        <v>967</v>
      </c>
      <c r="C148" s="229" t="s">
        <v>968</v>
      </c>
      <c r="D148" s="102" t="s">
        <v>969</v>
      </c>
      <c r="E148" s="102" t="s">
        <v>584</v>
      </c>
      <c r="F148" s="102" t="s">
        <v>585</v>
      </c>
      <c r="G148" s="102" t="s">
        <v>314</v>
      </c>
      <c r="H148" s="102" t="s">
        <v>315</v>
      </c>
      <c r="I148" s="102" t="s">
        <v>284</v>
      </c>
      <c r="J148" s="102" t="s">
        <v>34</v>
      </c>
      <c r="L148" s="229" t="s">
        <v>970</v>
      </c>
      <c r="M148" s="229" t="s">
        <v>688</v>
      </c>
      <c r="O148" s="102">
        <v>3.0</v>
      </c>
      <c r="U148" s="230"/>
      <c r="V148" s="102" t="s">
        <v>689</v>
      </c>
    </row>
    <row r="149">
      <c r="A149" s="102" t="s">
        <v>310</v>
      </c>
      <c r="B149" s="102" t="s">
        <v>971</v>
      </c>
      <c r="C149" s="229" t="s">
        <v>972</v>
      </c>
      <c r="D149" s="102" t="s">
        <v>973</v>
      </c>
      <c r="E149" s="102" t="s">
        <v>328</v>
      </c>
      <c r="F149" s="102" t="s">
        <v>329</v>
      </c>
      <c r="G149" s="102" t="s">
        <v>314</v>
      </c>
      <c r="H149" s="102" t="s">
        <v>315</v>
      </c>
      <c r="I149" s="102" t="s">
        <v>284</v>
      </c>
      <c r="J149" s="102" t="s">
        <v>678</v>
      </c>
      <c r="L149" s="229" t="s">
        <v>974</v>
      </c>
      <c r="M149" s="229" t="s">
        <v>688</v>
      </c>
      <c r="O149" s="102">
        <v>3.0</v>
      </c>
      <c r="U149" s="230"/>
      <c r="V149" s="102" t="s">
        <v>966</v>
      </c>
      <c r="W149" s="102" t="s">
        <v>689</v>
      </c>
    </row>
    <row r="150">
      <c r="A150" s="102" t="s">
        <v>310</v>
      </c>
      <c r="B150" s="102" t="s">
        <v>975</v>
      </c>
      <c r="C150" s="229" t="s">
        <v>976</v>
      </c>
      <c r="D150" s="102" t="s">
        <v>977</v>
      </c>
      <c r="E150" s="102" t="s">
        <v>513</v>
      </c>
      <c r="F150" s="102" t="s">
        <v>514</v>
      </c>
      <c r="G150" s="102" t="s">
        <v>314</v>
      </c>
      <c r="H150" s="102" t="s">
        <v>315</v>
      </c>
      <c r="I150" s="102" t="s">
        <v>284</v>
      </c>
      <c r="J150" s="102" t="s">
        <v>678</v>
      </c>
      <c r="L150" s="229" t="s">
        <v>978</v>
      </c>
      <c r="M150" s="229" t="s">
        <v>688</v>
      </c>
      <c r="N150" s="229" t="s">
        <v>944</v>
      </c>
      <c r="O150" s="102">
        <v>3.0</v>
      </c>
      <c r="U150" s="102">
        <v>28800.0</v>
      </c>
      <c r="V150" s="102" t="s">
        <v>966</v>
      </c>
      <c r="W150" s="102" t="s">
        <v>689</v>
      </c>
    </row>
    <row r="151">
      <c r="A151" s="102" t="s">
        <v>310</v>
      </c>
      <c r="B151" s="102" t="s">
        <v>979</v>
      </c>
      <c r="C151" s="229" t="s">
        <v>980</v>
      </c>
      <c r="D151" s="102" t="s">
        <v>981</v>
      </c>
      <c r="E151" s="102" t="s">
        <v>513</v>
      </c>
      <c r="F151" s="102" t="s">
        <v>514</v>
      </c>
      <c r="G151" s="102" t="s">
        <v>314</v>
      </c>
      <c r="H151" s="102" t="s">
        <v>315</v>
      </c>
      <c r="I151" s="102" t="s">
        <v>284</v>
      </c>
      <c r="J151" s="102" t="s">
        <v>678</v>
      </c>
      <c r="L151" s="229" t="s">
        <v>982</v>
      </c>
      <c r="M151" s="229" t="s">
        <v>688</v>
      </c>
      <c r="N151" s="229" t="s">
        <v>983</v>
      </c>
      <c r="O151" s="102">
        <v>5.0</v>
      </c>
      <c r="U151" s="102">
        <v>57600.0</v>
      </c>
      <c r="V151" s="102" t="s">
        <v>966</v>
      </c>
      <c r="W151" s="102" t="s">
        <v>689</v>
      </c>
    </row>
    <row r="152">
      <c r="A152" s="102" t="s">
        <v>310</v>
      </c>
      <c r="B152" s="102" t="s">
        <v>984</v>
      </c>
      <c r="C152" s="229" t="s">
        <v>985</v>
      </c>
      <c r="D152" s="102" t="s">
        <v>986</v>
      </c>
      <c r="E152" s="102" t="s">
        <v>513</v>
      </c>
      <c r="F152" s="102" t="s">
        <v>514</v>
      </c>
      <c r="G152" s="102" t="s">
        <v>314</v>
      </c>
      <c r="H152" s="102" t="s">
        <v>315</v>
      </c>
      <c r="I152" s="102" t="s">
        <v>284</v>
      </c>
      <c r="J152" s="102" t="s">
        <v>678</v>
      </c>
      <c r="L152" s="229" t="s">
        <v>982</v>
      </c>
      <c r="M152" s="229" t="s">
        <v>688</v>
      </c>
      <c r="N152" s="229" t="s">
        <v>713</v>
      </c>
      <c r="O152" s="102">
        <v>2.0</v>
      </c>
      <c r="U152" s="102">
        <v>14400.0</v>
      </c>
      <c r="V152" s="102" t="s">
        <v>966</v>
      </c>
      <c r="W152" s="102" t="s">
        <v>689</v>
      </c>
    </row>
    <row r="153">
      <c r="A153" s="102" t="s">
        <v>310</v>
      </c>
      <c r="B153" s="102" t="s">
        <v>987</v>
      </c>
      <c r="C153" s="229" t="s">
        <v>988</v>
      </c>
      <c r="D153" s="102" t="s">
        <v>989</v>
      </c>
      <c r="E153" s="102" t="s">
        <v>584</v>
      </c>
      <c r="F153" s="102" t="s">
        <v>585</v>
      </c>
      <c r="G153" s="102" t="s">
        <v>353</v>
      </c>
      <c r="H153" s="102" t="s">
        <v>354</v>
      </c>
      <c r="I153" s="102" t="s">
        <v>284</v>
      </c>
      <c r="J153" s="102" t="s">
        <v>26</v>
      </c>
      <c r="L153" s="229" t="s">
        <v>990</v>
      </c>
      <c r="M153" s="229" t="s">
        <v>669</v>
      </c>
      <c r="O153" s="102">
        <v>2.0</v>
      </c>
      <c r="U153" s="230"/>
      <c r="V153" s="102" t="s">
        <v>417</v>
      </c>
      <c r="W153" s="102" t="s">
        <v>324</v>
      </c>
    </row>
    <row r="154">
      <c r="A154" s="102" t="s">
        <v>310</v>
      </c>
      <c r="B154" s="102" t="s">
        <v>991</v>
      </c>
      <c r="C154" s="229" t="s">
        <v>992</v>
      </c>
      <c r="D154" s="102" t="s">
        <v>993</v>
      </c>
      <c r="E154" s="102" t="s">
        <v>513</v>
      </c>
      <c r="F154" s="102" t="s">
        <v>514</v>
      </c>
      <c r="G154" s="102" t="s">
        <v>314</v>
      </c>
      <c r="H154" s="102" t="s">
        <v>315</v>
      </c>
      <c r="I154" s="102" t="s">
        <v>648</v>
      </c>
      <c r="J154" s="102" t="s">
        <v>34</v>
      </c>
      <c r="L154" s="229" t="s">
        <v>994</v>
      </c>
      <c r="M154" s="229" t="s">
        <v>995</v>
      </c>
      <c r="N154" s="229" t="s">
        <v>427</v>
      </c>
      <c r="O154" s="102">
        <v>5.0</v>
      </c>
      <c r="P154" s="102" t="s">
        <v>593</v>
      </c>
      <c r="Q154" s="102" t="s">
        <v>650</v>
      </c>
      <c r="R154" s="102" t="s">
        <v>651</v>
      </c>
      <c r="U154" s="102">
        <v>57600.0</v>
      </c>
      <c r="V154" s="102" t="s">
        <v>444</v>
      </c>
    </row>
    <row r="155">
      <c r="A155" s="102" t="s">
        <v>310</v>
      </c>
      <c r="B155" s="102" t="s">
        <v>996</v>
      </c>
      <c r="C155" s="229" t="s">
        <v>997</v>
      </c>
      <c r="D155" s="102" t="s">
        <v>998</v>
      </c>
      <c r="E155" s="102" t="s">
        <v>564</v>
      </c>
      <c r="F155" s="102" t="s">
        <v>565</v>
      </c>
      <c r="G155" s="102" t="s">
        <v>353</v>
      </c>
      <c r="H155" s="102" t="s">
        <v>354</v>
      </c>
      <c r="I155" s="102" t="s">
        <v>284</v>
      </c>
      <c r="J155" s="102" t="s">
        <v>454</v>
      </c>
      <c r="L155" s="229" t="s">
        <v>999</v>
      </c>
      <c r="M155" s="229" t="s">
        <v>949</v>
      </c>
      <c r="N155" s="229" t="s">
        <v>955</v>
      </c>
      <c r="O155" s="102">
        <v>1.0</v>
      </c>
      <c r="U155" s="102">
        <v>7200.0</v>
      </c>
      <c r="V155" s="102" t="s">
        <v>714</v>
      </c>
      <c r="W155" s="102" t="s">
        <v>358</v>
      </c>
    </row>
    <row r="156">
      <c r="A156" s="102" t="s">
        <v>310</v>
      </c>
      <c r="B156" s="102" t="s">
        <v>1000</v>
      </c>
      <c r="C156" s="229" t="s">
        <v>1001</v>
      </c>
      <c r="D156" s="102" t="s">
        <v>1002</v>
      </c>
      <c r="E156" s="102" t="s">
        <v>513</v>
      </c>
      <c r="F156" s="102" t="s">
        <v>514</v>
      </c>
      <c r="G156" s="102" t="s">
        <v>314</v>
      </c>
      <c r="H156" s="102" t="s">
        <v>315</v>
      </c>
      <c r="I156" s="102" t="s">
        <v>284</v>
      </c>
      <c r="J156" s="102" t="s">
        <v>454</v>
      </c>
      <c r="L156" s="229" t="s">
        <v>1003</v>
      </c>
      <c r="M156" s="229" t="s">
        <v>887</v>
      </c>
      <c r="N156" s="229" t="s">
        <v>1004</v>
      </c>
      <c r="O156" s="102">
        <v>1.0</v>
      </c>
      <c r="U156" s="102">
        <v>7200.0</v>
      </c>
      <c r="V156" s="102" t="s">
        <v>1005</v>
      </c>
      <c r="W156" s="102" t="s">
        <v>395</v>
      </c>
      <c r="X156" s="102" t="s">
        <v>387</v>
      </c>
    </row>
    <row r="157">
      <c r="A157" s="102" t="s">
        <v>310</v>
      </c>
      <c r="B157" s="102" t="s">
        <v>1006</v>
      </c>
      <c r="C157" s="229" t="s">
        <v>1007</v>
      </c>
      <c r="D157" s="102" t="s">
        <v>1008</v>
      </c>
      <c r="E157" s="102" t="s">
        <v>513</v>
      </c>
      <c r="F157" s="102" t="s">
        <v>514</v>
      </c>
      <c r="G157" s="102" t="s">
        <v>314</v>
      </c>
      <c r="H157" s="102" t="s">
        <v>315</v>
      </c>
      <c r="I157" s="102" t="s">
        <v>284</v>
      </c>
      <c r="J157" s="102" t="s">
        <v>454</v>
      </c>
      <c r="L157" s="229" t="s">
        <v>1009</v>
      </c>
      <c r="M157" s="229" t="s">
        <v>887</v>
      </c>
      <c r="N157" s="229" t="s">
        <v>1004</v>
      </c>
      <c r="O157" s="102">
        <v>3.0</v>
      </c>
      <c r="U157" s="102">
        <v>28800.0</v>
      </c>
      <c r="V157" s="102" t="s">
        <v>1005</v>
      </c>
      <c r="W157" s="102" t="s">
        <v>395</v>
      </c>
      <c r="X157" s="102" t="s">
        <v>387</v>
      </c>
    </row>
    <row r="158">
      <c r="A158" s="102" t="s">
        <v>310</v>
      </c>
      <c r="B158" s="102" t="s">
        <v>1010</v>
      </c>
      <c r="C158" s="229" t="s">
        <v>1011</v>
      </c>
      <c r="D158" s="102" t="s">
        <v>1012</v>
      </c>
      <c r="E158" s="102" t="s">
        <v>584</v>
      </c>
      <c r="F158" s="102" t="s">
        <v>585</v>
      </c>
      <c r="G158" s="102" t="s">
        <v>282</v>
      </c>
      <c r="H158" s="102" t="s">
        <v>283</v>
      </c>
      <c r="I158" s="102" t="s">
        <v>284</v>
      </c>
      <c r="J158" s="102" t="s">
        <v>355</v>
      </c>
      <c r="L158" s="229" t="s">
        <v>1013</v>
      </c>
      <c r="M158" s="229" t="s">
        <v>1014</v>
      </c>
      <c r="N158" s="229" t="s">
        <v>1004</v>
      </c>
      <c r="O158" s="102">
        <v>1.0</v>
      </c>
      <c r="P158" s="102" t="s">
        <v>1015</v>
      </c>
      <c r="U158" s="230"/>
      <c r="V158" s="102" t="s">
        <v>286</v>
      </c>
      <c r="W158" s="102" t="s">
        <v>287</v>
      </c>
      <c r="X158" s="102" t="s">
        <v>288</v>
      </c>
    </row>
    <row r="159">
      <c r="A159" s="102" t="s">
        <v>310</v>
      </c>
      <c r="B159" s="102" t="s">
        <v>1016</v>
      </c>
      <c r="C159" s="229" t="s">
        <v>1017</v>
      </c>
      <c r="D159" s="102" t="s">
        <v>1018</v>
      </c>
      <c r="E159" s="102" t="s">
        <v>495</v>
      </c>
      <c r="F159" s="102" t="s">
        <v>496</v>
      </c>
      <c r="G159" s="102" t="s">
        <v>304</v>
      </c>
      <c r="H159" s="102" t="s">
        <v>305</v>
      </c>
      <c r="I159" s="102" t="s">
        <v>284</v>
      </c>
      <c r="J159" s="102" t="s">
        <v>26</v>
      </c>
      <c r="L159" s="229" t="s">
        <v>1019</v>
      </c>
      <c r="M159" s="229" t="s">
        <v>509</v>
      </c>
      <c r="N159" s="229" t="s">
        <v>1004</v>
      </c>
      <c r="O159" s="102">
        <v>3.0</v>
      </c>
      <c r="P159" s="102" t="s">
        <v>1020</v>
      </c>
      <c r="U159" s="102">
        <v>28800.0</v>
      </c>
      <c r="V159" s="102" t="s">
        <v>286</v>
      </c>
      <c r="W159" s="102" t="s">
        <v>287</v>
      </c>
      <c r="X159" s="102" t="s">
        <v>288</v>
      </c>
    </row>
    <row r="160">
      <c r="A160" s="102" t="s">
        <v>276</v>
      </c>
      <c r="B160" s="102" t="s">
        <v>1021</v>
      </c>
      <c r="C160" s="229" t="s">
        <v>1022</v>
      </c>
      <c r="D160" s="102" t="s">
        <v>1023</v>
      </c>
      <c r="E160" s="102" t="s">
        <v>280</v>
      </c>
      <c r="F160" s="102" t="s">
        <v>281</v>
      </c>
      <c r="G160" s="102" t="s">
        <v>391</v>
      </c>
      <c r="H160" s="102" t="s">
        <v>392</v>
      </c>
      <c r="I160" s="102" t="s">
        <v>284</v>
      </c>
      <c r="J160" s="102" t="s">
        <v>63</v>
      </c>
      <c r="L160" s="229" t="s">
        <v>1024</v>
      </c>
      <c r="M160" s="229" t="s">
        <v>1025</v>
      </c>
      <c r="O160" s="230"/>
      <c r="U160" s="230"/>
      <c r="V160" s="102" t="s">
        <v>299</v>
      </c>
      <c r="W160" s="102" t="s">
        <v>286</v>
      </c>
      <c r="X160" s="102" t="s">
        <v>287</v>
      </c>
      <c r="Y160" s="102" t="s">
        <v>288</v>
      </c>
    </row>
    <row r="161">
      <c r="A161" s="102" t="s">
        <v>276</v>
      </c>
      <c r="B161" s="102" t="s">
        <v>1026</v>
      </c>
      <c r="C161" s="229" t="s">
        <v>1027</v>
      </c>
      <c r="D161" s="102" t="s">
        <v>1023</v>
      </c>
      <c r="E161" s="102" t="s">
        <v>280</v>
      </c>
      <c r="F161" s="102" t="s">
        <v>281</v>
      </c>
      <c r="G161" s="102" t="s">
        <v>391</v>
      </c>
      <c r="H161" s="102" t="s">
        <v>392</v>
      </c>
      <c r="I161" s="102" t="s">
        <v>284</v>
      </c>
      <c r="J161" s="102" t="s">
        <v>26</v>
      </c>
      <c r="L161" s="229" t="s">
        <v>1028</v>
      </c>
      <c r="M161" s="229" t="s">
        <v>1029</v>
      </c>
      <c r="O161" s="230"/>
      <c r="U161" s="230"/>
      <c r="V161" s="102" t="s">
        <v>299</v>
      </c>
      <c r="W161" s="102" t="s">
        <v>286</v>
      </c>
      <c r="X161" s="102" t="s">
        <v>287</v>
      </c>
      <c r="Y161" s="102" t="s">
        <v>288</v>
      </c>
    </row>
    <row r="162">
      <c r="A162" s="102" t="s">
        <v>276</v>
      </c>
      <c r="B162" s="102" t="s">
        <v>1030</v>
      </c>
      <c r="C162" s="229" t="s">
        <v>1031</v>
      </c>
      <c r="D162" s="102" t="s">
        <v>1023</v>
      </c>
      <c r="E162" s="102" t="s">
        <v>280</v>
      </c>
      <c r="F162" s="102" t="s">
        <v>281</v>
      </c>
      <c r="G162" s="102" t="s">
        <v>391</v>
      </c>
      <c r="H162" s="102" t="s">
        <v>392</v>
      </c>
      <c r="I162" s="102" t="s">
        <v>284</v>
      </c>
      <c r="J162" s="102" t="s">
        <v>26</v>
      </c>
      <c r="L162" s="229" t="s">
        <v>1028</v>
      </c>
      <c r="M162" s="229" t="s">
        <v>1032</v>
      </c>
      <c r="O162" s="230"/>
      <c r="U162" s="230"/>
      <c r="V162" s="102" t="s">
        <v>299</v>
      </c>
      <c r="W162" s="102" t="s">
        <v>286</v>
      </c>
      <c r="X162" s="102" t="s">
        <v>287</v>
      </c>
      <c r="Y162" s="102" t="s">
        <v>288</v>
      </c>
      <c r="AI162" s="230"/>
    </row>
    <row r="163">
      <c r="A163" s="102" t="s">
        <v>276</v>
      </c>
      <c r="B163" s="102" t="s">
        <v>1033</v>
      </c>
      <c r="C163" s="229" t="s">
        <v>1034</v>
      </c>
      <c r="D163" s="102" t="s">
        <v>1023</v>
      </c>
      <c r="E163" s="102" t="s">
        <v>280</v>
      </c>
      <c r="F163" s="102" t="s">
        <v>281</v>
      </c>
      <c r="G163" s="102" t="s">
        <v>391</v>
      </c>
      <c r="H163" s="102" t="s">
        <v>392</v>
      </c>
      <c r="I163" s="102" t="s">
        <v>284</v>
      </c>
      <c r="J163" s="102" t="s">
        <v>34</v>
      </c>
      <c r="L163" s="229" t="s">
        <v>1035</v>
      </c>
      <c r="M163" s="229" t="s">
        <v>1036</v>
      </c>
      <c r="O163" s="230"/>
      <c r="U163" s="230"/>
      <c r="V163" s="102" t="s">
        <v>299</v>
      </c>
      <c r="W163" s="102" t="s">
        <v>286</v>
      </c>
      <c r="X163" s="102" t="s">
        <v>287</v>
      </c>
      <c r="Y163" s="102" t="s">
        <v>288</v>
      </c>
      <c r="AI163" s="230"/>
    </row>
    <row r="164">
      <c r="A164" s="102" t="s">
        <v>310</v>
      </c>
      <c r="B164" s="102" t="s">
        <v>1037</v>
      </c>
      <c r="C164" s="229" t="s">
        <v>1038</v>
      </c>
      <c r="D164" s="102" t="s">
        <v>1039</v>
      </c>
      <c r="E164" s="102" t="s">
        <v>584</v>
      </c>
      <c r="F164" s="102" t="s">
        <v>585</v>
      </c>
      <c r="G164" s="102" t="s">
        <v>282</v>
      </c>
      <c r="H164" s="102" t="s">
        <v>283</v>
      </c>
      <c r="I164" s="102" t="s">
        <v>284</v>
      </c>
      <c r="J164" s="102" t="s">
        <v>454</v>
      </c>
      <c r="L164" s="229" t="s">
        <v>1040</v>
      </c>
      <c r="M164" s="229" t="s">
        <v>1014</v>
      </c>
      <c r="N164" s="229" t="s">
        <v>1004</v>
      </c>
      <c r="O164" s="102">
        <v>1.0</v>
      </c>
      <c r="P164" s="102" t="s">
        <v>1015</v>
      </c>
      <c r="U164" s="230"/>
      <c r="V164" s="102" t="s">
        <v>286</v>
      </c>
      <c r="W164" s="102" t="s">
        <v>287</v>
      </c>
      <c r="X164" s="102" t="s">
        <v>288</v>
      </c>
      <c r="AI164" s="230"/>
    </row>
    <row r="165">
      <c r="A165" s="102" t="s">
        <v>310</v>
      </c>
      <c r="B165" s="102" t="s">
        <v>1041</v>
      </c>
      <c r="C165" s="229" t="s">
        <v>1042</v>
      </c>
      <c r="D165" s="102" t="s">
        <v>1043</v>
      </c>
      <c r="E165" s="102" t="s">
        <v>304</v>
      </c>
      <c r="F165" s="102" t="s">
        <v>305</v>
      </c>
      <c r="G165" s="102" t="s">
        <v>282</v>
      </c>
      <c r="H165" s="102" t="s">
        <v>283</v>
      </c>
      <c r="I165" s="102" t="s">
        <v>515</v>
      </c>
      <c r="J165" s="102" t="s">
        <v>26</v>
      </c>
      <c r="L165" s="229" t="s">
        <v>1044</v>
      </c>
      <c r="M165" s="229" t="s">
        <v>1045</v>
      </c>
      <c r="O165" s="102">
        <v>3.0</v>
      </c>
      <c r="U165" s="230"/>
      <c r="V165" s="102" t="s">
        <v>288</v>
      </c>
      <c r="AI165" s="230"/>
    </row>
    <row r="166">
      <c r="A166" s="102" t="s">
        <v>310</v>
      </c>
      <c r="B166" s="102" t="s">
        <v>1046</v>
      </c>
      <c r="C166" s="229" t="s">
        <v>1047</v>
      </c>
      <c r="D166" s="102" t="s">
        <v>1048</v>
      </c>
      <c r="E166" s="102" t="s">
        <v>314</v>
      </c>
      <c r="F166" s="102" t="s">
        <v>315</v>
      </c>
      <c r="G166" s="102" t="s">
        <v>314</v>
      </c>
      <c r="H166" s="102" t="s">
        <v>315</v>
      </c>
      <c r="I166" s="102" t="s">
        <v>284</v>
      </c>
      <c r="J166" s="102" t="s">
        <v>454</v>
      </c>
      <c r="L166" s="229" t="s">
        <v>1049</v>
      </c>
      <c r="M166" s="229" t="s">
        <v>440</v>
      </c>
      <c r="O166" s="102">
        <v>3.0</v>
      </c>
      <c r="P166" s="102" t="s">
        <v>1050</v>
      </c>
      <c r="U166" s="102">
        <v>57600.0</v>
      </c>
      <c r="V166" s="102" t="s">
        <v>1051</v>
      </c>
      <c r="W166" s="102" t="s">
        <v>1052</v>
      </c>
      <c r="X166" s="102" t="s">
        <v>444</v>
      </c>
      <c r="AI166" s="230"/>
    </row>
    <row r="167">
      <c r="A167" s="102" t="s">
        <v>310</v>
      </c>
      <c r="B167" s="102" t="s">
        <v>1053</v>
      </c>
      <c r="C167" s="229" t="s">
        <v>1054</v>
      </c>
      <c r="D167" s="102" t="s">
        <v>1055</v>
      </c>
      <c r="E167" s="102" t="s">
        <v>564</v>
      </c>
      <c r="F167" s="102" t="s">
        <v>565</v>
      </c>
      <c r="G167" s="102" t="s">
        <v>353</v>
      </c>
      <c r="H167" s="102" t="s">
        <v>354</v>
      </c>
      <c r="I167" s="102" t="s">
        <v>284</v>
      </c>
      <c r="J167" s="102" t="s">
        <v>454</v>
      </c>
      <c r="L167" s="229" t="s">
        <v>1056</v>
      </c>
      <c r="M167" s="229" t="s">
        <v>949</v>
      </c>
      <c r="N167" s="229" t="s">
        <v>1057</v>
      </c>
      <c r="O167" s="102">
        <v>3.0</v>
      </c>
      <c r="U167" s="102">
        <v>28800.0</v>
      </c>
      <c r="V167" s="102" t="s">
        <v>1058</v>
      </c>
      <c r="W167" s="102" t="s">
        <v>1058</v>
      </c>
      <c r="X167" s="102" t="s">
        <v>714</v>
      </c>
      <c r="Y167" s="102" t="s">
        <v>358</v>
      </c>
      <c r="AI167" s="230"/>
    </row>
    <row r="168">
      <c r="A168" s="102" t="s">
        <v>310</v>
      </c>
      <c r="B168" s="102" t="s">
        <v>1059</v>
      </c>
      <c r="C168" s="229" t="s">
        <v>1060</v>
      </c>
      <c r="D168" s="102" t="s">
        <v>1061</v>
      </c>
      <c r="E168" s="102" t="s">
        <v>328</v>
      </c>
      <c r="F168" s="102" t="s">
        <v>329</v>
      </c>
      <c r="G168" s="102" t="s">
        <v>282</v>
      </c>
      <c r="H168" s="102" t="s">
        <v>283</v>
      </c>
      <c r="I168" s="102" t="s">
        <v>284</v>
      </c>
      <c r="J168" s="102" t="s">
        <v>454</v>
      </c>
      <c r="L168" s="229" t="s">
        <v>1062</v>
      </c>
      <c r="M168" s="229" t="s">
        <v>1063</v>
      </c>
      <c r="O168" s="102">
        <v>5.0</v>
      </c>
      <c r="U168" s="230"/>
      <c r="V168" s="102" t="s">
        <v>394</v>
      </c>
      <c r="W168" s="102" t="s">
        <v>395</v>
      </c>
      <c r="X168" s="102" t="s">
        <v>387</v>
      </c>
      <c r="AI168" s="230"/>
    </row>
    <row r="169">
      <c r="A169" s="102" t="s">
        <v>310</v>
      </c>
      <c r="B169" s="102" t="s">
        <v>1064</v>
      </c>
      <c r="C169" s="229" t="s">
        <v>1065</v>
      </c>
      <c r="D169" s="102" t="s">
        <v>1066</v>
      </c>
      <c r="E169" s="102" t="s">
        <v>556</v>
      </c>
      <c r="F169" s="102" t="s">
        <v>557</v>
      </c>
      <c r="G169" s="102" t="s">
        <v>282</v>
      </c>
      <c r="H169" s="102" t="s">
        <v>283</v>
      </c>
      <c r="I169" s="102" t="s">
        <v>284</v>
      </c>
      <c r="J169" s="102" t="s">
        <v>454</v>
      </c>
      <c r="L169" s="229" t="s">
        <v>1067</v>
      </c>
      <c r="M169" s="229" t="s">
        <v>901</v>
      </c>
      <c r="N169" s="229" t="s">
        <v>1004</v>
      </c>
      <c r="O169" s="102">
        <v>5.0</v>
      </c>
      <c r="U169" s="230"/>
      <c r="V169" s="102" t="s">
        <v>394</v>
      </c>
      <c r="W169" s="102" t="s">
        <v>395</v>
      </c>
      <c r="X169" s="102" t="s">
        <v>387</v>
      </c>
      <c r="AI169" s="230"/>
    </row>
    <row r="170">
      <c r="A170" s="102" t="s">
        <v>310</v>
      </c>
      <c r="B170" s="102" t="s">
        <v>1068</v>
      </c>
      <c r="C170" s="229" t="s">
        <v>1069</v>
      </c>
      <c r="D170" s="102" t="s">
        <v>1070</v>
      </c>
      <c r="E170" s="102" t="s">
        <v>495</v>
      </c>
      <c r="F170" s="102" t="s">
        <v>496</v>
      </c>
      <c r="G170" s="102" t="s">
        <v>282</v>
      </c>
      <c r="H170" s="102" t="s">
        <v>283</v>
      </c>
      <c r="I170" s="102" t="s">
        <v>284</v>
      </c>
      <c r="J170" s="102" t="s">
        <v>26</v>
      </c>
      <c r="L170" s="229" t="s">
        <v>1071</v>
      </c>
      <c r="M170" s="229" t="s">
        <v>509</v>
      </c>
      <c r="N170" s="229" t="s">
        <v>1004</v>
      </c>
      <c r="O170" s="102">
        <v>2.0</v>
      </c>
      <c r="U170" s="102">
        <v>14400.0</v>
      </c>
      <c r="V170" s="102" t="s">
        <v>286</v>
      </c>
      <c r="W170" s="102" t="s">
        <v>287</v>
      </c>
      <c r="X170" s="102" t="s">
        <v>288</v>
      </c>
      <c r="AI170" s="230"/>
    </row>
    <row r="171">
      <c r="A171" s="102" t="s">
        <v>332</v>
      </c>
      <c r="B171" s="102" t="s">
        <v>1072</v>
      </c>
      <c r="C171" s="229" t="s">
        <v>1073</v>
      </c>
      <c r="D171" s="102" t="s">
        <v>1074</v>
      </c>
      <c r="E171" s="102" t="s">
        <v>282</v>
      </c>
      <c r="F171" s="102" t="s">
        <v>283</v>
      </c>
      <c r="G171" s="102" t="s">
        <v>316</v>
      </c>
      <c r="H171" s="102" t="s">
        <v>317</v>
      </c>
      <c r="I171" s="102" t="s">
        <v>648</v>
      </c>
      <c r="J171" s="102" t="s">
        <v>1075</v>
      </c>
      <c r="L171" s="229" t="s">
        <v>1076</v>
      </c>
      <c r="M171" s="229" t="s">
        <v>480</v>
      </c>
      <c r="N171" s="229" t="s">
        <v>1077</v>
      </c>
      <c r="O171" s="230"/>
      <c r="P171" s="102" t="s">
        <v>1078</v>
      </c>
      <c r="Q171" s="102" t="s">
        <v>366</v>
      </c>
      <c r="R171" s="102" t="s">
        <v>1079</v>
      </c>
      <c r="S171" s="102" t="s">
        <v>367</v>
      </c>
      <c r="T171" s="102" t="s">
        <v>368</v>
      </c>
      <c r="U171" s="230"/>
      <c r="V171" s="102" t="s">
        <v>394</v>
      </c>
      <c r="W171" s="102" t="s">
        <v>417</v>
      </c>
      <c r="X171" s="102" t="s">
        <v>324</v>
      </c>
      <c r="AI171" s="230"/>
    </row>
    <row r="172">
      <c r="A172" s="102" t="s">
        <v>276</v>
      </c>
      <c r="B172" s="102" t="s">
        <v>1080</v>
      </c>
      <c r="C172" s="229" t="s">
        <v>1081</v>
      </c>
      <c r="D172" s="102" t="s">
        <v>1082</v>
      </c>
      <c r="E172" s="102" t="s">
        <v>521</v>
      </c>
      <c r="F172" s="102" t="s">
        <v>522</v>
      </c>
      <c r="G172" s="102" t="s">
        <v>521</v>
      </c>
      <c r="H172" s="102" t="s">
        <v>522</v>
      </c>
      <c r="I172" s="102" t="s">
        <v>284</v>
      </c>
      <c r="J172" s="102" t="s">
        <v>34</v>
      </c>
      <c r="L172" s="229" t="s">
        <v>1083</v>
      </c>
      <c r="M172" s="229" t="s">
        <v>1084</v>
      </c>
      <c r="O172" s="230"/>
      <c r="U172" s="230"/>
      <c r="V172" s="102" t="s">
        <v>1085</v>
      </c>
      <c r="W172" s="102" t="s">
        <v>529</v>
      </c>
      <c r="X172" s="102" t="s">
        <v>298</v>
      </c>
      <c r="Y172" s="102" t="s">
        <v>299</v>
      </c>
      <c r="Z172" s="102" t="s">
        <v>286</v>
      </c>
      <c r="AA172" s="102" t="s">
        <v>287</v>
      </c>
      <c r="AB172" s="102" t="s">
        <v>288</v>
      </c>
      <c r="AI172" s="230"/>
    </row>
    <row r="173">
      <c r="A173" s="102" t="s">
        <v>276</v>
      </c>
      <c r="B173" s="102" t="s">
        <v>1086</v>
      </c>
      <c r="C173" s="229" t="s">
        <v>1087</v>
      </c>
      <c r="D173" s="102" t="s">
        <v>1082</v>
      </c>
      <c r="E173" s="102" t="s">
        <v>521</v>
      </c>
      <c r="F173" s="102" t="s">
        <v>522</v>
      </c>
      <c r="G173" s="102" t="s">
        <v>521</v>
      </c>
      <c r="H173" s="102" t="s">
        <v>522</v>
      </c>
      <c r="I173" s="102" t="s">
        <v>284</v>
      </c>
      <c r="J173" s="102" t="s">
        <v>34</v>
      </c>
      <c r="L173" s="229" t="s">
        <v>1083</v>
      </c>
      <c r="M173" s="229" t="s">
        <v>1084</v>
      </c>
      <c r="O173" s="230"/>
      <c r="U173" s="230"/>
      <c r="V173" s="102" t="s">
        <v>1085</v>
      </c>
      <c r="W173" s="102" t="s">
        <v>529</v>
      </c>
      <c r="X173" s="102" t="s">
        <v>298</v>
      </c>
      <c r="Y173" s="102" t="s">
        <v>299</v>
      </c>
      <c r="Z173" s="102" t="s">
        <v>286</v>
      </c>
      <c r="AA173" s="102" t="s">
        <v>287</v>
      </c>
      <c r="AB173" s="102" t="s">
        <v>288</v>
      </c>
      <c r="AI173" s="230"/>
    </row>
    <row r="174">
      <c r="A174" s="102" t="s">
        <v>276</v>
      </c>
      <c r="B174" s="102" t="s">
        <v>1088</v>
      </c>
      <c r="C174" s="229" t="s">
        <v>1089</v>
      </c>
      <c r="D174" s="102" t="s">
        <v>1082</v>
      </c>
      <c r="E174" s="102" t="s">
        <v>521</v>
      </c>
      <c r="F174" s="102" t="s">
        <v>522</v>
      </c>
      <c r="G174" s="102" t="s">
        <v>521</v>
      </c>
      <c r="H174" s="102" t="s">
        <v>522</v>
      </c>
      <c r="I174" s="102" t="s">
        <v>284</v>
      </c>
      <c r="J174" s="102" t="s">
        <v>34</v>
      </c>
      <c r="L174" s="229" t="s">
        <v>1083</v>
      </c>
      <c r="M174" s="229" t="s">
        <v>1090</v>
      </c>
      <c r="O174" s="230"/>
      <c r="U174" s="230"/>
      <c r="V174" s="102" t="s">
        <v>1085</v>
      </c>
      <c r="W174" s="102" t="s">
        <v>529</v>
      </c>
      <c r="X174" s="102" t="s">
        <v>298</v>
      </c>
      <c r="Y174" s="102" t="s">
        <v>299</v>
      </c>
      <c r="Z174" s="102" t="s">
        <v>286</v>
      </c>
      <c r="AA174" s="102" t="s">
        <v>287</v>
      </c>
      <c r="AB174" s="102" t="s">
        <v>288</v>
      </c>
      <c r="AI174" s="230"/>
    </row>
    <row r="175">
      <c r="A175" s="102" t="s">
        <v>276</v>
      </c>
      <c r="B175" s="102" t="s">
        <v>1091</v>
      </c>
      <c r="C175" s="229" t="s">
        <v>1092</v>
      </c>
      <c r="D175" s="102" t="s">
        <v>1093</v>
      </c>
      <c r="E175" s="102" t="s">
        <v>521</v>
      </c>
      <c r="F175" s="102" t="s">
        <v>522</v>
      </c>
      <c r="G175" s="102" t="s">
        <v>521</v>
      </c>
      <c r="H175" s="102" t="s">
        <v>522</v>
      </c>
      <c r="I175" s="102" t="s">
        <v>284</v>
      </c>
      <c r="J175" s="102" t="s">
        <v>34</v>
      </c>
      <c r="L175" s="229" t="s">
        <v>1094</v>
      </c>
      <c r="M175" s="229" t="s">
        <v>1095</v>
      </c>
      <c r="O175" s="230"/>
      <c r="U175" s="230"/>
      <c r="V175" s="102" t="s">
        <v>1085</v>
      </c>
      <c r="W175" s="102" t="s">
        <v>529</v>
      </c>
      <c r="X175" s="102" t="s">
        <v>298</v>
      </c>
      <c r="Y175" s="102" t="s">
        <v>299</v>
      </c>
      <c r="Z175" s="102" t="s">
        <v>286</v>
      </c>
      <c r="AA175" s="102" t="s">
        <v>287</v>
      </c>
      <c r="AB175" s="102" t="s">
        <v>288</v>
      </c>
      <c r="AI175" s="230"/>
    </row>
    <row r="176">
      <c r="A176" s="102" t="s">
        <v>276</v>
      </c>
      <c r="B176" s="102" t="s">
        <v>1096</v>
      </c>
      <c r="C176" s="229" t="s">
        <v>1097</v>
      </c>
      <c r="D176" s="102" t="s">
        <v>1098</v>
      </c>
      <c r="E176" s="102" t="s">
        <v>521</v>
      </c>
      <c r="F176" s="102" t="s">
        <v>522</v>
      </c>
      <c r="G176" s="102" t="s">
        <v>521</v>
      </c>
      <c r="H176" s="102" t="s">
        <v>522</v>
      </c>
      <c r="I176" s="102" t="s">
        <v>284</v>
      </c>
      <c r="J176" s="102" t="s">
        <v>26</v>
      </c>
      <c r="L176" s="229" t="s">
        <v>1099</v>
      </c>
      <c r="M176" s="229" t="s">
        <v>1100</v>
      </c>
      <c r="O176" s="230"/>
      <c r="U176" s="230"/>
      <c r="V176" s="102" t="s">
        <v>1085</v>
      </c>
      <c r="W176" s="102" t="s">
        <v>529</v>
      </c>
      <c r="X176" s="102" t="s">
        <v>298</v>
      </c>
      <c r="Y176" s="102" t="s">
        <v>299</v>
      </c>
      <c r="Z176" s="102" t="s">
        <v>286</v>
      </c>
      <c r="AA176" s="102" t="s">
        <v>287</v>
      </c>
      <c r="AB176" s="102" t="s">
        <v>288</v>
      </c>
      <c r="AI176" s="230"/>
    </row>
    <row r="177">
      <c r="A177" s="102" t="s">
        <v>276</v>
      </c>
      <c r="B177" s="102" t="s">
        <v>1101</v>
      </c>
      <c r="C177" s="229" t="s">
        <v>1102</v>
      </c>
      <c r="D177" s="102" t="s">
        <v>1103</v>
      </c>
      <c r="E177" s="102" t="s">
        <v>521</v>
      </c>
      <c r="F177" s="102" t="s">
        <v>522</v>
      </c>
      <c r="G177" s="102" t="s">
        <v>521</v>
      </c>
      <c r="H177" s="102" t="s">
        <v>522</v>
      </c>
      <c r="I177" s="102" t="s">
        <v>284</v>
      </c>
      <c r="J177" s="102" t="s">
        <v>26</v>
      </c>
      <c r="L177" s="229" t="s">
        <v>1099</v>
      </c>
      <c r="M177" s="229" t="s">
        <v>1100</v>
      </c>
      <c r="O177" s="230"/>
      <c r="U177" s="230"/>
      <c r="V177" s="102" t="s">
        <v>1085</v>
      </c>
      <c r="W177" s="102" t="s">
        <v>529</v>
      </c>
      <c r="X177" s="102" t="s">
        <v>298</v>
      </c>
      <c r="Y177" s="102" t="s">
        <v>299</v>
      </c>
      <c r="Z177" s="102" t="s">
        <v>286</v>
      </c>
      <c r="AA177" s="102" t="s">
        <v>287</v>
      </c>
      <c r="AB177" s="102" t="s">
        <v>288</v>
      </c>
      <c r="AI177" s="230"/>
    </row>
    <row r="178">
      <c r="A178" s="102" t="s">
        <v>276</v>
      </c>
      <c r="B178" s="102" t="s">
        <v>1104</v>
      </c>
      <c r="C178" s="229" t="s">
        <v>1105</v>
      </c>
      <c r="D178" s="102" t="s">
        <v>1082</v>
      </c>
      <c r="E178" s="102" t="s">
        <v>521</v>
      </c>
      <c r="F178" s="102" t="s">
        <v>522</v>
      </c>
      <c r="G178" s="102" t="s">
        <v>521</v>
      </c>
      <c r="H178" s="102" t="s">
        <v>522</v>
      </c>
      <c r="I178" s="102" t="s">
        <v>284</v>
      </c>
      <c r="J178" s="102" t="s">
        <v>63</v>
      </c>
      <c r="L178" s="229" t="s">
        <v>1106</v>
      </c>
      <c r="M178" s="229" t="s">
        <v>1107</v>
      </c>
      <c r="O178" s="230"/>
      <c r="U178" s="230"/>
      <c r="V178" s="102" t="s">
        <v>1085</v>
      </c>
      <c r="W178" s="102" t="s">
        <v>529</v>
      </c>
      <c r="X178" s="102" t="s">
        <v>298</v>
      </c>
      <c r="Y178" s="102" t="s">
        <v>299</v>
      </c>
      <c r="Z178" s="102" t="s">
        <v>286</v>
      </c>
      <c r="AA178" s="102" t="s">
        <v>287</v>
      </c>
      <c r="AB178" s="102" t="s">
        <v>288</v>
      </c>
      <c r="AI178" s="230"/>
    </row>
    <row r="179">
      <c r="A179" s="102" t="s">
        <v>276</v>
      </c>
      <c r="B179" s="102" t="s">
        <v>1108</v>
      </c>
      <c r="C179" s="229" t="s">
        <v>1109</v>
      </c>
      <c r="D179" s="102" t="s">
        <v>1110</v>
      </c>
      <c r="E179" s="102" t="s">
        <v>521</v>
      </c>
      <c r="F179" s="102" t="s">
        <v>522</v>
      </c>
      <c r="G179" s="102" t="s">
        <v>521</v>
      </c>
      <c r="H179" s="102" t="s">
        <v>522</v>
      </c>
      <c r="I179" s="102" t="s">
        <v>284</v>
      </c>
      <c r="J179" s="102" t="s">
        <v>26</v>
      </c>
      <c r="L179" s="229" t="s">
        <v>1111</v>
      </c>
      <c r="M179" s="229" t="s">
        <v>1112</v>
      </c>
      <c r="O179" s="230"/>
      <c r="U179" s="230"/>
      <c r="V179" s="102" t="s">
        <v>1085</v>
      </c>
      <c r="W179" s="102" t="s">
        <v>529</v>
      </c>
      <c r="X179" s="102" t="s">
        <v>298</v>
      </c>
      <c r="Y179" s="102" t="s">
        <v>299</v>
      </c>
      <c r="Z179" s="102" t="s">
        <v>286</v>
      </c>
      <c r="AA179" s="102" t="s">
        <v>287</v>
      </c>
      <c r="AB179" s="102" t="s">
        <v>288</v>
      </c>
      <c r="AI179" s="230"/>
    </row>
    <row r="180">
      <c r="A180" s="102" t="s">
        <v>332</v>
      </c>
      <c r="B180" s="102" t="s">
        <v>1113</v>
      </c>
      <c r="C180" s="229" t="s">
        <v>1114</v>
      </c>
      <c r="D180" s="102" t="s">
        <v>1115</v>
      </c>
      <c r="E180" s="102" t="s">
        <v>282</v>
      </c>
      <c r="F180" s="102" t="s">
        <v>283</v>
      </c>
      <c r="G180" s="102" t="s">
        <v>316</v>
      </c>
      <c r="H180" s="102" t="s">
        <v>317</v>
      </c>
      <c r="I180" s="102" t="s">
        <v>284</v>
      </c>
      <c r="J180" s="102" t="s">
        <v>922</v>
      </c>
      <c r="L180" s="229" t="s">
        <v>1116</v>
      </c>
      <c r="M180" s="229" t="s">
        <v>1117</v>
      </c>
      <c r="N180" s="229" t="s">
        <v>1077</v>
      </c>
      <c r="O180" s="230"/>
      <c r="P180" s="102" t="s">
        <v>783</v>
      </c>
      <c r="Q180" s="102" t="s">
        <v>368</v>
      </c>
      <c r="U180" s="230"/>
      <c r="V180" s="102" t="s">
        <v>394</v>
      </c>
      <c r="W180" s="102" t="s">
        <v>417</v>
      </c>
      <c r="X180" s="102" t="s">
        <v>324</v>
      </c>
      <c r="AI180" s="230"/>
    </row>
    <row r="181">
      <c r="A181" s="102" t="s">
        <v>310</v>
      </c>
      <c r="B181" s="102" t="s">
        <v>1118</v>
      </c>
      <c r="C181" s="229" t="s">
        <v>1119</v>
      </c>
      <c r="D181" s="102" t="s">
        <v>1120</v>
      </c>
      <c r="E181" s="102" t="s">
        <v>513</v>
      </c>
      <c r="F181" s="102" t="s">
        <v>514</v>
      </c>
      <c r="G181" s="102" t="s">
        <v>314</v>
      </c>
      <c r="H181" s="102" t="s">
        <v>315</v>
      </c>
      <c r="I181" s="102" t="s">
        <v>284</v>
      </c>
      <c r="J181" s="102" t="s">
        <v>355</v>
      </c>
      <c r="L181" s="229" t="s">
        <v>1121</v>
      </c>
      <c r="M181" s="229" t="s">
        <v>669</v>
      </c>
      <c r="O181" s="102">
        <v>1.0</v>
      </c>
      <c r="U181" s="102">
        <v>7200.0</v>
      </c>
      <c r="V181" s="102" t="s">
        <v>324</v>
      </c>
      <c r="AI181" s="230"/>
    </row>
    <row r="182">
      <c r="A182" s="102" t="s">
        <v>310</v>
      </c>
      <c r="B182" s="102" t="s">
        <v>1122</v>
      </c>
      <c r="C182" s="229" t="s">
        <v>1123</v>
      </c>
      <c r="D182" s="102" t="s">
        <v>1124</v>
      </c>
      <c r="E182" s="102" t="s">
        <v>328</v>
      </c>
      <c r="F182" s="102" t="s">
        <v>329</v>
      </c>
      <c r="G182" s="102" t="s">
        <v>282</v>
      </c>
      <c r="H182" s="102" t="s">
        <v>283</v>
      </c>
      <c r="I182" s="102" t="s">
        <v>284</v>
      </c>
      <c r="J182" s="102" t="s">
        <v>454</v>
      </c>
      <c r="L182" s="229" t="s">
        <v>1125</v>
      </c>
      <c r="M182" s="229" t="s">
        <v>587</v>
      </c>
      <c r="N182" s="229" t="s">
        <v>1126</v>
      </c>
      <c r="O182" s="102">
        <v>1.0</v>
      </c>
      <c r="P182" s="102" t="s">
        <v>457</v>
      </c>
      <c r="U182" s="230"/>
      <c r="V182" s="102" t="s">
        <v>299</v>
      </c>
      <c r="W182" s="102" t="s">
        <v>286</v>
      </c>
      <c r="X182" s="102" t="s">
        <v>287</v>
      </c>
      <c r="Y182" s="102" t="s">
        <v>288</v>
      </c>
      <c r="AI182" s="230"/>
    </row>
    <row r="183">
      <c r="A183" s="102" t="s">
        <v>310</v>
      </c>
      <c r="B183" s="102" t="s">
        <v>1127</v>
      </c>
      <c r="C183" s="229" t="s">
        <v>1128</v>
      </c>
      <c r="D183" s="102" t="s">
        <v>1129</v>
      </c>
      <c r="E183" s="102" t="s">
        <v>328</v>
      </c>
      <c r="F183" s="102" t="s">
        <v>329</v>
      </c>
      <c r="G183" s="102" t="s">
        <v>282</v>
      </c>
      <c r="H183" s="102" t="s">
        <v>283</v>
      </c>
      <c r="I183" s="102" t="s">
        <v>284</v>
      </c>
      <c r="J183" s="102" t="s">
        <v>454</v>
      </c>
      <c r="L183" s="229" t="s">
        <v>1125</v>
      </c>
      <c r="M183" s="229" t="s">
        <v>587</v>
      </c>
      <c r="N183" s="229" t="s">
        <v>1126</v>
      </c>
      <c r="O183" s="102">
        <v>2.0</v>
      </c>
      <c r="P183" s="102" t="s">
        <v>457</v>
      </c>
      <c r="U183" s="230"/>
      <c r="V183" s="102" t="s">
        <v>299</v>
      </c>
      <c r="W183" s="102" t="s">
        <v>286</v>
      </c>
      <c r="X183" s="102" t="s">
        <v>287</v>
      </c>
      <c r="Y183" s="102" t="s">
        <v>288</v>
      </c>
      <c r="AI183" s="230"/>
    </row>
    <row r="184">
      <c r="A184" s="102" t="s">
        <v>310</v>
      </c>
      <c r="B184" s="102" t="s">
        <v>1130</v>
      </c>
      <c r="C184" s="229" t="s">
        <v>1131</v>
      </c>
      <c r="D184" s="102" t="s">
        <v>1132</v>
      </c>
      <c r="E184" s="102" t="s">
        <v>513</v>
      </c>
      <c r="F184" s="102" t="s">
        <v>514</v>
      </c>
      <c r="G184" s="102" t="s">
        <v>282</v>
      </c>
      <c r="H184" s="102" t="s">
        <v>283</v>
      </c>
      <c r="I184" s="102" t="s">
        <v>284</v>
      </c>
      <c r="J184" s="102" t="s">
        <v>454</v>
      </c>
      <c r="L184" s="229" t="s">
        <v>1133</v>
      </c>
      <c r="M184" s="229" t="s">
        <v>587</v>
      </c>
      <c r="N184" s="229" t="s">
        <v>1134</v>
      </c>
      <c r="O184" s="102">
        <v>3.0</v>
      </c>
      <c r="P184" s="102" t="s">
        <v>457</v>
      </c>
      <c r="U184" s="230"/>
      <c r="V184" s="102" t="s">
        <v>299</v>
      </c>
      <c r="W184" s="102" t="s">
        <v>286</v>
      </c>
      <c r="X184" s="102" t="s">
        <v>287</v>
      </c>
      <c r="Y184" s="102" t="s">
        <v>288</v>
      </c>
      <c r="AI184" s="230"/>
    </row>
    <row r="185">
      <c r="A185" s="102" t="s">
        <v>310</v>
      </c>
      <c r="B185" s="102" t="s">
        <v>1135</v>
      </c>
      <c r="C185" s="229" t="s">
        <v>1136</v>
      </c>
      <c r="D185" s="102" t="s">
        <v>1137</v>
      </c>
      <c r="E185" s="102" t="s">
        <v>513</v>
      </c>
      <c r="F185" s="102" t="s">
        <v>514</v>
      </c>
      <c r="G185" s="102" t="s">
        <v>282</v>
      </c>
      <c r="H185" s="102" t="s">
        <v>283</v>
      </c>
      <c r="I185" s="102" t="s">
        <v>284</v>
      </c>
      <c r="J185" s="102" t="s">
        <v>454</v>
      </c>
      <c r="L185" s="229" t="s">
        <v>1138</v>
      </c>
      <c r="M185" s="229" t="s">
        <v>587</v>
      </c>
      <c r="N185" s="229" t="s">
        <v>1139</v>
      </c>
      <c r="O185" s="102">
        <v>3.0</v>
      </c>
      <c r="P185" s="102" t="s">
        <v>457</v>
      </c>
      <c r="U185" s="230"/>
      <c r="V185" s="102" t="s">
        <v>299</v>
      </c>
      <c r="W185" s="102" t="s">
        <v>286</v>
      </c>
      <c r="X185" s="102" t="s">
        <v>287</v>
      </c>
      <c r="Y185" s="102" t="s">
        <v>288</v>
      </c>
      <c r="AI185" s="230"/>
    </row>
    <row r="186">
      <c r="A186" s="102" t="s">
        <v>310</v>
      </c>
      <c r="B186" s="102" t="s">
        <v>1140</v>
      </c>
      <c r="C186" s="229" t="s">
        <v>1141</v>
      </c>
      <c r="D186" s="102" t="s">
        <v>1142</v>
      </c>
      <c r="E186" s="102" t="s">
        <v>328</v>
      </c>
      <c r="F186" s="102" t="s">
        <v>329</v>
      </c>
      <c r="G186" s="102" t="s">
        <v>282</v>
      </c>
      <c r="H186" s="102" t="s">
        <v>283</v>
      </c>
      <c r="I186" s="102" t="s">
        <v>284</v>
      </c>
      <c r="J186" s="102" t="s">
        <v>454</v>
      </c>
      <c r="L186" s="229" t="s">
        <v>1143</v>
      </c>
      <c r="M186" s="229" t="s">
        <v>587</v>
      </c>
      <c r="N186" s="229" t="s">
        <v>1144</v>
      </c>
      <c r="O186" s="102">
        <v>3.0</v>
      </c>
      <c r="P186" s="102" t="s">
        <v>457</v>
      </c>
      <c r="U186" s="230"/>
      <c r="V186" s="102" t="s">
        <v>299</v>
      </c>
      <c r="W186" s="102" t="s">
        <v>286</v>
      </c>
      <c r="X186" s="102" t="s">
        <v>287</v>
      </c>
      <c r="Y186" s="102" t="s">
        <v>288</v>
      </c>
      <c r="AI186" s="230"/>
    </row>
    <row r="187">
      <c r="A187" s="102" t="s">
        <v>310</v>
      </c>
      <c r="B187" s="102" t="s">
        <v>1145</v>
      </c>
      <c r="C187" s="229" t="s">
        <v>1146</v>
      </c>
      <c r="D187" s="102" t="s">
        <v>1147</v>
      </c>
      <c r="E187" s="102" t="s">
        <v>314</v>
      </c>
      <c r="F187" s="102" t="s">
        <v>315</v>
      </c>
      <c r="G187" s="102" t="s">
        <v>314</v>
      </c>
      <c r="H187" s="102" t="s">
        <v>315</v>
      </c>
      <c r="I187" s="102" t="s">
        <v>284</v>
      </c>
      <c r="J187" s="102" t="s">
        <v>454</v>
      </c>
      <c r="L187" s="229" t="s">
        <v>1148</v>
      </c>
      <c r="M187" s="229" t="s">
        <v>440</v>
      </c>
      <c r="O187" s="102">
        <v>5.0</v>
      </c>
      <c r="P187" s="102" t="s">
        <v>1149</v>
      </c>
      <c r="U187" s="102">
        <v>57600.0</v>
      </c>
      <c r="V187" s="102" t="s">
        <v>1150</v>
      </c>
      <c r="W187" s="102" t="s">
        <v>1051</v>
      </c>
      <c r="X187" s="102" t="s">
        <v>1052</v>
      </c>
      <c r="Y187" s="102" t="s">
        <v>444</v>
      </c>
      <c r="AI187" s="230"/>
    </row>
    <row r="188">
      <c r="A188" s="102" t="s">
        <v>332</v>
      </c>
      <c r="B188" s="102" t="s">
        <v>1151</v>
      </c>
      <c r="C188" s="229" t="s">
        <v>1152</v>
      </c>
      <c r="D188" s="102" t="s">
        <v>1153</v>
      </c>
      <c r="E188" s="102" t="s">
        <v>353</v>
      </c>
      <c r="F188" s="102" t="s">
        <v>354</v>
      </c>
      <c r="G188" s="102" t="s">
        <v>316</v>
      </c>
      <c r="H188" s="102" t="s">
        <v>317</v>
      </c>
      <c r="I188" s="102" t="s">
        <v>284</v>
      </c>
      <c r="J188" s="102" t="s">
        <v>336</v>
      </c>
      <c r="L188" s="229" t="s">
        <v>1154</v>
      </c>
      <c r="M188" s="229" t="s">
        <v>480</v>
      </c>
      <c r="O188" s="230"/>
      <c r="P188" s="102" t="s">
        <v>27</v>
      </c>
      <c r="Q188" s="102" t="s">
        <v>538</v>
      </c>
      <c r="R188" s="102" t="s">
        <v>474</v>
      </c>
      <c r="U188" s="230"/>
      <c r="V188" s="102" t="s">
        <v>1155</v>
      </c>
      <c r="W188" s="102" t="s">
        <v>394</v>
      </c>
      <c r="X188" s="102" t="s">
        <v>417</v>
      </c>
      <c r="Y188" s="102" t="s">
        <v>324</v>
      </c>
      <c r="AI188" s="230"/>
    </row>
    <row r="189">
      <c r="A189" s="102" t="s">
        <v>310</v>
      </c>
      <c r="B189" s="102" t="s">
        <v>1156</v>
      </c>
      <c r="C189" s="229" t="s">
        <v>1157</v>
      </c>
      <c r="D189" s="102" t="s">
        <v>1158</v>
      </c>
      <c r="E189" s="102" t="s">
        <v>328</v>
      </c>
      <c r="F189" s="102" t="s">
        <v>329</v>
      </c>
      <c r="G189" s="102" t="s">
        <v>282</v>
      </c>
      <c r="H189" s="102" t="s">
        <v>283</v>
      </c>
      <c r="I189" s="102" t="s">
        <v>284</v>
      </c>
      <c r="J189" s="102" t="s">
        <v>454</v>
      </c>
      <c r="L189" s="229" t="s">
        <v>1159</v>
      </c>
      <c r="M189" s="229" t="s">
        <v>587</v>
      </c>
      <c r="N189" s="229" t="s">
        <v>1160</v>
      </c>
      <c r="O189" s="102">
        <v>3.0</v>
      </c>
      <c r="P189" s="102" t="s">
        <v>457</v>
      </c>
      <c r="U189" s="230"/>
      <c r="V189" s="102" t="s">
        <v>299</v>
      </c>
      <c r="W189" s="102" t="s">
        <v>286</v>
      </c>
      <c r="X189" s="102" t="s">
        <v>287</v>
      </c>
      <c r="Y189" s="102" t="s">
        <v>288</v>
      </c>
      <c r="AI189" s="230"/>
    </row>
    <row r="190">
      <c r="A190" s="102" t="s">
        <v>310</v>
      </c>
      <c r="B190" s="102" t="s">
        <v>1161</v>
      </c>
      <c r="C190" s="229" t="s">
        <v>1162</v>
      </c>
      <c r="D190" s="102" t="s">
        <v>1163</v>
      </c>
      <c r="E190" s="102" t="s">
        <v>328</v>
      </c>
      <c r="F190" s="102" t="s">
        <v>329</v>
      </c>
      <c r="G190" s="102" t="s">
        <v>282</v>
      </c>
      <c r="H190" s="102" t="s">
        <v>283</v>
      </c>
      <c r="I190" s="102" t="s">
        <v>284</v>
      </c>
      <c r="J190" s="102" t="s">
        <v>454</v>
      </c>
      <c r="L190" s="229" t="s">
        <v>1164</v>
      </c>
      <c r="M190" s="229" t="s">
        <v>587</v>
      </c>
      <c r="N190" s="229" t="s">
        <v>1165</v>
      </c>
      <c r="O190" s="102">
        <v>3.0</v>
      </c>
      <c r="P190" s="102" t="s">
        <v>457</v>
      </c>
      <c r="U190" s="230"/>
      <c r="V190" s="102" t="s">
        <v>299</v>
      </c>
      <c r="W190" s="102" t="s">
        <v>286</v>
      </c>
      <c r="X190" s="102" t="s">
        <v>287</v>
      </c>
      <c r="Y190" s="102" t="s">
        <v>288</v>
      </c>
      <c r="AI190" s="230"/>
    </row>
    <row r="191">
      <c r="A191" s="102" t="s">
        <v>310</v>
      </c>
      <c r="B191" s="102" t="s">
        <v>1166</v>
      </c>
      <c r="C191" s="229" t="s">
        <v>1167</v>
      </c>
      <c r="D191" s="102" t="s">
        <v>1168</v>
      </c>
      <c r="E191" s="102" t="s">
        <v>584</v>
      </c>
      <c r="F191" s="102" t="s">
        <v>585</v>
      </c>
      <c r="G191" s="102" t="s">
        <v>282</v>
      </c>
      <c r="H191" s="102" t="s">
        <v>283</v>
      </c>
      <c r="I191" s="102" t="s">
        <v>284</v>
      </c>
      <c r="J191" s="102" t="s">
        <v>454</v>
      </c>
      <c r="L191" s="229" t="s">
        <v>1169</v>
      </c>
      <c r="M191" s="229" t="s">
        <v>1014</v>
      </c>
      <c r="N191" s="229" t="s">
        <v>1170</v>
      </c>
      <c r="O191" s="102">
        <v>1.0</v>
      </c>
      <c r="P191" s="102" t="s">
        <v>1015</v>
      </c>
      <c r="U191" s="230"/>
      <c r="V191" s="102" t="s">
        <v>299</v>
      </c>
      <c r="W191" s="102" t="s">
        <v>286</v>
      </c>
      <c r="X191" s="102" t="s">
        <v>287</v>
      </c>
      <c r="Y191" s="102" t="s">
        <v>288</v>
      </c>
      <c r="AI191" s="230"/>
    </row>
    <row r="192">
      <c r="A192" s="102" t="s">
        <v>310</v>
      </c>
      <c r="B192" s="102" t="s">
        <v>1171</v>
      </c>
      <c r="C192" s="229" t="s">
        <v>1172</v>
      </c>
      <c r="D192" s="102" t="s">
        <v>1173</v>
      </c>
      <c r="E192" s="102" t="s">
        <v>282</v>
      </c>
      <c r="F192" s="102" t="s">
        <v>283</v>
      </c>
      <c r="G192" s="102" t="s">
        <v>282</v>
      </c>
      <c r="H192" s="102" t="s">
        <v>283</v>
      </c>
      <c r="I192" s="102" t="s">
        <v>284</v>
      </c>
      <c r="J192" s="102" t="s">
        <v>26</v>
      </c>
      <c r="L192" s="229" t="s">
        <v>1174</v>
      </c>
      <c r="M192" s="229" t="s">
        <v>1175</v>
      </c>
      <c r="O192" s="102">
        <v>1.0</v>
      </c>
      <c r="U192" s="230"/>
      <c r="V192" s="102" t="s">
        <v>287</v>
      </c>
      <c r="W192" s="102" t="s">
        <v>288</v>
      </c>
      <c r="AI192" s="230"/>
    </row>
    <row r="193">
      <c r="A193" s="102" t="s">
        <v>310</v>
      </c>
      <c r="B193" s="102" t="s">
        <v>1176</v>
      </c>
      <c r="C193" s="229" t="s">
        <v>1177</v>
      </c>
      <c r="D193" s="102" t="s">
        <v>1178</v>
      </c>
      <c r="E193" s="102" t="s">
        <v>495</v>
      </c>
      <c r="F193" s="102" t="s">
        <v>496</v>
      </c>
      <c r="G193" s="102" t="s">
        <v>282</v>
      </c>
      <c r="H193" s="102" t="s">
        <v>283</v>
      </c>
      <c r="I193" s="102" t="s">
        <v>284</v>
      </c>
      <c r="J193" s="102" t="s">
        <v>26</v>
      </c>
      <c r="L193" s="229" t="s">
        <v>1179</v>
      </c>
      <c r="M193" s="229" t="s">
        <v>1117</v>
      </c>
      <c r="N193" s="229" t="s">
        <v>713</v>
      </c>
      <c r="O193" s="102">
        <v>5.0</v>
      </c>
      <c r="P193" s="102" t="s">
        <v>777</v>
      </c>
      <c r="U193" s="102">
        <v>57600.0</v>
      </c>
      <c r="V193" s="102" t="s">
        <v>287</v>
      </c>
      <c r="W193" s="102" t="s">
        <v>288</v>
      </c>
      <c r="AI193" s="230"/>
    </row>
    <row r="194">
      <c r="A194" s="102" t="s">
        <v>310</v>
      </c>
      <c r="B194" s="102" t="s">
        <v>1180</v>
      </c>
      <c r="C194" s="229" t="s">
        <v>1181</v>
      </c>
      <c r="D194" s="102" t="s">
        <v>1182</v>
      </c>
      <c r="E194" s="102" t="s">
        <v>495</v>
      </c>
      <c r="F194" s="102" t="s">
        <v>496</v>
      </c>
      <c r="G194" s="102" t="s">
        <v>282</v>
      </c>
      <c r="H194" s="102" t="s">
        <v>283</v>
      </c>
      <c r="I194" s="102" t="s">
        <v>284</v>
      </c>
      <c r="J194" s="102" t="s">
        <v>26</v>
      </c>
      <c r="L194" s="229" t="s">
        <v>1179</v>
      </c>
      <c r="M194" s="229" t="s">
        <v>1117</v>
      </c>
      <c r="N194" s="229" t="s">
        <v>713</v>
      </c>
      <c r="O194" s="102">
        <v>5.0</v>
      </c>
      <c r="P194" s="102" t="s">
        <v>331</v>
      </c>
      <c r="U194" s="102">
        <v>57600.0</v>
      </c>
      <c r="V194" s="102" t="s">
        <v>287</v>
      </c>
      <c r="W194" s="102" t="s">
        <v>288</v>
      </c>
      <c r="AI194" s="230"/>
    </row>
    <row r="195">
      <c r="A195" s="102" t="s">
        <v>310</v>
      </c>
      <c r="B195" s="102" t="s">
        <v>1183</v>
      </c>
      <c r="C195" s="229" t="s">
        <v>1184</v>
      </c>
      <c r="D195" s="102" t="s">
        <v>1185</v>
      </c>
      <c r="E195" s="102" t="s">
        <v>495</v>
      </c>
      <c r="F195" s="102" t="s">
        <v>496</v>
      </c>
      <c r="G195" s="102" t="s">
        <v>282</v>
      </c>
      <c r="H195" s="102" t="s">
        <v>283</v>
      </c>
      <c r="I195" s="102" t="s">
        <v>284</v>
      </c>
      <c r="J195" s="102" t="s">
        <v>454</v>
      </c>
      <c r="L195" s="229" t="s">
        <v>1186</v>
      </c>
      <c r="M195" s="229" t="s">
        <v>1187</v>
      </c>
      <c r="N195" s="229" t="s">
        <v>1170</v>
      </c>
      <c r="O195" s="102">
        <v>3.0</v>
      </c>
      <c r="P195" s="102" t="s">
        <v>1015</v>
      </c>
      <c r="U195" s="102">
        <v>14400.0</v>
      </c>
      <c r="V195" s="102" t="s">
        <v>299</v>
      </c>
      <c r="W195" s="102" t="s">
        <v>286</v>
      </c>
      <c r="X195" s="102" t="s">
        <v>287</v>
      </c>
      <c r="Y195" s="102" t="s">
        <v>288</v>
      </c>
      <c r="AI195" s="230"/>
    </row>
    <row r="196">
      <c r="A196" s="102" t="s">
        <v>310</v>
      </c>
      <c r="B196" s="102" t="s">
        <v>1188</v>
      </c>
      <c r="C196" s="229" t="s">
        <v>1189</v>
      </c>
      <c r="D196" s="102" t="s">
        <v>1190</v>
      </c>
      <c r="E196" s="102" t="s">
        <v>513</v>
      </c>
      <c r="F196" s="102" t="s">
        <v>514</v>
      </c>
      <c r="G196" s="102" t="s">
        <v>282</v>
      </c>
      <c r="H196" s="102" t="s">
        <v>283</v>
      </c>
      <c r="I196" s="102" t="s">
        <v>284</v>
      </c>
      <c r="J196" s="102" t="s">
        <v>355</v>
      </c>
      <c r="L196" s="229" t="s">
        <v>1191</v>
      </c>
      <c r="M196" s="229" t="s">
        <v>1014</v>
      </c>
      <c r="N196" s="229" t="s">
        <v>1192</v>
      </c>
      <c r="O196" s="102">
        <v>1.0</v>
      </c>
      <c r="P196" s="102" t="s">
        <v>1015</v>
      </c>
      <c r="U196" s="102">
        <v>7200.0</v>
      </c>
      <c r="V196" s="102" t="s">
        <v>286</v>
      </c>
      <c r="W196" s="102" t="s">
        <v>287</v>
      </c>
      <c r="X196" s="102" t="s">
        <v>288</v>
      </c>
      <c r="AI196" s="230"/>
    </row>
    <row r="197">
      <c r="A197" s="102" t="s">
        <v>310</v>
      </c>
      <c r="B197" s="102" t="s">
        <v>1193</v>
      </c>
      <c r="C197" s="229" t="s">
        <v>1194</v>
      </c>
      <c r="D197" s="102" t="s">
        <v>1195</v>
      </c>
      <c r="E197" s="102" t="s">
        <v>495</v>
      </c>
      <c r="F197" s="102" t="s">
        <v>496</v>
      </c>
      <c r="G197" s="102" t="s">
        <v>282</v>
      </c>
      <c r="H197" s="102" t="s">
        <v>283</v>
      </c>
      <c r="I197" s="102" t="s">
        <v>284</v>
      </c>
      <c r="J197" s="102" t="s">
        <v>26</v>
      </c>
      <c r="L197" s="229" t="s">
        <v>1196</v>
      </c>
      <c r="M197" s="229" t="s">
        <v>1197</v>
      </c>
      <c r="N197" s="229" t="s">
        <v>1170</v>
      </c>
      <c r="O197" s="102">
        <v>3.0</v>
      </c>
      <c r="P197" s="102" t="s">
        <v>1015</v>
      </c>
      <c r="U197" s="102">
        <v>14400.0</v>
      </c>
      <c r="V197" s="102" t="s">
        <v>299</v>
      </c>
      <c r="W197" s="102" t="s">
        <v>286</v>
      </c>
      <c r="X197" s="102" t="s">
        <v>287</v>
      </c>
      <c r="Y197" s="102" t="s">
        <v>288</v>
      </c>
      <c r="AI197" s="230"/>
    </row>
    <row r="198">
      <c r="A198" s="102" t="s">
        <v>630</v>
      </c>
      <c r="B198" s="102" t="s">
        <v>1198</v>
      </c>
      <c r="C198" s="229" t="s">
        <v>1199</v>
      </c>
      <c r="D198" s="102" t="s">
        <v>1200</v>
      </c>
      <c r="G198" s="102" t="s">
        <v>353</v>
      </c>
      <c r="H198" s="102" t="s">
        <v>354</v>
      </c>
      <c r="I198" s="102" t="s">
        <v>284</v>
      </c>
      <c r="J198" s="102" t="s">
        <v>63</v>
      </c>
      <c r="L198" s="229" t="s">
        <v>1201</v>
      </c>
      <c r="M198" s="229" t="s">
        <v>949</v>
      </c>
      <c r="N198" s="229" t="s">
        <v>1202</v>
      </c>
      <c r="O198" s="230"/>
      <c r="U198" s="230"/>
      <c r="V198" s="102" t="s">
        <v>1203</v>
      </c>
      <c r="W198" s="102" t="s">
        <v>1204</v>
      </c>
      <c r="X198" s="102" t="s">
        <v>1205</v>
      </c>
      <c r="Y198" s="102" t="s">
        <v>1205</v>
      </c>
      <c r="Z198" s="102" t="s">
        <v>1058</v>
      </c>
      <c r="AA198" s="102" t="s">
        <v>1058</v>
      </c>
      <c r="AB198" s="102" t="s">
        <v>714</v>
      </c>
      <c r="AC198" s="102" t="s">
        <v>358</v>
      </c>
      <c r="AI198" s="230"/>
    </row>
    <row r="199">
      <c r="A199" s="102" t="s">
        <v>310</v>
      </c>
      <c r="B199" s="102" t="s">
        <v>1206</v>
      </c>
      <c r="C199" s="229" t="s">
        <v>1207</v>
      </c>
      <c r="D199" s="102" t="s">
        <v>1208</v>
      </c>
      <c r="E199" s="102" t="s">
        <v>584</v>
      </c>
      <c r="F199" s="102" t="s">
        <v>585</v>
      </c>
      <c r="G199" s="102" t="s">
        <v>282</v>
      </c>
      <c r="H199" s="102" t="s">
        <v>283</v>
      </c>
      <c r="I199" s="102" t="s">
        <v>284</v>
      </c>
      <c r="J199" s="102" t="s">
        <v>454</v>
      </c>
      <c r="L199" s="229" t="s">
        <v>1209</v>
      </c>
      <c r="M199" s="229" t="s">
        <v>1014</v>
      </c>
      <c r="N199" s="229" t="s">
        <v>1170</v>
      </c>
      <c r="O199" s="102">
        <v>3.0</v>
      </c>
      <c r="P199" s="102" t="s">
        <v>1015</v>
      </c>
      <c r="U199" s="230"/>
      <c r="V199" s="102" t="s">
        <v>299</v>
      </c>
      <c r="W199" s="102" t="s">
        <v>286</v>
      </c>
      <c r="X199" s="102" t="s">
        <v>287</v>
      </c>
      <c r="Y199" s="102" t="s">
        <v>288</v>
      </c>
      <c r="AI199" s="230"/>
    </row>
    <row r="200">
      <c r="A200" s="102" t="s">
        <v>310</v>
      </c>
      <c r="B200" s="102" t="s">
        <v>1210</v>
      </c>
      <c r="C200" s="229" t="s">
        <v>1211</v>
      </c>
      <c r="D200" s="102" t="s">
        <v>1212</v>
      </c>
      <c r="E200" s="102" t="s">
        <v>513</v>
      </c>
      <c r="F200" s="102" t="s">
        <v>514</v>
      </c>
      <c r="G200" s="102" t="s">
        <v>282</v>
      </c>
      <c r="H200" s="102" t="s">
        <v>283</v>
      </c>
      <c r="I200" s="102" t="s">
        <v>284</v>
      </c>
      <c r="J200" s="102" t="s">
        <v>355</v>
      </c>
      <c r="L200" s="229" t="s">
        <v>1213</v>
      </c>
      <c r="M200" s="229" t="s">
        <v>1014</v>
      </c>
      <c r="N200" s="229" t="s">
        <v>1144</v>
      </c>
      <c r="O200" s="102">
        <v>3.0</v>
      </c>
      <c r="P200" s="102" t="s">
        <v>1015</v>
      </c>
      <c r="U200" s="230"/>
      <c r="V200" s="102" t="s">
        <v>299</v>
      </c>
      <c r="W200" s="102" t="s">
        <v>286</v>
      </c>
      <c r="X200" s="102" t="s">
        <v>287</v>
      </c>
      <c r="Y200" s="102" t="s">
        <v>288</v>
      </c>
      <c r="AI200" s="230"/>
    </row>
    <row r="201">
      <c r="A201" s="102" t="s">
        <v>310</v>
      </c>
      <c r="B201" s="102" t="s">
        <v>1214</v>
      </c>
      <c r="C201" s="229" t="s">
        <v>1215</v>
      </c>
      <c r="D201" s="102" t="s">
        <v>1012</v>
      </c>
      <c r="E201" s="102" t="s">
        <v>584</v>
      </c>
      <c r="F201" s="102" t="s">
        <v>585</v>
      </c>
      <c r="G201" s="102" t="s">
        <v>282</v>
      </c>
      <c r="H201" s="102" t="s">
        <v>283</v>
      </c>
      <c r="I201" s="102" t="s">
        <v>284</v>
      </c>
      <c r="J201" s="102" t="s">
        <v>26</v>
      </c>
      <c r="L201" s="229" t="s">
        <v>1216</v>
      </c>
      <c r="M201" s="229" t="s">
        <v>1197</v>
      </c>
      <c r="N201" s="229" t="s">
        <v>1170</v>
      </c>
      <c r="O201" s="102">
        <v>3.0</v>
      </c>
      <c r="P201" s="102" t="s">
        <v>1015</v>
      </c>
      <c r="U201" s="230"/>
      <c r="V201" s="102" t="s">
        <v>299</v>
      </c>
      <c r="W201" s="102" t="s">
        <v>286</v>
      </c>
      <c r="X201" s="102" t="s">
        <v>287</v>
      </c>
      <c r="Y201" s="102" t="s">
        <v>288</v>
      </c>
      <c r="AI201" s="230"/>
    </row>
    <row r="202">
      <c r="A202" s="102" t="s">
        <v>310</v>
      </c>
      <c r="B202" s="102" t="s">
        <v>1217</v>
      </c>
      <c r="C202" s="229" t="s">
        <v>1218</v>
      </c>
      <c r="D202" s="102" t="s">
        <v>1219</v>
      </c>
      <c r="E202" s="102" t="s">
        <v>513</v>
      </c>
      <c r="F202" s="102" t="s">
        <v>514</v>
      </c>
      <c r="G202" s="102" t="s">
        <v>282</v>
      </c>
      <c r="H202" s="102" t="s">
        <v>283</v>
      </c>
      <c r="I202" s="102" t="s">
        <v>284</v>
      </c>
      <c r="J202" s="102" t="s">
        <v>355</v>
      </c>
      <c r="L202" s="229" t="s">
        <v>1220</v>
      </c>
      <c r="M202" s="229" t="s">
        <v>1221</v>
      </c>
      <c r="N202" s="229" t="s">
        <v>1192</v>
      </c>
      <c r="O202" s="102">
        <v>1.0</v>
      </c>
      <c r="P202" s="102" t="s">
        <v>1015</v>
      </c>
      <c r="U202" s="102">
        <v>7200.0</v>
      </c>
      <c r="V202" s="102" t="s">
        <v>286</v>
      </c>
      <c r="W202" s="102" t="s">
        <v>287</v>
      </c>
      <c r="X202" s="102" t="s">
        <v>288</v>
      </c>
      <c r="AI202" s="230"/>
    </row>
    <row r="203">
      <c r="A203" s="102" t="s">
        <v>310</v>
      </c>
      <c r="B203" s="102" t="s">
        <v>1222</v>
      </c>
      <c r="C203" s="229" t="s">
        <v>1223</v>
      </c>
      <c r="D203" s="102" t="s">
        <v>1224</v>
      </c>
      <c r="E203" s="102" t="s">
        <v>513</v>
      </c>
      <c r="F203" s="102" t="s">
        <v>514</v>
      </c>
      <c r="G203" s="102" t="s">
        <v>282</v>
      </c>
      <c r="H203" s="102" t="s">
        <v>283</v>
      </c>
      <c r="I203" s="102" t="s">
        <v>284</v>
      </c>
      <c r="J203" s="102" t="s">
        <v>355</v>
      </c>
      <c r="L203" s="229" t="s">
        <v>1220</v>
      </c>
      <c r="M203" s="229" t="s">
        <v>1014</v>
      </c>
      <c r="N203" s="229" t="s">
        <v>1225</v>
      </c>
      <c r="O203" s="102">
        <v>2.0</v>
      </c>
      <c r="P203" s="102" t="s">
        <v>1015</v>
      </c>
      <c r="U203" s="102">
        <v>14400.0</v>
      </c>
      <c r="V203" s="102" t="s">
        <v>286</v>
      </c>
      <c r="W203" s="102" t="s">
        <v>287</v>
      </c>
      <c r="X203" s="102" t="s">
        <v>288</v>
      </c>
      <c r="AI203" s="230"/>
    </row>
    <row r="204">
      <c r="A204" s="102" t="s">
        <v>310</v>
      </c>
      <c r="B204" s="102" t="s">
        <v>1226</v>
      </c>
      <c r="C204" s="229" t="s">
        <v>1227</v>
      </c>
      <c r="D204" s="102" t="s">
        <v>1228</v>
      </c>
      <c r="E204" s="102" t="s">
        <v>513</v>
      </c>
      <c r="F204" s="102" t="s">
        <v>514</v>
      </c>
      <c r="G204" s="102" t="s">
        <v>282</v>
      </c>
      <c r="H204" s="102" t="s">
        <v>283</v>
      </c>
      <c r="I204" s="102" t="s">
        <v>284</v>
      </c>
      <c r="J204" s="102" t="s">
        <v>355</v>
      </c>
      <c r="L204" s="229" t="s">
        <v>1229</v>
      </c>
      <c r="M204" s="229" t="s">
        <v>1014</v>
      </c>
      <c r="N204" s="229" t="s">
        <v>1225</v>
      </c>
      <c r="O204" s="102">
        <v>1.0</v>
      </c>
      <c r="P204" s="102" t="s">
        <v>1015</v>
      </c>
      <c r="U204" s="102">
        <v>7200.0</v>
      </c>
      <c r="V204" s="102" t="s">
        <v>286</v>
      </c>
      <c r="W204" s="102" t="s">
        <v>287</v>
      </c>
      <c r="X204" s="102" t="s">
        <v>288</v>
      </c>
      <c r="AI204" s="230"/>
    </row>
    <row r="205">
      <c r="A205" s="102" t="s">
        <v>310</v>
      </c>
      <c r="B205" s="102" t="s">
        <v>1230</v>
      </c>
      <c r="C205" s="229" t="s">
        <v>1231</v>
      </c>
      <c r="D205" s="102" t="s">
        <v>1232</v>
      </c>
      <c r="E205" s="102" t="s">
        <v>513</v>
      </c>
      <c r="F205" s="102" t="s">
        <v>514</v>
      </c>
      <c r="G205" s="102" t="s">
        <v>282</v>
      </c>
      <c r="H205" s="102" t="s">
        <v>283</v>
      </c>
      <c r="I205" s="102" t="s">
        <v>648</v>
      </c>
      <c r="J205" s="102" t="s">
        <v>454</v>
      </c>
      <c r="L205" s="229" t="s">
        <v>1233</v>
      </c>
      <c r="M205" s="229" t="s">
        <v>587</v>
      </c>
      <c r="N205" s="229" t="s">
        <v>1202</v>
      </c>
      <c r="O205" s="102">
        <v>5.0</v>
      </c>
      <c r="P205" s="102" t="s">
        <v>457</v>
      </c>
      <c r="U205" s="102">
        <v>86400.0</v>
      </c>
      <c r="V205" s="102" t="s">
        <v>529</v>
      </c>
      <c r="W205" s="102" t="s">
        <v>298</v>
      </c>
      <c r="X205" s="102" t="s">
        <v>299</v>
      </c>
      <c r="Y205" s="102" t="s">
        <v>286</v>
      </c>
      <c r="Z205" s="102" t="s">
        <v>287</v>
      </c>
      <c r="AA205" s="102" t="s">
        <v>288</v>
      </c>
      <c r="AI205" s="230"/>
    </row>
    <row r="206">
      <c r="A206" s="102" t="s">
        <v>310</v>
      </c>
      <c r="B206" s="102" t="s">
        <v>1234</v>
      </c>
      <c r="C206" s="229" t="s">
        <v>1235</v>
      </c>
      <c r="D206" s="102" t="s">
        <v>1236</v>
      </c>
      <c r="E206" s="102" t="s">
        <v>513</v>
      </c>
      <c r="F206" s="102" t="s">
        <v>514</v>
      </c>
      <c r="G206" s="102" t="s">
        <v>282</v>
      </c>
      <c r="H206" s="102" t="s">
        <v>283</v>
      </c>
      <c r="I206" s="102" t="s">
        <v>648</v>
      </c>
      <c r="J206" s="102" t="s">
        <v>454</v>
      </c>
      <c r="L206" s="229" t="s">
        <v>1233</v>
      </c>
      <c r="M206" s="229" t="s">
        <v>587</v>
      </c>
      <c r="N206" s="229" t="s">
        <v>1237</v>
      </c>
      <c r="O206" s="102">
        <v>8.0</v>
      </c>
      <c r="P206" s="102" t="s">
        <v>457</v>
      </c>
      <c r="U206" s="102">
        <v>115200.0</v>
      </c>
      <c r="V206" s="102" t="s">
        <v>529</v>
      </c>
      <c r="W206" s="102" t="s">
        <v>298</v>
      </c>
      <c r="X206" s="102" t="s">
        <v>299</v>
      </c>
      <c r="Y206" s="102" t="s">
        <v>286</v>
      </c>
      <c r="Z206" s="102" t="s">
        <v>287</v>
      </c>
      <c r="AA206" s="102" t="s">
        <v>288</v>
      </c>
      <c r="AI206" s="230"/>
    </row>
    <row r="207">
      <c r="A207" s="102" t="s">
        <v>310</v>
      </c>
      <c r="B207" s="102" t="s">
        <v>1238</v>
      </c>
      <c r="C207" s="229" t="s">
        <v>1239</v>
      </c>
      <c r="D207" s="102" t="s">
        <v>1240</v>
      </c>
      <c r="E207" s="102" t="s">
        <v>564</v>
      </c>
      <c r="F207" s="102" t="s">
        <v>565</v>
      </c>
      <c r="G207" s="102" t="s">
        <v>282</v>
      </c>
      <c r="H207" s="102" t="s">
        <v>283</v>
      </c>
      <c r="I207" s="102" t="s">
        <v>284</v>
      </c>
      <c r="J207" s="102" t="s">
        <v>454</v>
      </c>
      <c r="L207" s="229" t="s">
        <v>1241</v>
      </c>
      <c r="M207" s="229" t="s">
        <v>587</v>
      </c>
      <c r="N207" s="229" t="s">
        <v>1242</v>
      </c>
      <c r="O207" s="102">
        <v>8.0</v>
      </c>
      <c r="P207" s="102" t="s">
        <v>457</v>
      </c>
      <c r="U207" s="102">
        <v>72000.0</v>
      </c>
      <c r="V207" s="102" t="s">
        <v>529</v>
      </c>
      <c r="W207" s="102" t="s">
        <v>298</v>
      </c>
      <c r="X207" s="102" t="s">
        <v>299</v>
      </c>
      <c r="Y207" s="102" t="s">
        <v>286</v>
      </c>
      <c r="Z207" s="102" t="s">
        <v>287</v>
      </c>
      <c r="AA207" s="102" t="s">
        <v>288</v>
      </c>
      <c r="AI207" s="230"/>
    </row>
    <row r="208">
      <c r="A208" s="102" t="s">
        <v>310</v>
      </c>
      <c r="B208" s="102" t="s">
        <v>1243</v>
      </c>
      <c r="C208" s="229" t="s">
        <v>1244</v>
      </c>
      <c r="D208" s="102" t="s">
        <v>1245</v>
      </c>
      <c r="E208" s="102" t="s">
        <v>328</v>
      </c>
      <c r="F208" s="102" t="s">
        <v>329</v>
      </c>
      <c r="G208" s="102" t="s">
        <v>282</v>
      </c>
      <c r="H208" s="102" t="s">
        <v>283</v>
      </c>
      <c r="I208" s="102" t="s">
        <v>284</v>
      </c>
      <c r="J208" s="102" t="s">
        <v>454</v>
      </c>
      <c r="L208" s="229" t="s">
        <v>1246</v>
      </c>
      <c r="M208" s="229" t="s">
        <v>587</v>
      </c>
      <c r="N208" s="229" t="s">
        <v>1247</v>
      </c>
      <c r="O208" s="102">
        <v>8.0</v>
      </c>
      <c r="P208" s="102" t="s">
        <v>457</v>
      </c>
      <c r="U208" s="230"/>
      <c r="V208" s="102" t="s">
        <v>529</v>
      </c>
      <c r="W208" s="102" t="s">
        <v>298</v>
      </c>
      <c r="X208" s="102" t="s">
        <v>299</v>
      </c>
      <c r="Y208" s="102" t="s">
        <v>286</v>
      </c>
      <c r="Z208" s="102" t="s">
        <v>287</v>
      </c>
      <c r="AA208" s="102" t="s">
        <v>288</v>
      </c>
      <c r="AI208" s="230"/>
    </row>
    <row r="209">
      <c r="A209" s="102" t="s">
        <v>310</v>
      </c>
      <c r="B209" s="102" t="s">
        <v>1248</v>
      </c>
      <c r="C209" s="229" t="s">
        <v>1249</v>
      </c>
      <c r="D209" s="102" t="s">
        <v>1250</v>
      </c>
      <c r="E209" s="102" t="s">
        <v>328</v>
      </c>
      <c r="F209" s="102" t="s">
        <v>329</v>
      </c>
      <c r="G209" s="102" t="s">
        <v>282</v>
      </c>
      <c r="H209" s="102" t="s">
        <v>283</v>
      </c>
      <c r="I209" s="102" t="s">
        <v>284</v>
      </c>
      <c r="J209" s="102" t="s">
        <v>454</v>
      </c>
      <c r="L209" s="229" t="s">
        <v>1251</v>
      </c>
      <c r="M209" s="229" t="s">
        <v>587</v>
      </c>
      <c r="N209" s="229" t="s">
        <v>1252</v>
      </c>
      <c r="O209" s="102">
        <v>8.0</v>
      </c>
      <c r="P209" s="102" t="s">
        <v>457</v>
      </c>
      <c r="U209" s="230"/>
      <c r="V209" s="102" t="s">
        <v>529</v>
      </c>
      <c r="W209" s="102" t="s">
        <v>298</v>
      </c>
      <c r="X209" s="102" t="s">
        <v>299</v>
      </c>
      <c r="Y209" s="102" t="s">
        <v>286</v>
      </c>
      <c r="Z209" s="102" t="s">
        <v>287</v>
      </c>
      <c r="AA209" s="102" t="s">
        <v>288</v>
      </c>
      <c r="AI209" s="230"/>
    </row>
    <row r="210">
      <c r="A210" s="102" t="s">
        <v>630</v>
      </c>
      <c r="B210" s="102" t="s">
        <v>1253</v>
      </c>
      <c r="C210" s="229" t="s">
        <v>1254</v>
      </c>
      <c r="D210" s="102" t="s">
        <v>1255</v>
      </c>
      <c r="G210" s="102" t="s">
        <v>353</v>
      </c>
      <c r="H210" s="102" t="s">
        <v>354</v>
      </c>
      <c r="I210" s="102" t="s">
        <v>284</v>
      </c>
      <c r="J210" s="102" t="s">
        <v>63</v>
      </c>
      <c r="L210" s="229" t="s">
        <v>1256</v>
      </c>
      <c r="M210" s="229" t="s">
        <v>949</v>
      </c>
      <c r="N210" s="229" t="s">
        <v>1257</v>
      </c>
      <c r="O210" s="230"/>
      <c r="U210" s="230"/>
      <c r="V210" s="102" t="s">
        <v>1258</v>
      </c>
      <c r="W210" s="102" t="s">
        <v>1259</v>
      </c>
      <c r="X210" s="102" t="s">
        <v>1203</v>
      </c>
      <c r="Y210" s="102" t="s">
        <v>1204</v>
      </c>
      <c r="Z210" s="102" t="s">
        <v>1260</v>
      </c>
      <c r="AA210" s="102" t="s">
        <v>1205</v>
      </c>
      <c r="AB210" s="102" t="s">
        <v>1205</v>
      </c>
      <c r="AC210" s="102" t="s">
        <v>1058</v>
      </c>
      <c r="AD210" s="102" t="s">
        <v>1058</v>
      </c>
      <c r="AE210" s="102" t="s">
        <v>714</v>
      </c>
      <c r="AF210" s="102" t="s">
        <v>358</v>
      </c>
      <c r="AI210" s="230"/>
    </row>
    <row r="211">
      <c r="A211" s="102" t="s">
        <v>310</v>
      </c>
      <c r="B211" s="102" t="s">
        <v>1261</v>
      </c>
      <c r="C211" s="229" t="s">
        <v>1262</v>
      </c>
      <c r="D211" s="102" t="s">
        <v>1263</v>
      </c>
      <c r="E211" s="102" t="s">
        <v>282</v>
      </c>
      <c r="F211" s="102" t="s">
        <v>283</v>
      </c>
      <c r="G211" s="102" t="s">
        <v>282</v>
      </c>
      <c r="H211" s="102" t="s">
        <v>283</v>
      </c>
      <c r="I211" s="102" t="s">
        <v>284</v>
      </c>
      <c r="J211" s="102" t="s">
        <v>34</v>
      </c>
      <c r="L211" s="229" t="s">
        <v>1264</v>
      </c>
      <c r="M211" s="229" t="s">
        <v>1265</v>
      </c>
      <c r="O211" s="102">
        <v>13.0</v>
      </c>
      <c r="U211" s="230"/>
      <c r="V211" s="102" t="s">
        <v>288</v>
      </c>
      <c r="AI211" s="230"/>
    </row>
    <row r="212">
      <c r="A212" s="102" t="s">
        <v>310</v>
      </c>
      <c r="B212" s="102" t="s">
        <v>1266</v>
      </c>
      <c r="C212" s="229" t="s">
        <v>1267</v>
      </c>
      <c r="D212" s="102" t="s">
        <v>1268</v>
      </c>
      <c r="E212" s="102" t="s">
        <v>495</v>
      </c>
      <c r="F212" s="102" t="s">
        <v>496</v>
      </c>
      <c r="G212" s="102" t="s">
        <v>282</v>
      </c>
      <c r="H212" s="102" t="s">
        <v>283</v>
      </c>
      <c r="I212" s="102" t="s">
        <v>284</v>
      </c>
      <c r="J212" s="102" t="s">
        <v>26</v>
      </c>
      <c r="L212" s="229" t="s">
        <v>1269</v>
      </c>
      <c r="M212" s="229" t="s">
        <v>1270</v>
      </c>
      <c r="N212" s="229" t="s">
        <v>1170</v>
      </c>
      <c r="O212" s="102">
        <v>5.0</v>
      </c>
      <c r="U212" s="102">
        <v>7200.0</v>
      </c>
      <c r="V212" s="102" t="s">
        <v>299</v>
      </c>
      <c r="W212" s="102" t="s">
        <v>286</v>
      </c>
      <c r="X212" s="102" t="s">
        <v>287</v>
      </c>
      <c r="Y212" s="102" t="s">
        <v>288</v>
      </c>
      <c r="AI212" s="230"/>
    </row>
    <row r="213">
      <c r="A213" s="102" t="s">
        <v>310</v>
      </c>
      <c r="B213" s="102" t="s">
        <v>1271</v>
      </c>
      <c r="C213" s="229" t="s">
        <v>1272</v>
      </c>
      <c r="D213" s="102" t="s">
        <v>1273</v>
      </c>
      <c r="E213" s="102" t="s">
        <v>328</v>
      </c>
      <c r="F213" s="102" t="s">
        <v>329</v>
      </c>
      <c r="G213" s="102" t="s">
        <v>282</v>
      </c>
      <c r="H213" s="102" t="s">
        <v>283</v>
      </c>
      <c r="I213" s="102" t="s">
        <v>284</v>
      </c>
      <c r="J213" s="102" t="s">
        <v>454</v>
      </c>
      <c r="L213" s="229" t="s">
        <v>1274</v>
      </c>
      <c r="M213" s="229" t="s">
        <v>1014</v>
      </c>
      <c r="N213" s="229" t="s">
        <v>1275</v>
      </c>
      <c r="O213" s="102">
        <v>3.0</v>
      </c>
      <c r="U213" s="230"/>
      <c r="V213" s="102" t="s">
        <v>298</v>
      </c>
      <c r="W213" s="102" t="s">
        <v>299</v>
      </c>
      <c r="X213" s="102" t="s">
        <v>286</v>
      </c>
      <c r="Y213" s="102" t="s">
        <v>287</v>
      </c>
      <c r="Z213" s="102" t="s">
        <v>288</v>
      </c>
      <c r="AI213" s="230"/>
    </row>
    <row r="214">
      <c r="A214" s="102" t="s">
        <v>310</v>
      </c>
      <c r="B214" s="102" t="s">
        <v>1276</v>
      </c>
      <c r="C214" s="229" t="s">
        <v>1277</v>
      </c>
      <c r="D214" s="102" t="s">
        <v>1278</v>
      </c>
      <c r="E214" s="102" t="s">
        <v>584</v>
      </c>
      <c r="F214" s="102" t="s">
        <v>585</v>
      </c>
      <c r="G214" s="102" t="s">
        <v>282</v>
      </c>
      <c r="H214" s="102" t="s">
        <v>283</v>
      </c>
      <c r="I214" s="102" t="s">
        <v>284</v>
      </c>
      <c r="J214" s="102" t="s">
        <v>454</v>
      </c>
      <c r="L214" s="229" t="s">
        <v>1279</v>
      </c>
      <c r="M214" s="229" t="s">
        <v>285</v>
      </c>
      <c r="O214" s="102">
        <v>5.0</v>
      </c>
      <c r="U214" s="230"/>
      <c r="V214" s="102" t="s">
        <v>286</v>
      </c>
      <c r="W214" s="102" t="s">
        <v>287</v>
      </c>
      <c r="X214" s="102" t="s">
        <v>288</v>
      </c>
      <c r="AI214" s="230"/>
    </row>
    <row r="215">
      <c r="A215" s="102" t="s">
        <v>310</v>
      </c>
      <c r="B215" s="102" t="s">
        <v>1280</v>
      </c>
      <c r="C215" s="229" t="s">
        <v>1281</v>
      </c>
      <c r="D215" s="102" t="s">
        <v>1282</v>
      </c>
      <c r="E215" s="102" t="s">
        <v>513</v>
      </c>
      <c r="F215" s="102" t="s">
        <v>514</v>
      </c>
      <c r="G215" s="102" t="s">
        <v>282</v>
      </c>
      <c r="H215" s="102" t="s">
        <v>283</v>
      </c>
      <c r="I215" s="102" t="s">
        <v>648</v>
      </c>
      <c r="J215" s="102" t="s">
        <v>454</v>
      </c>
      <c r="L215" s="229" t="s">
        <v>1283</v>
      </c>
      <c r="M215" s="229" t="s">
        <v>1036</v>
      </c>
      <c r="N215" s="229" t="s">
        <v>1126</v>
      </c>
      <c r="O215" s="102">
        <v>3.0</v>
      </c>
      <c r="U215" s="102">
        <v>28800.0</v>
      </c>
      <c r="V215" s="102" t="s">
        <v>299</v>
      </c>
      <c r="W215" s="102" t="s">
        <v>286</v>
      </c>
      <c r="X215" s="102" t="s">
        <v>287</v>
      </c>
      <c r="Y215" s="102" t="s">
        <v>288</v>
      </c>
      <c r="AI215" s="230"/>
    </row>
    <row r="216">
      <c r="A216" s="102" t="s">
        <v>310</v>
      </c>
      <c r="B216" s="102" t="s">
        <v>1284</v>
      </c>
      <c r="C216" s="229" t="s">
        <v>1285</v>
      </c>
      <c r="D216" s="102" t="s">
        <v>1286</v>
      </c>
      <c r="E216" s="102" t="s">
        <v>513</v>
      </c>
      <c r="F216" s="102" t="s">
        <v>514</v>
      </c>
      <c r="G216" s="102" t="s">
        <v>282</v>
      </c>
      <c r="H216" s="102" t="s">
        <v>283</v>
      </c>
      <c r="I216" s="102" t="s">
        <v>284</v>
      </c>
      <c r="J216" s="102" t="s">
        <v>454</v>
      </c>
      <c r="L216" s="229" t="s">
        <v>1283</v>
      </c>
      <c r="M216" s="229" t="s">
        <v>509</v>
      </c>
      <c r="N216" s="229" t="s">
        <v>1126</v>
      </c>
      <c r="O216" s="102">
        <v>3.0</v>
      </c>
      <c r="U216" s="102">
        <v>28800.0</v>
      </c>
      <c r="V216" s="102" t="s">
        <v>299</v>
      </c>
      <c r="W216" s="102" t="s">
        <v>286</v>
      </c>
      <c r="X216" s="102" t="s">
        <v>287</v>
      </c>
      <c r="Y216" s="102" t="s">
        <v>288</v>
      </c>
      <c r="AI216" s="230"/>
    </row>
    <row r="217">
      <c r="A217" s="102" t="s">
        <v>310</v>
      </c>
      <c r="B217" s="102" t="s">
        <v>1287</v>
      </c>
      <c r="C217" s="229" t="s">
        <v>1288</v>
      </c>
      <c r="D217" s="102" t="s">
        <v>1289</v>
      </c>
      <c r="E217" s="102" t="s">
        <v>556</v>
      </c>
      <c r="F217" s="102" t="s">
        <v>557</v>
      </c>
      <c r="G217" s="102" t="s">
        <v>282</v>
      </c>
      <c r="H217" s="102" t="s">
        <v>283</v>
      </c>
      <c r="I217" s="102" t="s">
        <v>284</v>
      </c>
      <c r="J217" s="102" t="s">
        <v>26</v>
      </c>
      <c r="L217" s="229" t="s">
        <v>1283</v>
      </c>
      <c r="M217" s="229" t="s">
        <v>509</v>
      </c>
      <c r="N217" s="229" t="s">
        <v>1126</v>
      </c>
      <c r="O217" s="102">
        <v>3.0</v>
      </c>
      <c r="U217" s="102">
        <v>28800.0</v>
      </c>
      <c r="V217" s="102" t="s">
        <v>299</v>
      </c>
      <c r="W217" s="102" t="s">
        <v>286</v>
      </c>
      <c r="X217" s="102" t="s">
        <v>287</v>
      </c>
      <c r="Y217" s="102" t="s">
        <v>288</v>
      </c>
      <c r="AI217" s="230"/>
    </row>
    <row r="218">
      <c r="A218" s="102" t="s">
        <v>310</v>
      </c>
      <c r="B218" s="102" t="s">
        <v>1290</v>
      </c>
      <c r="C218" s="229" t="s">
        <v>1291</v>
      </c>
      <c r="D218" s="102" t="s">
        <v>1292</v>
      </c>
      <c r="E218" s="102" t="s">
        <v>556</v>
      </c>
      <c r="F218" s="102" t="s">
        <v>557</v>
      </c>
      <c r="G218" s="102" t="s">
        <v>282</v>
      </c>
      <c r="H218" s="102" t="s">
        <v>283</v>
      </c>
      <c r="I218" s="102" t="s">
        <v>284</v>
      </c>
      <c r="J218" s="102" t="s">
        <v>26</v>
      </c>
      <c r="L218" s="229" t="s">
        <v>1283</v>
      </c>
      <c r="M218" s="229" t="s">
        <v>509</v>
      </c>
      <c r="N218" s="229" t="s">
        <v>1293</v>
      </c>
      <c r="O218" s="102">
        <v>2.0</v>
      </c>
      <c r="U218" s="102">
        <v>14400.0</v>
      </c>
      <c r="V218" s="102" t="s">
        <v>299</v>
      </c>
      <c r="W218" s="102" t="s">
        <v>286</v>
      </c>
      <c r="X218" s="102" t="s">
        <v>287</v>
      </c>
      <c r="Y218" s="102" t="s">
        <v>288</v>
      </c>
      <c r="AI218" s="230"/>
    </row>
    <row r="219">
      <c r="A219" s="102" t="s">
        <v>310</v>
      </c>
      <c r="B219" s="102" t="s">
        <v>1294</v>
      </c>
      <c r="C219" s="229" t="s">
        <v>1295</v>
      </c>
      <c r="D219" s="102" t="s">
        <v>1296</v>
      </c>
      <c r="E219" s="102" t="s">
        <v>328</v>
      </c>
      <c r="F219" s="102" t="s">
        <v>329</v>
      </c>
      <c r="G219" s="102" t="s">
        <v>282</v>
      </c>
      <c r="H219" s="102" t="s">
        <v>283</v>
      </c>
      <c r="I219" s="102" t="s">
        <v>284</v>
      </c>
      <c r="J219" s="102" t="s">
        <v>26</v>
      </c>
      <c r="L219" s="229" t="s">
        <v>1297</v>
      </c>
      <c r="M219" s="229" t="s">
        <v>509</v>
      </c>
      <c r="O219" s="102">
        <v>3.0</v>
      </c>
      <c r="U219" s="230"/>
      <c r="V219" s="102" t="s">
        <v>286</v>
      </c>
      <c r="W219" s="102" t="s">
        <v>287</v>
      </c>
      <c r="X219" s="102" t="s">
        <v>288</v>
      </c>
      <c r="AI219" s="230"/>
    </row>
    <row r="220">
      <c r="A220" s="102" t="s">
        <v>310</v>
      </c>
      <c r="B220" s="102" t="s">
        <v>1298</v>
      </c>
      <c r="C220" s="229" t="s">
        <v>1299</v>
      </c>
      <c r="D220" s="102" t="s">
        <v>1300</v>
      </c>
      <c r="E220" s="102" t="s">
        <v>328</v>
      </c>
      <c r="F220" s="102" t="s">
        <v>329</v>
      </c>
      <c r="G220" s="102" t="s">
        <v>282</v>
      </c>
      <c r="H220" s="102" t="s">
        <v>283</v>
      </c>
      <c r="I220" s="102" t="s">
        <v>284</v>
      </c>
      <c r="J220" s="102" t="s">
        <v>26</v>
      </c>
      <c r="L220" s="229" t="s">
        <v>1297</v>
      </c>
      <c r="M220" s="229" t="s">
        <v>509</v>
      </c>
      <c r="O220" s="102">
        <v>5.0</v>
      </c>
      <c r="U220" s="230"/>
      <c r="V220" s="102" t="s">
        <v>286</v>
      </c>
      <c r="W220" s="102" t="s">
        <v>287</v>
      </c>
      <c r="X220" s="102" t="s">
        <v>288</v>
      </c>
      <c r="AI220" s="230"/>
    </row>
    <row r="221">
      <c r="A221" s="102" t="s">
        <v>310</v>
      </c>
      <c r="B221" s="102" t="s">
        <v>1301</v>
      </c>
      <c r="C221" s="229" t="s">
        <v>1302</v>
      </c>
      <c r="D221" s="102" t="s">
        <v>1303</v>
      </c>
      <c r="E221" s="102" t="s">
        <v>495</v>
      </c>
      <c r="F221" s="102" t="s">
        <v>496</v>
      </c>
      <c r="G221" s="102" t="s">
        <v>282</v>
      </c>
      <c r="H221" s="102" t="s">
        <v>283</v>
      </c>
      <c r="I221" s="102" t="s">
        <v>284</v>
      </c>
      <c r="J221" s="102" t="s">
        <v>26</v>
      </c>
      <c r="L221" s="229" t="s">
        <v>1297</v>
      </c>
      <c r="M221" s="229" t="s">
        <v>509</v>
      </c>
      <c r="N221" s="229" t="s">
        <v>1304</v>
      </c>
      <c r="O221" s="102">
        <v>8.0</v>
      </c>
      <c r="P221" s="102" t="s">
        <v>1305</v>
      </c>
      <c r="U221" s="102">
        <v>57600.0</v>
      </c>
      <c r="V221" s="102" t="s">
        <v>298</v>
      </c>
      <c r="W221" s="102" t="s">
        <v>299</v>
      </c>
      <c r="X221" s="102" t="s">
        <v>286</v>
      </c>
      <c r="Y221" s="102" t="s">
        <v>287</v>
      </c>
      <c r="Z221" s="102" t="s">
        <v>288</v>
      </c>
      <c r="AI221" s="230"/>
    </row>
    <row r="222">
      <c r="A222" s="102" t="s">
        <v>310</v>
      </c>
      <c r="B222" s="102" t="s">
        <v>1306</v>
      </c>
      <c r="C222" s="229" t="s">
        <v>1307</v>
      </c>
      <c r="D222" s="102" t="s">
        <v>1308</v>
      </c>
      <c r="E222" s="102" t="s">
        <v>328</v>
      </c>
      <c r="F222" s="102" t="s">
        <v>329</v>
      </c>
      <c r="G222" s="102" t="s">
        <v>282</v>
      </c>
      <c r="H222" s="102" t="s">
        <v>283</v>
      </c>
      <c r="I222" s="102" t="s">
        <v>284</v>
      </c>
      <c r="J222" s="102" t="s">
        <v>26</v>
      </c>
      <c r="L222" s="229" t="s">
        <v>1297</v>
      </c>
      <c r="M222" s="229" t="s">
        <v>509</v>
      </c>
      <c r="N222" s="229" t="s">
        <v>1304</v>
      </c>
      <c r="O222" s="102">
        <v>2.0</v>
      </c>
      <c r="U222" s="230"/>
      <c r="V222" s="102" t="s">
        <v>298</v>
      </c>
      <c r="W222" s="102" t="s">
        <v>299</v>
      </c>
      <c r="X222" s="102" t="s">
        <v>286</v>
      </c>
      <c r="Y222" s="102" t="s">
        <v>287</v>
      </c>
      <c r="Z222" s="102" t="s">
        <v>288</v>
      </c>
      <c r="AI222" s="230"/>
    </row>
    <row r="223">
      <c r="A223" s="102" t="s">
        <v>310</v>
      </c>
      <c r="B223" s="102" t="s">
        <v>1309</v>
      </c>
      <c r="C223" s="229" t="s">
        <v>1310</v>
      </c>
      <c r="D223" s="102" t="s">
        <v>1311</v>
      </c>
      <c r="E223" s="102" t="s">
        <v>556</v>
      </c>
      <c r="F223" s="102" t="s">
        <v>557</v>
      </c>
      <c r="G223" s="102" t="s">
        <v>282</v>
      </c>
      <c r="H223" s="102" t="s">
        <v>283</v>
      </c>
      <c r="I223" s="102" t="s">
        <v>284</v>
      </c>
      <c r="J223" s="102" t="s">
        <v>26</v>
      </c>
      <c r="L223" s="229" t="s">
        <v>1312</v>
      </c>
      <c r="M223" s="229" t="s">
        <v>509</v>
      </c>
      <c r="N223" s="229" t="s">
        <v>1304</v>
      </c>
      <c r="O223" s="102">
        <v>3.0</v>
      </c>
      <c r="U223" s="102">
        <v>28800.0</v>
      </c>
      <c r="V223" s="102" t="s">
        <v>298</v>
      </c>
      <c r="W223" s="102" t="s">
        <v>299</v>
      </c>
      <c r="X223" s="102" t="s">
        <v>286</v>
      </c>
      <c r="Y223" s="102" t="s">
        <v>287</v>
      </c>
      <c r="Z223" s="102" t="s">
        <v>288</v>
      </c>
      <c r="AI223" s="230"/>
    </row>
    <row r="224">
      <c r="A224" s="102" t="s">
        <v>310</v>
      </c>
      <c r="B224" s="102" t="s">
        <v>1313</v>
      </c>
      <c r="C224" s="229" t="s">
        <v>1314</v>
      </c>
      <c r="D224" s="102" t="s">
        <v>1315</v>
      </c>
      <c r="E224" s="102" t="s">
        <v>556</v>
      </c>
      <c r="F224" s="102" t="s">
        <v>557</v>
      </c>
      <c r="G224" s="102" t="s">
        <v>282</v>
      </c>
      <c r="H224" s="102" t="s">
        <v>283</v>
      </c>
      <c r="I224" s="102" t="s">
        <v>284</v>
      </c>
      <c r="J224" s="102" t="s">
        <v>26</v>
      </c>
      <c r="L224" s="229" t="s">
        <v>1312</v>
      </c>
      <c r="M224" s="229" t="s">
        <v>509</v>
      </c>
      <c r="N224" s="229" t="s">
        <v>1304</v>
      </c>
      <c r="O224" s="102">
        <v>3.0</v>
      </c>
      <c r="U224" s="102">
        <v>28800.0</v>
      </c>
      <c r="V224" s="102" t="s">
        <v>298</v>
      </c>
      <c r="W224" s="102" t="s">
        <v>299</v>
      </c>
      <c r="X224" s="102" t="s">
        <v>286</v>
      </c>
      <c r="Y224" s="102" t="s">
        <v>287</v>
      </c>
      <c r="Z224" s="102" t="s">
        <v>288</v>
      </c>
      <c r="AI224" s="230"/>
    </row>
    <row r="225">
      <c r="A225" s="102" t="s">
        <v>310</v>
      </c>
      <c r="B225" s="102" t="s">
        <v>1316</v>
      </c>
      <c r="C225" s="229" t="s">
        <v>1317</v>
      </c>
      <c r="D225" s="102" t="s">
        <v>1318</v>
      </c>
      <c r="E225" s="102" t="s">
        <v>584</v>
      </c>
      <c r="F225" s="102" t="s">
        <v>585</v>
      </c>
      <c r="G225" s="102" t="s">
        <v>282</v>
      </c>
      <c r="H225" s="102" t="s">
        <v>283</v>
      </c>
      <c r="I225" s="102" t="s">
        <v>284</v>
      </c>
      <c r="J225" s="102" t="s">
        <v>454</v>
      </c>
      <c r="L225" s="229" t="s">
        <v>1319</v>
      </c>
      <c r="M225" s="229" t="s">
        <v>285</v>
      </c>
      <c r="O225" s="102">
        <v>5.0</v>
      </c>
      <c r="U225" s="230"/>
      <c r="V225" s="102" t="s">
        <v>286</v>
      </c>
      <c r="W225" s="102" t="s">
        <v>287</v>
      </c>
      <c r="X225" s="102" t="s">
        <v>288</v>
      </c>
      <c r="AI225" s="230"/>
    </row>
    <row r="226">
      <c r="A226" s="102" t="s">
        <v>310</v>
      </c>
      <c r="B226" s="102" t="s">
        <v>1320</v>
      </c>
      <c r="C226" s="229" t="s">
        <v>1321</v>
      </c>
      <c r="D226" s="102" t="s">
        <v>1322</v>
      </c>
      <c r="E226" s="102" t="s">
        <v>328</v>
      </c>
      <c r="F226" s="102" t="s">
        <v>329</v>
      </c>
      <c r="G226" s="102" t="s">
        <v>282</v>
      </c>
      <c r="H226" s="102" t="s">
        <v>283</v>
      </c>
      <c r="I226" s="102" t="s">
        <v>284</v>
      </c>
      <c r="J226" s="102" t="s">
        <v>454</v>
      </c>
      <c r="L226" s="229" t="s">
        <v>1319</v>
      </c>
      <c r="M226" s="229" t="s">
        <v>285</v>
      </c>
      <c r="N226" s="229" t="s">
        <v>1323</v>
      </c>
      <c r="O226" s="102">
        <v>5.0</v>
      </c>
      <c r="U226" s="230"/>
      <c r="V226" s="102" t="s">
        <v>298</v>
      </c>
      <c r="W226" s="102" t="s">
        <v>299</v>
      </c>
      <c r="X226" s="102" t="s">
        <v>286</v>
      </c>
      <c r="Y226" s="102" t="s">
        <v>287</v>
      </c>
      <c r="Z226" s="102" t="s">
        <v>288</v>
      </c>
      <c r="AI226" s="230"/>
    </row>
    <row r="227">
      <c r="A227" s="102" t="s">
        <v>310</v>
      </c>
      <c r="B227" s="102" t="s">
        <v>1324</v>
      </c>
      <c r="C227" s="229" t="s">
        <v>1325</v>
      </c>
      <c r="D227" s="102" t="s">
        <v>1326</v>
      </c>
      <c r="E227" s="102" t="s">
        <v>584</v>
      </c>
      <c r="F227" s="102" t="s">
        <v>585</v>
      </c>
      <c r="G227" s="102" t="s">
        <v>282</v>
      </c>
      <c r="H227" s="102" t="s">
        <v>283</v>
      </c>
      <c r="I227" s="102" t="s">
        <v>284</v>
      </c>
      <c r="J227" s="102" t="s">
        <v>26</v>
      </c>
      <c r="L227" s="229" t="s">
        <v>1327</v>
      </c>
      <c r="M227" s="229" t="s">
        <v>509</v>
      </c>
      <c r="O227" s="102">
        <v>3.0</v>
      </c>
      <c r="U227" s="102">
        <v>28800.0</v>
      </c>
      <c r="V227" s="102" t="s">
        <v>529</v>
      </c>
      <c r="W227" s="102" t="s">
        <v>298</v>
      </c>
      <c r="X227" s="102" t="s">
        <v>299</v>
      </c>
      <c r="Y227" s="102" t="s">
        <v>286</v>
      </c>
      <c r="Z227" s="102" t="s">
        <v>287</v>
      </c>
      <c r="AA227" s="102" t="s">
        <v>288</v>
      </c>
      <c r="AI227" s="230"/>
    </row>
    <row r="228">
      <c r="A228" s="102" t="s">
        <v>310</v>
      </c>
      <c r="B228" s="102" t="s">
        <v>1328</v>
      </c>
      <c r="C228" s="229" t="s">
        <v>1329</v>
      </c>
      <c r="D228" s="102" t="s">
        <v>1330</v>
      </c>
      <c r="E228" s="102" t="s">
        <v>584</v>
      </c>
      <c r="F228" s="102" t="s">
        <v>585</v>
      </c>
      <c r="G228" s="102" t="s">
        <v>282</v>
      </c>
      <c r="H228" s="102" t="s">
        <v>283</v>
      </c>
      <c r="I228" s="102" t="s">
        <v>284</v>
      </c>
      <c r="J228" s="102" t="s">
        <v>26</v>
      </c>
      <c r="L228" s="229" t="s">
        <v>1331</v>
      </c>
      <c r="M228" s="229" t="s">
        <v>509</v>
      </c>
      <c r="N228" s="229" t="s">
        <v>1192</v>
      </c>
      <c r="O228" s="102">
        <v>3.0</v>
      </c>
      <c r="U228" s="230"/>
      <c r="V228" s="102" t="s">
        <v>286</v>
      </c>
      <c r="W228" s="102" t="s">
        <v>287</v>
      </c>
      <c r="X228" s="102" t="s">
        <v>288</v>
      </c>
      <c r="AI228" s="230"/>
    </row>
    <row r="229">
      <c r="A229" s="102" t="s">
        <v>310</v>
      </c>
      <c r="B229" s="102" t="s">
        <v>1332</v>
      </c>
      <c r="C229" s="229" t="s">
        <v>1333</v>
      </c>
      <c r="D229" s="102" t="s">
        <v>1334</v>
      </c>
      <c r="E229" s="102" t="s">
        <v>564</v>
      </c>
      <c r="F229" s="102" t="s">
        <v>565</v>
      </c>
      <c r="G229" s="102" t="s">
        <v>282</v>
      </c>
      <c r="H229" s="102" t="s">
        <v>283</v>
      </c>
      <c r="I229" s="102" t="s">
        <v>284</v>
      </c>
      <c r="J229" s="102" t="s">
        <v>26</v>
      </c>
      <c r="L229" s="229" t="s">
        <v>1331</v>
      </c>
      <c r="M229" s="229" t="s">
        <v>509</v>
      </c>
      <c r="N229" s="229" t="s">
        <v>1335</v>
      </c>
      <c r="O229" s="102">
        <v>5.0</v>
      </c>
      <c r="U229" s="230"/>
      <c r="V229" s="102" t="s">
        <v>286</v>
      </c>
      <c r="W229" s="102" t="s">
        <v>287</v>
      </c>
      <c r="X229" s="102" t="s">
        <v>288</v>
      </c>
      <c r="AI229" s="230"/>
    </row>
    <row r="230">
      <c r="A230" s="102" t="s">
        <v>310</v>
      </c>
      <c r="B230" s="102" t="s">
        <v>1336</v>
      </c>
      <c r="C230" s="229" t="s">
        <v>1337</v>
      </c>
      <c r="D230" s="102" t="s">
        <v>1338</v>
      </c>
      <c r="E230" s="102" t="s">
        <v>495</v>
      </c>
      <c r="F230" s="102" t="s">
        <v>496</v>
      </c>
      <c r="G230" s="102" t="s">
        <v>282</v>
      </c>
      <c r="H230" s="102" t="s">
        <v>283</v>
      </c>
      <c r="I230" s="102" t="s">
        <v>284</v>
      </c>
      <c r="J230" s="102" t="s">
        <v>26</v>
      </c>
      <c r="L230" s="229" t="s">
        <v>1331</v>
      </c>
      <c r="M230" s="229" t="s">
        <v>509</v>
      </c>
      <c r="N230" s="229" t="s">
        <v>1252</v>
      </c>
      <c r="O230" s="102">
        <v>5.0</v>
      </c>
      <c r="U230" s="230"/>
      <c r="V230" s="102" t="s">
        <v>529</v>
      </c>
      <c r="W230" s="102" t="s">
        <v>298</v>
      </c>
      <c r="X230" s="102" t="s">
        <v>299</v>
      </c>
      <c r="Y230" s="102" t="s">
        <v>286</v>
      </c>
      <c r="Z230" s="102" t="s">
        <v>287</v>
      </c>
      <c r="AA230" s="102" t="s">
        <v>288</v>
      </c>
      <c r="AI230" s="230"/>
    </row>
    <row r="231">
      <c r="A231" s="102" t="s">
        <v>310</v>
      </c>
      <c r="B231" s="102" t="s">
        <v>1339</v>
      </c>
      <c r="C231" s="229" t="s">
        <v>1340</v>
      </c>
      <c r="D231" s="102" t="s">
        <v>1341</v>
      </c>
      <c r="E231" s="102" t="s">
        <v>513</v>
      </c>
      <c r="F231" s="102" t="s">
        <v>514</v>
      </c>
      <c r="G231" s="102" t="s">
        <v>282</v>
      </c>
      <c r="H231" s="102" t="s">
        <v>283</v>
      </c>
      <c r="I231" s="102" t="s">
        <v>284</v>
      </c>
      <c r="J231" s="102" t="s">
        <v>355</v>
      </c>
      <c r="L231" s="229" t="s">
        <v>1342</v>
      </c>
      <c r="M231" s="229" t="s">
        <v>587</v>
      </c>
      <c r="N231" s="229" t="s">
        <v>1343</v>
      </c>
      <c r="O231" s="102">
        <v>5.0</v>
      </c>
      <c r="P231" s="102" t="s">
        <v>1344</v>
      </c>
      <c r="U231" s="102">
        <v>57600.0</v>
      </c>
      <c r="V231" s="102" t="s">
        <v>1085</v>
      </c>
      <c r="W231" s="102" t="s">
        <v>529</v>
      </c>
      <c r="X231" s="102" t="s">
        <v>298</v>
      </c>
      <c r="Y231" s="102" t="s">
        <v>299</v>
      </c>
      <c r="Z231" s="102" t="s">
        <v>286</v>
      </c>
      <c r="AA231" s="102" t="s">
        <v>287</v>
      </c>
      <c r="AB231" s="102" t="s">
        <v>288</v>
      </c>
      <c r="AI231" s="230"/>
    </row>
    <row r="232">
      <c r="A232" s="102" t="s">
        <v>310</v>
      </c>
      <c r="B232" s="102" t="s">
        <v>1345</v>
      </c>
      <c r="C232" s="229" t="s">
        <v>1346</v>
      </c>
      <c r="D232" s="102" t="s">
        <v>1347</v>
      </c>
      <c r="E232" s="102" t="s">
        <v>513</v>
      </c>
      <c r="F232" s="102" t="s">
        <v>514</v>
      </c>
      <c r="G232" s="102" t="s">
        <v>282</v>
      </c>
      <c r="H232" s="102" t="s">
        <v>283</v>
      </c>
      <c r="I232" s="102" t="s">
        <v>284</v>
      </c>
      <c r="J232" s="102" t="s">
        <v>454</v>
      </c>
      <c r="L232" s="229" t="s">
        <v>1342</v>
      </c>
      <c r="M232" s="229" t="s">
        <v>587</v>
      </c>
      <c r="N232" s="229" t="s">
        <v>1343</v>
      </c>
      <c r="O232" s="102">
        <v>3.0</v>
      </c>
      <c r="P232" s="102" t="s">
        <v>1348</v>
      </c>
      <c r="U232" s="102">
        <v>28800.0</v>
      </c>
      <c r="V232" s="102" t="s">
        <v>1085</v>
      </c>
      <c r="W232" s="102" t="s">
        <v>529</v>
      </c>
      <c r="X232" s="102" t="s">
        <v>298</v>
      </c>
      <c r="Y232" s="102" t="s">
        <v>299</v>
      </c>
      <c r="Z232" s="102" t="s">
        <v>286</v>
      </c>
      <c r="AA232" s="102" t="s">
        <v>287</v>
      </c>
      <c r="AB232" s="102" t="s">
        <v>288</v>
      </c>
      <c r="AI232" s="230"/>
    </row>
    <row r="233">
      <c r="A233" s="102" t="s">
        <v>310</v>
      </c>
      <c r="B233" s="102" t="s">
        <v>1349</v>
      </c>
      <c r="C233" s="229" t="s">
        <v>1350</v>
      </c>
      <c r="D233" s="102" t="s">
        <v>1351</v>
      </c>
      <c r="E233" s="102" t="s">
        <v>556</v>
      </c>
      <c r="F233" s="102" t="s">
        <v>557</v>
      </c>
      <c r="G233" s="102" t="s">
        <v>282</v>
      </c>
      <c r="H233" s="102" t="s">
        <v>283</v>
      </c>
      <c r="I233" s="102" t="s">
        <v>284</v>
      </c>
      <c r="J233" s="102" t="s">
        <v>454</v>
      </c>
      <c r="L233" s="229" t="s">
        <v>1342</v>
      </c>
      <c r="M233" s="229" t="s">
        <v>587</v>
      </c>
      <c r="N233" s="229" t="s">
        <v>1352</v>
      </c>
      <c r="O233" s="102">
        <v>2.0</v>
      </c>
      <c r="P233" s="102" t="s">
        <v>1348</v>
      </c>
      <c r="U233" s="230"/>
      <c r="V233" s="102" t="s">
        <v>1085</v>
      </c>
      <c r="W233" s="102" t="s">
        <v>529</v>
      </c>
      <c r="X233" s="102" t="s">
        <v>298</v>
      </c>
      <c r="Y233" s="102" t="s">
        <v>299</v>
      </c>
      <c r="Z233" s="102" t="s">
        <v>286</v>
      </c>
      <c r="AA233" s="102" t="s">
        <v>287</v>
      </c>
      <c r="AB233" s="102" t="s">
        <v>288</v>
      </c>
      <c r="AI233" s="230"/>
    </row>
    <row r="234">
      <c r="A234" s="102" t="s">
        <v>310</v>
      </c>
      <c r="B234" s="102" t="s">
        <v>1353</v>
      </c>
      <c r="C234" s="229" t="s">
        <v>1354</v>
      </c>
      <c r="D234" s="102" t="s">
        <v>1355</v>
      </c>
      <c r="E234" s="102" t="s">
        <v>513</v>
      </c>
      <c r="F234" s="102" t="s">
        <v>514</v>
      </c>
      <c r="G234" s="102" t="s">
        <v>282</v>
      </c>
      <c r="H234" s="102" t="s">
        <v>283</v>
      </c>
      <c r="I234" s="102" t="s">
        <v>284</v>
      </c>
      <c r="J234" s="102" t="s">
        <v>454</v>
      </c>
      <c r="L234" s="229" t="s">
        <v>1342</v>
      </c>
      <c r="M234" s="229" t="s">
        <v>587</v>
      </c>
      <c r="N234" s="229" t="s">
        <v>1356</v>
      </c>
      <c r="O234" s="102">
        <v>3.0</v>
      </c>
      <c r="P234" s="102" t="s">
        <v>1348</v>
      </c>
      <c r="U234" s="102">
        <v>28800.0</v>
      </c>
      <c r="V234" s="102" t="s">
        <v>1085</v>
      </c>
      <c r="W234" s="102" t="s">
        <v>529</v>
      </c>
      <c r="X234" s="102" t="s">
        <v>298</v>
      </c>
      <c r="Y234" s="102" t="s">
        <v>299</v>
      </c>
      <c r="Z234" s="102" t="s">
        <v>286</v>
      </c>
      <c r="AA234" s="102" t="s">
        <v>287</v>
      </c>
      <c r="AB234" s="102" t="s">
        <v>288</v>
      </c>
      <c r="AI234" s="230"/>
    </row>
    <row r="235">
      <c r="A235" s="102" t="s">
        <v>630</v>
      </c>
      <c r="B235" s="102" t="s">
        <v>1357</v>
      </c>
      <c r="C235" s="229" t="s">
        <v>1358</v>
      </c>
      <c r="D235" s="102" t="s">
        <v>1359</v>
      </c>
      <c r="G235" s="102" t="s">
        <v>314</v>
      </c>
      <c r="H235" s="102" t="s">
        <v>315</v>
      </c>
      <c r="I235" s="102" t="s">
        <v>284</v>
      </c>
      <c r="J235" s="102" t="s">
        <v>63</v>
      </c>
      <c r="L235" s="229" t="s">
        <v>1360</v>
      </c>
      <c r="M235" s="229" t="s">
        <v>1361</v>
      </c>
      <c r="O235" s="230"/>
      <c r="U235" s="230"/>
      <c r="V235" s="102" t="s">
        <v>1362</v>
      </c>
      <c r="W235" s="102" t="s">
        <v>1363</v>
      </c>
      <c r="X235" s="102" t="s">
        <v>1364</v>
      </c>
      <c r="Y235" s="102" t="s">
        <v>1365</v>
      </c>
      <c r="Z235" s="102" t="s">
        <v>1366</v>
      </c>
      <c r="AA235" s="102" t="s">
        <v>1367</v>
      </c>
      <c r="AB235" s="102" t="s">
        <v>1368</v>
      </c>
      <c r="AC235" s="102" t="s">
        <v>1369</v>
      </c>
      <c r="AD235" s="102" t="s">
        <v>1370</v>
      </c>
      <c r="AE235" s="102" t="s">
        <v>1150</v>
      </c>
      <c r="AF235" s="102" t="s">
        <v>1051</v>
      </c>
      <c r="AG235" s="102" t="s">
        <v>1052</v>
      </c>
      <c r="AH235" s="102" t="s">
        <v>444</v>
      </c>
      <c r="AI235" s="230"/>
    </row>
    <row r="236">
      <c r="O236" s="230"/>
      <c r="U236" s="230"/>
      <c r="AI236" s="230"/>
    </row>
    <row r="237">
      <c r="O237" s="230"/>
      <c r="U237" s="230"/>
      <c r="AI237" s="230"/>
    </row>
    <row r="238">
      <c r="O238" s="230"/>
      <c r="U238" s="230"/>
      <c r="AI238" s="230"/>
    </row>
    <row r="239">
      <c r="O239" s="230"/>
      <c r="U239" s="230"/>
      <c r="AI239" s="230"/>
    </row>
    <row r="240">
      <c r="O240" s="230"/>
      <c r="U240" s="230"/>
      <c r="AI240" s="230"/>
    </row>
    <row r="241">
      <c r="O241" s="230"/>
      <c r="U241" s="230"/>
      <c r="AI241" s="230"/>
    </row>
    <row r="242">
      <c r="O242" s="230"/>
      <c r="U242" s="230"/>
      <c r="AI242" s="230"/>
    </row>
    <row r="243">
      <c r="O243" s="230"/>
      <c r="U243" s="230"/>
      <c r="AI243" s="230"/>
    </row>
    <row r="244">
      <c r="O244" s="230"/>
      <c r="U244" s="230"/>
      <c r="AI244" s="230"/>
    </row>
    <row r="245">
      <c r="O245" s="230"/>
      <c r="U245" s="230"/>
      <c r="AI245" s="230"/>
    </row>
    <row r="246">
      <c r="O246" s="230"/>
      <c r="U246" s="230"/>
      <c r="AI246" s="230"/>
    </row>
    <row r="247">
      <c r="O247" s="230"/>
      <c r="U247" s="230"/>
      <c r="AI247" s="230"/>
    </row>
    <row r="248">
      <c r="O248" s="230"/>
      <c r="U248" s="230"/>
      <c r="AI248" s="230"/>
    </row>
    <row r="249">
      <c r="O249" s="230"/>
      <c r="U249" s="230"/>
      <c r="AI249" s="230"/>
    </row>
    <row r="250">
      <c r="O250" s="230"/>
      <c r="U250" s="230"/>
      <c r="AI250" s="230"/>
    </row>
    <row r="251">
      <c r="O251" s="230"/>
      <c r="U251" s="230"/>
      <c r="AI251" s="230"/>
    </row>
    <row r="252">
      <c r="O252" s="230"/>
      <c r="U252" s="230"/>
      <c r="AI252" s="230"/>
    </row>
    <row r="253">
      <c r="O253" s="230"/>
      <c r="U253" s="230"/>
      <c r="AI253" s="230"/>
    </row>
    <row r="254">
      <c r="O254" s="230"/>
      <c r="U254" s="230"/>
      <c r="AI254" s="230"/>
    </row>
    <row r="255">
      <c r="O255" s="230"/>
      <c r="U255" s="230"/>
      <c r="AI255" s="230"/>
    </row>
    <row r="256">
      <c r="O256" s="230"/>
      <c r="U256" s="230"/>
      <c r="AI256" s="230"/>
    </row>
    <row r="257">
      <c r="O257" s="230"/>
      <c r="U257" s="230"/>
      <c r="AI257" s="230"/>
    </row>
    <row r="258">
      <c r="O258" s="230"/>
      <c r="U258" s="230"/>
      <c r="AI258" s="230"/>
    </row>
    <row r="259">
      <c r="O259" s="230"/>
      <c r="U259" s="230"/>
      <c r="AI259" s="230"/>
    </row>
    <row r="260">
      <c r="O260" s="230"/>
      <c r="U260" s="230"/>
      <c r="AI260" s="230"/>
    </row>
    <row r="261">
      <c r="O261" s="230"/>
      <c r="U261" s="230"/>
      <c r="AI261" s="230"/>
    </row>
    <row r="262">
      <c r="O262" s="230"/>
      <c r="U262" s="230"/>
      <c r="AI262" s="230"/>
    </row>
    <row r="263">
      <c r="O263" s="230"/>
      <c r="U263" s="230"/>
      <c r="AI263" s="230"/>
    </row>
    <row r="264">
      <c r="O264" s="230"/>
      <c r="U264" s="230"/>
      <c r="AI264" s="230"/>
    </row>
    <row r="265">
      <c r="O265" s="230"/>
      <c r="U265" s="230"/>
      <c r="AI265" s="230"/>
    </row>
    <row r="266">
      <c r="O266" s="230"/>
      <c r="U266" s="230"/>
      <c r="AI266" s="230"/>
    </row>
    <row r="267">
      <c r="O267" s="230"/>
      <c r="U267" s="230"/>
      <c r="AI267" s="230"/>
    </row>
    <row r="268">
      <c r="O268" s="230"/>
      <c r="U268" s="230"/>
      <c r="AI268" s="230"/>
    </row>
    <row r="269">
      <c r="O269" s="230"/>
      <c r="U269" s="230"/>
      <c r="AI269" s="230"/>
    </row>
    <row r="270">
      <c r="O270" s="230"/>
      <c r="U270" s="230"/>
      <c r="AI270" s="230"/>
    </row>
    <row r="271">
      <c r="O271" s="230"/>
      <c r="U271" s="230"/>
      <c r="AI271" s="230"/>
    </row>
    <row r="272">
      <c r="O272" s="230"/>
      <c r="U272" s="230"/>
      <c r="AI272" s="230"/>
    </row>
    <row r="273">
      <c r="O273" s="230"/>
      <c r="U273" s="230"/>
      <c r="AI273" s="230"/>
    </row>
    <row r="274">
      <c r="O274" s="230"/>
      <c r="U274" s="230"/>
      <c r="AI274" s="230"/>
    </row>
    <row r="275">
      <c r="O275" s="230"/>
      <c r="U275" s="230"/>
      <c r="AI275" s="230"/>
    </row>
    <row r="276">
      <c r="O276" s="230"/>
      <c r="U276" s="230"/>
      <c r="AI276" s="230"/>
    </row>
    <row r="277">
      <c r="O277" s="230"/>
      <c r="U277" s="230"/>
      <c r="AI277" s="230"/>
    </row>
    <row r="278">
      <c r="O278" s="230"/>
      <c r="U278" s="230"/>
      <c r="AI278" s="230"/>
    </row>
    <row r="279">
      <c r="O279" s="230"/>
      <c r="U279" s="230"/>
      <c r="AI279" s="230"/>
    </row>
    <row r="280">
      <c r="O280" s="230"/>
      <c r="U280" s="230"/>
      <c r="AI280" s="230"/>
    </row>
    <row r="281">
      <c r="O281" s="230"/>
      <c r="U281" s="230"/>
      <c r="AI281" s="230"/>
    </row>
    <row r="282">
      <c r="O282" s="230"/>
      <c r="U282" s="230"/>
      <c r="AI282" s="230"/>
    </row>
    <row r="283">
      <c r="O283" s="230"/>
      <c r="U283" s="230"/>
      <c r="AI283" s="230"/>
    </row>
    <row r="284">
      <c r="O284" s="230"/>
      <c r="U284" s="230"/>
      <c r="AI284" s="230"/>
    </row>
    <row r="285">
      <c r="O285" s="230"/>
      <c r="U285" s="230"/>
      <c r="AI285" s="230"/>
    </row>
    <row r="286">
      <c r="O286" s="230"/>
      <c r="U286" s="230"/>
      <c r="AI286" s="230"/>
    </row>
    <row r="287">
      <c r="O287" s="230"/>
      <c r="U287" s="230"/>
      <c r="AI287" s="230"/>
    </row>
    <row r="288">
      <c r="O288" s="230"/>
      <c r="U288" s="230"/>
      <c r="AI288" s="230"/>
    </row>
    <row r="289">
      <c r="O289" s="230"/>
      <c r="U289" s="230"/>
      <c r="AI289" s="230"/>
    </row>
    <row r="290">
      <c r="O290" s="230"/>
      <c r="U290" s="230"/>
      <c r="AI290" s="230"/>
    </row>
    <row r="291">
      <c r="O291" s="230"/>
      <c r="U291" s="230"/>
      <c r="AI291" s="230"/>
    </row>
    <row r="292">
      <c r="O292" s="230"/>
      <c r="U292" s="230"/>
      <c r="AI292" s="230"/>
    </row>
    <row r="293">
      <c r="O293" s="230"/>
      <c r="U293" s="230"/>
      <c r="AI293" s="230"/>
    </row>
    <row r="294">
      <c r="O294" s="230"/>
      <c r="U294" s="230"/>
      <c r="AI294" s="230"/>
    </row>
    <row r="295">
      <c r="O295" s="230"/>
      <c r="U295" s="230"/>
      <c r="AI295" s="230"/>
    </row>
    <row r="296">
      <c r="O296" s="230"/>
      <c r="U296" s="230"/>
      <c r="AI296" s="230"/>
    </row>
    <row r="297">
      <c r="O297" s="230"/>
      <c r="U297" s="230"/>
      <c r="AI297" s="230"/>
    </row>
    <row r="298">
      <c r="O298" s="230"/>
      <c r="U298" s="230"/>
      <c r="AI298" s="230"/>
    </row>
    <row r="299">
      <c r="O299" s="230"/>
      <c r="U299" s="230"/>
      <c r="AI299" s="230"/>
    </row>
    <row r="300">
      <c r="O300" s="230"/>
      <c r="U300" s="230"/>
      <c r="AI300" s="230"/>
    </row>
    <row r="301">
      <c r="O301" s="230"/>
      <c r="U301" s="230"/>
      <c r="AI301" s="230"/>
    </row>
    <row r="302">
      <c r="O302" s="230"/>
      <c r="U302" s="230"/>
      <c r="AI302" s="230"/>
    </row>
    <row r="303">
      <c r="O303" s="230"/>
      <c r="U303" s="230"/>
      <c r="AI303" s="230"/>
    </row>
    <row r="304">
      <c r="O304" s="230"/>
      <c r="U304" s="230"/>
      <c r="AI304" s="230"/>
    </row>
    <row r="305">
      <c r="O305" s="230"/>
      <c r="U305" s="230"/>
      <c r="AI305" s="230"/>
    </row>
    <row r="306">
      <c r="O306" s="230"/>
      <c r="U306" s="230"/>
      <c r="AI306" s="230"/>
    </row>
    <row r="307">
      <c r="O307" s="230"/>
      <c r="U307" s="230"/>
      <c r="AI307" s="230"/>
    </row>
    <row r="308">
      <c r="O308" s="230"/>
      <c r="U308" s="230"/>
      <c r="AI308" s="230"/>
    </row>
    <row r="309">
      <c r="O309" s="230"/>
      <c r="U309" s="230"/>
      <c r="AI309" s="230"/>
    </row>
    <row r="310">
      <c r="O310" s="230"/>
      <c r="U310" s="230"/>
      <c r="AI310" s="230"/>
    </row>
    <row r="311">
      <c r="O311" s="230"/>
      <c r="U311" s="230"/>
      <c r="AI311" s="230"/>
    </row>
    <row r="312">
      <c r="O312" s="230"/>
      <c r="U312" s="230"/>
      <c r="AI312" s="230"/>
    </row>
    <row r="313">
      <c r="O313" s="230"/>
      <c r="U313" s="230"/>
      <c r="AI313" s="230"/>
    </row>
    <row r="314">
      <c r="O314" s="230"/>
      <c r="U314" s="230"/>
      <c r="AI314" s="230"/>
    </row>
    <row r="315">
      <c r="O315" s="230"/>
      <c r="U315" s="230"/>
      <c r="AI315" s="230"/>
    </row>
    <row r="316">
      <c r="O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  <c r="AI316" s="230"/>
    </row>
    <row r="317">
      <c r="O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  <c r="AI317" s="230"/>
    </row>
    <row r="318">
      <c r="O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  <c r="AI318" s="230"/>
    </row>
    <row r="319">
      <c r="O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  <c r="AI319" s="230"/>
    </row>
    <row r="320">
      <c r="O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  <c r="AI320" s="230"/>
    </row>
    <row r="321">
      <c r="O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</row>
    <row r="322">
      <c r="O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</row>
    <row r="323">
      <c r="O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  <c r="AI323" s="230"/>
    </row>
    <row r="324">
      <c r="O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</row>
    <row r="325">
      <c r="O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  <c r="AI325" s="230"/>
    </row>
    <row r="326">
      <c r="O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  <c r="AI326" s="230"/>
    </row>
    <row r="327">
      <c r="O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  <c r="AI327" s="230"/>
    </row>
    <row r="328">
      <c r="O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</row>
    <row r="329">
      <c r="O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</row>
    <row r="330">
      <c r="O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  <c r="AI330" s="230"/>
    </row>
    <row r="331">
      <c r="O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</row>
    <row r="332">
      <c r="O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  <c r="AI332" s="230"/>
    </row>
    <row r="333">
      <c r="O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  <c r="AI333" s="230"/>
    </row>
    <row r="334">
      <c r="O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  <c r="AI334" s="230"/>
    </row>
    <row r="335">
      <c r="O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  <c r="AI335" s="230"/>
    </row>
    <row r="336">
      <c r="O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  <c r="AI336" s="230"/>
    </row>
    <row r="337">
      <c r="O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  <c r="AI337" s="230"/>
    </row>
    <row r="338">
      <c r="O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</row>
    <row r="339">
      <c r="O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  <c r="AI339" s="230"/>
    </row>
    <row r="340">
      <c r="O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  <c r="AI340" s="230"/>
    </row>
    <row r="341">
      <c r="O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  <c r="AI341" s="230"/>
    </row>
    <row r="342">
      <c r="O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  <c r="AI342" s="230"/>
    </row>
    <row r="343">
      <c r="O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  <c r="AI343" s="230"/>
    </row>
    <row r="344">
      <c r="O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</row>
    <row r="345">
      <c r="O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</row>
    <row r="346">
      <c r="O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</row>
    <row r="347">
      <c r="O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</row>
    <row r="348">
      <c r="O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</row>
    <row r="349">
      <c r="O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</row>
    <row r="350">
      <c r="O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</row>
    <row r="351">
      <c r="O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</row>
    <row r="352">
      <c r="O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</row>
    <row r="353">
      <c r="O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</row>
    <row r="354">
      <c r="O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  <c r="AI354" s="230"/>
    </row>
    <row r="355">
      <c r="O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  <c r="AI355" s="230"/>
    </row>
    <row r="356">
      <c r="O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  <c r="AI356" s="230"/>
    </row>
    <row r="357">
      <c r="O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  <c r="AI357" s="230"/>
    </row>
    <row r="358">
      <c r="O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  <c r="AI358" s="230"/>
    </row>
    <row r="359">
      <c r="O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  <c r="AI359" s="230"/>
    </row>
    <row r="360">
      <c r="O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  <c r="AI360" s="230"/>
    </row>
    <row r="361">
      <c r="O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</row>
    <row r="362">
      <c r="O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  <c r="AI362" s="230"/>
    </row>
    <row r="363">
      <c r="O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  <c r="AI363" s="230"/>
    </row>
    <row r="364">
      <c r="O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  <c r="AI364" s="230"/>
    </row>
    <row r="365">
      <c r="O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  <c r="AI365" s="230"/>
    </row>
    <row r="366">
      <c r="O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  <c r="AI366" s="230"/>
    </row>
    <row r="367">
      <c r="O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  <c r="AI367" s="230"/>
    </row>
    <row r="368">
      <c r="O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  <c r="AI368" s="230"/>
    </row>
    <row r="369">
      <c r="O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  <c r="AI369" s="230"/>
    </row>
    <row r="370">
      <c r="O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</row>
    <row r="371">
      <c r="O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  <c r="AI371" s="230"/>
    </row>
    <row r="372">
      <c r="O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  <c r="AI372" s="230"/>
    </row>
    <row r="373">
      <c r="O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  <c r="AI373" s="230"/>
    </row>
    <row r="374">
      <c r="O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  <c r="AI374" s="230"/>
    </row>
    <row r="375">
      <c r="O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</row>
    <row r="376">
      <c r="O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  <c r="AI376" s="230"/>
    </row>
    <row r="377">
      <c r="O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  <c r="AI377" s="230"/>
    </row>
    <row r="378">
      <c r="O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  <c r="AI378" s="230"/>
    </row>
    <row r="379">
      <c r="O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  <c r="AI379" s="230"/>
    </row>
    <row r="380">
      <c r="O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  <c r="AI380" s="230"/>
    </row>
    <row r="381">
      <c r="O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</row>
    <row r="382">
      <c r="O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  <c r="AI382" s="230"/>
    </row>
    <row r="383">
      <c r="O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</row>
    <row r="384">
      <c r="O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  <c r="AI384" s="230"/>
    </row>
    <row r="385">
      <c r="O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  <c r="AI385" s="230"/>
    </row>
    <row r="386">
      <c r="O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  <c r="AI386" s="230"/>
    </row>
    <row r="387">
      <c r="O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  <c r="AI387" s="230"/>
    </row>
    <row r="388">
      <c r="O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  <c r="AI388" s="230"/>
    </row>
    <row r="389">
      <c r="O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  <c r="AI389" s="230"/>
    </row>
    <row r="390">
      <c r="O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  <c r="AI390" s="230"/>
    </row>
    <row r="391">
      <c r="O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  <c r="AI391" s="230"/>
    </row>
    <row r="392">
      <c r="O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  <c r="AI392" s="230"/>
    </row>
    <row r="393">
      <c r="O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  <c r="AI393" s="230"/>
    </row>
    <row r="394">
      <c r="O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  <c r="AI394" s="230"/>
    </row>
    <row r="395">
      <c r="O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  <c r="AI395" s="230"/>
    </row>
    <row r="396">
      <c r="O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  <c r="AI396" s="230"/>
    </row>
    <row r="397">
      <c r="O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</row>
    <row r="398">
      <c r="O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  <c r="AI398" s="230"/>
    </row>
    <row r="399">
      <c r="O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  <c r="AI399" s="230"/>
    </row>
    <row r="400">
      <c r="O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  <c r="AI400" s="230"/>
    </row>
    <row r="401">
      <c r="O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  <c r="AI401" s="230"/>
    </row>
    <row r="402">
      <c r="O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  <c r="AI402" s="230"/>
    </row>
    <row r="403">
      <c r="O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  <c r="AI403" s="230"/>
    </row>
    <row r="404">
      <c r="O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  <c r="AI404" s="230"/>
    </row>
    <row r="405">
      <c r="O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  <c r="AI405" s="230"/>
    </row>
    <row r="406">
      <c r="O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  <c r="AI406" s="230"/>
    </row>
    <row r="407">
      <c r="O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  <c r="AI407" s="230"/>
    </row>
    <row r="408">
      <c r="O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  <c r="AI408" s="230"/>
    </row>
    <row r="409">
      <c r="O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  <c r="AI409" s="230"/>
    </row>
    <row r="410">
      <c r="O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  <c r="AI410" s="230"/>
    </row>
    <row r="411">
      <c r="O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  <c r="AI411" s="230"/>
    </row>
    <row r="412">
      <c r="O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  <c r="AI412" s="230"/>
    </row>
    <row r="413">
      <c r="O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  <c r="AI413" s="230"/>
    </row>
    <row r="414">
      <c r="O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  <c r="AI414" s="230"/>
    </row>
    <row r="415">
      <c r="O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  <c r="AI415" s="230"/>
    </row>
    <row r="416">
      <c r="O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  <c r="AI416" s="230"/>
    </row>
    <row r="417">
      <c r="O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  <c r="AI417" s="230"/>
    </row>
    <row r="418">
      <c r="O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  <c r="AI418" s="230"/>
    </row>
    <row r="419">
      <c r="O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</row>
    <row r="420">
      <c r="O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  <c r="AI420" s="230"/>
    </row>
    <row r="421">
      <c r="O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  <c r="AI421" s="230"/>
    </row>
    <row r="422">
      <c r="O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</row>
    <row r="423">
      <c r="O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  <c r="AI423" s="230"/>
    </row>
    <row r="424">
      <c r="O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  <c r="AI424" s="230"/>
    </row>
    <row r="425">
      <c r="O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  <c r="AI425" s="230"/>
    </row>
    <row r="426">
      <c r="O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  <c r="AI426" s="230"/>
    </row>
    <row r="427">
      <c r="O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</row>
    <row r="428">
      <c r="O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</row>
    <row r="429">
      <c r="O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  <c r="AI429" s="230"/>
    </row>
    <row r="430">
      <c r="O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  <c r="AI430" s="230"/>
    </row>
    <row r="431">
      <c r="O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  <c r="AI431" s="230"/>
    </row>
    <row r="432">
      <c r="O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  <c r="AI432" s="230"/>
    </row>
    <row r="433">
      <c r="O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</row>
    <row r="434">
      <c r="O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</row>
    <row r="435">
      <c r="O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  <c r="AI435" s="230"/>
    </row>
    <row r="436">
      <c r="O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  <c r="AI436" s="230"/>
    </row>
    <row r="437">
      <c r="O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</row>
    <row r="438">
      <c r="O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  <c r="AI438" s="230"/>
    </row>
    <row r="439">
      <c r="O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  <c r="AI439" s="230"/>
    </row>
    <row r="440">
      <c r="O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  <c r="AI440" s="230"/>
    </row>
    <row r="441">
      <c r="O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</row>
    <row r="442">
      <c r="O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  <c r="AI442" s="230"/>
    </row>
    <row r="443">
      <c r="O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  <c r="AI443" s="230"/>
    </row>
    <row r="444">
      <c r="O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  <c r="AI444" s="230"/>
    </row>
    <row r="445">
      <c r="O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  <c r="AI445" s="230"/>
    </row>
    <row r="446">
      <c r="O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  <c r="AI446" s="230"/>
    </row>
    <row r="447">
      <c r="O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  <c r="AI447" s="230"/>
    </row>
    <row r="448">
      <c r="O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  <c r="AI448" s="230"/>
    </row>
    <row r="449">
      <c r="O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  <c r="AI449" s="230"/>
    </row>
    <row r="450">
      <c r="O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  <c r="AI450" s="230"/>
    </row>
    <row r="451">
      <c r="O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  <c r="AI451" s="230"/>
    </row>
    <row r="452">
      <c r="O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  <c r="AI452" s="230"/>
    </row>
    <row r="453">
      <c r="O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  <c r="AI453" s="230"/>
    </row>
    <row r="454">
      <c r="O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  <c r="AI454" s="230"/>
    </row>
    <row r="455">
      <c r="O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  <c r="AI455" s="230"/>
    </row>
    <row r="456">
      <c r="O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  <c r="AI456" s="230"/>
    </row>
    <row r="457">
      <c r="O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  <c r="AI457" s="230"/>
    </row>
    <row r="458">
      <c r="O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  <c r="AI458" s="230"/>
    </row>
    <row r="459">
      <c r="O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  <c r="AI459" s="230"/>
    </row>
    <row r="460">
      <c r="O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  <c r="AI460" s="230"/>
    </row>
    <row r="461">
      <c r="O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  <c r="AI461" s="230"/>
    </row>
    <row r="462">
      <c r="O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  <c r="AI462" s="230"/>
    </row>
    <row r="463">
      <c r="O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</row>
    <row r="464">
      <c r="O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  <c r="AI464" s="230"/>
    </row>
    <row r="465">
      <c r="O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  <c r="AI465" s="230"/>
    </row>
    <row r="466">
      <c r="O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  <c r="AI466" s="230"/>
    </row>
    <row r="467">
      <c r="O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  <c r="AI467" s="230"/>
    </row>
    <row r="468">
      <c r="O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  <c r="AI468" s="230"/>
    </row>
    <row r="469">
      <c r="O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  <c r="AI469" s="230"/>
    </row>
    <row r="470">
      <c r="O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  <c r="AI470" s="230"/>
    </row>
    <row r="471">
      <c r="O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  <c r="AI471" s="230"/>
    </row>
    <row r="472">
      <c r="O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  <c r="AI472" s="230"/>
    </row>
    <row r="473">
      <c r="O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  <c r="AI473" s="230"/>
    </row>
    <row r="474">
      <c r="O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  <c r="AI474" s="230"/>
    </row>
    <row r="475">
      <c r="O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  <c r="AI475" s="230"/>
    </row>
    <row r="476">
      <c r="O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  <c r="AI476" s="230"/>
    </row>
    <row r="477">
      <c r="O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  <c r="AI477" s="230"/>
    </row>
    <row r="478">
      <c r="O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  <c r="AI478" s="230"/>
    </row>
    <row r="479">
      <c r="O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  <c r="AI479" s="230"/>
    </row>
    <row r="480">
      <c r="O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  <c r="AI480" s="230"/>
    </row>
    <row r="481">
      <c r="O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  <c r="AI481" s="230"/>
    </row>
    <row r="482">
      <c r="O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  <c r="AI482" s="230"/>
    </row>
    <row r="483">
      <c r="O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  <c r="AI483" s="230"/>
    </row>
    <row r="484">
      <c r="O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  <c r="AI484" s="230"/>
    </row>
    <row r="485">
      <c r="O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</row>
    <row r="486">
      <c r="O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  <c r="AI486" s="230"/>
    </row>
    <row r="487">
      <c r="O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  <c r="AI487" s="230"/>
    </row>
    <row r="488">
      <c r="O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  <c r="AI488" s="230"/>
    </row>
    <row r="489">
      <c r="O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</row>
    <row r="490">
      <c r="O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  <c r="AI490" s="230"/>
    </row>
    <row r="491">
      <c r="O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</row>
    <row r="492">
      <c r="O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</row>
    <row r="493">
      <c r="O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  <c r="AI493" s="230"/>
    </row>
    <row r="494">
      <c r="O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  <c r="AI494" s="230"/>
    </row>
    <row r="495">
      <c r="O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  <c r="AI495" s="230"/>
    </row>
    <row r="496">
      <c r="O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  <c r="AI496" s="230"/>
    </row>
    <row r="497">
      <c r="O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  <c r="AI497" s="230"/>
    </row>
    <row r="498">
      <c r="O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  <c r="AI498" s="230"/>
    </row>
    <row r="499">
      <c r="O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  <c r="AI499" s="230"/>
    </row>
    <row r="500">
      <c r="O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  <c r="AI500" s="230"/>
    </row>
    <row r="501">
      <c r="O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  <c r="AI501" s="230"/>
    </row>
    <row r="502">
      <c r="O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  <c r="AI502" s="230"/>
    </row>
    <row r="503">
      <c r="O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  <c r="AI503" s="230"/>
    </row>
    <row r="504">
      <c r="O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  <c r="AI504" s="230"/>
    </row>
    <row r="505">
      <c r="O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  <c r="AI505" s="230"/>
    </row>
    <row r="506">
      <c r="O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  <c r="AI506" s="230"/>
    </row>
    <row r="507">
      <c r="O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</row>
    <row r="508">
      <c r="O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  <c r="AI508" s="230"/>
    </row>
    <row r="509">
      <c r="O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  <c r="AI509" s="230"/>
    </row>
    <row r="510">
      <c r="O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  <c r="AI510" s="230"/>
    </row>
    <row r="511">
      <c r="O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  <c r="AI511" s="230"/>
    </row>
    <row r="512">
      <c r="O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  <c r="AI512" s="230"/>
    </row>
    <row r="513">
      <c r="O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  <c r="AI513" s="230"/>
    </row>
    <row r="514">
      <c r="O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  <c r="AI514" s="230"/>
    </row>
    <row r="515">
      <c r="O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  <c r="AI515" s="230"/>
    </row>
    <row r="516">
      <c r="O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  <c r="AI516" s="230"/>
    </row>
    <row r="517">
      <c r="O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  <c r="AI517" s="230"/>
    </row>
    <row r="518">
      <c r="O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  <c r="AI518" s="230"/>
    </row>
    <row r="519">
      <c r="O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  <c r="AI519" s="230"/>
    </row>
    <row r="520">
      <c r="O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</row>
    <row r="521">
      <c r="O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</row>
    <row r="522">
      <c r="O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</row>
    <row r="523">
      <c r="O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</row>
    <row r="524">
      <c r="O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</row>
    <row r="525">
      <c r="O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</row>
    <row r="526">
      <c r="O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</row>
    <row r="527">
      <c r="O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</row>
    <row r="528">
      <c r="O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  <c r="AI528" s="230"/>
    </row>
    <row r="529">
      <c r="O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</row>
    <row r="530">
      <c r="O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  <c r="AI530" s="230"/>
    </row>
    <row r="531">
      <c r="O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  <c r="AI531" s="230"/>
    </row>
    <row r="532">
      <c r="O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  <c r="AI532" s="230"/>
    </row>
    <row r="533">
      <c r="O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  <c r="AI533" s="230"/>
    </row>
    <row r="534">
      <c r="O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  <c r="AI534" s="230"/>
    </row>
    <row r="535">
      <c r="O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  <c r="AI535" s="230"/>
    </row>
    <row r="536">
      <c r="O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  <c r="AI536" s="230"/>
    </row>
    <row r="537">
      <c r="O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  <c r="AI537" s="230"/>
    </row>
    <row r="538">
      <c r="O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  <c r="AI538" s="230"/>
    </row>
    <row r="539">
      <c r="O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  <c r="AI539" s="230"/>
    </row>
    <row r="540">
      <c r="O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  <c r="AI540" s="230"/>
    </row>
    <row r="541">
      <c r="O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  <c r="AI541" s="230"/>
    </row>
    <row r="542">
      <c r="O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  <c r="AI542" s="230"/>
    </row>
    <row r="543">
      <c r="O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  <c r="AI543" s="230"/>
    </row>
    <row r="544">
      <c r="O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</row>
    <row r="545">
      <c r="O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  <c r="AI545" s="230"/>
    </row>
    <row r="546">
      <c r="O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  <c r="AI546" s="230"/>
    </row>
    <row r="547">
      <c r="O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</row>
    <row r="548">
      <c r="O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  <c r="AI548" s="230"/>
    </row>
    <row r="549">
      <c r="O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  <c r="AI549" s="230"/>
    </row>
    <row r="550">
      <c r="O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  <c r="AI550" s="230"/>
    </row>
    <row r="551">
      <c r="O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</row>
    <row r="552">
      <c r="O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  <c r="AI552" s="230"/>
    </row>
    <row r="553">
      <c r="O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  <c r="AI553" s="230"/>
    </row>
    <row r="554">
      <c r="O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  <c r="AI554" s="230"/>
    </row>
    <row r="555">
      <c r="O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  <c r="AI555" s="230"/>
    </row>
    <row r="556">
      <c r="O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  <c r="AI556" s="230"/>
    </row>
    <row r="557">
      <c r="O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  <c r="AI557" s="230"/>
    </row>
    <row r="558">
      <c r="O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  <c r="AI558" s="230"/>
    </row>
    <row r="559">
      <c r="O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  <c r="AI559" s="230"/>
    </row>
    <row r="560">
      <c r="O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  <c r="AI560" s="230"/>
    </row>
    <row r="561">
      <c r="O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  <c r="AI561" s="230"/>
    </row>
    <row r="562">
      <c r="O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  <c r="AI562" s="230"/>
    </row>
    <row r="563">
      <c r="O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  <c r="AI563" s="230"/>
    </row>
    <row r="564">
      <c r="O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  <c r="AI564" s="230"/>
    </row>
    <row r="565">
      <c r="O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  <c r="AI565" s="230"/>
    </row>
    <row r="566">
      <c r="O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  <c r="AI566" s="230"/>
    </row>
    <row r="567">
      <c r="O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  <c r="AI567" s="230"/>
    </row>
    <row r="568">
      <c r="O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  <c r="AI568" s="230"/>
    </row>
    <row r="569">
      <c r="O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  <c r="AI569" s="230"/>
    </row>
    <row r="570">
      <c r="O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</row>
    <row r="571">
      <c r="O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</row>
    <row r="572">
      <c r="O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</row>
    <row r="573">
      <c r="O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</row>
    <row r="574">
      <c r="O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  <c r="AI574" s="230"/>
    </row>
    <row r="575">
      <c r="O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  <c r="AI575" s="230"/>
    </row>
    <row r="576">
      <c r="O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  <c r="AI576" s="230"/>
    </row>
    <row r="577">
      <c r="O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  <c r="AI577" s="230"/>
    </row>
    <row r="578">
      <c r="O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  <c r="AI578" s="230"/>
    </row>
    <row r="579">
      <c r="O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  <c r="AI579" s="230"/>
    </row>
    <row r="580">
      <c r="O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  <c r="AI580" s="230"/>
    </row>
    <row r="581">
      <c r="O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  <c r="AI581" s="230"/>
    </row>
    <row r="582">
      <c r="O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  <c r="AI582" s="230"/>
    </row>
    <row r="583">
      <c r="O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  <c r="AI583" s="230"/>
    </row>
    <row r="584">
      <c r="O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  <c r="AI584" s="230"/>
    </row>
    <row r="585">
      <c r="O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  <c r="AI585" s="230"/>
    </row>
    <row r="586">
      <c r="O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  <c r="AI586" s="230"/>
    </row>
    <row r="587">
      <c r="O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  <c r="AI587" s="230"/>
    </row>
    <row r="588">
      <c r="O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  <c r="AI588" s="230"/>
    </row>
    <row r="589">
      <c r="O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  <c r="AI589" s="230"/>
    </row>
    <row r="590">
      <c r="O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  <c r="AI590" s="230"/>
    </row>
    <row r="591">
      <c r="O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  <c r="AI591" s="230"/>
    </row>
    <row r="592">
      <c r="O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  <c r="AI592" s="230"/>
    </row>
    <row r="593">
      <c r="O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  <c r="AI593" s="230"/>
    </row>
    <row r="594">
      <c r="O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  <c r="AI594" s="230"/>
    </row>
    <row r="595">
      <c r="O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</row>
    <row r="596">
      <c r="O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  <c r="AI596" s="230"/>
    </row>
    <row r="597">
      <c r="O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  <c r="AI597" s="230"/>
    </row>
    <row r="598">
      <c r="O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  <c r="AI598" s="230"/>
    </row>
    <row r="599">
      <c r="O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  <c r="AI599" s="230"/>
    </row>
    <row r="600">
      <c r="O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  <c r="AI600" s="230"/>
    </row>
    <row r="601">
      <c r="O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  <c r="AI601" s="230"/>
    </row>
    <row r="602">
      <c r="O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  <c r="AI602" s="230"/>
    </row>
    <row r="603">
      <c r="O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  <c r="AI603" s="230"/>
    </row>
    <row r="604">
      <c r="O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  <c r="AI604" s="230"/>
    </row>
    <row r="605">
      <c r="O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  <c r="AI605" s="230"/>
    </row>
    <row r="606">
      <c r="O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  <c r="AI606" s="230"/>
    </row>
    <row r="607">
      <c r="O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  <c r="AI607" s="230"/>
    </row>
    <row r="608">
      <c r="O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  <c r="AI608" s="230"/>
    </row>
    <row r="609">
      <c r="O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  <c r="AI609" s="230"/>
    </row>
    <row r="610">
      <c r="O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  <c r="AI610" s="230"/>
    </row>
    <row r="611">
      <c r="O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  <c r="AI611" s="230"/>
    </row>
    <row r="612">
      <c r="O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  <c r="AI612" s="230"/>
    </row>
    <row r="613">
      <c r="O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  <c r="AI613" s="230"/>
    </row>
    <row r="614">
      <c r="O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  <c r="AI614" s="230"/>
    </row>
    <row r="615">
      <c r="O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  <c r="AI615" s="230"/>
    </row>
    <row r="616">
      <c r="O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  <c r="AI616" s="230"/>
    </row>
    <row r="617">
      <c r="O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</row>
    <row r="618">
      <c r="O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</row>
    <row r="619">
      <c r="O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  <c r="AI619" s="230"/>
    </row>
    <row r="620">
      <c r="O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</row>
    <row r="621">
      <c r="O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  <c r="AI621" s="230"/>
    </row>
    <row r="622">
      <c r="O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  <c r="AI622" s="230"/>
    </row>
    <row r="623">
      <c r="O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  <c r="AI623" s="230"/>
    </row>
    <row r="624">
      <c r="O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</row>
    <row r="625">
      <c r="O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  <c r="AI625" s="230"/>
    </row>
    <row r="626">
      <c r="O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  <c r="AI626" s="230"/>
    </row>
    <row r="627">
      <c r="O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  <c r="AI627" s="230"/>
    </row>
    <row r="628">
      <c r="O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  <c r="AI628" s="230"/>
    </row>
    <row r="629">
      <c r="O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  <c r="AI629" s="230"/>
    </row>
    <row r="630">
      <c r="O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  <c r="AI630" s="230"/>
    </row>
    <row r="631">
      <c r="O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  <c r="AI631" s="230"/>
    </row>
    <row r="632">
      <c r="O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  <c r="AI632" s="230"/>
    </row>
    <row r="633">
      <c r="O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  <c r="AI633" s="230"/>
    </row>
    <row r="634">
      <c r="O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  <c r="AI634" s="230"/>
    </row>
    <row r="635">
      <c r="O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  <c r="AI635" s="230"/>
    </row>
    <row r="636">
      <c r="O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  <c r="AI636" s="230"/>
    </row>
    <row r="637">
      <c r="O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  <c r="AI637" s="230"/>
    </row>
    <row r="638">
      <c r="O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  <c r="AI638" s="230"/>
    </row>
    <row r="639">
      <c r="O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</row>
    <row r="640">
      <c r="O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  <c r="AI640" s="230"/>
    </row>
    <row r="641">
      <c r="O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  <c r="AI641" s="230"/>
    </row>
    <row r="642">
      <c r="O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  <c r="AI642" s="230"/>
    </row>
    <row r="643">
      <c r="O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  <c r="AI643" s="230"/>
    </row>
    <row r="644">
      <c r="O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  <c r="AI644" s="230"/>
    </row>
    <row r="645">
      <c r="O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  <c r="AI645" s="230"/>
    </row>
    <row r="646">
      <c r="O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  <c r="AI646" s="230"/>
    </row>
    <row r="647">
      <c r="O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  <c r="AI647" s="230"/>
    </row>
    <row r="648">
      <c r="O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  <c r="AI648" s="230"/>
    </row>
    <row r="649">
      <c r="O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  <c r="AI649" s="230"/>
    </row>
    <row r="650">
      <c r="O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  <c r="AI650" s="230"/>
    </row>
    <row r="651">
      <c r="O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  <c r="AI651" s="230"/>
    </row>
    <row r="652">
      <c r="O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  <c r="AI652" s="230"/>
    </row>
    <row r="653">
      <c r="O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  <c r="AI653" s="230"/>
    </row>
    <row r="654">
      <c r="O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  <c r="AI654" s="230"/>
    </row>
    <row r="655">
      <c r="O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  <c r="AI655" s="230"/>
    </row>
    <row r="656">
      <c r="O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  <c r="AI656" s="230"/>
    </row>
    <row r="657">
      <c r="O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  <c r="AI657" s="230"/>
    </row>
    <row r="658">
      <c r="O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  <c r="AI658" s="230"/>
    </row>
    <row r="659">
      <c r="O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  <c r="AI659" s="230"/>
    </row>
    <row r="660">
      <c r="O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  <c r="AI660" s="230"/>
    </row>
    <row r="661">
      <c r="O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</row>
    <row r="662">
      <c r="O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  <c r="AI662" s="230"/>
    </row>
    <row r="663">
      <c r="O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  <c r="AI663" s="230"/>
    </row>
    <row r="664">
      <c r="O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  <c r="AI664" s="230"/>
    </row>
    <row r="665">
      <c r="O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  <c r="AI665" s="230"/>
    </row>
    <row r="666">
      <c r="O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  <c r="AI666" s="230"/>
    </row>
    <row r="667">
      <c r="O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  <c r="AI667" s="230"/>
    </row>
    <row r="668">
      <c r="O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  <c r="AI668" s="230"/>
    </row>
    <row r="669">
      <c r="O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  <c r="AI669" s="230"/>
    </row>
    <row r="670">
      <c r="O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  <c r="AI670" s="230"/>
    </row>
    <row r="671">
      <c r="O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  <c r="AI671" s="230"/>
    </row>
    <row r="672">
      <c r="O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  <c r="AI672" s="230"/>
    </row>
    <row r="673">
      <c r="O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  <c r="AI673" s="230"/>
    </row>
    <row r="674">
      <c r="O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  <c r="AI674" s="230"/>
    </row>
    <row r="675">
      <c r="O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  <c r="AI675" s="230"/>
    </row>
    <row r="676">
      <c r="O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  <c r="AI676" s="230"/>
    </row>
    <row r="677">
      <c r="O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  <c r="AI677" s="230"/>
    </row>
    <row r="678">
      <c r="O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  <c r="AI678" s="230"/>
    </row>
    <row r="679">
      <c r="O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  <c r="AI679" s="230"/>
    </row>
    <row r="680">
      <c r="O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  <c r="AI680" s="230"/>
    </row>
    <row r="681">
      <c r="O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  <c r="AI681" s="230"/>
    </row>
    <row r="682">
      <c r="O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  <c r="AI682" s="230"/>
    </row>
    <row r="683">
      <c r="O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</row>
    <row r="684">
      <c r="O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  <c r="AI684" s="230"/>
    </row>
    <row r="685">
      <c r="O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  <c r="AI685" s="230"/>
    </row>
    <row r="686">
      <c r="O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  <c r="AI686" s="230"/>
    </row>
    <row r="687">
      <c r="O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  <c r="AI687" s="230"/>
    </row>
    <row r="688">
      <c r="O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  <c r="AI688" s="230"/>
    </row>
    <row r="689">
      <c r="O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  <c r="AI689" s="230"/>
    </row>
    <row r="690">
      <c r="O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  <c r="AI690" s="230"/>
    </row>
    <row r="691">
      <c r="O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  <c r="AI691" s="230"/>
    </row>
    <row r="692">
      <c r="O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  <c r="AI692" s="230"/>
    </row>
    <row r="693">
      <c r="O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  <c r="AI693" s="230"/>
    </row>
    <row r="694">
      <c r="O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  <c r="AI694" s="230"/>
    </row>
    <row r="695">
      <c r="O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  <c r="AI695" s="230"/>
    </row>
    <row r="696">
      <c r="O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  <c r="AI696" s="230"/>
    </row>
    <row r="697">
      <c r="O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  <c r="AI697" s="230"/>
    </row>
    <row r="698">
      <c r="O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  <c r="AI698" s="230"/>
    </row>
    <row r="699">
      <c r="O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  <c r="AI699" s="230"/>
    </row>
    <row r="700">
      <c r="O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  <c r="AI700" s="230"/>
    </row>
    <row r="701">
      <c r="O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  <c r="AI701" s="230"/>
    </row>
    <row r="702">
      <c r="O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  <c r="AI702" s="230"/>
    </row>
    <row r="703">
      <c r="O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  <c r="AI703" s="230"/>
    </row>
    <row r="704">
      <c r="O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  <c r="AI704" s="230"/>
    </row>
    <row r="705">
      <c r="O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  <c r="AI705" s="230"/>
    </row>
    <row r="706">
      <c r="O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  <c r="AI706" s="230"/>
    </row>
    <row r="707">
      <c r="O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  <c r="AI707" s="230"/>
    </row>
    <row r="708">
      <c r="O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  <c r="AI708" s="230"/>
    </row>
    <row r="709">
      <c r="O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  <c r="AI709" s="230"/>
    </row>
    <row r="710">
      <c r="O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  <c r="AI710" s="230"/>
    </row>
    <row r="711">
      <c r="O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  <c r="AI711" s="230"/>
    </row>
    <row r="712">
      <c r="O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  <c r="AI712" s="230"/>
    </row>
    <row r="713">
      <c r="O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  <c r="AI713" s="230"/>
    </row>
    <row r="714">
      <c r="O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  <c r="AI714" s="230"/>
    </row>
    <row r="715">
      <c r="O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  <c r="AI715" s="230"/>
    </row>
    <row r="716">
      <c r="O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  <c r="AI716" s="230"/>
    </row>
    <row r="717">
      <c r="O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  <c r="AI717" s="230"/>
    </row>
    <row r="718">
      <c r="O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  <c r="AI718" s="230"/>
    </row>
    <row r="719">
      <c r="O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  <c r="AI719" s="230"/>
    </row>
    <row r="720">
      <c r="O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  <c r="AI720" s="230"/>
    </row>
    <row r="721">
      <c r="O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  <c r="AI721" s="230"/>
    </row>
    <row r="722">
      <c r="O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  <c r="AI722" s="230"/>
    </row>
    <row r="723">
      <c r="O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  <c r="AI723" s="230"/>
    </row>
    <row r="724">
      <c r="O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  <c r="AI724" s="230"/>
    </row>
    <row r="725">
      <c r="O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  <c r="AI725" s="230"/>
    </row>
    <row r="726">
      <c r="O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  <c r="AI726" s="230"/>
    </row>
    <row r="727">
      <c r="O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  <c r="AI727" s="230"/>
    </row>
    <row r="728">
      <c r="O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  <c r="AI728" s="230"/>
    </row>
    <row r="729">
      <c r="O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  <c r="AI729" s="230"/>
    </row>
    <row r="730">
      <c r="O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  <c r="AI730" s="230"/>
    </row>
    <row r="731">
      <c r="O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  <c r="AI731" s="230"/>
    </row>
    <row r="732">
      <c r="O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  <c r="AI732" s="230"/>
    </row>
    <row r="733">
      <c r="O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</row>
    <row r="734">
      <c r="O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</row>
    <row r="735">
      <c r="O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</row>
    <row r="736">
      <c r="O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</row>
    <row r="737">
      <c r="O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</row>
    <row r="738">
      <c r="O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</row>
    <row r="739">
      <c r="O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</row>
    <row r="740">
      <c r="O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</row>
    <row r="741">
      <c r="O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</row>
    <row r="742">
      <c r="O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</row>
    <row r="743">
      <c r="O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</row>
    <row r="744">
      <c r="O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</row>
    <row r="745">
      <c r="O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</row>
    <row r="746">
      <c r="O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</row>
    <row r="747">
      <c r="O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</row>
    <row r="748">
      <c r="O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</row>
    <row r="749">
      <c r="O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  <c r="AI749" s="230"/>
    </row>
    <row r="750">
      <c r="O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  <c r="AI750" s="230"/>
    </row>
    <row r="751">
      <c r="O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  <c r="AI751" s="230"/>
    </row>
    <row r="752">
      <c r="O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  <c r="AI752" s="230"/>
    </row>
    <row r="753">
      <c r="O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  <c r="AI753" s="230"/>
    </row>
    <row r="754">
      <c r="O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  <c r="AI754" s="230"/>
    </row>
    <row r="755">
      <c r="O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  <c r="AI755" s="230"/>
    </row>
    <row r="756">
      <c r="O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  <c r="AI756" s="230"/>
    </row>
    <row r="757">
      <c r="O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  <c r="AI757" s="230"/>
    </row>
    <row r="758">
      <c r="O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  <c r="AI758" s="230"/>
    </row>
    <row r="759">
      <c r="O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  <c r="AI759" s="230"/>
    </row>
    <row r="760">
      <c r="O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  <c r="AI760" s="230"/>
    </row>
    <row r="761">
      <c r="O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  <c r="AI761" s="230"/>
    </row>
    <row r="762">
      <c r="O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  <c r="AI762" s="230"/>
    </row>
    <row r="763">
      <c r="O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  <c r="AI763" s="230"/>
    </row>
    <row r="764">
      <c r="O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  <c r="AI764" s="230"/>
    </row>
    <row r="765">
      <c r="O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  <c r="AI765" s="230"/>
    </row>
    <row r="766">
      <c r="O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  <c r="AI766" s="230"/>
    </row>
    <row r="767">
      <c r="O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  <c r="AI767" s="230"/>
    </row>
    <row r="768">
      <c r="O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  <c r="AI768" s="230"/>
    </row>
    <row r="769">
      <c r="O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  <c r="AI769" s="230"/>
    </row>
    <row r="770">
      <c r="O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  <c r="AI770" s="230"/>
    </row>
    <row r="771">
      <c r="O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  <c r="AI771" s="230"/>
    </row>
    <row r="772">
      <c r="O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  <c r="AI772" s="230"/>
    </row>
    <row r="773">
      <c r="O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  <c r="AI773" s="230"/>
    </row>
    <row r="774">
      <c r="O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  <c r="AI774" s="230"/>
    </row>
    <row r="775">
      <c r="O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  <c r="AI775" s="230"/>
    </row>
    <row r="776">
      <c r="O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  <c r="AI776" s="230"/>
    </row>
    <row r="777">
      <c r="O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  <c r="AI777" s="230"/>
    </row>
    <row r="778">
      <c r="O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  <c r="AI778" s="230"/>
    </row>
    <row r="779">
      <c r="O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  <c r="AI779" s="230"/>
    </row>
    <row r="780">
      <c r="O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  <c r="AI780" s="230"/>
    </row>
    <row r="781">
      <c r="O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  <c r="AI781" s="230"/>
    </row>
    <row r="782">
      <c r="O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  <c r="AI782" s="230"/>
    </row>
    <row r="783">
      <c r="O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</row>
    <row r="784">
      <c r="O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  <c r="AI784" s="230"/>
    </row>
    <row r="785">
      <c r="O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  <c r="AI785" s="230"/>
    </row>
    <row r="786">
      <c r="O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  <c r="AI786" s="230"/>
    </row>
    <row r="787">
      <c r="O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  <c r="AI787" s="230"/>
    </row>
    <row r="788">
      <c r="O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  <c r="AI788" s="230"/>
    </row>
    <row r="789">
      <c r="O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  <c r="AI789" s="230"/>
    </row>
    <row r="790">
      <c r="O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  <c r="AI790" s="230"/>
    </row>
    <row r="791">
      <c r="O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</row>
    <row r="792">
      <c r="O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  <c r="AI792" s="230"/>
    </row>
    <row r="793">
      <c r="O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  <c r="AI793" s="230"/>
    </row>
    <row r="794">
      <c r="O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  <c r="AI794" s="230"/>
    </row>
    <row r="795">
      <c r="O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  <c r="AI795" s="230"/>
    </row>
    <row r="796">
      <c r="O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  <c r="AI796" s="230"/>
    </row>
    <row r="797">
      <c r="O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  <c r="AI797" s="230"/>
    </row>
    <row r="798">
      <c r="O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  <c r="AI798" s="230"/>
    </row>
    <row r="799">
      <c r="O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  <c r="AI799" s="230"/>
    </row>
    <row r="800">
      <c r="O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  <c r="AI800" s="230"/>
    </row>
    <row r="801">
      <c r="O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  <c r="AI801" s="230"/>
    </row>
    <row r="802">
      <c r="O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  <c r="AI802" s="230"/>
    </row>
    <row r="803">
      <c r="O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  <c r="AI803" s="230"/>
    </row>
    <row r="804">
      <c r="O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  <c r="AI804" s="230"/>
    </row>
    <row r="805">
      <c r="O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  <c r="AI805" s="230"/>
    </row>
    <row r="806">
      <c r="O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  <c r="AI806" s="230"/>
    </row>
    <row r="807">
      <c r="O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  <c r="AI807" s="230"/>
    </row>
    <row r="808">
      <c r="O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  <c r="AI808" s="230"/>
    </row>
    <row r="809">
      <c r="O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  <c r="AI809" s="230"/>
    </row>
    <row r="810">
      <c r="O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  <c r="AI810" s="230"/>
    </row>
    <row r="811">
      <c r="O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  <c r="AI811" s="230"/>
    </row>
    <row r="812">
      <c r="O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  <c r="AI812" s="230"/>
    </row>
    <row r="813">
      <c r="O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  <c r="AI813" s="230"/>
    </row>
    <row r="814">
      <c r="O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  <c r="AI814" s="230"/>
    </row>
    <row r="815">
      <c r="O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  <c r="AI815" s="230"/>
    </row>
    <row r="816">
      <c r="O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  <c r="AI816" s="230"/>
    </row>
    <row r="817">
      <c r="O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  <c r="AI817" s="230"/>
    </row>
    <row r="818">
      <c r="O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  <c r="AI818" s="230"/>
    </row>
    <row r="819">
      <c r="O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  <c r="AI819" s="230"/>
    </row>
    <row r="820">
      <c r="O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  <c r="AI820" s="230"/>
    </row>
    <row r="821">
      <c r="O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  <c r="AI821" s="230"/>
    </row>
    <row r="822">
      <c r="O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  <c r="AI822" s="230"/>
    </row>
    <row r="823">
      <c r="O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  <c r="AI823" s="230"/>
    </row>
    <row r="824">
      <c r="O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  <c r="AI824" s="230"/>
    </row>
    <row r="825">
      <c r="O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  <c r="AI825" s="230"/>
    </row>
    <row r="826">
      <c r="O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  <c r="AI826" s="230"/>
    </row>
    <row r="827">
      <c r="O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  <c r="AI827" s="230"/>
    </row>
    <row r="828">
      <c r="O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  <c r="AI828" s="230"/>
    </row>
    <row r="829">
      <c r="O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  <c r="AI829" s="230"/>
    </row>
    <row r="830">
      <c r="O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  <c r="AI830" s="230"/>
    </row>
    <row r="831">
      <c r="O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</row>
    <row r="832">
      <c r="O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  <c r="AI832" s="230"/>
    </row>
    <row r="833">
      <c r="O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  <c r="AI833" s="230"/>
    </row>
    <row r="834">
      <c r="O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  <c r="AI834" s="230"/>
    </row>
    <row r="835">
      <c r="O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  <c r="AI835" s="230"/>
    </row>
    <row r="836">
      <c r="O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  <c r="AI836" s="230"/>
    </row>
    <row r="837">
      <c r="O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  <c r="AI837" s="230"/>
    </row>
    <row r="838">
      <c r="O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  <c r="AI838" s="230"/>
    </row>
    <row r="839">
      <c r="O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  <c r="AI839" s="230"/>
    </row>
    <row r="840">
      <c r="O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  <c r="AI840" s="230"/>
    </row>
    <row r="841">
      <c r="O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  <c r="AI841" s="230"/>
    </row>
    <row r="842">
      <c r="O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  <c r="AI842" s="230"/>
    </row>
    <row r="843">
      <c r="O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  <c r="AI843" s="230"/>
    </row>
    <row r="844">
      <c r="O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  <c r="AI844" s="230"/>
    </row>
    <row r="845">
      <c r="O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  <c r="AI845" s="230"/>
    </row>
    <row r="846">
      <c r="O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  <c r="AI846" s="230"/>
    </row>
    <row r="847">
      <c r="O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  <c r="AI847" s="230"/>
    </row>
    <row r="848">
      <c r="O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  <c r="AI848" s="230"/>
    </row>
    <row r="849">
      <c r="O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  <c r="AI849" s="230"/>
    </row>
    <row r="850">
      <c r="O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  <c r="AI850" s="230"/>
    </row>
    <row r="851">
      <c r="O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  <c r="AI851" s="230"/>
    </row>
    <row r="852">
      <c r="O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  <c r="AI852" s="230"/>
    </row>
    <row r="853">
      <c r="O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  <c r="AI853" s="230"/>
    </row>
    <row r="854">
      <c r="O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  <c r="AI854" s="230"/>
    </row>
    <row r="855">
      <c r="O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  <c r="AI855" s="230"/>
    </row>
    <row r="856">
      <c r="O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  <c r="AI856" s="230"/>
    </row>
    <row r="857">
      <c r="O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  <c r="AI857" s="230"/>
    </row>
    <row r="858">
      <c r="O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  <c r="AI858" s="230"/>
    </row>
    <row r="859">
      <c r="O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  <c r="AI859" s="230"/>
    </row>
    <row r="860">
      <c r="O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  <c r="AI860" s="230"/>
    </row>
    <row r="861">
      <c r="O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  <c r="AI861" s="230"/>
    </row>
    <row r="862">
      <c r="O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  <c r="AI862" s="230"/>
    </row>
    <row r="863">
      <c r="O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  <c r="AI863" s="230"/>
    </row>
    <row r="864">
      <c r="O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  <c r="AI864" s="230"/>
    </row>
    <row r="865">
      <c r="O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  <c r="AI865" s="230"/>
    </row>
    <row r="866">
      <c r="O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  <c r="AI866" s="230"/>
    </row>
    <row r="867">
      <c r="O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  <c r="AI867" s="230"/>
    </row>
    <row r="868">
      <c r="O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  <c r="AI868" s="230"/>
    </row>
    <row r="869">
      <c r="O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  <c r="AI869" s="230"/>
    </row>
    <row r="870">
      <c r="O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  <c r="AI870" s="230"/>
    </row>
    <row r="871">
      <c r="O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  <c r="AI871" s="230"/>
    </row>
    <row r="872">
      <c r="O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  <c r="AI872" s="230"/>
    </row>
    <row r="873">
      <c r="O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  <c r="AI873" s="230"/>
    </row>
    <row r="874">
      <c r="O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  <c r="AI874" s="230"/>
    </row>
    <row r="875">
      <c r="O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  <c r="AI875" s="230"/>
    </row>
    <row r="876">
      <c r="O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  <c r="AI876" s="230"/>
    </row>
    <row r="877">
      <c r="O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  <c r="AI877" s="230"/>
    </row>
    <row r="878">
      <c r="O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  <c r="AI878" s="230"/>
    </row>
    <row r="879">
      <c r="O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  <c r="AI879" s="230"/>
    </row>
    <row r="880">
      <c r="O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  <c r="AI880" s="230"/>
    </row>
    <row r="881">
      <c r="O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  <c r="AI881" s="230"/>
    </row>
    <row r="882">
      <c r="O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  <c r="AI882" s="230"/>
    </row>
    <row r="883">
      <c r="O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  <c r="AI883" s="230"/>
    </row>
    <row r="884">
      <c r="O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  <c r="AI884" s="230"/>
    </row>
    <row r="885">
      <c r="O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  <c r="AI885" s="230"/>
    </row>
    <row r="886">
      <c r="O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  <c r="AI886" s="230"/>
    </row>
    <row r="887">
      <c r="O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  <c r="AI887" s="230"/>
    </row>
    <row r="888">
      <c r="O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  <c r="AI888" s="230"/>
    </row>
    <row r="889">
      <c r="O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  <c r="AI889" s="230"/>
    </row>
    <row r="890">
      <c r="O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  <c r="AI890" s="230"/>
    </row>
    <row r="891">
      <c r="O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  <c r="AI891" s="230"/>
    </row>
    <row r="892">
      <c r="O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  <c r="AI892" s="230"/>
    </row>
    <row r="893">
      <c r="O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  <c r="AI893" s="230"/>
    </row>
    <row r="894">
      <c r="O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  <c r="AI894" s="230"/>
    </row>
    <row r="895">
      <c r="O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  <c r="AI895" s="230"/>
    </row>
    <row r="896">
      <c r="O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  <c r="AI896" s="230"/>
    </row>
    <row r="897">
      <c r="O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  <c r="AI897" s="230"/>
    </row>
    <row r="898">
      <c r="O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  <c r="AI898" s="230"/>
    </row>
    <row r="899">
      <c r="O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  <c r="AI899" s="230"/>
    </row>
    <row r="900">
      <c r="O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  <c r="AI900" s="230"/>
    </row>
    <row r="901">
      <c r="O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  <c r="AI901" s="230"/>
    </row>
    <row r="902">
      <c r="O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  <c r="AI902" s="230"/>
    </row>
    <row r="903">
      <c r="O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  <c r="AI903" s="230"/>
    </row>
    <row r="904">
      <c r="O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  <c r="AI904" s="230"/>
    </row>
    <row r="905">
      <c r="O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  <c r="AI905" s="230"/>
    </row>
    <row r="906">
      <c r="O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  <c r="AI906" s="230"/>
    </row>
    <row r="907">
      <c r="O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  <c r="AI907" s="230"/>
    </row>
    <row r="908">
      <c r="O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  <c r="AI908" s="230"/>
    </row>
    <row r="909">
      <c r="O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  <c r="AI909" s="230"/>
    </row>
    <row r="910">
      <c r="O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  <c r="AI910" s="230"/>
    </row>
    <row r="911">
      <c r="O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  <c r="AI911" s="230"/>
    </row>
    <row r="912">
      <c r="O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  <c r="AI912" s="230"/>
    </row>
    <row r="913">
      <c r="O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  <c r="AI913" s="230"/>
    </row>
    <row r="914">
      <c r="O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  <c r="AI914" s="230"/>
    </row>
    <row r="915">
      <c r="O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  <c r="AI915" s="230"/>
    </row>
    <row r="916">
      <c r="O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  <c r="AI916" s="230"/>
    </row>
    <row r="917">
      <c r="O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  <c r="AI917" s="230"/>
    </row>
    <row r="918">
      <c r="O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  <c r="AI918" s="230"/>
    </row>
    <row r="919">
      <c r="O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  <c r="AI919" s="230"/>
    </row>
    <row r="920">
      <c r="O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  <c r="AI920" s="230"/>
    </row>
    <row r="921">
      <c r="O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  <c r="AI921" s="230"/>
    </row>
    <row r="922">
      <c r="O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  <c r="AI922" s="230"/>
    </row>
    <row r="923">
      <c r="O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</row>
    <row r="924">
      <c r="O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  <c r="AI924" s="230"/>
    </row>
    <row r="925">
      <c r="O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  <c r="AI925" s="230"/>
    </row>
    <row r="926">
      <c r="O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  <c r="AI926" s="230"/>
    </row>
    <row r="927">
      <c r="O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  <c r="AI927" s="230"/>
    </row>
    <row r="928">
      <c r="O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  <c r="AI928" s="230"/>
    </row>
    <row r="929">
      <c r="O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  <c r="AI929" s="230"/>
    </row>
    <row r="930">
      <c r="O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  <c r="AI930" s="230"/>
    </row>
    <row r="931">
      <c r="O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  <c r="AI931" s="230"/>
    </row>
    <row r="932">
      <c r="O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  <c r="AI932" s="230"/>
    </row>
    <row r="933">
      <c r="O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</row>
    <row r="934">
      <c r="O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</row>
    <row r="935">
      <c r="O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</row>
    <row r="936">
      <c r="O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</row>
    <row r="937">
      <c r="O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</row>
    <row r="938">
      <c r="O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</row>
    <row r="939">
      <c r="O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</row>
    <row r="940">
      <c r="O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</row>
    <row r="941">
      <c r="O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</row>
    <row r="942">
      <c r="O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</row>
    <row r="943">
      <c r="O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</row>
    <row r="944">
      <c r="O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</row>
    <row r="945">
      <c r="O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</row>
    <row r="946">
      <c r="O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</row>
    <row r="947">
      <c r="O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</row>
    <row r="948">
      <c r="O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  <c r="AI948" s="230"/>
    </row>
    <row r="949">
      <c r="O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  <c r="AI949" s="230"/>
    </row>
    <row r="950">
      <c r="O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  <c r="AI950" s="230"/>
    </row>
    <row r="951">
      <c r="O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  <c r="AI951" s="230"/>
    </row>
    <row r="952">
      <c r="O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  <c r="AI952" s="230"/>
    </row>
    <row r="953">
      <c r="O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  <c r="AI953" s="230"/>
    </row>
    <row r="954">
      <c r="O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  <c r="AI954" s="230"/>
    </row>
    <row r="955">
      <c r="O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  <c r="AI955" s="230"/>
    </row>
    <row r="956">
      <c r="O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  <c r="AI956" s="230"/>
    </row>
    <row r="957">
      <c r="O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  <c r="AI957" s="230"/>
    </row>
    <row r="958">
      <c r="O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  <c r="AI958" s="230"/>
    </row>
    <row r="959">
      <c r="O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  <c r="AI959" s="230"/>
    </row>
    <row r="960">
      <c r="O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  <c r="AI960" s="230"/>
    </row>
    <row r="961">
      <c r="O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  <c r="AI961" s="230"/>
    </row>
    <row r="962">
      <c r="O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  <c r="AI962" s="230"/>
    </row>
    <row r="963">
      <c r="O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  <c r="AI963" s="230"/>
    </row>
    <row r="964">
      <c r="O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  <c r="AI964" s="230"/>
    </row>
    <row r="965">
      <c r="O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  <c r="AI965" s="230"/>
    </row>
    <row r="966">
      <c r="O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  <c r="AI966" s="230"/>
    </row>
    <row r="967">
      <c r="O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  <c r="AI967" s="230"/>
    </row>
    <row r="968">
      <c r="O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  <c r="AI968" s="230"/>
    </row>
    <row r="969">
      <c r="O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  <c r="AI969" s="230"/>
    </row>
    <row r="970">
      <c r="O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  <c r="AI970" s="230"/>
    </row>
    <row r="971">
      <c r="O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  <c r="AI971" s="230"/>
    </row>
    <row r="972">
      <c r="O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  <c r="AI972" s="230"/>
    </row>
    <row r="973">
      <c r="O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  <c r="AI973" s="230"/>
    </row>
    <row r="974">
      <c r="O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  <c r="AI974" s="230"/>
    </row>
    <row r="975">
      <c r="O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  <c r="AI975" s="230"/>
    </row>
    <row r="976">
      <c r="O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  <c r="AI976" s="230"/>
    </row>
    <row r="977">
      <c r="O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  <c r="AI977" s="230"/>
    </row>
    <row r="978">
      <c r="O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  <c r="AI978" s="230"/>
    </row>
    <row r="979">
      <c r="O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  <c r="AI979" s="230"/>
    </row>
    <row r="980">
      <c r="O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  <c r="AI980" s="230"/>
    </row>
    <row r="981">
      <c r="O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  <c r="AI981" s="230"/>
    </row>
    <row r="982">
      <c r="O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  <c r="AI982" s="230"/>
    </row>
    <row r="983">
      <c r="O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  <c r="AI983" s="230"/>
    </row>
    <row r="984">
      <c r="O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  <c r="AI984" s="230"/>
    </row>
    <row r="985">
      <c r="O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  <c r="AI985" s="230"/>
    </row>
    <row r="986">
      <c r="O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  <c r="AI986" s="230"/>
    </row>
    <row r="987">
      <c r="O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  <c r="AI987" s="230"/>
    </row>
    <row r="988">
      <c r="O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  <c r="AI988" s="230"/>
    </row>
    <row r="989">
      <c r="O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  <c r="AI989" s="230"/>
    </row>
    <row r="990">
      <c r="O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  <c r="AI990" s="230"/>
    </row>
    <row r="991">
      <c r="O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  <c r="AI991" s="230"/>
    </row>
    <row r="992">
      <c r="O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  <c r="AI992" s="230"/>
    </row>
    <row r="993">
      <c r="O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  <c r="AI993" s="230"/>
    </row>
    <row r="994">
      <c r="O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  <c r="AI994" s="230"/>
    </row>
    <row r="995">
      <c r="O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  <c r="AI995" s="230"/>
    </row>
    <row r="996">
      <c r="O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  <c r="AI996" s="230"/>
    </row>
    <row r="997">
      <c r="O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  <c r="AI997" s="230"/>
    </row>
    <row r="998">
      <c r="O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  <c r="AI998" s="230"/>
    </row>
    <row r="999">
      <c r="O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  <c r="AI999" s="230"/>
    </row>
    <row r="1000">
      <c r="O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  <c r="AI1000" s="230"/>
    </row>
    <row r="1001">
      <c r="O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  <c r="AI1001" s="230"/>
    </row>
    <row r="1002">
      <c r="O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  <c r="AI1002" s="230"/>
    </row>
    <row r="1003">
      <c r="O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  <c r="AI1003" s="230"/>
    </row>
    <row r="1004">
      <c r="O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  <c r="AI1004" s="230"/>
    </row>
    <row r="1005">
      <c r="O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  <c r="AI1005" s="230"/>
    </row>
    <row r="1006">
      <c r="O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  <c r="AI1006" s="230"/>
    </row>
    <row r="1007">
      <c r="O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  <c r="AI1007" s="230"/>
    </row>
    <row r="1008">
      <c r="O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  <c r="AI1008" s="230"/>
    </row>
    <row r="1009">
      <c r="O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  <c r="AI1009" s="230"/>
    </row>
    <row r="1010">
      <c r="O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  <c r="AI1010" s="230"/>
    </row>
    <row r="1011">
      <c r="O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  <c r="AI1011" s="230"/>
    </row>
    <row r="1012">
      <c r="O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  <c r="AI1012" s="230"/>
    </row>
    <row r="1013">
      <c r="O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  <c r="AI1013" s="230"/>
    </row>
    <row r="1014">
      <c r="O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  <c r="AI1014" s="230"/>
    </row>
    <row r="1015">
      <c r="O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  <c r="AI1015" s="230"/>
    </row>
    <row r="1016">
      <c r="O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  <c r="AI1016" s="230"/>
    </row>
    <row r="1017">
      <c r="O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  <c r="AI1017" s="230"/>
    </row>
    <row r="1018">
      <c r="O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  <c r="AI1018" s="230"/>
    </row>
    <row r="1019">
      <c r="O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  <c r="AI1019" s="230"/>
    </row>
    <row r="1020">
      <c r="O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  <c r="AI1020" s="230"/>
    </row>
    <row r="1021">
      <c r="O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  <c r="AI1021" s="230"/>
    </row>
    <row r="1022">
      <c r="O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  <c r="AI1022" s="230"/>
    </row>
    <row r="1023">
      <c r="O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  <c r="AI1023" s="230"/>
    </row>
    <row r="1024">
      <c r="O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  <c r="AI1024" s="230"/>
    </row>
    <row r="1025">
      <c r="O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  <c r="AI1025" s="230"/>
    </row>
    <row r="1026">
      <c r="O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  <c r="AI1026" s="230"/>
    </row>
    <row r="1027">
      <c r="O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  <c r="AI1027" s="230"/>
    </row>
    <row r="1028">
      <c r="O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  <c r="AI1028" s="230"/>
    </row>
    <row r="1029">
      <c r="O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  <c r="AI1029" s="230"/>
    </row>
    <row r="1030">
      <c r="O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  <c r="AI1030" s="230"/>
    </row>
    <row r="1031">
      <c r="O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  <c r="AI1031" s="230"/>
    </row>
    <row r="1032">
      <c r="O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  <c r="AI1032" s="230"/>
    </row>
    <row r="1033">
      <c r="O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  <c r="AI1033" s="230"/>
    </row>
    <row r="1034">
      <c r="O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  <c r="AI1034" s="230"/>
    </row>
    <row r="1035">
      <c r="O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  <c r="AI1035" s="230"/>
    </row>
    <row r="1036">
      <c r="O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  <c r="AI1036" s="230"/>
    </row>
    <row r="1037">
      <c r="O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  <c r="AI1037" s="230"/>
    </row>
    <row r="1038">
      <c r="O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  <c r="AI1038" s="230"/>
    </row>
    <row r="1039">
      <c r="O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  <c r="AI1039" s="230"/>
    </row>
    <row r="1040">
      <c r="O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  <c r="AI1040" s="230"/>
    </row>
    <row r="1041">
      <c r="O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  <c r="AI1041" s="230"/>
    </row>
    <row r="1042">
      <c r="O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  <c r="AI1042" s="230"/>
    </row>
    <row r="1043">
      <c r="O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  <c r="AI1043" s="230"/>
    </row>
    <row r="1044">
      <c r="O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  <c r="AI1044" s="230"/>
    </row>
    <row r="1045">
      <c r="O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  <c r="AI1045" s="230"/>
    </row>
    <row r="1046">
      <c r="O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  <c r="AI1046" s="230"/>
    </row>
    <row r="1047">
      <c r="O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  <c r="AI1047" s="230"/>
    </row>
    <row r="1048">
      <c r="O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  <c r="AI1048" s="230"/>
    </row>
    <row r="1049">
      <c r="O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  <c r="AI1049" s="230"/>
    </row>
    <row r="1050">
      <c r="O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  <c r="AI1050" s="230"/>
    </row>
    <row r="1051">
      <c r="O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  <c r="AI1051" s="230"/>
    </row>
    <row r="1052">
      <c r="O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  <c r="AI1052" s="230"/>
    </row>
    <row r="1053">
      <c r="O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  <c r="AI1053" s="230"/>
    </row>
    <row r="1054">
      <c r="O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  <c r="AI1054" s="230"/>
    </row>
    <row r="1055">
      <c r="O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  <c r="AI1055" s="230"/>
    </row>
    <row r="1056">
      <c r="O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  <c r="AI1056" s="230"/>
    </row>
    <row r="1057">
      <c r="O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  <c r="AI1057" s="230"/>
    </row>
    <row r="1058">
      <c r="O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  <c r="AI1058" s="230"/>
    </row>
    <row r="1059">
      <c r="O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  <c r="AI1059" s="230"/>
    </row>
    <row r="1060">
      <c r="O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  <c r="AI1060" s="230"/>
    </row>
    <row r="1061">
      <c r="O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  <c r="AI1061" s="230"/>
    </row>
    <row r="1062">
      <c r="O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  <c r="AI1062" s="230"/>
    </row>
    <row r="1063">
      <c r="O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  <c r="AI1063" s="230"/>
    </row>
    <row r="1064">
      <c r="O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  <c r="AI1064" s="230"/>
    </row>
    <row r="1065">
      <c r="O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  <c r="AI1065" s="230"/>
    </row>
    <row r="1066">
      <c r="O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  <c r="AI1066" s="230"/>
    </row>
    <row r="1067">
      <c r="O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  <c r="AI1067" s="230"/>
    </row>
    <row r="1068">
      <c r="O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  <c r="AI1068" s="230"/>
    </row>
    <row r="1069">
      <c r="O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  <c r="AI1069" s="230"/>
    </row>
    <row r="1070">
      <c r="O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  <c r="AI1070" s="230"/>
    </row>
    <row r="1071">
      <c r="O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  <c r="AI1071" s="230"/>
    </row>
    <row r="1072">
      <c r="O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  <c r="AI1072" s="230"/>
    </row>
    <row r="1073">
      <c r="O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  <c r="AI1073" s="230"/>
    </row>
    <row r="1074">
      <c r="O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  <c r="AI1074" s="230"/>
    </row>
    <row r="1075">
      <c r="O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  <c r="AI1075" s="230"/>
    </row>
    <row r="1076">
      <c r="O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  <c r="AI1076" s="230"/>
    </row>
    <row r="1077">
      <c r="O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  <c r="AI1077" s="230"/>
    </row>
    <row r="1078">
      <c r="O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  <c r="AI1078" s="230"/>
    </row>
    <row r="1079">
      <c r="O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  <c r="AI1079" s="230"/>
    </row>
    <row r="1080">
      <c r="O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  <c r="AI1080" s="230"/>
    </row>
    <row r="1081">
      <c r="O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  <c r="AI1081" s="230"/>
    </row>
    <row r="1082">
      <c r="O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  <c r="AI1082" s="230"/>
    </row>
    <row r="1083">
      <c r="O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  <c r="AI1083" s="230"/>
    </row>
    <row r="1084">
      <c r="O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  <c r="AI1084" s="230"/>
    </row>
    <row r="1085">
      <c r="O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  <c r="AI1085" s="230"/>
    </row>
    <row r="1086">
      <c r="O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  <c r="AI1086" s="230"/>
    </row>
    <row r="1087">
      <c r="O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  <c r="AI1087" s="230"/>
    </row>
    <row r="1088">
      <c r="O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  <c r="AI1088" s="230"/>
    </row>
    <row r="1089">
      <c r="O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  <c r="AI1089" s="230"/>
    </row>
    <row r="1090">
      <c r="O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  <c r="AI1090" s="230"/>
    </row>
    <row r="1091">
      <c r="O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  <c r="AI1091" s="230"/>
    </row>
    <row r="1092">
      <c r="O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  <c r="AI1092" s="230"/>
    </row>
    <row r="1093">
      <c r="O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  <c r="AI1093" s="230"/>
    </row>
    <row r="1094">
      <c r="O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  <c r="AI1094" s="230"/>
    </row>
    <row r="1095">
      <c r="O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  <c r="AI1095" s="230"/>
    </row>
    <row r="1096">
      <c r="O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  <c r="AI1096" s="230"/>
    </row>
    <row r="1097">
      <c r="O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  <c r="AI1097" s="230"/>
    </row>
    <row r="1098">
      <c r="O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  <c r="AI1098" s="230"/>
    </row>
    <row r="1099">
      <c r="O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  <c r="AI1099" s="230"/>
    </row>
    <row r="1100">
      <c r="O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  <c r="AI1100" s="230"/>
    </row>
    <row r="1101">
      <c r="O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  <c r="AI1101" s="230"/>
    </row>
    <row r="1102">
      <c r="O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  <c r="AI1102" s="230"/>
    </row>
    <row r="1103">
      <c r="O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  <c r="AI1103" s="230"/>
    </row>
    <row r="1104">
      <c r="O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  <c r="AI1104" s="230"/>
    </row>
    <row r="1105">
      <c r="O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  <c r="AI1105" s="230"/>
    </row>
    <row r="1106">
      <c r="O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  <c r="AI1106" s="230"/>
    </row>
    <row r="1107">
      <c r="O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  <c r="AI1107" s="230"/>
    </row>
    <row r="1108">
      <c r="O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  <c r="AI1108" s="230"/>
    </row>
    <row r="1109">
      <c r="O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  <c r="AI1109" s="230"/>
    </row>
    <row r="1110">
      <c r="O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  <c r="AI1110" s="230"/>
    </row>
    <row r="1111">
      <c r="O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  <c r="AI1111" s="230"/>
    </row>
    <row r="1112">
      <c r="O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  <c r="AI1112" s="230"/>
    </row>
    <row r="1113">
      <c r="O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  <c r="AI1113" s="230"/>
    </row>
    <row r="1114">
      <c r="O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  <c r="AI1114" s="230"/>
    </row>
    <row r="1115">
      <c r="O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  <c r="AI1115" s="230"/>
    </row>
    <row r="1116">
      <c r="O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  <c r="AI1116" s="230"/>
    </row>
    <row r="1117">
      <c r="O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  <c r="AI1117" s="230"/>
    </row>
    <row r="1118">
      <c r="O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  <c r="AI1118" s="230"/>
    </row>
    <row r="1119">
      <c r="O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  <c r="AI1119" s="230"/>
    </row>
    <row r="1120">
      <c r="O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  <c r="AI1120" s="230"/>
    </row>
    <row r="1121">
      <c r="O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  <c r="AI1121" s="230"/>
    </row>
    <row r="1122">
      <c r="O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  <c r="AI1122" s="230"/>
    </row>
    <row r="1123">
      <c r="O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  <c r="AI1123" s="230"/>
    </row>
    <row r="1124">
      <c r="O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  <c r="AI1124" s="230"/>
    </row>
    <row r="1125">
      <c r="O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  <c r="AI1125" s="230"/>
    </row>
    <row r="1126">
      <c r="O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  <c r="AI1126" s="230"/>
    </row>
    <row r="1127">
      <c r="O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  <c r="AI1127" s="230"/>
    </row>
    <row r="1128">
      <c r="O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  <c r="AI1128" s="230"/>
    </row>
    <row r="1129">
      <c r="O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  <c r="AI1129" s="230"/>
    </row>
    <row r="1130">
      <c r="O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  <c r="AI1130" s="230"/>
    </row>
    <row r="1131">
      <c r="O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  <c r="AI1131" s="230"/>
    </row>
    <row r="1132">
      <c r="O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  <c r="AI1132" s="230"/>
    </row>
    <row r="1133">
      <c r="O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  <c r="AI1133" s="230"/>
    </row>
    <row r="1134">
      <c r="O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  <c r="AI1134" s="230"/>
    </row>
    <row r="1135">
      <c r="O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  <c r="AI1135" s="230"/>
    </row>
    <row r="1136">
      <c r="O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  <c r="AI1136" s="230"/>
    </row>
    <row r="1137">
      <c r="O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  <c r="AI1137" s="230"/>
    </row>
    <row r="1138">
      <c r="O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  <c r="AI1138" s="230"/>
    </row>
    <row r="1139">
      <c r="O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  <c r="AI1139" s="230"/>
    </row>
    <row r="1140">
      <c r="O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  <c r="AI1140" s="230"/>
    </row>
    <row r="1141">
      <c r="O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  <c r="AI1141" s="230"/>
    </row>
    <row r="1142">
      <c r="O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  <c r="AI1142" s="230"/>
    </row>
    <row r="1143">
      <c r="O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  <c r="AI1143" s="230"/>
    </row>
    <row r="1144">
      <c r="O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  <c r="AI1144" s="230"/>
    </row>
    <row r="1145">
      <c r="O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  <c r="AI1145" s="230"/>
    </row>
    <row r="1146">
      <c r="O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  <c r="AI1146" s="230"/>
    </row>
    <row r="1147">
      <c r="O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  <c r="AI1147" s="230"/>
    </row>
    <row r="1148">
      <c r="O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  <c r="AI1148" s="230"/>
    </row>
    <row r="1149">
      <c r="O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  <c r="AI1149" s="230"/>
    </row>
    <row r="1150">
      <c r="O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  <c r="AI1150" s="230"/>
    </row>
    <row r="1151">
      <c r="O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  <c r="AI1151" s="230"/>
    </row>
    <row r="1152">
      <c r="O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  <c r="AI1152" s="230"/>
    </row>
    <row r="1153">
      <c r="O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  <c r="AI1153" s="230"/>
    </row>
    <row r="1154">
      <c r="O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  <c r="AI1154" s="230"/>
    </row>
    <row r="1155">
      <c r="O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  <c r="AI1155" s="230"/>
    </row>
    <row r="1156">
      <c r="O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  <c r="AI1156" s="230"/>
    </row>
    <row r="1157">
      <c r="O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  <c r="AI1157" s="230"/>
    </row>
    <row r="1158">
      <c r="O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  <c r="AI1158" s="230"/>
    </row>
    <row r="1159">
      <c r="O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  <c r="AI1159" s="230"/>
    </row>
    <row r="1160">
      <c r="O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  <c r="AI1160" s="230"/>
    </row>
    <row r="1161">
      <c r="O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  <c r="AI1161" s="230"/>
    </row>
    <row r="1162">
      <c r="O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  <c r="AI1162" s="230"/>
    </row>
    <row r="1163">
      <c r="O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  <c r="AI1163" s="230"/>
    </row>
    <row r="1164">
      <c r="O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  <c r="AI1164" s="230"/>
    </row>
    <row r="1165">
      <c r="O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  <c r="AI1165" s="230"/>
    </row>
    <row r="1166">
      <c r="O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  <c r="AI1166" s="230"/>
    </row>
    <row r="1167">
      <c r="O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  <c r="AI1167" s="230"/>
    </row>
    <row r="1168">
      <c r="O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  <c r="AI1168" s="230"/>
    </row>
    <row r="1169">
      <c r="O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  <c r="AI1169" s="230"/>
    </row>
    <row r="1170">
      <c r="O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  <c r="AI1170" s="230"/>
    </row>
    <row r="1171">
      <c r="O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  <c r="AI1171" s="230"/>
    </row>
    <row r="1172">
      <c r="O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  <c r="AI1172" s="230"/>
    </row>
    <row r="1173">
      <c r="O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  <c r="AI1173" s="230"/>
    </row>
    <row r="1174">
      <c r="O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  <c r="AI1174" s="230"/>
    </row>
    <row r="1175">
      <c r="O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  <c r="AI1175" s="230"/>
    </row>
    <row r="1176">
      <c r="O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  <c r="AI1176" s="230"/>
    </row>
    <row r="1177">
      <c r="O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  <c r="AI1177" s="230"/>
    </row>
    <row r="1178">
      <c r="O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  <c r="AI1178" s="230"/>
    </row>
    <row r="1179">
      <c r="O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  <c r="AI1179" s="230"/>
    </row>
    <row r="1180">
      <c r="O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  <c r="AI1180" s="230"/>
    </row>
    <row r="1181">
      <c r="O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  <c r="AI1181" s="230"/>
    </row>
    <row r="1182">
      <c r="O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  <c r="AI1182" s="230"/>
    </row>
    <row r="1183">
      <c r="O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  <c r="AI1183" s="230"/>
    </row>
    <row r="1184">
      <c r="O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  <c r="AI1184" s="230"/>
    </row>
    <row r="1185">
      <c r="O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  <c r="AI1185" s="230"/>
    </row>
    <row r="1186">
      <c r="O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  <c r="AI1186" s="230"/>
    </row>
    <row r="1187">
      <c r="O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  <c r="AI1187" s="230"/>
    </row>
    <row r="1188">
      <c r="O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  <c r="AI1188" s="230"/>
    </row>
    <row r="1189">
      <c r="O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  <c r="AI1189" s="230"/>
    </row>
    <row r="1190">
      <c r="O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  <c r="AI1190" s="230"/>
    </row>
    <row r="1191">
      <c r="O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  <c r="AI1191" s="230"/>
    </row>
    <row r="1192">
      <c r="O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  <c r="AI1192" s="230"/>
    </row>
    <row r="1193">
      <c r="O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  <c r="AI1193" s="230"/>
    </row>
    <row r="1194">
      <c r="O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  <c r="AI1194" s="230"/>
    </row>
    <row r="1195">
      <c r="O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  <c r="AI1195" s="230"/>
    </row>
    <row r="1196">
      <c r="O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  <c r="AI1196" s="230"/>
    </row>
    <row r="1197">
      <c r="O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  <c r="AI1197" s="230"/>
    </row>
    <row r="1198">
      <c r="O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  <c r="AI1198" s="230"/>
    </row>
    <row r="1199">
      <c r="O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  <c r="AI1199" s="230"/>
    </row>
    <row r="1200">
      <c r="O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  <c r="AI1200" s="230"/>
    </row>
    <row r="1201">
      <c r="O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  <c r="AI1201" s="230"/>
    </row>
    <row r="1202">
      <c r="O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  <c r="AI1202" s="230"/>
    </row>
    <row r="1203">
      <c r="O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  <c r="AI1203" s="230"/>
    </row>
    <row r="1204">
      <c r="O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  <c r="AI1204" s="230"/>
    </row>
    <row r="1205">
      <c r="O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  <c r="AI1205" s="230"/>
    </row>
    <row r="1206">
      <c r="O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  <c r="AI1206" s="230"/>
    </row>
    <row r="1207">
      <c r="O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  <c r="AI1207" s="230"/>
    </row>
    <row r="1208">
      <c r="O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  <c r="AI1208" s="230"/>
    </row>
    <row r="1209">
      <c r="O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  <c r="AI1209" s="230"/>
    </row>
    <row r="1210">
      <c r="O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  <c r="AI1210" s="230"/>
    </row>
    <row r="1211">
      <c r="O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  <c r="AI1211" s="230"/>
    </row>
    <row r="1212">
      <c r="O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  <c r="AI1212" s="230"/>
    </row>
    <row r="1213">
      <c r="O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  <c r="AI1213" s="230"/>
    </row>
    <row r="1214">
      <c r="O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  <c r="AI1214" s="230"/>
    </row>
    <row r="1215">
      <c r="O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  <c r="AI1215" s="230"/>
    </row>
    <row r="1216">
      <c r="O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  <c r="AI1216" s="230"/>
    </row>
    <row r="1217">
      <c r="O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  <c r="AI1217" s="230"/>
    </row>
    <row r="1218">
      <c r="O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  <c r="AI1218" s="230"/>
    </row>
    <row r="1219">
      <c r="O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  <c r="AI1219" s="230"/>
    </row>
    <row r="1220">
      <c r="O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  <c r="AI1220" s="230"/>
    </row>
    <row r="1221">
      <c r="O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  <c r="AI1221" s="230"/>
    </row>
    <row r="1222">
      <c r="O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  <c r="AI1222" s="230"/>
    </row>
    <row r="1223">
      <c r="O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  <c r="AI1223" s="230"/>
    </row>
    <row r="1224">
      <c r="O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  <c r="AI1224" s="230"/>
    </row>
    <row r="1225">
      <c r="O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  <c r="AI1225" s="230"/>
    </row>
    <row r="1226">
      <c r="O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  <c r="AI1226" s="230"/>
    </row>
    <row r="1227">
      <c r="O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  <c r="AI1227" s="230"/>
    </row>
    <row r="1228">
      <c r="O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  <c r="AI1228" s="230"/>
    </row>
    <row r="1229">
      <c r="O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  <c r="AI1229" s="230"/>
    </row>
    <row r="1230">
      <c r="O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  <c r="AI1230" s="230"/>
    </row>
    <row r="1231">
      <c r="O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  <c r="AI1231" s="230"/>
    </row>
    <row r="1232">
      <c r="O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  <c r="AI1232" s="230"/>
    </row>
    <row r="1233">
      <c r="O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  <c r="AI1233" s="230"/>
    </row>
    <row r="1234">
      <c r="O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  <c r="AI1234" s="230"/>
    </row>
    <row r="1235">
      <c r="O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  <c r="AI1235" s="230"/>
    </row>
    <row r="1236">
      <c r="O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  <c r="AI1236" s="230"/>
    </row>
    <row r="1237">
      <c r="O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  <c r="AI1237" s="230"/>
    </row>
    <row r="1238">
      <c r="O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  <c r="AI1238" s="230"/>
    </row>
    <row r="1239">
      <c r="O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  <c r="AI1239" s="230"/>
    </row>
    <row r="1240">
      <c r="O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  <c r="AI1240" s="230"/>
    </row>
    <row r="1241">
      <c r="O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  <c r="AI1241" s="230"/>
    </row>
    <row r="1242">
      <c r="O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  <c r="AI1242" s="230"/>
    </row>
    <row r="1243">
      <c r="O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  <c r="AI1243" s="230"/>
    </row>
    <row r="1244">
      <c r="O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  <c r="AI1244" s="230"/>
    </row>
    <row r="1245">
      <c r="O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  <c r="AI1245" s="230"/>
    </row>
    <row r="1246">
      <c r="O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  <c r="AI1246" s="230"/>
    </row>
    <row r="1247">
      <c r="O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  <c r="AI1247" s="230"/>
    </row>
    <row r="1248">
      <c r="O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  <c r="AI1248" s="230"/>
    </row>
    <row r="1249">
      <c r="O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  <c r="AI1249" s="230"/>
    </row>
    <row r="1250">
      <c r="O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  <c r="AI1250" s="230"/>
    </row>
    <row r="1251">
      <c r="O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  <c r="AI1251" s="230"/>
    </row>
    <row r="1252">
      <c r="O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  <c r="AI1252" s="230"/>
    </row>
    <row r="1253">
      <c r="O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  <c r="AI1253" s="230"/>
    </row>
    <row r="1254">
      <c r="O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  <c r="AI1254" s="230"/>
    </row>
    <row r="1255">
      <c r="O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  <c r="AI1255" s="230"/>
    </row>
    <row r="1256">
      <c r="O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  <c r="AI1256" s="230"/>
    </row>
    <row r="1257">
      <c r="O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  <c r="AI1257" s="230"/>
    </row>
    <row r="1258">
      <c r="O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  <c r="AI1258" s="230"/>
    </row>
    <row r="1259">
      <c r="O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  <c r="AI1259" s="230"/>
    </row>
    <row r="1260">
      <c r="O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  <c r="AI1260" s="230"/>
    </row>
    <row r="1261">
      <c r="O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  <c r="AI1261" s="230"/>
    </row>
    <row r="1262">
      <c r="O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  <c r="AI1262" s="230"/>
    </row>
    <row r="1263">
      <c r="O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  <c r="AI1263" s="230"/>
    </row>
    <row r="1264">
      <c r="O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  <c r="AI1264" s="230"/>
    </row>
    <row r="1265">
      <c r="O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  <c r="AI1265" s="230"/>
    </row>
    <row r="1266">
      <c r="O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  <c r="AI1266" s="230"/>
    </row>
    <row r="1267">
      <c r="O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  <c r="AI1267" s="230"/>
    </row>
    <row r="1268">
      <c r="O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  <c r="AI1268" s="230"/>
    </row>
    <row r="1269">
      <c r="O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  <c r="AI1269" s="230"/>
    </row>
    <row r="1270">
      <c r="O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  <c r="AI1270" s="230"/>
    </row>
    <row r="1271">
      <c r="O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  <c r="AI1271" s="230"/>
    </row>
    <row r="1272">
      <c r="O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  <c r="AI1272" s="230"/>
    </row>
    <row r="1273">
      <c r="O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  <c r="AI1273" s="230"/>
    </row>
    <row r="1274">
      <c r="O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  <c r="AI1274" s="230"/>
    </row>
    <row r="1275">
      <c r="O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  <c r="AI1275" s="230"/>
    </row>
    <row r="1276">
      <c r="O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  <c r="AI1276" s="230"/>
    </row>
    <row r="1277">
      <c r="O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  <c r="AI1277" s="230"/>
    </row>
    <row r="1278">
      <c r="O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  <c r="AI1278" s="230"/>
    </row>
    <row r="1279">
      <c r="O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  <c r="AI1279" s="230"/>
    </row>
    <row r="1280">
      <c r="O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  <c r="AI1280" s="230"/>
    </row>
    <row r="1281">
      <c r="O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  <c r="AI1281" s="230"/>
    </row>
    <row r="1282">
      <c r="O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  <c r="AI1282" s="230"/>
    </row>
    <row r="1283">
      <c r="O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  <c r="AI1283" s="230"/>
    </row>
    <row r="1284">
      <c r="O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  <c r="AI1284" s="230"/>
    </row>
    <row r="1285">
      <c r="O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  <c r="AI1285" s="230"/>
    </row>
    <row r="1286">
      <c r="O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  <c r="AI1286" s="230"/>
    </row>
    <row r="1287">
      <c r="O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  <c r="AI1287" s="230"/>
    </row>
    <row r="1288">
      <c r="O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  <c r="AI1288" s="230"/>
    </row>
    <row r="1289">
      <c r="O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  <c r="AI1289" s="230"/>
    </row>
    <row r="1290">
      <c r="O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  <c r="AI1290" s="230"/>
    </row>
    <row r="1291">
      <c r="O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  <c r="AI1291" s="230"/>
    </row>
    <row r="1292">
      <c r="O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  <c r="AI1292" s="230"/>
    </row>
    <row r="1293">
      <c r="O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  <c r="AI1293" s="230"/>
    </row>
    <row r="1294">
      <c r="O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  <c r="AI1294" s="230"/>
    </row>
    <row r="1295">
      <c r="O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  <c r="AI1295" s="230"/>
    </row>
    <row r="1296">
      <c r="O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  <c r="AI1296" s="230"/>
    </row>
    <row r="1297">
      <c r="O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  <c r="AI1297" s="230"/>
    </row>
    <row r="1298">
      <c r="O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  <c r="AI1298" s="230"/>
    </row>
    <row r="1299">
      <c r="O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  <c r="AI1299" s="230"/>
    </row>
    <row r="1300">
      <c r="O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  <c r="AI1300" s="230"/>
    </row>
    <row r="1301">
      <c r="O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  <c r="AI1301" s="230"/>
    </row>
    <row r="1302">
      <c r="O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  <c r="AI1302" s="230"/>
    </row>
    <row r="1303">
      <c r="O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  <c r="AI1303" s="230"/>
    </row>
    <row r="1304">
      <c r="O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  <c r="AI1304" s="230"/>
    </row>
    <row r="1305">
      <c r="O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  <c r="AI1305" s="230"/>
    </row>
    <row r="1306">
      <c r="O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  <c r="AI1306" s="230"/>
    </row>
    <row r="1307">
      <c r="O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  <c r="AI1307" s="230"/>
    </row>
    <row r="1308">
      <c r="O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  <c r="AI1308" s="230"/>
    </row>
    <row r="1309">
      <c r="O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  <c r="AI1309" s="230"/>
    </row>
    <row r="1310">
      <c r="O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  <c r="AI1310" s="230"/>
    </row>
    <row r="1311">
      <c r="O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  <c r="AI1311" s="230"/>
    </row>
    <row r="1312">
      <c r="O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  <c r="AI1312" s="230"/>
    </row>
    <row r="1313">
      <c r="O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  <c r="AI1313" s="230"/>
    </row>
    <row r="1314">
      <c r="O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  <c r="AI1314" s="230"/>
    </row>
    <row r="1315">
      <c r="O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  <c r="AI1315" s="230"/>
    </row>
    <row r="1316">
      <c r="O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  <c r="AI1316" s="230"/>
    </row>
    <row r="1317">
      <c r="O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  <c r="AI1317" s="230"/>
    </row>
    <row r="1318">
      <c r="O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  <c r="AI1318" s="230"/>
    </row>
    <row r="1319">
      <c r="O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  <c r="AI1319" s="230"/>
    </row>
    <row r="1320">
      <c r="O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  <c r="AI1320" s="230"/>
    </row>
    <row r="1321">
      <c r="O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  <c r="AI1321" s="230"/>
    </row>
    <row r="1322">
      <c r="O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  <c r="AI1322" s="230"/>
    </row>
    <row r="1323">
      <c r="O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  <c r="AI1323" s="230"/>
    </row>
    <row r="1324">
      <c r="O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  <c r="AI1324" s="230"/>
    </row>
    <row r="1325">
      <c r="O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  <c r="AI1325" s="230"/>
    </row>
    <row r="1326">
      <c r="O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  <c r="AI1326" s="230"/>
    </row>
    <row r="1327">
      <c r="O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  <c r="AI1327" s="230"/>
    </row>
    <row r="1328">
      <c r="O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  <c r="AI1328" s="230"/>
    </row>
    <row r="1329">
      <c r="O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  <c r="AI1329" s="230"/>
    </row>
    <row r="1330">
      <c r="O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  <c r="AI1330" s="230"/>
    </row>
    <row r="1331">
      <c r="O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  <c r="AI1331" s="230"/>
    </row>
    <row r="1332">
      <c r="O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  <c r="AI1332" s="230"/>
    </row>
    <row r="1333">
      <c r="O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  <c r="AI1333" s="230"/>
    </row>
    <row r="1334">
      <c r="O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  <c r="AI1334" s="230"/>
    </row>
    <row r="1335">
      <c r="O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  <c r="AI1335" s="230"/>
    </row>
    <row r="1336">
      <c r="O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  <c r="AI1336" s="230"/>
    </row>
    <row r="1337">
      <c r="O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  <c r="AI1337" s="230"/>
    </row>
    <row r="1338">
      <c r="O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  <c r="AI1338" s="230"/>
    </row>
    <row r="1339">
      <c r="O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  <c r="AI1339" s="230"/>
    </row>
    <row r="1340">
      <c r="O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  <c r="AI1340" s="230"/>
    </row>
    <row r="1341">
      <c r="O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  <c r="AI1341" s="230"/>
    </row>
    <row r="1342">
      <c r="O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  <c r="AI1342" s="230"/>
    </row>
    <row r="1343">
      <c r="O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  <c r="AI1343" s="230"/>
    </row>
    <row r="1344">
      <c r="O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  <c r="AI1344" s="230"/>
    </row>
    <row r="1345">
      <c r="O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  <c r="AI1345" s="230"/>
    </row>
    <row r="1346">
      <c r="O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  <c r="AI1346" s="230"/>
    </row>
    <row r="1347">
      <c r="O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  <c r="AI1347" s="230"/>
    </row>
    <row r="1348">
      <c r="O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  <c r="AI1348" s="230"/>
    </row>
    <row r="1349">
      <c r="O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  <c r="AI1349" s="230"/>
    </row>
    <row r="1350">
      <c r="O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  <c r="AI1350" s="230"/>
    </row>
    <row r="1351">
      <c r="O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  <c r="AI1351" s="230"/>
    </row>
    <row r="1352">
      <c r="O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  <c r="AI1352" s="230"/>
    </row>
    <row r="1353">
      <c r="O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  <c r="AI1353" s="230"/>
    </row>
    <row r="1354">
      <c r="O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  <c r="AI1354" s="230"/>
    </row>
    <row r="1355">
      <c r="O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  <c r="AI1355" s="230"/>
    </row>
    <row r="1356">
      <c r="O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  <c r="AI1356" s="230"/>
    </row>
    <row r="1357">
      <c r="O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  <c r="AI1357" s="230"/>
    </row>
    <row r="1358">
      <c r="O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  <c r="AI1358" s="230"/>
    </row>
    <row r="1359">
      <c r="O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  <c r="AI1359" s="230"/>
    </row>
    <row r="1360">
      <c r="O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  <c r="AI1360" s="230"/>
    </row>
    <row r="1361">
      <c r="O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  <c r="AI1361" s="230"/>
    </row>
    <row r="1362">
      <c r="O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  <c r="AI1362" s="230"/>
    </row>
    <row r="1363">
      <c r="O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  <c r="AI1363" s="230"/>
    </row>
    <row r="1364">
      <c r="O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  <c r="AI1364" s="230"/>
    </row>
    <row r="1365">
      <c r="O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  <c r="AI1365" s="230"/>
    </row>
    <row r="1366">
      <c r="O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  <c r="AI1366" s="230"/>
    </row>
    <row r="1367">
      <c r="O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  <c r="AI1367" s="230"/>
    </row>
    <row r="1368">
      <c r="O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  <c r="AI1368" s="230"/>
    </row>
    <row r="1369">
      <c r="O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  <c r="AI1369" s="230"/>
    </row>
    <row r="1370">
      <c r="O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  <c r="AI1370" s="230"/>
    </row>
    <row r="1371">
      <c r="O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  <c r="AI1371" s="230"/>
    </row>
    <row r="1372">
      <c r="O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  <c r="AI1372" s="230"/>
    </row>
    <row r="1373">
      <c r="O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  <c r="AI1373" s="230"/>
    </row>
    <row r="1374">
      <c r="O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  <c r="AI1374" s="230"/>
    </row>
    <row r="1375">
      <c r="O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  <c r="AI1375" s="230"/>
    </row>
    <row r="1376">
      <c r="O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  <c r="AI1376" s="230"/>
    </row>
    <row r="1377">
      <c r="O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  <c r="AI1377" s="230"/>
    </row>
    <row r="1378">
      <c r="O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  <c r="AI1378" s="230"/>
    </row>
    <row r="1379">
      <c r="O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  <c r="AI1379" s="230"/>
    </row>
    <row r="1380">
      <c r="O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  <c r="AI1380" s="230"/>
    </row>
    <row r="1381">
      <c r="O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  <c r="AI1381" s="230"/>
    </row>
    <row r="1382">
      <c r="O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  <c r="AI1382" s="230"/>
    </row>
    <row r="1383">
      <c r="O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  <c r="AI1383" s="230"/>
    </row>
    <row r="1384">
      <c r="O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  <c r="AI1384" s="230"/>
    </row>
    <row r="1385">
      <c r="O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  <c r="AI1385" s="230"/>
    </row>
    <row r="1386">
      <c r="O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  <c r="AI1386" s="230"/>
    </row>
    <row r="1387">
      <c r="O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  <c r="AI1387" s="230"/>
    </row>
    <row r="1388">
      <c r="O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  <c r="AI1388" s="230"/>
    </row>
    <row r="1389">
      <c r="O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  <c r="AI1389" s="230"/>
    </row>
    <row r="1390">
      <c r="O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  <c r="AI1390" s="230"/>
    </row>
    <row r="1391">
      <c r="O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  <c r="AI1391" s="230"/>
    </row>
    <row r="1392">
      <c r="O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  <c r="AI1392" s="230"/>
    </row>
    <row r="1393">
      <c r="O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  <c r="AI1393" s="230"/>
    </row>
    <row r="1394">
      <c r="O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  <c r="AI1394" s="230"/>
    </row>
    <row r="1395">
      <c r="O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  <c r="AI1395" s="230"/>
    </row>
    <row r="1396">
      <c r="O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  <c r="AI1396" s="230"/>
    </row>
    <row r="1397">
      <c r="O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  <c r="AI1397" s="230"/>
    </row>
    <row r="1398">
      <c r="O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  <c r="AI1398" s="230"/>
    </row>
    <row r="1399">
      <c r="O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  <c r="AI1399" s="230"/>
    </row>
    <row r="1400">
      <c r="O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  <c r="AI1400" s="230"/>
    </row>
    <row r="1401">
      <c r="O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  <c r="AI1401" s="230"/>
    </row>
    <row r="1402">
      <c r="O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  <c r="AI1402" s="230"/>
    </row>
    <row r="1403">
      <c r="O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  <c r="AI1403" s="230"/>
    </row>
    <row r="1404">
      <c r="O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  <c r="AI1404" s="230"/>
    </row>
    <row r="1405">
      <c r="O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  <c r="AI1405" s="230"/>
    </row>
    <row r="1406">
      <c r="O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  <c r="AI1406" s="230"/>
    </row>
    <row r="1407">
      <c r="O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  <c r="AI1407" s="230"/>
    </row>
    <row r="1408">
      <c r="O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  <c r="AI1408" s="230"/>
    </row>
    <row r="1409">
      <c r="O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  <c r="AI1409" s="230"/>
    </row>
    <row r="1410">
      <c r="O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  <c r="AI1410" s="230"/>
    </row>
    <row r="1411">
      <c r="O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  <c r="AI1411" s="230"/>
    </row>
    <row r="1412">
      <c r="O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  <c r="AI1412" s="230"/>
    </row>
    <row r="1413">
      <c r="O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  <c r="AI1413" s="230"/>
    </row>
    <row r="1414">
      <c r="O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  <c r="AI1414" s="230"/>
    </row>
    <row r="1415">
      <c r="O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  <c r="AI1415" s="230"/>
    </row>
    <row r="1416">
      <c r="O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  <c r="AI1416" s="230"/>
    </row>
    <row r="1417">
      <c r="O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  <c r="AI1417" s="230"/>
    </row>
    <row r="1418">
      <c r="O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  <c r="AI1418" s="230"/>
    </row>
    <row r="1419">
      <c r="O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  <c r="AI1419" s="230"/>
    </row>
    <row r="1420">
      <c r="O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  <c r="AI1420" s="230"/>
    </row>
    <row r="1421">
      <c r="O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  <c r="AI1421" s="230"/>
    </row>
    <row r="1422">
      <c r="O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  <c r="AI1422" s="230"/>
    </row>
    <row r="1423">
      <c r="O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  <c r="AI1423" s="230"/>
    </row>
    <row r="1424">
      <c r="O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  <c r="AI1424" s="230"/>
    </row>
    <row r="1425">
      <c r="O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  <c r="AI1425" s="230"/>
    </row>
    <row r="1426">
      <c r="O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  <c r="AI1426" s="230"/>
    </row>
    <row r="1427">
      <c r="O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  <c r="AI1427" s="230"/>
    </row>
    <row r="1428">
      <c r="O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  <c r="AI1428" s="230"/>
    </row>
    <row r="1429">
      <c r="O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  <c r="AI1429" s="230"/>
    </row>
    <row r="1430">
      <c r="O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  <c r="AI1430" s="230"/>
    </row>
    <row r="1431">
      <c r="O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  <c r="AI1431" s="230"/>
    </row>
    <row r="1432">
      <c r="O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  <c r="AI1432" s="230"/>
    </row>
    <row r="1433">
      <c r="O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  <c r="AI1433" s="230"/>
    </row>
    <row r="1434">
      <c r="O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  <c r="AI1434" s="230"/>
    </row>
    <row r="1435">
      <c r="O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  <c r="AI1435" s="230"/>
    </row>
    <row r="1436">
      <c r="O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  <c r="AI1436" s="230"/>
    </row>
    <row r="1437">
      <c r="O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  <c r="AI1437" s="230"/>
    </row>
    <row r="1438">
      <c r="O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  <c r="AI1438" s="230"/>
    </row>
    <row r="1439">
      <c r="O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  <c r="AI1439" s="230"/>
    </row>
    <row r="1440">
      <c r="O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  <c r="AI1440" s="230"/>
    </row>
    <row r="1441">
      <c r="O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  <c r="AI1441" s="230"/>
    </row>
    <row r="1442">
      <c r="O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  <c r="AI1442" s="230"/>
    </row>
    <row r="1443">
      <c r="O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  <c r="AI1443" s="230"/>
    </row>
    <row r="1444">
      <c r="O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  <c r="AI1444" s="230"/>
    </row>
    <row r="1445">
      <c r="O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  <c r="AI1445" s="230"/>
    </row>
    <row r="1446">
      <c r="O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  <c r="AI1446" s="230"/>
    </row>
    <row r="1447">
      <c r="O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  <c r="AI1447" s="230"/>
    </row>
    <row r="1448">
      <c r="O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  <c r="AI1448" s="230"/>
    </row>
    <row r="1449">
      <c r="O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  <c r="AI1449" s="230"/>
    </row>
    <row r="1450">
      <c r="O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  <c r="AI1450" s="230"/>
    </row>
    <row r="1451">
      <c r="O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  <c r="AI1451" s="230"/>
    </row>
    <row r="1452">
      <c r="O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  <c r="AI1452" s="230"/>
    </row>
    <row r="1453">
      <c r="O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  <c r="AI1453" s="230"/>
    </row>
    <row r="1454">
      <c r="O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  <c r="AI1454" s="230"/>
    </row>
    <row r="1455">
      <c r="O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  <c r="AI1455" s="230"/>
    </row>
    <row r="1456">
      <c r="O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  <c r="AI1456" s="230"/>
    </row>
    <row r="1457">
      <c r="O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  <c r="AI1457" s="230"/>
    </row>
    <row r="1458">
      <c r="O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  <c r="AI1458" s="230"/>
    </row>
    <row r="1459">
      <c r="O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  <c r="AI1459" s="230"/>
    </row>
    <row r="1460">
      <c r="O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  <c r="AI1460" s="230"/>
    </row>
    <row r="1461">
      <c r="O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  <c r="AI1461" s="230"/>
    </row>
    <row r="1462">
      <c r="O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  <c r="AI1462" s="230"/>
    </row>
    <row r="1463">
      <c r="O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  <c r="AI1463" s="230"/>
    </row>
    <row r="1464">
      <c r="O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  <c r="AI1464" s="230"/>
    </row>
    <row r="1465">
      <c r="O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  <c r="AI1465" s="230"/>
    </row>
    <row r="1466">
      <c r="O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  <c r="AI1466" s="230"/>
    </row>
    <row r="1467">
      <c r="O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  <c r="AI1467" s="230"/>
    </row>
    <row r="1468">
      <c r="O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  <c r="AI1468" s="230"/>
    </row>
    <row r="1469">
      <c r="O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  <c r="AI1469" s="230"/>
    </row>
    <row r="1470">
      <c r="O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  <c r="AI1470" s="230"/>
    </row>
    <row r="1471">
      <c r="O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  <c r="AI1471" s="230"/>
    </row>
    <row r="1472">
      <c r="O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  <c r="AI1472" s="230"/>
    </row>
    <row r="1473">
      <c r="O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  <c r="AI1473" s="230"/>
    </row>
    <row r="1474">
      <c r="O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  <c r="AI1474" s="230"/>
    </row>
    <row r="1475">
      <c r="O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  <c r="AI1475" s="230"/>
    </row>
    <row r="1476">
      <c r="O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  <c r="AI1476" s="230"/>
    </row>
    <row r="1477">
      <c r="O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  <c r="AI1477" s="230"/>
    </row>
    <row r="1478">
      <c r="O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  <c r="AI1478" s="230"/>
    </row>
    <row r="1479">
      <c r="O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  <c r="AI1479" s="230"/>
    </row>
    <row r="1480">
      <c r="O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  <c r="AI1480" s="230"/>
    </row>
    <row r="1481">
      <c r="O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  <c r="AI1481" s="230"/>
    </row>
    <row r="1482">
      <c r="O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  <c r="AI1482" s="230"/>
    </row>
    <row r="1483">
      <c r="O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  <c r="AI1483" s="230"/>
    </row>
    <row r="1484">
      <c r="O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  <c r="AI1484" s="230"/>
    </row>
    <row r="1485">
      <c r="O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  <c r="AI1485" s="230"/>
    </row>
    <row r="1486">
      <c r="O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  <c r="AI1486" s="230"/>
    </row>
    <row r="1487">
      <c r="O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  <c r="AI1487" s="230"/>
    </row>
    <row r="1488">
      <c r="O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  <c r="AI1488" s="230"/>
    </row>
    <row r="1489">
      <c r="O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  <c r="AI1489" s="230"/>
    </row>
    <row r="1490">
      <c r="O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  <c r="AI1490" s="230"/>
    </row>
    <row r="1491">
      <c r="O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  <c r="AI1491" s="230"/>
    </row>
    <row r="1492">
      <c r="O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  <c r="AI1492" s="230"/>
    </row>
    <row r="1493">
      <c r="O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  <c r="AI1493" s="230"/>
    </row>
    <row r="1494">
      <c r="O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  <c r="AI1494" s="230"/>
    </row>
    <row r="1495">
      <c r="O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  <c r="AI1495" s="230"/>
    </row>
    <row r="1496">
      <c r="O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  <c r="AI1496" s="230"/>
    </row>
    <row r="1497">
      <c r="O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  <c r="AI1497" s="230"/>
    </row>
    <row r="1498">
      <c r="O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  <c r="AI1498" s="230"/>
    </row>
    <row r="1499">
      <c r="O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  <c r="AI1499" s="230"/>
    </row>
    <row r="1500">
      <c r="O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  <c r="AI1500" s="230"/>
    </row>
    <row r="1501">
      <c r="O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  <c r="AI1501" s="230"/>
    </row>
    <row r="1502">
      <c r="O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  <c r="AI1502" s="230"/>
    </row>
    <row r="1503">
      <c r="O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  <c r="AI1503" s="230"/>
    </row>
    <row r="1504">
      <c r="O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  <c r="AI1504" s="230"/>
    </row>
    <row r="1505">
      <c r="O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  <c r="AI1505" s="230"/>
    </row>
    <row r="1506">
      <c r="O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  <c r="AI1506" s="230"/>
    </row>
    <row r="1507">
      <c r="O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  <c r="AI1507" s="230"/>
    </row>
    <row r="1508">
      <c r="O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  <c r="AI1508" s="230"/>
    </row>
    <row r="1509">
      <c r="O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  <c r="AI1509" s="230"/>
    </row>
    <row r="1510">
      <c r="O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  <c r="AI1510" s="230"/>
    </row>
    <row r="1511">
      <c r="O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  <c r="AI1511" s="230"/>
    </row>
    <row r="1512">
      <c r="O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  <c r="AI1512" s="230"/>
    </row>
    <row r="1513">
      <c r="O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  <c r="AI1513" s="230"/>
    </row>
    <row r="1514">
      <c r="O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  <c r="AI1514" s="230"/>
    </row>
    <row r="1515">
      <c r="O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  <c r="AI1515" s="230"/>
    </row>
    <row r="1516">
      <c r="O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  <c r="AI1516" s="230"/>
    </row>
    <row r="1517">
      <c r="O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  <c r="AI1517" s="230"/>
    </row>
    <row r="1518">
      <c r="O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  <c r="AI1518" s="230"/>
    </row>
    <row r="1519">
      <c r="O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  <c r="AI1519" s="230"/>
    </row>
    <row r="1520">
      <c r="O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  <c r="AI1520" s="230"/>
    </row>
    <row r="1521">
      <c r="O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  <c r="AI1521" s="230"/>
    </row>
    <row r="1522">
      <c r="O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  <c r="AI1522" s="230"/>
    </row>
    <row r="1523">
      <c r="O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  <c r="AI1523" s="230"/>
    </row>
    <row r="1524">
      <c r="O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  <c r="AI1524" s="230"/>
    </row>
    <row r="1525">
      <c r="O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  <c r="AI1525" s="230"/>
    </row>
    <row r="1526">
      <c r="O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  <c r="AI1526" s="230"/>
    </row>
    <row r="1527">
      <c r="O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  <c r="AI1527" s="230"/>
    </row>
    <row r="1528">
      <c r="O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  <c r="AI1528" s="230"/>
    </row>
    <row r="1529">
      <c r="O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  <c r="AI1529" s="230"/>
    </row>
    <row r="1530">
      <c r="O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  <c r="AI1530" s="230"/>
    </row>
    <row r="1531">
      <c r="O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  <c r="AI1531" s="230"/>
    </row>
    <row r="1532">
      <c r="O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  <c r="AI1532" s="230"/>
    </row>
    <row r="1533">
      <c r="O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  <c r="AI1533" s="230"/>
    </row>
    <row r="1534">
      <c r="O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  <c r="AI1534" s="230"/>
    </row>
    <row r="1535">
      <c r="O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  <c r="AI1535" s="230"/>
    </row>
    <row r="1536">
      <c r="O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  <c r="AI1536" s="230"/>
    </row>
    <row r="1537">
      <c r="O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  <c r="AI1537" s="230"/>
    </row>
    <row r="1538">
      <c r="O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  <c r="AI1538" s="230"/>
    </row>
    <row r="1539">
      <c r="O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  <c r="AI1539" s="230"/>
    </row>
    <row r="1540">
      <c r="O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  <c r="AI1540" s="230"/>
    </row>
    <row r="1541">
      <c r="O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  <c r="AI1541" s="230"/>
    </row>
    <row r="1542">
      <c r="O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  <c r="AI1542" s="230"/>
    </row>
    <row r="1543">
      <c r="O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  <c r="AI1543" s="230"/>
    </row>
    <row r="1544">
      <c r="O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  <c r="AI1544" s="230"/>
    </row>
    <row r="1545">
      <c r="O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  <c r="AI1545" s="230"/>
    </row>
    <row r="1546">
      <c r="O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  <c r="AI1546" s="230"/>
    </row>
    <row r="1547">
      <c r="O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  <c r="AI1547" s="230"/>
    </row>
    <row r="1548">
      <c r="O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  <c r="AI1548" s="230"/>
    </row>
    <row r="1549">
      <c r="O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  <c r="AI1549" s="230"/>
    </row>
    <row r="1550">
      <c r="O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  <c r="AI1550" s="230"/>
    </row>
    <row r="1551">
      <c r="O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  <c r="AI1551" s="230"/>
    </row>
    <row r="1552">
      <c r="O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  <c r="AI1552" s="230"/>
    </row>
    <row r="1553">
      <c r="O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  <c r="AI1553" s="230"/>
    </row>
    <row r="1554">
      <c r="O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  <c r="AI1554" s="230"/>
    </row>
    <row r="1555">
      <c r="O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  <c r="AI1555" s="230"/>
    </row>
    <row r="1556">
      <c r="O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  <c r="AI1556" s="230"/>
    </row>
    <row r="1557">
      <c r="O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  <c r="AI1557" s="230"/>
    </row>
    <row r="1558">
      <c r="O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  <c r="AI1558" s="230"/>
    </row>
    <row r="1559">
      <c r="O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  <c r="AI1559" s="230"/>
    </row>
    <row r="1560">
      <c r="O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  <c r="AI1560" s="230"/>
    </row>
    <row r="1561">
      <c r="O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  <c r="AI1561" s="230"/>
    </row>
    <row r="1562">
      <c r="O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  <c r="AI1562" s="230"/>
    </row>
    <row r="1563">
      <c r="O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  <c r="AI1563" s="230"/>
    </row>
    <row r="1564">
      <c r="O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  <c r="AI1564" s="230"/>
    </row>
    <row r="1565">
      <c r="O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  <c r="AI1565" s="230"/>
    </row>
    <row r="1566">
      <c r="O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  <c r="AI1566" s="230"/>
    </row>
    <row r="1567">
      <c r="O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  <c r="AI1567" s="230"/>
    </row>
    <row r="1568">
      <c r="O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  <c r="AI1568" s="230"/>
    </row>
    <row r="1569">
      <c r="O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  <c r="AI1569" s="230"/>
    </row>
    <row r="1570">
      <c r="O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  <c r="AI1570" s="230"/>
    </row>
    <row r="1571">
      <c r="O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  <c r="AI1571" s="230"/>
    </row>
    <row r="1572">
      <c r="O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  <c r="AI1572" s="230"/>
    </row>
    <row r="1573">
      <c r="O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  <c r="AI1573" s="230"/>
    </row>
    <row r="1574">
      <c r="O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  <c r="AI1574" s="230"/>
    </row>
    <row r="1575">
      <c r="O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  <c r="AI1575" s="230"/>
    </row>
    <row r="1576">
      <c r="O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  <c r="AI1576" s="230"/>
    </row>
    <row r="1577">
      <c r="O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  <c r="AI1577" s="230"/>
    </row>
    <row r="1578">
      <c r="O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  <c r="AI1578" s="230"/>
    </row>
    <row r="1579">
      <c r="O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  <c r="AI1579" s="230"/>
    </row>
    <row r="1580">
      <c r="O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  <c r="AI1580" s="230"/>
    </row>
    <row r="1581">
      <c r="O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  <c r="AI1581" s="230"/>
    </row>
    <row r="1582">
      <c r="O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  <c r="AI1582" s="230"/>
    </row>
    <row r="1583">
      <c r="O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  <c r="AI1583" s="230"/>
    </row>
    <row r="1584">
      <c r="O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  <c r="AI1584" s="230"/>
    </row>
    <row r="1585">
      <c r="O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  <c r="AI1585" s="230"/>
    </row>
    <row r="1586">
      <c r="O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  <c r="AI1586" s="230"/>
    </row>
    <row r="1587">
      <c r="O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  <c r="AI1587" s="230"/>
    </row>
    <row r="1588">
      <c r="O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  <c r="AI1588" s="230"/>
    </row>
    <row r="1589">
      <c r="O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  <c r="AI1589" s="230"/>
    </row>
    <row r="1590">
      <c r="O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  <c r="AI1590" s="230"/>
    </row>
    <row r="1591">
      <c r="O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  <c r="AI1591" s="230"/>
    </row>
    <row r="1592">
      <c r="O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  <c r="AI1592" s="230"/>
    </row>
    <row r="1593">
      <c r="O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  <c r="AI1593" s="230"/>
    </row>
    <row r="1594">
      <c r="O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  <c r="AI1594" s="230"/>
    </row>
    <row r="1595">
      <c r="O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  <c r="AI1595" s="230"/>
    </row>
    <row r="1596">
      <c r="O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  <c r="AI1596" s="230"/>
    </row>
    <row r="1597">
      <c r="O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  <c r="AI1597" s="230"/>
    </row>
    <row r="1598">
      <c r="O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  <c r="AI1598" s="230"/>
    </row>
    <row r="1599">
      <c r="O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  <c r="AI1599" s="230"/>
    </row>
    <row r="1600">
      <c r="O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  <c r="AI1600" s="230"/>
    </row>
    <row r="1601">
      <c r="O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  <c r="AI1601" s="230"/>
    </row>
    <row r="1602">
      <c r="O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  <c r="AI1602" s="230"/>
    </row>
    <row r="1603">
      <c r="O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  <c r="AI1603" s="230"/>
    </row>
    <row r="1604">
      <c r="O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  <c r="AI1604" s="230"/>
    </row>
    <row r="1605">
      <c r="O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  <c r="AI1605" s="230"/>
    </row>
    <row r="1606">
      <c r="O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  <c r="AI1606" s="230"/>
    </row>
    <row r="1607">
      <c r="O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  <c r="AI1607" s="230"/>
    </row>
    <row r="1608">
      <c r="O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  <c r="AI1608" s="230"/>
    </row>
    <row r="1609">
      <c r="O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  <c r="AI1609" s="230"/>
    </row>
    <row r="1610">
      <c r="O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  <c r="AI1610" s="230"/>
    </row>
    <row r="1611">
      <c r="O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  <c r="AI1611" s="230"/>
    </row>
    <row r="1612">
      <c r="O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  <c r="AI1612" s="230"/>
    </row>
    <row r="1613">
      <c r="O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  <c r="AI1613" s="230"/>
    </row>
    <row r="1614">
      <c r="O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  <c r="AI1614" s="230"/>
    </row>
    <row r="1615">
      <c r="O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  <c r="AI1615" s="230"/>
    </row>
    <row r="1616">
      <c r="O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  <c r="AI1616" s="230"/>
    </row>
    <row r="1617">
      <c r="O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  <c r="AI1617" s="230"/>
    </row>
    <row r="1618">
      <c r="O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  <c r="AI1618" s="230"/>
    </row>
    <row r="1619">
      <c r="O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  <c r="AI1619" s="230"/>
    </row>
    <row r="1620">
      <c r="O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  <c r="AI1620" s="230"/>
    </row>
    <row r="1621">
      <c r="O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  <c r="AI1621" s="230"/>
    </row>
    <row r="1622">
      <c r="O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  <c r="AI1622" s="230"/>
    </row>
    <row r="1623">
      <c r="O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  <c r="AI1623" s="230"/>
    </row>
    <row r="1624">
      <c r="O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  <c r="AI1624" s="230"/>
    </row>
    <row r="1625">
      <c r="O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  <c r="AI1625" s="230"/>
    </row>
    <row r="1626">
      <c r="O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  <c r="AI1626" s="230"/>
    </row>
    <row r="1627">
      <c r="O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  <c r="AI1627" s="230"/>
    </row>
    <row r="1628">
      <c r="O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  <c r="AI1628" s="230"/>
    </row>
    <row r="1629">
      <c r="O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  <c r="AI1629" s="230"/>
    </row>
    <row r="1630">
      <c r="O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  <c r="AI1630" s="230"/>
    </row>
    <row r="1631">
      <c r="O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  <c r="AI1631" s="230"/>
    </row>
    <row r="1632">
      <c r="O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  <c r="AI1632" s="230"/>
    </row>
    <row r="1633">
      <c r="O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  <c r="AI1633" s="230"/>
    </row>
    <row r="1634">
      <c r="O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  <c r="AI1634" s="230"/>
    </row>
    <row r="1635">
      <c r="O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  <c r="AI1635" s="230"/>
    </row>
    <row r="1636">
      <c r="O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  <c r="AI1636" s="230"/>
    </row>
    <row r="1637">
      <c r="O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  <c r="AI1637" s="230"/>
    </row>
    <row r="1638">
      <c r="O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  <c r="AI1638" s="230"/>
    </row>
    <row r="1639">
      <c r="O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  <c r="AI1639" s="230"/>
    </row>
    <row r="1640">
      <c r="O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  <c r="AI1640" s="230"/>
    </row>
    <row r="1641">
      <c r="O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  <c r="AI1641" s="230"/>
    </row>
    <row r="1642">
      <c r="O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  <c r="AI1642" s="230"/>
    </row>
    <row r="1643">
      <c r="O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  <c r="AI1643" s="230"/>
    </row>
    <row r="1644">
      <c r="O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  <c r="AI1644" s="230"/>
    </row>
    <row r="1645">
      <c r="O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  <c r="AI1645" s="230"/>
    </row>
    <row r="1646">
      <c r="O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  <c r="AI1646" s="230"/>
    </row>
    <row r="1647">
      <c r="O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  <c r="AI1647" s="230"/>
    </row>
    <row r="1648">
      <c r="O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  <c r="AI1648" s="230"/>
    </row>
    <row r="1649">
      <c r="O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  <c r="AI1649" s="230"/>
    </row>
    <row r="1650">
      <c r="O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  <c r="AI1650" s="230"/>
    </row>
    <row r="1651">
      <c r="O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  <c r="AI1651" s="230"/>
    </row>
    <row r="1652">
      <c r="O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  <c r="AI1652" s="230"/>
    </row>
    <row r="1653">
      <c r="O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  <c r="AI1653" s="230"/>
    </row>
    <row r="1654">
      <c r="O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  <c r="AI1654" s="230"/>
    </row>
    <row r="1655">
      <c r="O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  <c r="AI1655" s="230"/>
    </row>
    <row r="1656">
      <c r="O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  <c r="AI1656" s="230"/>
    </row>
    <row r="1657">
      <c r="O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  <c r="AI1657" s="230"/>
    </row>
    <row r="1658">
      <c r="O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  <c r="AI1658" s="230"/>
    </row>
    <row r="1659">
      <c r="O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  <c r="AI1659" s="230"/>
    </row>
    <row r="1660">
      <c r="O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  <c r="AI1660" s="230"/>
    </row>
    <row r="1661">
      <c r="O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  <c r="AI1661" s="230"/>
    </row>
    <row r="1662">
      <c r="O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  <c r="AI1662" s="230"/>
    </row>
    <row r="1663">
      <c r="O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  <c r="AI1663" s="230"/>
    </row>
    <row r="1664">
      <c r="O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  <c r="AI1664" s="230"/>
    </row>
    <row r="1665">
      <c r="O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  <c r="AI1665" s="230"/>
    </row>
    <row r="1666">
      <c r="O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  <c r="AI1666" s="230"/>
    </row>
    <row r="1667">
      <c r="O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  <c r="AI1667" s="230"/>
    </row>
    <row r="1668">
      <c r="O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  <c r="AI1668" s="230"/>
    </row>
    <row r="1669">
      <c r="O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  <c r="AI1669" s="230"/>
    </row>
    <row r="1670">
      <c r="O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  <c r="AI1670" s="230"/>
    </row>
    <row r="1671">
      <c r="O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  <c r="AI1671" s="230"/>
    </row>
    <row r="1672">
      <c r="O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  <c r="AI1672" s="230"/>
    </row>
    <row r="1673">
      <c r="O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  <c r="AI1673" s="230"/>
    </row>
    <row r="1674">
      <c r="O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  <c r="AI1674" s="230"/>
    </row>
    <row r="1675">
      <c r="O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  <c r="AI1675" s="230"/>
    </row>
    <row r="1676">
      <c r="O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  <c r="AI1676" s="230"/>
    </row>
    <row r="1677">
      <c r="O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  <c r="AI1677" s="230"/>
    </row>
    <row r="1678">
      <c r="O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  <c r="AI1678" s="230"/>
    </row>
    <row r="1679">
      <c r="O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  <c r="AI1679" s="230"/>
    </row>
    <row r="1680">
      <c r="O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  <c r="AI1680" s="230"/>
    </row>
    <row r="1681">
      <c r="O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  <c r="AI1681" s="230"/>
    </row>
    <row r="1682">
      <c r="O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  <c r="AI1682" s="230"/>
    </row>
    <row r="1683">
      <c r="O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  <c r="AI1683" s="230"/>
    </row>
    <row r="1684">
      <c r="O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  <c r="AI1684" s="230"/>
    </row>
    <row r="1685">
      <c r="O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  <c r="AI1685" s="230"/>
    </row>
    <row r="1686">
      <c r="O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  <c r="AI1686" s="230"/>
    </row>
    <row r="1687">
      <c r="O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  <c r="AI1687" s="230"/>
    </row>
    <row r="1688">
      <c r="O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  <c r="AI1688" s="230"/>
    </row>
    <row r="1689">
      <c r="O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  <c r="AI1689" s="230"/>
    </row>
    <row r="1690">
      <c r="O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  <c r="AI1690" s="230"/>
    </row>
    <row r="1691">
      <c r="O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  <c r="AI1691" s="230"/>
    </row>
    <row r="1692">
      <c r="O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  <c r="AI1692" s="230"/>
    </row>
    <row r="1693">
      <c r="O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  <c r="AI1693" s="230"/>
    </row>
    <row r="1694">
      <c r="O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  <c r="AI1694" s="230"/>
    </row>
    <row r="1695">
      <c r="O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  <c r="AI1695" s="230"/>
    </row>
    <row r="1696">
      <c r="O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  <c r="AI1696" s="230"/>
    </row>
    <row r="1697">
      <c r="O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  <c r="AI1697" s="230"/>
    </row>
    <row r="1698">
      <c r="O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  <c r="AI1698" s="230"/>
    </row>
    <row r="1699">
      <c r="O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  <c r="AI1699" s="230"/>
    </row>
    <row r="1700">
      <c r="O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  <c r="AI1700" s="230"/>
    </row>
    <row r="1701">
      <c r="O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  <c r="AI1701" s="230"/>
    </row>
    <row r="1702">
      <c r="O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  <c r="AI1702" s="230"/>
    </row>
    <row r="1703">
      <c r="O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  <c r="AI1703" s="230"/>
    </row>
    <row r="1704">
      <c r="O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  <c r="AI1704" s="230"/>
    </row>
    <row r="1705">
      <c r="O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  <c r="AI1705" s="230"/>
    </row>
    <row r="1706">
      <c r="O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  <c r="AI1706" s="230"/>
    </row>
    <row r="1707">
      <c r="O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  <c r="AI1707" s="230"/>
    </row>
    <row r="1708">
      <c r="O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  <c r="AI1708" s="230"/>
    </row>
    <row r="1709">
      <c r="O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  <c r="AI1709" s="230"/>
    </row>
    <row r="1710">
      <c r="O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  <c r="AI1710" s="230"/>
    </row>
    <row r="1711">
      <c r="O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  <c r="AI1711" s="230"/>
    </row>
    <row r="1712">
      <c r="O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  <c r="AI1712" s="230"/>
    </row>
    <row r="1713">
      <c r="O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  <c r="AI1713" s="230"/>
    </row>
    <row r="1714">
      <c r="O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  <c r="AI1714" s="230"/>
    </row>
    <row r="1715">
      <c r="O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  <c r="AI1715" s="230"/>
    </row>
    <row r="1716">
      <c r="O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  <c r="AI1716" s="230"/>
    </row>
    <row r="1717">
      <c r="O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  <c r="AI1717" s="230"/>
    </row>
    <row r="1718">
      <c r="O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  <c r="AI1718" s="230"/>
    </row>
    <row r="1719">
      <c r="O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  <c r="AI1719" s="230"/>
    </row>
    <row r="1720">
      <c r="O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  <c r="AI1720" s="230"/>
    </row>
    <row r="1721">
      <c r="O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  <c r="AI1721" s="230"/>
    </row>
    <row r="1722">
      <c r="O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  <c r="AI1722" s="230"/>
    </row>
    <row r="1723">
      <c r="O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  <c r="AI1723" s="230"/>
    </row>
    <row r="1724">
      <c r="O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  <c r="AI1724" s="230"/>
    </row>
    <row r="1725">
      <c r="O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  <c r="AI1725" s="230"/>
    </row>
    <row r="1726">
      <c r="O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  <c r="AI1726" s="230"/>
    </row>
    <row r="1727">
      <c r="O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  <c r="AI1727" s="230"/>
    </row>
    <row r="1728">
      <c r="O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  <c r="AI1728" s="230"/>
    </row>
    <row r="1729">
      <c r="O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  <c r="AI1729" s="230"/>
    </row>
    <row r="1730">
      <c r="O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  <c r="AI1730" s="230"/>
    </row>
    <row r="1731">
      <c r="O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  <c r="AI1731" s="230"/>
    </row>
    <row r="1732">
      <c r="O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  <c r="AI1732" s="230"/>
    </row>
    <row r="1733">
      <c r="O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  <c r="AI1733" s="230"/>
    </row>
    <row r="1734">
      <c r="O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  <c r="AI1734" s="230"/>
    </row>
    <row r="1735">
      <c r="O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  <c r="AI1735" s="230"/>
    </row>
    <row r="1736">
      <c r="O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  <c r="AI1736" s="230"/>
    </row>
    <row r="1737">
      <c r="O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  <c r="AI1737" s="230"/>
    </row>
    <row r="1738">
      <c r="O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  <c r="AI1738" s="230"/>
    </row>
    <row r="1739">
      <c r="O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  <c r="AI1739" s="230"/>
    </row>
    <row r="1740">
      <c r="O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  <c r="AI1740" s="230"/>
    </row>
    <row r="1741">
      <c r="O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  <c r="AI1741" s="230"/>
    </row>
    <row r="1742">
      <c r="O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  <c r="AI1742" s="230"/>
    </row>
    <row r="1743">
      <c r="O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  <c r="AI1743" s="230"/>
    </row>
    <row r="1744">
      <c r="O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  <c r="AI1744" s="230"/>
    </row>
    <row r="1745">
      <c r="O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  <c r="AI1745" s="230"/>
    </row>
    <row r="1746">
      <c r="O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  <c r="AI1746" s="230"/>
    </row>
    <row r="1747">
      <c r="O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  <c r="AI1747" s="230"/>
    </row>
    <row r="1748">
      <c r="O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  <c r="AI1748" s="230"/>
    </row>
    <row r="1749">
      <c r="O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  <c r="AI1749" s="230"/>
    </row>
    <row r="1750">
      <c r="O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  <c r="AI1750" s="230"/>
    </row>
    <row r="1751">
      <c r="O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  <c r="AI1751" s="230"/>
    </row>
    <row r="1752">
      <c r="O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  <c r="AI1752" s="230"/>
    </row>
    <row r="1753">
      <c r="O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  <c r="AI1753" s="230"/>
    </row>
    <row r="1754">
      <c r="O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  <c r="AI1754" s="230"/>
    </row>
    <row r="1755">
      <c r="O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  <c r="AI1755" s="230"/>
    </row>
    <row r="1756">
      <c r="O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  <c r="AI1756" s="230"/>
    </row>
    <row r="1757">
      <c r="O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  <c r="AI1757" s="230"/>
    </row>
    <row r="1758">
      <c r="O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  <c r="AI1758" s="230"/>
    </row>
    <row r="1759">
      <c r="O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  <c r="AI1759" s="230"/>
    </row>
    <row r="1760">
      <c r="O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  <c r="AI1760" s="230"/>
    </row>
    <row r="1761">
      <c r="O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  <c r="AI1761" s="230"/>
    </row>
    <row r="1762">
      <c r="O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  <c r="AI1762" s="230"/>
    </row>
    <row r="1763">
      <c r="O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  <c r="AI1763" s="230"/>
    </row>
    <row r="1764">
      <c r="O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  <c r="AI1764" s="230"/>
    </row>
    <row r="1765">
      <c r="O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  <c r="AI1765" s="230"/>
    </row>
    <row r="1766">
      <c r="O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  <c r="AI1766" s="230"/>
    </row>
    <row r="1767">
      <c r="O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  <c r="AI1767" s="230"/>
    </row>
    <row r="1768">
      <c r="O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  <c r="AI1768" s="230"/>
    </row>
    <row r="1769">
      <c r="O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  <c r="AI1769" s="230"/>
    </row>
    <row r="1770">
      <c r="O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  <c r="AI1770" s="230"/>
    </row>
    <row r="1771">
      <c r="O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  <c r="AI1771" s="230"/>
    </row>
    <row r="1772">
      <c r="O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  <c r="AI1772" s="230"/>
    </row>
    <row r="1773">
      <c r="O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  <c r="AI1773" s="230"/>
    </row>
    <row r="1774">
      <c r="O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  <c r="AI1774" s="230"/>
    </row>
    <row r="1775">
      <c r="O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  <c r="AI1775" s="230"/>
    </row>
    <row r="1776">
      <c r="O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  <c r="AI1776" s="230"/>
    </row>
    <row r="1777">
      <c r="O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  <c r="AI1777" s="230"/>
    </row>
    <row r="1778">
      <c r="O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  <c r="AI1778" s="230"/>
    </row>
    <row r="1779">
      <c r="O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  <c r="AI1779" s="230"/>
    </row>
    <row r="1780">
      <c r="O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  <c r="AI1780" s="230"/>
    </row>
    <row r="1781">
      <c r="O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  <c r="AI1781" s="230"/>
    </row>
    <row r="1782">
      <c r="O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  <c r="AI1782" s="230"/>
    </row>
    <row r="1783">
      <c r="O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  <c r="AI1783" s="230"/>
    </row>
    <row r="1784">
      <c r="O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  <c r="AI1784" s="230"/>
    </row>
    <row r="1785">
      <c r="O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  <c r="AI1785" s="230"/>
    </row>
    <row r="1786">
      <c r="O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  <c r="AI1786" s="230"/>
    </row>
    <row r="1787">
      <c r="O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  <c r="AI1787" s="230"/>
    </row>
    <row r="1788">
      <c r="O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  <c r="AI1788" s="230"/>
    </row>
    <row r="1789">
      <c r="O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  <c r="AI1789" s="230"/>
    </row>
    <row r="1790">
      <c r="O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  <c r="AI1790" s="230"/>
    </row>
    <row r="1791">
      <c r="O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  <c r="AI1791" s="230"/>
    </row>
    <row r="1792">
      <c r="O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  <c r="AI1792" s="230"/>
    </row>
    <row r="1793">
      <c r="O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  <c r="AI1793" s="230"/>
    </row>
    <row r="1794">
      <c r="O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  <c r="AI1794" s="230"/>
    </row>
    <row r="1795">
      <c r="O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  <c r="AI1795" s="230"/>
    </row>
    <row r="1796">
      <c r="O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  <c r="AI1796" s="230"/>
    </row>
    <row r="1797">
      <c r="O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  <c r="AI1797" s="230"/>
    </row>
    <row r="1798">
      <c r="O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  <c r="AI1798" s="230"/>
    </row>
    <row r="1799">
      <c r="O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  <c r="AI1799" s="230"/>
    </row>
    <row r="1800">
      <c r="O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  <c r="AI1800" s="230"/>
    </row>
    <row r="1801">
      <c r="O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  <c r="AI1801" s="230"/>
    </row>
    <row r="1802">
      <c r="O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  <c r="AI1802" s="230"/>
    </row>
    <row r="1803">
      <c r="O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  <c r="AI1803" s="230"/>
    </row>
    <row r="1804">
      <c r="O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  <c r="AI1804" s="230"/>
    </row>
    <row r="1805">
      <c r="O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  <c r="AI1805" s="230"/>
    </row>
    <row r="1806">
      <c r="O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  <c r="AI1806" s="230"/>
    </row>
    <row r="1807">
      <c r="O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  <c r="AI1807" s="230"/>
    </row>
    <row r="1808">
      <c r="O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  <c r="AI1808" s="230"/>
    </row>
    <row r="1809">
      <c r="O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  <c r="AI1809" s="230"/>
    </row>
    <row r="1810">
      <c r="O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  <c r="AI1810" s="230"/>
    </row>
    <row r="1811">
      <c r="O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  <c r="AI1811" s="230"/>
    </row>
    <row r="1812">
      <c r="O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  <c r="AI1812" s="230"/>
    </row>
    <row r="1813">
      <c r="O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  <c r="AI1813" s="230"/>
    </row>
    <row r="1814">
      <c r="O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  <c r="AI1814" s="230"/>
    </row>
    <row r="1815">
      <c r="O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  <c r="AI1815" s="230"/>
    </row>
    <row r="1816">
      <c r="O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  <c r="AI1816" s="230"/>
    </row>
    <row r="1817">
      <c r="O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  <c r="AI1817" s="230"/>
    </row>
    <row r="1818">
      <c r="O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  <c r="AI1818" s="230"/>
    </row>
    <row r="1819">
      <c r="O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  <c r="AI1819" s="230"/>
    </row>
    <row r="1820">
      <c r="O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  <c r="AI1820" s="230"/>
    </row>
    <row r="1821">
      <c r="O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  <c r="AI1821" s="230"/>
    </row>
    <row r="1822">
      <c r="O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  <c r="AI1822" s="230"/>
    </row>
    <row r="1823">
      <c r="O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  <c r="AI1823" s="230"/>
    </row>
    <row r="1824">
      <c r="O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  <c r="AI1824" s="230"/>
    </row>
    <row r="1825">
      <c r="O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  <c r="AI1825" s="230"/>
    </row>
    <row r="1826">
      <c r="O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  <c r="AI1826" s="230"/>
    </row>
    <row r="1827">
      <c r="O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  <c r="AI1827" s="230"/>
    </row>
    <row r="1828">
      <c r="O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  <c r="AI1828" s="230"/>
    </row>
    <row r="1829">
      <c r="O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  <c r="AI1829" s="230"/>
    </row>
    <row r="1830">
      <c r="O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  <c r="AI1830" s="230"/>
    </row>
    <row r="1831">
      <c r="O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  <c r="AI1831" s="230"/>
    </row>
    <row r="1832">
      <c r="O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  <c r="AI1832" s="230"/>
    </row>
    <row r="1833">
      <c r="O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  <c r="AI1833" s="230"/>
    </row>
    <row r="1834">
      <c r="O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  <c r="AI1834" s="230"/>
    </row>
    <row r="1835">
      <c r="O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  <c r="AI1835" s="230"/>
    </row>
    <row r="1836">
      <c r="O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  <c r="AI1836" s="230"/>
    </row>
    <row r="1837">
      <c r="O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  <c r="AI1837" s="230"/>
    </row>
    <row r="1838">
      <c r="O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  <c r="AI1838" s="230"/>
    </row>
    <row r="1839">
      <c r="O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  <c r="AI1839" s="230"/>
    </row>
    <row r="1840">
      <c r="O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  <c r="AI1840" s="230"/>
    </row>
    <row r="1841">
      <c r="O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  <c r="AI1841" s="230"/>
    </row>
    <row r="1842">
      <c r="O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  <c r="AI1842" s="230"/>
    </row>
    <row r="1843">
      <c r="O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  <c r="AI1843" s="230"/>
    </row>
    <row r="1844">
      <c r="O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  <c r="AI1844" s="230"/>
    </row>
    <row r="1845">
      <c r="O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  <c r="AI1845" s="230"/>
    </row>
    <row r="1846">
      <c r="O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  <c r="AI1846" s="230"/>
    </row>
    <row r="1847">
      <c r="O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  <c r="AI1847" s="230"/>
    </row>
    <row r="1848">
      <c r="O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  <c r="AI1848" s="230"/>
    </row>
    <row r="1849">
      <c r="O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  <c r="AI1849" s="230"/>
    </row>
    <row r="1850">
      <c r="O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  <c r="AI1850" s="230"/>
    </row>
    <row r="1851">
      <c r="O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  <c r="AI1851" s="230"/>
    </row>
    <row r="1852">
      <c r="O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  <c r="AI1852" s="230"/>
    </row>
    <row r="1853">
      <c r="O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  <c r="AI1853" s="230"/>
    </row>
    <row r="1854">
      <c r="O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  <c r="AI1854" s="230"/>
    </row>
    <row r="1855">
      <c r="O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  <c r="AI1855" s="230"/>
    </row>
    <row r="1856">
      <c r="O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  <c r="AI1856" s="230"/>
    </row>
    <row r="1857">
      <c r="O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  <c r="AI1857" s="230"/>
    </row>
    <row r="1858">
      <c r="O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  <c r="AI1858" s="230"/>
    </row>
    <row r="1859">
      <c r="O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  <c r="AI1859" s="230"/>
    </row>
    <row r="1860">
      <c r="O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  <c r="AI1860" s="230"/>
    </row>
    <row r="1861">
      <c r="O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  <c r="AI1861" s="230"/>
    </row>
    <row r="1862">
      <c r="O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  <c r="AI1862" s="230"/>
    </row>
    <row r="1863">
      <c r="O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  <c r="AI1863" s="230"/>
    </row>
    <row r="1864">
      <c r="O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  <c r="AI1864" s="230"/>
    </row>
    <row r="1865">
      <c r="O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  <c r="AI1865" s="230"/>
    </row>
    <row r="1866">
      <c r="O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  <c r="AI1866" s="230"/>
    </row>
    <row r="1867">
      <c r="O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  <c r="AI1867" s="230"/>
    </row>
    <row r="1868">
      <c r="O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  <c r="AI1868" s="230"/>
    </row>
    <row r="1869">
      <c r="O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  <c r="AI1869" s="230"/>
    </row>
    <row r="1870">
      <c r="O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  <c r="AI1870" s="230"/>
    </row>
    <row r="1871">
      <c r="O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  <c r="AI1871" s="230"/>
    </row>
    <row r="1872">
      <c r="O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  <c r="AI1872" s="230"/>
    </row>
    <row r="1873">
      <c r="O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  <c r="AI1873" s="230"/>
    </row>
    <row r="1874">
      <c r="O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  <c r="AI1874" s="230"/>
    </row>
    <row r="1875">
      <c r="O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  <c r="AI1875" s="230"/>
    </row>
    <row r="1876">
      <c r="O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  <c r="AI1876" s="230"/>
    </row>
    <row r="1877">
      <c r="O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  <c r="AI1877" s="230"/>
    </row>
    <row r="1878">
      <c r="O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  <c r="AI1878" s="230"/>
    </row>
    <row r="1879">
      <c r="O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  <c r="AI1879" s="230"/>
    </row>
    <row r="1880">
      <c r="O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  <c r="AI1880" s="230"/>
    </row>
    <row r="1881">
      <c r="O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  <c r="AI1881" s="230"/>
    </row>
    <row r="1882">
      <c r="O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  <c r="AI1882" s="230"/>
    </row>
    <row r="1883">
      <c r="O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  <c r="AI1883" s="230"/>
    </row>
    <row r="1884">
      <c r="O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  <c r="AI1884" s="230"/>
    </row>
    <row r="1885">
      <c r="O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  <c r="AI1885" s="230"/>
    </row>
    <row r="1886">
      <c r="O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  <c r="AI1886" s="230"/>
    </row>
    <row r="1887">
      <c r="O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  <c r="AI1887" s="230"/>
    </row>
    <row r="1888">
      <c r="O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  <c r="AI1888" s="230"/>
    </row>
    <row r="1889">
      <c r="O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  <c r="AI1889" s="230"/>
    </row>
    <row r="1890">
      <c r="O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  <c r="AI1890" s="230"/>
    </row>
    <row r="1891">
      <c r="O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  <c r="AI1891" s="230"/>
    </row>
    <row r="1892">
      <c r="O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  <c r="AI1892" s="230"/>
    </row>
    <row r="1893">
      <c r="O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  <c r="AI1893" s="230"/>
    </row>
    <row r="1894">
      <c r="O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  <c r="AI1894" s="230"/>
    </row>
    <row r="1895">
      <c r="O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  <c r="AI1895" s="230"/>
    </row>
    <row r="1896">
      <c r="O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  <c r="AI1896" s="230"/>
    </row>
    <row r="1897">
      <c r="O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  <c r="AI1897" s="230"/>
    </row>
    <row r="1898">
      <c r="O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  <c r="AI1898" s="230"/>
    </row>
    <row r="1899">
      <c r="O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  <c r="AI1899" s="230"/>
    </row>
    <row r="1900">
      <c r="O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  <c r="AI1900" s="230"/>
    </row>
    <row r="1901">
      <c r="O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  <c r="AI1901" s="230"/>
    </row>
    <row r="1902">
      <c r="O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  <c r="AI1902" s="230"/>
    </row>
    <row r="1903">
      <c r="O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  <c r="AI1903" s="230"/>
    </row>
    <row r="1904">
      <c r="O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  <c r="AI1904" s="230"/>
    </row>
    <row r="1905">
      <c r="O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  <c r="AI1905" s="230"/>
    </row>
    <row r="1906">
      <c r="O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  <c r="AI1906" s="230"/>
    </row>
    <row r="1907">
      <c r="O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  <c r="AI1907" s="230"/>
    </row>
    <row r="1908">
      <c r="O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  <c r="AI1908" s="230"/>
    </row>
    <row r="1909">
      <c r="O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  <c r="AI1909" s="230"/>
    </row>
    <row r="1910">
      <c r="O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  <c r="AI1910" s="230"/>
    </row>
    <row r="1911">
      <c r="O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  <c r="AI1911" s="230"/>
    </row>
    <row r="1912">
      <c r="O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  <c r="AI1912" s="230"/>
    </row>
    <row r="1913">
      <c r="O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  <c r="AI1913" s="230"/>
    </row>
    <row r="1914">
      <c r="O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  <c r="AI1914" s="230"/>
    </row>
    <row r="1915">
      <c r="O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  <c r="AI1915" s="230"/>
    </row>
    <row r="1916">
      <c r="O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  <c r="AI1916" s="230"/>
    </row>
    <row r="1917">
      <c r="O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  <c r="AI1917" s="230"/>
    </row>
    <row r="1918">
      <c r="O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  <c r="AI1918" s="230"/>
    </row>
    <row r="1919">
      <c r="O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  <c r="AI1919" s="230"/>
    </row>
    <row r="1920">
      <c r="O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  <c r="AI1920" s="230"/>
    </row>
    <row r="1921">
      <c r="O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  <c r="AI1921" s="230"/>
    </row>
    <row r="1922">
      <c r="O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  <c r="AI1922" s="230"/>
    </row>
    <row r="1923">
      <c r="O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  <c r="AI1923" s="230"/>
    </row>
    <row r="1924">
      <c r="O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  <c r="AI1924" s="230"/>
    </row>
    <row r="1925">
      <c r="O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  <c r="AI1925" s="230"/>
    </row>
    <row r="1926">
      <c r="O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  <c r="AI1926" s="230"/>
    </row>
    <row r="1927">
      <c r="O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  <c r="AI1927" s="230"/>
    </row>
    <row r="1928">
      <c r="O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  <c r="AI1928" s="230"/>
    </row>
    <row r="1929">
      <c r="O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  <c r="AI1929" s="230"/>
    </row>
    <row r="1930">
      <c r="O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  <c r="AI1930" s="230"/>
    </row>
    <row r="1931">
      <c r="O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  <c r="AI1931" s="230"/>
    </row>
    <row r="1932">
      <c r="O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  <c r="AI1932" s="230"/>
    </row>
    <row r="1933">
      <c r="O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  <c r="AI1933" s="230"/>
    </row>
    <row r="1934">
      <c r="O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  <c r="AI1934" s="230"/>
    </row>
    <row r="1935">
      <c r="O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  <c r="AI1935" s="230"/>
    </row>
    <row r="1936">
      <c r="O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  <c r="AI1936" s="230"/>
    </row>
    <row r="1937">
      <c r="O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  <c r="AI1937" s="230"/>
    </row>
    <row r="1938">
      <c r="O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  <c r="AI1938" s="230"/>
    </row>
    <row r="1939">
      <c r="O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  <c r="AI1939" s="230"/>
    </row>
    <row r="1940">
      <c r="O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  <c r="AI1940" s="230"/>
    </row>
    <row r="1941">
      <c r="O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  <c r="AI1941" s="230"/>
    </row>
    <row r="1942">
      <c r="O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  <c r="AI1942" s="230"/>
    </row>
    <row r="1943">
      <c r="O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  <c r="AI1943" s="230"/>
    </row>
    <row r="1944">
      <c r="O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  <c r="AI1944" s="230"/>
    </row>
    <row r="1945">
      <c r="O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  <c r="AI1945" s="230"/>
    </row>
    <row r="1946">
      <c r="O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  <c r="AI1946" s="230"/>
    </row>
    <row r="1947">
      <c r="O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  <c r="AI1947" s="230"/>
    </row>
    <row r="1948">
      <c r="O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  <c r="AI1948" s="230"/>
    </row>
    <row r="1949">
      <c r="O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  <c r="AI1949" s="230"/>
    </row>
    <row r="1950">
      <c r="O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  <c r="AI1950" s="230"/>
    </row>
    <row r="1951">
      <c r="O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  <c r="AI1951" s="230"/>
    </row>
    <row r="1952">
      <c r="O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  <c r="AI1952" s="230"/>
    </row>
    <row r="1953">
      <c r="O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  <c r="AI1953" s="230"/>
    </row>
    <row r="1954">
      <c r="O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  <c r="AI1954" s="230"/>
    </row>
    <row r="1955">
      <c r="O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  <c r="AI1955" s="230"/>
    </row>
    <row r="1956">
      <c r="O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  <c r="AI1956" s="230"/>
    </row>
    <row r="1957">
      <c r="O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  <c r="AI1957" s="230"/>
    </row>
    <row r="1958">
      <c r="O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  <c r="AI1958" s="230"/>
    </row>
    <row r="1959">
      <c r="O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  <c r="AI1959" s="230"/>
    </row>
    <row r="1960">
      <c r="O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  <c r="AI1960" s="230"/>
    </row>
    <row r="1961">
      <c r="O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  <c r="AI1961" s="230"/>
    </row>
    <row r="1962">
      <c r="O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  <c r="AI1962" s="230"/>
    </row>
    <row r="1963">
      <c r="O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  <c r="AI1963" s="230"/>
    </row>
    <row r="1964">
      <c r="O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  <c r="AI1964" s="230"/>
    </row>
    <row r="1965">
      <c r="O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  <c r="AI1965" s="230"/>
    </row>
    <row r="1966">
      <c r="O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  <c r="AI1966" s="230"/>
    </row>
    <row r="1967">
      <c r="O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  <c r="AI1967" s="230"/>
    </row>
    <row r="1968">
      <c r="O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  <c r="AI1968" s="230"/>
    </row>
    <row r="1969">
      <c r="O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  <c r="AI1969" s="230"/>
    </row>
    <row r="1970">
      <c r="O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  <c r="AI1970" s="230"/>
    </row>
    <row r="1971">
      <c r="O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  <c r="AI1971" s="230"/>
    </row>
    <row r="1972">
      <c r="O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  <c r="AI1972" s="230"/>
    </row>
    <row r="1973">
      <c r="O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  <c r="AI1973" s="230"/>
    </row>
    <row r="1974">
      <c r="O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  <c r="AI1974" s="230"/>
    </row>
    <row r="1975">
      <c r="O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  <c r="AI1975" s="230"/>
    </row>
    <row r="1976">
      <c r="O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  <c r="AI1976" s="230"/>
    </row>
    <row r="1977">
      <c r="O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  <c r="AI1977" s="230"/>
    </row>
    <row r="1978">
      <c r="O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  <c r="AI1978" s="230"/>
    </row>
    <row r="1979">
      <c r="O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  <c r="AI1979" s="230"/>
    </row>
    <row r="1980">
      <c r="O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  <c r="AI1980" s="230"/>
    </row>
    <row r="1981">
      <c r="O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  <c r="AI1981" s="230"/>
    </row>
    <row r="1982">
      <c r="O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  <c r="AI1982" s="230"/>
    </row>
    <row r="1983">
      <c r="O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  <c r="AI1983" s="230"/>
    </row>
    <row r="1984">
      <c r="O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  <c r="AI1984" s="230"/>
    </row>
    <row r="1985">
      <c r="O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  <c r="AI1985" s="230"/>
    </row>
    <row r="1986">
      <c r="O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  <c r="AI1986" s="230"/>
    </row>
    <row r="1987">
      <c r="O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  <c r="AI1987" s="230"/>
    </row>
    <row r="1988">
      <c r="O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  <c r="AI1988" s="230"/>
    </row>
    <row r="1989">
      <c r="O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  <c r="AI1989" s="230"/>
    </row>
    <row r="1990">
      <c r="O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  <c r="AI1990" s="230"/>
    </row>
    <row r="1991">
      <c r="O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  <c r="AI1991" s="230"/>
    </row>
    <row r="1992">
      <c r="O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  <c r="AI1992" s="230"/>
    </row>
    <row r="1993">
      <c r="O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  <c r="AI1993" s="230"/>
    </row>
    <row r="1994">
      <c r="O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  <c r="AI1994" s="230"/>
    </row>
    <row r="1995">
      <c r="O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  <c r="AI1995" s="230"/>
    </row>
    <row r="1996">
      <c r="O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  <c r="AI1996" s="230"/>
    </row>
    <row r="1997">
      <c r="O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  <c r="AI1997" s="230"/>
    </row>
    <row r="1998">
      <c r="O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  <c r="AI1998" s="230"/>
    </row>
    <row r="1999">
      <c r="O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  <c r="AI1999" s="230"/>
    </row>
    <row r="2000">
      <c r="O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  <c r="AI2000" s="230"/>
    </row>
    <row r="2001">
      <c r="O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  <c r="AI2001" s="230"/>
    </row>
    <row r="2002">
      <c r="O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  <c r="AI2002" s="230"/>
    </row>
    <row r="2003">
      <c r="O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  <c r="AI2003" s="230"/>
    </row>
    <row r="2004">
      <c r="O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  <c r="AI2004" s="230"/>
    </row>
  </sheetData>
  <autoFilter ref="$A$1:$BM$2004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  <col customWidth="1" min="9" max="9" width="17.13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143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21.0</v>
      </c>
      <c r="C3" s="219">
        <v>462.0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2.0</v>
      </c>
      <c r="D6" s="212"/>
      <c r="E6" s="212"/>
      <c r="F6" s="221" t="s">
        <v>1371</v>
      </c>
    </row>
    <row r="7" ht="22.5" customHeight="1">
      <c r="A7" s="218" t="s">
        <v>255</v>
      </c>
      <c r="B7" s="216">
        <f>SUM('Sprint 25'!O:O)</f>
        <v>548</v>
      </c>
      <c r="C7" s="212">
        <f>ROUND(SUM('Sprint 25'!U:U)/3600,2)</f>
        <v>804.17</v>
      </c>
      <c r="D7" s="216">
        <f>SUMIF('Sprint 25'!J:J, "Done", 'Sprint 25'!O:O)</f>
        <v>300</v>
      </c>
      <c r="E7" s="212">
        <f>ROUND(SUMIF('Sprint 25'!J:J, "Done", 'Sprint 25'!U:U)/3600,2)</f>
        <v>448.17</v>
      </c>
      <c r="F7" s="217"/>
      <c r="I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25'!U:U, ('Sprint 25'!Q:Q = ""mid-sprint"")))/3600,0),2)"),0.0)</f>
        <v>0</v>
      </c>
      <c r="D9" s="212">
        <f>IFERROR(__xludf.DUMMYFUNCTION("IFERROR(SUM(FILTER('Sprint 25'!O:O, (('Sprint 25'!J:J = ""Done"")) * ('Sprint 25'!Q:Q = ""mid-sprint""))),0)"),0.0)</f>
        <v>0</v>
      </c>
      <c r="E9" s="212">
        <f>IFERROR(__xludf.DUMMYFUNCTION("ROUND(IFERROR(SUM(FILTER('Sprint 25'!U:U, (('Sprint 25'!J:J = ""Done"")) * ('Sprint 25'!P:P = ""mid-sprint"")))/3600,0),2)"),0.0)</f>
        <v>0</v>
      </c>
      <c r="F9" s="225" t="s">
        <v>257</v>
      </c>
    </row>
    <row r="10" ht="22.5" customHeight="1">
      <c r="A10" s="218" t="s">
        <v>258</v>
      </c>
      <c r="B10" s="212">
        <f>IFERROR(__xludf.DUMMYFUNCTION("ROUND(IFERROR(SUM(FILTER('Sprint 25'!U:U, ('Sprint 25'!Q:Q = ""change-request"")))/3600,0),2)"),0.0)</f>
        <v>0</v>
      </c>
      <c r="D10" s="212">
        <f>IFERROR(__xludf.DUMMYFUNCTION("IFERROR(SUM(FILTER('Sprint 25'!O:O, (('Sprint 25'!J:J = ""Done"")) * ('Sprint 25'!Q:Q = ""change-request""))),0)"),0.0)</f>
        <v>0</v>
      </c>
      <c r="E10" s="212">
        <f>IFERROR(__xludf.DUMMYFUNCTION("ROUND(IFERROR(SUM(FILTER('Sprint 25'!U:U, (('Sprint 25'!J:J = ""Done"")) * ('Sprint 25'!Q:Q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25'!O:O, ('Sprint 25'!E:E = ""Aek:Atiphat Nanthachitvanich""))),0)"),35.0)</f>
        <v>35</v>
      </c>
      <c r="C12" s="223">
        <f>IFERROR(__xludf.DUMMYFUNCTION("ROUND(IFERROR(SUM(FILTER('Sprint 25'!U:U, ('Sprint 25'!E:E = ""Aek:Atiphat Nanthachitvanich"")))/3600,0),2)"),91.0)</f>
        <v>91</v>
      </c>
      <c r="D12" s="216">
        <f>IFERROR(__xludf.DUMMYFUNCTION("IFERROR(SUM(FILTER('Sprint 25'!O:O, (('Sprint 25'!J:J = ""Done"")) * ('Sprint 25'!E:E = ""Aek:Atiphat Nanthachitvanich""))),0)"),27.0)</f>
        <v>27</v>
      </c>
      <c r="E12" s="223">
        <f>IFERROR(__xludf.DUMMYFUNCTION("ROUND(IFERROR(SUM(FILTER('Sprint 25'!U:U, (('Sprint 25'!J:J = ""Done"")) * ('Sprint 25'!E:E = ""Aek:Atiphat Nanthachitvanich"")))/3600,0),2)"),59.0)</f>
        <v>59</v>
      </c>
      <c r="F12" s="224"/>
    </row>
    <row r="13" ht="22.5" customHeight="1">
      <c r="A13" s="218" t="s">
        <v>32</v>
      </c>
      <c r="B13" s="216">
        <f>IFERROR(__xludf.DUMMYFUNCTION("IFERROR(SUM(FILTER('Sprint 25'!O:O, ('Sprint 25'!E:E = ""A:Phongthorn""))),0)"),89.0)</f>
        <v>89</v>
      </c>
      <c r="C13" s="223">
        <f>IFERROR(__xludf.DUMMYFUNCTION("ROUND(IFERROR(SUM(FILTER('Sprint 25'!U:U, ('Sprint 25'!E:E = ""A:Phongthorn"")))/3600,0),2)"),230.0)</f>
        <v>230</v>
      </c>
      <c r="D13" s="216">
        <f>IFERROR(__xludf.DUMMYFUNCTION("IFERROR(SUM(FILTER('Sprint 25'!O:O, (('Sprint 25'!J:J = ""Done"")) * ('Sprint 25'!E:E = ""A:Phongthorn""))),0)"),27.0)</f>
        <v>27</v>
      </c>
      <c r="E13" s="223">
        <f>IFERROR(__xludf.DUMMYFUNCTION("ROUND(IFERROR(SUM(FILTER('Sprint 25'!U:U, (('Sprint 25'!J:J = ""Done"")) * ('Sprint 25'!E:E = ""A:Phongthorn"")))/3600,0),2)"),68.0)</f>
        <v>68</v>
      </c>
      <c r="F13" s="224"/>
    </row>
    <row r="14" ht="22.5" customHeight="1">
      <c r="A14" s="218" t="s">
        <v>72</v>
      </c>
      <c r="B14" s="216">
        <f>IFERROR(__xludf.DUMMYFUNCTION("IFERROR(SUM(FILTER('Sprint 25'!O:O, ('Sprint 25'!E:E = ""Aom: Pornsawan Polnyiem""))),0)"),47.0)</f>
        <v>47</v>
      </c>
      <c r="C14" s="223">
        <f>IFERROR(__xludf.DUMMYFUNCTION("ROUND(IFERROR(SUM(FILTER('Sprint 25'!U:U, ('Sprint 25'!E:E = ""Aom: Pornsawan Polnyiem"")))/3600,0),2)"),0.17)</f>
        <v>0.17</v>
      </c>
      <c r="D14" s="216">
        <f>IFERROR(__xludf.DUMMYFUNCTION("IFERROR(SUM(FILTER('Sprint 25'!O:O, (('Sprint 25'!J:J = ""Done"")) * ('Sprint 25'!E:E = ""Aom: Pornsawan Polnyiem""))),0)"),43.0)</f>
        <v>43</v>
      </c>
      <c r="E14" s="223">
        <f>IFERROR(__xludf.DUMMYFUNCTION("ROUND(IFERROR(SUM(FILTER('Sprint 25'!U:U, (('Sprint 25'!J:J = ""Done"")) * ('Sprint 25'!E:E = ""Aom: Pornsawan Polnyiem"")))/3600,0),2)"),0.17)</f>
        <v>0.17</v>
      </c>
      <c r="F14" s="224"/>
    </row>
    <row r="15" ht="22.5" customHeight="1">
      <c r="A15" s="218" t="s">
        <v>24</v>
      </c>
      <c r="B15" s="216">
        <f>IFERROR(__xludf.DUMMYFUNCTION("IFERROR(SUM(FILTER('Sprint 25'!O:O, ('Sprint 25'!E:E = ""Zan : Isarapong Bulan""))),0)"),9.0)</f>
        <v>9</v>
      </c>
      <c r="C15" s="223">
        <f>IFERROR(__xludf.DUMMYFUNCTION("ROUND(IFERROR(SUM(FILTER('Sprint 25'!U:U, ('Sprint 25'!E:E = ""Zan : Isarapong Bulan"")))/3600,0),2)"),0.0)</f>
        <v>0</v>
      </c>
      <c r="D15" s="216">
        <f>IFERROR(__xludf.DUMMYFUNCTION("IFERROR(SUM(FILTER('Sprint 25'!O:O, (('Sprint 25'!J:J = ""Done"")) * ('Sprint 25'!E:E = ""Zan : Isarapong Bulan""))),0)"),1.0)</f>
        <v>1</v>
      </c>
      <c r="E15" s="223">
        <f>IFERROR(__xludf.DUMMYFUNCTION("ROUND(IFERROR(SUM(FILTER('Sprint 25'!U:U, (('Sprint 25'!J:J = ""Done"")) * ('Sprint 25'!E:E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25'!O:O, ('Sprint 25'!E:E = ""Mai:Sateta Abvanawong""))),0)"),73.0)</f>
        <v>73</v>
      </c>
      <c r="C16" s="223">
        <f>IFERROR(__xludf.DUMMYFUNCTION("ROUND(IFERROR(SUM(FILTER('Sprint 25'!U:U, ('Sprint 25'!E:E = ""Mai:Sateta Abvanawong"")))/3600,0),2)"),146.0)</f>
        <v>146</v>
      </c>
      <c r="D16" s="216">
        <f>IFERROR(__xludf.DUMMYFUNCTION("IFERROR(SUM(FILTER('Sprint 25'!O:O, (('Sprint 25'!J:J = ""Done"")) * ('Sprint 25'!E:E = ""Mai:Sateta Abvanawong""))),0)"),55.0)</f>
        <v>55</v>
      </c>
      <c r="E16" s="223">
        <f>IFERROR(__xludf.DUMMYFUNCTION("ROUND(IFERROR(SUM(FILTER('Sprint 25'!U:U, (('Sprint 25'!J:J = ""Done"")) * ('Sprint 25'!E:E = ""Mai:Sateta Abvanawong""))),0)/3600,2)"),118.0)</f>
        <v>118</v>
      </c>
      <c r="F16" s="224"/>
    </row>
    <row r="17" ht="22.5" customHeight="1">
      <c r="A17" s="218" t="s">
        <v>74</v>
      </c>
      <c r="B17" s="216">
        <f>IFERROR(__xludf.DUMMYFUNCTION("IFERROR(SUM(FILTER('Sprint 25'!O:O, ('Sprint 25'!E:E = ""Mac: Jarupong Pawichpongkul""))),0)"),84.0)</f>
        <v>84</v>
      </c>
      <c r="C17" s="223">
        <f>IFERROR(__xludf.DUMMYFUNCTION("ROUND(IFERROR(SUM(FILTER('Sprint 25'!U:U, ('Sprint 25'!E:E = ""Mac: Jarupong Pawichpongkul"")))/3600,0),2)"),176.0)</f>
        <v>176</v>
      </c>
      <c r="D17" s="216">
        <f>IFERROR(__xludf.DUMMYFUNCTION("IFERROR(SUM(FILTER('Sprint 25'!O:O, (('Sprint 25'!J:J = ""Done"")) * ('Sprint 25'!E:E = ""Mac: Jarupong Pawichpongkul""))),0)"),57.0)</f>
        <v>57</v>
      </c>
      <c r="E17" s="223">
        <f>IFERROR(__xludf.DUMMYFUNCTION("ROUND(IFERROR(SUM(FILTER('Sprint 25'!U:U, (('Sprint 25'!J:J = ""Done"")) * ('Sprint 25'!E:E = ""Mac: Jarupong Pawichpongkul"")))/3600,0),2)"),120.0)</f>
        <v>120</v>
      </c>
      <c r="F17" s="224"/>
    </row>
    <row r="18" ht="22.5" customHeight="1">
      <c r="A18" s="218" t="s">
        <v>75</v>
      </c>
      <c r="B18" s="216">
        <f>IFERROR(__xludf.DUMMYFUNCTION("IFERROR(SUM(FILTER('Sprint 25'!O:O, ('Sprint 25'!E:E = ""Moss : Kittapath Sangvikukit""))),0)"),71.0)</f>
        <v>71</v>
      </c>
      <c r="C18" s="223">
        <f>IFERROR(__xludf.DUMMYFUNCTION("ROUND(IFERROR(SUM(FILTER('Sprint 25'!U:U, ('Sprint 25'!E:E = ""Moss : Kittapath Sangvikukit"")))/3600,0),2)"),121.0)</f>
        <v>121</v>
      </c>
      <c r="D18" s="216">
        <f>IFERROR(__xludf.DUMMYFUNCTION("IFERROR(SUM(FILTER('Sprint 25'!O:O, (('Sprint 25'!J:J = ""Done"")) * ('Sprint 25'!E:E = ""Moss : Kittapath Sangvikukit""))),0)"),32.0)</f>
        <v>32</v>
      </c>
      <c r="E18" s="223">
        <f>IFERROR(__xludf.DUMMYFUNCTION("ROUND(IFERROR(SUM(FILTER('Sprint 25'!U:U, (('Sprint 25'!J:J = ""Done"")) * ('Sprint 25'!E:E = ""Moss : Kittapath Sangvikukit"")))/3600,0),2)"),51.0)</f>
        <v>51</v>
      </c>
      <c r="F18" s="224"/>
    </row>
    <row r="19" ht="22.5" customHeight="1">
      <c r="A19" s="218" t="s">
        <v>28</v>
      </c>
      <c r="B19" s="216">
        <f>IFERROR(__xludf.DUMMYFUNCTION("IFERROR(SUM(FILTER('Sprint 25'!O:O, ('Sprint 25'!E:E = ""Jack: Warin Kesorn""))),0)"),5.0)</f>
        <v>5</v>
      </c>
      <c r="C19" s="223">
        <f>IFERROR(__xludf.DUMMYFUNCTION("ROUND(IFERROR(SUM(FILTER('Sprint 25'!U:U, ('Sprint 25'!E:E = ""Jack: Warin Kesorn"")))/3600,0),2)"),0.0)</f>
        <v>0</v>
      </c>
      <c r="D19" s="216">
        <f>IFERROR(__xludf.DUMMYFUNCTION("IFERROR(SUM(FILTER('Sprint 25'!O:O, (('Sprint 25'!J:J = ""Done"")) * ('Sprint 25'!E:E = ""Jack: Warin Kesorn""))),0)"),5.0)</f>
        <v>5</v>
      </c>
      <c r="E19" s="223">
        <f>IFERROR(__xludf.DUMMYFUNCTION("ROUND(IFERROR(SUM(FILTER('Sprint 25'!U:U, (('Sprint 25'!J:J = ""Done"")) * ('Sprint 25'!E:E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25'!O:O, ('Sprint 25'!E:E = ""Nim : muthita munmueang""))),0)"),64.0)</f>
        <v>64</v>
      </c>
      <c r="C20" s="223">
        <f>IFERROR(__xludf.DUMMYFUNCTION("ROUND(IFERROR(SUM(FILTER('Sprint 25'!U:U, ('Sprint 25'!E:E = ""Nim : muthita munmueang"")))/3600,0),2)"),40.0)</f>
        <v>40</v>
      </c>
      <c r="D20" s="216">
        <f>IFERROR(__xludf.DUMMYFUNCTION("IFERROR(SUM(FILTER('Sprint 25'!O:O, (('Sprint 25'!J:J = ""Done"")) * ('Sprint 25'!E:E = ""Nim : muthita munmueang""))),0)"),39.0)</f>
        <v>39</v>
      </c>
      <c r="E20" s="223">
        <f>IFERROR(__xludf.DUMMYFUNCTION("ROUND(IFERROR(SUM(FILTER('Sprint 25'!U:U, (('Sprint 25'!J:J = ""Done"")) * ('Sprint 25'!E:E = ""Nim : muthita munmueang"")))/3600,0),2)"),32.0)</f>
        <v>32</v>
      </c>
      <c r="F20" s="224"/>
    </row>
    <row r="21" ht="22.5" customHeight="1">
      <c r="A21" s="221" t="s">
        <v>77</v>
      </c>
      <c r="B21" s="224">
        <f>IFERROR(__xludf.DUMMYFUNCTION("IFERROR(SUM(FILTER('Sprint 25'!O:O, ('Sprint 25'!E:E = ""Arm:Worawat Chotipongchoawalit""))),0)"),71.0)</f>
        <v>71</v>
      </c>
      <c r="C21" s="223">
        <f>IFERROR(__xludf.DUMMYFUNCTION("ROUND(IFERROR(SUM(FILTER('Sprint 25'!U:U, ('Sprint 25'!E:E = ""Arm:Worawat Chotipongchoawalit"")))/3600,0),2)"),0.0)</f>
        <v>0</v>
      </c>
      <c r="D21" s="216">
        <f>IFERROR(__xludf.DUMMYFUNCTION("IFERROR(SUM(FILTER('Sprint 25'!O:O, (('Sprint 25'!J:J = ""Done"")) * ('Sprint 25'!E:E = ""Arm:Worawat Chotipongchoawalit""))),0)"),14.0)</f>
        <v>14</v>
      </c>
      <c r="E21" s="223">
        <f>IFERROR(__xludf.DUMMYFUNCTION("ROUND(IFERROR(SUM(FILTER('Sprint 25'!U:U, (('Sprint 25'!J:J = ""Done"")) * ('Sprint 25'!E:E = ""Arm:Worawat Chotipongchoawalit"")))/3600,0),2)"),0.0)</f>
        <v>0</v>
      </c>
      <c r="F21" s="224"/>
    </row>
    <row r="22">
      <c r="C22" s="125"/>
    </row>
    <row r="23">
      <c r="C23" s="125"/>
    </row>
    <row r="24" ht="20.25" customHeight="1">
      <c r="A24" s="226"/>
      <c r="B24" s="227"/>
      <c r="C24" s="227"/>
      <c r="D24" s="227"/>
      <c r="E24" s="227"/>
      <c r="F24" s="227"/>
      <c r="G24" s="227"/>
      <c r="H24" s="227"/>
      <c r="I24" s="227"/>
      <c r="J24" s="227"/>
      <c r="K24" s="227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>
      <c r="A25" s="102"/>
    </row>
    <row r="26">
      <c r="A26" s="102"/>
    </row>
    <row r="27" ht="32.25" customHeight="1">
      <c r="A27" s="102"/>
    </row>
    <row r="28" ht="22.5" customHeight="1">
      <c r="A28" s="102"/>
    </row>
    <row r="29">
      <c r="A29" s="102"/>
      <c r="B29" s="102"/>
    </row>
    <row r="30" ht="21.0" customHeight="1">
      <c r="A30" s="102"/>
      <c r="B30" s="102"/>
      <c r="F30" s="102"/>
    </row>
    <row r="31">
      <c r="C31" s="125"/>
    </row>
    <row r="32">
      <c r="C32" s="125"/>
    </row>
    <row r="33">
      <c r="C33" s="125"/>
    </row>
    <row r="34">
      <c r="C34" s="125"/>
    </row>
    <row r="35">
      <c r="C35" s="125"/>
    </row>
    <row r="36">
      <c r="C36" s="125"/>
    </row>
    <row r="37">
      <c r="C37" s="125"/>
    </row>
    <row r="38">
      <c r="C38" s="125"/>
    </row>
    <row r="39">
      <c r="C39" s="125"/>
    </row>
    <row r="40">
      <c r="C40" s="125"/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</sheetData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39" width="17.5"/>
    <col customWidth="1" min="40" max="40" width="21.38"/>
    <col customWidth="1" min="41" max="43" width="17.5"/>
    <col customWidth="1" min="44" max="44" width="21.25"/>
    <col customWidth="1" min="45" max="45" width="17.5"/>
    <col customWidth="1" min="46" max="46" width="21.25"/>
    <col customWidth="1" min="47" max="47" width="20.13"/>
    <col customWidth="1" min="48" max="48" width="21.25"/>
    <col customWidth="1" min="49" max="49" width="20.13"/>
    <col customWidth="1" min="50" max="50" width="21.25"/>
    <col customWidth="1" min="51" max="51" width="20.13"/>
    <col customWidth="1" min="53" max="53" width="17.5"/>
    <col customWidth="1" min="54" max="54" width="21.25"/>
    <col customWidth="1" min="55" max="55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274</v>
      </c>
      <c r="T1" s="102" t="s">
        <v>274</v>
      </c>
      <c r="U1" s="102" t="s">
        <v>275</v>
      </c>
      <c r="V1" s="102" t="s">
        <v>70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102" t="s">
        <v>70</v>
      </c>
      <c r="AF1" s="102" t="s">
        <v>70</v>
      </c>
      <c r="AG1" s="102" t="s">
        <v>70</v>
      </c>
      <c r="AH1" s="102" t="s">
        <v>70</v>
      </c>
      <c r="AQ1" s="102"/>
      <c r="AR1" s="102"/>
      <c r="BL1" s="88"/>
      <c r="BM1" s="88"/>
    </row>
    <row r="2">
      <c r="A2" s="102" t="s">
        <v>276</v>
      </c>
      <c r="B2" s="102" t="s">
        <v>518</v>
      </c>
      <c r="C2" s="229" t="s">
        <v>519</v>
      </c>
      <c r="D2" s="102" t="s">
        <v>520</v>
      </c>
      <c r="E2" s="102" t="s">
        <v>521</v>
      </c>
      <c r="F2" s="102" t="s">
        <v>522</v>
      </c>
      <c r="G2" s="102" t="s">
        <v>521</v>
      </c>
      <c r="H2" s="102" t="s">
        <v>522</v>
      </c>
      <c r="I2" s="102" t="s">
        <v>284</v>
      </c>
      <c r="J2" s="102" t="s">
        <v>26</v>
      </c>
      <c r="L2" s="229" t="s">
        <v>523</v>
      </c>
      <c r="M2" s="229" t="s">
        <v>524</v>
      </c>
      <c r="O2" s="230"/>
      <c r="U2" s="230"/>
      <c r="V2" s="102" t="s">
        <v>417</v>
      </c>
      <c r="W2" s="102" t="s">
        <v>324</v>
      </c>
    </row>
    <row r="3">
      <c r="A3" s="102" t="s">
        <v>276</v>
      </c>
      <c r="B3" s="102" t="s">
        <v>525</v>
      </c>
      <c r="C3" s="229" t="s">
        <v>526</v>
      </c>
      <c r="D3" s="102" t="s">
        <v>279</v>
      </c>
      <c r="E3" s="102" t="s">
        <v>280</v>
      </c>
      <c r="F3" s="102" t="s">
        <v>281</v>
      </c>
      <c r="G3" s="102" t="s">
        <v>282</v>
      </c>
      <c r="H3" s="102" t="s">
        <v>283</v>
      </c>
      <c r="I3" s="102" t="s">
        <v>284</v>
      </c>
      <c r="J3" s="102" t="s">
        <v>63</v>
      </c>
      <c r="L3" s="229" t="s">
        <v>527</v>
      </c>
      <c r="M3" s="229" t="s">
        <v>527</v>
      </c>
      <c r="O3" s="230"/>
      <c r="U3" s="230"/>
      <c r="V3" s="102" t="s">
        <v>529</v>
      </c>
      <c r="W3" s="102" t="s">
        <v>298</v>
      </c>
      <c r="X3" s="102" t="s">
        <v>299</v>
      </c>
      <c r="Y3" s="102" t="s">
        <v>286</v>
      </c>
      <c r="Z3" s="102" t="s">
        <v>287</v>
      </c>
      <c r="AA3" s="102" t="s">
        <v>288</v>
      </c>
    </row>
    <row r="4">
      <c r="A4" s="102" t="s">
        <v>276</v>
      </c>
      <c r="B4" s="102" t="s">
        <v>530</v>
      </c>
      <c r="C4" s="229" t="s">
        <v>531</v>
      </c>
      <c r="D4" s="102" t="s">
        <v>291</v>
      </c>
      <c r="E4" s="102" t="s">
        <v>280</v>
      </c>
      <c r="F4" s="102" t="s">
        <v>281</v>
      </c>
      <c r="G4" s="102" t="s">
        <v>282</v>
      </c>
      <c r="H4" s="102" t="s">
        <v>283</v>
      </c>
      <c r="I4" s="102" t="s">
        <v>284</v>
      </c>
      <c r="J4" s="102" t="s">
        <v>34</v>
      </c>
      <c r="L4" s="229" t="s">
        <v>527</v>
      </c>
      <c r="M4" s="229" t="s">
        <v>1372</v>
      </c>
      <c r="O4" s="230"/>
      <c r="U4" s="230"/>
      <c r="V4" s="102" t="s">
        <v>529</v>
      </c>
      <c r="W4" s="102" t="s">
        <v>298</v>
      </c>
      <c r="X4" s="102" t="s">
        <v>299</v>
      </c>
      <c r="Y4" s="102" t="s">
        <v>286</v>
      </c>
      <c r="Z4" s="102" t="s">
        <v>287</v>
      </c>
      <c r="AA4" s="102" t="s">
        <v>288</v>
      </c>
    </row>
    <row r="5">
      <c r="A5" s="102" t="s">
        <v>276</v>
      </c>
      <c r="B5" s="102" t="s">
        <v>597</v>
      </c>
      <c r="C5" s="229" t="s">
        <v>598</v>
      </c>
      <c r="D5" s="102" t="s">
        <v>279</v>
      </c>
      <c r="E5" s="102" t="s">
        <v>280</v>
      </c>
      <c r="F5" s="102" t="s">
        <v>281</v>
      </c>
      <c r="G5" s="102" t="s">
        <v>282</v>
      </c>
      <c r="H5" s="102" t="s">
        <v>283</v>
      </c>
      <c r="I5" s="102" t="s">
        <v>284</v>
      </c>
      <c r="J5" s="102" t="s">
        <v>63</v>
      </c>
      <c r="L5" s="229" t="s">
        <v>599</v>
      </c>
      <c r="M5" s="229" t="s">
        <v>1373</v>
      </c>
      <c r="O5" s="230"/>
      <c r="U5" s="230"/>
      <c r="V5" s="102" t="s">
        <v>529</v>
      </c>
      <c r="W5" s="102" t="s">
        <v>298</v>
      </c>
      <c r="X5" s="102" t="s">
        <v>299</v>
      </c>
      <c r="Y5" s="102" t="s">
        <v>286</v>
      </c>
      <c r="Z5" s="102" t="s">
        <v>287</v>
      </c>
      <c r="AA5" s="102" t="s">
        <v>288</v>
      </c>
    </row>
    <row r="6">
      <c r="A6" s="102" t="s">
        <v>276</v>
      </c>
      <c r="B6" s="102" t="s">
        <v>601</v>
      </c>
      <c r="C6" s="229" t="s">
        <v>602</v>
      </c>
      <c r="D6" s="102" t="s">
        <v>291</v>
      </c>
      <c r="E6" s="102" t="s">
        <v>280</v>
      </c>
      <c r="F6" s="102" t="s">
        <v>281</v>
      </c>
      <c r="G6" s="102" t="s">
        <v>282</v>
      </c>
      <c r="H6" s="102" t="s">
        <v>283</v>
      </c>
      <c r="I6" s="102" t="s">
        <v>284</v>
      </c>
      <c r="J6" s="102" t="s">
        <v>34</v>
      </c>
      <c r="L6" s="229" t="s">
        <v>599</v>
      </c>
      <c r="M6" s="229" t="s">
        <v>1372</v>
      </c>
      <c r="O6" s="230"/>
      <c r="U6" s="230"/>
      <c r="V6" s="102" t="s">
        <v>529</v>
      </c>
      <c r="W6" s="102" t="s">
        <v>298</v>
      </c>
      <c r="X6" s="102" t="s">
        <v>299</v>
      </c>
      <c r="Y6" s="102" t="s">
        <v>286</v>
      </c>
      <c r="Z6" s="102" t="s">
        <v>287</v>
      </c>
      <c r="AA6" s="102" t="s">
        <v>288</v>
      </c>
    </row>
    <row r="7">
      <c r="A7" s="102" t="s">
        <v>276</v>
      </c>
      <c r="B7" s="102" t="s">
        <v>603</v>
      </c>
      <c r="C7" s="229" t="s">
        <v>604</v>
      </c>
      <c r="D7" s="102" t="s">
        <v>279</v>
      </c>
      <c r="E7" s="102" t="s">
        <v>280</v>
      </c>
      <c r="F7" s="102" t="s">
        <v>281</v>
      </c>
      <c r="G7" s="102" t="s">
        <v>282</v>
      </c>
      <c r="H7" s="102" t="s">
        <v>283</v>
      </c>
      <c r="I7" s="102" t="s">
        <v>284</v>
      </c>
      <c r="J7" s="102" t="s">
        <v>63</v>
      </c>
      <c r="L7" s="229" t="s">
        <v>599</v>
      </c>
      <c r="M7" s="229" t="s">
        <v>599</v>
      </c>
      <c r="O7" s="230"/>
      <c r="U7" s="230"/>
      <c r="V7" s="102" t="s">
        <v>286</v>
      </c>
      <c r="W7" s="102" t="s">
        <v>287</v>
      </c>
      <c r="X7" s="102" t="s">
        <v>288</v>
      </c>
    </row>
    <row r="8">
      <c r="A8" s="102" t="s">
        <v>276</v>
      </c>
      <c r="B8" s="102" t="s">
        <v>605</v>
      </c>
      <c r="C8" s="229" t="s">
        <v>606</v>
      </c>
      <c r="D8" s="102" t="s">
        <v>279</v>
      </c>
      <c r="E8" s="102" t="s">
        <v>280</v>
      </c>
      <c r="F8" s="102" t="s">
        <v>281</v>
      </c>
      <c r="G8" s="102" t="s">
        <v>282</v>
      </c>
      <c r="H8" s="102" t="s">
        <v>283</v>
      </c>
      <c r="I8" s="102" t="s">
        <v>284</v>
      </c>
      <c r="J8" s="102" t="s">
        <v>63</v>
      </c>
      <c r="L8" s="229" t="s">
        <v>599</v>
      </c>
      <c r="M8" s="229" t="s">
        <v>599</v>
      </c>
      <c r="O8" s="230"/>
      <c r="U8" s="230"/>
      <c r="V8" s="102" t="s">
        <v>286</v>
      </c>
      <c r="W8" s="102" t="s">
        <v>287</v>
      </c>
      <c r="X8" s="102" t="s">
        <v>288</v>
      </c>
    </row>
    <row r="9">
      <c r="A9" s="102" t="s">
        <v>276</v>
      </c>
      <c r="B9" s="102" t="s">
        <v>608</v>
      </c>
      <c r="C9" s="229" t="s">
        <v>609</v>
      </c>
      <c r="D9" s="102" t="s">
        <v>291</v>
      </c>
      <c r="E9" s="102" t="s">
        <v>280</v>
      </c>
      <c r="F9" s="102" t="s">
        <v>281</v>
      </c>
      <c r="G9" s="102" t="s">
        <v>282</v>
      </c>
      <c r="H9" s="102" t="s">
        <v>283</v>
      </c>
      <c r="I9" s="102" t="s">
        <v>284</v>
      </c>
      <c r="J9" s="102" t="s">
        <v>34</v>
      </c>
      <c r="L9" s="229" t="s">
        <v>599</v>
      </c>
      <c r="M9" s="229" t="s">
        <v>1372</v>
      </c>
      <c r="O9" s="230"/>
      <c r="U9" s="230"/>
      <c r="V9" s="102" t="s">
        <v>286</v>
      </c>
      <c r="W9" s="102" t="s">
        <v>287</v>
      </c>
      <c r="X9" s="102" t="s">
        <v>288</v>
      </c>
    </row>
    <row r="10">
      <c r="A10" s="102" t="s">
        <v>276</v>
      </c>
      <c r="B10" s="102" t="s">
        <v>610</v>
      </c>
      <c r="C10" s="229" t="s">
        <v>611</v>
      </c>
      <c r="D10" s="102" t="s">
        <v>291</v>
      </c>
      <c r="E10" s="102" t="s">
        <v>280</v>
      </c>
      <c r="F10" s="102" t="s">
        <v>281</v>
      </c>
      <c r="G10" s="102" t="s">
        <v>282</v>
      </c>
      <c r="H10" s="102" t="s">
        <v>283</v>
      </c>
      <c r="I10" s="102" t="s">
        <v>284</v>
      </c>
      <c r="J10" s="102" t="s">
        <v>34</v>
      </c>
      <c r="L10" s="229" t="s">
        <v>599</v>
      </c>
      <c r="M10" s="229" t="s">
        <v>1372</v>
      </c>
      <c r="O10" s="230"/>
      <c r="U10" s="230"/>
      <c r="V10" s="102" t="s">
        <v>286</v>
      </c>
      <c r="W10" s="102" t="s">
        <v>287</v>
      </c>
      <c r="X10" s="102" t="s">
        <v>288</v>
      </c>
    </row>
    <row r="11">
      <c r="A11" s="102" t="s">
        <v>276</v>
      </c>
      <c r="B11" s="102" t="s">
        <v>612</v>
      </c>
      <c r="C11" s="229" t="s">
        <v>613</v>
      </c>
      <c r="D11" s="102" t="s">
        <v>279</v>
      </c>
      <c r="E11" s="102" t="s">
        <v>280</v>
      </c>
      <c r="F11" s="102" t="s">
        <v>281</v>
      </c>
      <c r="G11" s="102" t="s">
        <v>282</v>
      </c>
      <c r="H11" s="102" t="s">
        <v>283</v>
      </c>
      <c r="I11" s="102" t="s">
        <v>284</v>
      </c>
      <c r="J11" s="102" t="s">
        <v>63</v>
      </c>
      <c r="L11" s="229" t="s">
        <v>599</v>
      </c>
      <c r="M11" s="229" t="s">
        <v>599</v>
      </c>
      <c r="O11" s="230"/>
      <c r="U11" s="230"/>
      <c r="V11" s="102" t="s">
        <v>286</v>
      </c>
      <c r="W11" s="102" t="s">
        <v>287</v>
      </c>
      <c r="X11" s="102" t="s">
        <v>288</v>
      </c>
    </row>
    <row r="12">
      <c r="A12" s="102" t="s">
        <v>276</v>
      </c>
      <c r="B12" s="102" t="s">
        <v>614</v>
      </c>
      <c r="C12" s="229" t="s">
        <v>615</v>
      </c>
      <c r="D12" s="102" t="s">
        <v>291</v>
      </c>
      <c r="E12" s="102" t="s">
        <v>280</v>
      </c>
      <c r="F12" s="102" t="s">
        <v>281</v>
      </c>
      <c r="G12" s="102" t="s">
        <v>282</v>
      </c>
      <c r="H12" s="102" t="s">
        <v>283</v>
      </c>
      <c r="I12" s="102" t="s">
        <v>284</v>
      </c>
      <c r="J12" s="102" t="s">
        <v>34</v>
      </c>
      <c r="L12" s="229" t="s">
        <v>599</v>
      </c>
      <c r="M12" s="229" t="s">
        <v>1372</v>
      </c>
      <c r="O12" s="230"/>
      <c r="U12" s="230"/>
      <c r="V12" s="102" t="s">
        <v>286</v>
      </c>
      <c r="W12" s="102" t="s">
        <v>287</v>
      </c>
      <c r="X12" s="102" t="s">
        <v>288</v>
      </c>
    </row>
    <row r="13">
      <c r="A13" s="102" t="s">
        <v>332</v>
      </c>
      <c r="B13" s="102" t="s">
        <v>1374</v>
      </c>
      <c r="C13" s="229" t="s">
        <v>1375</v>
      </c>
      <c r="D13" s="102" t="s">
        <v>1376</v>
      </c>
      <c r="E13" s="102" t="s">
        <v>564</v>
      </c>
      <c r="F13" s="102" t="s">
        <v>565</v>
      </c>
      <c r="G13" s="102" t="s">
        <v>280</v>
      </c>
      <c r="H13" s="102" t="s">
        <v>281</v>
      </c>
      <c r="I13" s="102" t="s">
        <v>284</v>
      </c>
      <c r="J13" s="102" t="s">
        <v>336</v>
      </c>
      <c r="L13" s="229" t="s">
        <v>1377</v>
      </c>
      <c r="M13" s="229" t="s">
        <v>1378</v>
      </c>
      <c r="O13" s="230"/>
      <c r="U13" s="230"/>
      <c r="V13" s="102" t="s">
        <v>287</v>
      </c>
    </row>
    <row r="14">
      <c r="A14" s="102" t="s">
        <v>310</v>
      </c>
      <c r="B14" s="102" t="s">
        <v>709</v>
      </c>
      <c r="C14" s="229" t="s">
        <v>710</v>
      </c>
      <c r="D14" s="102" t="s">
        <v>711</v>
      </c>
      <c r="E14" s="102" t="s">
        <v>564</v>
      </c>
      <c r="F14" s="102" t="s">
        <v>565</v>
      </c>
      <c r="G14" s="102" t="s">
        <v>353</v>
      </c>
      <c r="H14" s="102" t="s">
        <v>354</v>
      </c>
      <c r="I14" s="102" t="s">
        <v>284</v>
      </c>
      <c r="J14" s="102" t="s">
        <v>454</v>
      </c>
      <c r="L14" s="229" t="s">
        <v>712</v>
      </c>
      <c r="M14" s="229" t="s">
        <v>949</v>
      </c>
      <c r="N14" s="229" t="s">
        <v>713</v>
      </c>
      <c r="O14" s="102">
        <v>1.0</v>
      </c>
      <c r="U14" s="230"/>
      <c r="V14" s="102" t="s">
        <v>714</v>
      </c>
      <c r="W14" s="102" t="s">
        <v>358</v>
      </c>
    </row>
    <row r="15">
      <c r="A15" s="102" t="s">
        <v>276</v>
      </c>
      <c r="B15" s="102" t="s">
        <v>1379</v>
      </c>
      <c r="C15" s="229" t="s">
        <v>1380</v>
      </c>
      <c r="D15" s="102" t="s">
        <v>1381</v>
      </c>
      <c r="E15" s="102" t="s">
        <v>521</v>
      </c>
      <c r="F15" s="102" t="s">
        <v>522</v>
      </c>
      <c r="G15" s="102" t="s">
        <v>521</v>
      </c>
      <c r="H15" s="102" t="s">
        <v>522</v>
      </c>
      <c r="I15" s="102" t="s">
        <v>284</v>
      </c>
      <c r="J15" s="102" t="s">
        <v>26</v>
      </c>
      <c r="L15" s="229" t="s">
        <v>1382</v>
      </c>
      <c r="M15" s="229" t="s">
        <v>1383</v>
      </c>
      <c r="O15" s="230"/>
      <c r="U15" s="230"/>
      <c r="V15" s="102" t="s">
        <v>1005</v>
      </c>
      <c r="W15" s="102" t="s">
        <v>395</v>
      </c>
    </row>
    <row r="16">
      <c r="A16" s="102" t="s">
        <v>310</v>
      </c>
      <c r="B16" s="102" t="s">
        <v>761</v>
      </c>
      <c r="C16" s="229" t="s">
        <v>762</v>
      </c>
      <c r="D16" s="102" t="s">
        <v>763</v>
      </c>
      <c r="E16" s="102" t="s">
        <v>353</v>
      </c>
      <c r="F16" s="102" t="s">
        <v>354</v>
      </c>
      <c r="G16" s="102" t="s">
        <v>316</v>
      </c>
      <c r="H16" s="102" t="s">
        <v>317</v>
      </c>
      <c r="I16" s="102" t="s">
        <v>318</v>
      </c>
      <c r="J16" s="102" t="s">
        <v>34</v>
      </c>
      <c r="L16" s="229" t="s">
        <v>764</v>
      </c>
      <c r="M16" s="229" t="s">
        <v>1384</v>
      </c>
      <c r="N16" s="229" t="s">
        <v>713</v>
      </c>
      <c r="O16" s="230"/>
      <c r="P16" s="102" t="s">
        <v>322</v>
      </c>
      <c r="Q16" s="102" t="s">
        <v>538</v>
      </c>
      <c r="U16" s="230"/>
      <c r="V16" s="102" t="s">
        <v>417</v>
      </c>
      <c r="W16" s="102" t="s">
        <v>324</v>
      </c>
    </row>
    <row r="17">
      <c r="A17" s="102" t="s">
        <v>310</v>
      </c>
      <c r="B17" s="102" t="s">
        <v>1385</v>
      </c>
      <c r="C17" s="229" t="s">
        <v>1386</v>
      </c>
      <c r="D17" s="102" t="s">
        <v>1387</v>
      </c>
      <c r="E17" s="102" t="s">
        <v>314</v>
      </c>
      <c r="F17" s="102" t="s">
        <v>315</v>
      </c>
      <c r="G17" s="102" t="s">
        <v>316</v>
      </c>
      <c r="H17" s="102" t="s">
        <v>317</v>
      </c>
      <c r="I17" s="102" t="s">
        <v>515</v>
      </c>
      <c r="J17" s="102" t="s">
        <v>26</v>
      </c>
      <c r="L17" s="229" t="s">
        <v>1388</v>
      </c>
      <c r="M17" s="229" t="s">
        <v>1389</v>
      </c>
      <c r="N17" s="229" t="s">
        <v>713</v>
      </c>
      <c r="O17" s="102">
        <v>1.0</v>
      </c>
      <c r="P17" s="102" t="s">
        <v>322</v>
      </c>
      <c r="U17" s="102">
        <v>600.0</v>
      </c>
      <c r="V17" s="102" t="s">
        <v>417</v>
      </c>
    </row>
    <row r="18">
      <c r="A18" s="102" t="s">
        <v>310</v>
      </c>
      <c r="B18" s="102" t="s">
        <v>1390</v>
      </c>
      <c r="C18" s="229" t="s">
        <v>1391</v>
      </c>
      <c r="D18" s="102" t="s">
        <v>1392</v>
      </c>
      <c r="E18" s="102" t="s">
        <v>304</v>
      </c>
      <c r="F18" s="102" t="s">
        <v>305</v>
      </c>
      <c r="G18" s="102" t="s">
        <v>362</v>
      </c>
      <c r="H18" s="102" t="s">
        <v>363</v>
      </c>
      <c r="I18" s="102" t="s">
        <v>284</v>
      </c>
      <c r="J18" s="102" t="s">
        <v>26</v>
      </c>
      <c r="L18" s="229" t="s">
        <v>1393</v>
      </c>
      <c r="M18" s="229" t="s">
        <v>1394</v>
      </c>
      <c r="N18" s="229" t="s">
        <v>888</v>
      </c>
      <c r="O18" s="230"/>
      <c r="P18" s="102" t="s">
        <v>27</v>
      </c>
      <c r="Q18" s="102" t="s">
        <v>367</v>
      </c>
      <c r="R18" s="102" t="s">
        <v>930</v>
      </c>
      <c r="U18" s="230"/>
      <c r="V18" s="102" t="s">
        <v>417</v>
      </c>
    </row>
    <row r="19">
      <c r="A19" s="102" t="s">
        <v>332</v>
      </c>
      <c r="B19" s="102" t="s">
        <v>1395</v>
      </c>
      <c r="C19" s="229" t="s">
        <v>1396</v>
      </c>
      <c r="D19" s="102" t="s">
        <v>1397</v>
      </c>
      <c r="E19" s="102" t="s">
        <v>556</v>
      </c>
      <c r="F19" s="102" t="s">
        <v>557</v>
      </c>
      <c r="G19" s="102" t="s">
        <v>280</v>
      </c>
      <c r="H19" s="102" t="s">
        <v>281</v>
      </c>
      <c r="I19" s="102" t="s">
        <v>284</v>
      </c>
      <c r="J19" s="102" t="s">
        <v>336</v>
      </c>
      <c r="L19" s="229" t="s">
        <v>1398</v>
      </c>
      <c r="M19" s="229" t="s">
        <v>1399</v>
      </c>
      <c r="O19" s="230"/>
      <c r="U19" s="230"/>
      <c r="V19" s="102" t="s">
        <v>287</v>
      </c>
    </row>
    <row r="20">
      <c r="A20" s="102" t="s">
        <v>332</v>
      </c>
      <c r="B20" s="102" t="s">
        <v>1400</v>
      </c>
      <c r="C20" s="229" t="s">
        <v>1401</v>
      </c>
      <c r="D20" s="102" t="s">
        <v>1402</v>
      </c>
      <c r="E20" s="102" t="s">
        <v>556</v>
      </c>
      <c r="F20" s="102" t="s">
        <v>557</v>
      </c>
      <c r="G20" s="102" t="s">
        <v>280</v>
      </c>
      <c r="H20" s="102" t="s">
        <v>281</v>
      </c>
      <c r="I20" s="102" t="s">
        <v>284</v>
      </c>
      <c r="J20" s="102" t="s">
        <v>336</v>
      </c>
      <c r="L20" s="229" t="s">
        <v>1403</v>
      </c>
      <c r="M20" s="229" t="s">
        <v>1404</v>
      </c>
      <c r="O20" s="230"/>
      <c r="U20" s="230"/>
      <c r="V20" s="102" t="s">
        <v>287</v>
      </c>
    </row>
    <row r="21">
      <c r="A21" s="102" t="s">
        <v>332</v>
      </c>
      <c r="B21" s="102" t="s">
        <v>1405</v>
      </c>
      <c r="C21" s="229" t="s">
        <v>1406</v>
      </c>
      <c r="D21" s="102" t="s">
        <v>1407</v>
      </c>
      <c r="E21" s="102" t="s">
        <v>495</v>
      </c>
      <c r="F21" s="102" t="s">
        <v>496</v>
      </c>
      <c r="G21" s="102" t="s">
        <v>280</v>
      </c>
      <c r="H21" s="102" t="s">
        <v>281</v>
      </c>
      <c r="I21" s="102" t="s">
        <v>284</v>
      </c>
      <c r="J21" s="102" t="s">
        <v>1408</v>
      </c>
      <c r="L21" s="229" t="s">
        <v>1409</v>
      </c>
      <c r="M21" s="229" t="s">
        <v>1404</v>
      </c>
      <c r="O21" s="230"/>
      <c r="U21" s="230"/>
      <c r="V21" s="102" t="s">
        <v>287</v>
      </c>
    </row>
    <row r="22">
      <c r="A22" s="102" t="s">
        <v>310</v>
      </c>
      <c r="B22" s="102" t="s">
        <v>1410</v>
      </c>
      <c r="C22" s="229" t="s">
        <v>1411</v>
      </c>
      <c r="D22" s="102" t="s">
        <v>1412</v>
      </c>
      <c r="E22" s="102" t="s">
        <v>282</v>
      </c>
      <c r="F22" s="102" t="s">
        <v>283</v>
      </c>
      <c r="G22" s="102" t="s">
        <v>282</v>
      </c>
      <c r="H22" s="102" t="s">
        <v>283</v>
      </c>
      <c r="I22" s="102" t="s">
        <v>284</v>
      </c>
      <c r="J22" s="102" t="s">
        <v>26</v>
      </c>
      <c r="L22" s="229" t="s">
        <v>1413</v>
      </c>
      <c r="M22" s="229" t="s">
        <v>1414</v>
      </c>
      <c r="O22" s="102">
        <v>8.0</v>
      </c>
      <c r="U22" s="230"/>
      <c r="V22" s="102" t="s">
        <v>417</v>
      </c>
    </row>
    <row r="23">
      <c r="A23" s="102" t="s">
        <v>276</v>
      </c>
      <c r="B23" s="102" t="s">
        <v>1415</v>
      </c>
      <c r="C23" s="229" t="s">
        <v>1416</v>
      </c>
      <c r="D23" s="102" t="s">
        <v>279</v>
      </c>
      <c r="E23" s="102" t="s">
        <v>280</v>
      </c>
      <c r="F23" s="102" t="s">
        <v>281</v>
      </c>
      <c r="G23" s="102" t="s">
        <v>282</v>
      </c>
      <c r="H23" s="102" t="s">
        <v>283</v>
      </c>
      <c r="I23" s="102" t="s">
        <v>284</v>
      </c>
      <c r="J23" s="102" t="s">
        <v>26</v>
      </c>
      <c r="L23" s="229" t="s">
        <v>1417</v>
      </c>
      <c r="M23" s="229" t="s">
        <v>1418</v>
      </c>
      <c r="O23" s="230"/>
      <c r="U23" s="230"/>
      <c r="V23" s="102" t="s">
        <v>529</v>
      </c>
      <c r="W23" s="102" t="s">
        <v>298</v>
      </c>
      <c r="X23" s="102" t="s">
        <v>299</v>
      </c>
      <c r="Y23" s="102" t="s">
        <v>286</v>
      </c>
      <c r="Z23" s="102" t="s">
        <v>287</v>
      </c>
    </row>
    <row r="24">
      <c r="A24" s="102" t="s">
        <v>276</v>
      </c>
      <c r="B24" s="102" t="s">
        <v>1419</v>
      </c>
      <c r="C24" s="229" t="s">
        <v>1420</v>
      </c>
      <c r="D24" s="102" t="s">
        <v>291</v>
      </c>
      <c r="E24" s="102" t="s">
        <v>280</v>
      </c>
      <c r="F24" s="102" t="s">
        <v>281</v>
      </c>
      <c r="G24" s="102" t="s">
        <v>282</v>
      </c>
      <c r="H24" s="102" t="s">
        <v>283</v>
      </c>
      <c r="I24" s="102" t="s">
        <v>284</v>
      </c>
      <c r="J24" s="102" t="s">
        <v>26</v>
      </c>
      <c r="L24" s="229" t="s">
        <v>1417</v>
      </c>
      <c r="M24" s="229" t="s">
        <v>1418</v>
      </c>
      <c r="O24" s="230"/>
      <c r="U24" s="230"/>
      <c r="V24" s="102" t="s">
        <v>529</v>
      </c>
      <c r="W24" s="102" t="s">
        <v>298</v>
      </c>
      <c r="X24" s="102" t="s">
        <v>299</v>
      </c>
      <c r="Y24" s="102" t="s">
        <v>286</v>
      </c>
      <c r="Z24" s="102" t="s">
        <v>287</v>
      </c>
    </row>
    <row r="25">
      <c r="A25" s="102" t="s">
        <v>276</v>
      </c>
      <c r="B25" s="102" t="s">
        <v>1421</v>
      </c>
      <c r="C25" s="229" t="s">
        <v>1422</v>
      </c>
      <c r="D25" s="102" t="s">
        <v>279</v>
      </c>
      <c r="E25" s="102" t="s">
        <v>280</v>
      </c>
      <c r="F25" s="102" t="s">
        <v>281</v>
      </c>
      <c r="G25" s="102" t="s">
        <v>282</v>
      </c>
      <c r="H25" s="102" t="s">
        <v>283</v>
      </c>
      <c r="I25" s="102" t="s">
        <v>284</v>
      </c>
      <c r="J25" s="102" t="s">
        <v>26</v>
      </c>
      <c r="L25" s="229" t="s">
        <v>1423</v>
      </c>
      <c r="M25" s="229" t="s">
        <v>1424</v>
      </c>
      <c r="O25" s="230"/>
      <c r="U25" s="230"/>
      <c r="V25" s="102" t="s">
        <v>529</v>
      </c>
      <c r="W25" s="102" t="s">
        <v>298</v>
      </c>
      <c r="X25" s="102" t="s">
        <v>299</v>
      </c>
      <c r="Y25" s="102" t="s">
        <v>286</v>
      </c>
      <c r="Z25" s="102" t="s">
        <v>287</v>
      </c>
    </row>
    <row r="26">
      <c r="A26" s="102" t="s">
        <v>276</v>
      </c>
      <c r="B26" s="102" t="s">
        <v>1425</v>
      </c>
      <c r="C26" s="229" t="s">
        <v>1426</v>
      </c>
      <c r="D26" s="102" t="s">
        <v>291</v>
      </c>
      <c r="E26" s="102" t="s">
        <v>280</v>
      </c>
      <c r="F26" s="102" t="s">
        <v>281</v>
      </c>
      <c r="G26" s="102" t="s">
        <v>282</v>
      </c>
      <c r="H26" s="102" t="s">
        <v>283</v>
      </c>
      <c r="I26" s="102" t="s">
        <v>284</v>
      </c>
      <c r="J26" s="102" t="s">
        <v>26</v>
      </c>
      <c r="L26" s="229" t="s">
        <v>1423</v>
      </c>
      <c r="M26" s="229" t="s">
        <v>1423</v>
      </c>
      <c r="O26" s="230"/>
      <c r="U26" s="230"/>
      <c r="V26" s="102" t="s">
        <v>529</v>
      </c>
      <c r="W26" s="102" t="s">
        <v>298</v>
      </c>
      <c r="X26" s="102" t="s">
        <v>299</v>
      </c>
      <c r="Y26" s="102" t="s">
        <v>286</v>
      </c>
      <c r="Z26" s="102" t="s">
        <v>287</v>
      </c>
    </row>
    <row r="27">
      <c r="A27" s="102" t="s">
        <v>276</v>
      </c>
      <c r="B27" s="102" t="s">
        <v>1427</v>
      </c>
      <c r="C27" s="229" t="s">
        <v>1428</v>
      </c>
      <c r="D27" s="102" t="s">
        <v>279</v>
      </c>
      <c r="E27" s="102" t="s">
        <v>280</v>
      </c>
      <c r="F27" s="102" t="s">
        <v>281</v>
      </c>
      <c r="G27" s="102" t="s">
        <v>282</v>
      </c>
      <c r="H27" s="102" t="s">
        <v>283</v>
      </c>
      <c r="I27" s="102" t="s">
        <v>284</v>
      </c>
      <c r="J27" s="102" t="s">
        <v>26</v>
      </c>
      <c r="L27" s="229" t="s">
        <v>1429</v>
      </c>
      <c r="M27" s="229" t="s">
        <v>1418</v>
      </c>
      <c r="O27" s="230"/>
      <c r="U27" s="230"/>
      <c r="V27" s="102" t="s">
        <v>529</v>
      </c>
      <c r="W27" s="102" t="s">
        <v>298</v>
      </c>
      <c r="X27" s="102" t="s">
        <v>299</v>
      </c>
      <c r="Y27" s="102" t="s">
        <v>286</v>
      </c>
      <c r="Z27" s="102" t="s">
        <v>287</v>
      </c>
    </row>
    <row r="28">
      <c r="A28" s="102" t="s">
        <v>276</v>
      </c>
      <c r="B28" s="102" t="s">
        <v>1430</v>
      </c>
      <c r="C28" s="229" t="s">
        <v>1431</v>
      </c>
      <c r="D28" s="102" t="s">
        <v>291</v>
      </c>
      <c r="E28" s="102" t="s">
        <v>280</v>
      </c>
      <c r="F28" s="102" t="s">
        <v>281</v>
      </c>
      <c r="G28" s="102" t="s">
        <v>282</v>
      </c>
      <c r="H28" s="102" t="s">
        <v>283</v>
      </c>
      <c r="I28" s="102" t="s">
        <v>284</v>
      </c>
      <c r="J28" s="102" t="s">
        <v>26</v>
      </c>
      <c r="L28" s="229" t="s">
        <v>1429</v>
      </c>
      <c r="M28" s="229" t="s">
        <v>1432</v>
      </c>
      <c r="O28" s="230"/>
      <c r="U28" s="230"/>
      <c r="V28" s="102" t="s">
        <v>529</v>
      </c>
      <c r="W28" s="102" t="s">
        <v>298</v>
      </c>
      <c r="X28" s="102" t="s">
        <v>299</v>
      </c>
      <c r="Y28" s="102" t="s">
        <v>286</v>
      </c>
      <c r="Z28" s="102" t="s">
        <v>287</v>
      </c>
    </row>
    <row r="29">
      <c r="A29" s="102" t="s">
        <v>276</v>
      </c>
      <c r="B29" s="102" t="s">
        <v>1433</v>
      </c>
      <c r="C29" s="229" t="s">
        <v>1434</v>
      </c>
      <c r="D29" s="102" t="s">
        <v>279</v>
      </c>
      <c r="E29" s="102" t="s">
        <v>280</v>
      </c>
      <c r="F29" s="102" t="s">
        <v>281</v>
      </c>
      <c r="G29" s="102" t="s">
        <v>314</v>
      </c>
      <c r="H29" s="102" t="s">
        <v>315</v>
      </c>
      <c r="I29" s="102" t="s">
        <v>284</v>
      </c>
      <c r="J29" s="102" t="s">
        <v>26</v>
      </c>
      <c r="L29" s="229" t="s">
        <v>1435</v>
      </c>
      <c r="M29" s="229" t="s">
        <v>1435</v>
      </c>
      <c r="O29" s="230"/>
      <c r="U29" s="230"/>
      <c r="V29" s="102" t="s">
        <v>286</v>
      </c>
      <c r="W29" s="102" t="s">
        <v>287</v>
      </c>
    </row>
    <row r="30">
      <c r="A30" s="102" t="s">
        <v>276</v>
      </c>
      <c r="B30" s="102" t="s">
        <v>1436</v>
      </c>
      <c r="C30" s="229" t="s">
        <v>1437</v>
      </c>
      <c r="D30" s="102" t="s">
        <v>291</v>
      </c>
      <c r="E30" s="102" t="s">
        <v>280</v>
      </c>
      <c r="F30" s="102" t="s">
        <v>281</v>
      </c>
      <c r="G30" s="102" t="s">
        <v>314</v>
      </c>
      <c r="H30" s="102" t="s">
        <v>315</v>
      </c>
      <c r="I30" s="102" t="s">
        <v>284</v>
      </c>
      <c r="J30" s="102" t="s">
        <v>26</v>
      </c>
      <c r="L30" s="229" t="s">
        <v>1435</v>
      </c>
      <c r="M30" s="229" t="s">
        <v>1435</v>
      </c>
      <c r="O30" s="230"/>
      <c r="U30" s="230"/>
      <c r="V30" s="102" t="s">
        <v>286</v>
      </c>
      <c r="W30" s="102" t="s">
        <v>287</v>
      </c>
    </row>
    <row r="31">
      <c r="A31" s="102" t="s">
        <v>276</v>
      </c>
      <c r="B31" s="102" t="s">
        <v>1438</v>
      </c>
      <c r="C31" s="229" t="s">
        <v>1439</v>
      </c>
      <c r="D31" s="102" t="s">
        <v>279</v>
      </c>
      <c r="E31" s="102" t="s">
        <v>280</v>
      </c>
      <c r="F31" s="102" t="s">
        <v>281</v>
      </c>
      <c r="G31" s="102" t="s">
        <v>282</v>
      </c>
      <c r="H31" s="102" t="s">
        <v>283</v>
      </c>
      <c r="I31" s="102" t="s">
        <v>284</v>
      </c>
      <c r="J31" s="102" t="s">
        <v>26</v>
      </c>
      <c r="L31" s="229" t="s">
        <v>1440</v>
      </c>
      <c r="M31" s="229" t="s">
        <v>1441</v>
      </c>
      <c r="O31" s="230"/>
      <c r="U31" s="230"/>
      <c r="V31" s="102" t="s">
        <v>286</v>
      </c>
      <c r="W31" s="102" t="s">
        <v>287</v>
      </c>
    </row>
    <row r="32">
      <c r="A32" s="102" t="s">
        <v>276</v>
      </c>
      <c r="B32" s="102" t="s">
        <v>1442</v>
      </c>
      <c r="C32" s="229" t="s">
        <v>1443</v>
      </c>
      <c r="D32" s="102" t="s">
        <v>291</v>
      </c>
      <c r="E32" s="102" t="s">
        <v>280</v>
      </c>
      <c r="F32" s="102" t="s">
        <v>281</v>
      </c>
      <c r="G32" s="102" t="s">
        <v>282</v>
      </c>
      <c r="H32" s="102" t="s">
        <v>283</v>
      </c>
      <c r="I32" s="102" t="s">
        <v>284</v>
      </c>
      <c r="J32" s="102" t="s">
        <v>26</v>
      </c>
      <c r="L32" s="229" t="s">
        <v>1440</v>
      </c>
      <c r="M32" s="229" t="s">
        <v>1444</v>
      </c>
      <c r="O32" s="230"/>
      <c r="U32" s="230"/>
      <c r="V32" s="102" t="s">
        <v>286</v>
      </c>
      <c r="W32" s="102" t="s">
        <v>287</v>
      </c>
    </row>
    <row r="33">
      <c r="A33" s="102" t="s">
        <v>276</v>
      </c>
      <c r="B33" s="102" t="s">
        <v>1445</v>
      </c>
      <c r="C33" s="229" t="s">
        <v>1446</v>
      </c>
      <c r="D33" s="102" t="s">
        <v>279</v>
      </c>
      <c r="E33" s="102" t="s">
        <v>280</v>
      </c>
      <c r="F33" s="102" t="s">
        <v>281</v>
      </c>
      <c r="G33" s="102" t="s">
        <v>282</v>
      </c>
      <c r="H33" s="102" t="s">
        <v>283</v>
      </c>
      <c r="I33" s="102" t="s">
        <v>284</v>
      </c>
      <c r="J33" s="102" t="s">
        <v>26</v>
      </c>
      <c r="L33" s="229" t="s">
        <v>1447</v>
      </c>
      <c r="M33" s="229" t="s">
        <v>1448</v>
      </c>
      <c r="O33" s="230"/>
      <c r="U33" s="230"/>
      <c r="V33" s="102" t="s">
        <v>286</v>
      </c>
      <c r="W33" s="102" t="s">
        <v>287</v>
      </c>
    </row>
    <row r="34">
      <c r="A34" s="102" t="s">
        <v>276</v>
      </c>
      <c r="B34" s="102" t="s">
        <v>1449</v>
      </c>
      <c r="C34" s="229" t="s">
        <v>1450</v>
      </c>
      <c r="D34" s="102" t="s">
        <v>291</v>
      </c>
      <c r="E34" s="102" t="s">
        <v>280</v>
      </c>
      <c r="F34" s="102" t="s">
        <v>281</v>
      </c>
      <c r="G34" s="102" t="s">
        <v>282</v>
      </c>
      <c r="H34" s="102" t="s">
        <v>283</v>
      </c>
      <c r="I34" s="102" t="s">
        <v>284</v>
      </c>
      <c r="J34" s="102" t="s">
        <v>26</v>
      </c>
      <c r="L34" s="229" t="s">
        <v>1447</v>
      </c>
      <c r="M34" s="229" t="s">
        <v>1448</v>
      </c>
      <c r="O34" s="230"/>
      <c r="U34" s="230"/>
      <c r="V34" s="102" t="s">
        <v>286</v>
      </c>
      <c r="W34" s="102" t="s">
        <v>287</v>
      </c>
    </row>
    <row r="35">
      <c r="A35" s="102" t="s">
        <v>332</v>
      </c>
      <c r="B35" s="102" t="s">
        <v>1451</v>
      </c>
      <c r="C35" s="229" t="s">
        <v>1452</v>
      </c>
      <c r="D35" s="102" t="s">
        <v>1453</v>
      </c>
      <c r="E35" s="102" t="s">
        <v>556</v>
      </c>
      <c r="F35" s="102" t="s">
        <v>557</v>
      </c>
      <c r="G35" s="102" t="s">
        <v>280</v>
      </c>
      <c r="H35" s="102" t="s">
        <v>281</v>
      </c>
      <c r="I35" s="102" t="s">
        <v>284</v>
      </c>
      <c r="J35" s="102" t="s">
        <v>336</v>
      </c>
      <c r="L35" s="229" t="s">
        <v>1454</v>
      </c>
      <c r="M35" s="229" t="s">
        <v>1404</v>
      </c>
      <c r="O35" s="230"/>
      <c r="U35" s="230"/>
      <c r="V35" s="102" t="s">
        <v>287</v>
      </c>
    </row>
    <row r="36">
      <c r="A36" s="102" t="s">
        <v>332</v>
      </c>
      <c r="B36" s="102" t="s">
        <v>1455</v>
      </c>
      <c r="C36" s="229" t="s">
        <v>1456</v>
      </c>
      <c r="D36" s="102" t="s">
        <v>1457</v>
      </c>
      <c r="E36" s="102" t="s">
        <v>495</v>
      </c>
      <c r="F36" s="102" t="s">
        <v>496</v>
      </c>
      <c r="G36" s="102" t="s">
        <v>280</v>
      </c>
      <c r="H36" s="102" t="s">
        <v>281</v>
      </c>
      <c r="I36" s="102" t="s">
        <v>284</v>
      </c>
      <c r="J36" s="102" t="s">
        <v>336</v>
      </c>
      <c r="L36" s="229" t="s">
        <v>1458</v>
      </c>
      <c r="M36" s="229" t="s">
        <v>1404</v>
      </c>
      <c r="O36" s="230"/>
      <c r="U36" s="230"/>
      <c r="V36" s="102" t="s">
        <v>287</v>
      </c>
    </row>
    <row r="37">
      <c r="A37" s="102" t="s">
        <v>1459</v>
      </c>
      <c r="B37" s="102" t="s">
        <v>1460</v>
      </c>
      <c r="C37" s="229" t="s">
        <v>1461</v>
      </c>
      <c r="D37" s="102" t="s">
        <v>1462</v>
      </c>
      <c r="E37" s="102" t="s">
        <v>521</v>
      </c>
      <c r="F37" s="102" t="s">
        <v>522</v>
      </c>
      <c r="G37" s="102" t="s">
        <v>521</v>
      </c>
      <c r="H37" s="102" t="s">
        <v>522</v>
      </c>
      <c r="I37" s="102" t="s">
        <v>284</v>
      </c>
      <c r="J37" s="102" t="s">
        <v>34</v>
      </c>
      <c r="L37" s="229" t="s">
        <v>1463</v>
      </c>
      <c r="M37" s="229" t="s">
        <v>1464</v>
      </c>
      <c r="O37" s="230"/>
      <c r="U37" s="230"/>
      <c r="V37" s="102" t="s">
        <v>287</v>
      </c>
    </row>
    <row r="38">
      <c r="A38" s="102" t="s">
        <v>1465</v>
      </c>
      <c r="B38" s="102" t="s">
        <v>1466</v>
      </c>
      <c r="C38" s="229" t="s">
        <v>1467</v>
      </c>
      <c r="D38" s="102" t="s">
        <v>1468</v>
      </c>
      <c r="G38" s="102" t="s">
        <v>521</v>
      </c>
      <c r="H38" s="102" t="s">
        <v>522</v>
      </c>
      <c r="I38" s="102" t="s">
        <v>284</v>
      </c>
      <c r="J38" s="102" t="s">
        <v>63</v>
      </c>
      <c r="L38" s="229" t="s">
        <v>1469</v>
      </c>
      <c r="M38" s="229" t="s">
        <v>1470</v>
      </c>
      <c r="O38" s="230"/>
      <c r="U38" s="230"/>
      <c r="V38" s="102" t="s">
        <v>287</v>
      </c>
    </row>
    <row r="39">
      <c r="A39" s="102" t="s">
        <v>310</v>
      </c>
      <c r="B39" s="102" t="s">
        <v>778</v>
      </c>
      <c r="C39" s="229" t="s">
        <v>779</v>
      </c>
      <c r="D39" s="102" t="s">
        <v>780</v>
      </c>
      <c r="E39" s="102" t="s">
        <v>282</v>
      </c>
      <c r="F39" s="102" t="s">
        <v>283</v>
      </c>
      <c r="G39" s="102" t="s">
        <v>316</v>
      </c>
      <c r="H39" s="102" t="s">
        <v>317</v>
      </c>
      <c r="I39" s="102" t="s">
        <v>284</v>
      </c>
      <c r="J39" s="102" t="s">
        <v>63</v>
      </c>
      <c r="L39" s="229" t="s">
        <v>781</v>
      </c>
      <c r="M39" s="229" t="s">
        <v>1384</v>
      </c>
      <c r="N39" s="229" t="s">
        <v>713</v>
      </c>
      <c r="O39" s="230"/>
      <c r="P39" s="102" t="s">
        <v>433</v>
      </c>
      <c r="Q39" s="102" t="s">
        <v>782</v>
      </c>
      <c r="R39" s="102" t="s">
        <v>783</v>
      </c>
      <c r="U39" s="230"/>
      <c r="V39" s="102" t="s">
        <v>417</v>
      </c>
      <c r="W39" s="102" t="s">
        <v>324</v>
      </c>
    </row>
    <row r="40">
      <c r="A40" s="102" t="s">
        <v>310</v>
      </c>
      <c r="B40" s="102" t="s">
        <v>1471</v>
      </c>
      <c r="C40" s="229" t="s">
        <v>1472</v>
      </c>
      <c r="D40" s="102" t="s">
        <v>1473</v>
      </c>
      <c r="E40" s="102" t="s">
        <v>282</v>
      </c>
      <c r="F40" s="102" t="s">
        <v>283</v>
      </c>
      <c r="G40" s="102" t="s">
        <v>362</v>
      </c>
      <c r="H40" s="102" t="s">
        <v>363</v>
      </c>
      <c r="I40" s="102" t="s">
        <v>284</v>
      </c>
      <c r="J40" s="102" t="s">
        <v>26</v>
      </c>
      <c r="L40" s="229" t="s">
        <v>1474</v>
      </c>
      <c r="M40" s="229" t="s">
        <v>1475</v>
      </c>
      <c r="N40" s="229" t="s">
        <v>713</v>
      </c>
      <c r="O40" s="102">
        <v>1.0</v>
      </c>
      <c r="P40" s="102" t="s">
        <v>433</v>
      </c>
      <c r="Q40" s="102" t="s">
        <v>368</v>
      </c>
      <c r="U40" s="102">
        <v>600.0</v>
      </c>
      <c r="V40" s="102" t="s">
        <v>417</v>
      </c>
    </row>
    <row r="41">
      <c r="A41" s="102" t="s">
        <v>310</v>
      </c>
      <c r="B41" s="102" t="s">
        <v>883</v>
      </c>
      <c r="C41" s="229" t="s">
        <v>884</v>
      </c>
      <c r="D41" s="102" t="s">
        <v>885</v>
      </c>
      <c r="E41" s="102" t="s">
        <v>513</v>
      </c>
      <c r="F41" s="102" t="s">
        <v>514</v>
      </c>
      <c r="G41" s="102" t="s">
        <v>353</v>
      </c>
      <c r="H41" s="102" t="s">
        <v>354</v>
      </c>
      <c r="I41" s="102" t="s">
        <v>284</v>
      </c>
      <c r="J41" s="102" t="s">
        <v>678</v>
      </c>
      <c r="L41" s="229" t="s">
        <v>886</v>
      </c>
      <c r="M41" s="229" t="s">
        <v>887</v>
      </c>
      <c r="N41" s="229" t="s">
        <v>888</v>
      </c>
      <c r="O41" s="102">
        <v>3.0</v>
      </c>
      <c r="U41" s="102">
        <v>28800.0</v>
      </c>
      <c r="V41" s="102" t="s">
        <v>395</v>
      </c>
      <c r="W41" s="102" t="s">
        <v>387</v>
      </c>
    </row>
    <row r="42">
      <c r="A42" s="102" t="s">
        <v>332</v>
      </c>
      <c r="B42" s="102" t="s">
        <v>1476</v>
      </c>
      <c r="C42" s="229" t="s">
        <v>1477</v>
      </c>
      <c r="D42" s="102" t="s">
        <v>1478</v>
      </c>
      <c r="E42" s="102" t="s">
        <v>495</v>
      </c>
      <c r="F42" s="102" t="s">
        <v>496</v>
      </c>
      <c r="G42" s="102" t="s">
        <v>280</v>
      </c>
      <c r="H42" s="102" t="s">
        <v>281</v>
      </c>
      <c r="I42" s="102" t="s">
        <v>284</v>
      </c>
      <c r="J42" s="102" t="s">
        <v>336</v>
      </c>
      <c r="L42" s="229" t="s">
        <v>1479</v>
      </c>
      <c r="M42" s="229" t="s">
        <v>1404</v>
      </c>
      <c r="O42" s="230"/>
      <c r="U42" s="230"/>
      <c r="V42" s="102" t="s">
        <v>287</v>
      </c>
    </row>
    <row r="43">
      <c r="A43" s="102" t="s">
        <v>310</v>
      </c>
      <c r="B43" s="102" t="s">
        <v>1480</v>
      </c>
      <c r="C43" s="229" t="s">
        <v>1481</v>
      </c>
      <c r="D43" s="102" t="s">
        <v>1482</v>
      </c>
      <c r="E43" s="102" t="s">
        <v>495</v>
      </c>
      <c r="F43" s="102" t="s">
        <v>496</v>
      </c>
      <c r="G43" s="102" t="s">
        <v>314</v>
      </c>
      <c r="H43" s="102" t="s">
        <v>315</v>
      </c>
      <c r="I43" s="102" t="s">
        <v>515</v>
      </c>
      <c r="J43" s="102" t="s">
        <v>26</v>
      </c>
      <c r="L43" s="229" t="s">
        <v>1483</v>
      </c>
      <c r="M43" s="229" t="s">
        <v>1484</v>
      </c>
      <c r="O43" s="102">
        <v>3.0</v>
      </c>
      <c r="P43" s="102" t="s">
        <v>593</v>
      </c>
      <c r="Q43" s="102" t="s">
        <v>651</v>
      </c>
      <c r="U43" s="230"/>
      <c r="V43" s="102" t="s">
        <v>1052</v>
      </c>
    </row>
    <row r="44">
      <c r="A44" s="102" t="s">
        <v>310</v>
      </c>
      <c r="B44" s="102" t="s">
        <v>1485</v>
      </c>
      <c r="C44" s="229" t="s">
        <v>1486</v>
      </c>
      <c r="D44" s="102" t="s">
        <v>1487</v>
      </c>
      <c r="E44" s="102" t="s">
        <v>564</v>
      </c>
      <c r="F44" s="102" t="s">
        <v>565</v>
      </c>
      <c r="G44" s="102" t="s">
        <v>316</v>
      </c>
      <c r="H44" s="102" t="s">
        <v>317</v>
      </c>
      <c r="I44" s="102" t="s">
        <v>284</v>
      </c>
      <c r="J44" s="102" t="s">
        <v>26</v>
      </c>
      <c r="L44" s="229" t="s">
        <v>1488</v>
      </c>
      <c r="M44" s="229" t="s">
        <v>1489</v>
      </c>
      <c r="O44" s="102">
        <v>1.0</v>
      </c>
      <c r="U44" s="230"/>
      <c r="V44" s="102" t="s">
        <v>417</v>
      </c>
    </row>
    <row r="45">
      <c r="A45" s="102" t="s">
        <v>310</v>
      </c>
      <c r="B45" s="102" t="s">
        <v>893</v>
      </c>
      <c r="C45" s="229" t="s">
        <v>894</v>
      </c>
      <c r="D45" s="102" t="s">
        <v>895</v>
      </c>
      <c r="E45" s="102" t="s">
        <v>282</v>
      </c>
      <c r="F45" s="102" t="s">
        <v>283</v>
      </c>
      <c r="G45" s="102" t="s">
        <v>282</v>
      </c>
      <c r="H45" s="102" t="s">
        <v>283</v>
      </c>
      <c r="I45" s="102" t="s">
        <v>284</v>
      </c>
      <c r="J45" s="102" t="s">
        <v>63</v>
      </c>
      <c r="L45" s="229" t="s">
        <v>896</v>
      </c>
      <c r="M45" s="229" t="s">
        <v>1490</v>
      </c>
      <c r="O45" s="230"/>
      <c r="P45" s="102" t="s">
        <v>593</v>
      </c>
      <c r="Q45" s="102" t="s">
        <v>457</v>
      </c>
      <c r="U45" s="230"/>
      <c r="V45" s="102" t="s">
        <v>287</v>
      </c>
      <c r="W45" s="102" t="s">
        <v>288</v>
      </c>
    </row>
    <row r="46">
      <c r="A46" s="102" t="s">
        <v>310</v>
      </c>
      <c r="B46" s="102" t="s">
        <v>1491</v>
      </c>
      <c r="C46" s="229" t="s">
        <v>1492</v>
      </c>
      <c r="D46" s="102" t="s">
        <v>1493</v>
      </c>
      <c r="E46" s="102" t="s">
        <v>314</v>
      </c>
      <c r="F46" s="102" t="s">
        <v>315</v>
      </c>
      <c r="G46" s="102" t="s">
        <v>314</v>
      </c>
      <c r="H46" s="102" t="s">
        <v>315</v>
      </c>
      <c r="I46" s="102" t="s">
        <v>284</v>
      </c>
      <c r="J46" s="102" t="s">
        <v>26</v>
      </c>
      <c r="L46" s="229" t="s">
        <v>1494</v>
      </c>
      <c r="M46" s="229" t="s">
        <v>1495</v>
      </c>
      <c r="O46" s="102">
        <v>1.0</v>
      </c>
      <c r="U46" s="102">
        <v>1800.0</v>
      </c>
      <c r="V46" s="102" t="s">
        <v>417</v>
      </c>
    </row>
    <row r="47">
      <c r="A47" s="102" t="s">
        <v>332</v>
      </c>
      <c r="B47" s="102" t="s">
        <v>915</v>
      </c>
      <c r="C47" s="229" t="s">
        <v>916</v>
      </c>
      <c r="D47" s="102" t="s">
        <v>917</v>
      </c>
      <c r="E47" s="102" t="s">
        <v>304</v>
      </c>
      <c r="F47" s="102" t="s">
        <v>305</v>
      </c>
      <c r="G47" s="102" t="s">
        <v>362</v>
      </c>
      <c r="H47" s="102" t="s">
        <v>363</v>
      </c>
      <c r="I47" s="102" t="s">
        <v>284</v>
      </c>
      <c r="J47" s="102" t="s">
        <v>922</v>
      </c>
      <c r="L47" s="229" t="s">
        <v>918</v>
      </c>
      <c r="M47" s="229" t="s">
        <v>1496</v>
      </c>
      <c r="O47" s="230"/>
      <c r="P47" s="102" t="s">
        <v>473</v>
      </c>
      <c r="U47" s="230"/>
      <c r="V47" s="102" t="s">
        <v>417</v>
      </c>
      <c r="W47" s="102" t="s">
        <v>324</v>
      </c>
    </row>
    <row r="48">
      <c r="A48" s="102" t="s">
        <v>310</v>
      </c>
      <c r="B48" s="102" t="s">
        <v>1497</v>
      </c>
      <c r="C48" s="229" t="s">
        <v>1498</v>
      </c>
      <c r="D48" s="102" t="s">
        <v>1499</v>
      </c>
      <c r="E48" s="102" t="s">
        <v>584</v>
      </c>
      <c r="F48" s="102" t="s">
        <v>585</v>
      </c>
      <c r="G48" s="102" t="s">
        <v>282</v>
      </c>
      <c r="H48" s="102" t="s">
        <v>283</v>
      </c>
      <c r="I48" s="102" t="s">
        <v>284</v>
      </c>
      <c r="J48" s="102" t="s">
        <v>26</v>
      </c>
      <c r="L48" s="229" t="s">
        <v>1500</v>
      </c>
      <c r="M48" s="229" t="s">
        <v>1501</v>
      </c>
      <c r="N48" s="229" t="s">
        <v>1502</v>
      </c>
      <c r="O48" s="102">
        <v>2.0</v>
      </c>
      <c r="P48" s="102" t="s">
        <v>593</v>
      </c>
      <c r="Q48" s="102" t="s">
        <v>331</v>
      </c>
      <c r="U48" s="230"/>
      <c r="V48" s="102" t="s">
        <v>287</v>
      </c>
    </row>
    <row r="49">
      <c r="A49" s="102" t="s">
        <v>310</v>
      </c>
      <c r="B49" s="102" t="s">
        <v>1503</v>
      </c>
      <c r="C49" s="229" t="s">
        <v>1504</v>
      </c>
      <c r="D49" s="102" t="s">
        <v>1505</v>
      </c>
      <c r="E49" s="102" t="s">
        <v>495</v>
      </c>
      <c r="F49" s="102" t="s">
        <v>496</v>
      </c>
      <c r="G49" s="102" t="s">
        <v>282</v>
      </c>
      <c r="H49" s="102" t="s">
        <v>283</v>
      </c>
      <c r="I49" s="102" t="s">
        <v>284</v>
      </c>
      <c r="J49" s="102" t="s">
        <v>26</v>
      </c>
      <c r="L49" s="229" t="s">
        <v>1506</v>
      </c>
      <c r="M49" s="229" t="s">
        <v>1507</v>
      </c>
      <c r="N49" s="229" t="s">
        <v>713</v>
      </c>
      <c r="O49" s="230"/>
      <c r="P49" s="102" t="s">
        <v>593</v>
      </c>
      <c r="Q49" s="102" t="s">
        <v>331</v>
      </c>
      <c r="U49" s="102">
        <v>14400.0</v>
      </c>
      <c r="V49" s="102" t="s">
        <v>287</v>
      </c>
    </row>
    <row r="50">
      <c r="A50" s="102" t="s">
        <v>310</v>
      </c>
      <c r="B50" s="102" t="s">
        <v>1508</v>
      </c>
      <c r="C50" s="229" t="s">
        <v>1509</v>
      </c>
      <c r="D50" s="102" t="s">
        <v>1510</v>
      </c>
      <c r="E50" s="102" t="s">
        <v>495</v>
      </c>
      <c r="F50" s="102" t="s">
        <v>496</v>
      </c>
      <c r="G50" s="102" t="s">
        <v>282</v>
      </c>
      <c r="H50" s="102" t="s">
        <v>283</v>
      </c>
      <c r="I50" s="102" t="s">
        <v>284</v>
      </c>
      <c r="J50" s="102" t="s">
        <v>26</v>
      </c>
      <c r="L50" s="229" t="s">
        <v>1511</v>
      </c>
      <c r="M50" s="229" t="s">
        <v>1507</v>
      </c>
      <c r="N50" s="229" t="s">
        <v>713</v>
      </c>
      <c r="O50" s="230"/>
      <c r="P50" s="102" t="s">
        <v>593</v>
      </c>
      <c r="Q50" s="102" t="s">
        <v>331</v>
      </c>
      <c r="U50" s="102">
        <v>14400.0</v>
      </c>
      <c r="V50" s="102" t="s">
        <v>287</v>
      </c>
    </row>
    <row r="51">
      <c r="A51" s="102" t="s">
        <v>310</v>
      </c>
      <c r="B51" s="102" t="s">
        <v>1512</v>
      </c>
      <c r="C51" s="229" t="s">
        <v>1513</v>
      </c>
      <c r="D51" s="102" t="s">
        <v>1514</v>
      </c>
      <c r="E51" s="102" t="s">
        <v>495</v>
      </c>
      <c r="F51" s="102" t="s">
        <v>496</v>
      </c>
      <c r="G51" s="102" t="s">
        <v>282</v>
      </c>
      <c r="H51" s="102" t="s">
        <v>283</v>
      </c>
      <c r="I51" s="102" t="s">
        <v>284</v>
      </c>
      <c r="J51" s="102" t="s">
        <v>26</v>
      </c>
      <c r="L51" s="229" t="s">
        <v>1511</v>
      </c>
      <c r="M51" s="229" t="s">
        <v>1507</v>
      </c>
      <c r="N51" s="229" t="s">
        <v>713</v>
      </c>
      <c r="O51" s="230"/>
      <c r="P51" s="102" t="s">
        <v>593</v>
      </c>
      <c r="Q51" s="102" t="s">
        <v>331</v>
      </c>
      <c r="U51" s="102">
        <v>14400.0</v>
      </c>
      <c r="V51" s="102" t="s">
        <v>287</v>
      </c>
    </row>
    <row r="52">
      <c r="A52" s="102" t="s">
        <v>310</v>
      </c>
      <c r="B52" s="102" t="s">
        <v>1515</v>
      </c>
      <c r="C52" s="229" t="s">
        <v>1516</v>
      </c>
      <c r="D52" s="102" t="s">
        <v>1517</v>
      </c>
      <c r="E52" s="102" t="s">
        <v>584</v>
      </c>
      <c r="F52" s="102" t="s">
        <v>585</v>
      </c>
      <c r="G52" s="102" t="s">
        <v>282</v>
      </c>
      <c r="H52" s="102" t="s">
        <v>283</v>
      </c>
      <c r="I52" s="102" t="s">
        <v>284</v>
      </c>
      <c r="J52" s="102" t="s">
        <v>26</v>
      </c>
      <c r="L52" s="229" t="s">
        <v>1518</v>
      </c>
      <c r="M52" s="229" t="s">
        <v>1501</v>
      </c>
      <c r="N52" s="229" t="s">
        <v>1519</v>
      </c>
      <c r="O52" s="102">
        <v>2.0</v>
      </c>
      <c r="P52" s="102" t="s">
        <v>593</v>
      </c>
      <c r="Q52" s="102" t="s">
        <v>331</v>
      </c>
      <c r="U52" s="230"/>
      <c r="V52" s="102" t="s">
        <v>287</v>
      </c>
    </row>
    <row r="53">
      <c r="A53" s="102" t="s">
        <v>310</v>
      </c>
      <c r="B53" s="102" t="s">
        <v>1520</v>
      </c>
      <c r="C53" s="229" t="s">
        <v>1521</v>
      </c>
      <c r="D53" s="102" t="s">
        <v>1522</v>
      </c>
      <c r="E53" s="102" t="s">
        <v>564</v>
      </c>
      <c r="F53" s="102" t="s">
        <v>565</v>
      </c>
      <c r="G53" s="102" t="s">
        <v>353</v>
      </c>
      <c r="H53" s="102" t="s">
        <v>354</v>
      </c>
      <c r="I53" s="102" t="s">
        <v>318</v>
      </c>
      <c r="J53" s="102" t="s">
        <v>26</v>
      </c>
      <c r="L53" s="229" t="s">
        <v>1523</v>
      </c>
      <c r="M53" s="229" t="s">
        <v>1524</v>
      </c>
      <c r="N53" s="229" t="s">
        <v>1519</v>
      </c>
      <c r="O53" s="102">
        <v>3.0</v>
      </c>
      <c r="P53" s="102" t="s">
        <v>593</v>
      </c>
      <c r="U53" s="230"/>
      <c r="V53" s="102" t="s">
        <v>714</v>
      </c>
    </row>
    <row r="54">
      <c r="A54" s="102" t="s">
        <v>332</v>
      </c>
      <c r="B54" s="102" t="s">
        <v>1525</v>
      </c>
      <c r="C54" s="229" t="s">
        <v>1526</v>
      </c>
      <c r="D54" s="102" t="s">
        <v>1527</v>
      </c>
      <c r="E54" s="102" t="s">
        <v>495</v>
      </c>
      <c r="F54" s="102" t="s">
        <v>496</v>
      </c>
      <c r="G54" s="102" t="s">
        <v>280</v>
      </c>
      <c r="H54" s="102" t="s">
        <v>281</v>
      </c>
      <c r="I54" s="102" t="s">
        <v>284</v>
      </c>
      <c r="J54" s="102" t="s">
        <v>1408</v>
      </c>
      <c r="L54" s="229" t="s">
        <v>1528</v>
      </c>
      <c r="M54" s="229" t="s">
        <v>1529</v>
      </c>
      <c r="O54" s="230"/>
      <c r="U54" s="230"/>
      <c r="V54" s="102" t="s">
        <v>287</v>
      </c>
    </row>
    <row r="55">
      <c r="A55" s="102" t="s">
        <v>332</v>
      </c>
      <c r="B55" s="102" t="s">
        <v>1530</v>
      </c>
      <c r="C55" s="229" t="s">
        <v>1531</v>
      </c>
      <c r="D55" s="102" t="s">
        <v>1532</v>
      </c>
      <c r="E55" s="102" t="s">
        <v>495</v>
      </c>
      <c r="F55" s="102" t="s">
        <v>496</v>
      </c>
      <c r="G55" s="102" t="s">
        <v>280</v>
      </c>
      <c r="H55" s="102" t="s">
        <v>281</v>
      </c>
      <c r="I55" s="102" t="s">
        <v>284</v>
      </c>
      <c r="J55" s="102" t="s">
        <v>336</v>
      </c>
      <c r="L55" s="229" t="s">
        <v>1533</v>
      </c>
      <c r="M55" s="229" t="s">
        <v>1529</v>
      </c>
      <c r="O55" s="230"/>
      <c r="U55" s="230"/>
      <c r="V55" s="102" t="s">
        <v>287</v>
      </c>
    </row>
    <row r="56">
      <c r="A56" s="102" t="s">
        <v>310</v>
      </c>
      <c r="B56" s="102" t="s">
        <v>1534</v>
      </c>
      <c r="C56" s="229" t="s">
        <v>1535</v>
      </c>
      <c r="D56" s="102" t="s">
        <v>1536</v>
      </c>
      <c r="E56" s="102" t="s">
        <v>564</v>
      </c>
      <c r="F56" s="102" t="s">
        <v>565</v>
      </c>
      <c r="G56" s="102" t="s">
        <v>316</v>
      </c>
      <c r="H56" s="102" t="s">
        <v>317</v>
      </c>
      <c r="I56" s="102" t="s">
        <v>284</v>
      </c>
      <c r="J56" s="102" t="s">
        <v>26</v>
      </c>
      <c r="L56" s="229" t="s">
        <v>1537</v>
      </c>
      <c r="M56" s="229" t="s">
        <v>1538</v>
      </c>
      <c r="N56" s="229" t="s">
        <v>1539</v>
      </c>
      <c r="O56" s="102">
        <v>1.0</v>
      </c>
      <c r="P56" s="102" t="s">
        <v>366</v>
      </c>
      <c r="Q56" s="102" t="s">
        <v>930</v>
      </c>
      <c r="R56" s="102" t="s">
        <v>368</v>
      </c>
      <c r="U56" s="230"/>
      <c r="V56" s="102" t="s">
        <v>417</v>
      </c>
    </row>
    <row r="57">
      <c r="A57" s="102" t="s">
        <v>332</v>
      </c>
      <c r="B57" s="102" t="s">
        <v>919</v>
      </c>
      <c r="C57" s="229" t="s">
        <v>920</v>
      </c>
      <c r="D57" s="102" t="s">
        <v>921</v>
      </c>
      <c r="E57" s="102" t="s">
        <v>282</v>
      </c>
      <c r="F57" s="102" t="s">
        <v>283</v>
      </c>
      <c r="G57" s="102" t="s">
        <v>316</v>
      </c>
      <c r="H57" s="102" t="s">
        <v>317</v>
      </c>
      <c r="I57" s="102" t="s">
        <v>648</v>
      </c>
      <c r="J57" s="102" t="s">
        <v>1540</v>
      </c>
      <c r="L57" s="229" t="s">
        <v>923</v>
      </c>
      <c r="M57" s="229" t="s">
        <v>1541</v>
      </c>
      <c r="N57" s="229" t="s">
        <v>924</v>
      </c>
      <c r="O57" s="230"/>
      <c r="P57" s="102" t="s">
        <v>783</v>
      </c>
      <c r="Q57" s="102" t="s">
        <v>368</v>
      </c>
      <c r="U57" s="230"/>
      <c r="V57" s="102" t="s">
        <v>417</v>
      </c>
      <c r="W57" s="102" t="s">
        <v>324</v>
      </c>
    </row>
    <row r="58">
      <c r="A58" s="102" t="s">
        <v>332</v>
      </c>
      <c r="B58" s="102" t="s">
        <v>925</v>
      </c>
      <c r="C58" s="229" t="s">
        <v>926</v>
      </c>
      <c r="D58" s="102" t="s">
        <v>927</v>
      </c>
      <c r="E58" s="102" t="s">
        <v>495</v>
      </c>
      <c r="F58" s="102" t="s">
        <v>496</v>
      </c>
      <c r="G58" s="102" t="s">
        <v>362</v>
      </c>
      <c r="H58" s="102" t="s">
        <v>363</v>
      </c>
      <c r="I58" s="102" t="s">
        <v>284</v>
      </c>
      <c r="J58" s="102" t="s">
        <v>922</v>
      </c>
      <c r="L58" s="229" t="s">
        <v>928</v>
      </c>
      <c r="M58" s="229" t="s">
        <v>1496</v>
      </c>
      <c r="N58" s="229" t="s">
        <v>472</v>
      </c>
      <c r="O58" s="230"/>
      <c r="P58" s="102" t="s">
        <v>27</v>
      </c>
      <c r="Q58" s="102" t="s">
        <v>367</v>
      </c>
      <c r="R58" s="102" t="s">
        <v>930</v>
      </c>
      <c r="U58" s="230"/>
      <c r="V58" s="102" t="s">
        <v>417</v>
      </c>
      <c r="W58" s="102" t="s">
        <v>324</v>
      </c>
    </row>
    <row r="59">
      <c r="A59" s="102" t="s">
        <v>310</v>
      </c>
      <c r="B59" s="102" t="s">
        <v>931</v>
      </c>
      <c r="C59" s="229" t="s">
        <v>932</v>
      </c>
      <c r="D59" s="102" t="s">
        <v>933</v>
      </c>
      <c r="E59" s="102" t="s">
        <v>513</v>
      </c>
      <c r="F59" s="102" t="s">
        <v>514</v>
      </c>
      <c r="G59" s="102" t="s">
        <v>316</v>
      </c>
      <c r="H59" s="102" t="s">
        <v>317</v>
      </c>
      <c r="I59" s="102" t="s">
        <v>284</v>
      </c>
      <c r="J59" s="102" t="s">
        <v>355</v>
      </c>
      <c r="L59" s="229" t="s">
        <v>936</v>
      </c>
      <c r="M59" s="229" t="s">
        <v>1542</v>
      </c>
      <c r="O59" s="102">
        <v>1.0</v>
      </c>
      <c r="U59" s="102">
        <v>7200.0</v>
      </c>
      <c r="V59" s="102" t="s">
        <v>417</v>
      </c>
      <c r="W59" s="102" t="s">
        <v>324</v>
      </c>
    </row>
    <row r="60">
      <c r="A60" s="102" t="s">
        <v>310</v>
      </c>
      <c r="B60" s="102" t="s">
        <v>1543</v>
      </c>
      <c r="C60" s="229" t="s">
        <v>1544</v>
      </c>
      <c r="D60" s="102" t="s">
        <v>1545</v>
      </c>
      <c r="E60" s="102" t="s">
        <v>513</v>
      </c>
      <c r="F60" s="102" t="s">
        <v>514</v>
      </c>
      <c r="G60" s="102" t="s">
        <v>314</v>
      </c>
      <c r="H60" s="102" t="s">
        <v>315</v>
      </c>
      <c r="I60" s="102" t="s">
        <v>515</v>
      </c>
      <c r="J60" s="102" t="s">
        <v>26</v>
      </c>
      <c r="L60" s="229" t="s">
        <v>1546</v>
      </c>
      <c r="M60" s="229" t="s">
        <v>1484</v>
      </c>
      <c r="N60" s="229" t="s">
        <v>1502</v>
      </c>
      <c r="O60" s="102">
        <v>5.0</v>
      </c>
      <c r="P60" s="102" t="s">
        <v>593</v>
      </c>
      <c r="Q60" s="102" t="s">
        <v>651</v>
      </c>
      <c r="U60" s="102">
        <v>57600.0</v>
      </c>
      <c r="V60" s="102" t="s">
        <v>1052</v>
      </c>
    </row>
    <row r="61">
      <c r="A61" s="102" t="s">
        <v>332</v>
      </c>
      <c r="B61" s="102" t="s">
        <v>1547</v>
      </c>
      <c r="C61" s="229" t="s">
        <v>1548</v>
      </c>
      <c r="D61" s="102" t="s">
        <v>1549</v>
      </c>
      <c r="E61" s="102" t="s">
        <v>584</v>
      </c>
      <c r="F61" s="102" t="s">
        <v>585</v>
      </c>
      <c r="G61" s="102" t="s">
        <v>280</v>
      </c>
      <c r="H61" s="102" t="s">
        <v>281</v>
      </c>
      <c r="I61" s="102" t="s">
        <v>284</v>
      </c>
      <c r="J61" s="102" t="s">
        <v>336</v>
      </c>
      <c r="L61" s="229" t="s">
        <v>1550</v>
      </c>
      <c r="M61" s="229" t="s">
        <v>1529</v>
      </c>
      <c r="O61" s="230"/>
      <c r="U61" s="230"/>
      <c r="V61" s="102" t="s">
        <v>287</v>
      </c>
    </row>
    <row r="62">
      <c r="A62" s="102" t="s">
        <v>332</v>
      </c>
      <c r="B62" s="102" t="s">
        <v>1551</v>
      </c>
      <c r="C62" s="229" t="s">
        <v>1552</v>
      </c>
      <c r="D62" s="102" t="s">
        <v>1553</v>
      </c>
      <c r="E62" s="102" t="s">
        <v>556</v>
      </c>
      <c r="F62" s="102" t="s">
        <v>557</v>
      </c>
      <c r="G62" s="102" t="s">
        <v>280</v>
      </c>
      <c r="H62" s="102" t="s">
        <v>281</v>
      </c>
      <c r="I62" s="102" t="s">
        <v>284</v>
      </c>
      <c r="J62" s="102" t="s">
        <v>336</v>
      </c>
      <c r="L62" s="229" t="s">
        <v>1554</v>
      </c>
      <c r="M62" s="229" t="s">
        <v>1555</v>
      </c>
      <c r="N62" s="229" t="s">
        <v>1539</v>
      </c>
      <c r="O62" s="230"/>
      <c r="U62" s="230"/>
      <c r="V62" s="102" t="s">
        <v>287</v>
      </c>
    </row>
    <row r="63">
      <c r="A63" s="102" t="s">
        <v>332</v>
      </c>
      <c r="B63" s="102" t="s">
        <v>1556</v>
      </c>
      <c r="C63" s="229" t="s">
        <v>1557</v>
      </c>
      <c r="D63" s="102" t="s">
        <v>1558</v>
      </c>
      <c r="E63" s="102" t="s">
        <v>328</v>
      </c>
      <c r="F63" s="102" t="s">
        <v>329</v>
      </c>
      <c r="G63" s="102" t="s">
        <v>280</v>
      </c>
      <c r="H63" s="102" t="s">
        <v>281</v>
      </c>
      <c r="I63" s="102" t="s">
        <v>284</v>
      </c>
      <c r="J63" s="102" t="s">
        <v>336</v>
      </c>
      <c r="L63" s="229" t="s">
        <v>1559</v>
      </c>
      <c r="M63" s="229" t="s">
        <v>1529</v>
      </c>
      <c r="O63" s="230"/>
      <c r="U63" s="230"/>
      <c r="V63" s="102" t="s">
        <v>287</v>
      </c>
    </row>
    <row r="64">
      <c r="A64" s="102" t="s">
        <v>332</v>
      </c>
      <c r="B64" s="102" t="s">
        <v>1560</v>
      </c>
      <c r="C64" s="229" t="s">
        <v>1561</v>
      </c>
      <c r="D64" s="102" t="s">
        <v>1562</v>
      </c>
      <c r="E64" s="102" t="s">
        <v>328</v>
      </c>
      <c r="F64" s="102" t="s">
        <v>329</v>
      </c>
      <c r="G64" s="102" t="s">
        <v>280</v>
      </c>
      <c r="H64" s="102" t="s">
        <v>281</v>
      </c>
      <c r="I64" s="102" t="s">
        <v>284</v>
      </c>
      <c r="J64" s="102" t="s">
        <v>336</v>
      </c>
      <c r="L64" s="229" t="s">
        <v>1563</v>
      </c>
      <c r="M64" s="229" t="s">
        <v>1564</v>
      </c>
      <c r="O64" s="230"/>
      <c r="U64" s="230"/>
      <c r="V64" s="102" t="s">
        <v>287</v>
      </c>
    </row>
    <row r="65">
      <c r="A65" s="102" t="s">
        <v>276</v>
      </c>
      <c r="B65" s="102" t="s">
        <v>1565</v>
      </c>
      <c r="C65" s="229" t="s">
        <v>1566</v>
      </c>
      <c r="D65" s="102" t="s">
        <v>1567</v>
      </c>
      <c r="E65" s="102" t="s">
        <v>391</v>
      </c>
      <c r="F65" s="102" t="s">
        <v>392</v>
      </c>
      <c r="G65" s="102" t="s">
        <v>391</v>
      </c>
      <c r="H65" s="102" t="s">
        <v>392</v>
      </c>
      <c r="I65" s="102" t="s">
        <v>284</v>
      </c>
      <c r="J65" s="102" t="s">
        <v>26</v>
      </c>
      <c r="L65" s="229" t="s">
        <v>1568</v>
      </c>
      <c r="M65" s="229" t="s">
        <v>1569</v>
      </c>
      <c r="O65" s="230"/>
      <c r="U65" s="230"/>
      <c r="V65" s="102" t="s">
        <v>1058</v>
      </c>
      <c r="W65" s="102" t="s">
        <v>714</v>
      </c>
    </row>
    <row r="66">
      <c r="A66" s="102" t="s">
        <v>276</v>
      </c>
      <c r="B66" s="102" t="s">
        <v>1570</v>
      </c>
      <c r="C66" s="229" t="s">
        <v>1571</v>
      </c>
      <c r="D66" s="102" t="s">
        <v>1567</v>
      </c>
      <c r="E66" s="102" t="s">
        <v>391</v>
      </c>
      <c r="F66" s="102" t="s">
        <v>392</v>
      </c>
      <c r="G66" s="102" t="s">
        <v>391</v>
      </c>
      <c r="H66" s="102" t="s">
        <v>392</v>
      </c>
      <c r="I66" s="102" t="s">
        <v>284</v>
      </c>
      <c r="J66" s="102" t="s">
        <v>26</v>
      </c>
      <c r="L66" s="229" t="s">
        <v>1572</v>
      </c>
      <c r="M66" s="229" t="s">
        <v>1573</v>
      </c>
      <c r="O66" s="230"/>
      <c r="U66" s="230"/>
      <c r="V66" s="102" t="s">
        <v>1205</v>
      </c>
      <c r="W66" s="102" t="s">
        <v>1205</v>
      </c>
      <c r="X66" s="102" t="s">
        <v>1058</v>
      </c>
      <c r="Y66" s="102" t="s">
        <v>1058</v>
      </c>
      <c r="Z66" s="102" t="s">
        <v>714</v>
      </c>
    </row>
    <row r="67">
      <c r="A67" s="102" t="s">
        <v>276</v>
      </c>
      <c r="B67" s="102" t="s">
        <v>1574</v>
      </c>
      <c r="C67" s="229" t="s">
        <v>1575</v>
      </c>
      <c r="D67" s="102" t="s">
        <v>1567</v>
      </c>
      <c r="E67" s="102" t="s">
        <v>391</v>
      </c>
      <c r="F67" s="102" t="s">
        <v>392</v>
      </c>
      <c r="G67" s="102" t="s">
        <v>391</v>
      </c>
      <c r="H67" s="102" t="s">
        <v>392</v>
      </c>
      <c r="I67" s="102" t="s">
        <v>284</v>
      </c>
      <c r="J67" s="102" t="s">
        <v>26</v>
      </c>
      <c r="L67" s="229" t="s">
        <v>1572</v>
      </c>
      <c r="M67" s="229" t="s">
        <v>1576</v>
      </c>
      <c r="O67" s="230"/>
      <c r="U67" s="230"/>
      <c r="V67" s="102" t="s">
        <v>1205</v>
      </c>
      <c r="W67" s="102" t="s">
        <v>1058</v>
      </c>
      <c r="X67" s="102" t="s">
        <v>1058</v>
      </c>
      <c r="Y67" s="102" t="s">
        <v>714</v>
      </c>
    </row>
    <row r="68">
      <c r="A68" s="102" t="s">
        <v>276</v>
      </c>
      <c r="B68" s="102" t="s">
        <v>1577</v>
      </c>
      <c r="C68" s="229" t="s">
        <v>1578</v>
      </c>
      <c r="D68" s="102" t="s">
        <v>1567</v>
      </c>
      <c r="E68" s="102" t="s">
        <v>391</v>
      </c>
      <c r="F68" s="102" t="s">
        <v>392</v>
      </c>
      <c r="G68" s="102" t="s">
        <v>391</v>
      </c>
      <c r="H68" s="102" t="s">
        <v>392</v>
      </c>
      <c r="I68" s="102" t="s">
        <v>284</v>
      </c>
      <c r="J68" s="102" t="s">
        <v>26</v>
      </c>
      <c r="L68" s="229" t="s">
        <v>1572</v>
      </c>
      <c r="M68" s="229" t="s">
        <v>1579</v>
      </c>
      <c r="O68" s="230"/>
      <c r="U68" s="230"/>
      <c r="V68" s="102" t="s">
        <v>1205</v>
      </c>
      <c r="W68" s="102" t="s">
        <v>1205</v>
      </c>
      <c r="X68" s="102" t="s">
        <v>1058</v>
      </c>
      <c r="Y68" s="102" t="s">
        <v>1058</v>
      </c>
      <c r="Z68" s="102" t="s">
        <v>714</v>
      </c>
    </row>
    <row r="69">
      <c r="A69" s="102" t="s">
        <v>276</v>
      </c>
      <c r="B69" s="102" t="s">
        <v>1580</v>
      </c>
      <c r="C69" s="229" t="s">
        <v>1581</v>
      </c>
      <c r="D69" s="102" t="s">
        <v>1567</v>
      </c>
      <c r="E69" s="102" t="s">
        <v>391</v>
      </c>
      <c r="F69" s="102" t="s">
        <v>392</v>
      </c>
      <c r="G69" s="102" t="s">
        <v>391</v>
      </c>
      <c r="H69" s="102" t="s">
        <v>392</v>
      </c>
      <c r="I69" s="102" t="s">
        <v>284</v>
      </c>
      <c r="J69" s="102" t="s">
        <v>26</v>
      </c>
      <c r="L69" s="229" t="s">
        <v>1582</v>
      </c>
      <c r="M69" s="229" t="s">
        <v>1583</v>
      </c>
      <c r="O69" s="230"/>
      <c r="U69" s="230"/>
      <c r="V69" s="102" t="s">
        <v>1204</v>
      </c>
      <c r="W69" s="102" t="s">
        <v>1205</v>
      </c>
      <c r="X69" s="102" t="s">
        <v>1205</v>
      </c>
      <c r="Y69" s="102" t="s">
        <v>1058</v>
      </c>
      <c r="Z69" s="102" t="s">
        <v>1058</v>
      </c>
      <c r="AA69" s="102" t="s">
        <v>714</v>
      </c>
    </row>
    <row r="70">
      <c r="A70" s="102" t="s">
        <v>276</v>
      </c>
      <c r="B70" s="102" t="s">
        <v>1584</v>
      </c>
      <c r="C70" s="229" t="s">
        <v>1585</v>
      </c>
      <c r="D70" s="102" t="s">
        <v>279</v>
      </c>
      <c r="E70" s="102" t="s">
        <v>280</v>
      </c>
      <c r="F70" s="102" t="s">
        <v>281</v>
      </c>
      <c r="G70" s="102" t="s">
        <v>304</v>
      </c>
      <c r="H70" s="102" t="s">
        <v>305</v>
      </c>
      <c r="I70" s="102" t="s">
        <v>284</v>
      </c>
      <c r="J70" s="102" t="s">
        <v>26</v>
      </c>
      <c r="L70" s="229" t="s">
        <v>1586</v>
      </c>
      <c r="M70" s="229" t="s">
        <v>1587</v>
      </c>
      <c r="O70" s="230"/>
      <c r="U70" s="230"/>
      <c r="V70" s="102" t="s">
        <v>287</v>
      </c>
    </row>
    <row r="71">
      <c r="A71" s="102" t="s">
        <v>276</v>
      </c>
      <c r="B71" s="102" t="s">
        <v>1588</v>
      </c>
      <c r="C71" s="229" t="s">
        <v>1589</v>
      </c>
      <c r="D71" s="102" t="s">
        <v>291</v>
      </c>
      <c r="E71" s="102" t="s">
        <v>280</v>
      </c>
      <c r="F71" s="102" t="s">
        <v>281</v>
      </c>
      <c r="G71" s="102" t="s">
        <v>304</v>
      </c>
      <c r="H71" s="102" t="s">
        <v>305</v>
      </c>
      <c r="I71" s="102" t="s">
        <v>284</v>
      </c>
      <c r="J71" s="102" t="s">
        <v>26</v>
      </c>
      <c r="L71" s="229" t="s">
        <v>1586</v>
      </c>
      <c r="M71" s="229" t="s">
        <v>1590</v>
      </c>
      <c r="O71" s="230"/>
      <c r="U71" s="230"/>
      <c r="V71" s="102" t="s">
        <v>287</v>
      </c>
    </row>
    <row r="72">
      <c r="A72" s="102" t="s">
        <v>276</v>
      </c>
      <c r="B72" s="102" t="s">
        <v>1591</v>
      </c>
      <c r="C72" s="229" t="s">
        <v>1592</v>
      </c>
      <c r="D72" s="102" t="s">
        <v>279</v>
      </c>
      <c r="E72" s="102" t="s">
        <v>280</v>
      </c>
      <c r="F72" s="102" t="s">
        <v>281</v>
      </c>
      <c r="G72" s="102" t="s">
        <v>304</v>
      </c>
      <c r="H72" s="102" t="s">
        <v>305</v>
      </c>
      <c r="I72" s="102" t="s">
        <v>284</v>
      </c>
      <c r="J72" s="102" t="s">
        <v>26</v>
      </c>
      <c r="L72" s="229" t="s">
        <v>1586</v>
      </c>
      <c r="M72" s="229" t="s">
        <v>1593</v>
      </c>
      <c r="O72" s="230"/>
      <c r="U72" s="230"/>
      <c r="V72" s="102" t="s">
        <v>287</v>
      </c>
    </row>
    <row r="73">
      <c r="A73" s="102" t="s">
        <v>276</v>
      </c>
      <c r="B73" s="102" t="s">
        <v>1594</v>
      </c>
      <c r="C73" s="229" t="s">
        <v>1595</v>
      </c>
      <c r="D73" s="102" t="s">
        <v>291</v>
      </c>
      <c r="E73" s="102" t="s">
        <v>280</v>
      </c>
      <c r="F73" s="102" t="s">
        <v>281</v>
      </c>
      <c r="G73" s="102" t="s">
        <v>304</v>
      </c>
      <c r="H73" s="102" t="s">
        <v>305</v>
      </c>
      <c r="I73" s="102" t="s">
        <v>284</v>
      </c>
      <c r="J73" s="102" t="s">
        <v>26</v>
      </c>
      <c r="L73" s="229" t="s">
        <v>1586</v>
      </c>
      <c r="M73" s="229" t="s">
        <v>1596</v>
      </c>
      <c r="O73" s="230"/>
      <c r="U73" s="230"/>
      <c r="V73" s="102" t="s">
        <v>287</v>
      </c>
    </row>
    <row r="74">
      <c r="A74" s="102" t="s">
        <v>276</v>
      </c>
      <c r="B74" s="102" t="s">
        <v>1597</v>
      </c>
      <c r="C74" s="229" t="s">
        <v>1598</v>
      </c>
      <c r="D74" s="102" t="s">
        <v>279</v>
      </c>
      <c r="E74" s="102" t="s">
        <v>280</v>
      </c>
      <c r="F74" s="102" t="s">
        <v>281</v>
      </c>
      <c r="G74" s="102" t="s">
        <v>304</v>
      </c>
      <c r="H74" s="102" t="s">
        <v>305</v>
      </c>
      <c r="I74" s="102" t="s">
        <v>284</v>
      </c>
      <c r="J74" s="102" t="s">
        <v>26</v>
      </c>
      <c r="L74" s="229" t="s">
        <v>1586</v>
      </c>
      <c r="M74" s="229" t="s">
        <v>1599</v>
      </c>
      <c r="O74" s="230"/>
      <c r="U74" s="230"/>
      <c r="V74" s="102" t="s">
        <v>287</v>
      </c>
    </row>
    <row r="75">
      <c r="A75" s="102" t="s">
        <v>276</v>
      </c>
      <c r="B75" s="102" t="s">
        <v>1600</v>
      </c>
      <c r="C75" s="229" t="s">
        <v>1601</v>
      </c>
      <c r="D75" s="102" t="s">
        <v>291</v>
      </c>
      <c r="E75" s="102" t="s">
        <v>280</v>
      </c>
      <c r="F75" s="102" t="s">
        <v>281</v>
      </c>
      <c r="G75" s="102" t="s">
        <v>304</v>
      </c>
      <c r="H75" s="102" t="s">
        <v>305</v>
      </c>
      <c r="I75" s="102" t="s">
        <v>284</v>
      </c>
      <c r="J75" s="102" t="s">
        <v>26</v>
      </c>
      <c r="L75" s="229" t="s">
        <v>1586</v>
      </c>
      <c r="M75" s="229" t="s">
        <v>1596</v>
      </c>
      <c r="O75" s="230"/>
      <c r="U75" s="230"/>
      <c r="V75" s="102" t="s">
        <v>287</v>
      </c>
    </row>
    <row r="76">
      <c r="A76" s="102" t="s">
        <v>310</v>
      </c>
      <c r="B76" s="102" t="s">
        <v>1602</v>
      </c>
      <c r="C76" s="229" t="s">
        <v>1603</v>
      </c>
      <c r="D76" s="102" t="s">
        <v>1604</v>
      </c>
      <c r="E76" s="102" t="s">
        <v>282</v>
      </c>
      <c r="F76" s="102" t="s">
        <v>283</v>
      </c>
      <c r="G76" s="102" t="s">
        <v>362</v>
      </c>
      <c r="H76" s="102" t="s">
        <v>363</v>
      </c>
      <c r="I76" s="102" t="s">
        <v>284</v>
      </c>
      <c r="J76" s="102" t="s">
        <v>26</v>
      </c>
      <c r="L76" s="229" t="s">
        <v>1605</v>
      </c>
      <c r="M76" s="229" t="s">
        <v>1606</v>
      </c>
      <c r="O76" s="102">
        <v>1.0</v>
      </c>
      <c r="U76" s="230"/>
      <c r="V76" s="102" t="s">
        <v>417</v>
      </c>
    </row>
    <row r="77">
      <c r="A77" s="102" t="s">
        <v>310</v>
      </c>
      <c r="B77" s="102" t="s">
        <v>1607</v>
      </c>
      <c r="C77" s="229" t="s">
        <v>1608</v>
      </c>
      <c r="D77" s="102" t="s">
        <v>1609</v>
      </c>
      <c r="E77" s="102" t="s">
        <v>304</v>
      </c>
      <c r="F77" s="102" t="s">
        <v>305</v>
      </c>
      <c r="G77" s="102" t="s">
        <v>304</v>
      </c>
      <c r="H77" s="102" t="s">
        <v>305</v>
      </c>
      <c r="I77" s="102" t="s">
        <v>318</v>
      </c>
      <c r="J77" s="102" t="s">
        <v>26</v>
      </c>
      <c r="L77" s="229" t="s">
        <v>1610</v>
      </c>
      <c r="M77" s="229" t="s">
        <v>1611</v>
      </c>
      <c r="O77" s="102">
        <v>5.0</v>
      </c>
      <c r="P77" s="102" t="s">
        <v>1612</v>
      </c>
      <c r="U77" s="230"/>
      <c r="V77" s="102" t="s">
        <v>417</v>
      </c>
    </row>
    <row r="78">
      <c r="A78" s="102" t="s">
        <v>310</v>
      </c>
      <c r="B78" s="102" t="s">
        <v>1613</v>
      </c>
      <c r="C78" s="229" t="s">
        <v>1614</v>
      </c>
      <c r="D78" s="102" t="s">
        <v>1615</v>
      </c>
      <c r="E78" s="102" t="s">
        <v>513</v>
      </c>
      <c r="F78" s="102" t="s">
        <v>514</v>
      </c>
      <c r="G78" s="102" t="s">
        <v>314</v>
      </c>
      <c r="H78" s="102" t="s">
        <v>315</v>
      </c>
      <c r="I78" s="102" t="s">
        <v>284</v>
      </c>
      <c r="J78" s="102" t="s">
        <v>26</v>
      </c>
      <c r="L78" s="229" t="s">
        <v>1616</v>
      </c>
      <c r="M78" s="229" t="s">
        <v>1617</v>
      </c>
      <c r="O78" s="102">
        <v>1.0</v>
      </c>
      <c r="U78" s="102">
        <v>7200.0</v>
      </c>
      <c r="V78" s="102" t="s">
        <v>417</v>
      </c>
    </row>
    <row r="79">
      <c r="A79" s="102" t="s">
        <v>310</v>
      </c>
      <c r="B79" s="102" t="s">
        <v>1618</v>
      </c>
      <c r="C79" s="229" t="s">
        <v>1619</v>
      </c>
      <c r="D79" s="102" t="s">
        <v>1620</v>
      </c>
      <c r="E79" s="102" t="s">
        <v>513</v>
      </c>
      <c r="F79" s="102" t="s">
        <v>514</v>
      </c>
      <c r="G79" s="102" t="s">
        <v>314</v>
      </c>
      <c r="H79" s="102" t="s">
        <v>315</v>
      </c>
      <c r="I79" s="102" t="s">
        <v>284</v>
      </c>
      <c r="J79" s="102" t="s">
        <v>26</v>
      </c>
      <c r="L79" s="229" t="s">
        <v>1621</v>
      </c>
      <c r="M79" s="229" t="s">
        <v>1622</v>
      </c>
      <c r="O79" s="102">
        <v>1.0</v>
      </c>
      <c r="U79" s="230"/>
      <c r="V79" s="102" t="s">
        <v>966</v>
      </c>
    </row>
    <row r="80">
      <c r="A80" s="102" t="s">
        <v>310</v>
      </c>
      <c r="B80" s="102" t="s">
        <v>939</v>
      </c>
      <c r="C80" s="229" t="s">
        <v>940</v>
      </c>
      <c r="D80" s="102" t="s">
        <v>941</v>
      </c>
      <c r="E80" s="102" t="s">
        <v>328</v>
      </c>
      <c r="F80" s="102" t="s">
        <v>329</v>
      </c>
      <c r="G80" s="102" t="s">
        <v>353</v>
      </c>
      <c r="H80" s="102" t="s">
        <v>354</v>
      </c>
      <c r="I80" s="102" t="s">
        <v>284</v>
      </c>
      <c r="J80" s="102" t="s">
        <v>454</v>
      </c>
      <c r="L80" s="229" t="s">
        <v>942</v>
      </c>
      <c r="M80" s="229" t="s">
        <v>887</v>
      </c>
      <c r="N80" s="229" t="s">
        <v>944</v>
      </c>
      <c r="O80" s="230"/>
      <c r="P80" s="102" t="s">
        <v>538</v>
      </c>
      <c r="Q80" s="102" t="s">
        <v>593</v>
      </c>
      <c r="U80" s="230"/>
      <c r="V80" s="102" t="s">
        <v>395</v>
      </c>
      <c r="W80" s="102" t="s">
        <v>387</v>
      </c>
    </row>
    <row r="81">
      <c r="A81" s="102" t="s">
        <v>310</v>
      </c>
      <c r="B81" s="102" t="s">
        <v>945</v>
      </c>
      <c r="C81" s="229" t="s">
        <v>946</v>
      </c>
      <c r="D81" s="102" t="s">
        <v>947</v>
      </c>
      <c r="E81" s="102" t="s">
        <v>564</v>
      </c>
      <c r="F81" s="102" t="s">
        <v>565</v>
      </c>
      <c r="G81" s="102" t="s">
        <v>353</v>
      </c>
      <c r="H81" s="102" t="s">
        <v>354</v>
      </c>
      <c r="I81" s="102" t="s">
        <v>284</v>
      </c>
      <c r="J81" s="102" t="s">
        <v>678</v>
      </c>
      <c r="L81" s="229" t="s">
        <v>948</v>
      </c>
      <c r="M81" s="229" t="s">
        <v>949</v>
      </c>
      <c r="N81" s="229" t="s">
        <v>950</v>
      </c>
      <c r="O81" s="102">
        <v>8.0</v>
      </c>
      <c r="P81" s="102" t="s">
        <v>593</v>
      </c>
      <c r="U81" s="102">
        <v>86400.0</v>
      </c>
      <c r="V81" s="102" t="s">
        <v>714</v>
      </c>
      <c r="W81" s="102" t="s">
        <v>358</v>
      </c>
    </row>
    <row r="82">
      <c r="A82" s="102" t="s">
        <v>310</v>
      </c>
      <c r="B82" s="102" t="s">
        <v>951</v>
      </c>
      <c r="C82" s="229" t="s">
        <v>952</v>
      </c>
      <c r="D82" s="102" t="s">
        <v>953</v>
      </c>
      <c r="E82" s="102" t="s">
        <v>564</v>
      </c>
      <c r="F82" s="102" t="s">
        <v>565</v>
      </c>
      <c r="G82" s="102" t="s">
        <v>353</v>
      </c>
      <c r="H82" s="102" t="s">
        <v>354</v>
      </c>
      <c r="I82" s="102" t="s">
        <v>284</v>
      </c>
      <c r="J82" s="102" t="s">
        <v>454</v>
      </c>
      <c r="L82" s="229" t="s">
        <v>954</v>
      </c>
      <c r="M82" s="229" t="s">
        <v>949</v>
      </c>
      <c r="N82" s="229" t="s">
        <v>955</v>
      </c>
      <c r="O82" s="102">
        <v>1.0</v>
      </c>
      <c r="P82" s="102" t="s">
        <v>593</v>
      </c>
      <c r="U82" s="102">
        <v>7200.0</v>
      </c>
      <c r="V82" s="102" t="s">
        <v>714</v>
      </c>
      <c r="W82" s="102" t="s">
        <v>358</v>
      </c>
    </row>
    <row r="83">
      <c r="A83" s="102" t="s">
        <v>310</v>
      </c>
      <c r="B83" s="102" t="s">
        <v>956</v>
      </c>
      <c r="C83" s="229" t="s">
        <v>957</v>
      </c>
      <c r="D83" s="102" t="s">
        <v>958</v>
      </c>
      <c r="E83" s="102" t="s">
        <v>353</v>
      </c>
      <c r="F83" s="102" t="s">
        <v>354</v>
      </c>
      <c r="G83" s="102" t="s">
        <v>353</v>
      </c>
      <c r="H83" s="102" t="s">
        <v>354</v>
      </c>
      <c r="I83" s="102" t="s">
        <v>284</v>
      </c>
      <c r="J83" s="102" t="s">
        <v>355</v>
      </c>
      <c r="L83" s="229" t="s">
        <v>959</v>
      </c>
      <c r="M83" s="229" t="s">
        <v>960</v>
      </c>
      <c r="O83" s="102">
        <v>8.0</v>
      </c>
      <c r="U83" s="230"/>
      <c r="V83" s="102" t="s">
        <v>287</v>
      </c>
      <c r="W83" s="102" t="s">
        <v>288</v>
      </c>
    </row>
    <row r="84">
      <c r="A84" s="102" t="s">
        <v>276</v>
      </c>
      <c r="B84" s="102" t="s">
        <v>1623</v>
      </c>
      <c r="C84" s="229" t="s">
        <v>1624</v>
      </c>
      <c r="D84" s="102" t="s">
        <v>279</v>
      </c>
      <c r="E84" s="102" t="s">
        <v>280</v>
      </c>
      <c r="F84" s="102" t="s">
        <v>281</v>
      </c>
      <c r="G84" s="102" t="s">
        <v>304</v>
      </c>
      <c r="H84" s="102" t="s">
        <v>305</v>
      </c>
      <c r="I84" s="102" t="s">
        <v>284</v>
      </c>
      <c r="J84" s="102" t="s">
        <v>26</v>
      </c>
      <c r="L84" s="229" t="s">
        <v>1625</v>
      </c>
      <c r="M84" s="229" t="s">
        <v>1626</v>
      </c>
      <c r="O84" s="230"/>
      <c r="U84" s="230"/>
      <c r="V84" s="102" t="s">
        <v>286</v>
      </c>
      <c r="W84" s="102" t="s">
        <v>287</v>
      </c>
    </row>
    <row r="85">
      <c r="A85" s="102" t="s">
        <v>276</v>
      </c>
      <c r="B85" s="102" t="s">
        <v>1627</v>
      </c>
      <c r="C85" s="229" t="s">
        <v>1628</v>
      </c>
      <c r="D85" s="102" t="s">
        <v>291</v>
      </c>
      <c r="E85" s="102" t="s">
        <v>280</v>
      </c>
      <c r="F85" s="102" t="s">
        <v>281</v>
      </c>
      <c r="G85" s="102" t="s">
        <v>304</v>
      </c>
      <c r="H85" s="102" t="s">
        <v>305</v>
      </c>
      <c r="I85" s="102" t="s">
        <v>284</v>
      </c>
      <c r="J85" s="102" t="s">
        <v>26</v>
      </c>
      <c r="L85" s="229" t="s">
        <v>1625</v>
      </c>
      <c r="M85" s="229" t="s">
        <v>1626</v>
      </c>
      <c r="O85" s="230"/>
      <c r="U85" s="230"/>
      <c r="V85" s="102" t="s">
        <v>286</v>
      </c>
      <c r="W85" s="102" t="s">
        <v>287</v>
      </c>
    </row>
    <row r="86">
      <c r="A86" s="102" t="s">
        <v>276</v>
      </c>
      <c r="B86" s="102" t="s">
        <v>1629</v>
      </c>
      <c r="C86" s="229" t="s">
        <v>1630</v>
      </c>
      <c r="D86" s="102" t="s">
        <v>279</v>
      </c>
      <c r="E86" s="102" t="s">
        <v>280</v>
      </c>
      <c r="F86" s="102" t="s">
        <v>281</v>
      </c>
      <c r="G86" s="102" t="s">
        <v>282</v>
      </c>
      <c r="H86" s="102" t="s">
        <v>283</v>
      </c>
      <c r="I86" s="102" t="s">
        <v>284</v>
      </c>
      <c r="J86" s="102" t="s">
        <v>26</v>
      </c>
      <c r="L86" s="229" t="s">
        <v>1625</v>
      </c>
      <c r="M86" s="229" t="s">
        <v>1631</v>
      </c>
      <c r="O86" s="230"/>
      <c r="U86" s="230"/>
      <c r="V86" s="102" t="s">
        <v>299</v>
      </c>
      <c r="W86" s="102" t="s">
        <v>286</v>
      </c>
      <c r="X86" s="102" t="s">
        <v>287</v>
      </c>
    </row>
    <row r="87">
      <c r="A87" s="102" t="s">
        <v>276</v>
      </c>
      <c r="B87" s="102" t="s">
        <v>1632</v>
      </c>
      <c r="C87" s="229" t="s">
        <v>1633</v>
      </c>
      <c r="D87" s="102" t="s">
        <v>291</v>
      </c>
      <c r="E87" s="102" t="s">
        <v>280</v>
      </c>
      <c r="F87" s="102" t="s">
        <v>281</v>
      </c>
      <c r="G87" s="102" t="s">
        <v>282</v>
      </c>
      <c r="H87" s="102" t="s">
        <v>283</v>
      </c>
      <c r="I87" s="102" t="s">
        <v>284</v>
      </c>
      <c r="J87" s="102" t="s">
        <v>26</v>
      </c>
      <c r="L87" s="229" t="s">
        <v>1625</v>
      </c>
      <c r="M87" s="229" t="s">
        <v>1590</v>
      </c>
      <c r="O87" s="230"/>
      <c r="U87" s="230"/>
      <c r="V87" s="102" t="s">
        <v>299</v>
      </c>
      <c r="W87" s="102" t="s">
        <v>286</v>
      </c>
      <c r="X87" s="102" t="s">
        <v>287</v>
      </c>
    </row>
    <row r="88">
      <c r="A88" s="102" t="s">
        <v>276</v>
      </c>
      <c r="B88" s="102" t="s">
        <v>1634</v>
      </c>
      <c r="C88" s="229" t="s">
        <v>1635</v>
      </c>
      <c r="D88" s="102" t="s">
        <v>279</v>
      </c>
      <c r="E88" s="102" t="s">
        <v>280</v>
      </c>
      <c r="F88" s="102" t="s">
        <v>281</v>
      </c>
      <c r="G88" s="102" t="s">
        <v>304</v>
      </c>
      <c r="H88" s="102" t="s">
        <v>305</v>
      </c>
      <c r="I88" s="102" t="s">
        <v>284</v>
      </c>
      <c r="J88" s="102" t="s">
        <v>26</v>
      </c>
      <c r="L88" s="229" t="s">
        <v>1625</v>
      </c>
      <c r="M88" s="229" t="s">
        <v>1587</v>
      </c>
      <c r="O88" s="230"/>
      <c r="U88" s="230"/>
      <c r="V88" s="102" t="s">
        <v>299</v>
      </c>
      <c r="W88" s="102" t="s">
        <v>286</v>
      </c>
      <c r="X88" s="102" t="s">
        <v>287</v>
      </c>
    </row>
    <row r="89">
      <c r="A89" s="102" t="s">
        <v>276</v>
      </c>
      <c r="B89" s="102" t="s">
        <v>1636</v>
      </c>
      <c r="C89" s="229" t="s">
        <v>1637</v>
      </c>
      <c r="D89" s="102" t="s">
        <v>291</v>
      </c>
      <c r="E89" s="102" t="s">
        <v>280</v>
      </c>
      <c r="F89" s="102" t="s">
        <v>281</v>
      </c>
      <c r="G89" s="102" t="s">
        <v>304</v>
      </c>
      <c r="H89" s="102" t="s">
        <v>305</v>
      </c>
      <c r="I89" s="102" t="s">
        <v>284</v>
      </c>
      <c r="J89" s="102" t="s">
        <v>26</v>
      </c>
      <c r="L89" s="229" t="s">
        <v>1625</v>
      </c>
      <c r="M89" s="229" t="s">
        <v>1638</v>
      </c>
      <c r="O89" s="230"/>
      <c r="U89" s="230"/>
      <c r="V89" s="102" t="s">
        <v>299</v>
      </c>
      <c r="W89" s="102" t="s">
        <v>286</v>
      </c>
      <c r="X89" s="102" t="s">
        <v>287</v>
      </c>
    </row>
    <row r="90">
      <c r="A90" s="102" t="s">
        <v>276</v>
      </c>
      <c r="B90" s="102" t="s">
        <v>1639</v>
      </c>
      <c r="C90" s="229" t="s">
        <v>1640</v>
      </c>
      <c r="D90" s="102" t="s">
        <v>279</v>
      </c>
      <c r="E90" s="102" t="s">
        <v>280</v>
      </c>
      <c r="F90" s="102" t="s">
        <v>281</v>
      </c>
      <c r="G90" s="102" t="s">
        <v>282</v>
      </c>
      <c r="H90" s="102" t="s">
        <v>283</v>
      </c>
      <c r="I90" s="102" t="s">
        <v>284</v>
      </c>
      <c r="J90" s="102" t="s">
        <v>26</v>
      </c>
      <c r="L90" s="229" t="s">
        <v>1641</v>
      </c>
      <c r="M90" s="229" t="s">
        <v>1642</v>
      </c>
      <c r="O90" s="230"/>
      <c r="U90" s="230"/>
      <c r="V90" s="102" t="s">
        <v>298</v>
      </c>
      <c r="W90" s="102" t="s">
        <v>299</v>
      </c>
      <c r="X90" s="102" t="s">
        <v>286</v>
      </c>
      <c r="Y90" s="102" t="s">
        <v>287</v>
      </c>
    </row>
    <row r="91">
      <c r="A91" s="102" t="s">
        <v>276</v>
      </c>
      <c r="B91" s="102" t="s">
        <v>1643</v>
      </c>
      <c r="C91" s="229" t="s">
        <v>1644</v>
      </c>
      <c r="D91" s="102" t="s">
        <v>291</v>
      </c>
      <c r="E91" s="102" t="s">
        <v>280</v>
      </c>
      <c r="F91" s="102" t="s">
        <v>281</v>
      </c>
      <c r="G91" s="102" t="s">
        <v>282</v>
      </c>
      <c r="H91" s="102" t="s">
        <v>283</v>
      </c>
      <c r="I91" s="102" t="s">
        <v>284</v>
      </c>
      <c r="J91" s="102" t="s">
        <v>26</v>
      </c>
      <c r="L91" s="229" t="s">
        <v>1641</v>
      </c>
      <c r="M91" s="229" t="s">
        <v>1645</v>
      </c>
      <c r="O91" s="230"/>
      <c r="U91" s="230"/>
      <c r="V91" s="102" t="s">
        <v>298</v>
      </c>
      <c r="W91" s="102" t="s">
        <v>299</v>
      </c>
      <c r="X91" s="102" t="s">
        <v>286</v>
      </c>
      <c r="Y91" s="102" t="s">
        <v>287</v>
      </c>
    </row>
    <row r="92">
      <c r="A92" s="102" t="s">
        <v>276</v>
      </c>
      <c r="B92" s="102" t="s">
        <v>1646</v>
      </c>
      <c r="C92" s="229" t="s">
        <v>1647</v>
      </c>
      <c r="D92" s="102" t="s">
        <v>279</v>
      </c>
      <c r="E92" s="102" t="s">
        <v>280</v>
      </c>
      <c r="F92" s="102" t="s">
        <v>281</v>
      </c>
      <c r="G92" s="102" t="s">
        <v>282</v>
      </c>
      <c r="H92" s="102" t="s">
        <v>283</v>
      </c>
      <c r="I92" s="102" t="s">
        <v>284</v>
      </c>
      <c r="J92" s="102" t="s">
        <v>26</v>
      </c>
      <c r="L92" s="229" t="s">
        <v>1648</v>
      </c>
      <c r="M92" s="229" t="s">
        <v>1626</v>
      </c>
      <c r="O92" s="230"/>
      <c r="U92" s="230"/>
      <c r="V92" s="102" t="s">
        <v>286</v>
      </c>
      <c r="W92" s="102" t="s">
        <v>287</v>
      </c>
    </row>
    <row r="93">
      <c r="A93" s="102" t="s">
        <v>276</v>
      </c>
      <c r="B93" s="102" t="s">
        <v>1649</v>
      </c>
      <c r="C93" s="229" t="s">
        <v>1650</v>
      </c>
      <c r="D93" s="102" t="s">
        <v>291</v>
      </c>
      <c r="E93" s="102" t="s">
        <v>280</v>
      </c>
      <c r="F93" s="102" t="s">
        <v>281</v>
      </c>
      <c r="G93" s="102" t="s">
        <v>282</v>
      </c>
      <c r="H93" s="102" t="s">
        <v>283</v>
      </c>
      <c r="I93" s="102" t="s">
        <v>284</v>
      </c>
      <c r="J93" s="102" t="s">
        <v>26</v>
      </c>
      <c r="L93" s="229" t="s">
        <v>1648</v>
      </c>
      <c r="M93" s="229" t="s">
        <v>1626</v>
      </c>
      <c r="O93" s="230"/>
      <c r="U93" s="230"/>
      <c r="V93" s="102" t="s">
        <v>286</v>
      </c>
      <c r="W93" s="102" t="s">
        <v>287</v>
      </c>
    </row>
    <row r="94">
      <c r="A94" s="102" t="s">
        <v>276</v>
      </c>
      <c r="B94" s="102" t="s">
        <v>1651</v>
      </c>
      <c r="C94" s="229" t="s">
        <v>1652</v>
      </c>
      <c r="D94" s="102" t="s">
        <v>279</v>
      </c>
      <c r="E94" s="102" t="s">
        <v>280</v>
      </c>
      <c r="F94" s="102" t="s">
        <v>281</v>
      </c>
      <c r="G94" s="102" t="s">
        <v>282</v>
      </c>
      <c r="H94" s="102" t="s">
        <v>283</v>
      </c>
      <c r="I94" s="102" t="s">
        <v>284</v>
      </c>
      <c r="J94" s="102" t="s">
        <v>26</v>
      </c>
      <c r="L94" s="229" t="s">
        <v>1648</v>
      </c>
      <c r="M94" s="229" t="s">
        <v>1653</v>
      </c>
      <c r="O94" s="230"/>
      <c r="U94" s="230"/>
      <c r="V94" s="102" t="s">
        <v>299</v>
      </c>
      <c r="W94" s="102" t="s">
        <v>286</v>
      </c>
      <c r="X94" s="102" t="s">
        <v>287</v>
      </c>
    </row>
    <row r="95">
      <c r="A95" s="102" t="s">
        <v>276</v>
      </c>
      <c r="B95" s="102" t="s">
        <v>1654</v>
      </c>
      <c r="C95" s="229" t="s">
        <v>1655</v>
      </c>
      <c r="D95" s="102" t="s">
        <v>279</v>
      </c>
      <c r="E95" s="102" t="s">
        <v>280</v>
      </c>
      <c r="F95" s="102" t="s">
        <v>281</v>
      </c>
      <c r="G95" s="102" t="s">
        <v>282</v>
      </c>
      <c r="H95" s="102" t="s">
        <v>283</v>
      </c>
      <c r="I95" s="102" t="s">
        <v>284</v>
      </c>
      <c r="J95" s="102" t="s">
        <v>26</v>
      </c>
      <c r="L95" s="229" t="s">
        <v>1648</v>
      </c>
      <c r="M95" s="229" t="s">
        <v>1656</v>
      </c>
      <c r="O95" s="230"/>
      <c r="U95" s="230"/>
      <c r="V95" s="102" t="s">
        <v>298</v>
      </c>
      <c r="W95" s="102" t="s">
        <v>299</v>
      </c>
      <c r="X95" s="102" t="s">
        <v>286</v>
      </c>
      <c r="Y95" s="102" t="s">
        <v>287</v>
      </c>
    </row>
    <row r="96">
      <c r="A96" s="102" t="s">
        <v>276</v>
      </c>
      <c r="B96" s="102" t="s">
        <v>1657</v>
      </c>
      <c r="C96" s="229" t="s">
        <v>1658</v>
      </c>
      <c r="D96" s="102" t="s">
        <v>279</v>
      </c>
      <c r="E96" s="102" t="s">
        <v>280</v>
      </c>
      <c r="F96" s="102" t="s">
        <v>281</v>
      </c>
      <c r="G96" s="102" t="s">
        <v>282</v>
      </c>
      <c r="H96" s="102" t="s">
        <v>283</v>
      </c>
      <c r="I96" s="102" t="s">
        <v>284</v>
      </c>
      <c r="J96" s="102" t="s">
        <v>26</v>
      </c>
      <c r="L96" s="229" t="s">
        <v>1648</v>
      </c>
      <c r="M96" s="229" t="s">
        <v>1659</v>
      </c>
      <c r="O96" s="230"/>
      <c r="U96" s="230"/>
      <c r="V96" s="102" t="s">
        <v>286</v>
      </c>
      <c r="W96" s="102" t="s">
        <v>287</v>
      </c>
    </row>
    <row r="97">
      <c r="A97" s="102" t="s">
        <v>276</v>
      </c>
      <c r="B97" s="102" t="s">
        <v>1660</v>
      </c>
      <c r="C97" s="229" t="s">
        <v>1661</v>
      </c>
      <c r="D97" s="102" t="s">
        <v>279</v>
      </c>
      <c r="E97" s="102" t="s">
        <v>280</v>
      </c>
      <c r="F97" s="102" t="s">
        <v>281</v>
      </c>
      <c r="G97" s="102" t="s">
        <v>282</v>
      </c>
      <c r="H97" s="102" t="s">
        <v>283</v>
      </c>
      <c r="I97" s="102" t="s">
        <v>284</v>
      </c>
      <c r="J97" s="102" t="s">
        <v>26</v>
      </c>
      <c r="L97" s="229" t="s">
        <v>1648</v>
      </c>
      <c r="M97" s="229" t="s">
        <v>1626</v>
      </c>
      <c r="O97" s="230"/>
      <c r="U97" s="230"/>
      <c r="V97" s="102" t="s">
        <v>286</v>
      </c>
      <c r="W97" s="102" t="s">
        <v>287</v>
      </c>
    </row>
    <row r="98">
      <c r="A98" s="102" t="s">
        <v>276</v>
      </c>
      <c r="B98" s="102" t="s">
        <v>1662</v>
      </c>
      <c r="C98" s="229" t="s">
        <v>1663</v>
      </c>
      <c r="D98" s="102" t="s">
        <v>291</v>
      </c>
      <c r="E98" s="102" t="s">
        <v>280</v>
      </c>
      <c r="F98" s="102" t="s">
        <v>281</v>
      </c>
      <c r="G98" s="102" t="s">
        <v>282</v>
      </c>
      <c r="H98" s="102" t="s">
        <v>283</v>
      </c>
      <c r="I98" s="102" t="s">
        <v>284</v>
      </c>
      <c r="J98" s="102" t="s">
        <v>26</v>
      </c>
      <c r="L98" s="229" t="s">
        <v>1648</v>
      </c>
      <c r="M98" s="229" t="s">
        <v>1664</v>
      </c>
      <c r="O98" s="230"/>
      <c r="U98" s="230"/>
      <c r="V98" s="102" t="s">
        <v>299</v>
      </c>
      <c r="W98" s="102" t="s">
        <v>286</v>
      </c>
      <c r="X98" s="102" t="s">
        <v>287</v>
      </c>
      <c r="AC98" s="231"/>
    </row>
    <row r="99">
      <c r="A99" s="102" t="s">
        <v>276</v>
      </c>
      <c r="B99" s="102" t="s">
        <v>1665</v>
      </c>
      <c r="C99" s="229" t="s">
        <v>1666</v>
      </c>
      <c r="D99" s="102" t="s">
        <v>291</v>
      </c>
      <c r="E99" s="102" t="s">
        <v>280</v>
      </c>
      <c r="F99" s="102" t="s">
        <v>281</v>
      </c>
      <c r="G99" s="102" t="s">
        <v>282</v>
      </c>
      <c r="H99" s="102" t="s">
        <v>283</v>
      </c>
      <c r="I99" s="102" t="s">
        <v>284</v>
      </c>
      <c r="J99" s="102" t="s">
        <v>26</v>
      </c>
      <c r="L99" s="229" t="s">
        <v>1648</v>
      </c>
      <c r="M99" s="229" t="s">
        <v>1667</v>
      </c>
      <c r="O99" s="230"/>
      <c r="U99" s="230"/>
      <c r="V99" s="102" t="s">
        <v>286</v>
      </c>
      <c r="W99" s="102" t="s">
        <v>287</v>
      </c>
    </row>
    <row r="100">
      <c r="A100" s="102" t="s">
        <v>276</v>
      </c>
      <c r="B100" s="102" t="s">
        <v>1668</v>
      </c>
      <c r="C100" s="229" t="s">
        <v>1669</v>
      </c>
      <c r="D100" s="102" t="s">
        <v>291</v>
      </c>
      <c r="E100" s="102" t="s">
        <v>280</v>
      </c>
      <c r="F100" s="102" t="s">
        <v>281</v>
      </c>
      <c r="G100" s="102" t="s">
        <v>282</v>
      </c>
      <c r="H100" s="102" t="s">
        <v>283</v>
      </c>
      <c r="I100" s="102" t="s">
        <v>284</v>
      </c>
      <c r="J100" s="102" t="s">
        <v>26</v>
      </c>
      <c r="L100" s="229" t="s">
        <v>1648</v>
      </c>
      <c r="M100" s="229" t="s">
        <v>1670</v>
      </c>
      <c r="O100" s="230"/>
      <c r="U100" s="230"/>
      <c r="V100" s="102" t="s">
        <v>298</v>
      </c>
      <c r="W100" s="102" t="s">
        <v>299</v>
      </c>
      <c r="X100" s="102" t="s">
        <v>286</v>
      </c>
      <c r="Y100" s="102" t="s">
        <v>287</v>
      </c>
    </row>
    <row r="101">
      <c r="A101" s="102" t="s">
        <v>276</v>
      </c>
      <c r="B101" s="102" t="s">
        <v>1671</v>
      </c>
      <c r="C101" s="229" t="s">
        <v>1672</v>
      </c>
      <c r="D101" s="102" t="s">
        <v>291</v>
      </c>
      <c r="E101" s="102" t="s">
        <v>280</v>
      </c>
      <c r="F101" s="102" t="s">
        <v>281</v>
      </c>
      <c r="G101" s="102" t="s">
        <v>282</v>
      </c>
      <c r="H101" s="102" t="s">
        <v>283</v>
      </c>
      <c r="I101" s="102" t="s">
        <v>284</v>
      </c>
      <c r="J101" s="102" t="s">
        <v>26</v>
      </c>
      <c r="L101" s="229" t="s">
        <v>1648</v>
      </c>
      <c r="M101" s="229" t="s">
        <v>1626</v>
      </c>
      <c r="O101" s="230"/>
      <c r="U101" s="230"/>
      <c r="V101" s="102" t="s">
        <v>286</v>
      </c>
      <c r="W101" s="102" t="s">
        <v>287</v>
      </c>
    </row>
    <row r="102">
      <c r="A102" s="102" t="s">
        <v>276</v>
      </c>
      <c r="B102" s="102" t="s">
        <v>1673</v>
      </c>
      <c r="C102" s="229" t="s">
        <v>1674</v>
      </c>
      <c r="D102" s="102" t="s">
        <v>279</v>
      </c>
      <c r="E102" s="102" t="s">
        <v>280</v>
      </c>
      <c r="F102" s="102" t="s">
        <v>281</v>
      </c>
      <c r="G102" s="102" t="s">
        <v>282</v>
      </c>
      <c r="H102" s="102" t="s">
        <v>283</v>
      </c>
      <c r="I102" s="102" t="s">
        <v>284</v>
      </c>
      <c r="J102" s="102" t="s">
        <v>26</v>
      </c>
      <c r="L102" s="229" t="s">
        <v>1675</v>
      </c>
      <c r="M102" s="229" t="s">
        <v>1653</v>
      </c>
      <c r="O102" s="230"/>
      <c r="U102" s="230"/>
      <c r="V102" s="102" t="s">
        <v>529</v>
      </c>
      <c r="W102" s="102" t="s">
        <v>298</v>
      </c>
      <c r="X102" s="102" t="s">
        <v>299</v>
      </c>
      <c r="Y102" s="102" t="s">
        <v>286</v>
      </c>
      <c r="Z102" s="102" t="s">
        <v>287</v>
      </c>
    </row>
    <row r="103">
      <c r="A103" s="102" t="s">
        <v>276</v>
      </c>
      <c r="B103" s="102" t="s">
        <v>1676</v>
      </c>
      <c r="C103" s="229" t="s">
        <v>1677</v>
      </c>
      <c r="D103" s="102" t="s">
        <v>291</v>
      </c>
      <c r="E103" s="102" t="s">
        <v>280</v>
      </c>
      <c r="F103" s="102" t="s">
        <v>281</v>
      </c>
      <c r="G103" s="102" t="s">
        <v>282</v>
      </c>
      <c r="H103" s="102" t="s">
        <v>283</v>
      </c>
      <c r="I103" s="102" t="s">
        <v>284</v>
      </c>
      <c r="J103" s="102" t="s">
        <v>26</v>
      </c>
      <c r="L103" s="229" t="s">
        <v>1675</v>
      </c>
      <c r="M103" s="229" t="s">
        <v>1678</v>
      </c>
      <c r="O103" s="230"/>
      <c r="U103" s="230"/>
      <c r="V103" s="102" t="s">
        <v>529</v>
      </c>
      <c r="W103" s="102" t="s">
        <v>298</v>
      </c>
      <c r="X103" s="102" t="s">
        <v>299</v>
      </c>
      <c r="Y103" s="102" t="s">
        <v>286</v>
      </c>
      <c r="Z103" s="102" t="s">
        <v>287</v>
      </c>
    </row>
    <row r="104">
      <c r="A104" s="102" t="s">
        <v>276</v>
      </c>
      <c r="B104" s="102" t="s">
        <v>1679</v>
      </c>
      <c r="C104" s="229" t="s">
        <v>1680</v>
      </c>
      <c r="D104" s="102" t="s">
        <v>279</v>
      </c>
      <c r="E104" s="102" t="s">
        <v>280</v>
      </c>
      <c r="F104" s="102" t="s">
        <v>281</v>
      </c>
      <c r="G104" s="102" t="s">
        <v>282</v>
      </c>
      <c r="H104" s="102" t="s">
        <v>283</v>
      </c>
      <c r="I104" s="102" t="s">
        <v>284</v>
      </c>
      <c r="J104" s="102" t="s">
        <v>26</v>
      </c>
      <c r="L104" s="229" t="s">
        <v>1675</v>
      </c>
      <c r="M104" s="229" t="s">
        <v>1653</v>
      </c>
      <c r="O104" s="230"/>
      <c r="U104" s="230"/>
      <c r="V104" s="102" t="s">
        <v>529</v>
      </c>
      <c r="W104" s="102" t="s">
        <v>298</v>
      </c>
      <c r="X104" s="102" t="s">
        <v>299</v>
      </c>
      <c r="Y104" s="102" t="s">
        <v>286</v>
      </c>
      <c r="Z104" s="102" t="s">
        <v>287</v>
      </c>
    </row>
    <row r="105">
      <c r="A105" s="102" t="s">
        <v>276</v>
      </c>
      <c r="B105" s="102" t="s">
        <v>1681</v>
      </c>
      <c r="C105" s="229" t="s">
        <v>1682</v>
      </c>
      <c r="D105" s="102" t="s">
        <v>291</v>
      </c>
      <c r="E105" s="102" t="s">
        <v>280</v>
      </c>
      <c r="F105" s="102" t="s">
        <v>281</v>
      </c>
      <c r="G105" s="102" t="s">
        <v>282</v>
      </c>
      <c r="H105" s="102" t="s">
        <v>283</v>
      </c>
      <c r="I105" s="102" t="s">
        <v>284</v>
      </c>
      <c r="J105" s="102" t="s">
        <v>26</v>
      </c>
      <c r="L105" s="229" t="s">
        <v>1675</v>
      </c>
      <c r="M105" s="229" t="s">
        <v>1683</v>
      </c>
      <c r="O105" s="230"/>
      <c r="U105" s="230"/>
      <c r="V105" s="102" t="s">
        <v>529</v>
      </c>
      <c r="W105" s="102" t="s">
        <v>298</v>
      </c>
      <c r="X105" s="102" t="s">
        <v>299</v>
      </c>
      <c r="Y105" s="102" t="s">
        <v>286</v>
      </c>
      <c r="Z105" s="102" t="s">
        <v>287</v>
      </c>
    </row>
    <row r="106">
      <c r="A106" s="102" t="s">
        <v>276</v>
      </c>
      <c r="B106" s="102" t="s">
        <v>1684</v>
      </c>
      <c r="C106" s="229" t="s">
        <v>1685</v>
      </c>
      <c r="D106" s="102" t="s">
        <v>279</v>
      </c>
      <c r="E106" s="102" t="s">
        <v>280</v>
      </c>
      <c r="F106" s="102" t="s">
        <v>281</v>
      </c>
      <c r="G106" s="102" t="s">
        <v>282</v>
      </c>
      <c r="H106" s="102" t="s">
        <v>283</v>
      </c>
      <c r="I106" s="102" t="s">
        <v>284</v>
      </c>
      <c r="J106" s="102" t="s">
        <v>26</v>
      </c>
      <c r="L106" s="229" t="s">
        <v>1675</v>
      </c>
      <c r="M106" s="229" t="s">
        <v>1686</v>
      </c>
      <c r="O106" s="230"/>
      <c r="U106" s="230"/>
      <c r="V106" s="102" t="s">
        <v>1085</v>
      </c>
      <c r="W106" s="102" t="s">
        <v>529</v>
      </c>
      <c r="X106" s="102" t="s">
        <v>298</v>
      </c>
      <c r="Y106" s="102" t="s">
        <v>299</v>
      </c>
      <c r="Z106" s="102" t="s">
        <v>286</v>
      </c>
      <c r="AA106" s="102" t="s">
        <v>287</v>
      </c>
    </row>
    <row r="107">
      <c r="A107" s="102" t="s">
        <v>276</v>
      </c>
      <c r="B107" s="102" t="s">
        <v>1687</v>
      </c>
      <c r="C107" s="229" t="s">
        <v>1688</v>
      </c>
      <c r="D107" s="102" t="s">
        <v>291</v>
      </c>
      <c r="E107" s="102" t="s">
        <v>280</v>
      </c>
      <c r="F107" s="102" t="s">
        <v>281</v>
      </c>
      <c r="G107" s="102" t="s">
        <v>282</v>
      </c>
      <c r="H107" s="102" t="s">
        <v>283</v>
      </c>
      <c r="I107" s="102" t="s">
        <v>284</v>
      </c>
      <c r="J107" s="102" t="s">
        <v>26</v>
      </c>
      <c r="L107" s="229" t="s">
        <v>1675</v>
      </c>
      <c r="M107" s="229" t="s">
        <v>1686</v>
      </c>
      <c r="O107" s="230"/>
      <c r="U107" s="230"/>
      <c r="V107" s="102" t="s">
        <v>1085</v>
      </c>
      <c r="W107" s="102" t="s">
        <v>529</v>
      </c>
      <c r="X107" s="102" t="s">
        <v>298</v>
      </c>
      <c r="Y107" s="102" t="s">
        <v>299</v>
      </c>
      <c r="Z107" s="102" t="s">
        <v>286</v>
      </c>
      <c r="AA107" s="102" t="s">
        <v>287</v>
      </c>
    </row>
    <row r="108">
      <c r="A108" s="102" t="s">
        <v>276</v>
      </c>
      <c r="B108" s="102" t="s">
        <v>1689</v>
      </c>
      <c r="C108" s="229" t="s">
        <v>1690</v>
      </c>
      <c r="D108" s="102" t="s">
        <v>279</v>
      </c>
      <c r="E108" s="102" t="s">
        <v>280</v>
      </c>
      <c r="F108" s="102" t="s">
        <v>281</v>
      </c>
      <c r="G108" s="102" t="s">
        <v>282</v>
      </c>
      <c r="H108" s="102" t="s">
        <v>283</v>
      </c>
      <c r="I108" s="102" t="s">
        <v>284</v>
      </c>
      <c r="J108" s="102" t="s">
        <v>26</v>
      </c>
      <c r="L108" s="229" t="s">
        <v>1691</v>
      </c>
      <c r="M108" s="229" t="s">
        <v>629</v>
      </c>
      <c r="O108" s="230"/>
      <c r="U108" s="230"/>
      <c r="V108" s="102" t="s">
        <v>286</v>
      </c>
      <c r="W108" s="102" t="s">
        <v>287</v>
      </c>
    </row>
    <row r="109">
      <c r="A109" s="102" t="s">
        <v>276</v>
      </c>
      <c r="B109" s="102" t="s">
        <v>1692</v>
      </c>
      <c r="C109" s="229" t="s">
        <v>1693</v>
      </c>
      <c r="D109" s="102" t="s">
        <v>291</v>
      </c>
      <c r="E109" s="102" t="s">
        <v>280</v>
      </c>
      <c r="F109" s="102" t="s">
        <v>281</v>
      </c>
      <c r="G109" s="102" t="s">
        <v>282</v>
      </c>
      <c r="H109" s="102" t="s">
        <v>283</v>
      </c>
      <c r="I109" s="102" t="s">
        <v>284</v>
      </c>
      <c r="J109" s="102" t="s">
        <v>26</v>
      </c>
      <c r="L109" s="229" t="s">
        <v>1691</v>
      </c>
      <c r="M109" s="229" t="s">
        <v>1694</v>
      </c>
      <c r="O109" s="230"/>
      <c r="U109" s="230"/>
      <c r="V109" s="102" t="s">
        <v>286</v>
      </c>
      <c r="W109" s="102" t="s">
        <v>287</v>
      </c>
    </row>
    <row r="110">
      <c r="A110" s="102" t="s">
        <v>310</v>
      </c>
      <c r="B110" s="102" t="s">
        <v>961</v>
      </c>
      <c r="C110" s="229" t="s">
        <v>962</v>
      </c>
      <c r="D110" s="102" t="s">
        <v>963</v>
      </c>
      <c r="E110" s="102" t="s">
        <v>328</v>
      </c>
      <c r="F110" s="102" t="s">
        <v>329</v>
      </c>
      <c r="G110" s="102" t="s">
        <v>314</v>
      </c>
      <c r="H110" s="102" t="s">
        <v>315</v>
      </c>
      <c r="I110" s="102" t="s">
        <v>284</v>
      </c>
      <c r="J110" s="102" t="s">
        <v>678</v>
      </c>
      <c r="L110" s="229" t="s">
        <v>964</v>
      </c>
      <c r="M110" s="229" t="s">
        <v>1695</v>
      </c>
      <c r="O110" s="102">
        <v>3.0</v>
      </c>
      <c r="U110" s="230"/>
      <c r="V110" s="102" t="s">
        <v>966</v>
      </c>
      <c r="W110" s="102" t="s">
        <v>689</v>
      </c>
    </row>
    <row r="111">
      <c r="A111" s="102" t="s">
        <v>310</v>
      </c>
      <c r="B111" s="102" t="s">
        <v>971</v>
      </c>
      <c r="C111" s="229" t="s">
        <v>972</v>
      </c>
      <c r="D111" s="102" t="s">
        <v>973</v>
      </c>
      <c r="E111" s="102" t="s">
        <v>328</v>
      </c>
      <c r="F111" s="102" t="s">
        <v>329</v>
      </c>
      <c r="G111" s="102" t="s">
        <v>314</v>
      </c>
      <c r="H111" s="102" t="s">
        <v>315</v>
      </c>
      <c r="I111" s="102" t="s">
        <v>284</v>
      </c>
      <c r="J111" s="102" t="s">
        <v>678</v>
      </c>
      <c r="L111" s="229" t="s">
        <v>974</v>
      </c>
      <c r="M111" s="229" t="s">
        <v>1695</v>
      </c>
      <c r="O111" s="102">
        <v>3.0</v>
      </c>
      <c r="U111" s="230"/>
      <c r="V111" s="102" t="s">
        <v>966</v>
      </c>
      <c r="W111" s="102" t="s">
        <v>689</v>
      </c>
    </row>
    <row r="112">
      <c r="A112" s="102" t="s">
        <v>310</v>
      </c>
      <c r="B112" s="102" t="s">
        <v>975</v>
      </c>
      <c r="C112" s="229" t="s">
        <v>976</v>
      </c>
      <c r="D112" s="102" t="s">
        <v>977</v>
      </c>
      <c r="E112" s="102" t="s">
        <v>513</v>
      </c>
      <c r="F112" s="102" t="s">
        <v>514</v>
      </c>
      <c r="G112" s="102" t="s">
        <v>314</v>
      </c>
      <c r="H112" s="102" t="s">
        <v>315</v>
      </c>
      <c r="I112" s="102" t="s">
        <v>284</v>
      </c>
      <c r="J112" s="102" t="s">
        <v>678</v>
      </c>
      <c r="L112" s="229" t="s">
        <v>978</v>
      </c>
      <c r="M112" s="229" t="s">
        <v>1695</v>
      </c>
      <c r="N112" s="229" t="s">
        <v>944</v>
      </c>
      <c r="O112" s="102">
        <v>3.0</v>
      </c>
      <c r="U112" s="102">
        <v>28800.0</v>
      </c>
      <c r="V112" s="102" t="s">
        <v>966</v>
      </c>
      <c r="W112" s="102" t="s">
        <v>689</v>
      </c>
    </row>
    <row r="113">
      <c r="A113" s="102" t="s">
        <v>310</v>
      </c>
      <c r="B113" s="102" t="s">
        <v>1696</v>
      </c>
      <c r="C113" s="229" t="s">
        <v>1697</v>
      </c>
      <c r="D113" s="102" t="s">
        <v>1620</v>
      </c>
      <c r="E113" s="102" t="s">
        <v>314</v>
      </c>
      <c r="F113" s="102" t="s">
        <v>315</v>
      </c>
      <c r="G113" s="102" t="s">
        <v>314</v>
      </c>
      <c r="H113" s="102" t="s">
        <v>315</v>
      </c>
      <c r="I113" s="102" t="s">
        <v>284</v>
      </c>
      <c r="J113" s="102" t="s">
        <v>26</v>
      </c>
      <c r="L113" s="229" t="s">
        <v>1698</v>
      </c>
      <c r="M113" s="229" t="s">
        <v>1699</v>
      </c>
      <c r="O113" s="102">
        <v>3.0</v>
      </c>
      <c r="U113" s="102">
        <v>28800.0</v>
      </c>
      <c r="V113" s="102" t="s">
        <v>966</v>
      </c>
    </row>
    <row r="114">
      <c r="A114" s="102" t="s">
        <v>310</v>
      </c>
      <c r="B114" s="102" t="s">
        <v>979</v>
      </c>
      <c r="C114" s="229" t="s">
        <v>980</v>
      </c>
      <c r="D114" s="102" t="s">
        <v>981</v>
      </c>
      <c r="E114" s="102" t="s">
        <v>513</v>
      </c>
      <c r="F114" s="102" t="s">
        <v>514</v>
      </c>
      <c r="G114" s="102" t="s">
        <v>314</v>
      </c>
      <c r="H114" s="102" t="s">
        <v>315</v>
      </c>
      <c r="I114" s="102" t="s">
        <v>284</v>
      </c>
      <c r="J114" s="102" t="s">
        <v>678</v>
      </c>
      <c r="L114" s="229" t="s">
        <v>982</v>
      </c>
      <c r="M114" s="229" t="s">
        <v>1695</v>
      </c>
      <c r="N114" s="229" t="s">
        <v>983</v>
      </c>
      <c r="O114" s="102">
        <v>5.0</v>
      </c>
      <c r="U114" s="102">
        <v>57600.0</v>
      </c>
      <c r="V114" s="102" t="s">
        <v>966</v>
      </c>
      <c r="W114" s="102" t="s">
        <v>689</v>
      </c>
    </row>
    <row r="115">
      <c r="A115" s="102" t="s">
        <v>310</v>
      </c>
      <c r="B115" s="102" t="s">
        <v>984</v>
      </c>
      <c r="C115" s="229" t="s">
        <v>985</v>
      </c>
      <c r="D115" s="102" t="s">
        <v>986</v>
      </c>
      <c r="E115" s="102" t="s">
        <v>513</v>
      </c>
      <c r="F115" s="102" t="s">
        <v>514</v>
      </c>
      <c r="G115" s="102" t="s">
        <v>314</v>
      </c>
      <c r="H115" s="102" t="s">
        <v>315</v>
      </c>
      <c r="I115" s="102" t="s">
        <v>284</v>
      </c>
      <c r="J115" s="102" t="s">
        <v>678</v>
      </c>
      <c r="L115" s="229" t="s">
        <v>982</v>
      </c>
      <c r="M115" s="229" t="s">
        <v>1695</v>
      </c>
      <c r="N115" s="229" t="s">
        <v>713</v>
      </c>
      <c r="O115" s="102">
        <v>2.0</v>
      </c>
      <c r="U115" s="102">
        <v>14400.0</v>
      </c>
      <c r="V115" s="102" t="s">
        <v>966</v>
      </c>
      <c r="W115" s="102" t="s">
        <v>689</v>
      </c>
      <c r="AQ115" s="102"/>
    </row>
    <row r="116">
      <c r="A116" s="102" t="s">
        <v>276</v>
      </c>
      <c r="B116" s="102" t="s">
        <v>1700</v>
      </c>
      <c r="C116" s="229" t="s">
        <v>1701</v>
      </c>
      <c r="D116" s="102" t="s">
        <v>279</v>
      </c>
      <c r="E116" s="102" t="s">
        <v>280</v>
      </c>
      <c r="F116" s="102" t="s">
        <v>281</v>
      </c>
      <c r="G116" s="102" t="s">
        <v>282</v>
      </c>
      <c r="H116" s="102" t="s">
        <v>283</v>
      </c>
      <c r="I116" s="102" t="s">
        <v>284</v>
      </c>
      <c r="J116" s="102" t="s">
        <v>26</v>
      </c>
      <c r="L116" s="229" t="s">
        <v>1702</v>
      </c>
      <c r="M116" s="229" t="s">
        <v>1703</v>
      </c>
      <c r="O116" s="230"/>
      <c r="U116" s="230"/>
      <c r="V116" s="102" t="s">
        <v>299</v>
      </c>
      <c r="W116" s="102" t="s">
        <v>286</v>
      </c>
      <c r="X116" s="102" t="s">
        <v>287</v>
      </c>
      <c r="AQ116" s="102"/>
    </row>
    <row r="117">
      <c r="A117" s="102" t="s">
        <v>276</v>
      </c>
      <c r="B117" s="102" t="s">
        <v>1704</v>
      </c>
      <c r="C117" s="229" t="s">
        <v>1705</v>
      </c>
      <c r="D117" s="102" t="s">
        <v>291</v>
      </c>
      <c r="E117" s="102" t="s">
        <v>280</v>
      </c>
      <c r="F117" s="102" t="s">
        <v>281</v>
      </c>
      <c r="G117" s="102" t="s">
        <v>282</v>
      </c>
      <c r="H117" s="102" t="s">
        <v>283</v>
      </c>
      <c r="I117" s="102" t="s">
        <v>284</v>
      </c>
      <c r="J117" s="102" t="s">
        <v>26</v>
      </c>
      <c r="L117" s="229" t="s">
        <v>1702</v>
      </c>
      <c r="M117" s="229" t="s">
        <v>1706</v>
      </c>
      <c r="O117" s="230"/>
      <c r="U117" s="230"/>
      <c r="V117" s="102" t="s">
        <v>299</v>
      </c>
      <c r="W117" s="102" t="s">
        <v>286</v>
      </c>
      <c r="X117" s="102" t="s">
        <v>287</v>
      </c>
      <c r="AQ117" s="102"/>
    </row>
    <row r="118">
      <c r="A118" s="102" t="s">
        <v>310</v>
      </c>
      <c r="B118" s="102" t="s">
        <v>1707</v>
      </c>
      <c r="C118" s="229" t="s">
        <v>1708</v>
      </c>
      <c r="D118" s="102" t="s">
        <v>1709</v>
      </c>
      <c r="E118" s="102" t="s">
        <v>584</v>
      </c>
      <c r="F118" s="102" t="s">
        <v>585</v>
      </c>
      <c r="G118" s="102" t="s">
        <v>304</v>
      </c>
      <c r="H118" s="102" t="s">
        <v>305</v>
      </c>
      <c r="I118" s="102" t="s">
        <v>284</v>
      </c>
      <c r="J118" s="102" t="s">
        <v>26</v>
      </c>
      <c r="L118" s="229" t="s">
        <v>1710</v>
      </c>
      <c r="M118" s="229" t="s">
        <v>1711</v>
      </c>
      <c r="N118" s="229" t="s">
        <v>713</v>
      </c>
      <c r="O118" s="102">
        <v>3.0</v>
      </c>
      <c r="P118" s="102" t="s">
        <v>331</v>
      </c>
      <c r="U118" s="230"/>
      <c r="V118" s="102" t="s">
        <v>287</v>
      </c>
      <c r="AQ118" s="102"/>
    </row>
    <row r="119">
      <c r="A119" s="102" t="s">
        <v>310</v>
      </c>
      <c r="B119" s="102" t="s">
        <v>1712</v>
      </c>
      <c r="C119" s="229" t="s">
        <v>1713</v>
      </c>
      <c r="D119" s="102" t="s">
        <v>1714</v>
      </c>
      <c r="E119" s="102" t="s">
        <v>328</v>
      </c>
      <c r="F119" s="102" t="s">
        <v>329</v>
      </c>
      <c r="G119" s="102" t="s">
        <v>304</v>
      </c>
      <c r="H119" s="102" t="s">
        <v>305</v>
      </c>
      <c r="I119" s="102" t="s">
        <v>284</v>
      </c>
      <c r="J119" s="102" t="s">
        <v>26</v>
      </c>
      <c r="L119" s="229" t="s">
        <v>1715</v>
      </c>
      <c r="M119" s="229" t="s">
        <v>1711</v>
      </c>
      <c r="N119" s="229" t="s">
        <v>944</v>
      </c>
      <c r="O119" s="102">
        <v>3.0</v>
      </c>
      <c r="P119" s="102" t="s">
        <v>331</v>
      </c>
      <c r="U119" s="230"/>
      <c r="V119" s="102" t="s">
        <v>287</v>
      </c>
      <c r="AQ119" s="102"/>
    </row>
    <row r="120">
      <c r="A120" s="102" t="s">
        <v>310</v>
      </c>
      <c r="B120" s="102" t="s">
        <v>1716</v>
      </c>
      <c r="C120" s="229" t="s">
        <v>1717</v>
      </c>
      <c r="D120" s="102" t="s">
        <v>1718</v>
      </c>
      <c r="E120" s="102" t="s">
        <v>328</v>
      </c>
      <c r="F120" s="102" t="s">
        <v>329</v>
      </c>
      <c r="G120" s="102" t="s">
        <v>304</v>
      </c>
      <c r="H120" s="102" t="s">
        <v>305</v>
      </c>
      <c r="I120" s="102" t="s">
        <v>284</v>
      </c>
      <c r="J120" s="102" t="s">
        <v>26</v>
      </c>
      <c r="L120" s="229" t="s">
        <v>1719</v>
      </c>
      <c r="M120" s="229" t="s">
        <v>1711</v>
      </c>
      <c r="N120" s="229" t="s">
        <v>955</v>
      </c>
      <c r="O120" s="102">
        <v>3.0</v>
      </c>
      <c r="P120" s="102" t="s">
        <v>331</v>
      </c>
      <c r="U120" s="230"/>
      <c r="V120" s="102" t="s">
        <v>287</v>
      </c>
    </row>
    <row r="121">
      <c r="A121" s="102" t="s">
        <v>310</v>
      </c>
      <c r="B121" s="102" t="s">
        <v>1720</v>
      </c>
      <c r="C121" s="229" t="s">
        <v>1721</v>
      </c>
      <c r="D121" s="102" t="s">
        <v>1722</v>
      </c>
      <c r="E121" s="102" t="s">
        <v>282</v>
      </c>
      <c r="F121" s="102" t="s">
        <v>283</v>
      </c>
      <c r="G121" s="102" t="s">
        <v>282</v>
      </c>
      <c r="H121" s="102" t="s">
        <v>283</v>
      </c>
      <c r="I121" s="102" t="s">
        <v>284</v>
      </c>
      <c r="J121" s="102" t="s">
        <v>26</v>
      </c>
      <c r="L121" s="229" t="s">
        <v>1723</v>
      </c>
      <c r="M121" s="229" t="s">
        <v>1724</v>
      </c>
      <c r="O121" s="102">
        <v>5.0</v>
      </c>
      <c r="P121" s="102" t="s">
        <v>593</v>
      </c>
      <c r="U121" s="230"/>
      <c r="V121" s="102" t="s">
        <v>287</v>
      </c>
      <c r="AP121" s="102"/>
      <c r="AQ121" s="102"/>
      <c r="AR121" s="102"/>
    </row>
    <row r="122">
      <c r="A122" s="102" t="s">
        <v>310</v>
      </c>
      <c r="B122" s="102" t="s">
        <v>1725</v>
      </c>
      <c r="C122" s="229" t="s">
        <v>1726</v>
      </c>
      <c r="D122" s="102" t="s">
        <v>1727</v>
      </c>
      <c r="E122" s="102" t="s">
        <v>513</v>
      </c>
      <c r="F122" s="102" t="s">
        <v>514</v>
      </c>
      <c r="G122" s="102" t="s">
        <v>314</v>
      </c>
      <c r="H122" s="102" t="s">
        <v>315</v>
      </c>
      <c r="I122" s="102" t="s">
        <v>284</v>
      </c>
      <c r="J122" s="102" t="s">
        <v>26</v>
      </c>
      <c r="L122" s="229" t="s">
        <v>1728</v>
      </c>
      <c r="M122" s="229" t="s">
        <v>1729</v>
      </c>
      <c r="N122" s="229" t="s">
        <v>944</v>
      </c>
      <c r="O122" s="102">
        <v>1.0</v>
      </c>
      <c r="P122" s="102" t="s">
        <v>1730</v>
      </c>
      <c r="Q122" s="102" t="s">
        <v>593</v>
      </c>
      <c r="U122" s="102">
        <v>7200.0</v>
      </c>
      <c r="V122" s="102" t="s">
        <v>966</v>
      </c>
      <c r="AP122" s="102"/>
      <c r="AQ122" s="102"/>
      <c r="AR122" s="102"/>
    </row>
    <row r="123">
      <c r="A123" s="102" t="s">
        <v>310</v>
      </c>
      <c r="B123" s="102" t="s">
        <v>987</v>
      </c>
      <c r="C123" s="229" t="s">
        <v>988</v>
      </c>
      <c r="D123" s="102" t="s">
        <v>989</v>
      </c>
      <c r="E123" s="102" t="s">
        <v>584</v>
      </c>
      <c r="F123" s="102" t="s">
        <v>585</v>
      </c>
      <c r="G123" s="102" t="s">
        <v>353</v>
      </c>
      <c r="H123" s="102" t="s">
        <v>354</v>
      </c>
      <c r="I123" s="102" t="s">
        <v>284</v>
      </c>
      <c r="J123" s="102" t="s">
        <v>26</v>
      </c>
      <c r="L123" s="229" t="s">
        <v>990</v>
      </c>
      <c r="M123" s="229" t="s">
        <v>524</v>
      </c>
      <c r="O123" s="102">
        <v>2.0</v>
      </c>
      <c r="U123" s="230"/>
      <c r="V123" s="102" t="s">
        <v>417</v>
      </c>
      <c r="W123" s="102" t="s">
        <v>324</v>
      </c>
    </row>
    <row r="124">
      <c r="A124" s="102" t="s">
        <v>310</v>
      </c>
      <c r="B124" s="102" t="s">
        <v>1731</v>
      </c>
      <c r="C124" s="229" t="s">
        <v>1732</v>
      </c>
      <c r="D124" s="102" t="s">
        <v>1733</v>
      </c>
      <c r="E124" s="102" t="s">
        <v>314</v>
      </c>
      <c r="F124" s="102" t="s">
        <v>315</v>
      </c>
      <c r="G124" s="102" t="s">
        <v>314</v>
      </c>
      <c r="H124" s="102" t="s">
        <v>315</v>
      </c>
      <c r="I124" s="102" t="s">
        <v>284</v>
      </c>
      <c r="J124" s="102" t="s">
        <v>26</v>
      </c>
      <c r="L124" s="229" t="s">
        <v>1734</v>
      </c>
      <c r="M124" s="229" t="s">
        <v>1484</v>
      </c>
      <c r="O124" s="102">
        <v>1.0</v>
      </c>
      <c r="P124" s="102" t="s">
        <v>593</v>
      </c>
      <c r="Q124" s="102" t="s">
        <v>651</v>
      </c>
      <c r="U124" s="102">
        <v>7200.0</v>
      </c>
      <c r="V124" s="102" t="s">
        <v>1052</v>
      </c>
      <c r="AP124" s="102"/>
      <c r="AQ124" s="102"/>
    </row>
    <row r="125">
      <c r="A125" s="102" t="s">
        <v>332</v>
      </c>
      <c r="B125" s="102" t="s">
        <v>1735</v>
      </c>
      <c r="C125" s="229" t="s">
        <v>1736</v>
      </c>
      <c r="D125" s="102" t="s">
        <v>1737</v>
      </c>
      <c r="E125" s="102" t="s">
        <v>556</v>
      </c>
      <c r="F125" s="102" t="s">
        <v>557</v>
      </c>
      <c r="G125" s="102" t="s">
        <v>280</v>
      </c>
      <c r="H125" s="102" t="s">
        <v>281</v>
      </c>
      <c r="I125" s="102" t="s">
        <v>284</v>
      </c>
      <c r="J125" s="102" t="s">
        <v>1738</v>
      </c>
      <c r="L125" s="229" t="s">
        <v>1739</v>
      </c>
      <c r="M125" s="229" t="s">
        <v>1740</v>
      </c>
      <c r="N125" s="229" t="s">
        <v>1004</v>
      </c>
      <c r="O125" s="230"/>
      <c r="U125" s="230"/>
      <c r="V125" s="102" t="s">
        <v>287</v>
      </c>
      <c r="W125" s="102" t="s">
        <v>394</v>
      </c>
      <c r="AP125" s="102"/>
      <c r="AQ125" s="102"/>
    </row>
    <row r="126">
      <c r="A126" s="102" t="s">
        <v>310</v>
      </c>
      <c r="B126" s="102" t="s">
        <v>996</v>
      </c>
      <c r="C126" s="229" t="s">
        <v>997</v>
      </c>
      <c r="D126" s="102" t="s">
        <v>998</v>
      </c>
      <c r="E126" s="102" t="s">
        <v>564</v>
      </c>
      <c r="F126" s="102" t="s">
        <v>565</v>
      </c>
      <c r="G126" s="102" t="s">
        <v>353</v>
      </c>
      <c r="H126" s="102" t="s">
        <v>354</v>
      </c>
      <c r="I126" s="102" t="s">
        <v>284</v>
      </c>
      <c r="J126" s="102" t="s">
        <v>454</v>
      </c>
      <c r="L126" s="229" t="s">
        <v>999</v>
      </c>
      <c r="M126" s="229" t="s">
        <v>949</v>
      </c>
      <c r="N126" s="229" t="s">
        <v>955</v>
      </c>
      <c r="O126" s="102">
        <v>1.0</v>
      </c>
      <c r="U126" s="102">
        <v>7200.0</v>
      </c>
      <c r="V126" s="102" t="s">
        <v>714</v>
      </c>
      <c r="W126" s="102" t="s">
        <v>358</v>
      </c>
      <c r="AP126" s="102"/>
      <c r="AQ126" s="102"/>
    </row>
    <row r="127">
      <c r="A127" s="102" t="s">
        <v>332</v>
      </c>
      <c r="B127" s="102" t="s">
        <v>1741</v>
      </c>
      <c r="C127" s="229" t="s">
        <v>1742</v>
      </c>
      <c r="D127" s="102" t="s">
        <v>1743</v>
      </c>
      <c r="E127" s="102" t="s">
        <v>584</v>
      </c>
      <c r="F127" s="102" t="s">
        <v>585</v>
      </c>
      <c r="G127" s="102" t="s">
        <v>280</v>
      </c>
      <c r="H127" s="102" t="s">
        <v>281</v>
      </c>
      <c r="I127" s="102" t="s">
        <v>284</v>
      </c>
      <c r="J127" s="102" t="s">
        <v>1408</v>
      </c>
      <c r="L127" s="229" t="s">
        <v>1744</v>
      </c>
      <c r="M127" s="229" t="s">
        <v>1745</v>
      </c>
      <c r="O127" s="230"/>
      <c r="U127" s="230"/>
      <c r="V127" s="102" t="s">
        <v>286</v>
      </c>
      <c r="W127" s="102" t="s">
        <v>287</v>
      </c>
      <c r="AP127" s="102"/>
      <c r="AQ127" s="102"/>
    </row>
    <row r="128">
      <c r="A128" s="102" t="s">
        <v>276</v>
      </c>
      <c r="B128" s="102" t="s">
        <v>1746</v>
      </c>
      <c r="C128" s="229" t="s">
        <v>1747</v>
      </c>
      <c r="D128" s="102" t="s">
        <v>1748</v>
      </c>
      <c r="E128" s="102" t="s">
        <v>282</v>
      </c>
      <c r="F128" s="102" t="s">
        <v>283</v>
      </c>
      <c r="G128" s="102" t="s">
        <v>316</v>
      </c>
      <c r="H128" s="102" t="s">
        <v>317</v>
      </c>
      <c r="I128" s="102" t="s">
        <v>284</v>
      </c>
      <c r="J128" s="102" t="s">
        <v>26</v>
      </c>
      <c r="L128" s="229" t="s">
        <v>1749</v>
      </c>
      <c r="M128" s="229" t="s">
        <v>1750</v>
      </c>
      <c r="O128" s="230"/>
      <c r="U128" s="230"/>
      <c r="V128" s="102" t="s">
        <v>417</v>
      </c>
      <c r="AP128" s="102"/>
      <c r="AQ128" s="102"/>
    </row>
    <row r="129">
      <c r="A129" s="102" t="s">
        <v>310</v>
      </c>
      <c r="B129" s="102" t="s">
        <v>1751</v>
      </c>
      <c r="C129" s="229" t="s">
        <v>1752</v>
      </c>
      <c r="D129" s="102" t="s">
        <v>1753</v>
      </c>
      <c r="E129" s="102" t="s">
        <v>282</v>
      </c>
      <c r="F129" s="102" t="s">
        <v>283</v>
      </c>
      <c r="G129" s="102" t="s">
        <v>316</v>
      </c>
      <c r="H129" s="102" t="s">
        <v>317</v>
      </c>
      <c r="I129" s="102" t="s">
        <v>284</v>
      </c>
      <c r="J129" s="102" t="s">
        <v>26</v>
      </c>
      <c r="L129" s="229" t="s">
        <v>1754</v>
      </c>
      <c r="M129" s="229" t="s">
        <v>1755</v>
      </c>
      <c r="N129" s="229" t="s">
        <v>983</v>
      </c>
      <c r="O129" s="230"/>
      <c r="P129" s="102" t="s">
        <v>1756</v>
      </c>
      <c r="U129" s="230"/>
      <c r="V129" s="102" t="s">
        <v>417</v>
      </c>
      <c r="AP129" s="102"/>
      <c r="AQ129" s="102"/>
    </row>
    <row r="130">
      <c r="A130" s="102" t="s">
        <v>310</v>
      </c>
      <c r="B130" s="102" t="s">
        <v>1757</v>
      </c>
      <c r="C130" s="229" t="s">
        <v>1758</v>
      </c>
      <c r="D130" s="102" t="s">
        <v>1759</v>
      </c>
      <c r="E130" s="102" t="s">
        <v>328</v>
      </c>
      <c r="F130" s="102" t="s">
        <v>329</v>
      </c>
      <c r="G130" s="102" t="s">
        <v>314</v>
      </c>
      <c r="H130" s="102" t="s">
        <v>315</v>
      </c>
      <c r="I130" s="102" t="s">
        <v>284</v>
      </c>
      <c r="J130" s="102" t="s">
        <v>26</v>
      </c>
      <c r="L130" s="229" t="s">
        <v>1760</v>
      </c>
      <c r="M130" s="229" t="s">
        <v>1761</v>
      </c>
      <c r="O130" s="102">
        <v>3.0</v>
      </c>
      <c r="U130" s="230"/>
      <c r="V130" s="102" t="s">
        <v>1005</v>
      </c>
      <c r="W130" s="102" t="s">
        <v>395</v>
      </c>
      <c r="AP130" s="102"/>
      <c r="AQ130" s="102"/>
      <c r="AR130" s="102"/>
    </row>
    <row r="131">
      <c r="A131" s="102" t="s">
        <v>310</v>
      </c>
      <c r="B131" s="102" t="s">
        <v>1000</v>
      </c>
      <c r="C131" s="229" t="s">
        <v>1001</v>
      </c>
      <c r="D131" s="102" t="s">
        <v>1002</v>
      </c>
      <c r="E131" s="102" t="s">
        <v>513</v>
      </c>
      <c r="F131" s="102" t="s">
        <v>514</v>
      </c>
      <c r="G131" s="102" t="s">
        <v>314</v>
      </c>
      <c r="H131" s="102" t="s">
        <v>315</v>
      </c>
      <c r="I131" s="102" t="s">
        <v>284</v>
      </c>
      <c r="J131" s="102" t="s">
        <v>454</v>
      </c>
      <c r="L131" s="229" t="s">
        <v>1003</v>
      </c>
      <c r="M131" s="229" t="s">
        <v>887</v>
      </c>
      <c r="N131" s="229" t="s">
        <v>1004</v>
      </c>
      <c r="O131" s="102">
        <v>1.0</v>
      </c>
      <c r="U131" s="102">
        <v>7200.0</v>
      </c>
      <c r="V131" s="102" t="s">
        <v>1005</v>
      </c>
      <c r="W131" s="102" t="s">
        <v>395</v>
      </c>
      <c r="X131" s="102" t="s">
        <v>387</v>
      </c>
      <c r="AP131" s="102"/>
      <c r="AQ131" s="102"/>
      <c r="AR131" s="102"/>
    </row>
    <row r="132">
      <c r="A132" s="102" t="s">
        <v>310</v>
      </c>
      <c r="B132" s="102" t="s">
        <v>1006</v>
      </c>
      <c r="C132" s="229" t="s">
        <v>1007</v>
      </c>
      <c r="D132" s="102" t="s">
        <v>1008</v>
      </c>
      <c r="E132" s="102" t="s">
        <v>513</v>
      </c>
      <c r="F132" s="102" t="s">
        <v>514</v>
      </c>
      <c r="G132" s="102" t="s">
        <v>314</v>
      </c>
      <c r="H132" s="102" t="s">
        <v>315</v>
      </c>
      <c r="I132" s="102" t="s">
        <v>284</v>
      </c>
      <c r="J132" s="102" t="s">
        <v>454</v>
      </c>
      <c r="L132" s="229" t="s">
        <v>1009</v>
      </c>
      <c r="M132" s="229" t="s">
        <v>887</v>
      </c>
      <c r="N132" s="229" t="s">
        <v>1004</v>
      </c>
      <c r="O132" s="102">
        <v>3.0</v>
      </c>
      <c r="U132" s="102">
        <v>28800.0</v>
      </c>
      <c r="V132" s="102" t="s">
        <v>1005</v>
      </c>
      <c r="W132" s="102" t="s">
        <v>395</v>
      </c>
      <c r="X132" s="102" t="s">
        <v>387</v>
      </c>
      <c r="AP132" s="102"/>
      <c r="AQ132" s="102"/>
      <c r="AR132" s="102"/>
    </row>
    <row r="133">
      <c r="A133" s="102" t="s">
        <v>310</v>
      </c>
      <c r="B133" s="102" t="s">
        <v>1762</v>
      </c>
      <c r="C133" s="229" t="s">
        <v>1763</v>
      </c>
      <c r="D133" s="102" t="s">
        <v>1764</v>
      </c>
      <c r="E133" s="102" t="s">
        <v>353</v>
      </c>
      <c r="F133" s="102" t="s">
        <v>354</v>
      </c>
      <c r="G133" s="102" t="s">
        <v>314</v>
      </c>
      <c r="H133" s="102" t="s">
        <v>315</v>
      </c>
      <c r="I133" s="102" t="s">
        <v>284</v>
      </c>
      <c r="J133" s="102" t="s">
        <v>26</v>
      </c>
      <c r="L133" s="229" t="s">
        <v>1765</v>
      </c>
      <c r="M133" s="229" t="s">
        <v>1622</v>
      </c>
      <c r="O133" s="102">
        <v>1.0</v>
      </c>
      <c r="U133" s="230"/>
      <c r="V133" s="102" t="s">
        <v>394</v>
      </c>
      <c r="W133" s="102" t="s">
        <v>1766</v>
      </c>
    </row>
    <row r="134">
      <c r="A134" s="102" t="s">
        <v>310</v>
      </c>
      <c r="B134" s="102" t="s">
        <v>1767</v>
      </c>
      <c r="C134" s="229" t="s">
        <v>1768</v>
      </c>
      <c r="D134" s="102" t="s">
        <v>1769</v>
      </c>
      <c r="E134" s="102" t="s">
        <v>564</v>
      </c>
      <c r="F134" s="102" t="s">
        <v>565</v>
      </c>
      <c r="G134" s="102" t="s">
        <v>353</v>
      </c>
      <c r="H134" s="102" t="s">
        <v>354</v>
      </c>
      <c r="I134" s="102" t="s">
        <v>284</v>
      </c>
      <c r="J134" s="102" t="s">
        <v>26</v>
      </c>
      <c r="L134" s="229" t="s">
        <v>1770</v>
      </c>
      <c r="M134" s="229" t="s">
        <v>1569</v>
      </c>
      <c r="N134" s="229" t="s">
        <v>1192</v>
      </c>
      <c r="O134" s="102">
        <v>3.0</v>
      </c>
      <c r="U134" s="230"/>
      <c r="V134" s="102" t="s">
        <v>1058</v>
      </c>
      <c r="W134" s="102" t="s">
        <v>714</v>
      </c>
    </row>
    <row r="135">
      <c r="A135" s="102" t="s">
        <v>332</v>
      </c>
      <c r="B135" s="102" t="s">
        <v>1771</v>
      </c>
      <c r="C135" s="229" t="s">
        <v>1772</v>
      </c>
      <c r="D135" s="102" t="s">
        <v>1773</v>
      </c>
      <c r="E135" s="102" t="s">
        <v>564</v>
      </c>
      <c r="F135" s="102" t="s">
        <v>565</v>
      </c>
      <c r="G135" s="102" t="s">
        <v>353</v>
      </c>
      <c r="H135" s="102" t="s">
        <v>354</v>
      </c>
      <c r="I135" s="102" t="s">
        <v>318</v>
      </c>
      <c r="J135" s="102" t="s">
        <v>336</v>
      </c>
      <c r="L135" s="229" t="s">
        <v>1774</v>
      </c>
      <c r="M135" s="229" t="s">
        <v>1524</v>
      </c>
      <c r="O135" s="230"/>
      <c r="U135" s="230"/>
      <c r="V135" s="102" t="s">
        <v>1058</v>
      </c>
      <c r="W135" s="102" t="s">
        <v>714</v>
      </c>
    </row>
    <row r="136">
      <c r="A136" s="102" t="s">
        <v>310</v>
      </c>
      <c r="B136" s="102" t="s">
        <v>1010</v>
      </c>
      <c r="C136" s="229" t="s">
        <v>1011</v>
      </c>
      <c r="D136" s="102" t="s">
        <v>1012</v>
      </c>
      <c r="E136" s="102" t="s">
        <v>584</v>
      </c>
      <c r="F136" s="102" t="s">
        <v>585</v>
      </c>
      <c r="G136" s="102" t="s">
        <v>282</v>
      </c>
      <c r="H136" s="102" t="s">
        <v>283</v>
      </c>
      <c r="I136" s="102" t="s">
        <v>284</v>
      </c>
      <c r="J136" s="102" t="s">
        <v>355</v>
      </c>
      <c r="L136" s="229" t="s">
        <v>1013</v>
      </c>
      <c r="M136" s="229" t="s">
        <v>1014</v>
      </c>
      <c r="N136" s="229" t="s">
        <v>1004</v>
      </c>
      <c r="O136" s="102">
        <v>1.0</v>
      </c>
      <c r="P136" s="102" t="s">
        <v>1015</v>
      </c>
      <c r="U136" s="230"/>
      <c r="V136" s="102" t="s">
        <v>286</v>
      </c>
      <c r="W136" s="102" t="s">
        <v>287</v>
      </c>
      <c r="X136" s="102" t="s">
        <v>288</v>
      </c>
    </row>
    <row r="137">
      <c r="A137" s="102" t="s">
        <v>310</v>
      </c>
      <c r="B137" s="102" t="s">
        <v>1016</v>
      </c>
      <c r="C137" s="229" t="s">
        <v>1017</v>
      </c>
      <c r="D137" s="102" t="s">
        <v>1018</v>
      </c>
      <c r="E137" s="102" t="s">
        <v>495</v>
      </c>
      <c r="F137" s="102" t="s">
        <v>496</v>
      </c>
      <c r="G137" s="102" t="s">
        <v>304</v>
      </c>
      <c r="H137" s="102" t="s">
        <v>305</v>
      </c>
      <c r="I137" s="102" t="s">
        <v>284</v>
      </c>
      <c r="J137" s="102" t="s">
        <v>454</v>
      </c>
      <c r="L137" s="229" t="s">
        <v>1019</v>
      </c>
      <c r="M137" s="229" t="s">
        <v>960</v>
      </c>
      <c r="N137" s="229" t="s">
        <v>1004</v>
      </c>
      <c r="O137" s="102">
        <v>3.0</v>
      </c>
      <c r="P137" s="102" t="s">
        <v>1020</v>
      </c>
      <c r="U137" s="102">
        <v>28800.0</v>
      </c>
      <c r="V137" s="102" t="s">
        <v>286</v>
      </c>
      <c r="W137" s="102" t="s">
        <v>287</v>
      </c>
      <c r="X137" s="102" t="s">
        <v>288</v>
      </c>
    </row>
    <row r="138">
      <c r="A138" s="102" t="s">
        <v>276</v>
      </c>
      <c r="B138" s="102" t="s">
        <v>1775</v>
      </c>
      <c r="C138" s="229" t="s">
        <v>1776</v>
      </c>
      <c r="D138" s="102" t="s">
        <v>1023</v>
      </c>
      <c r="E138" s="102" t="s">
        <v>391</v>
      </c>
      <c r="F138" s="102" t="s">
        <v>392</v>
      </c>
      <c r="G138" s="102" t="s">
        <v>391</v>
      </c>
      <c r="H138" s="102" t="s">
        <v>392</v>
      </c>
      <c r="I138" s="102" t="s">
        <v>284</v>
      </c>
      <c r="J138" s="102" t="s">
        <v>26</v>
      </c>
      <c r="L138" s="229" t="s">
        <v>1024</v>
      </c>
      <c r="M138" s="229" t="s">
        <v>1777</v>
      </c>
      <c r="O138" s="230"/>
      <c r="U138" s="230"/>
      <c r="V138" s="102" t="s">
        <v>299</v>
      </c>
      <c r="W138" s="102" t="s">
        <v>286</v>
      </c>
      <c r="X138" s="102" t="s">
        <v>287</v>
      </c>
    </row>
    <row r="139">
      <c r="A139" s="102" t="s">
        <v>276</v>
      </c>
      <c r="B139" s="102" t="s">
        <v>1021</v>
      </c>
      <c r="C139" s="229" t="s">
        <v>1022</v>
      </c>
      <c r="D139" s="102" t="s">
        <v>1023</v>
      </c>
      <c r="E139" s="102" t="s">
        <v>391</v>
      </c>
      <c r="F139" s="102" t="s">
        <v>392</v>
      </c>
      <c r="G139" s="102" t="s">
        <v>391</v>
      </c>
      <c r="H139" s="102" t="s">
        <v>392</v>
      </c>
      <c r="I139" s="102" t="s">
        <v>284</v>
      </c>
      <c r="J139" s="102" t="s">
        <v>63</v>
      </c>
      <c r="L139" s="229" t="s">
        <v>1024</v>
      </c>
      <c r="M139" s="229" t="s">
        <v>1778</v>
      </c>
      <c r="O139" s="230"/>
      <c r="U139" s="230"/>
      <c r="V139" s="102" t="s">
        <v>299</v>
      </c>
      <c r="W139" s="102" t="s">
        <v>286</v>
      </c>
      <c r="X139" s="102" t="s">
        <v>287</v>
      </c>
      <c r="Y139" s="102" t="s">
        <v>288</v>
      </c>
    </row>
    <row r="140">
      <c r="A140" s="102" t="s">
        <v>276</v>
      </c>
      <c r="B140" s="102" t="s">
        <v>1779</v>
      </c>
      <c r="C140" s="229" t="s">
        <v>1780</v>
      </c>
      <c r="D140" s="102" t="s">
        <v>1023</v>
      </c>
      <c r="E140" s="102" t="s">
        <v>391</v>
      </c>
      <c r="F140" s="102" t="s">
        <v>392</v>
      </c>
      <c r="G140" s="102" t="s">
        <v>391</v>
      </c>
      <c r="H140" s="102" t="s">
        <v>392</v>
      </c>
      <c r="I140" s="102" t="s">
        <v>284</v>
      </c>
      <c r="J140" s="102" t="s">
        <v>26</v>
      </c>
      <c r="L140" s="229" t="s">
        <v>1024</v>
      </c>
      <c r="M140" s="229" t="s">
        <v>1778</v>
      </c>
      <c r="O140" s="230"/>
      <c r="U140" s="230"/>
      <c r="V140" s="102" t="s">
        <v>299</v>
      </c>
      <c r="W140" s="102" t="s">
        <v>286</v>
      </c>
      <c r="X140" s="102" t="s">
        <v>287</v>
      </c>
    </row>
    <row r="141">
      <c r="A141" s="102" t="s">
        <v>276</v>
      </c>
      <c r="B141" s="102" t="s">
        <v>1781</v>
      </c>
      <c r="C141" s="229" t="s">
        <v>1782</v>
      </c>
      <c r="D141" s="102" t="s">
        <v>1023</v>
      </c>
      <c r="E141" s="102" t="s">
        <v>391</v>
      </c>
      <c r="F141" s="102" t="s">
        <v>392</v>
      </c>
      <c r="G141" s="102" t="s">
        <v>391</v>
      </c>
      <c r="H141" s="102" t="s">
        <v>392</v>
      </c>
      <c r="I141" s="102" t="s">
        <v>284</v>
      </c>
      <c r="J141" s="102" t="s">
        <v>26</v>
      </c>
      <c r="L141" s="229" t="s">
        <v>1024</v>
      </c>
      <c r="M141" s="229" t="s">
        <v>1783</v>
      </c>
      <c r="O141" s="230"/>
      <c r="U141" s="230"/>
      <c r="V141" s="102" t="s">
        <v>299</v>
      </c>
      <c r="W141" s="102" t="s">
        <v>286</v>
      </c>
      <c r="X141" s="102" t="s">
        <v>287</v>
      </c>
    </row>
    <row r="142">
      <c r="A142" s="102" t="s">
        <v>276</v>
      </c>
      <c r="B142" s="102" t="s">
        <v>1784</v>
      </c>
      <c r="C142" s="229" t="s">
        <v>1785</v>
      </c>
      <c r="D142" s="102" t="s">
        <v>1023</v>
      </c>
      <c r="E142" s="102" t="s">
        <v>391</v>
      </c>
      <c r="F142" s="102" t="s">
        <v>392</v>
      </c>
      <c r="G142" s="102" t="s">
        <v>391</v>
      </c>
      <c r="H142" s="102" t="s">
        <v>392</v>
      </c>
      <c r="I142" s="102" t="s">
        <v>284</v>
      </c>
      <c r="J142" s="102" t="s">
        <v>26</v>
      </c>
      <c r="L142" s="229" t="s">
        <v>1786</v>
      </c>
      <c r="M142" s="229" t="s">
        <v>1783</v>
      </c>
      <c r="O142" s="230"/>
      <c r="U142" s="230"/>
      <c r="V142" s="102" t="s">
        <v>299</v>
      </c>
      <c r="W142" s="102" t="s">
        <v>286</v>
      </c>
      <c r="X142" s="102" t="s">
        <v>287</v>
      </c>
    </row>
    <row r="143">
      <c r="A143" s="102" t="s">
        <v>276</v>
      </c>
      <c r="B143" s="102" t="s">
        <v>1026</v>
      </c>
      <c r="C143" s="229" t="s">
        <v>1027</v>
      </c>
      <c r="D143" s="102" t="s">
        <v>1023</v>
      </c>
      <c r="E143" s="102" t="s">
        <v>391</v>
      </c>
      <c r="F143" s="102" t="s">
        <v>392</v>
      </c>
      <c r="G143" s="102" t="s">
        <v>391</v>
      </c>
      <c r="H143" s="102" t="s">
        <v>392</v>
      </c>
      <c r="I143" s="102" t="s">
        <v>284</v>
      </c>
      <c r="J143" s="102" t="s">
        <v>63</v>
      </c>
      <c r="L143" s="229" t="s">
        <v>1028</v>
      </c>
      <c r="M143" s="229" t="s">
        <v>1778</v>
      </c>
      <c r="O143" s="230"/>
      <c r="U143" s="230"/>
      <c r="V143" s="102" t="s">
        <v>299</v>
      </c>
      <c r="W143" s="102" t="s">
        <v>286</v>
      </c>
      <c r="X143" s="102" t="s">
        <v>287</v>
      </c>
      <c r="Y143" s="102" t="s">
        <v>288</v>
      </c>
    </row>
    <row r="144">
      <c r="A144" s="102" t="s">
        <v>276</v>
      </c>
      <c r="B144" s="102" t="s">
        <v>1030</v>
      </c>
      <c r="C144" s="229" t="s">
        <v>1031</v>
      </c>
      <c r="D144" s="102" t="s">
        <v>1023</v>
      </c>
      <c r="E144" s="102" t="s">
        <v>391</v>
      </c>
      <c r="F144" s="102" t="s">
        <v>392</v>
      </c>
      <c r="G144" s="102" t="s">
        <v>391</v>
      </c>
      <c r="H144" s="102" t="s">
        <v>392</v>
      </c>
      <c r="I144" s="102" t="s">
        <v>284</v>
      </c>
      <c r="J144" s="102" t="s">
        <v>63</v>
      </c>
      <c r="L144" s="229" t="s">
        <v>1028</v>
      </c>
      <c r="M144" s="229" t="s">
        <v>1778</v>
      </c>
      <c r="O144" s="230"/>
      <c r="U144" s="230"/>
      <c r="V144" s="102" t="s">
        <v>299</v>
      </c>
      <c r="W144" s="102" t="s">
        <v>286</v>
      </c>
      <c r="X144" s="102" t="s">
        <v>287</v>
      </c>
      <c r="Y144" s="102" t="s">
        <v>288</v>
      </c>
    </row>
    <row r="145">
      <c r="A145" s="102" t="s">
        <v>276</v>
      </c>
      <c r="B145" s="102" t="s">
        <v>1787</v>
      </c>
      <c r="C145" s="229" t="s">
        <v>1788</v>
      </c>
      <c r="D145" s="102" t="s">
        <v>1023</v>
      </c>
      <c r="E145" s="102" t="s">
        <v>391</v>
      </c>
      <c r="F145" s="102" t="s">
        <v>392</v>
      </c>
      <c r="G145" s="102" t="s">
        <v>391</v>
      </c>
      <c r="H145" s="102" t="s">
        <v>392</v>
      </c>
      <c r="I145" s="102" t="s">
        <v>284</v>
      </c>
      <c r="J145" s="102" t="s">
        <v>26</v>
      </c>
      <c r="L145" s="229" t="s">
        <v>1035</v>
      </c>
      <c r="M145" s="229" t="s">
        <v>1789</v>
      </c>
      <c r="O145" s="230"/>
      <c r="U145" s="230"/>
      <c r="V145" s="102" t="s">
        <v>299</v>
      </c>
      <c r="W145" s="102" t="s">
        <v>286</v>
      </c>
      <c r="X145" s="102" t="s">
        <v>287</v>
      </c>
    </row>
    <row r="146">
      <c r="A146" s="102" t="s">
        <v>276</v>
      </c>
      <c r="B146" s="102" t="s">
        <v>1033</v>
      </c>
      <c r="C146" s="229" t="s">
        <v>1034</v>
      </c>
      <c r="D146" s="102" t="s">
        <v>1023</v>
      </c>
      <c r="E146" s="102" t="s">
        <v>391</v>
      </c>
      <c r="F146" s="102" t="s">
        <v>392</v>
      </c>
      <c r="G146" s="102" t="s">
        <v>391</v>
      </c>
      <c r="H146" s="102" t="s">
        <v>392</v>
      </c>
      <c r="I146" s="102" t="s">
        <v>284</v>
      </c>
      <c r="J146" s="102" t="s">
        <v>63</v>
      </c>
      <c r="L146" s="229" t="s">
        <v>1035</v>
      </c>
      <c r="M146" s="229" t="s">
        <v>1778</v>
      </c>
      <c r="O146" s="230"/>
      <c r="U146" s="230"/>
      <c r="V146" s="102" t="s">
        <v>299</v>
      </c>
      <c r="W146" s="102" t="s">
        <v>286</v>
      </c>
      <c r="X146" s="102" t="s">
        <v>287</v>
      </c>
      <c r="Y146" s="102" t="s">
        <v>288</v>
      </c>
    </row>
    <row r="147">
      <c r="A147" s="102" t="s">
        <v>310</v>
      </c>
      <c r="B147" s="102" t="s">
        <v>1037</v>
      </c>
      <c r="C147" s="229" t="s">
        <v>1038</v>
      </c>
      <c r="D147" s="102" t="s">
        <v>1039</v>
      </c>
      <c r="E147" s="102" t="s">
        <v>584</v>
      </c>
      <c r="F147" s="102" t="s">
        <v>585</v>
      </c>
      <c r="G147" s="102" t="s">
        <v>282</v>
      </c>
      <c r="H147" s="102" t="s">
        <v>283</v>
      </c>
      <c r="I147" s="102" t="s">
        <v>284</v>
      </c>
      <c r="J147" s="102" t="s">
        <v>454</v>
      </c>
      <c r="L147" s="229" t="s">
        <v>1040</v>
      </c>
      <c r="M147" s="229" t="s">
        <v>1014</v>
      </c>
      <c r="N147" s="229" t="s">
        <v>1004</v>
      </c>
      <c r="O147" s="102">
        <v>1.0</v>
      </c>
      <c r="P147" s="102" t="s">
        <v>1015</v>
      </c>
      <c r="U147" s="230"/>
      <c r="V147" s="102" t="s">
        <v>286</v>
      </c>
      <c r="W147" s="102" t="s">
        <v>287</v>
      </c>
      <c r="X147" s="102" t="s">
        <v>288</v>
      </c>
    </row>
    <row r="148">
      <c r="A148" s="102" t="s">
        <v>310</v>
      </c>
      <c r="B148" s="102" t="s">
        <v>1790</v>
      </c>
      <c r="C148" s="229" t="s">
        <v>1791</v>
      </c>
      <c r="D148" s="102" t="s">
        <v>1792</v>
      </c>
      <c r="E148" s="102" t="s">
        <v>282</v>
      </c>
      <c r="F148" s="102" t="s">
        <v>283</v>
      </c>
      <c r="G148" s="102" t="s">
        <v>282</v>
      </c>
      <c r="H148" s="102" t="s">
        <v>283</v>
      </c>
      <c r="I148" s="102" t="s">
        <v>284</v>
      </c>
      <c r="J148" s="102" t="s">
        <v>26</v>
      </c>
      <c r="L148" s="229" t="s">
        <v>1793</v>
      </c>
      <c r="M148" s="229" t="s">
        <v>1413</v>
      </c>
      <c r="O148" s="102">
        <v>5.0</v>
      </c>
      <c r="U148" s="230"/>
      <c r="V148" s="102" t="s">
        <v>394</v>
      </c>
      <c r="W148" s="102" t="s">
        <v>417</v>
      </c>
    </row>
    <row r="149">
      <c r="A149" s="102" t="s">
        <v>310</v>
      </c>
      <c r="B149" s="102" t="s">
        <v>1794</v>
      </c>
      <c r="C149" s="229" t="s">
        <v>1795</v>
      </c>
      <c r="D149" s="102" t="s">
        <v>1796</v>
      </c>
      <c r="E149" s="102" t="s">
        <v>495</v>
      </c>
      <c r="F149" s="102" t="s">
        <v>496</v>
      </c>
      <c r="G149" s="102" t="s">
        <v>304</v>
      </c>
      <c r="H149" s="102" t="s">
        <v>305</v>
      </c>
      <c r="I149" s="102" t="s">
        <v>284</v>
      </c>
      <c r="J149" s="102" t="s">
        <v>26</v>
      </c>
      <c r="L149" s="229" t="s">
        <v>1797</v>
      </c>
      <c r="M149" s="229" t="s">
        <v>1711</v>
      </c>
      <c r="N149" s="229" t="s">
        <v>1004</v>
      </c>
      <c r="O149" s="102">
        <v>3.0</v>
      </c>
      <c r="P149" s="102" t="s">
        <v>331</v>
      </c>
      <c r="U149" s="102">
        <v>28800.0</v>
      </c>
      <c r="V149" s="102" t="s">
        <v>286</v>
      </c>
      <c r="W149" s="102" t="s">
        <v>287</v>
      </c>
    </row>
    <row r="150">
      <c r="A150" s="102" t="s">
        <v>310</v>
      </c>
      <c r="B150" s="102" t="s">
        <v>1798</v>
      </c>
      <c r="C150" s="229" t="s">
        <v>1799</v>
      </c>
      <c r="D150" s="102" t="s">
        <v>1800</v>
      </c>
      <c r="E150" s="102" t="s">
        <v>316</v>
      </c>
      <c r="F150" s="102" t="s">
        <v>317</v>
      </c>
      <c r="G150" s="102" t="s">
        <v>316</v>
      </c>
      <c r="H150" s="102" t="s">
        <v>317</v>
      </c>
      <c r="I150" s="102" t="s">
        <v>284</v>
      </c>
      <c r="J150" s="102" t="s">
        <v>63</v>
      </c>
      <c r="L150" s="229" t="s">
        <v>1801</v>
      </c>
      <c r="M150" s="229" t="s">
        <v>1802</v>
      </c>
      <c r="O150" s="230"/>
      <c r="U150" s="230"/>
      <c r="V150" s="102" t="s">
        <v>394</v>
      </c>
      <c r="W150" s="102" t="s">
        <v>417</v>
      </c>
    </row>
    <row r="151">
      <c r="A151" s="102" t="s">
        <v>310</v>
      </c>
      <c r="B151" s="102" t="s">
        <v>1803</v>
      </c>
      <c r="C151" s="229" t="s">
        <v>1804</v>
      </c>
      <c r="D151" s="102" t="s">
        <v>1805</v>
      </c>
      <c r="E151" s="102" t="s">
        <v>495</v>
      </c>
      <c r="F151" s="102" t="s">
        <v>496</v>
      </c>
      <c r="G151" s="102" t="s">
        <v>282</v>
      </c>
      <c r="H151" s="102" t="s">
        <v>283</v>
      </c>
      <c r="I151" s="102" t="s">
        <v>284</v>
      </c>
      <c r="J151" s="102" t="s">
        <v>26</v>
      </c>
      <c r="L151" s="229" t="s">
        <v>1806</v>
      </c>
      <c r="M151" s="229" t="s">
        <v>1807</v>
      </c>
      <c r="N151" s="229" t="s">
        <v>1004</v>
      </c>
      <c r="O151" s="102">
        <v>2.0</v>
      </c>
      <c r="P151" s="102" t="s">
        <v>1808</v>
      </c>
      <c r="U151" s="102">
        <v>14400.0</v>
      </c>
      <c r="V151" s="102" t="s">
        <v>286</v>
      </c>
      <c r="W151" s="102" t="s">
        <v>287</v>
      </c>
    </row>
    <row r="152">
      <c r="A152" s="102" t="s">
        <v>310</v>
      </c>
      <c r="B152" s="102" t="s">
        <v>1809</v>
      </c>
      <c r="C152" s="229" t="s">
        <v>1810</v>
      </c>
      <c r="D152" s="102" t="s">
        <v>1811</v>
      </c>
      <c r="E152" s="102" t="s">
        <v>495</v>
      </c>
      <c r="F152" s="102" t="s">
        <v>496</v>
      </c>
      <c r="G152" s="102" t="s">
        <v>282</v>
      </c>
      <c r="H152" s="102" t="s">
        <v>283</v>
      </c>
      <c r="I152" s="102" t="s">
        <v>284</v>
      </c>
      <c r="J152" s="102" t="s">
        <v>26</v>
      </c>
      <c r="L152" s="229" t="s">
        <v>1812</v>
      </c>
      <c r="M152" s="229" t="s">
        <v>1807</v>
      </c>
      <c r="N152" s="229" t="s">
        <v>1004</v>
      </c>
      <c r="O152" s="230"/>
      <c r="P152" s="102" t="s">
        <v>1808</v>
      </c>
      <c r="U152" s="102">
        <v>3600.0</v>
      </c>
      <c r="V152" s="102" t="s">
        <v>286</v>
      </c>
      <c r="W152" s="102" t="s">
        <v>287</v>
      </c>
    </row>
    <row r="153">
      <c r="A153" s="102" t="s">
        <v>310</v>
      </c>
      <c r="B153" s="102" t="s">
        <v>1813</v>
      </c>
      <c r="C153" s="229" t="s">
        <v>1814</v>
      </c>
      <c r="D153" s="102" t="s">
        <v>1815</v>
      </c>
      <c r="E153" s="102" t="s">
        <v>495</v>
      </c>
      <c r="F153" s="102" t="s">
        <v>496</v>
      </c>
      <c r="G153" s="102" t="s">
        <v>282</v>
      </c>
      <c r="H153" s="102" t="s">
        <v>283</v>
      </c>
      <c r="I153" s="102" t="s">
        <v>284</v>
      </c>
      <c r="J153" s="102" t="s">
        <v>26</v>
      </c>
      <c r="L153" s="229" t="s">
        <v>1816</v>
      </c>
      <c r="M153" s="229" t="s">
        <v>1817</v>
      </c>
      <c r="N153" s="229" t="s">
        <v>1004</v>
      </c>
      <c r="O153" s="102">
        <v>1.0</v>
      </c>
      <c r="P153" s="102" t="s">
        <v>473</v>
      </c>
      <c r="U153" s="102">
        <v>7200.0</v>
      </c>
      <c r="V153" s="102" t="s">
        <v>286</v>
      </c>
      <c r="W153" s="102" t="s">
        <v>287</v>
      </c>
    </row>
    <row r="154">
      <c r="A154" s="102" t="s">
        <v>310</v>
      </c>
      <c r="B154" s="102" t="s">
        <v>1818</v>
      </c>
      <c r="C154" s="229" t="s">
        <v>1819</v>
      </c>
      <c r="D154" s="102" t="s">
        <v>1820</v>
      </c>
      <c r="E154" s="102" t="s">
        <v>328</v>
      </c>
      <c r="F154" s="102" t="s">
        <v>329</v>
      </c>
      <c r="G154" s="102" t="s">
        <v>282</v>
      </c>
      <c r="H154" s="102" t="s">
        <v>283</v>
      </c>
      <c r="I154" s="102" t="s">
        <v>284</v>
      </c>
      <c r="J154" s="102" t="s">
        <v>26</v>
      </c>
      <c r="L154" s="229" t="s">
        <v>1821</v>
      </c>
      <c r="M154" s="229" t="s">
        <v>1822</v>
      </c>
      <c r="O154" s="102">
        <v>2.0</v>
      </c>
      <c r="P154" s="102" t="s">
        <v>593</v>
      </c>
      <c r="U154" s="230"/>
      <c r="V154" s="102" t="s">
        <v>286</v>
      </c>
      <c r="W154" s="102" t="s">
        <v>287</v>
      </c>
    </row>
    <row r="155">
      <c r="A155" s="102" t="s">
        <v>310</v>
      </c>
      <c r="B155" s="102" t="s">
        <v>1046</v>
      </c>
      <c r="C155" s="229" t="s">
        <v>1047</v>
      </c>
      <c r="D155" s="102" t="s">
        <v>1048</v>
      </c>
      <c r="E155" s="102" t="s">
        <v>314</v>
      </c>
      <c r="F155" s="102" t="s">
        <v>315</v>
      </c>
      <c r="G155" s="102" t="s">
        <v>314</v>
      </c>
      <c r="H155" s="102" t="s">
        <v>315</v>
      </c>
      <c r="I155" s="102" t="s">
        <v>284</v>
      </c>
      <c r="J155" s="102" t="s">
        <v>454</v>
      </c>
      <c r="L155" s="229" t="s">
        <v>1049</v>
      </c>
      <c r="M155" s="229" t="s">
        <v>1361</v>
      </c>
      <c r="O155" s="102">
        <v>3.0</v>
      </c>
      <c r="P155" s="102" t="s">
        <v>1050</v>
      </c>
      <c r="U155" s="102">
        <v>57600.0</v>
      </c>
      <c r="V155" s="102" t="s">
        <v>1051</v>
      </c>
      <c r="W155" s="102" t="s">
        <v>1052</v>
      </c>
      <c r="X155" s="102" t="s">
        <v>444</v>
      </c>
    </row>
    <row r="156">
      <c r="A156" s="102" t="s">
        <v>310</v>
      </c>
      <c r="B156" s="102" t="s">
        <v>1823</v>
      </c>
      <c r="C156" s="229" t="s">
        <v>1824</v>
      </c>
      <c r="D156" s="102" t="s">
        <v>1825</v>
      </c>
      <c r="E156" s="102" t="s">
        <v>314</v>
      </c>
      <c r="F156" s="102" t="s">
        <v>315</v>
      </c>
      <c r="G156" s="102" t="s">
        <v>314</v>
      </c>
      <c r="H156" s="102" t="s">
        <v>315</v>
      </c>
      <c r="I156" s="102" t="s">
        <v>284</v>
      </c>
      <c r="J156" s="102" t="s">
        <v>26</v>
      </c>
      <c r="L156" s="229" t="s">
        <v>1826</v>
      </c>
      <c r="M156" s="229" t="s">
        <v>1484</v>
      </c>
      <c r="O156" s="102">
        <v>1.0</v>
      </c>
      <c r="P156" s="102" t="s">
        <v>593</v>
      </c>
      <c r="Q156" s="102" t="s">
        <v>651</v>
      </c>
      <c r="U156" s="102">
        <v>600.0</v>
      </c>
      <c r="V156" s="102" t="s">
        <v>1052</v>
      </c>
    </row>
    <row r="157">
      <c r="A157" s="102" t="s">
        <v>310</v>
      </c>
      <c r="B157" s="102" t="s">
        <v>1827</v>
      </c>
      <c r="C157" s="229" t="s">
        <v>1828</v>
      </c>
      <c r="D157" s="102" t="s">
        <v>1829</v>
      </c>
      <c r="E157" s="102" t="s">
        <v>314</v>
      </c>
      <c r="F157" s="102" t="s">
        <v>315</v>
      </c>
      <c r="G157" s="102" t="s">
        <v>314</v>
      </c>
      <c r="H157" s="102" t="s">
        <v>315</v>
      </c>
      <c r="I157" s="102" t="s">
        <v>284</v>
      </c>
      <c r="J157" s="102" t="s">
        <v>26</v>
      </c>
      <c r="L157" s="229" t="s">
        <v>1830</v>
      </c>
      <c r="M157" s="229" t="s">
        <v>1484</v>
      </c>
      <c r="O157" s="102">
        <v>1.0</v>
      </c>
      <c r="P157" s="102" t="s">
        <v>593</v>
      </c>
      <c r="Q157" s="102" t="s">
        <v>651</v>
      </c>
      <c r="U157" s="102">
        <v>600.0</v>
      </c>
      <c r="V157" s="102" t="s">
        <v>1052</v>
      </c>
    </row>
    <row r="158">
      <c r="A158" s="102" t="s">
        <v>310</v>
      </c>
      <c r="B158" s="102" t="s">
        <v>1831</v>
      </c>
      <c r="C158" s="229" t="s">
        <v>1832</v>
      </c>
      <c r="D158" s="102" t="s">
        <v>1833</v>
      </c>
      <c r="E158" s="102" t="s">
        <v>314</v>
      </c>
      <c r="F158" s="102" t="s">
        <v>315</v>
      </c>
      <c r="G158" s="102" t="s">
        <v>314</v>
      </c>
      <c r="H158" s="102" t="s">
        <v>315</v>
      </c>
      <c r="I158" s="102" t="s">
        <v>284</v>
      </c>
      <c r="J158" s="102" t="s">
        <v>26</v>
      </c>
      <c r="L158" s="229" t="s">
        <v>1834</v>
      </c>
      <c r="M158" s="229" t="s">
        <v>1835</v>
      </c>
      <c r="O158" s="102">
        <v>2.0</v>
      </c>
      <c r="P158" s="102" t="s">
        <v>651</v>
      </c>
      <c r="U158" s="102">
        <v>14400.0</v>
      </c>
      <c r="V158" s="102" t="s">
        <v>1051</v>
      </c>
      <c r="W158" s="102" t="s">
        <v>1052</v>
      </c>
    </row>
    <row r="159">
      <c r="A159" s="102" t="s">
        <v>310</v>
      </c>
      <c r="B159" s="102" t="s">
        <v>1836</v>
      </c>
      <c r="C159" s="229" t="s">
        <v>1837</v>
      </c>
      <c r="D159" s="102" t="s">
        <v>1838</v>
      </c>
      <c r="E159" s="102" t="s">
        <v>314</v>
      </c>
      <c r="F159" s="102" t="s">
        <v>315</v>
      </c>
      <c r="G159" s="102" t="s">
        <v>314</v>
      </c>
      <c r="H159" s="102" t="s">
        <v>315</v>
      </c>
      <c r="I159" s="102" t="s">
        <v>284</v>
      </c>
      <c r="J159" s="102" t="s">
        <v>26</v>
      </c>
      <c r="L159" s="229" t="s">
        <v>1839</v>
      </c>
      <c r="M159" s="229" t="s">
        <v>1484</v>
      </c>
      <c r="O159" s="102">
        <v>5.0</v>
      </c>
      <c r="P159" s="102" t="s">
        <v>651</v>
      </c>
      <c r="U159" s="102">
        <v>57600.0</v>
      </c>
      <c r="V159" s="102" t="s">
        <v>1051</v>
      </c>
      <c r="W159" s="102" t="s">
        <v>1052</v>
      </c>
    </row>
    <row r="160">
      <c r="A160" s="102" t="s">
        <v>310</v>
      </c>
      <c r="B160" s="102" t="s">
        <v>1840</v>
      </c>
      <c r="C160" s="229" t="s">
        <v>1841</v>
      </c>
      <c r="D160" s="102" t="s">
        <v>1842</v>
      </c>
      <c r="E160" s="102" t="s">
        <v>314</v>
      </c>
      <c r="F160" s="102" t="s">
        <v>315</v>
      </c>
      <c r="G160" s="102" t="s">
        <v>314</v>
      </c>
      <c r="H160" s="102" t="s">
        <v>315</v>
      </c>
      <c r="I160" s="102" t="s">
        <v>284</v>
      </c>
      <c r="J160" s="102" t="s">
        <v>26</v>
      </c>
      <c r="L160" s="229" t="s">
        <v>1843</v>
      </c>
      <c r="M160" s="229" t="s">
        <v>1622</v>
      </c>
      <c r="O160" s="102">
        <v>2.0</v>
      </c>
      <c r="U160" s="102">
        <v>14400.0</v>
      </c>
      <c r="V160" s="102" t="s">
        <v>394</v>
      </c>
      <c r="W160" s="102" t="s">
        <v>966</v>
      </c>
    </row>
    <row r="161">
      <c r="A161" s="102" t="s">
        <v>310</v>
      </c>
      <c r="B161" s="102" t="s">
        <v>1844</v>
      </c>
      <c r="C161" s="229" t="s">
        <v>1845</v>
      </c>
      <c r="D161" s="102" t="s">
        <v>1846</v>
      </c>
      <c r="E161" s="102" t="s">
        <v>513</v>
      </c>
      <c r="F161" s="102" t="s">
        <v>514</v>
      </c>
      <c r="G161" s="102" t="s">
        <v>314</v>
      </c>
      <c r="H161" s="102" t="s">
        <v>315</v>
      </c>
      <c r="I161" s="102" t="s">
        <v>284</v>
      </c>
      <c r="J161" s="102" t="s">
        <v>26</v>
      </c>
      <c r="L161" s="229" t="s">
        <v>1847</v>
      </c>
      <c r="M161" s="229" t="s">
        <v>1848</v>
      </c>
      <c r="N161" s="229" t="s">
        <v>1849</v>
      </c>
      <c r="O161" s="102">
        <v>2.0</v>
      </c>
      <c r="P161" s="102" t="s">
        <v>473</v>
      </c>
      <c r="U161" s="102">
        <v>14400.0</v>
      </c>
      <c r="V161" s="102" t="s">
        <v>286</v>
      </c>
      <c r="W161" s="102" t="s">
        <v>287</v>
      </c>
    </row>
    <row r="162">
      <c r="A162" s="102" t="s">
        <v>310</v>
      </c>
      <c r="B162" s="102" t="s">
        <v>1850</v>
      </c>
      <c r="C162" s="229" t="s">
        <v>1851</v>
      </c>
      <c r="D162" s="102" t="s">
        <v>1852</v>
      </c>
      <c r="E162" s="102" t="s">
        <v>564</v>
      </c>
      <c r="F162" s="102" t="s">
        <v>565</v>
      </c>
      <c r="G162" s="102" t="s">
        <v>353</v>
      </c>
      <c r="H162" s="102" t="s">
        <v>354</v>
      </c>
      <c r="I162" s="102" t="s">
        <v>284</v>
      </c>
      <c r="J162" s="102" t="s">
        <v>26</v>
      </c>
      <c r="L162" s="229" t="s">
        <v>1853</v>
      </c>
      <c r="M162" s="229" t="s">
        <v>1854</v>
      </c>
      <c r="N162" s="229" t="s">
        <v>1004</v>
      </c>
      <c r="O162" s="102">
        <v>3.0</v>
      </c>
      <c r="P162" s="102" t="s">
        <v>593</v>
      </c>
      <c r="Q162" s="102" t="s">
        <v>1855</v>
      </c>
      <c r="U162" s="230"/>
      <c r="V162" s="102" t="s">
        <v>1058</v>
      </c>
      <c r="W162" s="102" t="s">
        <v>1058</v>
      </c>
      <c r="X162" s="102" t="s">
        <v>714</v>
      </c>
      <c r="AG162" s="230"/>
      <c r="AH162" s="230"/>
      <c r="AI162" s="230"/>
    </row>
    <row r="163">
      <c r="A163" s="102" t="s">
        <v>310</v>
      </c>
      <c r="B163" s="102" t="s">
        <v>1053</v>
      </c>
      <c r="C163" s="229" t="s">
        <v>1054</v>
      </c>
      <c r="D163" s="102" t="s">
        <v>1055</v>
      </c>
      <c r="E163" s="102" t="s">
        <v>564</v>
      </c>
      <c r="F163" s="102" t="s">
        <v>565</v>
      </c>
      <c r="G163" s="102" t="s">
        <v>353</v>
      </c>
      <c r="H163" s="102" t="s">
        <v>354</v>
      </c>
      <c r="I163" s="102" t="s">
        <v>284</v>
      </c>
      <c r="J163" s="102" t="s">
        <v>454</v>
      </c>
      <c r="L163" s="229" t="s">
        <v>1056</v>
      </c>
      <c r="M163" s="229" t="s">
        <v>949</v>
      </c>
      <c r="N163" s="229" t="s">
        <v>1057</v>
      </c>
      <c r="O163" s="102">
        <v>3.0</v>
      </c>
      <c r="U163" s="102">
        <v>28800.0</v>
      </c>
      <c r="V163" s="102" t="s">
        <v>1058</v>
      </c>
      <c r="W163" s="102" t="s">
        <v>1058</v>
      </c>
      <c r="X163" s="102" t="s">
        <v>714</v>
      </c>
      <c r="Y163" s="102" t="s">
        <v>358</v>
      </c>
      <c r="AG163" s="230"/>
      <c r="AH163" s="230"/>
      <c r="AI163" s="230"/>
    </row>
    <row r="164">
      <c r="A164" s="102" t="s">
        <v>310</v>
      </c>
      <c r="B164" s="102" t="s">
        <v>1059</v>
      </c>
      <c r="C164" s="229" t="s">
        <v>1060</v>
      </c>
      <c r="D164" s="102" t="s">
        <v>1061</v>
      </c>
      <c r="E164" s="102" t="s">
        <v>328</v>
      </c>
      <c r="F164" s="102" t="s">
        <v>329</v>
      </c>
      <c r="G164" s="102" t="s">
        <v>282</v>
      </c>
      <c r="H164" s="102" t="s">
        <v>283</v>
      </c>
      <c r="I164" s="102" t="s">
        <v>284</v>
      </c>
      <c r="J164" s="102" t="s">
        <v>454</v>
      </c>
      <c r="L164" s="229" t="s">
        <v>1062</v>
      </c>
      <c r="M164" s="229" t="s">
        <v>887</v>
      </c>
      <c r="O164" s="102">
        <v>5.0</v>
      </c>
      <c r="U164" s="230"/>
      <c r="V164" s="102" t="s">
        <v>394</v>
      </c>
      <c r="W164" s="102" t="s">
        <v>395</v>
      </c>
      <c r="X164" s="102" t="s">
        <v>387</v>
      </c>
      <c r="AG164" s="230"/>
      <c r="AH164" s="230"/>
      <c r="AI164" s="230"/>
    </row>
    <row r="165">
      <c r="A165" s="102" t="s">
        <v>310</v>
      </c>
      <c r="B165" s="102" t="s">
        <v>1064</v>
      </c>
      <c r="C165" s="229" t="s">
        <v>1065</v>
      </c>
      <c r="D165" s="102" t="s">
        <v>1066</v>
      </c>
      <c r="E165" s="102" t="s">
        <v>556</v>
      </c>
      <c r="F165" s="102" t="s">
        <v>557</v>
      </c>
      <c r="G165" s="102" t="s">
        <v>282</v>
      </c>
      <c r="H165" s="102" t="s">
        <v>283</v>
      </c>
      <c r="I165" s="102" t="s">
        <v>284</v>
      </c>
      <c r="J165" s="102" t="s">
        <v>454</v>
      </c>
      <c r="L165" s="229" t="s">
        <v>1067</v>
      </c>
      <c r="M165" s="229" t="s">
        <v>1856</v>
      </c>
      <c r="N165" s="229" t="s">
        <v>1004</v>
      </c>
      <c r="O165" s="102">
        <v>5.0</v>
      </c>
      <c r="U165" s="230"/>
      <c r="V165" s="102" t="s">
        <v>394</v>
      </c>
      <c r="W165" s="102" t="s">
        <v>395</v>
      </c>
      <c r="X165" s="102" t="s">
        <v>387</v>
      </c>
      <c r="AG165" s="230"/>
      <c r="AH165" s="230"/>
      <c r="AI165" s="230"/>
    </row>
    <row r="166">
      <c r="A166" s="102" t="s">
        <v>310</v>
      </c>
      <c r="B166" s="102" t="s">
        <v>1068</v>
      </c>
      <c r="C166" s="229" t="s">
        <v>1069</v>
      </c>
      <c r="D166" s="102" t="s">
        <v>1070</v>
      </c>
      <c r="E166" s="102" t="s">
        <v>495</v>
      </c>
      <c r="F166" s="102" t="s">
        <v>496</v>
      </c>
      <c r="G166" s="102" t="s">
        <v>282</v>
      </c>
      <c r="H166" s="102" t="s">
        <v>283</v>
      </c>
      <c r="I166" s="102" t="s">
        <v>284</v>
      </c>
      <c r="J166" s="102" t="s">
        <v>454</v>
      </c>
      <c r="L166" s="229" t="s">
        <v>1071</v>
      </c>
      <c r="M166" s="229" t="s">
        <v>1014</v>
      </c>
      <c r="N166" s="229" t="s">
        <v>1004</v>
      </c>
      <c r="O166" s="102">
        <v>2.0</v>
      </c>
      <c r="U166" s="102">
        <v>14400.0</v>
      </c>
      <c r="V166" s="102" t="s">
        <v>286</v>
      </c>
      <c r="W166" s="102" t="s">
        <v>287</v>
      </c>
      <c r="X166" s="102" t="s">
        <v>288</v>
      </c>
      <c r="AG166" s="230"/>
      <c r="AH166" s="230"/>
      <c r="AI166" s="230"/>
    </row>
    <row r="167">
      <c r="A167" s="102" t="s">
        <v>310</v>
      </c>
      <c r="B167" s="102" t="s">
        <v>1857</v>
      </c>
      <c r="C167" s="229" t="s">
        <v>1858</v>
      </c>
      <c r="D167" s="102" t="s">
        <v>1859</v>
      </c>
      <c r="E167" s="102" t="s">
        <v>513</v>
      </c>
      <c r="F167" s="102" t="s">
        <v>514</v>
      </c>
      <c r="G167" s="102" t="s">
        <v>282</v>
      </c>
      <c r="H167" s="102" t="s">
        <v>283</v>
      </c>
      <c r="I167" s="102" t="s">
        <v>284</v>
      </c>
      <c r="J167" s="102" t="s">
        <v>26</v>
      </c>
      <c r="L167" s="229" t="s">
        <v>1860</v>
      </c>
      <c r="M167" s="229" t="s">
        <v>1861</v>
      </c>
      <c r="N167" s="229" t="s">
        <v>1862</v>
      </c>
      <c r="O167" s="102">
        <v>5.0</v>
      </c>
      <c r="P167" s="102" t="s">
        <v>593</v>
      </c>
      <c r="U167" s="102">
        <v>57600.0</v>
      </c>
      <c r="V167" s="102" t="s">
        <v>299</v>
      </c>
      <c r="W167" s="102" t="s">
        <v>286</v>
      </c>
      <c r="X167" s="102" t="s">
        <v>287</v>
      </c>
      <c r="AG167" s="230"/>
      <c r="AH167" s="230"/>
      <c r="AI167" s="230"/>
    </row>
    <row r="168">
      <c r="A168" s="102" t="s">
        <v>332</v>
      </c>
      <c r="B168" s="102" t="s">
        <v>1072</v>
      </c>
      <c r="C168" s="229" t="s">
        <v>1073</v>
      </c>
      <c r="D168" s="102" t="s">
        <v>1074</v>
      </c>
      <c r="E168" s="102" t="s">
        <v>282</v>
      </c>
      <c r="F168" s="102" t="s">
        <v>283</v>
      </c>
      <c r="G168" s="102" t="s">
        <v>316</v>
      </c>
      <c r="H168" s="102" t="s">
        <v>317</v>
      </c>
      <c r="I168" s="102" t="s">
        <v>648</v>
      </c>
      <c r="J168" s="102" t="s">
        <v>1075</v>
      </c>
      <c r="L168" s="229" t="s">
        <v>1076</v>
      </c>
      <c r="M168" s="229" t="s">
        <v>1542</v>
      </c>
      <c r="N168" s="229" t="s">
        <v>955</v>
      </c>
      <c r="O168" s="230"/>
      <c r="P168" s="102" t="s">
        <v>1078</v>
      </c>
      <c r="Q168" s="102" t="s">
        <v>366</v>
      </c>
      <c r="R168" s="102" t="s">
        <v>1079</v>
      </c>
      <c r="S168" s="102" t="s">
        <v>367</v>
      </c>
      <c r="T168" s="102" t="s">
        <v>368</v>
      </c>
      <c r="U168" s="230"/>
      <c r="V168" s="102" t="s">
        <v>394</v>
      </c>
      <c r="W168" s="102" t="s">
        <v>417</v>
      </c>
      <c r="X168" s="102" t="s">
        <v>324</v>
      </c>
      <c r="AG168" s="230"/>
      <c r="AH168" s="230"/>
      <c r="AI168" s="230"/>
    </row>
    <row r="169">
      <c r="A169" s="102" t="s">
        <v>310</v>
      </c>
      <c r="B169" s="102" t="s">
        <v>1863</v>
      </c>
      <c r="C169" s="229" t="s">
        <v>1864</v>
      </c>
      <c r="D169" s="102" t="s">
        <v>1865</v>
      </c>
      <c r="E169" s="102" t="s">
        <v>556</v>
      </c>
      <c r="F169" s="102" t="s">
        <v>557</v>
      </c>
      <c r="G169" s="102" t="s">
        <v>282</v>
      </c>
      <c r="H169" s="102" t="s">
        <v>283</v>
      </c>
      <c r="I169" s="102" t="s">
        <v>284</v>
      </c>
      <c r="J169" s="102" t="s">
        <v>26</v>
      </c>
      <c r="L169" s="229" t="s">
        <v>1866</v>
      </c>
      <c r="M169" s="229" t="s">
        <v>1807</v>
      </c>
      <c r="N169" s="229" t="s">
        <v>1004</v>
      </c>
      <c r="O169" s="102">
        <v>2.0</v>
      </c>
      <c r="P169" s="102" t="s">
        <v>435</v>
      </c>
      <c r="U169" s="102">
        <v>14400.0</v>
      </c>
      <c r="V169" s="102" t="s">
        <v>286</v>
      </c>
      <c r="W169" s="102" t="s">
        <v>287</v>
      </c>
      <c r="AG169" s="230"/>
      <c r="AH169" s="230"/>
      <c r="AI169" s="230"/>
    </row>
    <row r="170">
      <c r="A170" s="102" t="s">
        <v>310</v>
      </c>
      <c r="B170" s="102" t="s">
        <v>1867</v>
      </c>
      <c r="C170" s="229" t="s">
        <v>1868</v>
      </c>
      <c r="D170" s="102" t="s">
        <v>1869</v>
      </c>
      <c r="E170" s="102" t="s">
        <v>584</v>
      </c>
      <c r="F170" s="102" t="s">
        <v>585</v>
      </c>
      <c r="G170" s="102" t="s">
        <v>282</v>
      </c>
      <c r="H170" s="102" t="s">
        <v>283</v>
      </c>
      <c r="I170" s="102" t="s">
        <v>284</v>
      </c>
      <c r="J170" s="102" t="s">
        <v>26</v>
      </c>
      <c r="L170" s="229" t="s">
        <v>1870</v>
      </c>
      <c r="M170" s="229" t="s">
        <v>1807</v>
      </c>
      <c r="N170" s="229" t="s">
        <v>1170</v>
      </c>
      <c r="O170" s="102">
        <v>3.0</v>
      </c>
      <c r="U170" s="230"/>
      <c r="V170" s="102" t="s">
        <v>299</v>
      </c>
      <c r="W170" s="102" t="s">
        <v>286</v>
      </c>
      <c r="X170" s="102" t="s">
        <v>287</v>
      </c>
      <c r="AG170" s="230"/>
      <c r="AH170" s="230"/>
      <c r="AI170" s="230"/>
    </row>
    <row r="171">
      <c r="A171" s="102" t="s">
        <v>310</v>
      </c>
      <c r="B171" s="102" t="s">
        <v>1871</v>
      </c>
      <c r="C171" s="229" t="s">
        <v>1872</v>
      </c>
      <c r="D171" s="102" t="s">
        <v>1873</v>
      </c>
      <c r="E171" s="102" t="s">
        <v>495</v>
      </c>
      <c r="F171" s="102" t="s">
        <v>496</v>
      </c>
      <c r="G171" s="102" t="s">
        <v>304</v>
      </c>
      <c r="H171" s="102" t="s">
        <v>305</v>
      </c>
      <c r="I171" s="102" t="s">
        <v>284</v>
      </c>
      <c r="J171" s="102" t="s">
        <v>26</v>
      </c>
      <c r="L171" s="229" t="s">
        <v>1874</v>
      </c>
      <c r="M171" s="229" t="s">
        <v>1848</v>
      </c>
      <c r="N171" s="229" t="s">
        <v>1170</v>
      </c>
      <c r="O171" s="102">
        <v>5.0</v>
      </c>
      <c r="P171" s="102" t="s">
        <v>331</v>
      </c>
      <c r="U171" s="230"/>
      <c r="V171" s="102" t="s">
        <v>299</v>
      </c>
      <c r="W171" s="102" t="s">
        <v>286</v>
      </c>
      <c r="X171" s="102" t="s">
        <v>287</v>
      </c>
      <c r="AG171" s="230"/>
      <c r="AH171" s="230"/>
      <c r="AI171" s="230"/>
    </row>
    <row r="172">
      <c r="A172" s="102" t="s">
        <v>276</v>
      </c>
      <c r="B172" s="102" t="s">
        <v>1080</v>
      </c>
      <c r="C172" s="229" t="s">
        <v>1081</v>
      </c>
      <c r="D172" s="102" t="s">
        <v>1082</v>
      </c>
      <c r="E172" s="102" t="s">
        <v>521</v>
      </c>
      <c r="F172" s="102" t="s">
        <v>522</v>
      </c>
      <c r="G172" s="102" t="s">
        <v>521</v>
      </c>
      <c r="H172" s="102" t="s">
        <v>522</v>
      </c>
      <c r="I172" s="102" t="s">
        <v>284</v>
      </c>
      <c r="J172" s="102" t="s">
        <v>34</v>
      </c>
      <c r="L172" s="229" t="s">
        <v>1083</v>
      </c>
      <c r="M172" s="229" t="s">
        <v>1084</v>
      </c>
      <c r="O172" s="230"/>
      <c r="U172" s="230"/>
      <c r="V172" s="102" t="s">
        <v>1085</v>
      </c>
      <c r="W172" s="102" t="s">
        <v>529</v>
      </c>
      <c r="X172" s="102" t="s">
        <v>298</v>
      </c>
      <c r="Y172" s="102" t="s">
        <v>299</v>
      </c>
      <c r="Z172" s="102" t="s">
        <v>286</v>
      </c>
      <c r="AA172" s="102" t="s">
        <v>287</v>
      </c>
      <c r="AB172" s="102" t="s">
        <v>288</v>
      </c>
      <c r="AG172" s="230"/>
      <c r="AH172" s="230"/>
      <c r="AI172" s="230"/>
    </row>
    <row r="173">
      <c r="A173" s="102" t="s">
        <v>276</v>
      </c>
      <c r="B173" s="102" t="s">
        <v>1086</v>
      </c>
      <c r="C173" s="229" t="s">
        <v>1087</v>
      </c>
      <c r="D173" s="102" t="s">
        <v>1082</v>
      </c>
      <c r="E173" s="102" t="s">
        <v>521</v>
      </c>
      <c r="F173" s="102" t="s">
        <v>522</v>
      </c>
      <c r="G173" s="102" t="s">
        <v>521</v>
      </c>
      <c r="H173" s="102" t="s">
        <v>522</v>
      </c>
      <c r="I173" s="102" t="s">
        <v>284</v>
      </c>
      <c r="J173" s="102" t="s">
        <v>34</v>
      </c>
      <c r="L173" s="229" t="s">
        <v>1083</v>
      </c>
      <c r="M173" s="229" t="s">
        <v>1084</v>
      </c>
      <c r="O173" s="230"/>
      <c r="U173" s="230"/>
      <c r="V173" s="102" t="s">
        <v>1085</v>
      </c>
      <c r="W173" s="102" t="s">
        <v>529</v>
      </c>
      <c r="X173" s="102" t="s">
        <v>298</v>
      </c>
      <c r="Y173" s="102" t="s">
        <v>299</v>
      </c>
      <c r="Z173" s="102" t="s">
        <v>286</v>
      </c>
      <c r="AA173" s="102" t="s">
        <v>287</v>
      </c>
      <c r="AB173" s="102" t="s">
        <v>288</v>
      </c>
      <c r="AG173" s="230"/>
      <c r="AH173" s="230"/>
      <c r="AI173" s="230"/>
    </row>
    <row r="174">
      <c r="A174" s="102" t="s">
        <v>276</v>
      </c>
      <c r="B174" s="102" t="s">
        <v>1088</v>
      </c>
      <c r="C174" s="229" t="s">
        <v>1089</v>
      </c>
      <c r="D174" s="102" t="s">
        <v>1082</v>
      </c>
      <c r="E174" s="102" t="s">
        <v>521</v>
      </c>
      <c r="F174" s="102" t="s">
        <v>522</v>
      </c>
      <c r="G174" s="102" t="s">
        <v>521</v>
      </c>
      <c r="H174" s="102" t="s">
        <v>522</v>
      </c>
      <c r="I174" s="102" t="s">
        <v>284</v>
      </c>
      <c r="J174" s="102" t="s">
        <v>34</v>
      </c>
      <c r="L174" s="229" t="s">
        <v>1083</v>
      </c>
      <c r="M174" s="229" t="s">
        <v>1090</v>
      </c>
      <c r="O174" s="230"/>
      <c r="U174" s="230"/>
      <c r="V174" s="102" t="s">
        <v>1085</v>
      </c>
      <c r="W174" s="102" t="s">
        <v>529</v>
      </c>
      <c r="X174" s="102" t="s">
        <v>298</v>
      </c>
      <c r="Y174" s="102" t="s">
        <v>299</v>
      </c>
      <c r="Z174" s="102" t="s">
        <v>286</v>
      </c>
      <c r="AA174" s="102" t="s">
        <v>287</v>
      </c>
      <c r="AB174" s="102" t="s">
        <v>288</v>
      </c>
      <c r="AG174" s="230"/>
      <c r="AH174" s="230"/>
      <c r="AI174" s="230"/>
    </row>
    <row r="175">
      <c r="A175" s="102" t="s">
        <v>276</v>
      </c>
      <c r="B175" s="102" t="s">
        <v>1091</v>
      </c>
      <c r="C175" s="229" t="s">
        <v>1092</v>
      </c>
      <c r="D175" s="102" t="s">
        <v>1093</v>
      </c>
      <c r="E175" s="102" t="s">
        <v>521</v>
      </c>
      <c r="F175" s="102" t="s">
        <v>522</v>
      </c>
      <c r="G175" s="102" t="s">
        <v>521</v>
      </c>
      <c r="H175" s="102" t="s">
        <v>522</v>
      </c>
      <c r="I175" s="102" t="s">
        <v>284</v>
      </c>
      <c r="J175" s="102" t="s">
        <v>34</v>
      </c>
      <c r="L175" s="229" t="s">
        <v>1094</v>
      </c>
      <c r="M175" s="229" t="s">
        <v>1095</v>
      </c>
      <c r="O175" s="230"/>
      <c r="U175" s="230"/>
      <c r="V175" s="102" t="s">
        <v>1085</v>
      </c>
      <c r="W175" s="102" t="s">
        <v>529</v>
      </c>
      <c r="X175" s="102" t="s">
        <v>298</v>
      </c>
      <c r="Y175" s="102" t="s">
        <v>299</v>
      </c>
      <c r="Z175" s="102" t="s">
        <v>286</v>
      </c>
      <c r="AA175" s="102" t="s">
        <v>287</v>
      </c>
      <c r="AB175" s="102" t="s">
        <v>288</v>
      </c>
      <c r="AG175" s="230"/>
      <c r="AH175" s="230"/>
      <c r="AI175" s="230"/>
    </row>
    <row r="176">
      <c r="A176" s="102" t="s">
        <v>276</v>
      </c>
      <c r="B176" s="102" t="s">
        <v>1096</v>
      </c>
      <c r="C176" s="229" t="s">
        <v>1097</v>
      </c>
      <c r="D176" s="102" t="s">
        <v>1098</v>
      </c>
      <c r="E176" s="102" t="s">
        <v>521</v>
      </c>
      <c r="F176" s="102" t="s">
        <v>522</v>
      </c>
      <c r="G176" s="102" t="s">
        <v>521</v>
      </c>
      <c r="H176" s="102" t="s">
        <v>522</v>
      </c>
      <c r="I176" s="102" t="s">
        <v>284</v>
      </c>
      <c r="J176" s="102" t="s">
        <v>26</v>
      </c>
      <c r="L176" s="229" t="s">
        <v>1099</v>
      </c>
      <c r="M176" s="229" t="s">
        <v>1100</v>
      </c>
      <c r="O176" s="230"/>
      <c r="U176" s="230"/>
      <c r="V176" s="102" t="s">
        <v>1085</v>
      </c>
      <c r="W176" s="102" t="s">
        <v>529</v>
      </c>
      <c r="X176" s="102" t="s">
        <v>298</v>
      </c>
      <c r="Y176" s="102" t="s">
        <v>299</v>
      </c>
      <c r="Z176" s="102" t="s">
        <v>286</v>
      </c>
      <c r="AA176" s="102" t="s">
        <v>287</v>
      </c>
      <c r="AB176" s="102" t="s">
        <v>288</v>
      </c>
      <c r="AG176" s="230"/>
      <c r="AH176" s="230"/>
      <c r="AI176" s="230"/>
    </row>
    <row r="177">
      <c r="A177" s="102" t="s">
        <v>276</v>
      </c>
      <c r="B177" s="102" t="s">
        <v>1101</v>
      </c>
      <c r="C177" s="229" t="s">
        <v>1102</v>
      </c>
      <c r="D177" s="102" t="s">
        <v>1103</v>
      </c>
      <c r="E177" s="102" t="s">
        <v>521</v>
      </c>
      <c r="F177" s="102" t="s">
        <v>522</v>
      </c>
      <c r="G177" s="102" t="s">
        <v>521</v>
      </c>
      <c r="H177" s="102" t="s">
        <v>522</v>
      </c>
      <c r="I177" s="102" t="s">
        <v>284</v>
      </c>
      <c r="J177" s="102" t="s">
        <v>26</v>
      </c>
      <c r="L177" s="229" t="s">
        <v>1099</v>
      </c>
      <c r="M177" s="229" t="s">
        <v>1100</v>
      </c>
      <c r="O177" s="230"/>
      <c r="U177" s="230"/>
      <c r="V177" s="102" t="s">
        <v>1085</v>
      </c>
      <c r="W177" s="102" t="s">
        <v>529</v>
      </c>
      <c r="X177" s="102" t="s">
        <v>298</v>
      </c>
      <c r="Y177" s="102" t="s">
        <v>299</v>
      </c>
      <c r="Z177" s="102" t="s">
        <v>286</v>
      </c>
      <c r="AA177" s="102" t="s">
        <v>287</v>
      </c>
      <c r="AB177" s="102" t="s">
        <v>288</v>
      </c>
      <c r="AG177" s="230"/>
      <c r="AH177" s="230"/>
      <c r="AI177" s="230"/>
    </row>
    <row r="178">
      <c r="A178" s="102" t="s">
        <v>276</v>
      </c>
      <c r="B178" s="102" t="s">
        <v>1104</v>
      </c>
      <c r="C178" s="229" t="s">
        <v>1105</v>
      </c>
      <c r="D178" s="102" t="s">
        <v>1082</v>
      </c>
      <c r="E178" s="102" t="s">
        <v>521</v>
      </c>
      <c r="F178" s="102" t="s">
        <v>522</v>
      </c>
      <c r="G178" s="102" t="s">
        <v>521</v>
      </c>
      <c r="H178" s="102" t="s">
        <v>522</v>
      </c>
      <c r="I178" s="102" t="s">
        <v>284</v>
      </c>
      <c r="J178" s="102" t="s">
        <v>63</v>
      </c>
      <c r="L178" s="229" t="s">
        <v>1106</v>
      </c>
      <c r="M178" s="229" t="s">
        <v>1107</v>
      </c>
      <c r="O178" s="230"/>
      <c r="U178" s="230"/>
      <c r="V178" s="102" t="s">
        <v>1085</v>
      </c>
      <c r="W178" s="102" t="s">
        <v>529</v>
      </c>
      <c r="X178" s="102" t="s">
        <v>298</v>
      </c>
      <c r="Y178" s="102" t="s">
        <v>299</v>
      </c>
      <c r="Z178" s="102" t="s">
        <v>286</v>
      </c>
      <c r="AA178" s="102" t="s">
        <v>287</v>
      </c>
      <c r="AB178" s="102" t="s">
        <v>288</v>
      </c>
      <c r="AG178" s="230"/>
      <c r="AH178" s="230"/>
      <c r="AI178" s="230"/>
    </row>
    <row r="179">
      <c r="A179" s="102" t="s">
        <v>276</v>
      </c>
      <c r="B179" s="102" t="s">
        <v>1108</v>
      </c>
      <c r="C179" s="229" t="s">
        <v>1109</v>
      </c>
      <c r="D179" s="102" t="s">
        <v>1110</v>
      </c>
      <c r="E179" s="102" t="s">
        <v>521</v>
      </c>
      <c r="F179" s="102" t="s">
        <v>522</v>
      </c>
      <c r="G179" s="102" t="s">
        <v>521</v>
      </c>
      <c r="H179" s="102" t="s">
        <v>522</v>
      </c>
      <c r="I179" s="102" t="s">
        <v>284</v>
      </c>
      <c r="J179" s="102" t="s">
        <v>26</v>
      </c>
      <c r="L179" s="229" t="s">
        <v>1111</v>
      </c>
      <c r="M179" s="229" t="s">
        <v>1112</v>
      </c>
      <c r="O179" s="230"/>
      <c r="U179" s="230"/>
      <c r="V179" s="102" t="s">
        <v>1085</v>
      </c>
      <c r="W179" s="102" t="s">
        <v>529</v>
      </c>
      <c r="X179" s="102" t="s">
        <v>298</v>
      </c>
      <c r="Y179" s="102" t="s">
        <v>299</v>
      </c>
      <c r="Z179" s="102" t="s">
        <v>286</v>
      </c>
      <c r="AA179" s="102" t="s">
        <v>287</v>
      </c>
      <c r="AB179" s="102" t="s">
        <v>288</v>
      </c>
      <c r="AG179" s="230"/>
      <c r="AH179" s="230"/>
      <c r="AI179" s="230"/>
    </row>
    <row r="180">
      <c r="A180" s="102" t="s">
        <v>310</v>
      </c>
      <c r="B180" s="102" t="s">
        <v>1875</v>
      </c>
      <c r="C180" s="229" t="s">
        <v>1876</v>
      </c>
      <c r="D180" s="102" t="s">
        <v>1877</v>
      </c>
      <c r="E180" s="102" t="s">
        <v>584</v>
      </c>
      <c r="F180" s="102" t="s">
        <v>585</v>
      </c>
      <c r="G180" s="102" t="s">
        <v>282</v>
      </c>
      <c r="H180" s="102" t="s">
        <v>283</v>
      </c>
      <c r="I180" s="102" t="s">
        <v>515</v>
      </c>
      <c r="J180" s="102" t="s">
        <v>26</v>
      </c>
      <c r="L180" s="229" t="s">
        <v>1878</v>
      </c>
      <c r="M180" s="229" t="s">
        <v>1848</v>
      </c>
      <c r="N180" s="229" t="s">
        <v>1170</v>
      </c>
      <c r="O180" s="102">
        <v>2.0</v>
      </c>
      <c r="U180" s="230"/>
      <c r="V180" s="102" t="s">
        <v>299</v>
      </c>
      <c r="W180" s="102" t="s">
        <v>286</v>
      </c>
      <c r="X180" s="102" t="s">
        <v>287</v>
      </c>
      <c r="AG180" s="230"/>
      <c r="AH180" s="230"/>
      <c r="AI180" s="230"/>
    </row>
    <row r="181">
      <c r="A181" s="102" t="s">
        <v>276</v>
      </c>
      <c r="B181" s="102" t="s">
        <v>1879</v>
      </c>
      <c r="C181" s="229" t="s">
        <v>1880</v>
      </c>
      <c r="D181" s="102" t="s">
        <v>279</v>
      </c>
      <c r="E181" s="102" t="s">
        <v>280</v>
      </c>
      <c r="F181" s="102" t="s">
        <v>281</v>
      </c>
      <c r="G181" s="102" t="s">
        <v>282</v>
      </c>
      <c r="H181" s="102" t="s">
        <v>283</v>
      </c>
      <c r="I181" s="102" t="s">
        <v>284</v>
      </c>
      <c r="J181" s="102" t="s">
        <v>26</v>
      </c>
      <c r="L181" s="229" t="s">
        <v>1881</v>
      </c>
      <c r="M181" s="229" t="s">
        <v>1882</v>
      </c>
      <c r="O181" s="230"/>
      <c r="U181" s="230"/>
      <c r="V181" s="102" t="s">
        <v>299</v>
      </c>
      <c r="W181" s="102" t="s">
        <v>286</v>
      </c>
      <c r="X181" s="102" t="s">
        <v>287</v>
      </c>
      <c r="AG181" s="230"/>
      <c r="AH181" s="230"/>
      <c r="AI181" s="230"/>
    </row>
    <row r="182">
      <c r="A182" s="102" t="s">
        <v>276</v>
      </c>
      <c r="B182" s="102" t="s">
        <v>1883</v>
      </c>
      <c r="C182" s="229" t="s">
        <v>1884</v>
      </c>
      <c r="D182" s="102" t="s">
        <v>291</v>
      </c>
      <c r="E182" s="102" t="s">
        <v>280</v>
      </c>
      <c r="F182" s="102" t="s">
        <v>281</v>
      </c>
      <c r="G182" s="102" t="s">
        <v>282</v>
      </c>
      <c r="H182" s="102" t="s">
        <v>283</v>
      </c>
      <c r="I182" s="102" t="s">
        <v>284</v>
      </c>
      <c r="J182" s="102" t="s">
        <v>26</v>
      </c>
      <c r="L182" s="229" t="s">
        <v>1881</v>
      </c>
      <c r="M182" s="229" t="s">
        <v>1885</v>
      </c>
      <c r="O182" s="230"/>
      <c r="U182" s="230"/>
      <c r="V182" s="102" t="s">
        <v>299</v>
      </c>
      <c r="W182" s="102" t="s">
        <v>286</v>
      </c>
      <c r="X182" s="102" t="s">
        <v>287</v>
      </c>
      <c r="AG182" s="230"/>
      <c r="AH182" s="230"/>
      <c r="AI182" s="230"/>
    </row>
    <row r="183">
      <c r="A183" s="102" t="s">
        <v>276</v>
      </c>
      <c r="B183" s="102" t="s">
        <v>1886</v>
      </c>
      <c r="C183" s="229" t="s">
        <v>1887</v>
      </c>
      <c r="D183" s="102" t="s">
        <v>279</v>
      </c>
      <c r="E183" s="102" t="s">
        <v>280</v>
      </c>
      <c r="F183" s="102" t="s">
        <v>281</v>
      </c>
      <c r="G183" s="102" t="s">
        <v>304</v>
      </c>
      <c r="H183" s="102" t="s">
        <v>305</v>
      </c>
      <c r="I183" s="102" t="s">
        <v>284</v>
      </c>
      <c r="J183" s="102" t="s">
        <v>26</v>
      </c>
      <c r="L183" s="229" t="s">
        <v>1888</v>
      </c>
      <c r="M183" s="229" t="s">
        <v>1889</v>
      </c>
      <c r="O183" s="230"/>
      <c r="U183" s="230"/>
      <c r="V183" s="102" t="s">
        <v>299</v>
      </c>
      <c r="W183" s="102" t="s">
        <v>286</v>
      </c>
      <c r="X183" s="102" t="s">
        <v>287</v>
      </c>
      <c r="AG183" s="230"/>
      <c r="AH183" s="230"/>
      <c r="AI183" s="230"/>
    </row>
    <row r="184">
      <c r="A184" s="102" t="s">
        <v>276</v>
      </c>
      <c r="B184" s="102" t="s">
        <v>1890</v>
      </c>
      <c r="C184" s="229" t="s">
        <v>1891</v>
      </c>
      <c r="D184" s="102" t="s">
        <v>291</v>
      </c>
      <c r="E184" s="102" t="s">
        <v>280</v>
      </c>
      <c r="F184" s="102" t="s">
        <v>281</v>
      </c>
      <c r="G184" s="102" t="s">
        <v>304</v>
      </c>
      <c r="H184" s="102" t="s">
        <v>305</v>
      </c>
      <c r="I184" s="102" t="s">
        <v>284</v>
      </c>
      <c r="J184" s="102" t="s">
        <v>26</v>
      </c>
      <c r="L184" s="229" t="s">
        <v>1888</v>
      </c>
      <c r="M184" s="229" t="s">
        <v>1892</v>
      </c>
      <c r="O184" s="230"/>
      <c r="U184" s="230"/>
      <c r="V184" s="102" t="s">
        <v>299</v>
      </c>
      <c r="W184" s="102" t="s">
        <v>286</v>
      </c>
      <c r="X184" s="102" t="s">
        <v>287</v>
      </c>
      <c r="AG184" s="230"/>
      <c r="AH184" s="230"/>
      <c r="AI184" s="230"/>
    </row>
    <row r="185">
      <c r="A185" s="102" t="s">
        <v>332</v>
      </c>
      <c r="B185" s="102" t="s">
        <v>1113</v>
      </c>
      <c r="C185" s="229" t="s">
        <v>1114</v>
      </c>
      <c r="D185" s="102" t="s">
        <v>1115</v>
      </c>
      <c r="E185" s="102" t="s">
        <v>282</v>
      </c>
      <c r="F185" s="102" t="s">
        <v>283</v>
      </c>
      <c r="G185" s="102" t="s">
        <v>316</v>
      </c>
      <c r="H185" s="102" t="s">
        <v>317</v>
      </c>
      <c r="I185" s="102" t="s">
        <v>284</v>
      </c>
      <c r="J185" s="102" t="s">
        <v>922</v>
      </c>
      <c r="L185" s="229" t="s">
        <v>1116</v>
      </c>
      <c r="M185" s="229" t="s">
        <v>1542</v>
      </c>
      <c r="N185" s="229" t="s">
        <v>1893</v>
      </c>
      <c r="O185" s="230"/>
      <c r="P185" s="102" t="s">
        <v>783</v>
      </c>
      <c r="Q185" s="102" t="s">
        <v>368</v>
      </c>
      <c r="U185" s="230"/>
      <c r="V185" s="102" t="s">
        <v>394</v>
      </c>
      <c r="W185" s="102" t="s">
        <v>417</v>
      </c>
      <c r="X185" s="102" t="s">
        <v>324</v>
      </c>
      <c r="AG185" s="230"/>
      <c r="AH185" s="230"/>
      <c r="AI185" s="230"/>
    </row>
    <row r="186">
      <c r="A186" s="102" t="s">
        <v>310</v>
      </c>
      <c r="B186" s="102" t="s">
        <v>1894</v>
      </c>
      <c r="C186" s="229" t="s">
        <v>1895</v>
      </c>
      <c r="D186" s="102" t="s">
        <v>1896</v>
      </c>
      <c r="E186" s="102" t="s">
        <v>495</v>
      </c>
      <c r="F186" s="102" t="s">
        <v>496</v>
      </c>
      <c r="G186" s="102" t="s">
        <v>304</v>
      </c>
      <c r="H186" s="102" t="s">
        <v>305</v>
      </c>
      <c r="I186" s="102" t="s">
        <v>284</v>
      </c>
      <c r="J186" s="102" t="s">
        <v>26</v>
      </c>
      <c r="L186" s="229" t="s">
        <v>1897</v>
      </c>
      <c r="M186" s="229" t="s">
        <v>1711</v>
      </c>
      <c r="N186" s="229" t="s">
        <v>1170</v>
      </c>
      <c r="O186" s="102">
        <v>2.0</v>
      </c>
      <c r="P186" s="102" t="s">
        <v>331</v>
      </c>
      <c r="U186" s="102">
        <v>7200.0</v>
      </c>
      <c r="V186" s="102" t="s">
        <v>299</v>
      </c>
      <c r="W186" s="102" t="s">
        <v>286</v>
      </c>
      <c r="X186" s="102" t="s">
        <v>287</v>
      </c>
      <c r="AG186" s="230"/>
      <c r="AH186" s="230"/>
      <c r="AI186" s="230"/>
    </row>
    <row r="187">
      <c r="A187" s="102" t="s">
        <v>310</v>
      </c>
      <c r="B187" s="102" t="s">
        <v>1898</v>
      </c>
      <c r="C187" s="229" t="s">
        <v>1899</v>
      </c>
      <c r="D187" s="102" t="s">
        <v>1900</v>
      </c>
      <c r="E187" s="102" t="s">
        <v>584</v>
      </c>
      <c r="F187" s="102" t="s">
        <v>585</v>
      </c>
      <c r="G187" s="102" t="s">
        <v>282</v>
      </c>
      <c r="H187" s="102" t="s">
        <v>283</v>
      </c>
      <c r="I187" s="102" t="s">
        <v>284</v>
      </c>
      <c r="J187" s="102" t="s">
        <v>26</v>
      </c>
      <c r="L187" s="229" t="s">
        <v>1901</v>
      </c>
      <c r="M187" s="229" t="s">
        <v>1611</v>
      </c>
      <c r="N187" s="229" t="s">
        <v>1170</v>
      </c>
      <c r="O187" s="102">
        <v>1.0</v>
      </c>
      <c r="P187" s="102" t="s">
        <v>593</v>
      </c>
      <c r="U187" s="230"/>
      <c r="V187" s="102" t="s">
        <v>299</v>
      </c>
      <c r="W187" s="102" t="s">
        <v>286</v>
      </c>
      <c r="X187" s="102" t="s">
        <v>287</v>
      </c>
      <c r="AG187" s="230"/>
      <c r="AH187" s="230"/>
      <c r="AI187" s="230"/>
    </row>
    <row r="188">
      <c r="A188" s="102" t="s">
        <v>310</v>
      </c>
      <c r="B188" s="102" t="s">
        <v>1122</v>
      </c>
      <c r="C188" s="229" t="s">
        <v>1123</v>
      </c>
      <c r="D188" s="102" t="s">
        <v>1124</v>
      </c>
      <c r="E188" s="102" t="s">
        <v>328</v>
      </c>
      <c r="F188" s="102" t="s">
        <v>329</v>
      </c>
      <c r="G188" s="102" t="s">
        <v>282</v>
      </c>
      <c r="H188" s="102" t="s">
        <v>283</v>
      </c>
      <c r="I188" s="102" t="s">
        <v>284</v>
      </c>
      <c r="J188" s="102" t="s">
        <v>454</v>
      </c>
      <c r="L188" s="229" t="s">
        <v>1125</v>
      </c>
      <c r="M188" s="229" t="s">
        <v>1014</v>
      </c>
      <c r="N188" s="229" t="s">
        <v>1126</v>
      </c>
      <c r="O188" s="102">
        <v>1.0</v>
      </c>
      <c r="P188" s="102" t="s">
        <v>457</v>
      </c>
      <c r="U188" s="230"/>
      <c r="V188" s="102" t="s">
        <v>299</v>
      </c>
      <c r="W188" s="102" t="s">
        <v>286</v>
      </c>
      <c r="X188" s="102" t="s">
        <v>287</v>
      </c>
      <c r="Y188" s="102" t="s">
        <v>288</v>
      </c>
      <c r="AG188" s="230"/>
      <c r="AH188" s="230"/>
      <c r="AI188" s="230"/>
    </row>
    <row r="189">
      <c r="A189" s="102" t="s">
        <v>310</v>
      </c>
      <c r="B189" s="102" t="s">
        <v>1127</v>
      </c>
      <c r="C189" s="229" t="s">
        <v>1128</v>
      </c>
      <c r="D189" s="102" t="s">
        <v>1129</v>
      </c>
      <c r="E189" s="102" t="s">
        <v>328</v>
      </c>
      <c r="F189" s="102" t="s">
        <v>329</v>
      </c>
      <c r="G189" s="102" t="s">
        <v>282</v>
      </c>
      <c r="H189" s="102" t="s">
        <v>283</v>
      </c>
      <c r="I189" s="102" t="s">
        <v>284</v>
      </c>
      <c r="J189" s="102" t="s">
        <v>454</v>
      </c>
      <c r="L189" s="229" t="s">
        <v>1125</v>
      </c>
      <c r="M189" s="229" t="s">
        <v>1014</v>
      </c>
      <c r="N189" s="229" t="s">
        <v>1126</v>
      </c>
      <c r="O189" s="102">
        <v>2.0</v>
      </c>
      <c r="P189" s="102" t="s">
        <v>457</v>
      </c>
      <c r="U189" s="230"/>
      <c r="V189" s="102" t="s">
        <v>299</v>
      </c>
      <c r="W189" s="102" t="s">
        <v>286</v>
      </c>
      <c r="X189" s="102" t="s">
        <v>287</v>
      </c>
      <c r="Y189" s="102" t="s">
        <v>288</v>
      </c>
      <c r="AG189" s="230"/>
      <c r="AH189" s="230"/>
      <c r="AI189" s="230"/>
    </row>
    <row r="190">
      <c r="A190" s="102" t="s">
        <v>310</v>
      </c>
      <c r="B190" s="102" t="s">
        <v>1130</v>
      </c>
      <c r="C190" s="229" t="s">
        <v>1131</v>
      </c>
      <c r="D190" s="102" t="s">
        <v>1132</v>
      </c>
      <c r="E190" s="102" t="s">
        <v>513</v>
      </c>
      <c r="F190" s="102" t="s">
        <v>514</v>
      </c>
      <c r="G190" s="102" t="s">
        <v>282</v>
      </c>
      <c r="H190" s="102" t="s">
        <v>283</v>
      </c>
      <c r="I190" s="102" t="s">
        <v>284</v>
      </c>
      <c r="J190" s="102" t="s">
        <v>454</v>
      </c>
      <c r="L190" s="229" t="s">
        <v>1133</v>
      </c>
      <c r="M190" s="229" t="s">
        <v>1014</v>
      </c>
      <c r="N190" s="229" t="s">
        <v>1134</v>
      </c>
      <c r="O190" s="102">
        <v>3.0</v>
      </c>
      <c r="P190" s="102" t="s">
        <v>457</v>
      </c>
      <c r="U190" s="230"/>
      <c r="V190" s="102" t="s">
        <v>299</v>
      </c>
      <c r="W190" s="102" t="s">
        <v>286</v>
      </c>
      <c r="X190" s="102" t="s">
        <v>287</v>
      </c>
      <c r="Y190" s="102" t="s">
        <v>288</v>
      </c>
      <c r="AG190" s="230"/>
      <c r="AH190" s="230"/>
      <c r="AI190" s="230"/>
    </row>
    <row r="191">
      <c r="A191" s="102" t="s">
        <v>310</v>
      </c>
      <c r="B191" s="102" t="s">
        <v>1135</v>
      </c>
      <c r="C191" s="229" t="s">
        <v>1136</v>
      </c>
      <c r="D191" s="102" t="s">
        <v>1137</v>
      </c>
      <c r="E191" s="102" t="s">
        <v>513</v>
      </c>
      <c r="F191" s="102" t="s">
        <v>514</v>
      </c>
      <c r="G191" s="102" t="s">
        <v>282</v>
      </c>
      <c r="H191" s="102" t="s">
        <v>283</v>
      </c>
      <c r="I191" s="102" t="s">
        <v>284</v>
      </c>
      <c r="J191" s="102" t="s">
        <v>454</v>
      </c>
      <c r="L191" s="229" t="s">
        <v>1138</v>
      </c>
      <c r="M191" s="229" t="s">
        <v>1014</v>
      </c>
      <c r="N191" s="229" t="s">
        <v>1139</v>
      </c>
      <c r="O191" s="102">
        <v>3.0</v>
      </c>
      <c r="P191" s="102" t="s">
        <v>457</v>
      </c>
      <c r="U191" s="230"/>
      <c r="V191" s="102" t="s">
        <v>299</v>
      </c>
      <c r="W191" s="102" t="s">
        <v>286</v>
      </c>
      <c r="X191" s="102" t="s">
        <v>287</v>
      </c>
      <c r="Y191" s="102" t="s">
        <v>288</v>
      </c>
      <c r="AG191" s="230"/>
      <c r="AH191" s="230"/>
      <c r="AI191" s="230"/>
    </row>
    <row r="192">
      <c r="A192" s="102" t="s">
        <v>310</v>
      </c>
      <c r="B192" s="102" t="s">
        <v>1140</v>
      </c>
      <c r="C192" s="229" t="s">
        <v>1141</v>
      </c>
      <c r="D192" s="102" t="s">
        <v>1142</v>
      </c>
      <c r="E192" s="102" t="s">
        <v>328</v>
      </c>
      <c r="F192" s="102" t="s">
        <v>329</v>
      </c>
      <c r="G192" s="102" t="s">
        <v>282</v>
      </c>
      <c r="H192" s="102" t="s">
        <v>283</v>
      </c>
      <c r="I192" s="102" t="s">
        <v>284</v>
      </c>
      <c r="J192" s="102" t="s">
        <v>454</v>
      </c>
      <c r="L192" s="229" t="s">
        <v>1143</v>
      </c>
      <c r="M192" s="229" t="s">
        <v>1014</v>
      </c>
      <c r="N192" s="229" t="s">
        <v>1144</v>
      </c>
      <c r="O192" s="102">
        <v>3.0</v>
      </c>
      <c r="P192" s="102" t="s">
        <v>457</v>
      </c>
      <c r="U192" s="230"/>
      <c r="V192" s="102" t="s">
        <v>299</v>
      </c>
      <c r="W192" s="102" t="s">
        <v>286</v>
      </c>
      <c r="X192" s="102" t="s">
        <v>287</v>
      </c>
      <c r="Y192" s="102" t="s">
        <v>288</v>
      </c>
      <c r="AG192" s="230"/>
      <c r="AH192" s="230"/>
      <c r="AI192" s="230"/>
    </row>
    <row r="193">
      <c r="A193" s="102" t="s">
        <v>310</v>
      </c>
      <c r="B193" s="102" t="s">
        <v>1145</v>
      </c>
      <c r="C193" s="229" t="s">
        <v>1146</v>
      </c>
      <c r="D193" s="102" t="s">
        <v>1147</v>
      </c>
      <c r="E193" s="102" t="s">
        <v>314</v>
      </c>
      <c r="F193" s="102" t="s">
        <v>315</v>
      </c>
      <c r="G193" s="102" t="s">
        <v>314</v>
      </c>
      <c r="H193" s="102" t="s">
        <v>315</v>
      </c>
      <c r="I193" s="102" t="s">
        <v>284</v>
      </c>
      <c r="J193" s="102" t="s">
        <v>454</v>
      </c>
      <c r="L193" s="229" t="s">
        <v>1148</v>
      </c>
      <c r="M193" s="229" t="s">
        <v>1361</v>
      </c>
      <c r="O193" s="102">
        <v>5.0</v>
      </c>
      <c r="P193" s="102" t="s">
        <v>1149</v>
      </c>
      <c r="U193" s="102">
        <v>57600.0</v>
      </c>
      <c r="V193" s="102" t="s">
        <v>1150</v>
      </c>
      <c r="W193" s="102" t="s">
        <v>1051</v>
      </c>
      <c r="X193" s="102" t="s">
        <v>1052</v>
      </c>
      <c r="Y193" s="102" t="s">
        <v>444</v>
      </c>
      <c r="AG193" s="230"/>
      <c r="AH193" s="230"/>
      <c r="AI193" s="230"/>
    </row>
    <row r="194">
      <c r="A194" s="102" t="s">
        <v>310</v>
      </c>
      <c r="B194" s="102" t="s">
        <v>1902</v>
      </c>
      <c r="C194" s="229" t="s">
        <v>1903</v>
      </c>
      <c r="D194" s="102" t="s">
        <v>1904</v>
      </c>
      <c r="E194" s="102" t="s">
        <v>556</v>
      </c>
      <c r="F194" s="102" t="s">
        <v>557</v>
      </c>
      <c r="G194" s="102" t="s">
        <v>353</v>
      </c>
      <c r="H194" s="102" t="s">
        <v>354</v>
      </c>
      <c r="I194" s="102" t="s">
        <v>284</v>
      </c>
      <c r="J194" s="102" t="s">
        <v>26</v>
      </c>
      <c r="L194" s="229" t="s">
        <v>1905</v>
      </c>
      <c r="M194" s="229" t="s">
        <v>1906</v>
      </c>
      <c r="N194" s="229" t="s">
        <v>1323</v>
      </c>
      <c r="O194" s="230"/>
      <c r="U194" s="230"/>
      <c r="V194" s="102" t="s">
        <v>1204</v>
      </c>
      <c r="W194" s="102" t="s">
        <v>1205</v>
      </c>
      <c r="X194" s="102" t="s">
        <v>1205</v>
      </c>
      <c r="Y194" s="102" t="s">
        <v>1058</v>
      </c>
      <c r="Z194" s="102" t="s">
        <v>1058</v>
      </c>
      <c r="AA194" s="102" t="s">
        <v>714</v>
      </c>
      <c r="AG194" s="230"/>
      <c r="AH194" s="230"/>
      <c r="AI194" s="230"/>
    </row>
    <row r="195">
      <c r="A195" s="102" t="s">
        <v>332</v>
      </c>
      <c r="B195" s="102" t="s">
        <v>1151</v>
      </c>
      <c r="C195" s="229" t="s">
        <v>1152</v>
      </c>
      <c r="D195" s="102" t="s">
        <v>1153</v>
      </c>
      <c r="E195" s="102" t="s">
        <v>353</v>
      </c>
      <c r="F195" s="102" t="s">
        <v>354</v>
      </c>
      <c r="G195" s="102" t="s">
        <v>316</v>
      </c>
      <c r="H195" s="102" t="s">
        <v>317</v>
      </c>
      <c r="I195" s="102" t="s">
        <v>284</v>
      </c>
      <c r="J195" s="102" t="s">
        <v>922</v>
      </c>
      <c r="L195" s="229" t="s">
        <v>1154</v>
      </c>
      <c r="M195" s="229" t="s">
        <v>1541</v>
      </c>
      <c r="O195" s="230"/>
      <c r="P195" s="102" t="s">
        <v>27</v>
      </c>
      <c r="Q195" s="102" t="s">
        <v>538</v>
      </c>
      <c r="R195" s="102" t="s">
        <v>474</v>
      </c>
      <c r="U195" s="230"/>
      <c r="V195" s="102" t="s">
        <v>1155</v>
      </c>
      <c r="W195" s="102" t="s">
        <v>394</v>
      </c>
      <c r="X195" s="102" t="s">
        <v>417</v>
      </c>
      <c r="Y195" s="102" t="s">
        <v>324</v>
      </c>
      <c r="AG195" s="230"/>
      <c r="AH195" s="230"/>
      <c r="AI195" s="230"/>
    </row>
    <row r="196">
      <c r="A196" s="102" t="s">
        <v>310</v>
      </c>
      <c r="B196" s="102" t="s">
        <v>1156</v>
      </c>
      <c r="C196" s="229" t="s">
        <v>1157</v>
      </c>
      <c r="D196" s="102" t="s">
        <v>1158</v>
      </c>
      <c r="E196" s="102" t="s">
        <v>328</v>
      </c>
      <c r="F196" s="102" t="s">
        <v>329</v>
      </c>
      <c r="G196" s="102" t="s">
        <v>282</v>
      </c>
      <c r="H196" s="102" t="s">
        <v>283</v>
      </c>
      <c r="I196" s="102" t="s">
        <v>284</v>
      </c>
      <c r="J196" s="102" t="s">
        <v>454</v>
      </c>
      <c r="L196" s="229" t="s">
        <v>1159</v>
      </c>
      <c r="M196" s="229" t="s">
        <v>1014</v>
      </c>
      <c r="N196" s="229" t="s">
        <v>1160</v>
      </c>
      <c r="O196" s="102">
        <v>3.0</v>
      </c>
      <c r="P196" s="102" t="s">
        <v>457</v>
      </c>
      <c r="U196" s="230"/>
      <c r="V196" s="102" t="s">
        <v>299</v>
      </c>
      <c r="W196" s="102" t="s">
        <v>286</v>
      </c>
      <c r="X196" s="102" t="s">
        <v>287</v>
      </c>
      <c r="Y196" s="102" t="s">
        <v>288</v>
      </c>
      <c r="AG196" s="230"/>
      <c r="AH196" s="230"/>
      <c r="AI196" s="230"/>
    </row>
    <row r="197">
      <c r="A197" s="102" t="s">
        <v>310</v>
      </c>
      <c r="B197" s="102" t="s">
        <v>1161</v>
      </c>
      <c r="C197" s="229" t="s">
        <v>1162</v>
      </c>
      <c r="D197" s="102" t="s">
        <v>1163</v>
      </c>
      <c r="E197" s="102" t="s">
        <v>328</v>
      </c>
      <c r="F197" s="102" t="s">
        <v>329</v>
      </c>
      <c r="G197" s="102" t="s">
        <v>282</v>
      </c>
      <c r="H197" s="102" t="s">
        <v>283</v>
      </c>
      <c r="I197" s="102" t="s">
        <v>284</v>
      </c>
      <c r="J197" s="102" t="s">
        <v>454</v>
      </c>
      <c r="L197" s="229" t="s">
        <v>1164</v>
      </c>
      <c r="M197" s="229" t="s">
        <v>1014</v>
      </c>
      <c r="N197" s="229" t="s">
        <v>1165</v>
      </c>
      <c r="O197" s="102">
        <v>3.0</v>
      </c>
      <c r="P197" s="102" t="s">
        <v>457</v>
      </c>
      <c r="U197" s="230"/>
      <c r="V197" s="102" t="s">
        <v>299</v>
      </c>
      <c r="W197" s="102" t="s">
        <v>286</v>
      </c>
      <c r="X197" s="102" t="s">
        <v>287</v>
      </c>
      <c r="Y197" s="102" t="s">
        <v>288</v>
      </c>
      <c r="AG197" s="230"/>
      <c r="AH197" s="230"/>
      <c r="AI197" s="230"/>
    </row>
    <row r="198">
      <c r="A198" s="102" t="s">
        <v>310</v>
      </c>
      <c r="B198" s="102" t="s">
        <v>1166</v>
      </c>
      <c r="C198" s="229" t="s">
        <v>1167</v>
      </c>
      <c r="D198" s="102" t="s">
        <v>1168</v>
      </c>
      <c r="E198" s="102" t="s">
        <v>584</v>
      </c>
      <c r="F198" s="102" t="s">
        <v>585</v>
      </c>
      <c r="G198" s="102" t="s">
        <v>282</v>
      </c>
      <c r="H198" s="102" t="s">
        <v>283</v>
      </c>
      <c r="I198" s="102" t="s">
        <v>284</v>
      </c>
      <c r="J198" s="102" t="s">
        <v>454</v>
      </c>
      <c r="L198" s="229" t="s">
        <v>1169</v>
      </c>
      <c r="M198" s="229" t="s">
        <v>1014</v>
      </c>
      <c r="N198" s="229" t="s">
        <v>1170</v>
      </c>
      <c r="O198" s="102">
        <v>1.0</v>
      </c>
      <c r="P198" s="102" t="s">
        <v>1015</v>
      </c>
      <c r="U198" s="230"/>
      <c r="V198" s="102" t="s">
        <v>299</v>
      </c>
      <c r="W198" s="102" t="s">
        <v>286</v>
      </c>
      <c r="X198" s="102" t="s">
        <v>287</v>
      </c>
      <c r="Y198" s="102" t="s">
        <v>288</v>
      </c>
      <c r="AG198" s="230"/>
      <c r="AH198" s="230"/>
      <c r="AI198" s="230"/>
    </row>
    <row r="199">
      <c r="A199" s="102" t="s">
        <v>310</v>
      </c>
      <c r="B199" s="102" t="s">
        <v>1171</v>
      </c>
      <c r="C199" s="229" t="s">
        <v>1172</v>
      </c>
      <c r="D199" s="102" t="s">
        <v>1173</v>
      </c>
      <c r="E199" s="102" t="s">
        <v>282</v>
      </c>
      <c r="F199" s="102" t="s">
        <v>283</v>
      </c>
      <c r="G199" s="102" t="s">
        <v>282</v>
      </c>
      <c r="H199" s="102" t="s">
        <v>283</v>
      </c>
      <c r="I199" s="102" t="s">
        <v>284</v>
      </c>
      <c r="J199" s="102" t="s">
        <v>63</v>
      </c>
      <c r="L199" s="229" t="s">
        <v>1174</v>
      </c>
      <c r="M199" s="229" t="s">
        <v>1907</v>
      </c>
      <c r="O199" s="102">
        <v>1.0</v>
      </c>
      <c r="U199" s="230"/>
      <c r="V199" s="102" t="s">
        <v>287</v>
      </c>
      <c r="W199" s="102" t="s">
        <v>288</v>
      </c>
      <c r="AG199" s="230"/>
      <c r="AH199" s="230"/>
      <c r="AI199" s="230"/>
    </row>
    <row r="200">
      <c r="A200" s="102" t="s">
        <v>310</v>
      </c>
      <c r="B200" s="102" t="s">
        <v>1176</v>
      </c>
      <c r="C200" s="229" t="s">
        <v>1177</v>
      </c>
      <c r="D200" s="102" t="s">
        <v>1178</v>
      </c>
      <c r="E200" s="102" t="s">
        <v>495</v>
      </c>
      <c r="F200" s="102" t="s">
        <v>496</v>
      </c>
      <c r="G200" s="102" t="s">
        <v>282</v>
      </c>
      <c r="H200" s="102" t="s">
        <v>283</v>
      </c>
      <c r="I200" s="102" t="s">
        <v>284</v>
      </c>
      <c r="J200" s="102" t="s">
        <v>454</v>
      </c>
      <c r="L200" s="229" t="s">
        <v>1179</v>
      </c>
      <c r="M200" s="229" t="s">
        <v>1907</v>
      </c>
      <c r="N200" s="229" t="s">
        <v>713</v>
      </c>
      <c r="O200" s="102">
        <v>5.0</v>
      </c>
      <c r="P200" s="102" t="s">
        <v>777</v>
      </c>
      <c r="U200" s="102">
        <v>57600.0</v>
      </c>
      <c r="V200" s="102" t="s">
        <v>287</v>
      </c>
      <c r="W200" s="102" t="s">
        <v>288</v>
      </c>
      <c r="AG200" s="230"/>
      <c r="AH200" s="230"/>
      <c r="AI200" s="230"/>
    </row>
    <row r="201">
      <c r="A201" s="102" t="s">
        <v>310</v>
      </c>
      <c r="B201" s="102" t="s">
        <v>1180</v>
      </c>
      <c r="C201" s="229" t="s">
        <v>1181</v>
      </c>
      <c r="D201" s="102" t="s">
        <v>1182</v>
      </c>
      <c r="E201" s="102" t="s">
        <v>495</v>
      </c>
      <c r="F201" s="102" t="s">
        <v>496</v>
      </c>
      <c r="G201" s="102" t="s">
        <v>282</v>
      </c>
      <c r="H201" s="102" t="s">
        <v>283</v>
      </c>
      <c r="I201" s="102" t="s">
        <v>284</v>
      </c>
      <c r="J201" s="102" t="s">
        <v>454</v>
      </c>
      <c r="L201" s="229" t="s">
        <v>1179</v>
      </c>
      <c r="M201" s="229" t="s">
        <v>1907</v>
      </c>
      <c r="N201" s="229" t="s">
        <v>713</v>
      </c>
      <c r="O201" s="102">
        <v>5.0</v>
      </c>
      <c r="P201" s="102" t="s">
        <v>331</v>
      </c>
      <c r="U201" s="102">
        <v>57600.0</v>
      </c>
      <c r="V201" s="102" t="s">
        <v>287</v>
      </c>
      <c r="W201" s="102" t="s">
        <v>288</v>
      </c>
      <c r="AG201" s="230"/>
      <c r="AH201" s="230"/>
      <c r="AI201" s="230"/>
    </row>
    <row r="202">
      <c r="A202" s="102" t="s">
        <v>310</v>
      </c>
      <c r="B202" s="102" t="s">
        <v>1908</v>
      </c>
      <c r="C202" s="229" t="s">
        <v>1909</v>
      </c>
      <c r="D202" s="102" t="s">
        <v>1910</v>
      </c>
      <c r="E202" s="102" t="s">
        <v>584</v>
      </c>
      <c r="F202" s="102" t="s">
        <v>585</v>
      </c>
      <c r="G202" s="102" t="s">
        <v>282</v>
      </c>
      <c r="H202" s="102" t="s">
        <v>283</v>
      </c>
      <c r="I202" s="102" t="s">
        <v>284</v>
      </c>
      <c r="J202" s="102" t="s">
        <v>26</v>
      </c>
      <c r="L202" s="229" t="s">
        <v>1911</v>
      </c>
      <c r="M202" s="229" t="s">
        <v>1912</v>
      </c>
      <c r="N202" s="229" t="s">
        <v>1304</v>
      </c>
      <c r="O202" s="102">
        <v>3.0</v>
      </c>
      <c r="P202" s="102" t="s">
        <v>331</v>
      </c>
      <c r="U202" s="230"/>
      <c r="V202" s="102" t="s">
        <v>298</v>
      </c>
      <c r="W202" s="102" t="s">
        <v>299</v>
      </c>
      <c r="X202" s="102" t="s">
        <v>286</v>
      </c>
      <c r="Y202" s="102" t="s">
        <v>287</v>
      </c>
      <c r="AG202" s="230"/>
      <c r="AH202" s="230"/>
      <c r="AI202" s="230"/>
    </row>
    <row r="203">
      <c r="A203" s="102" t="s">
        <v>310</v>
      </c>
      <c r="B203" s="102" t="s">
        <v>1913</v>
      </c>
      <c r="C203" s="229" t="s">
        <v>1914</v>
      </c>
      <c r="D203" s="102" t="s">
        <v>1915</v>
      </c>
      <c r="E203" s="102" t="s">
        <v>282</v>
      </c>
      <c r="F203" s="102" t="s">
        <v>283</v>
      </c>
      <c r="G203" s="102" t="s">
        <v>282</v>
      </c>
      <c r="H203" s="102" t="s">
        <v>283</v>
      </c>
      <c r="I203" s="102" t="s">
        <v>284</v>
      </c>
      <c r="J203" s="102" t="s">
        <v>26</v>
      </c>
      <c r="L203" s="229" t="s">
        <v>1916</v>
      </c>
      <c r="M203" s="229" t="s">
        <v>1917</v>
      </c>
      <c r="O203" s="102">
        <v>5.0</v>
      </c>
      <c r="P203" s="102" t="s">
        <v>593</v>
      </c>
      <c r="U203" s="230"/>
      <c r="V203" s="102" t="s">
        <v>286</v>
      </c>
      <c r="W203" s="102" t="s">
        <v>287</v>
      </c>
      <c r="AG203" s="230"/>
      <c r="AH203" s="230"/>
      <c r="AI203" s="230"/>
    </row>
    <row r="204">
      <c r="A204" s="102" t="s">
        <v>310</v>
      </c>
      <c r="B204" s="102" t="s">
        <v>1183</v>
      </c>
      <c r="C204" s="229" t="s">
        <v>1184</v>
      </c>
      <c r="D204" s="102" t="s">
        <v>1185</v>
      </c>
      <c r="E204" s="102" t="s">
        <v>495</v>
      </c>
      <c r="F204" s="102" t="s">
        <v>496</v>
      </c>
      <c r="G204" s="102" t="s">
        <v>282</v>
      </c>
      <c r="H204" s="102" t="s">
        <v>283</v>
      </c>
      <c r="I204" s="102" t="s">
        <v>284</v>
      </c>
      <c r="J204" s="102" t="s">
        <v>454</v>
      </c>
      <c r="L204" s="229" t="s">
        <v>1186</v>
      </c>
      <c r="M204" s="229" t="s">
        <v>1014</v>
      </c>
      <c r="N204" s="229" t="s">
        <v>1170</v>
      </c>
      <c r="O204" s="102">
        <v>3.0</v>
      </c>
      <c r="P204" s="102" t="s">
        <v>1015</v>
      </c>
      <c r="U204" s="102">
        <v>14400.0</v>
      </c>
      <c r="V204" s="102" t="s">
        <v>299</v>
      </c>
      <c r="W204" s="102" t="s">
        <v>286</v>
      </c>
      <c r="X204" s="102" t="s">
        <v>287</v>
      </c>
      <c r="Y204" s="102" t="s">
        <v>288</v>
      </c>
      <c r="AG204" s="230"/>
      <c r="AH204" s="230"/>
      <c r="AI204" s="230"/>
    </row>
    <row r="205">
      <c r="A205" s="102" t="s">
        <v>310</v>
      </c>
      <c r="B205" s="102" t="s">
        <v>1188</v>
      </c>
      <c r="C205" s="229" t="s">
        <v>1189</v>
      </c>
      <c r="D205" s="102" t="s">
        <v>1190</v>
      </c>
      <c r="E205" s="102" t="s">
        <v>513</v>
      </c>
      <c r="F205" s="102" t="s">
        <v>514</v>
      </c>
      <c r="G205" s="102" t="s">
        <v>282</v>
      </c>
      <c r="H205" s="102" t="s">
        <v>283</v>
      </c>
      <c r="I205" s="102" t="s">
        <v>284</v>
      </c>
      <c r="J205" s="102" t="s">
        <v>355</v>
      </c>
      <c r="L205" s="229" t="s">
        <v>1191</v>
      </c>
      <c r="M205" s="229" t="s">
        <v>1014</v>
      </c>
      <c r="N205" s="229" t="s">
        <v>1192</v>
      </c>
      <c r="O205" s="102">
        <v>1.0</v>
      </c>
      <c r="P205" s="102" t="s">
        <v>1015</v>
      </c>
      <c r="U205" s="102">
        <v>7200.0</v>
      </c>
      <c r="V205" s="102" t="s">
        <v>286</v>
      </c>
      <c r="W205" s="102" t="s">
        <v>287</v>
      </c>
      <c r="X205" s="102" t="s">
        <v>288</v>
      </c>
      <c r="AG205" s="230"/>
      <c r="AH205" s="230"/>
      <c r="AI205" s="230"/>
    </row>
    <row r="206">
      <c r="A206" s="102" t="s">
        <v>310</v>
      </c>
      <c r="B206" s="102" t="s">
        <v>1918</v>
      </c>
      <c r="C206" s="229" t="s">
        <v>1919</v>
      </c>
      <c r="D206" s="102" t="s">
        <v>1920</v>
      </c>
      <c r="E206" s="102" t="s">
        <v>556</v>
      </c>
      <c r="F206" s="102" t="s">
        <v>557</v>
      </c>
      <c r="G206" s="102" t="s">
        <v>353</v>
      </c>
      <c r="H206" s="102" t="s">
        <v>354</v>
      </c>
      <c r="I206" s="102" t="s">
        <v>1921</v>
      </c>
      <c r="J206" s="102" t="s">
        <v>26</v>
      </c>
      <c r="L206" s="229" t="s">
        <v>1922</v>
      </c>
      <c r="M206" s="229" t="s">
        <v>1573</v>
      </c>
      <c r="N206" s="229" t="s">
        <v>1170</v>
      </c>
      <c r="O206" s="102">
        <v>5.0</v>
      </c>
      <c r="U206" s="102">
        <v>57600.0</v>
      </c>
      <c r="V206" s="102" t="s">
        <v>1205</v>
      </c>
      <c r="W206" s="102" t="s">
        <v>1205</v>
      </c>
      <c r="X206" s="102" t="s">
        <v>1058</v>
      </c>
      <c r="Y206" s="102" t="s">
        <v>1058</v>
      </c>
      <c r="Z206" s="102" t="s">
        <v>714</v>
      </c>
      <c r="AG206" s="230"/>
      <c r="AH206" s="230"/>
      <c r="AI206" s="230"/>
    </row>
    <row r="207">
      <c r="A207" s="102" t="s">
        <v>310</v>
      </c>
      <c r="B207" s="102" t="s">
        <v>1923</v>
      </c>
      <c r="C207" s="229" t="s">
        <v>1924</v>
      </c>
      <c r="D207" s="102" t="s">
        <v>1925</v>
      </c>
      <c r="E207" s="102" t="s">
        <v>564</v>
      </c>
      <c r="F207" s="102" t="s">
        <v>565</v>
      </c>
      <c r="G207" s="102" t="s">
        <v>353</v>
      </c>
      <c r="H207" s="102" t="s">
        <v>354</v>
      </c>
      <c r="I207" s="102" t="s">
        <v>284</v>
      </c>
      <c r="J207" s="102" t="s">
        <v>26</v>
      </c>
      <c r="L207" s="229" t="s">
        <v>1922</v>
      </c>
      <c r="M207" s="229" t="s">
        <v>1576</v>
      </c>
      <c r="N207" s="229" t="s">
        <v>1893</v>
      </c>
      <c r="O207" s="102">
        <v>5.0</v>
      </c>
      <c r="U207" s="102">
        <v>43200.0</v>
      </c>
      <c r="V207" s="102" t="s">
        <v>1205</v>
      </c>
      <c r="W207" s="102" t="s">
        <v>1058</v>
      </c>
      <c r="X207" s="102" t="s">
        <v>1058</v>
      </c>
      <c r="Y207" s="102" t="s">
        <v>714</v>
      </c>
      <c r="AG207" s="230"/>
      <c r="AH207" s="230"/>
      <c r="AI207" s="230"/>
    </row>
    <row r="208">
      <c r="A208" s="102" t="s">
        <v>310</v>
      </c>
      <c r="B208" s="102" t="s">
        <v>1926</v>
      </c>
      <c r="C208" s="229" t="s">
        <v>1927</v>
      </c>
      <c r="D208" s="102" t="s">
        <v>1928</v>
      </c>
      <c r="E208" s="102" t="s">
        <v>564</v>
      </c>
      <c r="F208" s="102" t="s">
        <v>565</v>
      </c>
      <c r="G208" s="102" t="s">
        <v>353</v>
      </c>
      <c r="H208" s="102" t="s">
        <v>354</v>
      </c>
      <c r="I208" s="102" t="s">
        <v>284</v>
      </c>
      <c r="J208" s="102" t="s">
        <v>26</v>
      </c>
      <c r="L208" s="229" t="s">
        <v>1922</v>
      </c>
      <c r="M208" s="229" t="s">
        <v>1579</v>
      </c>
      <c r="N208" s="229" t="s">
        <v>1170</v>
      </c>
      <c r="O208" s="102">
        <v>5.0</v>
      </c>
      <c r="U208" s="102">
        <v>43200.0</v>
      </c>
      <c r="V208" s="102" t="s">
        <v>1205</v>
      </c>
      <c r="W208" s="102" t="s">
        <v>1205</v>
      </c>
      <c r="X208" s="102" t="s">
        <v>1058</v>
      </c>
      <c r="Y208" s="102" t="s">
        <v>1058</v>
      </c>
      <c r="Z208" s="102" t="s">
        <v>714</v>
      </c>
      <c r="AG208" s="230"/>
      <c r="AH208" s="230"/>
      <c r="AI208" s="230"/>
    </row>
    <row r="209">
      <c r="A209" s="102" t="s">
        <v>310</v>
      </c>
      <c r="B209" s="102" t="s">
        <v>1929</v>
      </c>
      <c r="C209" s="229" t="s">
        <v>1930</v>
      </c>
      <c r="D209" s="102" t="s">
        <v>1931</v>
      </c>
      <c r="E209" s="102" t="s">
        <v>564</v>
      </c>
      <c r="F209" s="102" t="s">
        <v>565</v>
      </c>
      <c r="G209" s="102" t="s">
        <v>353</v>
      </c>
      <c r="H209" s="102" t="s">
        <v>354</v>
      </c>
      <c r="I209" s="102" t="s">
        <v>284</v>
      </c>
      <c r="J209" s="102" t="s">
        <v>26</v>
      </c>
      <c r="L209" s="229" t="s">
        <v>1932</v>
      </c>
      <c r="M209" s="229" t="s">
        <v>1854</v>
      </c>
      <c r="N209" s="229" t="s">
        <v>1144</v>
      </c>
      <c r="O209" s="102">
        <v>5.0</v>
      </c>
      <c r="P209" s="102" t="s">
        <v>593</v>
      </c>
      <c r="U209" s="102">
        <v>43200.0</v>
      </c>
      <c r="V209" s="102" t="s">
        <v>1205</v>
      </c>
      <c r="W209" s="102" t="s">
        <v>1205</v>
      </c>
      <c r="X209" s="102" t="s">
        <v>1058</v>
      </c>
      <c r="Y209" s="102" t="s">
        <v>1058</v>
      </c>
      <c r="Z209" s="102" t="s">
        <v>714</v>
      </c>
      <c r="AG209" s="230"/>
      <c r="AH209" s="230"/>
      <c r="AI209" s="230"/>
    </row>
    <row r="210">
      <c r="A210" s="102" t="s">
        <v>310</v>
      </c>
      <c r="B210" s="102" t="s">
        <v>1933</v>
      </c>
      <c r="C210" s="229" t="s">
        <v>1934</v>
      </c>
      <c r="D210" s="102" t="s">
        <v>1935</v>
      </c>
      <c r="E210" s="102" t="s">
        <v>564</v>
      </c>
      <c r="F210" s="102" t="s">
        <v>565</v>
      </c>
      <c r="G210" s="102" t="s">
        <v>353</v>
      </c>
      <c r="H210" s="102" t="s">
        <v>354</v>
      </c>
      <c r="I210" s="102" t="s">
        <v>284</v>
      </c>
      <c r="J210" s="102" t="s">
        <v>26</v>
      </c>
      <c r="L210" s="229" t="s">
        <v>1936</v>
      </c>
      <c r="M210" s="229" t="s">
        <v>1583</v>
      </c>
      <c r="N210" s="229" t="s">
        <v>1275</v>
      </c>
      <c r="O210" s="102">
        <v>3.0</v>
      </c>
      <c r="U210" s="230"/>
      <c r="V210" s="102" t="s">
        <v>1204</v>
      </c>
      <c r="W210" s="102" t="s">
        <v>1205</v>
      </c>
      <c r="X210" s="102" t="s">
        <v>1205</v>
      </c>
      <c r="Y210" s="102" t="s">
        <v>1058</v>
      </c>
      <c r="Z210" s="102" t="s">
        <v>1058</v>
      </c>
      <c r="AA210" s="102" t="s">
        <v>714</v>
      </c>
      <c r="AG210" s="230"/>
      <c r="AH210" s="230"/>
      <c r="AI210" s="230"/>
    </row>
    <row r="211">
      <c r="A211" s="102" t="s">
        <v>310</v>
      </c>
      <c r="B211" s="102" t="s">
        <v>1937</v>
      </c>
      <c r="C211" s="229" t="s">
        <v>1938</v>
      </c>
      <c r="D211" s="102" t="s">
        <v>1939</v>
      </c>
      <c r="E211" s="102" t="s">
        <v>564</v>
      </c>
      <c r="F211" s="102" t="s">
        <v>565</v>
      </c>
      <c r="G211" s="102" t="s">
        <v>353</v>
      </c>
      <c r="H211" s="102" t="s">
        <v>354</v>
      </c>
      <c r="I211" s="102" t="s">
        <v>284</v>
      </c>
      <c r="J211" s="102" t="s">
        <v>26</v>
      </c>
      <c r="L211" s="229" t="s">
        <v>1940</v>
      </c>
      <c r="M211" s="229" t="s">
        <v>1906</v>
      </c>
      <c r="N211" s="229" t="s">
        <v>1941</v>
      </c>
      <c r="O211" s="102">
        <v>3.0</v>
      </c>
      <c r="P211" s="102" t="s">
        <v>593</v>
      </c>
      <c r="Q211" s="102" t="s">
        <v>1855</v>
      </c>
      <c r="U211" s="102">
        <v>28800.0</v>
      </c>
      <c r="V211" s="102" t="s">
        <v>1203</v>
      </c>
      <c r="W211" s="102" t="s">
        <v>1204</v>
      </c>
      <c r="X211" s="102" t="s">
        <v>1205</v>
      </c>
      <c r="Y211" s="102" t="s">
        <v>1205</v>
      </c>
      <c r="Z211" s="102" t="s">
        <v>1058</v>
      </c>
      <c r="AA211" s="102" t="s">
        <v>1058</v>
      </c>
      <c r="AB211" s="102" t="s">
        <v>714</v>
      </c>
      <c r="AG211" s="230"/>
      <c r="AH211" s="230"/>
      <c r="AI211" s="230"/>
    </row>
    <row r="212">
      <c r="A212" s="102" t="s">
        <v>310</v>
      </c>
      <c r="B212" s="102" t="s">
        <v>1193</v>
      </c>
      <c r="C212" s="229" t="s">
        <v>1194</v>
      </c>
      <c r="D212" s="102" t="s">
        <v>1195</v>
      </c>
      <c r="E212" s="102" t="s">
        <v>495</v>
      </c>
      <c r="F212" s="102" t="s">
        <v>496</v>
      </c>
      <c r="G212" s="102" t="s">
        <v>282</v>
      </c>
      <c r="H212" s="102" t="s">
        <v>283</v>
      </c>
      <c r="I212" s="102" t="s">
        <v>284</v>
      </c>
      <c r="J212" s="102" t="s">
        <v>454</v>
      </c>
      <c r="L212" s="229" t="s">
        <v>1196</v>
      </c>
      <c r="M212" s="229" t="s">
        <v>1014</v>
      </c>
      <c r="N212" s="229" t="s">
        <v>1170</v>
      </c>
      <c r="O212" s="102">
        <v>3.0</v>
      </c>
      <c r="P212" s="102" t="s">
        <v>1015</v>
      </c>
      <c r="U212" s="102">
        <v>14400.0</v>
      </c>
      <c r="V212" s="102" t="s">
        <v>299</v>
      </c>
      <c r="W212" s="102" t="s">
        <v>286</v>
      </c>
      <c r="X212" s="102" t="s">
        <v>287</v>
      </c>
      <c r="Y212" s="102" t="s">
        <v>288</v>
      </c>
      <c r="AG212" s="230"/>
      <c r="AH212" s="230"/>
      <c r="AI212" s="230"/>
    </row>
    <row r="213">
      <c r="A213" s="102" t="s">
        <v>310</v>
      </c>
      <c r="B213" s="102" t="s">
        <v>1942</v>
      </c>
      <c r="C213" s="229" t="s">
        <v>1943</v>
      </c>
      <c r="D213" s="102" t="s">
        <v>1944</v>
      </c>
      <c r="E213" s="102" t="s">
        <v>584</v>
      </c>
      <c r="F213" s="102" t="s">
        <v>585</v>
      </c>
      <c r="G213" s="102" t="s">
        <v>282</v>
      </c>
      <c r="H213" s="102" t="s">
        <v>283</v>
      </c>
      <c r="I213" s="102" t="s">
        <v>284</v>
      </c>
      <c r="J213" s="102" t="s">
        <v>26</v>
      </c>
      <c r="L213" s="229" t="s">
        <v>1945</v>
      </c>
      <c r="M213" s="229" t="s">
        <v>1807</v>
      </c>
      <c r="O213" s="102">
        <v>3.0</v>
      </c>
      <c r="P213" s="102" t="s">
        <v>1946</v>
      </c>
      <c r="U213" s="230"/>
      <c r="V213" s="102" t="s">
        <v>298</v>
      </c>
      <c r="W213" s="102" t="s">
        <v>299</v>
      </c>
      <c r="X213" s="102" t="s">
        <v>286</v>
      </c>
      <c r="Y213" s="102" t="s">
        <v>287</v>
      </c>
      <c r="AG213" s="230"/>
      <c r="AH213" s="230"/>
      <c r="AI213" s="230"/>
    </row>
    <row r="214">
      <c r="A214" s="102" t="s">
        <v>630</v>
      </c>
      <c r="B214" s="102" t="s">
        <v>1198</v>
      </c>
      <c r="C214" s="229" t="s">
        <v>1199</v>
      </c>
      <c r="D214" s="102" t="s">
        <v>1200</v>
      </c>
      <c r="G214" s="102" t="s">
        <v>353</v>
      </c>
      <c r="H214" s="102" t="s">
        <v>354</v>
      </c>
      <c r="I214" s="102" t="s">
        <v>284</v>
      </c>
      <c r="J214" s="102" t="s">
        <v>63</v>
      </c>
      <c r="L214" s="229" t="s">
        <v>1201</v>
      </c>
      <c r="M214" s="229" t="s">
        <v>949</v>
      </c>
      <c r="N214" s="229" t="s">
        <v>1202</v>
      </c>
      <c r="O214" s="230"/>
      <c r="U214" s="230"/>
      <c r="V214" s="102" t="s">
        <v>1203</v>
      </c>
      <c r="W214" s="102" t="s">
        <v>1204</v>
      </c>
      <c r="X214" s="102" t="s">
        <v>1205</v>
      </c>
      <c r="Y214" s="102" t="s">
        <v>1205</v>
      </c>
      <c r="Z214" s="102" t="s">
        <v>1058</v>
      </c>
      <c r="AA214" s="102" t="s">
        <v>1058</v>
      </c>
      <c r="AB214" s="102" t="s">
        <v>714</v>
      </c>
      <c r="AC214" s="102" t="s">
        <v>358</v>
      </c>
      <c r="AG214" s="230"/>
      <c r="AH214" s="230"/>
      <c r="AI214" s="230"/>
    </row>
    <row r="215">
      <c r="A215" s="102" t="s">
        <v>310</v>
      </c>
      <c r="B215" s="102" t="s">
        <v>1947</v>
      </c>
      <c r="C215" s="229" t="s">
        <v>1948</v>
      </c>
      <c r="D215" s="102" t="s">
        <v>1949</v>
      </c>
      <c r="E215" s="102" t="s">
        <v>556</v>
      </c>
      <c r="F215" s="102" t="s">
        <v>557</v>
      </c>
      <c r="G215" s="102" t="s">
        <v>282</v>
      </c>
      <c r="H215" s="102" t="s">
        <v>283</v>
      </c>
      <c r="I215" s="102" t="s">
        <v>648</v>
      </c>
      <c r="J215" s="102" t="s">
        <v>26</v>
      </c>
      <c r="L215" s="229" t="s">
        <v>1950</v>
      </c>
      <c r="M215" s="229" t="s">
        <v>1418</v>
      </c>
      <c r="N215" s="229" t="s">
        <v>1202</v>
      </c>
      <c r="O215" s="102">
        <v>5.0</v>
      </c>
      <c r="U215" s="102">
        <v>57600.0</v>
      </c>
      <c r="V215" s="102" t="s">
        <v>529</v>
      </c>
      <c r="W215" s="102" t="s">
        <v>298</v>
      </c>
      <c r="X215" s="102" t="s">
        <v>299</v>
      </c>
      <c r="Y215" s="102" t="s">
        <v>286</v>
      </c>
      <c r="Z215" s="102" t="s">
        <v>287</v>
      </c>
      <c r="AG215" s="230"/>
      <c r="AH215" s="230"/>
      <c r="AI215" s="230"/>
    </row>
    <row r="216">
      <c r="A216" s="102" t="s">
        <v>310</v>
      </c>
      <c r="B216" s="102" t="s">
        <v>1951</v>
      </c>
      <c r="C216" s="229" t="s">
        <v>1952</v>
      </c>
      <c r="D216" s="102" t="s">
        <v>1953</v>
      </c>
      <c r="E216" s="102" t="s">
        <v>564</v>
      </c>
      <c r="F216" s="102" t="s">
        <v>565</v>
      </c>
      <c r="G216" s="102" t="s">
        <v>353</v>
      </c>
      <c r="H216" s="102" t="s">
        <v>354</v>
      </c>
      <c r="I216" s="102" t="s">
        <v>284</v>
      </c>
      <c r="J216" s="102" t="s">
        <v>26</v>
      </c>
      <c r="L216" s="229" t="s">
        <v>1954</v>
      </c>
      <c r="M216" s="229" t="s">
        <v>1854</v>
      </c>
      <c r="N216" s="229" t="s">
        <v>1955</v>
      </c>
      <c r="O216" s="102">
        <v>5.0</v>
      </c>
      <c r="P216" s="102" t="s">
        <v>1855</v>
      </c>
      <c r="U216" s="102">
        <v>43200.0</v>
      </c>
      <c r="V216" s="102" t="s">
        <v>1203</v>
      </c>
      <c r="W216" s="102" t="s">
        <v>1204</v>
      </c>
      <c r="X216" s="102" t="s">
        <v>1205</v>
      </c>
      <c r="Y216" s="102" t="s">
        <v>1205</v>
      </c>
      <c r="Z216" s="102" t="s">
        <v>1058</v>
      </c>
      <c r="AA216" s="102" t="s">
        <v>1058</v>
      </c>
      <c r="AB216" s="102" t="s">
        <v>714</v>
      </c>
      <c r="AG216" s="230"/>
      <c r="AH216" s="230"/>
      <c r="AI216" s="230"/>
    </row>
    <row r="217">
      <c r="A217" s="102" t="s">
        <v>310</v>
      </c>
      <c r="B217" s="102" t="s">
        <v>1956</v>
      </c>
      <c r="C217" s="229" t="s">
        <v>1957</v>
      </c>
      <c r="D217" s="102" t="s">
        <v>1958</v>
      </c>
      <c r="E217" s="102" t="s">
        <v>282</v>
      </c>
      <c r="F217" s="102" t="s">
        <v>283</v>
      </c>
      <c r="G217" s="102" t="s">
        <v>282</v>
      </c>
      <c r="H217" s="102" t="s">
        <v>283</v>
      </c>
      <c r="I217" s="102" t="s">
        <v>284</v>
      </c>
      <c r="J217" s="102" t="s">
        <v>26</v>
      </c>
      <c r="L217" s="229" t="s">
        <v>1959</v>
      </c>
      <c r="M217" s="229" t="s">
        <v>1917</v>
      </c>
      <c r="O217" s="102">
        <v>13.0</v>
      </c>
      <c r="U217" s="230"/>
      <c r="V217" s="102" t="s">
        <v>286</v>
      </c>
      <c r="W217" s="102" t="s">
        <v>287</v>
      </c>
      <c r="AG217" s="230"/>
      <c r="AH217" s="230"/>
      <c r="AI217" s="230"/>
    </row>
    <row r="218">
      <c r="A218" s="102" t="s">
        <v>310</v>
      </c>
      <c r="B218" s="102" t="s">
        <v>1960</v>
      </c>
      <c r="C218" s="229" t="s">
        <v>1961</v>
      </c>
      <c r="D218" s="102" t="s">
        <v>1962</v>
      </c>
      <c r="E218" s="102" t="s">
        <v>314</v>
      </c>
      <c r="F218" s="102" t="s">
        <v>315</v>
      </c>
      <c r="G218" s="102" t="s">
        <v>314</v>
      </c>
      <c r="H218" s="102" t="s">
        <v>315</v>
      </c>
      <c r="I218" s="102" t="s">
        <v>284</v>
      </c>
      <c r="J218" s="102" t="s">
        <v>26</v>
      </c>
      <c r="L218" s="229" t="s">
        <v>1963</v>
      </c>
      <c r="M218" s="229" t="s">
        <v>1622</v>
      </c>
      <c r="O218" s="102">
        <v>3.0</v>
      </c>
      <c r="U218" s="102">
        <v>28800.0</v>
      </c>
      <c r="V218" s="102" t="s">
        <v>1964</v>
      </c>
      <c r="W218" s="102" t="s">
        <v>394</v>
      </c>
      <c r="X218" s="102" t="s">
        <v>966</v>
      </c>
      <c r="AG218" s="230"/>
      <c r="AH218" s="230"/>
      <c r="AI218" s="230"/>
    </row>
    <row r="219">
      <c r="A219" s="102" t="s">
        <v>310</v>
      </c>
      <c r="B219" s="102" t="s">
        <v>1965</v>
      </c>
      <c r="C219" s="229" t="s">
        <v>1966</v>
      </c>
      <c r="D219" s="102" t="s">
        <v>1967</v>
      </c>
      <c r="E219" s="102" t="s">
        <v>584</v>
      </c>
      <c r="F219" s="102" t="s">
        <v>585</v>
      </c>
      <c r="G219" s="102" t="s">
        <v>282</v>
      </c>
      <c r="H219" s="102" t="s">
        <v>283</v>
      </c>
      <c r="I219" s="102" t="s">
        <v>284</v>
      </c>
      <c r="J219" s="102" t="s">
        <v>26</v>
      </c>
      <c r="L219" s="229" t="s">
        <v>1968</v>
      </c>
      <c r="M219" s="229" t="s">
        <v>1807</v>
      </c>
      <c r="O219" s="102">
        <v>3.0</v>
      </c>
      <c r="P219" s="102" t="s">
        <v>1015</v>
      </c>
      <c r="Q219" s="102" t="s">
        <v>1808</v>
      </c>
      <c r="U219" s="102">
        <v>28800.0</v>
      </c>
      <c r="V219" s="102" t="s">
        <v>529</v>
      </c>
      <c r="W219" s="102" t="s">
        <v>298</v>
      </c>
      <c r="X219" s="102" t="s">
        <v>299</v>
      </c>
      <c r="Y219" s="102" t="s">
        <v>286</v>
      </c>
      <c r="Z219" s="102" t="s">
        <v>287</v>
      </c>
      <c r="AG219" s="230"/>
      <c r="AH219" s="230"/>
      <c r="AI219" s="230"/>
    </row>
    <row r="220">
      <c r="A220" s="102" t="s">
        <v>310</v>
      </c>
      <c r="B220" s="102" t="s">
        <v>1969</v>
      </c>
      <c r="C220" s="229" t="s">
        <v>1970</v>
      </c>
      <c r="D220" s="102" t="s">
        <v>1971</v>
      </c>
      <c r="E220" s="102" t="s">
        <v>495</v>
      </c>
      <c r="F220" s="102" t="s">
        <v>496</v>
      </c>
      <c r="G220" s="102" t="s">
        <v>282</v>
      </c>
      <c r="H220" s="102" t="s">
        <v>283</v>
      </c>
      <c r="I220" s="102" t="s">
        <v>284</v>
      </c>
      <c r="J220" s="102" t="s">
        <v>26</v>
      </c>
      <c r="L220" s="229" t="s">
        <v>1972</v>
      </c>
      <c r="M220" s="229" t="s">
        <v>1711</v>
      </c>
      <c r="N220" s="229" t="s">
        <v>1170</v>
      </c>
      <c r="O220" s="102">
        <v>5.0</v>
      </c>
      <c r="P220" s="102" t="s">
        <v>331</v>
      </c>
      <c r="U220" s="102">
        <v>7200.0</v>
      </c>
      <c r="V220" s="102" t="s">
        <v>299</v>
      </c>
      <c r="W220" s="102" t="s">
        <v>286</v>
      </c>
      <c r="X220" s="102" t="s">
        <v>287</v>
      </c>
      <c r="AG220" s="230"/>
      <c r="AH220" s="230"/>
      <c r="AI220" s="230"/>
    </row>
    <row r="221">
      <c r="A221" s="102" t="s">
        <v>310</v>
      </c>
      <c r="B221" s="102" t="s">
        <v>1206</v>
      </c>
      <c r="C221" s="229" t="s">
        <v>1207</v>
      </c>
      <c r="D221" s="102" t="s">
        <v>1208</v>
      </c>
      <c r="E221" s="102" t="s">
        <v>584</v>
      </c>
      <c r="F221" s="102" t="s">
        <v>585</v>
      </c>
      <c r="G221" s="102" t="s">
        <v>282</v>
      </c>
      <c r="H221" s="102" t="s">
        <v>283</v>
      </c>
      <c r="I221" s="102" t="s">
        <v>284</v>
      </c>
      <c r="J221" s="102" t="s">
        <v>454</v>
      </c>
      <c r="L221" s="229" t="s">
        <v>1209</v>
      </c>
      <c r="M221" s="229" t="s">
        <v>1014</v>
      </c>
      <c r="N221" s="229" t="s">
        <v>1170</v>
      </c>
      <c r="O221" s="102">
        <v>3.0</v>
      </c>
      <c r="P221" s="102" t="s">
        <v>1015</v>
      </c>
      <c r="U221" s="230"/>
      <c r="V221" s="102" t="s">
        <v>299</v>
      </c>
      <c r="W221" s="102" t="s">
        <v>286</v>
      </c>
      <c r="X221" s="102" t="s">
        <v>287</v>
      </c>
      <c r="Y221" s="102" t="s">
        <v>288</v>
      </c>
      <c r="AG221" s="230"/>
      <c r="AH221" s="230"/>
      <c r="AI221" s="230"/>
    </row>
    <row r="222">
      <c r="A222" s="102" t="s">
        <v>310</v>
      </c>
      <c r="B222" s="102" t="s">
        <v>1210</v>
      </c>
      <c r="C222" s="229" t="s">
        <v>1211</v>
      </c>
      <c r="D222" s="102" t="s">
        <v>1212</v>
      </c>
      <c r="E222" s="102" t="s">
        <v>513</v>
      </c>
      <c r="F222" s="102" t="s">
        <v>514</v>
      </c>
      <c r="G222" s="102" t="s">
        <v>282</v>
      </c>
      <c r="H222" s="102" t="s">
        <v>283</v>
      </c>
      <c r="I222" s="102" t="s">
        <v>284</v>
      </c>
      <c r="J222" s="102" t="s">
        <v>355</v>
      </c>
      <c r="L222" s="229" t="s">
        <v>1213</v>
      </c>
      <c r="M222" s="229" t="s">
        <v>1014</v>
      </c>
      <c r="N222" s="229" t="s">
        <v>1144</v>
      </c>
      <c r="O222" s="102">
        <v>3.0</v>
      </c>
      <c r="P222" s="102" t="s">
        <v>1015</v>
      </c>
      <c r="U222" s="230"/>
      <c r="V222" s="102" t="s">
        <v>299</v>
      </c>
      <c r="W222" s="102" t="s">
        <v>286</v>
      </c>
      <c r="X222" s="102" t="s">
        <v>287</v>
      </c>
      <c r="Y222" s="102" t="s">
        <v>288</v>
      </c>
      <c r="AG222" s="230"/>
      <c r="AH222" s="230"/>
      <c r="AI222" s="230"/>
    </row>
    <row r="223">
      <c r="A223" s="102" t="s">
        <v>310</v>
      </c>
      <c r="B223" s="102" t="s">
        <v>1214</v>
      </c>
      <c r="C223" s="229" t="s">
        <v>1215</v>
      </c>
      <c r="D223" s="102" t="s">
        <v>1012</v>
      </c>
      <c r="E223" s="102" t="s">
        <v>584</v>
      </c>
      <c r="F223" s="102" t="s">
        <v>585</v>
      </c>
      <c r="G223" s="102" t="s">
        <v>282</v>
      </c>
      <c r="H223" s="102" t="s">
        <v>283</v>
      </c>
      <c r="I223" s="102" t="s">
        <v>284</v>
      </c>
      <c r="J223" s="102" t="s">
        <v>454</v>
      </c>
      <c r="L223" s="229" t="s">
        <v>1216</v>
      </c>
      <c r="M223" s="229" t="s">
        <v>1014</v>
      </c>
      <c r="N223" s="229" t="s">
        <v>1170</v>
      </c>
      <c r="O223" s="102">
        <v>3.0</v>
      </c>
      <c r="P223" s="102" t="s">
        <v>1015</v>
      </c>
      <c r="U223" s="230"/>
      <c r="V223" s="102" t="s">
        <v>299</v>
      </c>
      <c r="W223" s="102" t="s">
        <v>286</v>
      </c>
      <c r="X223" s="102" t="s">
        <v>287</v>
      </c>
      <c r="Y223" s="102" t="s">
        <v>288</v>
      </c>
      <c r="AG223" s="230"/>
      <c r="AH223" s="230"/>
      <c r="AI223" s="230"/>
    </row>
    <row r="224">
      <c r="A224" s="102" t="s">
        <v>310</v>
      </c>
      <c r="B224" s="102" t="s">
        <v>1217</v>
      </c>
      <c r="C224" s="229" t="s">
        <v>1218</v>
      </c>
      <c r="D224" s="102" t="s">
        <v>1219</v>
      </c>
      <c r="E224" s="102" t="s">
        <v>513</v>
      </c>
      <c r="F224" s="102" t="s">
        <v>514</v>
      </c>
      <c r="G224" s="102" t="s">
        <v>282</v>
      </c>
      <c r="H224" s="102" t="s">
        <v>283</v>
      </c>
      <c r="I224" s="102" t="s">
        <v>284</v>
      </c>
      <c r="J224" s="102" t="s">
        <v>355</v>
      </c>
      <c r="L224" s="229" t="s">
        <v>1220</v>
      </c>
      <c r="M224" s="229" t="s">
        <v>1014</v>
      </c>
      <c r="N224" s="229" t="s">
        <v>1192</v>
      </c>
      <c r="O224" s="102">
        <v>1.0</v>
      </c>
      <c r="P224" s="102" t="s">
        <v>1015</v>
      </c>
      <c r="U224" s="102">
        <v>7200.0</v>
      </c>
      <c r="V224" s="102" t="s">
        <v>286</v>
      </c>
      <c r="W224" s="102" t="s">
        <v>287</v>
      </c>
      <c r="X224" s="102" t="s">
        <v>288</v>
      </c>
      <c r="AG224" s="230"/>
      <c r="AH224" s="230"/>
      <c r="AI224" s="230"/>
    </row>
    <row r="225">
      <c r="A225" s="102" t="s">
        <v>310</v>
      </c>
      <c r="B225" s="102" t="s">
        <v>1222</v>
      </c>
      <c r="C225" s="229" t="s">
        <v>1223</v>
      </c>
      <c r="D225" s="102" t="s">
        <v>1224</v>
      </c>
      <c r="E225" s="102" t="s">
        <v>513</v>
      </c>
      <c r="F225" s="102" t="s">
        <v>514</v>
      </c>
      <c r="G225" s="102" t="s">
        <v>282</v>
      </c>
      <c r="H225" s="102" t="s">
        <v>283</v>
      </c>
      <c r="I225" s="102" t="s">
        <v>284</v>
      </c>
      <c r="J225" s="102" t="s">
        <v>355</v>
      </c>
      <c r="L225" s="229" t="s">
        <v>1220</v>
      </c>
      <c r="M225" s="229" t="s">
        <v>1014</v>
      </c>
      <c r="N225" s="229" t="s">
        <v>1225</v>
      </c>
      <c r="O225" s="102">
        <v>2.0</v>
      </c>
      <c r="P225" s="102" t="s">
        <v>1015</v>
      </c>
      <c r="U225" s="102">
        <v>14400.0</v>
      </c>
      <c r="V225" s="102" t="s">
        <v>286</v>
      </c>
      <c r="W225" s="102" t="s">
        <v>287</v>
      </c>
      <c r="X225" s="102" t="s">
        <v>288</v>
      </c>
      <c r="AG225" s="230"/>
      <c r="AH225" s="230"/>
      <c r="AI225" s="230"/>
    </row>
    <row r="226">
      <c r="A226" s="102" t="s">
        <v>310</v>
      </c>
      <c r="B226" s="102" t="s">
        <v>1226</v>
      </c>
      <c r="C226" s="229" t="s">
        <v>1227</v>
      </c>
      <c r="D226" s="102" t="s">
        <v>1228</v>
      </c>
      <c r="E226" s="102" t="s">
        <v>513</v>
      </c>
      <c r="F226" s="102" t="s">
        <v>514</v>
      </c>
      <c r="G226" s="102" t="s">
        <v>282</v>
      </c>
      <c r="H226" s="102" t="s">
        <v>283</v>
      </c>
      <c r="I226" s="102" t="s">
        <v>284</v>
      </c>
      <c r="J226" s="102" t="s">
        <v>355</v>
      </c>
      <c r="L226" s="229" t="s">
        <v>1229</v>
      </c>
      <c r="M226" s="229" t="s">
        <v>1014</v>
      </c>
      <c r="N226" s="229" t="s">
        <v>1225</v>
      </c>
      <c r="O226" s="102">
        <v>1.0</v>
      </c>
      <c r="P226" s="102" t="s">
        <v>1015</v>
      </c>
      <c r="U226" s="102">
        <v>7200.0</v>
      </c>
      <c r="V226" s="102" t="s">
        <v>286</v>
      </c>
      <c r="W226" s="102" t="s">
        <v>287</v>
      </c>
      <c r="X226" s="102" t="s">
        <v>288</v>
      </c>
      <c r="AG226" s="230"/>
      <c r="AH226" s="230"/>
      <c r="AI226" s="230"/>
    </row>
    <row r="227">
      <c r="A227" s="102" t="s">
        <v>332</v>
      </c>
      <c r="B227" s="102" t="s">
        <v>1973</v>
      </c>
      <c r="C227" s="229" t="s">
        <v>1974</v>
      </c>
      <c r="D227" s="102" t="s">
        <v>1975</v>
      </c>
      <c r="E227" s="102" t="s">
        <v>282</v>
      </c>
      <c r="F227" s="102" t="s">
        <v>283</v>
      </c>
      <c r="G227" s="102" t="s">
        <v>316</v>
      </c>
      <c r="H227" s="102" t="s">
        <v>317</v>
      </c>
      <c r="I227" s="102" t="s">
        <v>284</v>
      </c>
      <c r="J227" s="102" t="s">
        <v>1738</v>
      </c>
      <c r="L227" s="229" t="s">
        <v>1976</v>
      </c>
      <c r="M227" s="229" t="s">
        <v>1977</v>
      </c>
      <c r="N227" s="229" t="s">
        <v>1978</v>
      </c>
      <c r="O227" s="102">
        <v>3.0</v>
      </c>
      <c r="P227" s="102" t="s">
        <v>783</v>
      </c>
      <c r="U227" s="230"/>
      <c r="V227" s="102" t="s">
        <v>287</v>
      </c>
      <c r="W227" s="102" t="s">
        <v>1979</v>
      </c>
      <c r="X227" s="102" t="s">
        <v>1155</v>
      </c>
      <c r="Y227" s="102" t="s">
        <v>1964</v>
      </c>
      <c r="Z227" s="102" t="s">
        <v>394</v>
      </c>
      <c r="AG227" s="230"/>
      <c r="AH227" s="230"/>
      <c r="AI227" s="230"/>
    </row>
    <row r="228">
      <c r="A228" s="102" t="s">
        <v>310</v>
      </c>
      <c r="B228" s="102" t="s">
        <v>1230</v>
      </c>
      <c r="C228" s="229" t="s">
        <v>1231</v>
      </c>
      <c r="D228" s="102" t="s">
        <v>1232</v>
      </c>
      <c r="E228" s="102" t="s">
        <v>513</v>
      </c>
      <c r="F228" s="102" t="s">
        <v>514</v>
      </c>
      <c r="G228" s="102" t="s">
        <v>282</v>
      </c>
      <c r="H228" s="102" t="s">
        <v>283</v>
      </c>
      <c r="I228" s="102" t="s">
        <v>648</v>
      </c>
      <c r="J228" s="102" t="s">
        <v>454</v>
      </c>
      <c r="L228" s="229" t="s">
        <v>1233</v>
      </c>
      <c r="M228" s="229" t="s">
        <v>1014</v>
      </c>
      <c r="N228" s="229" t="s">
        <v>1202</v>
      </c>
      <c r="O228" s="102">
        <v>5.0</v>
      </c>
      <c r="P228" s="102" t="s">
        <v>457</v>
      </c>
      <c r="U228" s="102">
        <v>86400.0</v>
      </c>
      <c r="V228" s="102" t="s">
        <v>529</v>
      </c>
      <c r="W228" s="102" t="s">
        <v>298</v>
      </c>
      <c r="X228" s="102" t="s">
        <v>299</v>
      </c>
      <c r="Y228" s="102" t="s">
        <v>286</v>
      </c>
      <c r="Z228" s="102" t="s">
        <v>287</v>
      </c>
      <c r="AA228" s="102" t="s">
        <v>288</v>
      </c>
      <c r="AG228" s="230"/>
      <c r="AH228" s="230"/>
      <c r="AI228" s="230"/>
    </row>
    <row r="229">
      <c r="A229" s="102" t="s">
        <v>310</v>
      </c>
      <c r="B229" s="102" t="s">
        <v>1234</v>
      </c>
      <c r="C229" s="229" t="s">
        <v>1235</v>
      </c>
      <c r="D229" s="102" t="s">
        <v>1236</v>
      </c>
      <c r="E229" s="102" t="s">
        <v>513</v>
      </c>
      <c r="F229" s="102" t="s">
        <v>514</v>
      </c>
      <c r="G229" s="102" t="s">
        <v>282</v>
      </c>
      <c r="H229" s="102" t="s">
        <v>283</v>
      </c>
      <c r="I229" s="102" t="s">
        <v>648</v>
      </c>
      <c r="J229" s="102" t="s">
        <v>454</v>
      </c>
      <c r="L229" s="229" t="s">
        <v>1233</v>
      </c>
      <c r="M229" s="229" t="s">
        <v>1014</v>
      </c>
      <c r="N229" s="229" t="s">
        <v>1237</v>
      </c>
      <c r="O229" s="102">
        <v>8.0</v>
      </c>
      <c r="P229" s="102" t="s">
        <v>457</v>
      </c>
      <c r="U229" s="102">
        <v>115200.0</v>
      </c>
      <c r="V229" s="102" t="s">
        <v>529</v>
      </c>
      <c r="W229" s="102" t="s">
        <v>298</v>
      </c>
      <c r="X229" s="102" t="s">
        <v>299</v>
      </c>
      <c r="Y229" s="102" t="s">
        <v>286</v>
      </c>
      <c r="Z229" s="102" t="s">
        <v>287</v>
      </c>
      <c r="AA229" s="102" t="s">
        <v>288</v>
      </c>
      <c r="AG229" s="230"/>
      <c r="AH229" s="230"/>
      <c r="AI229" s="230"/>
    </row>
    <row r="230">
      <c r="A230" s="102" t="s">
        <v>310</v>
      </c>
      <c r="B230" s="102" t="s">
        <v>1238</v>
      </c>
      <c r="C230" s="229" t="s">
        <v>1239</v>
      </c>
      <c r="D230" s="102" t="s">
        <v>1240</v>
      </c>
      <c r="E230" s="102" t="s">
        <v>564</v>
      </c>
      <c r="F230" s="102" t="s">
        <v>565</v>
      </c>
      <c r="G230" s="102" t="s">
        <v>282</v>
      </c>
      <c r="H230" s="102" t="s">
        <v>283</v>
      </c>
      <c r="I230" s="102" t="s">
        <v>284</v>
      </c>
      <c r="J230" s="102" t="s">
        <v>454</v>
      </c>
      <c r="L230" s="229" t="s">
        <v>1241</v>
      </c>
      <c r="M230" s="229" t="s">
        <v>1014</v>
      </c>
      <c r="N230" s="229" t="s">
        <v>1242</v>
      </c>
      <c r="O230" s="102">
        <v>8.0</v>
      </c>
      <c r="P230" s="102" t="s">
        <v>457</v>
      </c>
      <c r="U230" s="102">
        <v>72000.0</v>
      </c>
      <c r="V230" s="102" t="s">
        <v>529</v>
      </c>
      <c r="W230" s="102" t="s">
        <v>298</v>
      </c>
      <c r="X230" s="102" t="s">
        <v>299</v>
      </c>
      <c r="Y230" s="102" t="s">
        <v>286</v>
      </c>
      <c r="Z230" s="102" t="s">
        <v>287</v>
      </c>
      <c r="AA230" s="102" t="s">
        <v>288</v>
      </c>
      <c r="AG230" s="230"/>
      <c r="AH230" s="230"/>
      <c r="AI230" s="230"/>
    </row>
    <row r="231">
      <c r="A231" s="102" t="s">
        <v>310</v>
      </c>
      <c r="B231" s="102" t="s">
        <v>1243</v>
      </c>
      <c r="C231" s="229" t="s">
        <v>1244</v>
      </c>
      <c r="D231" s="102" t="s">
        <v>1245</v>
      </c>
      <c r="E231" s="102" t="s">
        <v>328</v>
      </c>
      <c r="F231" s="102" t="s">
        <v>329</v>
      </c>
      <c r="G231" s="102" t="s">
        <v>282</v>
      </c>
      <c r="H231" s="102" t="s">
        <v>283</v>
      </c>
      <c r="I231" s="102" t="s">
        <v>284</v>
      </c>
      <c r="J231" s="102" t="s">
        <v>454</v>
      </c>
      <c r="L231" s="229" t="s">
        <v>1246</v>
      </c>
      <c r="M231" s="229" t="s">
        <v>1014</v>
      </c>
      <c r="N231" s="229" t="s">
        <v>1247</v>
      </c>
      <c r="O231" s="102">
        <v>8.0</v>
      </c>
      <c r="P231" s="102" t="s">
        <v>457</v>
      </c>
      <c r="U231" s="230"/>
      <c r="V231" s="102" t="s">
        <v>529</v>
      </c>
      <c r="W231" s="102" t="s">
        <v>298</v>
      </c>
      <c r="X231" s="102" t="s">
        <v>299</v>
      </c>
      <c r="Y231" s="102" t="s">
        <v>286</v>
      </c>
      <c r="Z231" s="102" t="s">
        <v>287</v>
      </c>
      <c r="AA231" s="102" t="s">
        <v>288</v>
      </c>
      <c r="AG231" s="230"/>
      <c r="AH231" s="230"/>
      <c r="AI231" s="230"/>
    </row>
    <row r="232">
      <c r="A232" s="102" t="s">
        <v>310</v>
      </c>
      <c r="B232" s="102" t="s">
        <v>1248</v>
      </c>
      <c r="C232" s="229" t="s">
        <v>1249</v>
      </c>
      <c r="D232" s="102" t="s">
        <v>1250</v>
      </c>
      <c r="E232" s="102" t="s">
        <v>328</v>
      </c>
      <c r="F232" s="102" t="s">
        <v>329</v>
      </c>
      <c r="G232" s="102" t="s">
        <v>282</v>
      </c>
      <c r="H232" s="102" t="s">
        <v>283</v>
      </c>
      <c r="I232" s="102" t="s">
        <v>284</v>
      </c>
      <c r="J232" s="102" t="s">
        <v>454</v>
      </c>
      <c r="L232" s="229" t="s">
        <v>1251</v>
      </c>
      <c r="M232" s="229" t="s">
        <v>1014</v>
      </c>
      <c r="N232" s="229" t="s">
        <v>1252</v>
      </c>
      <c r="O232" s="102">
        <v>8.0</v>
      </c>
      <c r="P232" s="102" t="s">
        <v>457</v>
      </c>
      <c r="U232" s="230"/>
      <c r="V232" s="102" t="s">
        <v>529</v>
      </c>
      <c r="W232" s="102" t="s">
        <v>298</v>
      </c>
      <c r="X232" s="102" t="s">
        <v>299</v>
      </c>
      <c r="Y232" s="102" t="s">
        <v>286</v>
      </c>
      <c r="Z232" s="102" t="s">
        <v>287</v>
      </c>
      <c r="AA232" s="102" t="s">
        <v>288</v>
      </c>
      <c r="AG232" s="230"/>
      <c r="AH232" s="230"/>
      <c r="AI232" s="230"/>
    </row>
    <row r="233">
      <c r="A233" s="102" t="s">
        <v>310</v>
      </c>
      <c r="B233" s="102" t="s">
        <v>1980</v>
      </c>
      <c r="C233" s="229" t="s">
        <v>1981</v>
      </c>
      <c r="D233" s="102" t="s">
        <v>1982</v>
      </c>
      <c r="E233" s="102" t="s">
        <v>314</v>
      </c>
      <c r="F233" s="102" t="s">
        <v>315</v>
      </c>
      <c r="G233" s="102" t="s">
        <v>314</v>
      </c>
      <c r="H233" s="102" t="s">
        <v>315</v>
      </c>
      <c r="I233" s="102" t="s">
        <v>284</v>
      </c>
      <c r="J233" s="102" t="s">
        <v>26</v>
      </c>
      <c r="L233" s="229" t="s">
        <v>1983</v>
      </c>
      <c r="M233" s="229" t="s">
        <v>1984</v>
      </c>
      <c r="O233" s="102">
        <v>2.0</v>
      </c>
      <c r="U233" s="102">
        <v>14400.0</v>
      </c>
      <c r="V233" s="102" t="s">
        <v>417</v>
      </c>
      <c r="AG233" s="230"/>
      <c r="AH233" s="230"/>
      <c r="AI233" s="230"/>
    </row>
    <row r="234">
      <c r="A234" s="102" t="s">
        <v>276</v>
      </c>
      <c r="B234" s="102" t="s">
        <v>1985</v>
      </c>
      <c r="C234" s="229" t="s">
        <v>1986</v>
      </c>
      <c r="D234" s="102" t="s">
        <v>279</v>
      </c>
      <c r="E234" s="102" t="s">
        <v>280</v>
      </c>
      <c r="F234" s="102" t="s">
        <v>281</v>
      </c>
      <c r="G234" s="102" t="s">
        <v>1987</v>
      </c>
      <c r="H234" s="102" t="s">
        <v>1988</v>
      </c>
      <c r="I234" s="102" t="s">
        <v>284</v>
      </c>
      <c r="J234" s="102" t="s">
        <v>26</v>
      </c>
      <c r="L234" s="229" t="s">
        <v>1989</v>
      </c>
      <c r="M234" s="229" t="s">
        <v>1990</v>
      </c>
      <c r="O234" s="230"/>
      <c r="U234" s="230"/>
      <c r="V234" s="102" t="s">
        <v>1991</v>
      </c>
      <c r="W234" s="102" t="s">
        <v>1992</v>
      </c>
      <c r="X234" s="102" t="s">
        <v>1085</v>
      </c>
      <c r="Y234" s="102" t="s">
        <v>529</v>
      </c>
      <c r="Z234" s="102" t="s">
        <v>298</v>
      </c>
      <c r="AA234" s="102" t="s">
        <v>299</v>
      </c>
      <c r="AB234" s="102" t="s">
        <v>286</v>
      </c>
      <c r="AC234" s="102" t="s">
        <v>287</v>
      </c>
      <c r="AG234" s="230"/>
      <c r="AH234" s="230"/>
      <c r="AI234" s="230"/>
    </row>
    <row r="235">
      <c r="A235" s="102" t="s">
        <v>276</v>
      </c>
      <c r="B235" s="102" t="s">
        <v>1993</v>
      </c>
      <c r="C235" s="229" t="s">
        <v>1994</v>
      </c>
      <c r="D235" s="102" t="s">
        <v>291</v>
      </c>
      <c r="E235" s="102" t="s">
        <v>280</v>
      </c>
      <c r="F235" s="102" t="s">
        <v>281</v>
      </c>
      <c r="G235" s="102" t="s">
        <v>1987</v>
      </c>
      <c r="H235" s="102" t="s">
        <v>1988</v>
      </c>
      <c r="I235" s="102" t="s">
        <v>284</v>
      </c>
      <c r="J235" s="102" t="s">
        <v>26</v>
      </c>
      <c r="L235" s="229" t="s">
        <v>1989</v>
      </c>
      <c r="M235" s="229" t="s">
        <v>1995</v>
      </c>
      <c r="O235" s="230"/>
      <c r="U235" s="230"/>
      <c r="V235" s="102" t="s">
        <v>1991</v>
      </c>
      <c r="W235" s="102" t="s">
        <v>1992</v>
      </c>
      <c r="X235" s="102" t="s">
        <v>1085</v>
      </c>
      <c r="Y235" s="102" t="s">
        <v>529</v>
      </c>
      <c r="Z235" s="102" t="s">
        <v>298</v>
      </c>
      <c r="AA235" s="102" t="s">
        <v>299</v>
      </c>
      <c r="AB235" s="102" t="s">
        <v>286</v>
      </c>
      <c r="AC235" s="102" t="s">
        <v>287</v>
      </c>
      <c r="AG235" s="230"/>
      <c r="AH235" s="230"/>
      <c r="AI235" s="230"/>
    </row>
    <row r="236">
      <c r="A236" s="102" t="s">
        <v>276</v>
      </c>
      <c r="B236" s="102" t="s">
        <v>1996</v>
      </c>
      <c r="C236" s="229" t="s">
        <v>1997</v>
      </c>
      <c r="D236" s="102" t="s">
        <v>279</v>
      </c>
      <c r="E236" s="102" t="s">
        <v>280</v>
      </c>
      <c r="F236" s="102" t="s">
        <v>281</v>
      </c>
      <c r="G236" s="102" t="s">
        <v>1987</v>
      </c>
      <c r="H236" s="102" t="s">
        <v>1988</v>
      </c>
      <c r="I236" s="102" t="s">
        <v>284</v>
      </c>
      <c r="J236" s="102" t="s">
        <v>26</v>
      </c>
      <c r="L236" s="229" t="s">
        <v>1989</v>
      </c>
      <c r="M236" s="229" t="s">
        <v>1990</v>
      </c>
      <c r="O236" s="230"/>
      <c r="U236" s="230"/>
      <c r="V236" s="102" t="s">
        <v>1991</v>
      </c>
      <c r="W236" s="102" t="s">
        <v>1992</v>
      </c>
      <c r="X236" s="102" t="s">
        <v>1085</v>
      </c>
      <c r="Y236" s="102" t="s">
        <v>529</v>
      </c>
      <c r="Z236" s="102" t="s">
        <v>298</v>
      </c>
      <c r="AA236" s="102" t="s">
        <v>299</v>
      </c>
      <c r="AB236" s="102" t="s">
        <v>286</v>
      </c>
      <c r="AC236" s="102" t="s">
        <v>287</v>
      </c>
      <c r="AG236" s="230"/>
      <c r="AH236" s="230"/>
      <c r="AI236" s="230"/>
    </row>
    <row r="237">
      <c r="A237" s="102" t="s">
        <v>276</v>
      </c>
      <c r="B237" s="102" t="s">
        <v>1998</v>
      </c>
      <c r="C237" s="229" t="s">
        <v>1999</v>
      </c>
      <c r="D237" s="102" t="s">
        <v>291</v>
      </c>
      <c r="E237" s="102" t="s">
        <v>280</v>
      </c>
      <c r="F237" s="102" t="s">
        <v>281</v>
      </c>
      <c r="G237" s="102" t="s">
        <v>1987</v>
      </c>
      <c r="H237" s="102" t="s">
        <v>1988</v>
      </c>
      <c r="I237" s="102" t="s">
        <v>284</v>
      </c>
      <c r="J237" s="102" t="s">
        <v>26</v>
      </c>
      <c r="L237" s="229" t="s">
        <v>1989</v>
      </c>
      <c r="M237" s="229" t="s">
        <v>1995</v>
      </c>
      <c r="O237" s="230"/>
      <c r="U237" s="230"/>
      <c r="V237" s="102" t="s">
        <v>1991</v>
      </c>
      <c r="W237" s="102" t="s">
        <v>1992</v>
      </c>
      <c r="X237" s="102" t="s">
        <v>1085</v>
      </c>
      <c r="Y237" s="102" t="s">
        <v>529</v>
      </c>
      <c r="Z237" s="102" t="s">
        <v>298</v>
      </c>
      <c r="AA237" s="102" t="s">
        <v>299</v>
      </c>
      <c r="AB237" s="102" t="s">
        <v>286</v>
      </c>
      <c r="AC237" s="102" t="s">
        <v>287</v>
      </c>
      <c r="AG237" s="230"/>
      <c r="AH237" s="230"/>
      <c r="AI237" s="230"/>
    </row>
    <row r="238">
      <c r="A238" s="102" t="s">
        <v>276</v>
      </c>
      <c r="B238" s="102" t="s">
        <v>2000</v>
      </c>
      <c r="C238" s="229" t="s">
        <v>2001</v>
      </c>
      <c r="D238" s="102" t="s">
        <v>291</v>
      </c>
      <c r="E238" s="102" t="s">
        <v>280</v>
      </c>
      <c r="F238" s="102" t="s">
        <v>281</v>
      </c>
      <c r="G238" s="102" t="s">
        <v>1987</v>
      </c>
      <c r="H238" s="102" t="s">
        <v>1988</v>
      </c>
      <c r="I238" s="102" t="s">
        <v>284</v>
      </c>
      <c r="J238" s="102" t="s">
        <v>26</v>
      </c>
      <c r="L238" s="229" t="s">
        <v>1989</v>
      </c>
      <c r="M238" s="229" t="s">
        <v>1995</v>
      </c>
      <c r="O238" s="230"/>
      <c r="U238" s="230"/>
      <c r="V238" s="102" t="s">
        <v>1991</v>
      </c>
      <c r="W238" s="102" t="s">
        <v>1992</v>
      </c>
      <c r="X238" s="102" t="s">
        <v>1085</v>
      </c>
      <c r="Y238" s="102" t="s">
        <v>529</v>
      </c>
      <c r="Z238" s="102" t="s">
        <v>298</v>
      </c>
      <c r="AA238" s="102" t="s">
        <v>299</v>
      </c>
      <c r="AB238" s="102" t="s">
        <v>286</v>
      </c>
      <c r="AC238" s="102" t="s">
        <v>287</v>
      </c>
      <c r="AG238" s="230"/>
      <c r="AH238" s="230"/>
      <c r="AI238" s="230"/>
    </row>
    <row r="239">
      <c r="A239" s="102" t="s">
        <v>276</v>
      </c>
      <c r="B239" s="102" t="s">
        <v>2002</v>
      </c>
      <c r="C239" s="229" t="s">
        <v>2003</v>
      </c>
      <c r="D239" s="102" t="s">
        <v>291</v>
      </c>
      <c r="E239" s="102" t="s">
        <v>280</v>
      </c>
      <c r="F239" s="102" t="s">
        <v>281</v>
      </c>
      <c r="G239" s="102" t="s">
        <v>1987</v>
      </c>
      <c r="H239" s="102" t="s">
        <v>1988</v>
      </c>
      <c r="I239" s="102" t="s">
        <v>284</v>
      </c>
      <c r="J239" s="102" t="s">
        <v>26</v>
      </c>
      <c r="L239" s="229" t="s">
        <v>1989</v>
      </c>
      <c r="M239" s="229" t="s">
        <v>1995</v>
      </c>
      <c r="O239" s="230"/>
      <c r="U239" s="230"/>
      <c r="V239" s="102" t="s">
        <v>1991</v>
      </c>
      <c r="W239" s="102" t="s">
        <v>1992</v>
      </c>
      <c r="X239" s="102" t="s">
        <v>1085</v>
      </c>
      <c r="Y239" s="102" t="s">
        <v>529</v>
      </c>
      <c r="Z239" s="102" t="s">
        <v>298</v>
      </c>
      <c r="AA239" s="102" t="s">
        <v>299</v>
      </c>
      <c r="AB239" s="102" t="s">
        <v>286</v>
      </c>
      <c r="AC239" s="102" t="s">
        <v>287</v>
      </c>
      <c r="AG239" s="230"/>
      <c r="AH239" s="230"/>
      <c r="AI239" s="230"/>
    </row>
    <row r="240">
      <c r="A240" s="102" t="s">
        <v>276</v>
      </c>
      <c r="B240" s="102" t="s">
        <v>2004</v>
      </c>
      <c r="C240" s="229" t="s">
        <v>2005</v>
      </c>
      <c r="D240" s="102" t="s">
        <v>291</v>
      </c>
      <c r="E240" s="102" t="s">
        <v>280</v>
      </c>
      <c r="F240" s="102" t="s">
        <v>281</v>
      </c>
      <c r="G240" s="102" t="s">
        <v>1987</v>
      </c>
      <c r="H240" s="102" t="s">
        <v>1988</v>
      </c>
      <c r="I240" s="102" t="s">
        <v>284</v>
      </c>
      <c r="J240" s="102" t="s">
        <v>26</v>
      </c>
      <c r="L240" s="229" t="s">
        <v>1989</v>
      </c>
      <c r="M240" s="229" t="s">
        <v>1995</v>
      </c>
      <c r="O240" s="230"/>
      <c r="U240" s="230"/>
      <c r="V240" s="102" t="s">
        <v>1991</v>
      </c>
      <c r="W240" s="102" t="s">
        <v>1992</v>
      </c>
      <c r="X240" s="102" t="s">
        <v>1085</v>
      </c>
      <c r="Y240" s="102" t="s">
        <v>529</v>
      </c>
      <c r="Z240" s="102" t="s">
        <v>298</v>
      </c>
      <c r="AA240" s="102" t="s">
        <v>299</v>
      </c>
      <c r="AB240" s="102" t="s">
        <v>286</v>
      </c>
      <c r="AC240" s="102" t="s">
        <v>287</v>
      </c>
      <c r="AG240" s="230"/>
      <c r="AH240" s="230"/>
      <c r="AI240" s="230"/>
    </row>
    <row r="241">
      <c r="A241" s="102" t="s">
        <v>276</v>
      </c>
      <c r="B241" s="102" t="s">
        <v>2006</v>
      </c>
      <c r="C241" s="229" t="s">
        <v>2007</v>
      </c>
      <c r="D241" s="102" t="s">
        <v>291</v>
      </c>
      <c r="E241" s="102" t="s">
        <v>280</v>
      </c>
      <c r="F241" s="102" t="s">
        <v>281</v>
      </c>
      <c r="G241" s="102" t="s">
        <v>1987</v>
      </c>
      <c r="H241" s="102" t="s">
        <v>1988</v>
      </c>
      <c r="I241" s="102" t="s">
        <v>284</v>
      </c>
      <c r="J241" s="102" t="s">
        <v>26</v>
      </c>
      <c r="L241" s="229" t="s">
        <v>1989</v>
      </c>
      <c r="M241" s="229" t="s">
        <v>1995</v>
      </c>
      <c r="O241" s="230"/>
      <c r="U241" s="230"/>
      <c r="V241" s="102" t="s">
        <v>1991</v>
      </c>
      <c r="W241" s="102" t="s">
        <v>1992</v>
      </c>
      <c r="X241" s="102" t="s">
        <v>1085</v>
      </c>
      <c r="Y241" s="102" t="s">
        <v>529</v>
      </c>
      <c r="Z241" s="102" t="s">
        <v>298</v>
      </c>
      <c r="AA241" s="102" t="s">
        <v>299</v>
      </c>
      <c r="AB241" s="102" t="s">
        <v>286</v>
      </c>
      <c r="AC241" s="102" t="s">
        <v>287</v>
      </c>
      <c r="AG241" s="230"/>
      <c r="AH241" s="230"/>
      <c r="AI241" s="230"/>
    </row>
    <row r="242">
      <c r="A242" s="102" t="s">
        <v>276</v>
      </c>
      <c r="B242" s="102" t="s">
        <v>2008</v>
      </c>
      <c r="C242" s="229" t="s">
        <v>2009</v>
      </c>
      <c r="D242" s="102" t="s">
        <v>291</v>
      </c>
      <c r="E242" s="102" t="s">
        <v>280</v>
      </c>
      <c r="F242" s="102" t="s">
        <v>281</v>
      </c>
      <c r="G242" s="102" t="s">
        <v>1987</v>
      </c>
      <c r="H242" s="102" t="s">
        <v>1988</v>
      </c>
      <c r="I242" s="102" t="s">
        <v>284</v>
      </c>
      <c r="J242" s="102" t="s">
        <v>26</v>
      </c>
      <c r="L242" s="229" t="s">
        <v>1989</v>
      </c>
      <c r="M242" s="229" t="s">
        <v>1995</v>
      </c>
      <c r="O242" s="230"/>
      <c r="U242" s="230"/>
      <c r="V242" s="102" t="s">
        <v>1991</v>
      </c>
      <c r="W242" s="102" t="s">
        <v>1992</v>
      </c>
      <c r="X242" s="102" t="s">
        <v>1085</v>
      </c>
      <c r="Y242" s="102" t="s">
        <v>529</v>
      </c>
      <c r="Z242" s="102" t="s">
        <v>298</v>
      </c>
      <c r="AA242" s="102" t="s">
        <v>299</v>
      </c>
      <c r="AB242" s="102" t="s">
        <v>286</v>
      </c>
      <c r="AC242" s="102" t="s">
        <v>287</v>
      </c>
      <c r="AG242" s="230"/>
      <c r="AH242" s="230"/>
      <c r="AI242" s="230"/>
    </row>
    <row r="243">
      <c r="A243" s="102" t="s">
        <v>276</v>
      </c>
      <c r="B243" s="102" t="s">
        <v>2010</v>
      </c>
      <c r="C243" s="229" t="s">
        <v>2011</v>
      </c>
      <c r="D243" s="102" t="s">
        <v>291</v>
      </c>
      <c r="E243" s="102" t="s">
        <v>280</v>
      </c>
      <c r="F243" s="102" t="s">
        <v>281</v>
      </c>
      <c r="G243" s="102" t="s">
        <v>1987</v>
      </c>
      <c r="H243" s="102" t="s">
        <v>1988</v>
      </c>
      <c r="I243" s="102" t="s">
        <v>284</v>
      </c>
      <c r="J243" s="102" t="s">
        <v>26</v>
      </c>
      <c r="L243" s="229" t="s">
        <v>1989</v>
      </c>
      <c r="M243" s="229" t="s">
        <v>1995</v>
      </c>
      <c r="O243" s="230"/>
      <c r="U243" s="230"/>
      <c r="V243" s="102" t="s">
        <v>1991</v>
      </c>
      <c r="W243" s="102" t="s">
        <v>1992</v>
      </c>
      <c r="X243" s="102" t="s">
        <v>1085</v>
      </c>
      <c r="Y243" s="102" t="s">
        <v>529</v>
      </c>
      <c r="Z243" s="102" t="s">
        <v>298</v>
      </c>
      <c r="AA243" s="102" t="s">
        <v>299</v>
      </c>
      <c r="AB243" s="102" t="s">
        <v>286</v>
      </c>
      <c r="AC243" s="102" t="s">
        <v>287</v>
      </c>
      <c r="AG243" s="230"/>
      <c r="AH243" s="230"/>
      <c r="AI243" s="230"/>
    </row>
    <row r="244">
      <c r="A244" s="102" t="s">
        <v>276</v>
      </c>
      <c r="B244" s="102" t="s">
        <v>2012</v>
      </c>
      <c r="C244" s="229" t="s">
        <v>2013</v>
      </c>
      <c r="D244" s="102" t="s">
        <v>291</v>
      </c>
      <c r="E244" s="102" t="s">
        <v>280</v>
      </c>
      <c r="F244" s="102" t="s">
        <v>281</v>
      </c>
      <c r="G244" s="102" t="s">
        <v>1987</v>
      </c>
      <c r="H244" s="102" t="s">
        <v>1988</v>
      </c>
      <c r="I244" s="102" t="s">
        <v>284</v>
      </c>
      <c r="J244" s="102" t="s">
        <v>26</v>
      </c>
      <c r="L244" s="229" t="s">
        <v>1989</v>
      </c>
      <c r="M244" s="229" t="s">
        <v>1995</v>
      </c>
      <c r="O244" s="230"/>
      <c r="U244" s="230"/>
      <c r="V244" s="102" t="s">
        <v>1991</v>
      </c>
      <c r="W244" s="102" t="s">
        <v>1992</v>
      </c>
      <c r="X244" s="102" t="s">
        <v>1085</v>
      </c>
      <c r="Y244" s="102" t="s">
        <v>529</v>
      </c>
      <c r="Z244" s="102" t="s">
        <v>298</v>
      </c>
      <c r="AA244" s="102" t="s">
        <v>299</v>
      </c>
      <c r="AB244" s="102" t="s">
        <v>286</v>
      </c>
      <c r="AC244" s="102" t="s">
        <v>287</v>
      </c>
      <c r="AG244" s="230"/>
      <c r="AH244" s="230"/>
      <c r="AI244" s="230"/>
    </row>
    <row r="245">
      <c r="A245" s="102" t="s">
        <v>310</v>
      </c>
      <c r="B245" s="102" t="s">
        <v>2014</v>
      </c>
      <c r="C245" s="229" t="s">
        <v>2015</v>
      </c>
      <c r="D245" s="102" t="s">
        <v>2016</v>
      </c>
      <c r="E245" s="102" t="s">
        <v>282</v>
      </c>
      <c r="F245" s="102" t="s">
        <v>283</v>
      </c>
      <c r="G245" s="102" t="s">
        <v>316</v>
      </c>
      <c r="H245" s="102" t="s">
        <v>317</v>
      </c>
      <c r="I245" s="102" t="s">
        <v>284</v>
      </c>
      <c r="J245" s="102" t="s">
        <v>26</v>
      </c>
      <c r="L245" s="229" t="s">
        <v>2017</v>
      </c>
      <c r="M245" s="229" t="s">
        <v>2018</v>
      </c>
      <c r="N245" s="229" t="s">
        <v>2019</v>
      </c>
      <c r="O245" s="102">
        <v>2.0</v>
      </c>
      <c r="P245" s="102" t="s">
        <v>481</v>
      </c>
      <c r="U245" s="230"/>
      <c r="V245" s="102" t="s">
        <v>1155</v>
      </c>
      <c r="W245" s="102" t="s">
        <v>1964</v>
      </c>
      <c r="X245" s="102" t="s">
        <v>394</v>
      </c>
      <c r="Y245" s="102" t="s">
        <v>417</v>
      </c>
      <c r="AG245" s="230"/>
      <c r="AH245" s="230"/>
      <c r="AI245" s="230"/>
    </row>
    <row r="246">
      <c r="A246" s="102" t="s">
        <v>310</v>
      </c>
      <c r="B246" s="102" t="s">
        <v>2020</v>
      </c>
      <c r="C246" s="229" t="s">
        <v>2021</v>
      </c>
      <c r="D246" s="102" t="s">
        <v>2022</v>
      </c>
      <c r="E246" s="102" t="s">
        <v>314</v>
      </c>
      <c r="F246" s="102" t="s">
        <v>315</v>
      </c>
      <c r="G246" s="102" t="s">
        <v>314</v>
      </c>
      <c r="H246" s="102" t="s">
        <v>315</v>
      </c>
      <c r="I246" s="102" t="s">
        <v>284</v>
      </c>
      <c r="J246" s="102" t="s">
        <v>26</v>
      </c>
      <c r="L246" s="229" t="s">
        <v>2023</v>
      </c>
      <c r="M246" s="229" t="s">
        <v>1984</v>
      </c>
      <c r="O246" s="102">
        <v>3.0</v>
      </c>
      <c r="U246" s="102">
        <v>28800.0</v>
      </c>
      <c r="V246" s="102" t="s">
        <v>417</v>
      </c>
      <c r="AG246" s="230"/>
      <c r="AH246" s="230"/>
      <c r="AI246" s="230"/>
    </row>
    <row r="247">
      <c r="A247" s="102" t="s">
        <v>276</v>
      </c>
      <c r="B247" s="102" t="s">
        <v>2024</v>
      </c>
      <c r="C247" s="229" t="s">
        <v>2025</v>
      </c>
      <c r="D247" s="102" t="s">
        <v>347</v>
      </c>
      <c r="E247" s="102" t="s">
        <v>280</v>
      </c>
      <c r="F247" s="102" t="s">
        <v>281</v>
      </c>
      <c r="G247" s="102" t="s">
        <v>280</v>
      </c>
      <c r="H247" s="102" t="s">
        <v>281</v>
      </c>
      <c r="I247" s="102" t="s">
        <v>284</v>
      </c>
      <c r="J247" s="102" t="s">
        <v>26</v>
      </c>
      <c r="L247" s="229" t="s">
        <v>2026</v>
      </c>
      <c r="M247" s="229" t="s">
        <v>2027</v>
      </c>
      <c r="O247" s="230"/>
      <c r="U247" s="230"/>
      <c r="V247" s="102" t="s">
        <v>1991</v>
      </c>
      <c r="W247" s="102" t="s">
        <v>1992</v>
      </c>
      <c r="X247" s="102" t="s">
        <v>1085</v>
      </c>
      <c r="Y247" s="102" t="s">
        <v>529</v>
      </c>
      <c r="Z247" s="102" t="s">
        <v>298</v>
      </c>
      <c r="AA247" s="102" t="s">
        <v>299</v>
      </c>
      <c r="AB247" s="102" t="s">
        <v>286</v>
      </c>
      <c r="AC247" s="102" t="s">
        <v>287</v>
      </c>
      <c r="AG247" s="230"/>
      <c r="AH247" s="230"/>
      <c r="AI247" s="230"/>
    </row>
    <row r="248">
      <c r="A248" s="102" t="s">
        <v>276</v>
      </c>
      <c r="B248" s="102" t="s">
        <v>2028</v>
      </c>
      <c r="C248" s="229" t="s">
        <v>2029</v>
      </c>
      <c r="D248" s="102" t="s">
        <v>2030</v>
      </c>
      <c r="E248" s="102" t="s">
        <v>280</v>
      </c>
      <c r="F248" s="102" t="s">
        <v>281</v>
      </c>
      <c r="G248" s="102" t="s">
        <v>280</v>
      </c>
      <c r="H248" s="102" t="s">
        <v>281</v>
      </c>
      <c r="I248" s="102" t="s">
        <v>284</v>
      </c>
      <c r="J248" s="102" t="s">
        <v>26</v>
      </c>
      <c r="L248" s="229" t="s">
        <v>2026</v>
      </c>
      <c r="M248" s="229" t="s">
        <v>1995</v>
      </c>
      <c r="O248" s="230"/>
      <c r="U248" s="230"/>
      <c r="V248" s="102" t="s">
        <v>1991</v>
      </c>
      <c r="W248" s="102" t="s">
        <v>1992</v>
      </c>
      <c r="X248" s="102" t="s">
        <v>1085</v>
      </c>
      <c r="Y248" s="102" t="s">
        <v>529</v>
      </c>
      <c r="Z248" s="102" t="s">
        <v>298</v>
      </c>
      <c r="AA248" s="102" t="s">
        <v>299</v>
      </c>
      <c r="AB248" s="102" t="s">
        <v>286</v>
      </c>
      <c r="AC248" s="102" t="s">
        <v>287</v>
      </c>
      <c r="AF248" s="230"/>
      <c r="AG248" s="230"/>
      <c r="AH248" s="230"/>
      <c r="AI248" s="230"/>
    </row>
    <row r="249">
      <c r="A249" s="102" t="s">
        <v>310</v>
      </c>
      <c r="B249" s="102" t="s">
        <v>2031</v>
      </c>
      <c r="C249" s="229" t="s">
        <v>2032</v>
      </c>
      <c r="D249" s="102" t="s">
        <v>2033</v>
      </c>
      <c r="E249" s="102" t="s">
        <v>556</v>
      </c>
      <c r="F249" s="102" t="s">
        <v>557</v>
      </c>
      <c r="G249" s="102" t="s">
        <v>282</v>
      </c>
      <c r="H249" s="102" t="s">
        <v>283</v>
      </c>
      <c r="I249" s="102" t="s">
        <v>284</v>
      </c>
      <c r="J249" s="102" t="s">
        <v>26</v>
      </c>
      <c r="L249" s="229" t="s">
        <v>2034</v>
      </c>
      <c r="M249" s="229" t="s">
        <v>1711</v>
      </c>
      <c r="O249" s="102">
        <v>1.0</v>
      </c>
      <c r="U249" s="230"/>
      <c r="V249" s="102" t="s">
        <v>1991</v>
      </c>
      <c r="W249" s="102" t="s">
        <v>1992</v>
      </c>
      <c r="X249" s="102" t="s">
        <v>1085</v>
      </c>
      <c r="Y249" s="102" t="s">
        <v>529</v>
      </c>
      <c r="Z249" s="102" t="s">
        <v>298</v>
      </c>
      <c r="AA249" s="102" t="s">
        <v>299</v>
      </c>
      <c r="AB249" s="102" t="s">
        <v>286</v>
      </c>
      <c r="AC249" s="102" t="s">
        <v>287</v>
      </c>
      <c r="AF249" s="230"/>
      <c r="AG249" s="230"/>
      <c r="AH249" s="230"/>
      <c r="AI249" s="230"/>
    </row>
    <row r="250">
      <c r="A250" s="102" t="s">
        <v>310</v>
      </c>
      <c r="B250" s="102" t="s">
        <v>2035</v>
      </c>
      <c r="C250" s="229" t="s">
        <v>2036</v>
      </c>
      <c r="D250" s="102" t="s">
        <v>2037</v>
      </c>
      <c r="E250" s="102" t="s">
        <v>556</v>
      </c>
      <c r="F250" s="102" t="s">
        <v>557</v>
      </c>
      <c r="G250" s="102" t="s">
        <v>353</v>
      </c>
      <c r="H250" s="102" t="s">
        <v>354</v>
      </c>
      <c r="I250" s="102" t="s">
        <v>284</v>
      </c>
      <c r="J250" s="102" t="s">
        <v>26</v>
      </c>
      <c r="L250" s="229" t="s">
        <v>2038</v>
      </c>
      <c r="M250" s="229" t="s">
        <v>1906</v>
      </c>
      <c r="N250" s="229" t="s">
        <v>1978</v>
      </c>
      <c r="O250" s="102">
        <v>5.0</v>
      </c>
      <c r="P250" s="102" t="s">
        <v>1855</v>
      </c>
      <c r="U250" s="102">
        <v>57600.0</v>
      </c>
      <c r="V250" s="102" t="s">
        <v>1259</v>
      </c>
      <c r="W250" s="102" t="s">
        <v>1203</v>
      </c>
      <c r="X250" s="102" t="s">
        <v>1204</v>
      </c>
      <c r="Y250" s="102" t="s">
        <v>1205</v>
      </c>
      <c r="Z250" s="102" t="s">
        <v>1205</v>
      </c>
      <c r="AA250" s="102" t="s">
        <v>1058</v>
      </c>
      <c r="AB250" s="102" t="s">
        <v>1058</v>
      </c>
      <c r="AC250" s="102" t="s">
        <v>714</v>
      </c>
      <c r="AF250" s="230"/>
      <c r="AG250" s="230"/>
      <c r="AH250" s="230"/>
      <c r="AI250" s="230"/>
    </row>
    <row r="251">
      <c r="A251" s="102" t="s">
        <v>310</v>
      </c>
      <c r="B251" s="102" t="s">
        <v>2039</v>
      </c>
      <c r="C251" s="229" t="s">
        <v>2040</v>
      </c>
      <c r="D251" s="102" t="s">
        <v>2041</v>
      </c>
      <c r="E251" s="102" t="s">
        <v>564</v>
      </c>
      <c r="F251" s="102" t="s">
        <v>565</v>
      </c>
      <c r="G251" s="102" t="s">
        <v>353</v>
      </c>
      <c r="H251" s="102" t="s">
        <v>354</v>
      </c>
      <c r="I251" s="102" t="s">
        <v>284</v>
      </c>
      <c r="J251" s="102" t="s">
        <v>26</v>
      </c>
      <c r="L251" s="229" t="s">
        <v>2038</v>
      </c>
      <c r="M251" s="229" t="s">
        <v>1906</v>
      </c>
      <c r="N251" s="229" t="s">
        <v>2042</v>
      </c>
      <c r="O251" s="102">
        <v>5.0</v>
      </c>
      <c r="P251" s="102" t="s">
        <v>1855</v>
      </c>
      <c r="U251" s="102">
        <v>57600.0</v>
      </c>
      <c r="V251" s="102" t="s">
        <v>1259</v>
      </c>
      <c r="W251" s="102" t="s">
        <v>1203</v>
      </c>
      <c r="X251" s="102" t="s">
        <v>1204</v>
      </c>
      <c r="Y251" s="102" t="s">
        <v>1205</v>
      </c>
      <c r="Z251" s="102" t="s">
        <v>1205</v>
      </c>
      <c r="AA251" s="102" t="s">
        <v>1058</v>
      </c>
      <c r="AB251" s="102" t="s">
        <v>1058</v>
      </c>
      <c r="AC251" s="102" t="s">
        <v>714</v>
      </c>
      <c r="AF251" s="230"/>
      <c r="AG251" s="230"/>
      <c r="AH251" s="230"/>
      <c r="AI251" s="230"/>
    </row>
    <row r="252">
      <c r="A252" s="102" t="s">
        <v>310</v>
      </c>
      <c r="B252" s="102" t="s">
        <v>2043</v>
      </c>
      <c r="C252" s="229" t="s">
        <v>2044</v>
      </c>
      <c r="D252" s="102" t="s">
        <v>2045</v>
      </c>
      <c r="E252" s="102" t="s">
        <v>564</v>
      </c>
      <c r="F252" s="102" t="s">
        <v>565</v>
      </c>
      <c r="G252" s="102" t="s">
        <v>353</v>
      </c>
      <c r="H252" s="102" t="s">
        <v>354</v>
      </c>
      <c r="I252" s="102" t="s">
        <v>284</v>
      </c>
      <c r="J252" s="102" t="s">
        <v>26</v>
      </c>
      <c r="L252" s="229" t="s">
        <v>2046</v>
      </c>
      <c r="M252" s="229" t="s">
        <v>1906</v>
      </c>
      <c r="N252" s="229" t="s">
        <v>1978</v>
      </c>
      <c r="O252" s="102">
        <v>5.0</v>
      </c>
      <c r="P252" s="102" t="s">
        <v>1855</v>
      </c>
      <c r="U252" s="102">
        <v>57600.0</v>
      </c>
      <c r="V252" s="102" t="s">
        <v>1259</v>
      </c>
      <c r="W252" s="102" t="s">
        <v>1203</v>
      </c>
      <c r="X252" s="102" t="s">
        <v>1204</v>
      </c>
      <c r="Y252" s="102" t="s">
        <v>1205</v>
      </c>
      <c r="Z252" s="102" t="s">
        <v>1205</v>
      </c>
      <c r="AA252" s="102" t="s">
        <v>1058</v>
      </c>
      <c r="AB252" s="102" t="s">
        <v>1058</v>
      </c>
      <c r="AC252" s="102" t="s">
        <v>714</v>
      </c>
      <c r="AF252" s="230"/>
      <c r="AG252" s="230"/>
      <c r="AH252" s="230"/>
      <c r="AI252" s="230"/>
    </row>
    <row r="253">
      <c r="A253" s="102" t="s">
        <v>310</v>
      </c>
      <c r="B253" s="102" t="s">
        <v>2047</v>
      </c>
      <c r="C253" s="229" t="s">
        <v>2048</v>
      </c>
      <c r="D253" s="102" t="s">
        <v>2049</v>
      </c>
      <c r="E253" s="102" t="s">
        <v>556</v>
      </c>
      <c r="F253" s="102" t="s">
        <v>557</v>
      </c>
      <c r="G253" s="102" t="s">
        <v>353</v>
      </c>
      <c r="H253" s="102" t="s">
        <v>354</v>
      </c>
      <c r="I253" s="102" t="s">
        <v>284</v>
      </c>
      <c r="J253" s="102" t="s">
        <v>26</v>
      </c>
      <c r="L253" s="229" t="s">
        <v>2046</v>
      </c>
      <c r="M253" s="229" t="s">
        <v>1906</v>
      </c>
      <c r="N253" s="229" t="s">
        <v>1978</v>
      </c>
      <c r="O253" s="102">
        <v>5.0</v>
      </c>
      <c r="P253" s="102" t="s">
        <v>1855</v>
      </c>
      <c r="U253" s="230"/>
      <c r="V253" s="102" t="s">
        <v>1259</v>
      </c>
      <c r="W253" s="102" t="s">
        <v>1203</v>
      </c>
      <c r="X253" s="102" t="s">
        <v>1204</v>
      </c>
      <c r="Y253" s="102" t="s">
        <v>1205</v>
      </c>
      <c r="Z253" s="102" t="s">
        <v>1205</v>
      </c>
      <c r="AA253" s="102" t="s">
        <v>1058</v>
      </c>
      <c r="AB253" s="102" t="s">
        <v>1058</v>
      </c>
      <c r="AC253" s="102" t="s">
        <v>714</v>
      </c>
      <c r="AF253" s="230"/>
      <c r="AG253" s="230"/>
      <c r="AH253" s="230"/>
      <c r="AI253" s="230"/>
    </row>
    <row r="254">
      <c r="A254" s="102" t="s">
        <v>310</v>
      </c>
      <c r="B254" s="102" t="s">
        <v>2050</v>
      </c>
      <c r="C254" s="229" t="s">
        <v>2051</v>
      </c>
      <c r="D254" s="102" t="s">
        <v>2052</v>
      </c>
      <c r="E254" s="102" t="s">
        <v>564</v>
      </c>
      <c r="F254" s="102" t="s">
        <v>565</v>
      </c>
      <c r="G254" s="102" t="s">
        <v>353</v>
      </c>
      <c r="H254" s="102" t="s">
        <v>354</v>
      </c>
      <c r="I254" s="102" t="s">
        <v>284</v>
      </c>
      <c r="J254" s="102" t="s">
        <v>26</v>
      </c>
      <c r="L254" s="229" t="s">
        <v>2053</v>
      </c>
      <c r="M254" s="229" t="s">
        <v>1906</v>
      </c>
      <c r="N254" s="229" t="s">
        <v>2054</v>
      </c>
      <c r="O254" s="102">
        <v>5.0</v>
      </c>
      <c r="P254" s="102" t="s">
        <v>1855</v>
      </c>
      <c r="U254" s="102">
        <v>57600.0</v>
      </c>
      <c r="V254" s="102" t="s">
        <v>1259</v>
      </c>
      <c r="W254" s="102" t="s">
        <v>1203</v>
      </c>
      <c r="X254" s="102" t="s">
        <v>1204</v>
      </c>
      <c r="Y254" s="102" t="s">
        <v>1205</v>
      </c>
      <c r="Z254" s="102" t="s">
        <v>1205</v>
      </c>
      <c r="AA254" s="102" t="s">
        <v>1058</v>
      </c>
      <c r="AB254" s="102" t="s">
        <v>1058</v>
      </c>
      <c r="AC254" s="102" t="s">
        <v>714</v>
      </c>
      <c r="AF254" s="230"/>
      <c r="AG254" s="230"/>
      <c r="AH254" s="230"/>
      <c r="AI254" s="230"/>
    </row>
    <row r="255">
      <c r="A255" s="102" t="s">
        <v>310</v>
      </c>
      <c r="B255" s="102" t="s">
        <v>2055</v>
      </c>
      <c r="C255" s="229" t="s">
        <v>2056</v>
      </c>
      <c r="D255" s="102" t="s">
        <v>2057</v>
      </c>
      <c r="E255" s="102" t="s">
        <v>556</v>
      </c>
      <c r="F255" s="102" t="s">
        <v>557</v>
      </c>
      <c r="G255" s="102" t="s">
        <v>353</v>
      </c>
      <c r="H255" s="102" t="s">
        <v>354</v>
      </c>
      <c r="I255" s="102" t="s">
        <v>284</v>
      </c>
      <c r="J255" s="102" t="s">
        <v>26</v>
      </c>
      <c r="L255" s="229" t="s">
        <v>2058</v>
      </c>
      <c r="M255" s="229" t="s">
        <v>1906</v>
      </c>
      <c r="N255" s="229" t="s">
        <v>1352</v>
      </c>
      <c r="O255" s="102">
        <v>5.0</v>
      </c>
      <c r="P255" s="102" t="s">
        <v>593</v>
      </c>
      <c r="Q255" s="102" t="s">
        <v>1855</v>
      </c>
      <c r="U255" s="102">
        <v>57600.0</v>
      </c>
      <c r="V255" s="102" t="s">
        <v>1259</v>
      </c>
      <c r="W255" s="102" t="s">
        <v>1203</v>
      </c>
      <c r="X255" s="102" t="s">
        <v>1204</v>
      </c>
      <c r="Y255" s="102" t="s">
        <v>1205</v>
      </c>
      <c r="Z255" s="102" t="s">
        <v>1205</v>
      </c>
      <c r="AA255" s="102" t="s">
        <v>1058</v>
      </c>
      <c r="AB255" s="102" t="s">
        <v>1058</v>
      </c>
      <c r="AC255" s="102" t="s">
        <v>714</v>
      </c>
      <c r="AF255" s="230"/>
      <c r="AG255" s="230"/>
      <c r="AH255" s="230"/>
      <c r="AI255" s="230"/>
    </row>
    <row r="256">
      <c r="A256" s="102" t="s">
        <v>630</v>
      </c>
      <c r="B256" s="102" t="s">
        <v>1253</v>
      </c>
      <c r="C256" s="229" t="s">
        <v>1254</v>
      </c>
      <c r="D256" s="102" t="s">
        <v>1255</v>
      </c>
      <c r="G256" s="102" t="s">
        <v>353</v>
      </c>
      <c r="H256" s="102" t="s">
        <v>354</v>
      </c>
      <c r="I256" s="102" t="s">
        <v>284</v>
      </c>
      <c r="J256" s="102" t="s">
        <v>63</v>
      </c>
      <c r="L256" s="229" t="s">
        <v>1256</v>
      </c>
      <c r="M256" s="229" t="s">
        <v>949</v>
      </c>
      <c r="N256" s="229" t="s">
        <v>1257</v>
      </c>
      <c r="O256" s="230"/>
      <c r="U256" s="230"/>
      <c r="V256" s="102" t="s">
        <v>1258</v>
      </c>
      <c r="W256" s="102" t="s">
        <v>1259</v>
      </c>
      <c r="X256" s="102" t="s">
        <v>1203</v>
      </c>
      <c r="Y256" s="102" t="s">
        <v>1204</v>
      </c>
      <c r="Z256" s="102" t="s">
        <v>1260</v>
      </c>
      <c r="AA256" s="102" t="s">
        <v>1205</v>
      </c>
      <c r="AB256" s="102" t="s">
        <v>1205</v>
      </c>
      <c r="AC256" s="102" t="s">
        <v>1058</v>
      </c>
      <c r="AD256" s="102" t="s">
        <v>1058</v>
      </c>
      <c r="AE256" s="102" t="s">
        <v>714</v>
      </c>
      <c r="AF256" s="102" t="s">
        <v>358</v>
      </c>
      <c r="AG256" s="230"/>
      <c r="AH256" s="230"/>
      <c r="AI256" s="230"/>
    </row>
    <row r="257">
      <c r="A257" s="102" t="s">
        <v>310</v>
      </c>
      <c r="B257" s="102" t="s">
        <v>2059</v>
      </c>
      <c r="C257" s="229" t="s">
        <v>2060</v>
      </c>
      <c r="D257" s="102" t="s">
        <v>2061</v>
      </c>
      <c r="E257" s="102" t="s">
        <v>282</v>
      </c>
      <c r="F257" s="102" t="s">
        <v>283</v>
      </c>
      <c r="G257" s="102" t="s">
        <v>282</v>
      </c>
      <c r="H257" s="102" t="s">
        <v>283</v>
      </c>
      <c r="I257" s="102" t="s">
        <v>284</v>
      </c>
      <c r="J257" s="102" t="s">
        <v>26</v>
      </c>
      <c r="L257" s="229" t="s">
        <v>2062</v>
      </c>
      <c r="M257" s="229" t="s">
        <v>2063</v>
      </c>
      <c r="O257" s="102">
        <v>2.0</v>
      </c>
      <c r="U257" s="230"/>
      <c r="V257" s="102" t="s">
        <v>417</v>
      </c>
      <c r="AF257" s="230"/>
      <c r="AG257" s="230"/>
      <c r="AH257" s="230"/>
      <c r="AI257" s="230"/>
    </row>
    <row r="258">
      <c r="A258" s="102" t="s">
        <v>310</v>
      </c>
      <c r="B258" s="102" t="s">
        <v>1266</v>
      </c>
      <c r="C258" s="229" t="s">
        <v>1267</v>
      </c>
      <c r="D258" s="102" t="s">
        <v>1268</v>
      </c>
      <c r="E258" s="102" t="s">
        <v>495</v>
      </c>
      <c r="F258" s="102" t="s">
        <v>496</v>
      </c>
      <c r="G258" s="102" t="s">
        <v>282</v>
      </c>
      <c r="H258" s="102" t="s">
        <v>283</v>
      </c>
      <c r="I258" s="102" t="s">
        <v>284</v>
      </c>
      <c r="J258" s="102" t="s">
        <v>454</v>
      </c>
      <c r="L258" s="229" t="s">
        <v>1269</v>
      </c>
      <c r="M258" s="229" t="s">
        <v>1014</v>
      </c>
      <c r="N258" s="229" t="s">
        <v>1170</v>
      </c>
      <c r="O258" s="102">
        <v>5.0</v>
      </c>
      <c r="U258" s="102">
        <v>7200.0</v>
      </c>
      <c r="V258" s="102" t="s">
        <v>299</v>
      </c>
      <c r="W258" s="102" t="s">
        <v>286</v>
      </c>
      <c r="X258" s="102" t="s">
        <v>287</v>
      </c>
      <c r="Y258" s="102" t="s">
        <v>288</v>
      </c>
      <c r="AF258" s="230"/>
      <c r="AG258" s="230"/>
      <c r="AH258" s="230"/>
      <c r="AI258" s="230"/>
    </row>
    <row r="259">
      <c r="A259" s="102" t="s">
        <v>310</v>
      </c>
      <c r="B259" s="102" t="s">
        <v>1271</v>
      </c>
      <c r="C259" s="229" t="s">
        <v>1272</v>
      </c>
      <c r="D259" s="102" t="s">
        <v>1273</v>
      </c>
      <c r="E259" s="102" t="s">
        <v>328</v>
      </c>
      <c r="F259" s="102" t="s">
        <v>329</v>
      </c>
      <c r="G259" s="102" t="s">
        <v>282</v>
      </c>
      <c r="H259" s="102" t="s">
        <v>283</v>
      </c>
      <c r="I259" s="102" t="s">
        <v>284</v>
      </c>
      <c r="J259" s="102" t="s">
        <v>454</v>
      </c>
      <c r="L259" s="229" t="s">
        <v>1274</v>
      </c>
      <c r="M259" s="229" t="s">
        <v>1014</v>
      </c>
      <c r="N259" s="229" t="s">
        <v>1275</v>
      </c>
      <c r="O259" s="102">
        <v>3.0</v>
      </c>
      <c r="U259" s="230"/>
      <c r="V259" s="102" t="s">
        <v>298</v>
      </c>
      <c r="W259" s="102" t="s">
        <v>299</v>
      </c>
      <c r="X259" s="102" t="s">
        <v>286</v>
      </c>
      <c r="Y259" s="102" t="s">
        <v>287</v>
      </c>
      <c r="Z259" s="102" t="s">
        <v>288</v>
      </c>
      <c r="AF259" s="230"/>
      <c r="AG259" s="230"/>
      <c r="AH259" s="230"/>
      <c r="AI259" s="230"/>
    </row>
    <row r="260">
      <c r="A260" s="102" t="s">
        <v>310</v>
      </c>
      <c r="B260" s="102" t="s">
        <v>2064</v>
      </c>
      <c r="C260" s="229" t="s">
        <v>2065</v>
      </c>
      <c r="D260" s="102" t="s">
        <v>2066</v>
      </c>
      <c r="E260" s="102" t="s">
        <v>584</v>
      </c>
      <c r="F260" s="102" t="s">
        <v>585</v>
      </c>
      <c r="G260" s="102" t="s">
        <v>282</v>
      </c>
      <c r="H260" s="102" t="s">
        <v>283</v>
      </c>
      <c r="I260" s="102" t="s">
        <v>284</v>
      </c>
      <c r="J260" s="102" t="s">
        <v>26</v>
      </c>
      <c r="L260" s="229" t="s">
        <v>2067</v>
      </c>
      <c r="M260" s="229" t="s">
        <v>2068</v>
      </c>
      <c r="N260" s="229" t="s">
        <v>2069</v>
      </c>
      <c r="O260" s="102">
        <v>5.0</v>
      </c>
      <c r="P260" s="102" t="s">
        <v>777</v>
      </c>
      <c r="U260" s="230"/>
      <c r="V260" s="102" t="s">
        <v>299</v>
      </c>
      <c r="W260" s="102" t="s">
        <v>286</v>
      </c>
      <c r="X260" s="102" t="s">
        <v>287</v>
      </c>
      <c r="AF260" s="230"/>
      <c r="AG260" s="230"/>
      <c r="AH260" s="230"/>
      <c r="AI260" s="230"/>
    </row>
    <row r="261">
      <c r="A261" s="102" t="s">
        <v>310</v>
      </c>
      <c r="B261" s="102" t="s">
        <v>2070</v>
      </c>
      <c r="C261" s="229" t="s">
        <v>2071</v>
      </c>
      <c r="D261" s="102" t="s">
        <v>2072</v>
      </c>
      <c r="E261" s="102" t="s">
        <v>495</v>
      </c>
      <c r="F261" s="102" t="s">
        <v>496</v>
      </c>
      <c r="G261" s="102" t="s">
        <v>282</v>
      </c>
      <c r="H261" s="102" t="s">
        <v>283</v>
      </c>
      <c r="I261" s="102" t="s">
        <v>284</v>
      </c>
      <c r="J261" s="102" t="s">
        <v>26</v>
      </c>
      <c r="L261" s="229" t="s">
        <v>2073</v>
      </c>
      <c r="M261" s="229" t="s">
        <v>2074</v>
      </c>
      <c r="O261" s="102">
        <v>1.0</v>
      </c>
      <c r="P261" s="102" t="s">
        <v>435</v>
      </c>
      <c r="U261" s="102">
        <v>3600.0</v>
      </c>
      <c r="V261" s="102" t="s">
        <v>1991</v>
      </c>
      <c r="W261" s="102" t="s">
        <v>1992</v>
      </c>
      <c r="X261" s="102" t="s">
        <v>1085</v>
      </c>
      <c r="Y261" s="102" t="s">
        <v>529</v>
      </c>
      <c r="Z261" s="102" t="s">
        <v>298</v>
      </c>
      <c r="AA261" s="102" t="s">
        <v>299</v>
      </c>
      <c r="AB261" s="102" t="s">
        <v>286</v>
      </c>
      <c r="AC261" s="102" t="s">
        <v>287</v>
      </c>
      <c r="AF261" s="230"/>
      <c r="AG261" s="230"/>
      <c r="AH261" s="230"/>
      <c r="AI261" s="230"/>
    </row>
    <row r="262">
      <c r="A262" s="102" t="s">
        <v>310</v>
      </c>
      <c r="B262" s="102" t="s">
        <v>2075</v>
      </c>
      <c r="C262" s="229" t="s">
        <v>2076</v>
      </c>
      <c r="D262" s="102" t="s">
        <v>2077</v>
      </c>
      <c r="E262" s="102" t="s">
        <v>495</v>
      </c>
      <c r="F262" s="102" t="s">
        <v>496</v>
      </c>
      <c r="G262" s="102" t="s">
        <v>282</v>
      </c>
      <c r="H262" s="102" t="s">
        <v>283</v>
      </c>
      <c r="I262" s="102" t="s">
        <v>284</v>
      </c>
      <c r="J262" s="102" t="s">
        <v>26</v>
      </c>
      <c r="L262" s="229" t="s">
        <v>2073</v>
      </c>
      <c r="M262" s="229" t="s">
        <v>2074</v>
      </c>
      <c r="O262" s="102">
        <v>1.0</v>
      </c>
      <c r="P262" s="102" t="s">
        <v>435</v>
      </c>
      <c r="U262" s="102">
        <v>7200.0</v>
      </c>
      <c r="V262" s="102" t="s">
        <v>1991</v>
      </c>
      <c r="W262" s="102" t="s">
        <v>1992</v>
      </c>
      <c r="X262" s="102" t="s">
        <v>1085</v>
      </c>
      <c r="Y262" s="102" t="s">
        <v>529</v>
      </c>
      <c r="Z262" s="102" t="s">
        <v>298</v>
      </c>
      <c r="AA262" s="102" t="s">
        <v>299</v>
      </c>
      <c r="AB262" s="102" t="s">
        <v>286</v>
      </c>
      <c r="AC262" s="102" t="s">
        <v>287</v>
      </c>
      <c r="AF262" s="230"/>
      <c r="AG262" s="230"/>
      <c r="AH262" s="230"/>
      <c r="AI262" s="230"/>
    </row>
    <row r="263">
      <c r="A263" s="102" t="s">
        <v>310</v>
      </c>
      <c r="B263" s="102" t="s">
        <v>2078</v>
      </c>
      <c r="C263" s="229" t="s">
        <v>2079</v>
      </c>
      <c r="D263" s="102" t="s">
        <v>2080</v>
      </c>
      <c r="E263" s="102" t="s">
        <v>495</v>
      </c>
      <c r="F263" s="102" t="s">
        <v>496</v>
      </c>
      <c r="G263" s="102" t="s">
        <v>282</v>
      </c>
      <c r="H263" s="102" t="s">
        <v>283</v>
      </c>
      <c r="I263" s="102" t="s">
        <v>284</v>
      </c>
      <c r="J263" s="102" t="s">
        <v>26</v>
      </c>
      <c r="L263" s="229" t="s">
        <v>2073</v>
      </c>
      <c r="M263" s="229" t="s">
        <v>2074</v>
      </c>
      <c r="O263" s="102">
        <v>2.0</v>
      </c>
      <c r="P263" s="102" t="s">
        <v>435</v>
      </c>
      <c r="S263" s="230"/>
      <c r="T263" s="230"/>
      <c r="U263" s="102">
        <v>10800.0</v>
      </c>
      <c r="V263" s="102" t="s">
        <v>1991</v>
      </c>
      <c r="W263" s="102" t="s">
        <v>1992</v>
      </c>
      <c r="X263" s="102" t="s">
        <v>1085</v>
      </c>
      <c r="Y263" s="102" t="s">
        <v>529</v>
      </c>
      <c r="Z263" s="102" t="s">
        <v>298</v>
      </c>
      <c r="AA263" s="102" t="s">
        <v>299</v>
      </c>
      <c r="AB263" s="102" t="s">
        <v>286</v>
      </c>
      <c r="AC263" s="102" t="s">
        <v>287</v>
      </c>
      <c r="AF263" s="230"/>
      <c r="AG263" s="230"/>
      <c r="AH263" s="230"/>
      <c r="AI263" s="230"/>
    </row>
    <row r="264">
      <c r="A264" s="102" t="s">
        <v>310</v>
      </c>
      <c r="B264" s="102" t="s">
        <v>2081</v>
      </c>
      <c r="C264" s="229" t="s">
        <v>2082</v>
      </c>
      <c r="D264" s="102" t="s">
        <v>2083</v>
      </c>
      <c r="E264" s="102" t="s">
        <v>513</v>
      </c>
      <c r="F264" s="102" t="s">
        <v>514</v>
      </c>
      <c r="G264" s="102" t="s">
        <v>282</v>
      </c>
      <c r="H264" s="102" t="s">
        <v>283</v>
      </c>
      <c r="I264" s="102" t="s">
        <v>284</v>
      </c>
      <c r="J264" s="102" t="s">
        <v>26</v>
      </c>
      <c r="L264" s="229" t="s">
        <v>2073</v>
      </c>
      <c r="M264" s="229" t="s">
        <v>2084</v>
      </c>
      <c r="O264" s="102">
        <v>1.0</v>
      </c>
      <c r="P264" s="102" t="s">
        <v>435</v>
      </c>
      <c r="S264" s="230"/>
      <c r="T264" s="230"/>
      <c r="U264" s="102">
        <v>7200.0</v>
      </c>
      <c r="V264" s="102" t="s">
        <v>1991</v>
      </c>
      <c r="W264" s="102" t="s">
        <v>1992</v>
      </c>
      <c r="X264" s="102" t="s">
        <v>1085</v>
      </c>
      <c r="Y264" s="102" t="s">
        <v>529</v>
      </c>
      <c r="Z264" s="102" t="s">
        <v>298</v>
      </c>
      <c r="AA264" s="102" t="s">
        <v>299</v>
      </c>
      <c r="AB264" s="102" t="s">
        <v>286</v>
      </c>
      <c r="AC264" s="102" t="s">
        <v>287</v>
      </c>
      <c r="AF264" s="230"/>
      <c r="AG264" s="230"/>
      <c r="AH264" s="230"/>
      <c r="AI264" s="230"/>
    </row>
    <row r="265">
      <c r="A265" s="102" t="s">
        <v>310</v>
      </c>
      <c r="B265" s="102" t="s">
        <v>2085</v>
      </c>
      <c r="C265" s="229" t="s">
        <v>2086</v>
      </c>
      <c r="D265" s="102" t="s">
        <v>2087</v>
      </c>
      <c r="E265" s="102" t="s">
        <v>513</v>
      </c>
      <c r="F265" s="102" t="s">
        <v>514</v>
      </c>
      <c r="G265" s="102" t="s">
        <v>282</v>
      </c>
      <c r="H265" s="102" t="s">
        <v>283</v>
      </c>
      <c r="I265" s="102" t="s">
        <v>284</v>
      </c>
      <c r="J265" s="102" t="s">
        <v>26</v>
      </c>
      <c r="L265" s="229" t="s">
        <v>2088</v>
      </c>
      <c r="M265" s="229" t="s">
        <v>2084</v>
      </c>
      <c r="N265" s="229" t="s">
        <v>2089</v>
      </c>
      <c r="O265" s="102">
        <v>1.0</v>
      </c>
      <c r="P265" s="102" t="s">
        <v>435</v>
      </c>
      <c r="S265" s="230"/>
      <c r="T265" s="230"/>
      <c r="U265" s="102">
        <v>7200.0</v>
      </c>
      <c r="V265" s="102" t="s">
        <v>1991</v>
      </c>
      <c r="W265" s="102" t="s">
        <v>1992</v>
      </c>
      <c r="X265" s="102" t="s">
        <v>1085</v>
      </c>
      <c r="Y265" s="102" t="s">
        <v>529</v>
      </c>
      <c r="Z265" s="102" t="s">
        <v>298</v>
      </c>
      <c r="AA265" s="102" t="s">
        <v>299</v>
      </c>
      <c r="AB265" s="102" t="s">
        <v>286</v>
      </c>
      <c r="AC265" s="102" t="s">
        <v>287</v>
      </c>
      <c r="AF265" s="230"/>
      <c r="AG265" s="230"/>
      <c r="AH265" s="230"/>
      <c r="AI265" s="230"/>
    </row>
    <row r="266">
      <c r="A266" s="102" t="s">
        <v>310</v>
      </c>
      <c r="B266" s="102" t="s">
        <v>2090</v>
      </c>
      <c r="C266" s="229" t="s">
        <v>2091</v>
      </c>
      <c r="D266" s="102" t="s">
        <v>2092</v>
      </c>
      <c r="E266" s="102" t="s">
        <v>513</v>
      </c>
      <c r="F266" s="102" t="s">
        <v>514</v>
      </c>
      <c r="G266" s="102" t="s">
        <v>282</v>
      </c>
      <c r="H266" s="102" t="s">
        <v>283</v>
      </c>
      <c r="I266" s="102" t="s">
        <v>284</v>
      </c>
      <c r="J266" s="102" t="s">
        <v>26</v>
      </c>
      <c r="L266" s="229" t="s">
        <v>2088</v>
      </c>
      <c r="M266" s="229" t="s">
        <v>2084</v>
      </c>
      <c r="O266" s="102">
        <v>1.0</v>
      </c>
      <c r="P266" s="102" t="s">
        <v>435</v>
      </c>
      <c r="S266" s="230"/>
      <c r="T266" s="230"/>
      <c r="U266" s="102">
        <v>7200.0</v>
      </c>
      <c r="V266" s="102" t="s">
        <v>1991</v>
      </c>
      <c r="W266" s="102" t="s">
        <v>1992</v>
      </c>
      <c r="X266" s="102" t="s">
        <v>1085</v>
      </c>
      <c r="Y266" s="102" t="s">
        <v>529</v>
      </c>
      <c r="Z266" s="102" t="s">
        <v>298</v>
      </c>
      <c r="AA266" s="102" t="s">
        <v>299</v>
      </c>
      <c r="AB266" s="102" t="s">
        <v>286</v>
      </c>
      <c r="AC266" s="102" t="s">
        <v>287</v>
      </c>
      <c r="AF266" s="230"/>
      <c r="AG266" s="230"/>
      <c r="AH266" s="230"/>
      <c r="AI266" s="230"/>
    </row>
    <row r="267">
      <c r="A267" s="102" t="s">
        <v>310</v>
      </c>
      <c r="B267" s="102" t="s">
        <v>2093</v>
      </c>
      <c r="C267" s="229" t="s">
        <v>2094</v>
      </c>
      <c r="D267" s="102" t="s">
        <v>2095</v>
      </c>
      <c r="E267" s="102" t="s">
        <v>513</v>
      </c>
      <c r="F267" s="102" t="s">
        <v>514</v>
      </c>
      <c r="G267" s="102" t="s">
        <v>282</v>
      </c>
      <c r="H267" s="102" t="s">
        <v>283</v>
      </c>
      <c r="I267" s="102" t="s">
        <v>284</v>
      </c>
      <c r="J267" s="102" t="s">
        <v>26</v>
      </c>
      <c r="L267" s="229" t="s">
        <v>2088</v>
      </c>
      <c r="M267" s="229" t="s">
        <v>2084</v>
      </c>
      <c r="N267" s="229" t="s">
        <v>2096</v>
      </c>
      <c r="O267" s="102">
        <v>2.0</v>
      </c>
      <c r="P267" s="102" t="s">
        <v>435</v>
      </c>
      <c r="S267" s="230"/>
      <c r="T267" s="230"/>
      <c r="U267" s="102">
        <v>14400.0</v>
      </c>
      <c r="V267" s="102" t="s">
        <v>1991</v>
      </c>
      <c r="W267" s="102" t="s">
        <v>1992</v>
      </c>
      <c r="X267" s="102" t="s">
        <v>1085</v>
      </c>
      <c r="Y267" s="102" t="s">
        <v>529</v>
      </c>
      <c r="Z267" s="102" t="s">
        <v>298</v>
      </c>
      <c r="AA267" s="102" t="s">
        <v>299</v>
      </c>
      <c r="AB267" s="102" t="s">
        <v>286</v>
      </c>
      <c r="AC267" s="102" t="s">
        <v>287</v>
      </c>
      <c r="AD267" s="230"/>
      <c r="AE267" s="230"/>
      <c r="AF267" s="230"/>
      <c r="AG267" s="230"/>
      <c r="AH267" s="230"/>
      <c r="AI267" s="230"/>
    </row>
    <row r="268">
      <c r="A268" s="102" t="s">
        <v>310</v>
      </c>
      <c r="B268" s="102" t="s">
        <v>1276</v>
      </c>
      <c r="C268" s="229" t="s">
        <v>1277</v>
      </c>
      <c r="D268" s="102" t="s">
        <v>1278</v>
      </c>
      <c r="E268" s="102" t="s">
        <v>584</v>
      </c>
      <c r="F268" s="102" t="s">
        <v>585</v>
      </c>
      <c r="G268" s="102" t="s">
        <v>282</v>
      </c>
      <c r="H268" s="102" t="s">
        <v>283</v>
      </c>
      <c r="I268" s="102" t="s">
        <v>284</v>
      </c>
      <c r="J268" s="102" t="s">
        <v>454</v>
      </c>
      <c r="L268" s="229" t="s">
        <v>1279</v>
      </c>
      <c r="M268" s="229" t="s">
        <v>1014</v>
      </c>
      <c r="O268" s="102">
        <v>5.0</v>
      </c>
      <c r="S268" s="230"/>
      <c r="T268" s="230"/>
      <c r="U268" s="230"/>
      <c r="V268" s="102" t="s">
        <v>286</v>
      </c>
      <c r="W268" s="102" t="s">
        <v>287</v>
      </c>
      <c r="X268" s="102" t="s">
        <v>288</v>
      </c>
      <c r="AC268" s="230"/>
      <c r="AD268" s="230"/>
      <c r="AE268" s="230"/>
      <c r="AF268" s="230"/>
      <c r="AG268" s="230"/>
      <c r="AH268" s="230"/>
      <c r="AI268" s="230"/>
    </row>
    <row r="269">
      <c r="A269" s="102" t="s">
        <v>310</v>
      </c>
      <c r="B269" s="102" t="s">
        <v>2097</v>
      </c>
      <c r="C269" s="229" t="s">
        <v>2098</v>
      </c>
      <c r="D269" s="102" t="s">
        <v>2099</v>
      </c>
      <c r="E269" s="102" t="s">
        <v>556</v>
      </c>
      <c r="F269" s="102" t="s">
        <v>557</v>
      </c>
      <c r="G269" s="102" t="s">
        <v>282</v>
      </c>
      <c r="H269" s="102" t="s">
        <v>283</v>
      </c>
      <c r="I269" s="102" t="s">
        <v>648</v>
      </c>
      <c r="J269" s="102" t="s">
        <v>26</v>
      </c>
      <c r="L269" s="229" t="s">
        <v>1283</v>
      </c>
      <c r="M269" s="229" t="s">
        <v>2100</v>
      </c>
      <c r="N269" s="229" t="s">
        <v>1293</v>
      </c>
      <c r="O269" s="102">
        <v>3.0</v>
      </c>
      <c r="S269" s="230"/>
      <c r="T269" s="230"/>
      <c r="U269" s="102">
        <v>28800.0</v>
      </c>
      <c r="V269" s="102" t="s">
        <v>299</v>
      </c>
      <c r="W269" s="102" t="s">
        <v>286</v>
      </c>
      <c r="X269" s="102" t="s">
        <v>287</v>
      </c>
      <c r="AC269" s="230"/>
      <c r="AD269" s="230"/>
      <c r="AE269" s="230"/>
      <c r="AF269" s="230"/>
      <c r="AG269" s="230"/>
      <c r="AH269" s="230"/>
      <c r="AI269" s="230"/>
    </row>
    <row r="270">
      <c r="A270" s="102" t="s">
        <v>310</v>
      </c>
      <c r="B270" s="102" t="s">
        <v>1280</v>
      </c>
      <c r="C270" s="229" t="s">
        <v>1281</v>
      </c>
      <c r="D270" s="102" t="s">
        <v>1282</v>
      </c>
      <c r="E270" s="102" t="s">
        <v>513</v>
      </c>
      <c r="F270" s="102" t="s">
        <v>514</v>
      </c>
      <c r="G270" s="102" t="s">
        <v>282</v>
      </c>
      <c r="H270" s="102" t="s">
        <v>283</v>
      </c>
      <c r="I270" s="102" t="s">
        <v>648</v>
      </c>
      <c r="J270" s="102" t="s">
        <v>454</v>
      </c>
      <c r="L270" s="229" t="s">
        <v>1283</v>
      </c>
      <c r="M270" s="229" t="s">
        <v>1014</v>
      </c>
      <c r="N270" s="229" t="s">
        <v>1126</v>
      </c>
      <c r="O270" s="102">
        <v>3.0</v>
      </c>
      <c r="S270" s="230"/>
      <c r="T270" s="230"/>
      <c r="U270" s="102">
        <v>28800.0</v>
      </c>
      <c r="V270" s="102" t="s">
        <v>299</v>
      </c>
      <c r="W270" s="102" t="s">
        <v>286</v>
      </c>
      <c r="X270" s="102" t="s">
        <v>287</v>
      </c>
      <c r="Y270" s="102" t="s">
        <v>288</v>
      </c>
      <c r="AC270" s="230"/>
      <c r="AD270" s="230"/>
      <c r="AE270" s="230"/>
      <c r="AF270" s="230"/>
      <c r="AG270" s="230"/>
      <c r="AH270" s="230"/>
      <c r="AI270" s="230"/>
    </row>
    <row r="271">
      <c r="A271" s="102" t="s">
        <v>310</v>
      </c>
      <c r="B271" s="102" t="s">
        <v>2101</v>
      </c>
      <c r="C271" s="229" t="s">
        <v>2102</v>
      </c>
      <c r="D271" s="102" t="s">
        <v>2103</v>
      </c>
      <c r="E271" s="102" t="s">
        <v>556</v>
      </c>
      <c r="F271" s="102" t="s">
        <v>557</v>
      </c>
      <c r="G271" s="102" t="s">
        <v>282</v>
      </c>
      <c r="H271" s="102" t="s">
        <v>283</v>
      </c>
      <c r="I271" s="102" t="s">
        <v>284</v>
      </c>
      <c r="J271" s="102" t="s">
        <v>26</v>
      </c>
      <c r="L271" s="229" t="s">
        <v>1283</v>
      </c>
      <c r="M271" s="229" t="s">
        <v>2100</v>
      </c>
      <c r="N271" s="229" t="s">
        <v>1160</v>
      </c>
      <c r="O271" s="102">
        <v>5.0</v>
      </c>
      <c r="S271" s="230"/>
      <c r="T271" s="230"/>
      <c r="U271" s="230"/>
      <c r="V271" s="102" t="s">
        <v>299</v>
      </c>
      <c r="W271" s="102" t="s">
        <v>286</v>
      </c>
      <c r="X271" s="102" t="s">
        <v>287</v>
      </c>
      <c r="AC271" s="230"/>
      <c r="AD271" s="230"/>
      <c r="AE271" s="230"/>
      <c r="AF271" s="230"/>
      <c r="AG271" s="230"/>
      <c r="AH271" s="230"/>
      <c r="AI271" s="230"/>
    </row>
    <row r="272">
      <c r="A272" s="102" t="s">
        <v>310</v>
      </c>
      <c r="B272" s="102" t="s">
        <v>1284</v>
      </c>
      <c r="C272" s="229" t="s">
        <v>1285</v>
      </c>
      <c r="D272" s="102" t="s">
        <v>1286</v>
      </c>
      <c r="E272" s="102" t="s">
        <v>513</v>
      </c>
      <c r="F272" s="102" t="s">
        <v>514</v>
      </c>
      <c r="G272" s="102" t="s">
        <v>282</v>
      </c>
      <c r="H272" s="102" t="s">
        <v>283</v>
      </c>
      <c r="I272" s="102" t="s">
        <v>284</v>
      </c>
      <c r="J272" s="102" t="s">
        <v>454</v>
      </c>
      <c r="L272" s="229" t="s">
        <v>1283</v>
      </c>
      <c r="M272" s="229" t="s">
        <v>1014</v>
      </c>
      <c r="N272" s="229" t="s">
        <v>1126</v>
      </c>
      <c r="O272" s="102">
        <v>3.0</v>
      </c>
      <c r="S272" s="230"/>
      <c r="T272" s="230"/>
      <c r="U272" s="102">
        <v>28800.0</v>
      </c>
      <c r="V272" s="102" t="s">
        <v>299</v>
      </c>
      <c r="W272" s="102" t="s">
        <v>286</v>
      </c>
      <c r="X272" s="102" t="s">
        <v>287</v>
      </c>
      <c r="Y272" s="102" t="s">
        <v>288</v>
      </c>
      <c r="AC272" s="230"/>
      <c r="AD272" s="230"/>
      <c r="AE272" s="230"/>
      <c r="AF272" s="230"/>
      <c r="AG272" s="230"/>
      <c r="AH272" s="230"/>
      <c r="AI272" s="230"/>
    </row>
    <row r="273">
      <c r="A273" s="102" t="s">
        <v>310</v>
      </c>
      <c r="B273" s="102" t="s">
        <v>1287</v>
      </c>
      <c r="C273" s="229" t="s">
        <v>1288</v>
      </c>
      <c r="D273" s="102" t="s">
        <v>1289</v>
      </c>
      <c r="E273" s="102" t="s">
        <v>556</v>
      </c>
      <c r="F273" s="102" t="s">
        <v>557</v>
      </c>
      <c r="G273" s="102" t="s">
        <v>282</v>
      </c>
      <c r="H273" s="102" t="s">
        <v>283</v>
      </c>
      <c r="I273" s="102" t="s">
        <v>284</v>
      </c>
      <c r="J273" s="102" t="s">
        <v>454</v>
      </c>
      <c r="L273" s="229" t="s">
        <v>1283</v>
      </c>
      <c r="M273" s="229" t="s">
        <v>1014</v>
      </c>
      <c r="N273" s="229" t="s">
        <v>1126</v>
      </c>
      <c r="O273" s="102">
        <v>3.0</v>
      </c>
      <c r="S273" s="230"/>
      <c r="T273" s="230"/>
      <c r="U273" s="102">
        <v>28800.0</v>
      </c>
      <c r="V273" s="102" t="s">
        <v>299</v>
      </c>
      <c r="W273" s="102" t="s">
        <v>286</v>
      </c>
      <c r="X273" s="102" t="s">
        <v>287</v>
      </c>
      <c r="Y273" s="102" t="s">
        <v>288</v>
      </c>
      <c r="AC273" s="230"/>
      <c r="AD273" s="230"/>
      <c r="AE273" s="230"/>
      <c r="AF273" s="230"/>
      <c r="AG273" s="230"/>
      <c r="AH273" s="230"/>
      <c r="AI273" s="230"/>
    </row>
    <row r="274">
      <c r="A274" s="102" t="s">
        <v>310</v>
      </c>
      <c r="B274" s="102" t="s">
        <v>1290</v>
      </c>
      <c r="C274" s="229" t="s">
        <v>1291</v>
      </c>
      <c r="D274" s="102" t="s">
        <v>1292</v>
      </c>
      <c r="E274" s="102" t="s">
        <v>556</v>
      </c>
      <c r="F274" s="102" t="s">
        <v>557</v>
      </c>
      <c r="G274" s="102" t="s">
        <v>282</v>
      </c>
      <c r="H274" s="102" t="s">
        <v>283</v>
      </c>
      <c r="I274" s="102" t="s">
        <v>284</v>
      </c>
      <c r="J274" s="102" t="s">
        <v>454</v>
      </c>
      <c r="L274" s="229" t="s">
        <v>1283</v>
      </c>
      <c r="M274" s="229" t="s">
        <v>1014</v>
      </c>
      <c r="N274" s="229" t="s">
        <v>1293</v>
      </c>
      <c r="O274" s="102">
        <v>2.0</v>
      </c>
      <c r="S274" s="230"/>
      <c r="T274" s="230"/>
      <c r="U274" s="102">
        <v>14400.0</v>
      </c>
      <c r="V274" s="102" t="s">
        <v>299</v>
      </c>
      <c r="W274" s="102" t="s">
        <v>286</v>
      </c>
      <c r="X274" s="102" t="s">
        <v>287</v>
      </c>
      <c r="Y274" s="102" t="s">
        <v>288</v>
      </c>
      <c r="AC274" s="230"/>
      <c r="AD274" s="230"/>
      <c r="AE274" s="230"/>
      <c r="AF274" s="230"/>
      <c r="AG274" s="230"/>
      <c r="AH274" s="230"/>
      <c r="AI274" s="230"/>
    </row>
    <row r="275">
      <c r="A275" s="102" t="s">
        <v>310</v>
      </c>
      <c r="B275" s="102" t="s">
        <v>2104</v>
      </c>
      <c r="C275" s="229" t="s">
        <v>2105</v>
      </c>
      <c r="D275" s="102" t="s">
        <v>2106</v>
      </c>
      <c r="E275" s="102" t="s">
        <v>328</v>
      </c>
      <c r="F275" s="102" t="s">
        <v>329</v>
      </c>
      <c r="G275" s="102" t="s">
        <v>282</v>
      </c>
      <c r="H275" s="102" t="s">
        <v>283</v>
      </c>
      <c r="I275" s="102" t="s">
        <v>284</v>
      </c>
      <c r="J275" s="102" t="s">
        <v>26</v>
      </c>
      <c r="L275" s="229" t="s">
        <v>1283</v>
      </c>
      <c r="M275" s="229" t="s">
        <v>2100</v>
      </c>
      <c r="N275" s="229" t="s">
        <v>1139</v>
      </c>
      <c r="O275" s="102">
        <v>1.0</v>
      </c>
      <c r="S275" s="230"/>
      <c r="T275" s="230"/>
      <c r="U275" s="230"/>
      <c r="V275" s="102" t="s">
        <v>299</v>
      </c>
      <c r="W275" s="102" t="s">
        <v>286</v>
      </c>
      <c r="X275" s="102" t="s">
        <v>287</v>
      </c>
      <c r="AC275" s="230"/>
      <c r="AD275" s="230"/>
      <c r="AE275" s="230"/>
      <c r="AF275" s="230"/>
      <c r="AG275" s="230"/>
      <c r="AH275" s="230"/>
      <c r="AI275" s="230"/>
    </row>
    <row r="276">
      <c r="A276" s="102" t="s">
        <v>310</v>
      </c>
      <c r="B276" s="102" t="s">
        <v>2107</v>
      </c>
      <c r="C276" s="229" t="s">
        <v>2108</v>
      </c>
      <c r="D276" s="102" t="s">
        <v>2109</v>
      </c>
      <c r="E276" s="102" t="s">
        <v>328</v>
      </c>
      <c r="F276" s="102" t="s">
        <v>329</v>
      </c>
      <c r="G276" s="102" t="s">
        <v>282</v>
      </c>
      <c r="H276" s="102" t="s">
        <v>283</v>
      </c>
      <c r="I276" s="102" t="s">
        <v>284</v>
      </c>
      <c r="J276" s="102" t="s">
        <v>26</v>
      </c>
      <c r="L276" s="229" t="s">
        <v>1283</v>
      </c>
      <c r="M276" s="229" t="s">
        <v>2100</v>
      </c>
      <c r="N276" s="229" t="s">
        <v>1139</v>
      </c>
      <c r="O276" s="102">
        <v>1.0</v>
      </c>
      <c r="S276" s="230"/>
      <c r="T276" s="230"/>
      <c r="U276" s="230"/>
      <c r="V276" s="102" t="s">
        <v>299</v>
      </c>
      <c r="W276" s="102" t="s">
        <v>286</v>
      </c>
      <c r="X276" s="102" t="s">
        <v>287</v>
      </c>
      <c r="AC276" s="230"/>
      <c r="AD276" s="230"/>
      <c r="AE276" s="230"/>
      <c r="AF276" s="230"/>
      <c r="AG276" s="230"/>
      <c r="AH276" s="230"/>
      <c r="AI276" s="230"/>
    </row>
    <row r="277">
      <c r="A277" s="102" t="s">
        <v>310</v>
      </c>
      <c r="B277" s="102" t="s">
        <v>2110</v>
      </c>
      <c r="C277" s="229" t="s">
        <v>2111</v>
      </c>
      <c r="D277" s="102" t="s">
        <v>2112</v>
      </c>
      <c r="E277" s="102" t="s">
        <v>328</v>
      </c>
      <c r="F277" s="102" t="s">
        <v>329</v>
      </c>
      <c r="G277" s="102" t="s">
        <v>282</v>
      </c>
      <c r="H277" s="102" t="s">
        <v>283</v>
      </c>
      <c r="I277" s="102" t="s">
        <v>284</v>
      </c>
      <c r="J277" s="102" t="s">
        <v>26</v>
      </c>
      <c r="L277" s="229" t="s">
        <v>1283</v>
      </c>
      <c r="M277" s="229" t="s">
        <v>2100</v>
      </c>
      <c r="N277" s="229" t="s">
        <v>1139</v>
      </c>
      <c r="O277" s="102">
        <v>1.0</v>
      </c>
      <c r="S277" s="230"/>
      <c r="T277" s="230"/>
      <c r="U277" s="230"/>
      <c r="V277" s="102" t="s">
        <v>299</v>
      </c>
      <c r="W277" s="102" t="s">
        <v>286</v>
      </c>
      <c r="X277" s="102" t="s">
        <v>287</v>
      </c>
      <c r="AC277" s="230"/>
      <c r="AD277" s="230"/>
      <c r="AE277" s="230"/>
      <c r="AF277" s="230"/>
      <c r="AG277" s="230"/>
      <c r="AH277" s="230"/>
      <c r="AI277" s="230"/>
    </row>
    <row r="278">
      <c r="A278" s="102" t="s">
        <v>310</v>
      </c>
      <c r="B278" s="102" t="s">
        <v>2113</v>
      </c>
      <c r="C278" s="229" t="s">
        <v>2114</v>
      </c>
      <c r="D278" s="102" t="s">
        <v>2115</v>
      </c>
      <c r="E278" s="102" t="s">
        <v>513</v>
      </c>
      <c r="F278" s="102" t="s">
        <v>514</v>
      </c>
      <c r="G278" s="102" t="s">
        <v>282</v>
      </c>
      <c r="H278" s="102" t="s">
        <v>283</v>
      </c>
      <c r="I278" s="102" t="s">
        <v>648</v>
      </c>
      <c r="J278" s="102" t="s">
        <v>26</v>
      </c>
      <c r="L278" s="229" t="s">
        <v>2116</v>
      </c>
      <c r="M278" s="229" t="s">
        <v>1418</v>
      </c>
      <c r="N278" s="229" t="s">
        <v>1237</v>
      </c>
      <c r="O278" s="102">
        <v>3.0</v>
      </c>
      <c r="S278" s="230"/>
      <c r="T278" s="230"/>
      <c r="U278" s="102">
        <v>28800.0</v>
      </c>
      <c r="V278" s="102" t="s">
        <v>529</v>
      </c>
      <c r="W278" s="102" t="s">
        <v>298</v>
      </c>
      <c r="X278" s="102" t="s">
        <v>299</v>
      </c>
      <c r="Y278" s="102" t="s">
        <v>286</v>
      </c>
      <c r="Z278" s="102" t="s">
        <v>287</v>
      </c>
      <c r="AC278" s="230"/>
      <c r="AD278" s="230"/>
      <c r="AE278" s="230"/>
      <c r="AF278" s="230"/>
      <c r="AG278" s="230"/>
      <c r="AH278" s="230"/>
      <c r="AI278" s="230"/>
    </row>
    <row r="279">
      <c r="A279" s="102" t="s">
        <v>310</v>
      </c>
      <c r="B279" s="102" t="s">
        <v>2117</v>
      </c>
      <c r="C279" s="229" t="s">
        <v>2118</v>
      </c>
      <c r="D279" s="102" t="s">
        <v>2119</v>
      </c>
      <c r="E279" s="102" t="s">
        <v>513</v>
      </c>
      <c r="F279" s="102" t="s">
        <v>514</v>
      </c>
      <c r="G279" s="102" t="s">
        <v>282</v>
      </c>
      <c r="H279" s="102" t="s">
        <v>283</v>
      </c>
      <c r="I279" s="102" t="s">
        <v>648</v>
      </c>
      <c r="J279" s="102" t="s">
        <v>26</v>
      </c>
      <c r="L279" s="229" t="s">
        <v>2116</v>
      </c>
      <c r="M279" s="229" t="s">
        <v>1418</v>
      </c>
      <c r="N279" s="229" t="s">
        <v>1247</v>
      </c>
      <c r="O279" s="102">
        <v>3.0</v>
      </c>
      <c r="S279" s="230"/>
      <c r="T279" s="230"/>
      <c r="U279" s="102">
        <v>28800.0</v>
      </c>
      <c r="V279" s="102" t="s">
        <v>529</v>
      </c>
      <c r="W279" s="102" t="s">
        <v>298</v>
      </c>
      <c r="X279" s="102" t="s">
        <v>299</v>
      </c>
      <c r="Y279" s="102" t="s">
        <v>286</v>
      </c>
      <c r="Z279" s="102" t="s">
        <v>287</v>
      </c>
      <c r="AC279" s="230"/>
      <c r="AD279" s="230"/>
      <c r="AE279" s="230"/>
      <c r="AF279" s="230"/>
      <c r="AG279" s="230"/>
      <c r="AH279" s="230"/>
      <c r="AI279" s="230"/>
    </row>
    <row r="280">
      <c r="A280" s="102" t="s">
        <v>310</v>
      </c>
      <c r="B280" s="102" t="s">
        <v>2120</v>
      </c>
      <c r="C280" s="229" t="s">
        <v>2121</v>
      </c>
      <c r="D280" s="102" t="s">
        <v>2122</v>
      </c>
      <c r="E280" s="102" t="s">
        <v>564</v>
      </c>
      <c r="F280" s="102" t="s">
        <v>565</v>
      </c>
      <c r="G280" s="102" t="s">
        <v>282</v>
      </c>
      <c r="H280" s="102" t="s">
        <v>283</v>
      </c>
      <c r="I280" s="102" t="s">
        <v>284</v>
      </c>
      <c r="J280" s="102" t="s">
        <v>26</v>
      </c>
      <c r="L280" s="229" t="s">
        <v>2123</v>
      </c>
      <c r="M280" s="229" t="s">
        <v>1378</v>
      </c>
      <c r="N280" s="229" t="s">
        <v>1352</v>
      </c>
      <c r="O280" s="102">
        <v>5.0</v>
      </c>
      <c r="P280" s="102" t="s">
        <v>1946</v>
      </c>
      <c r="S280" s="230"/>
      <c r="T280" s="230"/>
      <c r="U280" s="102">
        <v>57600.0</v>
      </c>
      <c r="V280" s="102" t="s">
        <v>1085</v>
      </c>
      <c r="W280" s="102" t="s">
        <v>529</v>
      </c>
      <c r="X280" s="102" t="s">
        <v>298</v>
      </c>
      <c r="Y280" s="102" t="s">
        <v>299</v>
      </c>
      <c r="Z280" s="102" t="s">
        <v>286</v>
      </c>
      <c r="AA280" s="102" t="s">
        <v>287</v>
      </c>
      <c r="AC280" s="230"/>
      <c r="AD280" s="230"/>
      <c r="AE280" s="230"/>
      <c r="AF280" s="230"/>
      <c r="AG280" s="230"/>
      <c r="AH280" s="230"/>
      <c r="AI280" s="230"/>
    </row>
    <row r="281">
      <c r="A281" s="102" t="s">
        <v>310</v>
      </c>
      <c r="B281" s="102" t="s">
        <v>1294</v>
      </c>
      <c r="C281" s="229" t="s">
        <v>1295</v>
      </c>
      <c r="D281" s="102" t="s">
        <v>1296</v>
      </c>
      <c r="E281" s="102" t="s">
        <v>328</v>
      </c>
      <c r="F281" s="102" t="s">
        <v>329</v>
      </c>
      <c r="G281" s="102" t="s">
        <v>282</v>
      </c>
      <c r="H281" s="102" t="s">
        <v>283</v>
      </c>
      <c r="I281" s="102" t="s">
        <v>284</v>
      </c>
      <c r="J281" s="102" t="s">
        <v>454</v>
      </c>
      <c r="L281" s="229" t="s">
        <v>1297</v>
      </c>
      <c r="M281" s="229" t="s">
        <v>2124</v>
      </c>
      <c r="O281" s="102">
        <v>3.0</v>
      </c>
      <c r="S281" s="230"/>
      <c r="T281" s="230"/>
      <c r="U281" s="230"/>
      <c r="V281" s="102" t="s">
        <v>286</v>
      </c>
      <c r="W281" s="102" t="s">
        <v>287</v>
      </c>
      <c r="X281" s="102" t="s">
        <v>288</v>
      </c>
      <c r="AC281" s="230"/>
      <c r="AD281" s="230"/>
      <c r="AE281" s="230"/>
      <c r="AF281" s="230"/>
      <c r="AG281" s="230"/>
      <c r="AH281" s="230"/>
      <c r="AI281" s="230"/>
    </row>
    <row r="282">
      <c r="A282" s="102" t="s">
        <v>310</v>
      </c>
      <c r="B282" s="102" t="s">
        <v>1298</v>
      </c>
      <c r="C282" s="229" t="s">
        <v>1299</v>
      </c>
      <c r="D282" s="102" t="s">
        <v>1300</v>
      </c>
      <c r="E282" s="102" t="s">
        <v>328</v>
      </c>
      <c r="F282" s="102" t="s">
        <v>329</v>
      </c>
      <c r="G282" s="102" t="s">
        <v>282</v>
      </c>
      <c r="H282" s="102" t="s">
        <v>283</v>
      </c>
      <c r="I282" s="102" t="s">
        <v>284</v>
      </c>
      <c r="J282" s="102" t="s">
        <v>454</v>
      </c>
      <c r="L282" s="229" t="s">
        <v>1297</v>
      </c>
      <c r="M282" s="229" t="s">
        <v>960</v>
      </c>
      <c r="O282" s="102">
        <v>5.0</v>
      </c>
      <c r="S282" s="230"/>
      <c r="T282" s="230"/>
      <c r="U282" s="230"/>
      <c r="V282" s="102" t="s">
        <v>286</v>
      </c>
      <c r="W282" s="102" t="s">
        <v>287</v>
      </c>
      <c r="X282" s="102" t="s">
        <v>288</v>
      </c>
      <c r="AC282" s="230"/>
      <c r="AD282" s="230"/>
      <c r="AE282" s="230"/>
      <c r="AF282" s="230"/>
      <c r="AG282" s="230"/>
      <c r="AH282" s="230"/>
      <c r="AI282" s="230"/>
    </row>
    <row r="283">
      <c r="A283" s="102" t="s">
        <v>310</v>
      </c>
      <c r="B283" s="102" t="s">
        <v>1301</v>
      </c>
      <c r="C283" s="229" t="s">
        <v>1302</v>
      </c>
      <c r="D283" s="102" t="s">
        <v>1303</v>
      </c>
      <c r="E283" s="102" t="s">
        <v>495</v>
      </c>
      <c r="F283" s="102" t="s">
        <v>496</v>
      </c>
      <c r="G283" s="102" t="s">
        <v>282</v>
      </c>
      <c r="H283" s="102" t="s">
        <v>283</v>
      </c>
      <c r="I283" s="102" t="s">
        <v>284</v>
      </c>
      <c r="J283" s="102" t="s">
        <v>454</v>
      </c>
      <c r="L283" s="229" t="s">
        <v>1297</v>
      </c>
      <c r="M283" s="229" t="s">
        <v>960</v>
      </c>
      <c r="N283" s="229" t="s">
        <v>1304</v>
      </c>
      <c r="O283" s="102">
        <v>8.0</v>
      </c>
      <c r="P283" s="102" t="s">
        <v>1305</v>
      </c>
      <c r="S283" s="230"/>
      <c r="T283" s="230"/>
      <c r="U283" s="102">
        <v>57600.0</v>
      </c>
      <c r="V283" s="102" t="s">
        <v>298</v>
      </c>
      <c r="W283" s="102" t="s">
        <v>299</v>
      </c>
      <c r="X283" s="102" t="s">
        <v>286</v>
      </c>
      <c r="Y283" s="102" t="s">
        <v>287</v>
      </c>
      <c r="Z283" s="102" t="s">
        <v>288</v>
      </c>
      <c r="AC283" s="230"/>
      <c r="AD283" s="230"/>
      <c r="AE283" s="230"/>
      <c r="AF283" s="230"/>
      <c r="AG283" s="230"/>
      <c r="AH283" s="230"/>
      <c r="AI283" s="230"/>
    </row>
    <row r="284">
      <c r="A284" s="102" t="s">
        <v>310</v>
      </c>
      <c r="B284" s="102" t="s">
        <v>1306</v>
      </c>
      <c r="C284" s="229" t="s">
        <v>1307</v>
      </c>
      <c r="D284" s="102" t="s">
        <v>1308</v>
      </c>
      <c r="E284" s="102" t="s">
        <v>328</v>
      </c>
      <c r="F284" s="102" t="s">
        <v>329</v>
      </c>
      <c r="G284" s="102" t="s">
        <v>282</v>
      </c>
      <c r="H284" s="102" t="s">
        <v>283</v>
      </c>
      <c r="I284" s="102" t="s">
        <v>284</v>
      </c>
      <c r="J284" s="102" t="s">
        <v>454</v>
      </c>
      <c r="L284" s="229" t="s">
        <v>1297</v>
      </c>
      <c r="M284" s="229" t="s">
        <v>2125</v>
      </c>
      <c r="N284" s="229" t="s">
        <v>1304</v>
      </c>
      <c r="O284" s="102">
        <v>2.0</v>
      </c>
      <c r="S284" s="230"/>
      <c r="T284" s="230"/>
      <c r="U284" s="230"/>
      <c r="V284" s="102" t="s">
        <v>298</v>
      </c>
      <c r="W284" s="102" t="s">
        <v>299</v>
      </c>
      <c r="X284" s="102" t="s">
        <v>286</v>
      </c>
      <c r="Y284" s="102" t="s">
        <v>287</v>
      </c>
      <c r="Z284" s="102" t="s">
        <v>288</v>
      </c>
      <c r="AC284" s="230"/>
      <c r="AD284" s="230"/>
      <c r="AE284" s="230"/>
      <c r="AF284" s="230"/>
      <c r="AG284" s="230"/>
      <c r="AH284" s="230"/>
      <c r="AI284" s="230"/>
    </row>
    <row r="285">
      <c r="A285" s="102" t="s">
        <v>310</v>
      </c>
      <c r="B285" s="102" t="s">
        <v>2126</v>
      </c>
      <c r="C285" s="229" t="s">
        <v>2127</v>
      </c>
      <c r="D285" s="102" t="s">
        <v>2128</v>
      </c>
      <c r="E285" s="102" t="s">
        <v>556</v>
      </c>
      <c r="F285" s="102" t="s">
        <v>557</v>
      </c>
      <c r="G285" s="102" t="s">
        <v>282</v>
      </c>
      <c r="H285" s="102" t="s">
        <v>283</v>
      </c>
      <c r="I285" s="102" t="s">
        <v>648</v>
      </c>
      <c r="J285" s="102" t="s">
        <v>26</v>
      </c>
      <c r="L285" s="229" t="s">
        <v>1312</v>
      </c>
      <c r="M285" s="229" t="s">
        <v>2129</v>
      </c>
      <c r="N285" s="229" t="s">
        <v>1202</v>
      </c>
      <c r="O285" s="102">
        <v>5.0</v>
      </c>
      <c r="S285" s="230"/>
      <c r="T285" s="230"/>
      <c r="U285" s="102">
        <v>57600.0</v>
      </c>
      <c r="V285" s="102" t="s">
        <v>529</v>
      </c>
      <c r="W285" s="102" t="s">
        <v>298</v>
      </c>
      <c r="X285" s="102" t="s">
        <v>299</v>
      </c>
      <c r="Y285" s="102" t="s">
        <v>286</v>
      </c>
      <c r="Z285" s="102" t="s">
        <v>287</v>
      </c>
      <c r="AC285" s="230"/>
      <c r="AD285" s="230"/>
      <c r="AE285" s="230"/>
      <c r="AF285" s="230"/>
      <c r="AG285" s="230"/>
      <c r="AH285" s="230"/>
      <c r="AI285" s="230"/>
    </row>
    <row r="286">
      <c r="A286" s="102" t="s">
        <v>310</v>
      </c>
      <c r="B286" s="102" t="s">
        <v>1309</v>
      </c>
      <c r="C286" s="229" t="s">
        <v>1310</v>
      </c>
      <c r="D286" s="102" t="s">
        <v>1311</v>
      </c>
      <c r="E286" s="102" t="s">
        <v>556</v>
      </c>
      <c r="F286" s="102" t="s">
        <v>557</v>
      </c>
      <c r="G286" s="102" t="s">
        <v>282</v>
      </c>
      <c r="H286" s="102" t="s">
        <v>283</v>
      </c>
      <c r="I286" s="102" t="s">
        <v>284</v>
      </c>
      <c r="J286" s="102" t="s">
        <v>454</v>
      </c>
      <c r="L286" s="229" t="s">
        <v>1312</v>
      </c>
      <c r="M286" s="229" t="s">
        <v>2124</v>
      </c>
      <c r="N286" s="229" t="s">
        <v>1304</v>
      </c>
      <c r="O286" s="102">
        <v>3.0</v>
      </c>
      <c r="S286" s="230"/>
      <c r="T286" s="230"/>
      <c r="U286" s="102">
        <v>28800.0</v>
      </c>
      <c r="V286" s="102" t="s">
        <v>298</v>
      </c>
      <c r="W286" s="102" t="s">
        <v>299</v>
      </c>
      <c r="X286" s="102" t="s">
        <v>286</v>
      </c>
      <c r="Y286" s="102" t="s">
        <v>287</v>
      </c>
      <c r="Z286" s="102" t="s">
        <v>288</v>
      </c>
      <c r="AC286" s="230"/>
      <c r="AD286" s="230"/>
      <c r="AE286" s="230"/>
      <c r="AF286" s="230"/>
      <c r="AG286" s="230"/>
      <c r="AH286" s="230"/>
      <c r="AI286" s="230"/>
    </row>
    <row r="287">
      <c r="A287" s="102" t="s">
        <v>310</v>
      </c>
      <c r="B287" s="102" t="s">
        <v>1313</v>
      </c>
      <c r="C287" s="229" t="s">
        <v>1314</v>
      </c>
      <c r="D287" s="102" t="s">
        <v>1315</v>
      </c>
      <c r="E287" s="102" t="s">
        <v>556</v>
      </c>
      <c r="F287" s="102" t="s">
        <v>557</v>
      </c>
      <c r="G287" s="102" t="s">
        <v>282</v>
      </c>
      <c r="H287" s="102" t="s">
        <v>283</v>
      </c>
      <c r="I287" s="102" t="s">
        <v>284</v>
      </c>
      <c r="J287" s="102" t="s">
        <v>454</v>
      </c>
      <c r="L287" s="229" t="s">
        <v>1312</v>
      </c>
      <c r="M287" s="229" t="s">
        <v>2124</v>
      </c>
      <c r="N287" s="229" t="s">
        <v>1304</v>
      </c>
      <c r="O287" s="102">
        <v>3.0</v>
      </c>
      <c r="S287" s="230"/>
      <c r="T287" s="230"/>
      <c r="U287" s="102">
        <v>28800.0</v>
      </c>
      <c r="V287" s="102" t="s">
        <v>298</v>
      </c>
      <c r="W287" s="102" t="s">
        <v>299</v>
      </c>
      <c r="X287" s="102" t="s">
        <v>286</v>
      </c>
      <c r="Y287" s="102" t="s">
        <v>287</v>
      </c>
      <c r="Z287" s="102" t="s">
        <v>288</v>
      </c>
      <c r="AC287" s="230"/>
      <c r="AD287" s="230"/>
      <c r="AE287" s="230"/>
      <c r="AF287" s="230"/>
      <c r="AG287" s="230"/>
      <c r="AH287" s="230"/>
      <c r="AI287" s="230"/>
    </row>
    <row r="288">
      <c r="A288" s="102" t="s">
        <v>310</v>
      </c>
      <c r="B288" s="102" t="s">
        <v>1316</v>
      </c>
      <c r="C288" s="229" t="s">
        <v>1317</v>
      </c>
      <c r="D288" s="102" t="s">
        <v>1318</v>
      </c>
      <c r="E288" s="102" t="s">
        <v>584</v>
      </c>
      <c r="F288" s="102" t="s">
        <v>585</v>
      </c>
      <c r="G288" s="102" t="s">
        <v>282</v>
      </c>
      <c r="H288" s="102" t="s">
        <v>283</v>
      </c>
      <c r="I288" s="102" t="s">
        <v>284</v>
      </c>
      <c r="J288" s="102" t="s">
        <v>454</v>
      </c>
      <c r="L288" s="229" t="s">
        <v>1319</v>
      </c>
      <c r="M288" s="229" t="s">
        <v>1014</v>
      </c>
      <c r="O288" s="102">
        <v>5.0</v>
      </c>
      <c r="S288" s="230"/>
      <c r="T288" s="230"/>
      <c r="U288" s="230"/>
      <c r="V288" s="102" t="s">
        <v>286</v>
      </c>
      <c r="W288" s="102" t="s">
        <v>287</v>
      </c>
      <c r="X288" s="102" t="s">
        <v>288</v>
      </c>
      <c r="AC288" s="230"/>
      <c r="AD288" s="230"/>
      <c r="AE288" s="230"/>
      <c r="AF288" s="230"/>
      <c r="AG288" s="230"/>
      <c r="AH288" s="230"/>
      <c r="AI288" s="230"/>
    </row>
    <row r="289">
      <c r="A289" s="102" t="s">
        <v>310</v>
      </c>
      <c r="B289" s="102" t="s">
        <v>1320</v>
      </c>
      <c r="C289" s="229" t="s">
        <v>1321</v>
      </c>
      <c r="D289" s="102" t="s">
        <v>1322</v>
      </c>
      <c r="E289" s="102" t="s">
        <v>328</v>
      </c>
      <c r="F289" s="102" t="s">
        <v>329</v>
      </c>
      <c r="G289" s="102" t="s">
        <v>282</v>
      </c>
      <c r="H289" s="102" t="s">
        <v>283</v>
      </c>
      <c r="I289" s="102" t="s">
        <v>284</v>
      </c>
      <c r="J289" s="102" t="s">
        <v>454</v>
      </c>
      <c r="L289" s="229" t="s">
        <v>1319</v>
      </c>
      <c r="M289" s="229" t="s">
        <v>1014</v>
      </c>
      <c r="N289" s="229" t="s">
        <v>1323</v>
      </c>
      <c r="O289" s="102">
        <v>5.0</v>
      </c>
      <c r="S289" s="230"/>
      <c r="T289" s="230"/>
      <c r="U289" s="230"/>
      <c r="V289" s="102" t="s">
        <v>298</v>
      </c>
      <c r="W289" s="102" t="s">
        <v>299</v>
      </c>
      <c r="X289" s="102" t="s">
        <v>286</v>
      </c>
      <c r="Y289" s="102" t="s">
        <v>287</v>
      </c>
      <c r="Z289" s="102" t="s">
        <v>288</v>
      </c>
      <c r="AC289" s="230"/>
      <c r="AD289" s="230"/>
      <c r="AE289" s="230"/>
      <c r="AF289" s="230"/>
      <c r="AG289" s="230"/>
      <c r="AH289" s="230"/>
      <c r="AI289" s="230"/>
    </row>
    <row r="290">
      <c r="A290" s="102" t="s">
        <v>310</v>
      </c>
      <c r="B290" s="102" t="s">
        <v>2130</v>
      </c>
      <c r="C290" s="229" t="s">
        <v>2131</v>
      </c>
      <c r="D290" s="102" t="s">
        <v>2132</v>
      </c>
      <c r="E290" s="102" t="s">
        <v>584</v>
      </c>
      <c r="F290" s="102" t="s">
        <v>585</v>
      </c>
      <c r="G290" s="102" t="s">
        <v>282</v>
      </c>
      <c r="H290" s="102" t="s">
        <v>283</v>
      </c>
      <c r="I290" s="102" t="s">
        <v>284</v>
      </c>
      <c r="J290" s="102" t="s">
        <v>26</v>
      </c>
      <c r="L290" s="229" t="s">
        <v>1319</v>
      </c>
      <c r="M290" s="229" t="s">
        <v>1822</v>
      </c>
      <c r="O290" s="102">
        <v>2.0</v>
      </c>
      <c r="P290" s="102" t="s">
        <v>593</v>
      </c>
      <c r="S290" s="230"/>
      <c r="T290" s="230"/>
      <c r="U290" s="230"/>
      <c r="V290" s="102" t="s">
        <v>286</v>
      </c>
      <c r="W290" s="102" t="s">
        <v>287</v>
      </c>
      <c r="AC290" s="230"/>
      <c r="AD290" s="230"/>
      <c r="AE290" s="230"/>
      <c r="AF290" s="230"/>
      <c r="AG290" s="230"/>
      <c r="AH290" s="230"/>
      <c r="AI290" s="230"/>
    </row>
    <row r="291">
      <c r="A291" s="102" t="s">
        <v>310</v>
      </c>
      <c r="B291" s="102" t="s">
        <v>2133</v>
      </c>
      <c r="C291" s="229" t="s">
        <v>2134</v>
      </c>
      <c r="D291" s="102" t="s">
        <v>2135</v>
      </c>
      <c r="E291" s="102" t="s">
        <v>584</v>
      </c>
      <c r="F291" s="102" t="s">
        <v>585</v>
      </c>
      <c r="G291" s="102" t="s">
        <v>282</v>
      </c>
      <c r="H291" s="102" t="s">
        <v>283</v>
      </c>
      <c r="I291" s="102" t="s">
        <v>284</v>
      </c>
      <c r="J291" s="102" t="s">
        <v>26</v>
      </c>
      <c r="L291" s="229" t="s">
        <v>2136</v>
      </c>
      <c r="M291" s="229" t="s">
        <v>2137</v>
      </c>
      <c r="O291" s="102">
        <v>3.0</v>
      </c>
      <c r="P291" s="102" t="s">
        <v>593</v>
      </c>
      <c r="S291" s="230"/>
      <c r="T291" s="230"/>
      <c r="U291" s="102">
        <v>28800.0</v>
      </c>
      <c r="V291" s="102" t="s">
        <v>529</v>
      </c>
      <c r="W291" s="102" t="s">
        <v>298</v>
      </c>
      <c r="X291" s="102" t="s">
        <v>299</v>
      </c>
      <c r="Y291" s="102" t="s">
        <v>286</v>
      </c>
      <c r="Z291" s="102" t="s">
        <v>287</v>
      </c>
      <c r="AC291" s="230"/>
      <c r="AD291" s="230"/>
      <c r="AE291" s="230"/>
      <c r="AF291" s="230"/>
      <c r="AG291" s="230"/>
      <c r="AH291" s="230"/>
      <c r="AI291" s="230"/>
    </row>
    <row r="292">
      <c r="A292" s="102" t="s">
        <v>310</v>
      </c>
      <c r="B292" s="102" t="s">
        <v>1324</v>
      </c>
      <c r="C292" s="229" t="s">
        <v>1325</v>
      </c>
      <c r="D292" s="102" t="s">
        <v>1326</v>
      </c>
      <c r="E292" s="102" t="s">
        <v>584</v>
      </c>
      <c r="F292" s="102" t="s">
        <v>585</v>
      </c>
      <c r="G292" s="102" t="s">
        <v>282</v>
      </c>
      <c r="H292" s="102" t="s">
        <v>283</v>
      </c>
      <c r="I292" s="102" t="s">
        <v>284</v>
      </c>
      <c r="J292" s="102" t="s">
        <v>454</v>
      </c>
      <c r="L292" s="229" t="s">
        <v>1327</v>
      </c>
      <c r="M292" s="229" t="s">
        <v>1014</v>
      </c>
      <c r="O292" s="102">
        <v>3.0</v>
      </c>
      <c r="S292" s="230"/>
      <c r="T292" s="230"/>
      <c r="U292" s="102">
        <v>28800.0</v>
      </c>
      <c r="V292" s="102" t="s">
        <v>529</v>
      </c>
      <c r="W292" s="102" t="s">
        <v>298</v>
      </c>
      <c r="X292" s="102" t="s">
        <v>299</v>
      </c>
      <c r="Y292" s="102" t="s">
        <v>286</v>
      </c>
      <c r="Z292" s="102" t="s">
        <v>287</v>
      </c>
      <c r="AA292" s="102" t="s">
        <v>288</v>
      </c>
      <c r="AC292" s="230"/>
      <c r="AD292" s="230"/>
      <c r="AE292" s="230"/>
      <c r="AF292" s="230"/>
      <c r="AG292" s="230"/>
      <c r="AH292" s="230"/>
      <c r="AI292" s="230"/>
    </row>
    <row r="293">
      <c r="A293" s="102" t="s">
        <v>310</v>
      </c>
      <c r="B293" s="102" t="s">
        <v>1328</v>
      </c>
      <c r="C293" s="229" t="s">
        <v>1329</v>
      </c>
      <c r="D293" s="102" t="s">
        <v>1330</v>
      </c>
      <c r="E293" s="102" t="s">
        <v>584</v>
      </c>
      <c r="F293" s="102" t="s">
        <v>585</v>
      </c>
      <c r="G293" s="102" t="s">
        <v>282</v>
      </c>
      <c r="H293" s="102" t="s">
        <v>283</v>
      </c>
      <c r="I293" s="102" t="s">
        <v>284</v>
      </c>
      <c r="J293" s="102" t="s">
        <v>454</v>
      </c>
      <c r="L293" s="229" t="s">
        <v>1331</v>
      </c>
      <c r="M293" s="229" t="s">
        <v>1014</v>
      </c>
      <c r="N293" s="229" t="s">
        <v>1192</v>
      </c>
      <c r="O293" s="102">
        <v>3.0</v>
      </c>
      <c r="S293" s="230"/>
      <c r="T293" s="230"/>
      <c r="U293" s="230"/>
      <c r="V293" s="102" t="s">
        <v>286</v>
      </c>
      <c r="W293" s="102" t="s">
        <v>287</v>
      </c>
      <c r="X293" s="102" t="s">
        <v>288</v>
      </c>
      <c r="AC293" s="230"/>
      <c r="AD293" s="230"/>
      <c r="AE293" s="230"/>
      <c r="AF293" s="230"/>
      <c r="AG293" s="230"/>
      <c r="AH293" s="230"/>
      <c r="AI293" s="230"/>
    </row>
    <row r="294">
      <c r="A294" s="102" t="s">
        <v>310</v>
      </c>
      <c r="B294" s="102" t="s">
        <v>1332</v>
      </c>
      <c r="C294" s="229" t="s">
        <v>1333</v>
      </c>
      <c r="D294" s="102" t="s">
        <v>1334</v>
      </c>
      <c r="E294" s="102" t="s">
        <v>564</v>
      </c>
      <c r="F294" s="102" t="s">
        <v>565</v>
      </c>
      <c r="G294" s="102" t="s">
        <v>282</v>
      </c>
      <c r="H294" s="102" t="s">
        <v>283</v>
      </c>
      <c r="I294" s="102" t="s">
        <v>284</v>
      </c>
      <c r="J294" s="102" t="s">
        <v>454</v>
      </c>
      <c r="L294" s="229" t="s">
        <v>1331</v>
      </c>
      <c r="M294" s="229" t="s">
        <v>1014</v>
      </c>
      <c r="N294" s="229" t="s">
        <v>1335</v>
      </c>
      <c r="O294" s="102">
        <v>5.0</v>
      </c>
      <c r="S294" s="230"/>
      <c r="T294" s="230"/>
      <c r="U294" s="230"/>
      <c r="V294" s="102" t="s">
        <v>286</v>
      </c>
      <c r="W294" s="102" t="s">
        <v>287</v>
      </c>
      <c r="X294" s="102" t="s">
        <v>288</v>
      </c>
      <c r="AC294" s="230"/>
      <c r="AD294" s="230"/>
      <c r="AE294" s="230"/>
      <c r="AF294" s="230"/>
      <c r="AG294" s="230"/>
      <c r="AH294" s="230"/>
      <c r="AI294" s="230"/>
    </row>
    <row r="295">
      <c r="A295" s="102" t="s">
        <v>310</v>
      </c>
      <c r="B295" s="102" t="s">
        <v>1336</v>
      </c>
      <c r="C295" s="229" t="s">
        <v>1337</v>
      </c>
      <c r="D295" s="102" t="s">
        <v>1338</v>
      </c>
      <c r="E295" s="102" t="s">
        <v>495</v>
      </c>
      <c r="F295" s="102" t="s">
        <v>496</v>
      </c>
      <c r="G295" s="102" t="s">
        <v>282</v>
      </c>
      <c r="H295" s="102" t="s">
        <v>283</v>
      </c>
      <c r="I295" s="102" t="s">
        <v>284</v>
      </c>
      <c r="J295" s="102" t="s">
        <v>454</v>
      </c>
      <c r="L295" s="229" t="s">
        <v>1331</v>
      </c>
      <c r="M295" s="229" t="s">
        <v>1014</v>
      </c>
      <c r="N295" s="229" t="s">
        <v>1252</v>
      </c>
      <c r="O295" s="102">
        <v>5.0</v>
      </c>
      <c r="S295" s="230"/>
      <c r="T295" s="230"/>
      <c r="U295" s="230"/>
      <c r="V295" s="102" t="s">
        <v>529</v>
      </c>
      <c r="W295" s="102" t="s">
        <v>298</v>
      </c>
      <c r="X295" s="102" t="s">
        <v>299</v>
      </c>
      <c r="Y295" s="102" t="s">
        <v>286</v>
      </c>
      <c r="Z295" s="102" t="s">
        <v>287</v>
      </c>
      <c r="AA295" s="102" t="s">
        <v>288</v>
      </c>
      <c r="AC295" s="230"/>
      <c r="AD295" s="230"/>
      <c r="AE295" s="230"/>
      <c r="AF295" s="230"/>
      <c r="AG295" s="230"/>
      <c r="AH295" s="230"/>
      <c r="AI295" s="230"/>
    </row>
    <row r="296">
      <c r="A296" s="102" t="s">
        <v>310</v>
      </c>
      <c r="B296" s="102" t="s">
        <v>2138</v>
      </c>
      <c r="C296" s="229" t="s">
        <v>2139</v>
      </c>
      <c r="D296" s="102" t="s">
        <v>2140</v>
      </c>
      <c r="E296" s="102" t="s">
        <v>495</v>
      </c>
      <c r="F296" s="102" t="s">
        <v>496</v>
      </c>
      <c r="G296" s="102" t="s">
        <v>282</v>
      </c>
      <c r="H296" s="102" t="s">
        <v>283</v>
      </c>
      <c r="I296" s="102" t="s">
        <v>284</v>
      </c>
      <c r="J296" s="102" t="s">
        <v>26</v>
      </c>
      <c r="L296" s="229" t="s">
        <v>1331</v>
      </c>
      <c r="M296" s="229" t="s">
        <v>1848</v>
      </c>
      <c r="N296" s="229" t="s">
        <v>1004</v>
      </c>
      <c r="O296" s="102">
        <v>5.0</v>
      </c>
      <c r="P296" s="102" t="s">
        <v>1808</v>
      </c>
      <c r="S296" s="230"/>
      <c r="T296" s="230"/>
      <c r="U296" s="102">
        <v>43200.0</v>
      </c>
      <c r="V296" s="102" t="s">
        <v>286</v>
      </c>
      <c r="W296" s="102" t="s">
        <v>287</v>
      </c>
      <c r="AC296" s="230"/>
      <c r="AD296" s="230"/>
      <c r="AE296" s="230"/>
      <c r="AF296" s="230"/>
      <c r="AG296" s="230"/>
      <c r="AH296" s="230"/>
      <c r="AI296" s="230"/>
    </row>
    <row r="297">
      <c r="A297" s="102" t="s">
        <v>310</v>
      </c>
      <c r="B297" s="102" t="s">
        <v>2141</v>
      </c>
      <c r="C297" s="229" t="s">
        <v>2142</v>
      </c>
      <c r="D297" s="102" t="s">
        <v>2143</v>
      </c>
      <c r="E297" s="102" t="s">
        <v>584</v>
      </c>
      <c r="F297" s="102" t="s">
        <v>585</v>
      </c>
      <c r="G297" s="102" t="s">
        <v>282</v>
      </c>
      <c r="H297" s="102" t="s">
        <v>283</v>
      </c>
      <c r="I297" s="102" t="s">
        <v>284</v>
      </c>
      <c r="J297" s="102" t="s">
        <v>26</v>
      </c>
      <c r="L297" s="229" t="s">
        <v>1331</v>
      </c>
      <c r="M297" s="229" t="s">
        <v>1807</v>
      </c>
      <c r="O297" s="102">
        <v>5.0</v>
      </c>
      <c r="P297" s="102" t="s">
        <v>1808</v>
      </c>
      <c r="S297" s="230"/>
      <c r="T297" s="230"/>
      <c r="U297" s="102">
        <v>57600.0</v>
      </c>
      <c r="V297" s="102" t="s">
        <v>529</v>
      </c>
      <c r="W297" s="102" t="s">
        <v>298</v>
      </c>
      <c r="X297" s="102" t="s">
        <v>299</v>
      </c>
      <c r="Y297" s="102" t="s">
        <v>286</v>
      </c>
      <c r="Z297" s="102" t="s">
        <v>287</v>
      </c>
      <c r="AC297" s="230"/>
      <c r="AD297" s="230"/>
      <c r="AE297" s="230"/>
      <c r="AF297" s="230"/>
      <c r="AG297" s="230"/>
      <c r="AH297" s="230"/>
      <c r="AI297" s="230"/>
    </row>
    <row r="298">
      <c r="A298" s="102" t="s">
        <v>310</v>
      </c>
      <c r="B298" s="102" t="s">
        <v>1339</v>
      </c>
      <c r="C298" s="229" t="s">
        <v>1340</v>
      </c>
      <c r="D298" s="102" t="s">
        <v>1341</v>
      </c>
      <c r="E298" s="102" t="s">
        <v>513</v>
      </c>
      <c r="F298" s="102" t="s">
        <v>514</v>
      </c>
      <c r="G298" s="102" t="s">
        <v>282</v>
      </c>
      <c r="H298" s="102" t="s">
        <v>283</v>
      </c>
      <c r="I298" s="102" t="s">
        <v>284</v>
      </c>
      <c r="J298" s="102" t="s">
        <v>454</v>
      </c>
      <c r="L298" s="229" t="s">
        <v>1342</v>
      </c>
      <c r="M298" s="229" t="s">
        <v>1014</v>
      </c>
      <c r="N298" s="229" t="s">
        <v>1343</v>
      </c>
      <c r="O298" s="102">
        <v>5.0</v>
      </c>
      <c r="P298" s="102" t="s">
        <v>1344</v>
      </c>
      <c r="S298" s="230"/>
      <c r="T298" s="230"/>
      <c r="U298" s="102">
        <v>57600.0</v>
      </c>
      <c r="V298" s="102" t="s">
        <v>1085</v>
      </c>
      <c r="W298" s="102" t="s">
        <v>529</v>
      </c>
      <c r="X298" s="102" t="s">
        <v>298</v>
      </c>
      <c r="Y298" s="102" t="s">
        <v>299</v>
      </c>
      <c r="Z298" s="102" t="s">
        <v>286</v>
      </c>
      <c r="AA298" s="102" t="s">
        <v>287</v>
      </c>
      <c r="AB298" s="102" t="s">
        <v>288</v>
      </c>
      <c r="AC298" s="230"/>
      <c r="AD298" s="230"/>
      <c r="AE298" s="230"/>
      <c r="AF298" s="230"/>
      <c r="AG298" s="230"/>
      <c r="AH298" s="230"/>
      <c r="AI298" s="230"/>
    </row>
    <row r="299">
      <c r="A299" s="102" t="s">
        <v>310</v>
      </c>
      <c r="B299" s="102" t="s">
        <v>1345</v>
      </c>
      <c r="C299" s="229" t="s">
        <v>1346</v>
      </c>
      <c r="D299" s="102" t="s">
        <v>1347</v>
      </c>
      <c r="E299" s="102" t="s">
        <v>513</v>
      </c>
      <c r="F299" s="102" t="s">
        <v>514</v>
      </c>
      <c r="G299" s="102" t="s">
        <v>282</v>
      </c>
      <c r="H299" s="102" t="s">
        <v>283</v>
      </c>
      <c r="I299" s="102" t="s">
        <v>284</v>
      </c>
      <c r="J299" s="102" t="s">
        <v>454</v>
      </c>
      <c r="L299" s="229" t="s">
        <v>1342</v>
      </c>
      <c r="M299" s="229" t="s">
        <v>1014</v>
      </c>
      <c r="N299" s="229" t="s">
        <v>1343</v>
      </c>
      <c r="O299" s="102">
        <v>3.0</v>
      </c>
      <c r="P299" s="102" t="s">
        <v>1348</v>
      </c>
      <c r="S299" s="230"/>
      <c r="T299" s="230"/>
      <c r="U299" s="102">
        <v>28800.0</v>
      </c>
      <c r="V299" s="102" t="s">
        <v>1085</v>
      </c>
      <c r="W299" s="102" t="s">
        <v>529</v>
      </c>
      <c r="X299" s="102" t="s">
        <v>298</v>
      </c>
      <c r="Y299" s="102" t="s">
        <v>299</v>
      </c>
      <c r="Z299" s="102" t="s">
        <v>286</v>
      </c>
      <c r="AA299" s="102" t="s">
        <v>287</v>
      </c>
      <c r="AB299" s="102" t="s">
        <v>288</v>
      </c>
      <c r="AC299" s="230"/>
      <c r="AD299" s="230"/>
      <c r="AE299" s="230"/>
      <c r="AF299" s="230"/>
      <c r="AG299" s="230"/>
      <c r="AH299" s="230"/>
      <c r="AI299" s="230"/>
    </row>
    <row r="300">
      <c r="A300" s="102" t="s">
        <v>310</v>
      </c>
      <c r="B300" s="102" t="s">
        <v>1349</v>
      </c>
      <c r="C300" s="229" t="s">
        <v>1350</v>
      </c>
      <c r="D300" s="102" t="s">
        <v>1351</v>
      </c>
      <c r="E300" s="102" t="s">
        <v>556</v>
      </c>
      <c r="F300" s="102" t="s">
        <v>557</v>
      </c>
      <c r="G300" s="102" t="s">
        <v>282</v>
      </c>
      <c r="H300" s="102" t="s">
        <v>283</v>
      </c>
      <c r="I300" s="102" t="s">
        <v>284</v>
      </c>
      <c r="J300" s="102" t="s">
        <v>454</v>
      </c>
      <c r="L300" s="229" t="s">
        <v>1342</v>
      </c>
      <c r="M300" s="229" t="s">
        <v>1014</v>
      </c>
      <c r="N300" s="229" t="s">
        <v>1352</v>
      </c>
      <c r="O300" s="102">
        <v>2.0</v>
      </c>
      <c r="P300" s="102" t="s">
        <v>1348</v>
      </c>
      <c r="S300" s="230"/>
      <c r="T300" s="230"/>
      <c r="U300" s="230"/>
      <c r="V300" s="102" t="s">
        <v>1085</v>
      </c>
      <c r="W300" s="102" t="s">
        <v>529</v>
      </c>
      <c r="X300" s="102" t="s">
        <v>298</v>
      </c>
      <c r="Y300" s="102" t="s">
        <v>299</v>
      </c>
      <c r="Z300" s="102" t="s">
        <v>286</v>
      </c>
      <c r="AA300" s="102" t="s">
        <v>287</v>
      </c>
      <c r="AB300" s="102" t="s">
        <v>288</v>
      </c>
      <c r="AC300" s="230"/>
      <c r="AD300" s="230"/>
      <c r="AE300" s="230"/>
      <c r="AF300" s="230"/>
      <c r="AG300" s="230"/>
      <c r="AH300" s="230"/>
      <c r="AI300" s="230"/>
    </row>
    <row r="301">
      <c r="A301" s="102" t="s">
        <v>310</v>
      </c>
      <c r="B301" s="102" t="s">
        <v>1353</v>
      </c>
      <c r="C301" s="229" t="s">
        <v>1354</v>
      </c>
      <c r="D301" s="102" t="s">
        <v>1355</v>
      </c>
      <c r="E301" s="102" t="s">
        <v>513</v>
      </c>
      <c r="F301" s="102" t="s">
        <v>514</v>
      </c>
      <c r="G301" s="102" t="s">
        <v>282</v>
      </c>
      <c r="H301" s="102" t="s">
        <v>283</v>
      </c>
      <c r="I301" s="102" t="s">
        <v>284</v>
      </c>
      <c r="J301" s="102" t="s">
        <v>454</v>
      </c>
      <c r="L301" s="229" t="s">
        <v>1342</v>
      </c>
      <c r="M301" s="229" t="s">
        <v>1014</v>
      </c>
      <c r="N301" s="229" t="s">
        <v>1356</v>
      </c>
      <c r="O301" s="102">
        <v>3.0</v>
      </c>
      <c r="P301" s="102" t="s">
        <v>1348</v>
      </c>
      <c r="S301" s="230"/>
      <c r="T301" s="230"/>
      <c r="U301" s="102">
        <v>28800.0</v>
      </c>
      <c r="V301" s="102" t="s">
        <v>1085</v>
      </c>
      <c r="W301" s="102" t="s">
        <v>529</v>
      </c>
      <c r="X301" s="102" t="s">
        <v>298</v>
      </c>
      <c r="Y301" s="102" t="s">
        <v>299</v>
      </c>
      <c r="Z301" s="102" t="s">
        <v>286</v>
      </c>
      <c r="AA301" s="102" t="s">
        <v>287</v>
      </c>
      <c r="AB301" s="102" t="s">
        <v>288</v>
      </c>
      <c r="AC301" s="230"/>
      <c r="AD301" s="230"/>
      <c r="AE301" s="230"/>
      <c r="AF301" s="230"/>
      <c r="AG301" s="230"/>
      <c r="AH301" s="230"/>
      <c r="AI301" s="230"/>
    </row>
    <row r="302">
      <c r="A302" s="102" t="s">
        <v>310</v>
      </c>
      <c r="B302" s="102" t="s">
        <v>2144</v>
      </c>
      <c r="C302" s="229" t="s">
        <v>2145</v>
      </c>
      <c r="D302" s="102" t="s">
        <v>2146</v>
      </c>
      <c r="E302" s="102" t="s">
        <v>556</v>
      </c>
      <c r="F302" s="102" t="s">
        <v>557</v>
      </c>
      <c r="G302" s="102" t="s">
        <v>282</v>
      </c>
      <c r="H302" s="102" t="s">
        <v>283</v>
      </c>
      <c r="I302" s="102" t="s">
        <v>284</v>
      </c>
      <c r="J302" s="102" t="s">
        <v>26</v>
      </c>
      <c r="L302" s="229" t="s">
        <v>1342</v>
      </c>
      <c r="M302" s="229" t="s">
        <v>1848</v>
      </c>
      <c r="N302" s="229" t="s">
        <v>1849</v>
      </c>
      <c r="O302" s="102">
        <v>5.0</v>
      </c>
      <c r="P302" s="102" t="s">
        <v>473</v>
      </c>
      <c r="S302" s="230"/>
      <c r="T302" s="230"/>
      <c r="U302" s="230"/>
      <c r="V302" s="102" t="s">
        <v>286</v>
      </c>
      <c r="W302" s="102" t="s">
        <v>287</v>
      </c>
      <c r="AC302" s="230"/>
      <c r="AD302" s="230"/>
      <c r="AE302" s="230"/>
      <c r="AF302" s="230"/>
      <c r="AG302" s="230"/>
      <c r="AH302" s="230"/>
      <c r="AI302" s="230"/>
    </row>
    <row r="303">
      <c r="A303" s="102" t="s">
        <v>310</v>
      </c>
      <c r="B303" s="102" t="s">
        <v>2147</v>
      </c>
      <c r="C303" s="229" t="s">
        <v>2148</v>
      </c>
      <c r="D303" s="102" t="s">
        <v>2149</v>
      </c>
      <c r="E303" s="102" t="s">
        <v>282</v>
      </c>
      <c r="F303" s="102" t="s">
        <v>283</v>
      </c>
      <c r="G303" s="102" t="s">
        <v>282</v>
      </c>
      <c r="H303" s="102" t="s">
        <v>283</v>
      </c>
      <c r="I303" s="102" t="s">
        <v>284</v>
      </c>
      <c r="J303" s="102" t="s">
        <v>26</v>
      </c>
      <c r="L303" s="229" t="s">
        <v>2150</v>
      </c>
      <c r="M303" s="229" t="s">
        <v>2151</v>
      </c>
      <c r="O303" s="102">
        <v>1.0</v>
      </c>
      <c r="P303" s="102" t="s">
        <v>473</v>
      </c>
      <c r="S303" s="230"/>
      <c r="T303" s="230"/>
      <c r="U303" s="230"/>
      <c r="V303" s="102" t="s">
        <v>287</v>
      </c>
      <c r="AC303" s="230"/>
      <c r="AD303" s="230"/>
      <c r="AE303" s="230"/>
      <c r="AF303" s="230"/>
      <c r="AG303" s="230"/>
      <c r="AH303" s="230"/>
      <c r="AI303" s="230"/>
    </row>
    <row r="304">
      <c r="A304" s="102" t="s">
        <v>310</v>
      </c>
      <c r="B304" s="102" t="s">
        <v>2152</v>
      </c>
      <c r="C304" s="229" t="s">
        <v>2153</v>
      </c>
      <c r="D304" s="102" t="s">
        <v>2154</v>
      </c>
      <c r="E304" s="102" t="s">
        <v>556</v>
      </c>
      <c r="F304" s="102" t="s">
        <v>557</v>
      </c>
      <c r="G304" s="102" t="s">
        <v>282</v>
      </c>
      <c r="H304" s="102" t="s">
        <v>283</v>
      </c>
      <c r="I304" s="102" t="s">
        <v>284</v>
      </c>
      <c r="J304" s="102" t="s">
        <v>26</v>
      </c>
      <c r="L304" s="229" t="s">
        <v>2155</v>
      </c>
      <c r="M304" s="229" t="s">
        <v>1848</v>
      </c>
      <c r="N304" s="229" t="s">
        <v>1893</v>
      </c>
      <c r="O304" s="102">
        <v>3.0</v>
      </c>
      <c r="P304" s="102" t="s">
        <v>473</v>
      </c>
      <c r="S304" s="230"/>
      <c r="T304" s="230"/>
      <c r="U304" s="102">
        <v>28800.0</v>
      </c>
      <c r="V304" s="102" t="s">
        <v>286</v>
      </c>
      <c r="W304" s="102" t="s">
        <v>287</v>
      </c>
      <c r="AC304" s="230"/>
      <c r="AD304" s="230"/>
      <c r="AE304" s="230"/>
      <c r="AF304" s="230"/>
      <c r="AG304" s="230"/>
      <c r="AH304" s="230"/>
      <c r="AI304" s="230"/>
    </row>
    <row r="305">
      <c r="A305" s="102" t="s">
        <v>310</v>
      </c>
      <c r="B305" s="102" t="s">
        <v>2156</v>
      </c>
      <c r="C305" s="229" t="s">
        <v>2157</v>
      </c>
      <c r="D305" s="102" t="s">
        <v>2158</v>
      </c>
      <c r="E305" s="102" t="s">
        <v>556</v>
      </c>
      <c r="F305" s="102" t="s">
        <v>557</v>
      </c>
      <c r="G305" s="102" t="s">
        <v>282</v>
      </c>
      <c r="H305" s="102" t="s">
        <v>283</v>
      </c>
      <c r="I305" s="102" t="s">
        <v>648</v>
      </c>
      <c r="J305" s="102" t="s">
        <v>26</v>
      </c>
      <c r="L305" s="229" t="s">
        <v>2159</v>
      </c>
      <c r="M305" s="229" t="s">
        <v>2160</v>
      </c>
      <c r="O305" s="102">
        <v>5.0</v>
      </c>
      <c r="P305" s="102" t="s">
        <v>593</v>
      </c>
      <c r="Q305" s="102" t="s">
        <v>435</v>
      </c>
      <c r="S305" s="230"/>
      <c r="T305" s="230"/>
      <c r="U305" s="102">
        <v>57600.0</v>
      </c>
      <c r="V305" s="102" t="s">
        <v>1991</v>
      </c>
      <c r="W305" s="102" t="s">
        <v>1992</v>
      </c>
      <c r="X305" s="102" t="s">
        <v>1085</v>
      </c>
      <c r="Y305" s="102" t="s">
        <v>529</v>
      </c>
      <c r="Z305" s="102" t="s">
        <v>298</v>
      </c>
      <c r="AA305" s="102" t="s">
        <v>299</v>
      </c>
      <c r="AB305" s="102" t="s">
        <v>286</v>
      </c>
      <c r="AC305" s="102" t="s">
        <v>287</v>
      </c>
      <c r="AD305" s="230"/>
      <c r="AE305" s="230"/>
      <c r="AF305" s="230"/>
      <c r="AG305" s="230"/>
      <c r="AH305" s="230"/>
      <c r="AI305" s="230"/>
    </row>
    <row r="306">
      <c r="A306" s="102" t="s">
        <v>310</v>
      </c>
      <c r="B306" s="102" t="s">
        <v>2161</v>
      </c>
      <c r="C306" s="229" t="s">
        <v>2162</v>
      </c>
      <c r="D306" s="102" t="s">
        <v>2163</v>
      </c>
      <c r="E306" s="102" t="s">
        <v>556</v>
      </c>
      <c r="F306" s="102" t="s">
        <v>557</v>
      </c>
      <c r="G306" s="102" t="s">
        <v>282</v>
      </c>
      <c r="H306" s="102" t="s">
        <v>283</v>
      </c>
      <c r="I306" s="102" t="s">
        <v>284</v>
      </c>
      <c r="J306" s="102" t="s">
        <v>26</v>
      </c>
      <c r="L306" s="229" t="s">
        <v>2164</v>
      </c>
      <c r="M306" s="229" t="s">
        <v>1848</v>
      </c>
      <c r="N306" s="229" t="s">
        <v>2165</v>
      </c>
      <c r="O306" s="102">
        <v>1.0</v>
      </c>
      <c r="P306" s="102" t="s">
        <v>435</v>
      </c>
      <c r="S306" s="230"/>
      <c r="T306" s="230"/>
      <c r="U306" s="102">
        <v>7200.0</v>
      </c>
      <c r="V306" s="102" t="s">
        <v>1991</v>
      </c>
      <c r="W306" s="102" t="s">
        <v>1992</v>
      </c>
      <c r="X306" s="102" t="s">
        <v>1085</v>
      </c>
      <c r="Y306" s="102" t="s">
        <v>529</v>
      </c>
      <c r="Z306" s="102" t="s">
        <v>298</v>
      </c>
      <c r="AA306" s="102" t="s">
        <v>299</v>
      </c>
      <c r="AB306" s="102" t="s">
        <v>286</v>
      </c>
      <c r="AC306" s="102" t="s">
        <v>287</v>
      </c>
      <c r="AD306" s="230"/>
      <c r="AE306" s="230"/>
      <c r="AF306" s="230"/>
      <c r="AG306" s="230"/>
      <c r="AH306" s="230"/>
      <c r="AI306" s="230"/>
    </row>
    <row r="307">
      <c r="A307" s="102" t="s">
        <v>310</v>
      </c>
      <c r="B307" s="102" t="s">
        <v>2166</v>
      </c>
      <c r="C307" s="229" t="s">
        <v>2167</v>
      </c>
      <c r="D307" s="102" t="s">
        <v>2168</v>
      </c>
      <c r="E307" s="102" t="s">
        <v>495</v>
      </c>
      <c r="F307" s="102" t="s">
        <v>496</v>
      </c>
      <c r="G307" s="102" t="s">
        <v>282</v>
      </c>
      <c r="H307" s="102" t="s">
        <v>283</v>
      </c>
      <c r="I307" s="102" t="s">
        <v>284</v>
      </c>
      <c r="J307" s="102" t="s">
        <v>26</v>
      </c>
      <c r="L307" s="229" t="s">
        <v>2169</v>
      </c>
      <c r="M307" s="229" t="s">
        <v>1848</v>
      </c>
      <c r="O307" s="102">
        <v>2.0</v>
      </c>
      <c r="P307" s="102" t="s">
        <v>435</v>
      </c>
      <c r="S307" s="230"/>
      <c r="T307" s="230"/>
      <c r="U307" s="102">
        <v>7200.0</v>
      </c>
      <c r="V307" s="102" t="s">
        <v>1991</v>
      </c>
      <c r="W307" s="102" t="s">
        <v>1992</v>
      </c>
      <c r="X307" s="102" t="s">
        <v>1085</v>
      </c>
      <c r="Y307" s="102" t="s">
        <v>529</v>
      </c>
      <c r="Z307" s="102" t="s">
        <v>298</v>
      </c>
      <c r="AA307" s="102" t="s">
        <v>299</v>
      </c>
      <c r="AB307" s="102" t="s">
        <v>286</v>
      </c>
      <c r="AC307" s="102" t="s">
        <v>287</v>
      </c>
      <c r="AD307" s="230"/>
      <c r="AE307" s="230"/>
      <c r="AF307" s="230"/>
      <c r="AG307" s="230"/>
      <c r="AH307" s="230"/>
      <c r="AI307" s="230"/>
    </row>
    <row r="308">
      <c r="A308" s="102" t="s">
        <v>310</v>
      </c>
      <c r="B308" s="102" t="s">
        <v>2170</v>
      </c>
      <c r="C308" s="229" t="s">
        <v>2171</v>
      </c>
      <c r="D308" s="102" t="s">
        <v>2172</v>
      </c>
      <c r="E308" s="102" t="s">
        <v>314</v>
      </c>
      <c r="F308" s="102" t="s">
        <v>315</v>
      </c>
      <c r="G308" s="102" t="s">
        <v>314</v>
      </c>
      <c r="H308" s="102" t="s">
        <v>315</v>
      </c>
      <c r="I308" s="102" t="s">
        <v>284</v>
      </c>
      <c r="J308" s="102" t="s">
        <v>26</v>
      </c>
      <c r="L308" s="229" t="s">
        <v>2173</v>
      </c>
      <c r="M308" s="229" t="s">
        <v>2174</v>
      </c>
      <c r="O308" s="102">
        <v>2.0</v>
      </c>
      <c r="S308" s="230"/>
      <c r="T308" s="230"/>
      <c r="U308" s="102">
        <v>14400.0</v>
      </c>
      <c r="V308" s="102" t="s">
        <v>417</v>
      </c>
      <c r="AC308" s="230"/>
      <c r="AD308" s="230"/>
      <c r="AE308" s="230"/>
      <c r="AF308" s="230"/>
      <c r="AG308" s="230"/>
      <c r="AH308" s="230"/>
      <c r="AI308" s="230"/>
    </row>
    <row r="309">
      <c r="A309" s="102" t="s">
        <v>310</v>
      </c>
      <c r="B309" s="102" t="s">
        <v>2175</v>
      </c>
      <c r="C309" s="229" t="s">
        <v>2176</v>
      </c>
      <c r="D309" s="102" t="s">
        <v>2177</v>
      </c>
      <c r="E309" s="102" t="s">
        <v>513</v>
      </c>
      <c r="F309" s="102" t="s">
        <v>514</v>
      </c>
      <c r="G309" s="102" t="s">
        <v>314</v>
      </c>
      <c r="H309" s="102" t="s">
        <v>315</v>
      </c>
      <c r="I309" s="102" t="s">
        <v>284</v>
      </c>
      <c r="J309" s="102" t="s">
        <v>26</v>
      </c>
      <c r="L309" s="229" t="s">
        <v>2178</v>
      </c>
      <c r="M309" s="229" t="s">
        <v>1484</v>
      </c>
      <c r="N309" s="229" t="s">
        <v>955</v>
      </c>
      <c r="O309" s="102">
        <v>1.0</v>
      </c>
      <c r="P309" s="102" t="s">
        <v>593</v>
      </c>
      <c r="Q309" s="102" t="s">
        <v>2179</v>
      </c>
      <c r="R309" s="102" t="s">
        <v>651</v>
      </c>
      <c r="S309" s="230"/>
      <c r="T309" s="230"/>
      <c r="U309" s="102">
        <v>7200.0</v>
      </c>
      <c r="V309" s="102" t="s">
        <v>1052</v>
      </c>
      <c r="AC309" s="230"/>
      <c r="AD309" s="230"/>
      <c r="AE309" s="230"/>
      <c r="AF309" s="230"/>
      <c r="AG309" s="230"/>
      <c r="AH309" s="230"/>
      <c r="AI309" s="230"/>
    </row>
    <row r="310">
      <c r="A310" s="102" t="s">
        <v>630</v>
      </c>
      <c r="B310" s="102" t="s">
        <v>2180</v>
      </c>
      <c r="C310" s="229" t="s">
        <v>2181</v>
      </c>
      <c r="D310" s="102" t="s">
        <v>2182</v>
      </c>
      <c r="G310" s="102" t="s">
        <v>304</v>
      </c>
      <c r="H310" s="102" t="s">
        <v>305</v>
      </c>
      <c r="I310" s="102" t="s">
        <v>284</v>
      </c>
      <c r="J310" s="102" t="s">
        <v>63</v>
      </c>
      <c r="L310" s="229" t="s">
        <v>2183</v>
      </c>
      <c r="M310" s="229" t="s">
        <v>2184</v>
      </c>
      <c r="O310" s="230"/>
      <c r="S310" s="230"/>
      <c r="T310" s="230"/>
      <c r="U310" s="230"/>
      <c r="V310" s="102" t="s">
        <v>2185</v>
      </c>
      <c r="W310" s="102" t="s">
        <v>2186</v>
      </c>
      <c r="X310" s="102" t="s">
        <v>2187</v>
      </c>
      <c r="Y310" s="102" t="s">
        <v>2188</v>
      </c>
      <c r="Z310" s="102" t="s">
        <v>2189</v>
      </c>
      <c r="AA310" s="102" t="s">
        <v>2190</v>
      </c>
      <c r="AB310" s="102" t="s">
        <v>2191</v>
      </c>
      <c r="AC310" s="230"/>
      <c r="AD310" s="230"/>
      <c r="AE310" s="230"/>
      <c r="AF310" s="230"/>
      <c r="AG310" s="230"/>
      <c r="AH310" s="230"/>
      <c r="AI310" s="230"/>
    </row>
    <row r="311">
      <c r="A311" s="102" t="s">
        <v>630</v>
      </c>
      <c r="B311" s="102" t="s">
        <v>2192</v>
      </c>
      <c r="C311" s="229" t="s">
        <v>2193</v>
      </c>
      <c r="D311" s="102" t="s">
        <v>2194</v>
      </c>
      <c r="G311" s="102" t="s">
        <v>304</v>
      </c>
      <c r="H311" s="102" t="s">
        <v>305</v>
      </c>
      <c r="I311" s="102" t="s">
        <v>284</v>
      </c>
      <c r="J311" s="102" t="s">
        <v>63</v>
      </c>
      <c r="L311" s="229" t="s">
        <v>2195</v>
      </c>
      <c r="M311" s="229" t="s">
        <v>2184</v>
      </c>
      <c r="O311" s="230"/>
      <c r="S311" s="230"/>
      <c r="T311" s="230"/>
      <c r="U311" s="230"/>
      <c r="V311" s="102" t="s">
        <v>2196</v>
      </c>
      <c r="W311" s="102" t="s">
        <v>2185</v>
      </c>
      <c r="X311" s="102" t="s">
        <v>2186</v>
      </c>
      <c r="Y311" s="102" t="s">
        <v>2187</v>
      </c>
      <c r="Z311" s="102" t="s">
        <v>2188</v>
      </c>
      <c r="AA311" s="102" t="s">
        <v>2189</v>
      </c>
      <c r="AB311" s="102" t="s">
        <v>2190</v>
      </c>
      <c r="AC311" s="102" t="s">
        <v>2191</v>
      </c>
      <c r="AD311" s="230"/>
      <c r="AE311" s="230"/>
      <c r="AF311" s="230"/>
      <c r="AG311" s="230"/>
      <c r="AH311" s="230"/>
      <c r="AI311" s="230"/>
    </row>
    <row r="312">
      <c r="A312" s="102" t="s">
        <v>630</v>
      </c>
      <c r="B312" s="102" t="s">
        <v>2197</v>
      </c>
      <c r="C312" s="229" t="s">
        <v>2198</v>
      </c>
      <c r="D312" s="102" t="s">
        <v>2199</v>
      </c>
      <c r="G312" s="102" t="s">
        <v>304</v>
      </c>
      <c r="H312" s="102" t="s">
        <v>305</v>
      </c>
      <c r="I312" s="102" t="s">
        <v>284</v>
      </c>
      <c r="J312" s="102" t="s">
        <v>63</v>
      </c>
      <c r="L312" s="229" t="s">
        <v>2200</v>
      </c>
      <c r="M312" s="229" t="s">
        <v>2184</v>
      </c>
      <c r="O312" s="230"/>
      <c r="S312" s="230"/>
      <c r="T312" s="230"/>
      <c r="U312" s="230"/>
      <c r="V312" s="102" t="s">
        <v>2196</v>
      </c>
      <c r="W312" s="102" t="s">
        <v>2185</v>
      </c>
      <c r="X312" s="102" t="s">
        <v>2186</v>
      </c>
      <c r="Y312" s="102" t="s">
        <v>2187</v>
      </c>
      <c r="Z312" s="102" t="s">
        <v>2188</v>
      </c>
      <c r="AA312" s="102" t="s">
        <v>2189</v>
      </c>
      <c r="AB312" s="102" t="s">
        <v>2190</v>
      </c>
      <c r="AC312" s="102" t="s">
        <v>2191</v>
      </c>
      <c r="AD312" s="230"/>
      <c r="AE312" s="230"/>
      <c r="AF312" s="230"/>
      <c r="AG312" s="230"/>
      <c r="AH312" s="230"/>
      <c r="AI312" s="230"/>
    </row>
    <row r="313">
      <c r="A313" s="102" t="s">
        <v>630</v>
      </c>
      <c r="B313" s="102" t="s">
        <v>2201</v>
      </c>
      <c r="C313" s="229" t="s">
        <v>2202</v>
      </c>
      <c r="D313" s="102" t="s">
        <v>2203</v>
      </c>
      <c r="G313" s="102" t="s">
        <v>304</v>
      </c>
      <c r="H313" s="102" t="s">
        <v>305</v>
      </c>
      <c r="I313" s="102" t="s">
        <v>284</v>
      </c>
      <c r="J313" s="102" t="s">
        <v>63</v>
      </c>
      <c r="L313" s="229" t="s">
        <v>2204</v>
      </c>
      <c r="M313" s="229" t="s">
        <v>2184</v>
      </c>
      <c r="O313" s="230"/>
      <c r="S313" s="230"/>
      <c r="T313" s="230"/>
      <c r="U313" s="230"/>
      <c r="V313" s="102" t="s">
        <v>2205</v>
      </c>
      <c r="W313" s="102" t="s">
        <v>2196</v>
      </c>
      <c r="X313" s="102" t="s">
        <v>2185</v>
      </c>
      <c r="Y313" s="102" t="s">
        <v>2186</v>
      </c>
      <c r="Z313" s="102" t="s">
        <v>2187</v>
      </c>
      <c r="AA313" s="102" t="s">
        <v>2188</v>
      </c>
      <c r="AB313" s="102" t="s">
        <v>2189</v>
      </c>
      <c r="AC313" s="102" t="s">
        <v>2190</v>
      </c>
      <c r="AD313" s="102" t="s">
        <v>2191</v>
      </c>
      <c r="AE313" s="230"/>
      <c r="AF313" s="230"/>
      <c r="AG313" s="230"/>
      <c r="AH313" s="230"/>
      <c r="AI313" s="230"/>
    </row>
    <row r="314">
      <c r="A314" s="102" t="s">
        <v>630</v>
      </c>
      <c r="B314" s="102" t="s">
        <v>2206</v>
      </c>
      <c r="C314" s="229" t="s">
        <v>2207</v>
      </c>
      <c r="D314" s="102" t="s">
        <v>2208</v>
      </c>
      <c r="G314" s="102" t="s">
        <v>304</v>
      </c>
      <c r="H314" s="102" t="s">
        <v>305</v>
      </c>
      <c r="I314" s="102" t="s">
        <v>284</v>
      </c>
      <c r="J314" s="102" t="s">
        <v>63</v>
      </c>
      <c r="L314" s="229" t="s">
        <v>2209</v>
      </c>
      <c r="M314" s="229" t="s">
        <v>2184</v>
      </c>
      <c r="O314" s="230"/>
      <c r="P314" s="102" t="s">
        <v>1808</v>
      </c>
      <c r="S314" s="230"/>
      <c r="T314" s="230"/>
      <c r="U314" s="230"/>
      <c r="V314" s="102" t="s">
        <v>2205</v>
      </c>
      <c r="W314" s="102" t="s">
        <v>2196</v>
      </c>
      <c r="X314" s="102" t="s">
        <v>2185</v>
      </c>
      <c r="Y314" s="102" t="s">
        <v>2186</v>
      </c>
      <c r="Z314" s="102" t="s">
        <v>2187</v>
      </c>
      <c r="AA314" s="102" t="s">
        <v>2188</v>
      </c>
      <c r="AB314" s="102" t="s">
        <v>2189</v>
      </c>
      <c r="AC314" s="102" t="s">
        <v>2190</v>
      </c>
      <c r="AD314" s="102" t="s">
        <v>2191</v>
      </c>
      <c r="AE314" s="230"/>
      <c r="AF314" s="230"/>
      <c r="AG314" s="230"/>
      <c r="AH314" s="230"/>
      <c r="AI314" s="230"/>
    </row>
    <row r="315">
      <c r="A315" s="102" t="s">
        <v>630</v>
      </c>
      <c r="B315" s="102" t="s">
        <v>1357</v>
      </c>
      <c r="C315" s="229" t="s">
        <v>1358</v>
      </c>
      <c r="D315" s="102" t="s">
        <v>1359</v>
      </c>
      <c r="G315" s="102" t="s">
        <v>314</v>
      </c>
      <c r="H315" s="102" t="s">
        <v>315</v>
      </c>
      <c r="I315" s="102" t="s">
        <v>284</v>
      </c>
      <c r="J315" s="102" t="s">
        <v>63</v>
      </c>
      <c r="L315" s="229" t="s">
        <v>1360</v>
      </c>
      <c r="M315" s="229" t="s">
        <v>1361</v>
      </c>
      <c r="O315" s="230"/>
      <c r="S315" s="230"/>
      <c r="T315" s="230"/>
      <c r="U315" s="230"/>
      <c r="V315" s="102" t="s">
        <v>1362</v>
      </c>
      <c r="W315" s="102" t="s">
        <v>1363</v>
      </c>
      <c r="X315" s="102" t="s">
        <v>1364</v>
      </c>
      <c r="Y315" s="102" t="s">
        <v>1365</v>
      </c>
      <c r="Z315" s="102" t="s">
        <v>1366</v>
      </c>
      <c r="AA315" s="102" t="s">
        <v>1367</v>
      </c>
      <c r="AB315" s="102" t="s">
        <v>1368</v>
      </c>
      <c r="AC315" s="102" t="s">
        <v>1369</v>
      </c>
      <c r="AD315" s="102" t="s">
        <v>1370</v>
      </c>
      <c r="AE315" s="102" t="s">
        <v>1150</v>
      </c>
      <c r="AF315" s="102" t="s">
        <v>1051</v>
      </c>
      <c r="AG315" s="102" t="s">
        <v>1052</v>
      </c>
      <c r="AH315" s="102" t="s">
        <v>444</v>
      </c>
      <c r="AI315" s="230"/>
    </row>
    <row r="316">
      <c r="O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  <c r="AI316" s="230"/>
    </row>
    <row r="317">
      <c r="O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  <c r="AI317" s="230"/>
    </row>
    <row r="318">
      <c r="O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  <c r="AI318" s="230"/>
    </row>
    <row r="319">
      <c r="O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  <c r="AI319" s="230"/>
    </row>
    <row r="320">
      <c r="O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  <c r="AI320" s="230"/>
    </row>
    <row r="321">
      <c r="O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</row>
    <row r="322">
      <c r="O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</row>
    <row r="323">
      <c r="O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  <c r="AI323" s="230"/>
    </row>
    <row r="324">
      <c r="O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</row>
    <row r="325">
      <c r="O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  <c r="AI325" s="230"/>
    </row>
    <row r="326">
      <c r="O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  <c r="AI326" s="230"/>
    </row>
    <row r="327">
      <c r="O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  <c r="AI327" s="230"/>
    </row>
    <row r="328">
      <c r="O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</row>
    <row r="329">
      <c r="O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</row>
    <row r="330">
      <c r="O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  <c r="AI330" s="230"/>
    </row>
    <row r="331">
      <c r="O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</row>
    <row r="332">
      <c r="O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  <c r="AI332" s="230"/>
    </row>
    <row r="333">
      <c r="O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  <c r="AI333" s="230"/>
    </row>
    <row r="334">
      <c r="O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  <c r="AI334" s="230"/>
    </row>
    <row r="335">
      <c r="O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  <c r="AI335" s="230"/>
    </row>
    <row r="336">
      <c r="O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  <c r="AI336" s="230"/>
    </row>
    <row r="337">
      <c r="O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  <c r="AI337" s="230"/>
    </row>
    <row r="338">
      <c r="O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</row>
    <row r="339">
      <c r="O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  <c r="AI339" s="230"/>
    </row>
    <row r="340">
      <c r="O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  <c r="AI340" s="230"/>
    </row>
    <row r="341">
      <c r="O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  <c r="AI341" s="230"/>
    </row>
    <row r="342">
      <c r="O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  <c r="AI342" s="230"/>
    </row>
    <row r="343">
      <c r="O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  <c r="AI343" s="230"/>
    </row>
    <row r="344">
      <c r="O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</row>
    <row r="345">
      <c r="O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</row>
    <row r="346">
      <c r="O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</row>
    <row r="347">
      <c r="O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</row>
    <row r="348">
      <c r="O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</row>
    <row r="349">
      <c r="O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</row>
    <row r="350">
      <c r="O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</row>
    <row r="351">
      <c r="O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</row>
    <row r="352">
      <c r="O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</row>
    <row r="353">
      <c r="O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</row>
    <row r="354">
      <c r="O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  <c r="AI354" s="230"/>
    </row>
    <row r="355">
      <c r="O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  <c r="AI355" s="230"/>
    </row>
    <row r="356">
      <c r="O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  <c r="AI356" s="230"/>
    </row>
    <row r="357">
      <c r="O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  <c r="AI357" s="230"/>
    </row>
    <row r="358">
      <c r="O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  <c r="AI358" s="230"/>
    </row>
    <row r="359">
      <c r="O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  <c r="AI359" s="230"/>
    </row>
    <row r="360">
      <c r="O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  <c r="AI360" s="230"/>
    </row>
    <row r="361">
      <c r="O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</row>
    <row r="362">
      <c r="O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  <c r="AI362" s="230"/>
    </row>
    <row r="363">
      <c r="O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  <c r="AI363" s="230"/>
    </row>
    <row r="364">
      <c r="O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  <c r="AI364" s="230"/>
    </row>
    <row r="365">
      <c r="O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  <c r="AI365" s="230"/>
    </row>
    <row r="366">
      <c r="O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  <c r="AI366" s="230"/>
    </row>
    <row r="367">
      <c r="O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  <c r="AI367" s="230"/>
    </row>
    <row r="368">
      <c r="O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  <c r="AI368" s="230"/>
    </row>
    <row r="369">
      <c r="O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  <c r="AI369" s="230"/>
    </row>
    <row r="370">
      <c r="O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</row>
    <row r="371">
      <c r="O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  <c r="AI371" s="230"/>
    </row>
    <row r="372">
      <c r="O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  <c r="AI372" s="230"/>
    </row>
    <row r="373">
      <c r="O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  <c r="AI373" s="230"/>
    </row>
    <row r="374">
      <c r="O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  <c r="AI374" s="230"/>
    </row>
    <row r="375">
      <c r="O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</row>
    <row r="376">
      <c r="O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  <c r="AI376" s="230"/>
    </row>
    <row r="377">
      <c r="O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  <c r="AI377" s="230"/>
    </row>
    <row r="378">
      <c r="O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  <c r="AI378" s="230"/>
    </row>
    <row r="379">
      <c r="O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  <c r="AI379" s="230"/>
    </row>
    <row r="380">
      <c r="O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  <c r="AI380" s="230"/>
    </row>
    <row r="381">
      <c r="O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</row>
    <row r="382">
      <c r="O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  <c r="AI382" s="230"/>
    </row>
    <row r="383">
      <c r="O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</row>
    <row r="384">
      <c r="O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  <c r="AI384" s="230"/>
    </row>
    <row r="385">
      <c r="O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  <c r="AI385" s="230"/>
    </row>
    <row r="386">
      <c r="O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  <c r="AI386" s="230"/>
    </row>
    <row r="387">
      <c r="O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  <c r="AI387" s="230"/>
    </row>
    <row r="388">
      <c r="O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  <c r="AI388" s="230"/>
    </row>
    <row r="389">
      <c r="O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  <c r="AI389" s="230"/>
    </row>
    <row r="390">
      <c r="O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  <c r="AI390" s="230"/>
    </row>
    <row r="391">
      <c r="O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  <c r="AI391" s="230"/>
    </row>
    <row r="392">
      <c r="O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  <c r="AI392" s="230"/>
    </row>
    <row r="393">
      <c r="O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  <c r="AI393" s="230"/>
    </row>
    <row r="394">
      <c r="O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  <c r="AI394" s="230"/>
    </row>
    <row r="395">
      <c r="O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  <c r="AI395" s="230"/>
    </row>
    <row r="396">
      <c r="O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  <c r="AI396" s="230"/>
    </row>
    <row r="397">
      <c r="O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</row>
    <row r="398">
      <c r="O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  <c r="AI398" s="230"/>
    </row>
    <row r="399">
      <c r="O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  <c r="AI399" s="230"/>
    </row>
    <row r="400">
      <c r="O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  <c r="AI400" s="230"/>
    </row>
    <row r="401">
      <c r="O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  <c r="AI401" s="230"/>
    </row>
    <row r="402">
      <c r="O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  <c r="AI402" s="230"/>
    </row>
    <row r="403">
      <c r="O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  <c r="AI403" s="230"/>
    </row>
    <row r="404">
      <c r="O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  <c r="AI404" s="230"/>
    </row>
    <row r="405">
      <c r="O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  <c r="AI405" s="230"/>
    </row>
    <row r="406">
      <c r="O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  <c r="AI406" s="230"/>
    </row>
    <row r="407">
      <c r="O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  <c r="AI407" s="230"/>
    </row>
    <row r="408">
      <c r="O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  <c r="AI408" s="230"/>
    </row>
    <row r="409">
      <c r="O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  <c r="AI409" s="230"/>
    </row>
    <row r="410">
      <c r="O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  <c r="AI410" s="230"/>
    </row>
    <row r="411">
      <c r="O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  <c r="AI411" s="230"/>
    </row>
    <row r="412">
      <c r="O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  <c r="AI412" s="230"/>
    </row>
    <row r="413">
      <c r="O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  <c r="AI413" s="230"/>
    </row>
    <row r="414">
      <c r="O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  <c r="AI414" s="230"/>
    </row>
    <row r="415">
      <c r="O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  <c r="AI415" s="230"/>
    </row>
    <row r="416">
      <c r="O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  <c r="AI416" s="230"/>
    </row>
    <row r="417">
      <c r="O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  <c r="AI417" s="230"/>
    </row>
    <row r="418">
      <c r="O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  <c r="AI418" s="230"/>
    </row>
    <row r="419">
      <c r="O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</row>
    <row r="420">
      <c r="O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  <c r="AI420" s="230"/>
    </row>
    <row r="421">
      <c r="O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  <c r="AI421" s="230"/>
    </row>
    <row r="422">
      <c r="O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</row>
    <row r="423">
      <c r="O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  <c r="AI423" s="230"/>
    </row>
    <row r="424">
      <c r="O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  <c r="AI424" s="230"/>
    </row>
    <row r="425">
      <c r="O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  <c r="AI425" s="230"/>
    </row>
    <row r="426">
      <c r="O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  <c r="AI426" s="230"/>
    </row>
    <row r="427">
      <c r="O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</row>
    <row r="428">
      <c r="O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</row>
    <row r="429">
      <c r="O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  <c r="AI429" s="230"/>
    </row>
    <row r="430">
      <c r="O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  <c r="AI430" s="230"/>
    </row>
    <row r="431">
      <c r="O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  <c r="AI431" s="230"/>
    </row>
    <row r="432">
      <c r="O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  <c r="AI432" s="230"/>
    </row>
    <row r="433">
      <c r="O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</row>
    <row r="434">
      <c r="O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</row>
    <row r="435">
      <c r="O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  <c r="AI435" s="230"/>
    </row>
    <row r="436">
      <c r="O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  <c r="AI436" s="230"/>
    </row>
    <row r="437">
      <c r="O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</row>
    <row r="438">
      <c r="O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  <c r="AI438" s="230"/>
    </row>
    <row r="439">
      <c r="O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  <c r="AI439" s="230"/>
    </row>
    <row r="440">
      <c r="O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  <c r="AI440" s="230"/>
    </row>
    <row r="441">
      <c r="O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</row>
    <row r="442">
      <c r="O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  <c r="AI442" s="230"/>
    </row>
    <row r="443">
      <c r="O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  <c r="AI443" s="230"/>
    </row>
    <row r="444">
      <c r="O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  <c r="AI444" s="230"/>
    </row>
    <row r="445">
      <c r="O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  <c r="AI445" s="230"/>
    </row>
    <row r="446">
      <c r="O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  <c r="AI446" s="230"/>
    </row>
    <row r="447">
      <c r="O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  <c r="AI447" s="230"/>
    </row>
    <row r="448">
      <c r="O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  <c r="AI448" s="230"/>
    </row>
    <row r="449">
      <c r="O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  <c r="AI449" s="230"/>
    </row>
    <row r="450">
      <c r="O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  <c r="AI450" s="230"/>
    </row>
    <row r="451">
      <c r="O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  <c r="AI451" s="230"/>
    </row>
    <row r="452">
      <c r="O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  <c r="AI452" s="230"/>
    </row>
    <row r="453">
      <c r="O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  <c r="AI453" s="230"/>
    </row>
    <row r="454">
      <c r="O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  <c r="AI454" s="230"/>
    </row>
    <row r="455">
      <c r="O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  <c r="AI455" s="230"/>
    </row>
    <row r="456">
      <c r="O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  <c r="AI456" s="230"/>
    </row>
    <row r="457">
      <c r="O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  <c r="AI457" s="230"/>
    </row>
    <row r="458">
      <c r="O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  <c r="AI458" s="230"/>
    </row>
    <row r="459">
      <c r="O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  <c r="AI459" s="230"/>
    </row>
    <row r="460">
      <c r="O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  <c r="AI460" s="230"/>
    </row>
    <row r="461">
      <c r="O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  <c r="AI461" s="230"/>
    </row>
    <row r="462">
      <c r="O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  <c r="AI462" s="230"/>
    </row>
    <row r="463">
      <c r="O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</row>
    <row r="464">
      <c r="O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  <c r="AI464" s="230"/>
    </row>
    <row r="465">
      <c r="O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  <c r="AI465" s="230"/>
    </row>
    <row r="466">
      <c r="O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  <c r="AI466" s="230"/>
    </row>
    <row r="467">
      <c r="O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  <c r="AI467" s="230"/>
    </row>
    <row r="468">
      <c r="O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  <c r="AI468" s="230"/>
    </row>
    <row r="469">
      <c r="O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  <c r="AI469" s="230"/>
    </row>
    <row r="470">
      <c r="O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  <c r="AI470" s="230"/>
    </row>
    <row r="471">
      <c r="O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  <c r="AI471" s="230"/>
    </row>
    <row r="472">
      <c r="O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  <c r="AI472" s="230"/>
    </row>
    <row r="473">
      <c r="O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  <c r="AI473" s="230"/>
    </row>
    <row r="474">
      <c r="O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  <c r="AI474" s="230"/>
    </row>
    <row r="475">
      <c r="O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  <c r="AI475" s="230"/>
    </row>
    <row r="476">
      <c r="O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  <c r="AI476" s="230"/>
    </row>
    <row r="477">
      <c r="O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  <c r="AI477" s="230"/>
    </row>
    <row r="478">
      <c r="O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  <c r="AI478" s="230"/>
    </row>
    <row r="479">
      <c r="O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  <c r="AI479" s="230"/>
    </row>
    <row r="480">
      <c r="O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  <c r="AI480" s="230"/>
    </row>
    <row r="481">
      <c r="O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  <c r="AI481" s="230"/>
    </row>
    <row r="482">
      <c r="O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  <c r="AI482" s="230"/>
    </row>
    <row r="483">
      <c r="O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  <c r="AI483" s="230"/>
    </row>
    <row r="484">
      <c r="O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  <c r="AI484" s="230"/>
    </row>
    <row r="485">
      <c r="O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</row>
    <row r="486">
      <c r="O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  <c r="AI486" s="230"/>
    </row>
    <row r="487">
      <c r="O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  <c r="AI487" s="230"/>
    </row>
    <row r="488">
      <c r="O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  <c r="AI488" s="230"/>
    </row>
    <row r="489">
      <c r="O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</row>
    <row r="490">
      <c r="O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  <c r="AI490" s="230"/>
    </row>
    <row r="491">
      <c r="O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</row>
    <row r="492">
      <c r="O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</row>
    <row r="493">
      <c r="O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  <c r="AI493" s="230"/>
    </row>
    <row r="494">
      <c r="O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  <c r="AI494" s="230"/>
    </row>
    <row r="495">
      <c r="O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  <c r="AI495" s="230"/>
    </row>
    <row r="496">
      <c r="O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  <c r="AI496" s="230"/>
    </row>
    <row r="497">
      <c r="O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  <c r="AI497" s="230"/>
    </row>
    <row r="498">
      <c r="O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  <c r="AI498" s="230"/>
    </row>
    <row r="499">
      <c r="O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  <c r="AI499" s="230"/>
    </row>
    <row r="500">
      <c r="O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  <c r="AI500" s="230"/>
    </row>
    <row r="501">
      <c r="O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  <c r="AI501" s="230"/>
    </row>
    <row r="502">
      <c r="O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  <c r="AI502" s="230"/>
    </row>
    <row r="503">
      <c r="O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  <c r="AI503" s="230"/>
    </row>
    <row r="504">
      <c r="O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  <c r="AI504" s="230"/>
    </row>
    <row r="505">
      <c r="O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  <c r="AI505" s="230"/>
    </row>
    <row r="506">
      <c r="O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  <c r="AI506" s="230"/>
    </row>
    <row r="507">
      <c r="O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</row>
    <row r="508">
      <c r="O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  <c r="AI508" s="230"/>
    </row>
    <row r="509">
      <c r="O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  <c r="AI509" s="230"/>
    </row>
    <row r="510">
      <c r="O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  <c r="AI510" s="230"/>
    </row>
    <row r="511">
      <c r="O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  <c r="AI511" s="230"/>
    </row>
    <row r="512">
      <c r="O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  <c r="AI512" s="230"/>
    </row>
    <row r="513">
      <c r="O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  <c r="AI513" s="230"/>
    </row>
    <row r="514">
      <c r="O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  <c r="AI514" s="230"/>
    </row>
    <row r="515">
      <c r="O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  <c r="AI515" s="230"/>
    </row>
    <row r="516">
      <c r="O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  <c r="AI516" s="230"/>
    </row>
    <row r="517">
      <c r="O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  <c r="AI517" s="230"/>
    </row>
    <row r="518">
      <c r="O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  <c r="AI518" s="230"/>
    </row>
    <row r="519">
      <c r="O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  <c r="AI519" s="230"/>
    </row>
    <row r="520">
      <c r="O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</row>
    <row r="521">
      <c r="O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</row>
    <row r="522">
      <c r="O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</row>
    <row r="523">
      <c r="O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</row>
    <row r="524">
      <c r="O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</row>
    <row r="525">
      <c r="O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</row>
    <row r="526">
      <c r="O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</row>
    <row r="527">
      <c r="O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</row>
    <row r="528">
      <c r="O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  <c r="AI528" s="230"/>
    </row>
    <row r="529">
      <c r="O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</row>
    <row r="530">
      <c r="O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  <c r="AI530" s="230"/>
    </row>
    <row r="531">
      <c r="O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  <c r="AI531" s="230"/>
    </row>
    <row r="532">
      <c r="O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  <c r="AI532" s="230"/>
    </row>
    <row r="533">
      <c r="O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  <c r="AI533" s="230"/>
    </row>
    <row r="534">
      <c r="O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  <c r="AI534" s="230"/>
    </row>
    <row r="535">
      <c r="O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  <c r="AI535" s="230"/>
    </row>
    <row r="536">
      <c r="O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  <c r="AI536" s="230"/>
    </row>
    <row r="537">
      <c r="O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  <c r="AI537" s="230"/>
    </row>
    <row r="538">
      <c r="O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  <c r="AI538" s="230"/>
    </row>
    <row r="539">
      <c r="O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  <c r="AI539" s="230"/>
    </row>
    <row r="540">
      <c r="O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  <c r="AI540" s="230"/>
    </row>
    <row r="541">
      <c r="O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  <c r="AI541" s="230"/>
    </row>
    <row r="542">
      <c r="O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  <c r="AI542" s="230"/>
    </row>
    <row r="543">
      <c r="O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  <c r="AI543" s="230"/>
    </row>
    <row r="544">
      <c r="O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</row>
    <row r="545">
      <c r="O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  <c r="AI545" s="230"/>
    </row>
    <row r="546">
      <c r="O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  <c r="AI546" s="230"/>
    </row>
    <row r="547">
      <c r="O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</row>
    <row r="548">
      <c r="O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  <c r="AI548" s="230"/>
    </row>
    <row r="549">
      <c r="O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  <c r="AI549" s="230"/>
    </row>
    <row r="550">
      <c r="O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  <c r="AI550" s="230"/>
    </row>
    <row r="551">
      <c r="O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</row>
    <row r="552">
      <c r="O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  <c r="AI552" s="230"/>
    </row>
    <row r="553">
      <c r="O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  <c r="AI553" s="230"/>
    </row>
    <row r="554">
      <c r="O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  <c r="AI554" s="230"/>
    </row>
    <row r="555">
      <c r="O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  <c r="AI555" s="230"/>
    </row>
    <row r="556">
      <c r="O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  <c r="AI556" s="230"/>
    </row>
    <row r="557">
      <c r="O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  <c r="AI557" s="230"/>
    </row>
    <row r="558">
      <c r="O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  <c r="AI558" s="230"/>
    </row>
    <row r="559">
      <c r="O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  <c r="AI559" s="230"/>
    </row>
    <row r="560">
      <c r="O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  <c r="AI560" s="230"/>
    </row>
    <row r="561">
      <c r="O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  <c r="AI561" s="230"/>
    </row>
    <row r="562">
      <c r="O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  <c r="AI562" s="230"/>
    </row>
    <row r="563">
      <c r="O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  <c r="AI563" s="230"/>
    </row>
    <row r="564">
      <c r="O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  <c r="AI564" s="230"/>
    </row>
    <row r="565">
      <c r="O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  <c r="AI565" s="230"/>
    </row>
    <row r="566">
      <c r="O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  <c r="AI566" s="230"/>
    </row>
    <row r="567">
      <c r="O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  <c r="AI567" s="230"/>
    </row>
    <row r="568">
      <c r="O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  <c r="AI568" s="230"/>
    </row>
    <row r="569">
      <c r="O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  <c r="AI569" s="230"/>
    </row>
    <row r="570">
      <c r="O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</row>
    <row r="571">
      <c r="O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</row>
    <row r="572">
      <c r="O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</row>
    <row r="573">
      <c r="O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</row>
    <row r="574">
      <c r="O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  <c r="AI574" s="230"/>
    </row>
    <row r="575">
      <c r="O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  <c r="AI575" s="230"/>
    </row>
    <row r="576">
      <c r="O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  <c r="AI576" s="230"/>
    </row>
    <row r="577">
      <c r="O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  <c r="AI577" s="230"/>
    </row>
    <row r="578">
      <c r="O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  <c r="AI578" s="230"/>
    </row>
    <row r="579">
      <c r="O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  <c r="AI579" s="230"/>
    </row>
    <row r="580">
      <c r="O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  <c r="AI580" s="230"/>
    </row>
    <row r="581">
      <c r="O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  <c r="AI581" s="230"/>
    </row>
    <row r="582">
      <c r="O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  <c r="AI582" s="230"/>
    </row>
    <row r="583">
      <c r="O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  <c r="AI583" s="230"/>
    </row>
    <row r="584">
      <c r="O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  <c r="AI584" s="230"/>
    </row>
    <row r="585">
      <c r="O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  <c r="AI585" s="230"/>
    </row>
    <row r="586">
      <c r="O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  <c r="AI586" s="230"/>
    </row>
    <row r="587">
      <c r="O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  <c r="AI587" s="230"/>
    </row>
    <row r="588">
      <c r="O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  <c r="AI588" s="230"/>
    </row>
    <row r="589">
      <c r="O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  <c r="AI589" s="230"/>
    </row>
    <row r="590">
      <c r="O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  <c r="AI590" s="230"/>
    </row>
    <row r="591">
      <c r="O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  <c r="AI591" s="230"/>
    </row>
    <row r="592">
      <c r="O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  <c r="AI592" s="230"/>
    </row>
    <row r="593">
      <c r="O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  <c r="AI593" s="230"/>
    </row>
    <row r="594">
      <c r="O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  <c r="AI594" s="230"/>
    </row>
    <row r="595">
      <c r="O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</row>
    <row r="596">
      <c r="O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  <c r="AI596" s="230"/>
    </row>
    <row r="597">
      <c r="O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  <c r="AI597" s="230"/>
    </row>
    <row r="598">
      <c r="O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  <c r="AI598" s="230"/>
    </row>
    <row r="599">
      <c r="O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  <c r="AI599" s="230"/>
    </row>
    <row r="600">
      <c r="O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  <c r="AI600" s="230"/>
    </row>
    <row r="601">
      <c r="O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  <c r="AI601" s="230"/>
    </row>
    <row r="602">
      <c r="O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  <c r="AI602" s="230"/>
    </row>
    <row r="603">
      <c r="O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  <c r="AI603" s="230"/>
    </row>
    <row r="604">
      <c r="O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  <c r="AI604" s="230"/>
    </row>
    <row r="605">
      <c r="O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  <c r="AI605" s="230"/>
    </row>
    <row r="606">
      <c r="O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  <c r="AI606" s="230"/>
    </row>
    <row r="607">
      <c r="O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  <c r="AI607" s="230"/>
    </row>
    <row r="608">
      <c r="O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  <c r="AI608" s="230"/>
    </row>
    <row r="609">
      <c r="O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  <c r="AI609" s="230"/>
    </row>
    <row r="610">
      <c r="O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  <c r="AI610" s="230"/>
    </row>
    <row r="611">
      <c r="O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  <c r="AI611" s="230"/>
    </row>
    <row r="612">
      <c r="O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  <c r="AI612" s="230"/>
    </row>
    <row r="613">
      <c r="O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  <c r="AI613" s="230"/>
    </row>
    <row r="614">
      <c r="O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  <c r="AI614" s="230"/>
    </row>
    <row r="615">
      <c r="O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  <c r="AI615" s="230"/>
    </row>
    <row r="616">
      <c r="O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  <c r="AI616" s="230"/>
    </row>
    <row r="617">
      <c r="O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</row>
    <row r="618">
      <c r="O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</row>
    <row r="619">
      <c r="O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  <c r="AI619" s="230"/>
    </row>
    <row r="620">
      <c r="O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</row>
    <row r="621">
      <c r="O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  <c r="AI621" s="230"/>
    </row>
    <row r="622">
      <c r="O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  <c r="AI622" s="230"/>
    </row>
    <row r="623">
      <c r="O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  <c r="AI623" s="230"/>
    </row>
    <row r="624">
      <c r="O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</row>
    <row r="625">
      <c r="O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  <c r="AI625" s="230"/>
    </row>
    <row r="626">
      <c r="O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  <c r="AI626" s="230"/>
    </row>
    <row r="627">
      <c r="O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  <c r="AI627" s="230"/>
    </row>
    <row r="628">
      <c r="O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  <c r="AI628" s="230"/>
    </row>
    <row r="629">
      <c r="O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  <c r="AI629" s="230"/>
    </row>
    <row r="630">
      <c r="O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  <c r="AI630" s="230"/>
    </row>
    <row r="631">
      <c r="O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  <c r="AI631" s="230"/>
    </row>
    <row r="632">
      <c r="O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  <c r="AI632" s="230"/>
    </row>
    <row r="633">
      <c r="O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  <c r="AI633" s="230"/>
    </row>
    <row r="634">
      <c r="O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  <c r="AI634" s="230"/>
    </row>
    <row r="635">
      <c r="O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  <c r="AI635" s="230"/>
    </row>
    <row r="636">
      <c r="O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  <c r="AI636" s="230"/>
    </row>
    <row r="637">
      <c r="O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  <c r="AI637" s="230"/>
    </row>
    <row r="638">
      <c r="O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  <c r="AI638" s="230"/>
    </row>
    <row r="639">
      <c r="O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</row>
    <row r="640">
      <c r="O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  <c r="AI640" s="230"/>
    </row>
    <row r="641">
      <c r="O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  <c r="AI641" s="230"/>
    </row>
    <row r="642">
      <c r="O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  <c r="AI642" s="230"/>
    </row>
    <row r="643">
      <c r="O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  <c r="AI643" s="230"/>
    </row>
    <row r="644">
      <c r="O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  <c r="AI644" s="230"/>
    </row>
    <row r="645">
      <c r="O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  <c r="AI645" s="230"/>
    </row>
    <row r="646">
      <c r="O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  <c r="AI646" s="230"/>
    </row>
    <row r="647">
      <c r="O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  <c r="AI647" s="230"/>
    </row>
    <row r="648">
      <c r="O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  <c r="AI648" s="230"/>
    </row>
    <row r="649">
      <c r="O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  <c r="AI649" s="230"/>
    </row>
    <row r="650">
      <c r="O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  <c r="AI650" s="230"/>
    </row>
    <row r="651">
      <c r="O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  <c r="AI651" s="230"/>
    </row>
    <row r="652">
      <c r="O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  <c r="AI652" s="230"/>
    </row>
    <row r="653">
      <c r="O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  <c r="AI653" s="230"/>
    </row>
    <row r="654">
      <c r="O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  <c r="AI654" s="230"/>
    </row>
    <row r="655">
      <c r="O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  <c r="AI655" s="230"/>
    </row>
    <row r="656">
      <c r="O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  <c r="AI656" s="230"/>
    </row>
    <row r="657">
      <c r="O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  <c r="AI657" s="230"/>
    </row>
    <row r="658">
      <c r="O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  <c r="AI658" s="230"/>
    </row>
    <row r="659">
      <c r="O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  <c r="AI659" s="230"/>
    </row>
    <row r="660">
      <c r="O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  <c r="AI660" s="230"/>
    </row>
    <row r="661">
      <c r="O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</row>
    <row r="662">
      <c r="O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  <c r="AI662" s="230"/>
    </row>
    <row r="663">
      <c r="O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  <c r="AI663" s="230"/>
    </row>
    <row r="664">
      <c r="O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  <c r="AI664" s="230"/>
    </row>
    <row r="665">
      <c r="O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  <c r="AI665" s="230"/>
    </row>
    <row r="666">
      <c r="O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  <c r="AI666" s="230"/>
    </row>
    <row r="667">
      <c r="O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  <c r="AI667" s="230"/>
    </row>
    <row r="668">
      <c r="O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  <c r="AI668" s="230"/>
    </row>
    <row r="669">
      <c r="O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  <c r="AI669" s="230"/>
    </row>
    <row r="670">
      <c r="O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  <c r="AI670" s="230"/>
    </row>
    <row r="671">
      <c r="O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  <c r="AI671" s="230"/>
    </row>
    <row r="672">
      <c r="O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  <c r="AI672" s="230"/>
    </row>
    <row r="673">
      <c r="O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  <c r="AI673" s="230"/>
    </row>
    <row r="674">
      <c r="O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  <c r="AI674" s="230"/>
    </row>
    <row r="675">
      <c r="O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  <c r="AI675" s="230"/>
    </row>
    <row r="676">
      <c r="O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  <c r="AI676" s="230"/>
    </row>
    <row r="677">
      <c r="O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  <c r="AI677" s="230"/>
    </row>
    <row r="678">
      <c r="O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  <c r="AI678" s="230"/>
    </row>
    <row r="679">
      <c r="O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  <c r="AI679" s="230"/>
    </row>
    <row r="680">
      <c r="O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  <c r="AI680" s="230"/>
    </row>
    <row r="681">
      <c r="O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  <c r="AI681" s="230"/>
    </row>
    <row r="682">
      <c r="O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  <c r="AI682" s="230"/>
    </row>
    <row r="683">
      <c r="O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</row>
    <row r="684">
      <c r="O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  <c r="AI684" s="230"/>
    </row>
    <row r="685">
      <c r="O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  <c r="AI685" s="230"/>
    </row>
    <row r="686">
      <c r="O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  <c r="AI686" s="230"/>
    </row>
    <row r="687">
      <c r="O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  <c r="AI687" s="230"/>
    </row>
    <row r="688">
      <c r="O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  <c r="AI688" s="230"/>
    </row>
    <row r="689">
      <c r="O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  <c r="AI689" s="230"/>
    </row>
    <row r="690">
      <c r="O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  <c r="AI690" s="230"/>
    </row>
    <row r="691">
      <c r="O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  <c r="AI691" s="230"/>
    </row>
    <row r="692">
      <c r="O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  <c r="AI692" s="230"/>
    </row>
    <row r="693">
      <c r="O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  <c r="AI693" s="230"/>
    </row>
    <row r="694">
      <c r="O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  <c r="AI694" s="230"/>
    </row>
    <row r="695">
      <c r="O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  <c r="AI695" s="230"/>
    </row>
    <row r="696">
      <c r="O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  <c r="AI696" s="230"/>
    </row>
    <row r="697">
      <c r="O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  <c r="AI697" s="230"/>
    </row>
    <row r="698">
      <c r="O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  <c r="AI698" s="230"/>
    </row>
    <row r="699">
      <c r="O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  <c r="AI699" s="230"/>
    </row>
    <row r="700">
      <c r="O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  <c r="AI700" s="230"/>
    </row>
    <row r="701">
      <c r="O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  <c r="AI701" s="230"/>
    </row>
    <row r="702">
      <c r="O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  <c r="AI702" s="230"/>
    </row>
    <row r="703">
      <c r="O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  <c r="AI703" s="230"/>
    </row>
    <row r="704">
      <c r="O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  <c r="AI704" s="230"/>
    </row>
    <row r="705">
      <c r="O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  <c r="AI705" s="230"/>
    </row>
    <row r="706">
      <c r="O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  <c r="AI706" s="230"/>
    </row>
    <row r="707">
      <c r="O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  <c r="AI707" s="230"/>
    </row>
    <row r="708">
      <c r="O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  <c r="AI708" s="230"/>
    </row>
    <row r="709">
      <c r="O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  <c r="AI709" s="230"/>
    </row>
    <row r="710">
      <c r="O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  <c r="AI710" s="230"/>
    </row>
    <row r="711">
      <c r="O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  <c r="AI711" s="230"/>
    </row>
    <row r="712">
      <c r="O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  <c r="AI712" s="230"/>
    </row>
    <row r="713">
      <c r="O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  <c r="AI713" s="230"/>
    </row>
    <row r="714">
      <c r="O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  <c r="AI714" s="230"/>
    </row>
    <row r="715">
      <c r="O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  <c r="AI715" s="230"/>
    </row>
    <row r="716">
      <c r="O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  <c r="AI716" s="230"/>
    </row>
    <row r="717">
      <c r="O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  <c r="AI717" s="230"/>
    </row>
    <row r="718">
      <c r="O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  <c r="AI718" s="230"/>
    </row>
    <row r="719">
      <c r="O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  <c r="AI719" s="230"/>
    </row>
    <row r="720">
      <c r="O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  <c r="AI720" s="230"/>
    </row>
    <row r="721">
      <c r="O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  <c r="AI721" s="230"/>
    </row>
    <row r="722">
      <c r="O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  <c r="AI722" s="230"/>
    </row>
    <row r="723">
      <c r="O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  <c r="AI723" s="230"/>
    </row>
    <row r="724">
      <c r="O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  <c r="AI724" s="230"/>
    </row>
    <row r="725">
      <c r="O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  <c r="AI725" s="230"/>
    </row>
    <row r="726">
      <c r="O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  <c r="AI726" s="230"/>
    </row>
    <row r="727">
      <c r="O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  <c r="AI727" s="230"/>
    </row>
    <row r="728">
      <c r="O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  <c r="AI728" s="230"/>
    </row>
    <row r="729">
      <c r="O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  <c r="AI729" s="230"/>
    </row>
    <row r="730">
      <c r="O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  <c r="AI730" s="230"/>
    </row>
    <row r="731">
      <c r="O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  <c r="AI731" s="230"/>
    </row>
    <row r="732">
      <c r="O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  <c r="AI732" s="230"/>
    </row>
    <row r="733">
      <c r="O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</row>
    <row r="734">
      <c r="O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</row>
    <row r="735">
      <c r="O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</row>
    <row r="736">
      <c r="O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</row>
    <row r="737">
      <c r="O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</row>
    <row r="738">
      <c r="O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</row>
    <row r="739">
      <c r="O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</row>
    <row r="740">
      <c r="O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</row>
    <row r="741">
      <c r="O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</row>
    <row r="742">
      <c r="O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</row>
    <row r="743">
      <c r="O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</row>
    <row r="744">
      <c r="O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</row>
    <row r="745">
      <c r="O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</row>
    <row r="746">
      <c r="O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</row>
    <row r="747">
      <c r="O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</row>
    <row r="748">
      <c r="O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</row>
    <row r="749">
      <c r="O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  <c r="AI749" s="230"/>
    </row>
    <row r="750">
      <c r="O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  <c r="AI750" s="230"/>
    </row>
    <row r="751">
      <c r="O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  <c r="AI751" s="230"/>
    </row>
    <row r="752">
      <c r="O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  <c r="AI752" s="230"/>
    </row>
    <row r="753">
      <c r="O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  <c r="AI753" s="230"/>
    </row>
    <row r="754">
      <c r="O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  <c r="AI754" s="230"/>
    </row>
    <row r="755">
      <c r="O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  <c r="AI755" s="230"/>
    </row>
    <row r="756">
      <c r="O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  <c r="AI756" s="230"/>
    </row>
    <row r="757">
      <c r="O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  <c r="AI757" s="230"/>
    </row>
    <row r="758">
      <c r="O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  <c r="AI758" s="230"/>
    </row>
    <row r="759">
      <c r="O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  <c r="AI759" s="230"/>
    </row>
    <row r="760">
      <c r="O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  <c r="AI760" s="230"/>
    </row>
    <row r="761">
      <c r="O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  <c r="AI761" s="230"/>
    </row>
    <row r="762">
      <c r="O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  <c r="AI762" s="230"/>
    </row>
    <row r="763">
      <c r="O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  <c r="AI763" s="230"/>
    </row>
    <row r="764">
      <c r="O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  <c r="AI764" s="230"/>
    </row>
    <row r="765">
      <c r="O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  <c r="AI765" s="230"/>
    </row>
    <row r="766">
      <c r="O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  <c r="AI766" s="230"/>
    </row>
    <row r="767">
      <c r="O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  <c r="AI767" s="230"/>
    </row>
    <row r="768">
      <c r="O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  <c r="AI768" s="230"/>
    </row>
    <row r="769">
      <c r="O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  <c r="AI769" s="230"/>
    </row>
    <row r="770">
      <c r="O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  <c r="AI770" s="230"/>
    </row>
    <row r="771">
      <c r="O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  <c r="AI771" s="230"/>
    </row>
    <row r="772">
      <c r="O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  <c r="AI772" s="230"/>
    </row>
    <row r="773">
      <c r="O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  <c r="AI773" s="230"/>
    </row>
    <row r="774">
      <c r="O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  <c r="AI774" s="230"/>
    </row>
    <row r="775">
      <c r="O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  <c r="AI775" s="230"/>
    </row>
    <row r="776">
      <c r="O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  <c r="AI776" s="230"/>
    </row>
    <row r="777">
      <c r="O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  <c r="AI777" s="230"/>
    </row>
    <row r="778">
      <c r="O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  <c r="AI778" s="230"/>
    </row>
    <row r="779">
      <c r="O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  <c r="AI779" s="230"/>
    </row>
    <row r="780">
      <c r="O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  <c r="AI780" s="230"/>
    </row>
    <row r="781">
      <c r="O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  <c r="AI781" s="230"/>
    </row>
    <row r="782">
      <c r="O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  <c r="AI782" s="230"/>
    </row>
    <row r="783">
      <c r="O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</row>
    <row r="784">
      <c r="O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  <c r="AI784" s="230"/>
    </row>
    <row r="785">
      <c r="O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  <c r="AI785" s="230"/>
    </row>
    <row r="786">
      <c r="O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  <c r="AI786" s="230"/>
    </row>
    <row r="787">
      <c r="O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  <c r="AI787" s="230"/>
    </row>
    <row r="788">
      <c r="O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  <c r="AI788" s="230"/>
    </row>
    <row r="789">
      <c r="O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  <c r="AI789" s="230"/>
    </row>
    <row r="790">
      <c r="O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  <c r="AI790" s="230"/>
    </row>
    <row r="791">
      <c r="O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</row>
    <row r="792">
      <c r="O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  <c r="AI792" s="230"/>
    </row>
    <row r="793">
      <c r="O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  <c r="AI793" s="230"/>
    </row>
    <row r="794">
      <c r="O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  <c r="AI794" s="230"/>
    </row>
    <row r="795">
      <c r="O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  <c r="AI795" s="230"/>
    </row>
    <row r="796">
      <c r="O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  <c r="AI796" s="230"/>
    </row>
    <row r="797">
      <c r="O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  <c r="AI797" s="230"/>
    </row>
    <row r="798">
      <c r="O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  <c r="AI798" s="230"/>
    </row>
    <row r="799">
      <c r="O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  <c r="AI799" s="230"/>
    </row>
    <row r="800">
      <c r="O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  <c r="AI800" s="230"/>
    </row>
    <row r="801">
      <c r="O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  <c r="AI801" s="230"/>
    </row>
    <row r="802">
      <c r="O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  <c r="AI802" s="230"/>
    </row>
    <row r="803">
      <c r="O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  <c r="AI803" s="230"/>
    </row>
    <row r="804">
      <c r="O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  <c r="AI804" s="230"/>
    </row>
    <row r="805">
      <c r="O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  <c r="AI805" s="230"/>
    </row>
    <row r="806">
      <c r="O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  <c r="AI806" s="230"/>
    </row>
    <row r="807">
      <c r="O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  <c r="AI807" s="230"/>
    </row>
    <row r="808">
      <c r="O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  <c r="AI808" s="230"/>
    </row>
    <row r="809">
      <c r="O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  <c r="AI809" s="230"/>
    </row>
    <row r="810">
      <c r="O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  <c r="AI810" s="230"/>
    </row>
    <row r="811">
      <c r="O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  <c r="AI811" s="230"/>
    </row>
    <row r="812">
      <c r="O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  <c r="AI812" s="230"/>
    </row>
    <row r="813">
      <c r="O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  <c r="AI813" s="230"/>
    </row>
    <row r="814">
      <c r="O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  <c r="AI814" s="230"/>
    </row>
    <row r="815">
      <c r="O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  <c r="AI815" s="230"/>
    </row>
    <row r="816">
      <c r="O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  <c r="AI816" s="230"/>
    </row>
    <row r="817">
      <c r="O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  <c r="AI817" s="230"/>
    </row>
    <row r="818">
      <c r="O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  <c r="AI818" s="230"/>
    </row>
    <row r="819">
      <c r="O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  <c r="AI819" s="230"/>
    </row>
    <row r="820">
      <c r="O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  <c r="AI820" s="230"/>
    </row>
    <row r="821">
      <c r="O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  <c r="AI821" s="230"/>
    </row>
    <row r="822">
      <c r="O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  <c r="AI822" s="230"/>
    </row>
    <row r="823">
      <c r="O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  <c r="AI823" s="230"/>
    </row>
    <row r="824">
      <c r="O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  <c r="AI824" s="230"/>
    </row>
    <row r="825">
      <c r="O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  <c r="AI825" s="230"/>
    </row>
    <row r="826">
      <c r="O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  <c r="AI826" s="230"/>
    </row>
    <row r="827">
      <c r="O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  <c r="AI827" s="230"/>
    </row>
    <row r="828">
      <c r="O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  <c r="AI828" s="230"/>
    </row>
    <row r="829">
      <c r="O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  <c r="AI829" s="230"/>
    </row>
    <row r="830">
      <c r="O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  <c r="AI830" s="230"/>
    </row>
    <row r="831">
      <c r="O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</row>
    <row r="832">
      <c r="O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  <c r="AI832" s="230"/>
    </row>
    <row r="833">
      <c r="O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  <c r="AI833" s="230"/>
    </row>
    <row r="834">
      <c r="O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  <c r="AI834" s="230"/>
    </row>
    <row r="835">
      <c r="O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  <c r="AI835" s="230"/>
    </row>
    <row r="836">
      <c r="O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  <c r="AI836" s="230"/>
    </row>
    <row r="837">
      <c r="O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  <c r="AI837" s="230"/>
    </row>
    <row r="838">
      <c r="O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  <c r="AI838" s="230"/>
    </row>
    <row r="839">
      <c r="O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  <c r="AI839" s="230"/>
    </row>
    <row r="840">
      <c r="O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  <c r="AI840" s="230"/>
    </row>
    <row r="841">
      <c r="O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  <c r="AI841" s="230"/>
    </row>
    <row r="842">
      <c r="O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  <c r="AI842" s="230"/>
    </row>
    <row r="843">
      <c r="O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  <c r="AI843" s="230"/>
    </row>
    <row r="844">
      <c r="O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  <c r="AI844" s="230"/>
    </row>
    <row r="845">
      <c r="O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  <c r="AI845" s="230"/>
    </row>
    <row r="846">
      <c r="O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  <c r="AI846" s="230"/>
    </row>
    <row r="847">
      <c r="O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  <c r="AI847" s="230"/>
    </row>
    <row r="848">
      <c r="O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  <c r="AI848" s="230"/>
    </row>
    <row r="849">
      <c r="O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  <c r="AI849" s="230"/>
    </row>
    <row r="850">
      <c r="O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  <c r="AI850" s="230"/>
    </row>
    <row r="851">
      <c r="O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  <c r="AI851" s="230"/>
    </row>
    <row r="852">
      <c r="O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  <c r="AI852" s="230"/>
    </row>
    <row r="853">
      <c r="O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  <c r="AI853" s="230"/>
    </row>
    <row r="854">
      <c r="O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  <c r="AI854" s="230"/>
    </row>
    <row r="855">
      <c r="O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  <c r="AI855" s="230"/>
    </row>
    <row r="856">
      <c r="O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  <c r="AI856" s="230"/>
    </row>
    <row r="857">
      <c r="O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  <c r="AI857" s="230"/>
    </row>
    <row r="858">
      <c r="O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  <c r="AI858" s="230"/>
    </row>
    <row r="859">
      <c r="O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  <c r="AI859" s="230"/>
    </row>
    <row r="860">
      <c r="O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  <c r="AI860" s="230"/>
    </row>
    <row r="861">
      <c r="O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  <c r="AI861" s="230"/>
    </row>
    <row r="862">
      <c r="O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  <c r="AI862" s="230"/>
    </row>
    <row r="863">
      <c r="O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  <c r="AI863" s="230"/>
    </row>
    <row r="864">
      <c r="O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  <c r="AI864" s="230"/>
    </row>
    <row r="865">
      <c r="O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  <c r="AI865" s="230"/>
    </row>
    <row r="866">
      <c r="O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  <c r="AI866" s="230"/>
    </row>
    <row r="867">
      <c r="O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  <c r="AI867" s="230"/>
    </row>
    <row r="868">
      <c r="O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  <c r="AI868" s="230"/>
    </row>
    <row r="869">
      <c r="O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  <c r="AI869" s="230"/>
    </row>
    <row r="870">
      <c r="O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  <c r="AI870" s="230"/>
    </row>
    <row r="871">
      <c r="O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  <c r="AI871" s="230"/>
    </row>
    <row r="872">
      <c r="O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  <c r="AI872" s="230"/>
    </row>
    <row r="873">
      <c r="O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  <c r="AI873" s="230"/>
    </row>
    <row r="874">
      <c r="O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  <c r="AI874" s="230"/>
    </row>
    <row r="875">
      <c r="O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  <c r="AI875" s="230"/>
    </row>
    <row r="876">
      <c r="O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  <c r="AI876" s="230"/>
    </row>
    <row r="877">
      <c r="O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  <c r="AI877" s="230"/>
    </row>
    <row r="878">
      <c r="O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  <c r="AI878" s="230"/>
    </row>
    <row r="879">
      <c r="O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  <c r="AI879" s="230"/>
    </row>
    <row r="880">
      <c r="O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  <c r="AI880" s="230"/>
    </row>
    <row r="881">
      <c r="O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  <c r="AI881" s="230"/>
    </row>
    <row r="882">
      <c r="O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  <c r="AI882" s="230"/>
    </row>
    <row r="883">
      <c r="O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  <c r="AI883" s="230"/>
    </row>
    <row r="884">
      <c r="O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  <c r="AI884" s="230"/>
    </row>
    <row r="885">
      <c r="O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  <c r="AI885" s="230"/>
    </row>
    <row r="886">
      <c r="O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  <c r="AI886" s="230"/>
    </row>
    <row r="887">
      <c r="O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  <c r="AI887" s="230"/>
    </row>
    <row r="888">
      <c r="O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  <c r="AI888" s="230"/>
    </row>
    <row r="889">
      <c r="O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  <c r="AI889" s="230"/>
    </row>
    <row r="890">
      <c r="O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  <c r="AI890" s="230"/>
    </row>
    <row r="891">
      <c r="O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  <c r="AI891" s="230"/>
    </row>
    <row r="892">
      <c r="O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  <c r="AI892" s="230"/>
    </row>
    <row r="893">
      <c r="O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  <c r="AI893" s="230"/>
    </row>
    <row r="894">
      <c r="O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  <c r="AI894" s="230"/>
    </row>
    <row r="895">
      <c r="O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  <c r="AI895" s="230"/>
    </row>
    <row r="896">
      <c r="O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  <c r="AI896" s="230"/>
    </row>
    <row r="897">
      <c r="O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  <c r="AI897" s="230"/>
    </row>
    <row r="898">
      <c r="O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  <c r="AI898" s="230"/>
    </row>
    <row r="899">
      <c r="O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  <c r="AI899" s="230"/>
    </row>
    <row r="900">
      <c r="O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  <c r="AI900" s="230"/>
    </row>
    <row r="901">
      <c r="O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  <c r="AI901" s="230"/>
    </row>
    <row r="902">
      <c r="O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  <c r="AI902" s="230"/>
    </row>
    <row r="903">
      <c r="O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  <c r="AI903" s="230"/>
    </row>
    <row r="904">
      <c r="O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  <c r="AI904" s="230"/>
    </row>
    <row r="905">
      <c r="O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  <c r="AI905" s="230"/>
    </row>
    <row r="906">
      <c r="O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  <c r="AI906" s="230"/>
    </row>
    <row r="907">
      <c r="O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  <c r="AI907" s="230"/>
    </row>
    <row r="908">
      <c r="O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  <c r="AI908" s="230"/>
    </row>
    <row r="909">
      <c r="O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  <c r="AI909" s="230"/>
    </row>
    <row r="910">
      <c r="O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  <c r="AI910" s="230"/>
    </row>
    <row r="911">
      <c r="O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  <c r="AI911" s="230"/>
    </row>
    <row r="912">
      <c r="O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  <c r="AI912" s="230"/>
    </row>
    <row r="913">
      <c r="O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  <c r="AI913" s="230"/>
    </row>
    <row r="914">
      <c r="O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  <c r="AI914" s="230"/>
    </row>
    <row r="915">
      <c r="O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  <c r="AI915" s="230"/>
    </row>
    <row r="916">
      <c r="O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  <c r="AI916" s="230"/>
    </row>
    <row r="917">
      <c r="O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  <c r="AI917" s="230"/>
    </row>
    <row r="918">
      <c r="O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  <c r="AI918" s="230"/>
    </row>
    <row r="919">
      <c r="O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  <c r="AI919" s="230"/>
    </row>
    <row r="920">
      <c r="O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  <c r="AI920" s="230"/>
    </row>
    <row r="921">
      <c r="O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  <c r="AI921" s="230"/>
    </row>
    <row r="922">
      <c r="O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  <c r="AI922" s="230"/>
    </row>
    <row r="923">
      <c r="O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</row>
    <row r="924">
      <c r="O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  <c r="AI924" s="230"/>
    </row>
    <row r="925">
      <c r="O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  <c r="AI925" s="230"/>
    </row>
    <row r="926">
      <c r="O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  <c r="AI926" s="230"/>
    </row>
    <row r="927">
      <c r="O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  <c r="AI927" s="230"/>
    </row>
    <row r="928">
      <c r="O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  <c r="AI928" s="230"/>
    </row>
    <row r="929">
      <c r="O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  <c r="AI929" s="230"/>
    </row>
    <row r="930">
      <c r="O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  <c r="AI930" s="230"/>
    </row>
    <row r="931">
      <c r="O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  <c r="AI931" s="230"/>
    </row>
    <row r="932">
      <c r="O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  <c r="AI932" s="230"/>
    </row>
    <row r="933">
      <c r="O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</row>
    <row r="934">
      <c r="O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</row>
    <row r="935">
      <c r="O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</row>
    <row r="936">
      <c r="O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</row>
    <row r="937">
      <c r="O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</row>
    <row r="938">
      <c r="O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</row>
    <row r="939">
      <c r="O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</row>
    <row r="940">
      <c r="O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</row>
    <row r="941">
      <c r="O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</row>
    <row r="942">
      <c r="O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</row>
    <row r="943">
      <c r="O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</row>
    <row r="944">
      <c r="O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</row>
    <row r="945">
      <c r="O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</row>
    <row r="946">
      <c r="O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</row>
    <row r="947">
      <c r="O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</row>
    <row r="948">
      <c r="O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  <c r="AI948" s="230"/>
    </row>
    <row r="949">
      <c r="O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  <c r="AI949" s="230"/>
    </row>
    <row r="950">
      <c r="O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  <c r="AI950" s="230"/>
    </row>
    <row r="951">
      <c r="O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  <c r="AI951" s="230"/>
    </row>
    <row r="952">
      <c r="O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  <c r="AI952" s="230"/>
    </row>
    <row r="953">
      <c r="O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  <c r="AI953" s="230"/>
    </row>
    <row r="954">
      <c r="O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  <c r="AI954" s="230"/>
    </row>
    <row r="955">
      <c r="O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  <c r="AI955" s="230"/>
    </row>
    <row r="956">
      <c r="O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  <c r="AI956" s="230"/>
    </row>
    <row r="957">
      <c r="O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  <c r="AI957" s="230"/>
    </row>
    <row r="958">
      <c r="O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  <c r="AI958" s="230"/>
    </row>
    <row r="959">
      <c r="O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  <c r="AI959" s="230"/>
    </row>
    <row r="960">
      <c r="O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  <c r="AI960" s="230"/>
    </row>
    <row r="961">
      <c r="O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  <c r="AI961" s="230"/>
    </row>
    <row r="962">
      <c r="O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  <c r="AI962" s="230"/>
    </row>
    <row r="963">
      <c r="O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  <c r="AI963" s="230"/>
    </row>
    <row r="964">
      <c r="O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  <c r="AI964" s="230"/>
    </row>
    <row r="965">
      <c r="O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  <c r="AI965" s="230"/>
    </row>
    <row r="966">
      <c r="O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  <c r="AI966" s="230"/>
    </row>
    <row r="967">
      <c r="O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  <c r="AI967" s="230"/>
    </row>
    <row r="968">
      <c r="O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  <c r="AI968" s="230"/>
    </row>
    <row r="969">
      <c r="O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  <c r="AI969" s="230"/>
    </row>
    <row r="970">
      <c r="O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  <c r="AI970" s="230"/>
    </row>
    <row r="971">
      <c r="O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  <c r="AI971" s="230"/>
    </row>
    <row r="972">
      <c r="O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  <c r="AI972" s="230"/>
    </row>
    <row r="973">
      <c r="O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  <c r="AI973" s="230"/>
    </row>
    <row r="974">
      <c r="O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  <c r="AI974" s="230"/>
    </row>
    <row r="975">
      <c r="O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  <c r="AI975" s="230"/>
    </row>
    <row r="976">
      <c r="O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  <c r="AI976" s="230"/>
    </row>
    <row r="977">
      <c r="O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  <c r="AI977" s="230"/>
    </row>
    <row r="978">
      <c r="O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  <c r="AI978" s="230"/>
    </row>
    <row r="979">
      <c r="O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  <c r="AI979" s="230"/>
    </row>
    <row r="980">
      <c r="O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  <c r="AI980" s="230"/>
    </row>
    <row r="981">
      <c r="O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  <c r="AI981" s="230"/>
    </row>
    <row r="982">
      <c r="O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  <c r="AI982" s="230"/>
    </row>
    <row r="983">
      <c r="O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  <c r="AI983" s="230"/>
    </row>
    <row r="984">
      <c r="O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  <c r="AI984" s="230"/>
    </row>
    <row r="985">
      <c r="O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  <c r="AI985" s="230"/>
    </row>
    <row r="986">
      <c r="O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  <c r="AI986" s="230"/>
    </row>
    <row r="987">
      <c r="O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  <c r="AI987" s="230"/>
    </row>
    <row r="988">
      <c r="O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  <c r="AI988" s="230"/>
    </row>
    <row r="989">
      <c r="O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  <c r="AI989" s="230"/>
    </row>
    <row r="990">
      <c r="O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  <c r="AI990" s="230"/>
    </row>
    <row r="991">
      <c r="O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  <c r="AI991" s="230"/>
    </row>
    <row r="992">
      <c r="O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  <c r="AI992" s="230"/>
    </row>
    <row r="993">
      <c r="O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  <c r="AI993" s="230"/>
    </row>
    <row r="994">
      <c r="O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  <c r="AI994" s="230"/>
    </row>
    <row r="995">
      <c r="O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  <c r="AI995" s="230"/>
    </row>
    <row r="996">
      <c r="O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  <c r="AI996" s="230"/>
    </row>
    <row r="997">
      <c r="O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  <c r="AI997" s="230"/>
    </row>
    <row r="998">
      <c r="O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  <c r="AI998" s="230"/>
    </row>
    <row r="999">
      <c r="O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  <c r="AI999" s="230"/>
    </row>
    <row r="1000">
      <c r="O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  <c r="AI1000" s="230"/>
    </row>
    <row r="1001">
      <c r="O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  <c r="AI1001" s="230"/>
    </row>
    <row r="1002">
      <c r="O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  <c r="AI1002" s="230"/>
    </row>
    <row r="1003">
      <c r="O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  <c r="AI1003" s="230"/>
    </row>
    <row r="1004">
      <c r="O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  <c r="AI1004" s="230"/>
    </row>
    <row r="1005">
      <c r="O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  <c r="AI1005" s="230"/>
    </row>
    <row r="1006">
      <c r="O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  <c r="AI1006" s="230"/>
    </row>
    <row r="1007">
      <c r="O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  <c r="AI1007" s="230"/>
    </row>
    <row r="1008">
      <c r="O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  <c r="AI1008" s="230"/>
    </row>
    <row r="1009">
      <c r="O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  <c r="AI1009" s="230"/>
    </row>
    <row r="1010">
      <c r="O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  <c r="AI1010" s="230"/>
    </row>
    <row r="1011">
      <c r="O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  <c r="AI1011" s="230"/>
    </row>
    <row r="1012">
      <c r="O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  <c r="AI1012" s="230"/>
    </row>
    <row r="1013">
      <c r="O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  <c r="AI1013" s="230"/>
    </row>
    <row r="1014">
      <c r="O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  <c r="AI1014" s="230"/>
    </row>
    <row r="1015">
      <c r="O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  <c r="AI1015" s="230"/>
    </row>
    <row r="1016">
      <c r="O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  <c r="AI1016" s="230"/>
    </row>
    <row r="1017">
      <c r="O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  <c r="AI1017" s="230"/>
    </row>
    <row r="1018">
      <c r="O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  <c r="AI1018" s="230"/>
    </row>
    <row r="1019">
      <c r="O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  <c r="AI1019" s="230"/>
    </row>
    <row r="1020">
      <c r="O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  <c r="AI1020" s="230"/>
    </row>
    <row r="1021">
      <c r="O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  <c r="AI1021" s="230"/>
    </row>
    <row r="1022">
      <c r="O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  <c r="AI1022" s="230"/>
    </row>
    <row r="1023">
      <c r="O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  <c r="AI1023" s="230"/>
    </row>
    <row r="1024">
      <c r="O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  <c r="AI1024" s="230"/>
    </row>
    <row r="1025">
      <c r="O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  <c r="AI1025" s="230"/>
    </row>
    <row r="1026">
      <c r="O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  <c r="AI1026" s="230"/>
    </row>
    <row r="1027">
      <c r="O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  <c r="AI1027" s="230"/>
    </row>
    <row r="1028">
      <c r="O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  <c r="AI1028" s="230"/>
    </row>
    <row r="1029">
      <c r="O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  <c r="AI1029" s="230"/>
    </row>
    <row r="1030">
      <c r="O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  <c r="AI1030" s="230"/>
    </row>
    <row r="1031">
      <c r="O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  <c r="AI1031" s="230"/>
    </row>
    <row r="1032">
      <c r="O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  <c r="AI1032" s="230"/>
    </row>
    <row r="1033">
      <c r="O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  <c r="AI1033" s="230"/>
    </row>
    <row r="1034">
      <c r="O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  <c r="AI1034" s="230"/>
    </row>
    <row r="1035">
      <c r="O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  <c r="AI1035" s="230"/>
    </row>
    <row r="1036">
      <c r="O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  <c r="AI1036" s="230"/>
    </row>
    <row r="1037">
      <c r="O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  <c r="AI1037" s="230"/>
    </row>
    <row r="1038">
      <c r="O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  <c r="AI1038" s="230"/>
    </row>
    <row r="1039">
      <c r="O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  <c r="AI1039" s="230"/>
    </row>
    <row r="1040">
      <c r="O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  <c r="AI1040" s="230"/>
    </row>
    <row r="1041">
      <c r="O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  <c r="AI1041" s="230"/>
    </row>
    <row r="1042">
      <c r="O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  <c r="AI1042" s="230"/>
    </row>
    <row r="1043">
      <c r="O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  <c r="AI1043" s="230"/>
    </row>
    <row r="1044">
      <c r="O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  <c r="AI1044" s="230"/>
    </row>
    <row r="1045">
      <c r="O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  <c r="AI1045" s="230"/>
    </row>
    <row r="1046">
      <c r="O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  <c r="AI1046" s="230"/>
    </row>
    <row r="1047">
      <c r="O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  <c r="AI1047" s="230"/>
    </row>
    <row r="1048">
      <c r="O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  <c r="AI1048" s="230"/>
    </row>
    <row r="1049">
      <c r="O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  <c r="AI1049" s="230"/>
    </row>
    <row r="1050">
      <c r="O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  <c r="AI1050" s="230"/>
    </row>
    <row r="1051">
      <c r="O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  <c r="AI1051" s="230"/>
    </row>
    <row r="1052">
      <c r="O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  <c r="AI1052" s="230"/>
    </row>
    <row r="1053">
      <c r="O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  <c r="AI1053" s="230"/>
    </row>
    <row r="1054">
      <c r="O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  <c r="AI1054" s="230"/>
    </row>
    <row r="1055">
      <c r="O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  <c r="AI1055" s="230"/>
    </row>
    <row r="1056">
      <c r="O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  <c r="AI1056" s="230"/>
    </row>
    <row r="1057">
      <c r="O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  <c r="AI1057" s="230"/>
    </row>
    <row r="1058">
      <c r="O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  <c r="AI1058" s="230"/>
    </row>
    <row r="1059">
      <c r="O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  <c r="AI1059" s="230"/>
    </row>
    <row r="1060">
      <c r="O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  <c r="AI1060" s="230"/>
    </row>
    <row r="1061">
      <c r="O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  <c r="AI1061" s="230"/>
    </row>
    <row r="1062">
      <c r="O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  <c r="AI1062" s="230"/>
    </row>
    <row r="1063">
      <c r="O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  <c r="AI1063" s="230"/>
    </row>
    <row r="1064">
      <c r="O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  <c r="AI1064" s="230"/>
    </row>
    <row r="1065">
      <c r="O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  <c r="AI1065" s="230"/>
    </row>
    <row r="1066">
      <c r="O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  <c r="AI1066" s="230"/>
    </row>
    <row r="1067">
      <c r="O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  <c r="AI1067" s="230"/>
    </row>
    <row r="1068">
      <c r="O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  <c r="AI1068" s="230"/>
    </row>
    <row r="1069">
      <c r="O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  <c r="AI1069" s="230"/>
    </row>
    <row r="1070">
      <c r="O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  <c r="AI1070" s="230"/>
    </row>
    <row r="1071">
      <c r="O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  <c r="AI1071" s="230"/>
    </row>
    <row r="1072">
      <c r="O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  <c r="AI1072" s="230"/>
    </row>
    <row r="1073">
      <c r="O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  <c r="AI1073" s="230"/>
    </row>
    <row r="1074">
      <c r="O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  <c r="AI1074" s="230"/>
    </row>
    <row r="1075">
      <c r="O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  <c r="AI1075" s="230"/>
    </row>
    <row r="1076">
      <c r="O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  <c r="AI1076" s="230"/>
    </row>
    <row r="1077">
      <c r="O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  <c r="AI1077" s="230"/>
    </row>
    <row r="1078">
      <c r="O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  <c r="AI1078" s="230"/>
    </row>
    <row r="1079">
      <c r="O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  <c r="AI1079" s="230"/>
    </row>
    <row r="1080">
      <c r="O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  <c r="AI1080" s="230"/>
    </row>
    <row r="1081">
      <c r="O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  <c r="AI1081" s="230"/>
    </row>
    <row r="1082">
      <c r="O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  <c r="AI1082" s="230"/>
    </row>
    <row r="1083">
      <c r="O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  <c r="AI1083" s="230"/>
    </row>
    <row r="1084">
      <c r="O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  <c r="AI1084" s="230"/>
    </row>
    <row r="1085">
      <c r="O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  <c r="AI1085" s="230"/>
    </row>
    <row r="1086">
      <c r="O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  <c r="AI1086" s="230"/>
    </row>
    <row r="1087">
      <c r="O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  <c r="AI1087" s="230"/>
    </row>
    <row r="1088">
      <c r="O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  <c r="AI1088" s="230"/>
    </row>
    <row r="1089">
      <c r="O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  <c r="AI1089" s="230"/>
    </row>
    <row r="1090">
      <c r="O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  <c r="AI1090" s="230"/>
    </row>
    <row r="1091">
      <c r="O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  <c r="AI1091" s="230"/>
    </row>
    <row r="1092">
      <c r="O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  <c r="AI1092" s="230"/>
    </row>
    <row r="1093">
      <c r="O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  <c r="AI1093" s="230"/>
    </row>
    <row r="1094">
      <c r="O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  <c r="AI1094" s="230"/>
    </row>
    <row r="1095">
      <c r="O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  <c r="AI1095" s="230"/>
    </row>
    <row r="1096">
      <c r="O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  <c r="AI1096" s="230"/>
    </row>
    <row r="1097">
      <c r="O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  <c r="AI1097" s="230"/>
    </row>
    <row r="1098">
      <c r="O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  <c r="AI1098" s="230"/>
    </row>
    <row r="1099">
      <c r="O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  <c r="AI1099" s="230"/>
    </row>
    <row r="1100">
      <c r="O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  <c r="AI1100" s="230"/>
    </row>
    <row r="1101">
      <c r="O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  <c r="AI1101" s="230"/>
    </row>
    <row r="1102">
      <c r="O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  <c r="AI1102" s="230"/>
    </row>
    <row r="1103">
      <c r="O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  <c r="AI1103" s="230"/>
    </row>
    <row r="1104">
      <c r="O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  <c r="AI1104" s="230"/>
    </row>
    <row r="1105">
      <c r="O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  <c r="AI1105" s="230"/>
    </row>
    <row r="1106">
      <c r="O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  <c r="AI1106" s="230"/>
    </row>
    <row r="1107">
      <c r="O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  <c r="AI1107" s="230"/>
    </row>
    <row r="1108">
      <c r="O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  <c r="AI1108" s="230"/>
    </row>
    <row r="1109">
      <c r="O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  <c r="AI1109" s="230"/>
    </row>
    <row r="1110">
      <c r="O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  <c r="AI1110" s="230"/>
    </row>
    <row r="1111">
      <c r="O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  <c r="AI1111" s="230"/>
    </row>
    <row r="1112">
      <c r="O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  <c r="AI1112" s="230"/>
    </row>
    <row r="1113">
      <c r="O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  <c r="AI1113" s="230"/>
    </row>
    <row r="1114">
      <c r="O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  <c r="AI1114" s="230"/>
    </row>
    <row r="1115">
      <c r="O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  <c r="AI1115" s="230"/>
    </row>
    <row r="1116">
      <c r="O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  <c r="AI1116" s="230"/>
    </row>
    <row r="1117">
      <c r="O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  <c r="AI1117" s="230"/>
    </row>
    <row r="1118">
      <c r="O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  <c r="AI1118" s="230"/>
    </row>
    <row r="1119">
      <c r="O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  <c r="AI1119" s="230"/>
    </row>
    <row r="1120">
      <c r="O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  <c r="AI1120" s="230"/>
    </row>
    <row r="1121">
      <c r="O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  <c r="AI1121" s="230"/>
    </row>
    <row r="1122">
      <c r="O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  <c r="AI1122" s="230"/>
    </row>
    <row r="1123">
      <c r="O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  <c r="AI1123" s="230"/>
    </row>
    <row r="1124">
      <c r="O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  <c r="AI1124" s="230"/>
    </row>
    <row r="1125">
      <c r="O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  <c r="AI1125" s="230"/>
    </row>
    <row r="1126">
      <c r="O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  <c r="AI1126" s="230"/>
    </row>
    <row r="1127">
      <c r="O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  <c r="AI1127" s="230"/>
    </row>
    <row r="1128">
      <c r="O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  <c r="AI1128" s="230"/>
    </row>
    <row r="1129">
      <c r="O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  <c r="AI1129" s="230"/>
    </row>
    <row r="1130">
      <c r="O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  <c r="AI1130" s="230"/>
    </row>
    <row r="1131">
      <c r="O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  <c r="AI1131" s="230"/>
    </row>
    <row r="1132">
      <c r="O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  <c r="AI1132" s="230"/>
    </row>
    <row r="1133">
      <c r="O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  <c r="AI1133" s="230"/>
    </row>
    <row r="1134">
      <c r="O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  <c r="AI1134" s="230"/>
    </row>
    <row r="1135">
      <c r="O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  <c r="AI1135" s="230"/>
    </row>
    <row r="1136">
      <c r="O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  <c r="AI1136" s="230"/>
    </row>
    <row r="1137">
      <c r="O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  <c r="AI1137" s="230"/>
    </row>
    <row r="1138">
      <c r="O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  <c r="AI1138" s="230"/>
    </row>
    <row r="1139">
      <c r="O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  <c r="AI1139" s="230"/>
    </row>
    <row r="1140">
      <c r="O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  <c r="AI1140" s="230"/>
    </row>
    <row r="1141">
      <c r="O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  <c r="AI1141" s="230"/>
    </row>
    <row r="1142">
      <c r="O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  <c r="AI1142" s="230"/>
    </row>
    <row r="1143">
      <c r="O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  <c r="AI1143" s="230"/>
    </row>
    <row r="1144">
      <c r="O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  <c r="AI1144" s="230"/>
    </row>
    <row r="1145">
      <c r="O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  <c r="AI1145" s="230"/>
    </row>
    <row r="1146">
      <c r="O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  <c r="AI1146" s="230"/>
    </row>
    <row r="1147">
      <c r="O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  <c r="AI1147" s="230"/>
    </row>
    <row r="1148">
      <c r="O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  <c r="AI1148" s="230"/>
    </row>
    <row r="1149">
      <c r="O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  <c r="AI1149" s="230"/>
    </row>
    <row r="1150">
      <c r="O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  <c r="AI1150" s="230"/>
    </row>
    <row r="1151">
      <c r="O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  <c r="AI1151" s="230"/>
    </row>
    <row r="1152">
      <c r="O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  <c r="AI1152" s="230"/>
    </row>
    <row r="1153">
      <c r="O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  <c r="AI1153" s="230"/>
    </row>
    <row r="1154">
      <c r="O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  <c r="AI1154" s="230"/>
    </row>
    <row r="1155">
      <c r="O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  <c r="AI1155" s="230"/>
    </row>
    <row r="1156">
      <c r="O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  <c r="AI1156" s="230"/>
    </row>
    <row r="1157">
      <c r="O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  <c r="AI1157" s="230"/>
    </row>
    <row r="1158">
      <c r="O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  <c r="AI1158" s="230"/>
    </row>
    <row r="1159">
      <c r="O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  <c r="AI1159" s="230"/>
    </row>
    <row r="1160">
      <c r="O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  <c r="AI1160" s="230"/>
    </row>
    <row r="1161">
      <c r="O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  <c r="AI1161" s="230"/>
    </row>
    <row r="1162">
      <c r="O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  <c r="AI1162" s="230"/>
    </row>
    <row r="1163">
      <c r="O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  <c r="AI1163" s="230"/>
    </row>
    <row r="1164">
      <c r="O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  <c r="AI1164" s="230"/>
    </row>
    <row r="1165">
      <c r="O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  <c r="AI1165" s="230"/>
    </row>
    <row r="1166">
      <c r="O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  <c r="AI1166" s="230"/>
    </row>
    <row r="1167">
      <c r="O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  <c r="AI1167" s="230"/>
    </row>
    <row r="1168">
      <c r="O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  <c r="AI1168" s="230"/>
    </row>
    <row r="1169">
      <c r="O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  <c r="AI1169" s="230"/>
    </row>
    <row r="1170">
      <c r="O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  <c r="AI1170" s="230"/>
    </row>
    <row r="1171">
      <c r="O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  <c r="AI1171" s="230"/>
    </row>
    <row r="1172">
      <c r="O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  <c r="AI1172" s="230"/>
    </row>
    <row r="1173">
      <c r="O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  <c r="AI1173" s="230"/>
    </row>
    <row r="1174">
      <c r="O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  <c r="AI1174" s="230"/>
    </row>
    <row r="1175">
      <c r="O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  <c r="AI1175" s="230"/>
    </row>
    <row r="1176">
      <c r="O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  <c r="AI1176" s="230"/>
    </row>
    <row r="1177">
      <c r="O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  <c r="AI1177" s="230"/>
    </row>
    <row r="1178">
      <c r="O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  <c r="AI1178" s="230"/>
    </row>
    <row r="1179">
      <c r="O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  <c r="AI1179" s="230"/>
    </row>
    <row r="1180">
      <c r="O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  <c r="AI1180" s="230"/>
    </row>
    <row r="1181">
      <c r="O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  <c r="AI1181" s="230"/>
    </row>
    <row r="1182">
      <c r="O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  <c r="AI1182" s="230"/>
    </row>
    <row r="1183">
      <c r="O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  <c r="AI1183" s="230"/>
    </row>
    <row r="1184">
      <c r="O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  <c r="AI1184" s="230"/>
    </row>
    <row r="1185">
      <c r="O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  <c r="AI1185" s="230"/>
    </row>
    <row r="1186">
      <c r="O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  <c r="AI1186" s="230"/>
    </row>
    <row r="1187">
      <c r="O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  <c r="AI1187" s="230"/>
    </row>
    <row r="1188">
      <c r="O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  <c r="AI1188" s="230"/>
    </row>
    <row r="1189">
      <c r="O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  <c r="AI1189" s="230"/>
    </row>
    <row r="1190">
      <c r="O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  <c r="AI1190" s="230"/>
    </row>
    <row r="1191">
      <c r="O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  <c r="AI1191" s="230"/>
    </row>
    <row r="1192">
      <c r="O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  <c r="AI1192" s="230"/>
    </row>
    <row r="1193">
      <c r="O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  <c r="AI1193" s="230"/>
    </row>
    <row r="1194">
      <c r="O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  <c r="AI1194" s="230"/>
    </row>
    <row r="1195">
      <c r="O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  <c r="AI1195" s="230"/>
    </row>
    <row r="1196">
      <c r="O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  <c r="AI1196" s="230"/>
    </row>
    <row r="1197">
      <c r="O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  <c r="AI1197" s="230"/>
    </row>
    <row r="1198">
      <c r="O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  <c r="AI1198" s="230"/>
    </row>
    <row r="1199">
      <c r="O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  <c r="AI1199" s="230"/>
    </row>
    <row r="1200">
      <c r="O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  <c r="AI1200" s="230"/>
    </row>
    <row r="1201">
      <c r="O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  <c r="AI1201" s="230"/>
    </row>
    <row r="1202">
      <c r="O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  <c r="AI1202" s="230"/>
    </row>
    <row r="1203">
      <c r="O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  <c r="AI1203" s="230"/>
    </row>
    <row r="1204">
      <c r="O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  <c r="AI1204" s="230"/>
    </row>
    <row r="1205">
      <c r="O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  <c r="AI1205" s="230"/>
    </row>
    <row r="1206">
      <c r="O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  <c r="AI1206" s="230"/>
    </row>
    <row r="1207">
      <c r="O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  <c r="AI1207" s="230"/>
    </row>
    <row r="1208">
      <c r="O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  <c r="AI1208" s="230"/>
    </row>
    <row r="1209">
      <c r="O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  <c r="AI1209" s="230"/>
    </row>
    <row r="1210">
      <c r="O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  <c r="AI1210" s="230"/>
    </row>
    <row r="1211">
      <c r="O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  <c r="AI1211" s="230"/>
    </row>
    <row r="1212">
      <c r="O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  <c r="AI1212" s="230"/>
    </row>
    <row r="1213">
      <c r="O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  <c r="AI1213" s="230"/>
    </row>
    <row r="1214">
      <c r="O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  <c r="AI1214" s="230"/>
    </row>
    <row r="1215">
      <c r="O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  <c r="AI1215" s="230"/>
    </row>
    <row r="1216">
      <c r="O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  <c r="AI1216" s="230"/>
    </row>
    <row r="1217">
      <c r="O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  <c r="AI1217" s="230"/>
    </row>
    <row r="1218">
      <c r="O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  <c r="AI1218" s="230"/>
    </row>
    <row r="1219">
      <c r="O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  <c r="AI1219" s="230"/>
    </row>
    <row r="1220">
      <c r="O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  <c r="AI1220" s="230"/>
    </row>
    <row r="1221">
      <c r="O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  <c r="AI1221" s="230"/>
    </row>
    <row r="1222">
      <c r="O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  <c r="AI1222" s="230"/>
    </row>
    <row r="1223">
      <c r="O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  <c r="AI1223" s="230"/>
    </row>
    <row r="1224">
      <c r="O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  <c r="AI1224" s="230"/>
    </row>
    <row r="1225">
      <c r="O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  <c r="AI1225" s="230"/>
    </row>
    <row r="1226">
      <c r="O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  <c r="AI1226" s="230"/>
    </row>
    <row r="1227">
      <c r="O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  <c r="AI1227" s="230"/>
    </row>
    <row r="1228">
      <c r="O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  <c r="AI1228" s="230"/>
    </row>
    <row r="1229">
      <c r="O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  <c r="AI1229" s="230"/>
    </row>
    <row r="1230">
      <c r="O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  <c r="AI1230" s="230"/>
    </row>
    <row r="1231">
      <c r="O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  <c r="AI1231" s="230"/>
    </row>
    <row r="1232">
      <c r="O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  <c r="AI1232" s="230"/>
    </row>
    <row r="1233">
      <c r="O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  <c r="AI1233" s="230"/>
    </row>
    <row r="1234">
      <c r="O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  <c r="AI1234" s="230"/>
    </row>
    <row r="1235">
      <c r="O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  <c r="AI1235" s="230"/>
    </row>
    <row r="1236">
      <c r="O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  <c r="AI1236" s="230"/>
    </row>
    <row r="1237">
      <c r="O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  <c r="AI1237" s="230"/>
    </row>
    <row r="1238">
      <c r="O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  <c r="AI1238" s="230"/>
    </row>
    <row r="1239">
      <c r="O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  <c r="AI1239" s="230"/>
    </row>
    <row r="1240">
      <c r="O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  <c r="AI1240" s="230"/>
    </row>
    <row r="1241">
      <c r="O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  <c r="AI1241" s="230"/>
    </row>
    <row r="1242">
      <c r="O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  <c r="AI1242" s="230"/>
    </row>
    <row r="1243">
      <c r="O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  <c r="AI1243" s="230"/>
    </row>
    <row r="1244">
      <c r="O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  <c r="AI1244" s="230"/>
    </row>
    <row r="1245">
      <c r="O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  <c r="AI1245" s="230"/>
    </row>
    <row r="1246">
      <c r="O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  <c r="AI1246" s="230"/>
    </row>
    <row r="1247">
      <c r="O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  <c r="AI1247" s="230"/>
    </row>
    <row r="1248">
      <c r="O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  <c r="AI1248" s="230"/>
    </row>
    <row r="1249">
      <c r="O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  <c r="AI1249" s="230"/>
    </row>
    <row r="1250">
      <c r="O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  <c r="AI1250" s="230"/>
    </row>
    <row r="1251">
      <c r="O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  <c r="AI1251" s="230"/>
    </row>
    <row r="1252">
      <c r="O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  <c r="AI1252" s="230"/>
    </row>
    <row r="1253">
      <c r="O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  <c r="AI1253" s="230"/>
    </row>
    <row r="1254">
      <c r="O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  <c r="AI1254" s="230"/>
    </row>
    <row r="1255">
      <c r="O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  <c r="AI1255" s="230"/>
    </row>
    <row r="1256">
      <c r="O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  <c r="AI1256" s="230"/>
    </row>
    <row r="1257">
      <c r="O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  <c r="AI1257" s="230"/>
    </row>
    <row r="1258">
      <c r="O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  <c r="AI1258" s="230"/>
    </row>
    <row r="1259">
      <c r="O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  <c r="AI1259" s="230"/>
    </row>
    <row r="1260">
      <c r="O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  <c r="AI1260" s="230"/>
    </row>
    <row r="1261">
      <c r="O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  <c r="AI1261" s="230"/>
    </row>
    <row r="1262">
      <c r="O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  <c r="AI1262" s="230"/>
    </row>
    <row r="1263">
      <c r="O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  <c r="AI1263" s="230"/>
    </row>
    <row r="1264">
      <c r="O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  <c r="AI1264" s="230"/>
    </row>
    <row r="1265">
      <c r="O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  <c r="AI1265" s="230"/>
    </row>
    <row r="1266">
      <c r="O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  <c r="AI1266" s="230"/>
    </row>
    <row r="1267">
      <c r="O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  <c r="AI1267" s="230"/>
    </row>
    <row r="1268">
      <c r="O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  <c r="AI1268" s="230"/>
    </row>
    <row r="1269">
      <c r="O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  <c r="AI1269" s="230"/>
    </row>
    <row r="1270">
      <c r="O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  <c r="AI1270" s="230"/>
    </row>
    <row r="1271">
      <c r="O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  <c r="AI1271" s="230"/>
    </row>
    <row r="1272">
      <c r="O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  <c r="AI1272" s="230"/>
    </row>
    <row r="1273">
      <c r="O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  <c r="AI1273" s="230"/>
    </row>
    <row r="1274">
      <c r="O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  <c r="AI1274" s="230"/>
    </row>
    <row r="1275">
      <c r="O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  <c r="AI1275" s="230"/>
    </row>
    <row r="1276">
      <c r="O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  <c r="AI1276" s="230"/>
    </row>
    <row r="1277">
      <c r="O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  <c r="AI1277" s="230"/>
    </row>
    <row r="1278">
      <c r="O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  <c r="AI1278" s="230"/>
    </row>
    <row r="1279">
      <c r="O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  <c r="AI1279" s="230"/>
    </row>
    <row r="1280">
      <c r="O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  <c r="AI1280" s="230"/>
    </row>
    <row r="1281">
      <c r="O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  <c r="AI1281" s="230"/>
    </row>
    <row r="1282">
      <c r="O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  <c r="AI1282" s="230"/>
    </row>
    <row r="1283">
      <c r="O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  <c r="AI1283" s="230"/>
    </row>
    <row r="1284">
      <c r="O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  <c r="AI1284" s="230"/>
    </row>
    <row r="1285">
      <c r="O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  <c r="AI1285" s="230"/>
    </row>
    <row r="1286">
      <c r="O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  <c r="AI1286" s="230"/>
    </row>
    <row r="1287">
      <c r="O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  <c r="AI1287" s="230"/>
    </row>
    <row r="1288">
      <c r="O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  <c r="AI1288" s="230"/>
    </row>
    <row r="1289">
      <c r="O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  <c r="AI1289" s="230"/>
    </row>
    <row r="1290">
      <c r="O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  <c r="AI1290" s="230"/>
    </row>
    <row r="1291">
      <c r="O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  <c r="AI1291" s="230"/>
    </row>
    <row r="1292">
      <c r="O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  <c r="AI1292" s="230"/>
    </row>
    <row r="1293">
      <c r="O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  <c r="AI1293" s="230"/>
    </row>
    <row r="1294">
      <c r="O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  <c r="AI1294" s="230"/>
    </row>
    <row r="1295">
      <c r="O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  <c r="AI1295" s="230"/>
    </row>
    <row r="1296">
      <c r="O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  <c r="AI1296" s="230"/>
    </row>
    <row r="1297">
      <c r="O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  <c r="AI1297" s="230"/>
    </row>
    <row r="1298">
      <c r="O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  <c r="AI1298" s="230"/>
    </row>
    <row r="1299">
      <c r="O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  <c r="AI1299" s="230"/>
    </row>
    <row r="1300">
      <c r="O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  <c r="AI1300" s="230"/>
    </row>
    <row r="1301">
      <c r="O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  <c r="AI1301" s="230"/>
    </row>
    <row r="1302">
      <c r="O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  <c r="AI1302" s="230"/>
    </row>
    <row r="1303">
      <c r="O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  <c r="AI1303" s="230"/>
    </row>
    <row r="1304">
      <c r="O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  <c r="AI1304" s="230"/>
    </row>
    <row r="1305">
      <c r="O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  <c r="AI1305" s="230"/>
    </row>
    <row r="1306">
      <c r="O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  <c r="AI1306" s="230"/>
    </row>
    <row r="1307">
      <c r="O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  <c r="AI1307" s="230"/>
    </row>
    <row r="1308">
      <c r="O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  <c r="AI1308" s="230"/>
    </row>
    <row r="1309">
      <c r="O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  <c r="AI1309" s="230"/>
    </row>
    <row r="1310">
      <c r="O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  <c r="AI1310" s="230"/>
    </row>
    <row r="1311">
      <c r="O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  <c r="AI1311" s="230"/>
    </row>
    <row r="1312">
      <c r="O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  <c r="AI1312" s="230"/>
    </row>
    <row r="1313">
      <c r="O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  <c r="AI1313" s="230"/>
    </row>
    <row r="1314">
      <c r="O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  <c r="AI1314" s="230"/>
    </row>
    <row r="1315">
      <c r="O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  <c r="AI1315" s="230"/>
    </row>
    <row r="1316">
      <c r="O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  <c r="AI1316" s="230"/>
    </row>
    <row r="1317">
      <c r="O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  <c r="AI1317" s="230"/>
    </row>
    <row r="1318">
      <c r="O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  <c r="AI1318" s="230"/>
    </row>
    <row r="1319">
      <c r="O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  <c r="AI1319" s="230"/>
    </row>
    <row r="1320">
      <c r="O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  <c r="AI1320" s="230"/>
    </row>
    <row r="1321">
      <c r="O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  <c r="AI1321" s="230"/>
    </row>
    <row r="1322">
      <c r="O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  <c r="AI1322" s="230"/>
    </row>
    <row r="1323">
      <c r="O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  <c r="AI1323" s="230"/>
    </row>
    <row r="1324">
      <c r="O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  <c r="AI1324" s="230"/>
    </row>
    <row r="1325">
      <c r="O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  <c r="AI1325" s="230"/>
    </row>
    <row r="1326">
      <c r="O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  <c r="AI1326" s="230"/>
    </row>
    <row r="1327">
      <c r="O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  <c r="AI1327" s="230"/>
    </row>
    <row r="1328">
      <c r="O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  <c r="AI1328" s="230"/>
    </row>
    <row r="1329">
      <c r="O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  <c r="AI1329" s="230"/>
    </row>
    <row r="1330">
      <c r="O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  <c r="AI1330" s="230"/>
    </row>
    <row r="1331">
      <c r="O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  <c r="AI1331" s="230"/>
    </row>
    <row r="1332">
      <c r="O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  <c r="AI1332" s="230"/>
    </row>
    <row r="1333">
      <c r="O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  <c r="AI1333" s="230"/>
    </row>
    <row r="1334">
      <c r="O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  <c r="AI1334" s="230"/>
    </row>
    <row r="1335">
      <c r="O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  <c r="AI1335" s="230"/>
    </row>
    <row r="1336">
      <c r="O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  <c r="AI1336" s="230"/>
    </row>
    <row r="1337">
      <c r="O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  <c r="AI1337" s="230"/>
    </row>
    <row r="1338">
      <c r="O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  <c r="AI1338" s="230"/>
    </row>
    <row r="1339">
      <c r="O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  <c r="AI1339" s="230"/>
    </row>
    <row r="1340">
      <c r="O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  <c r="AI1340" s="230"/>
    </row>
    <row r="1341">
      <c r="O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  <c r="AI1341" s="230"/>
    </row>
    <row r="1342">
      <c r="O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  <c r="AI1342" s="230"/>
    </row>
    <row r="1343">
      <c r="O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  <c r="AI1343" s="230"/>
    </row>
    <row r="1344">
      <c r="O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  <c r="AI1344" s="230"/>
    </row>
    <row r="1345">
      <c r="O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  <c r="AI1345" s="230"/>
    </row>
    <row r="1346">
      <c r="O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  <c r="AI1346" s="230"/>
    </row>
    <row r="1347">
      <c r="O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  <c r="AI1347" s="230"/>
    </row>
    <row r="1348">
      <c r="O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  <c r="AI1348" s="230"/>
    </row>
    <row r="1349">
      <c r="O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  <c r="AI1349" s="230"/>
    </row>
    <row r="1350">
      <c r="O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  <c r="AI1350" s="230"/>
    </row>
    <row r="1351">
      <c r="O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  <c r="AI1351" s="230"/>
    </row>
    <row r="1352">
      <c r="O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  <c r="AI1352" s="230"/>
    </row>
    <row r="1353">
      <c r="O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  <c r="AI1353" s="230"/>
    </row>
    <row r="1354">
      <c r="O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  <c r="AI1354" s="230"/>
    </row>
    <row r="1355">
      <c r="O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  <c r="AI1355" s="230"/>
    </row>
    <row r="1356">
      <c r="O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  <c r="AI1356" s="230"/>
    </row>
    <row r="1357">
      <c r="O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  <c r="AI1357" s="230"/>
    </row>
    <row r="1358">
      <c r="O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  <c r="AI1358" s="230"/>
    </row>
    <row r="1359">
      <c r="O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  <c r="AI1359" s="230"/>
    </row>
    <row r="1360">
      <c r="O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  <c r="AI1360" s="230"/>
    </row>
    <row r="1361">
      <c r="O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  <c r="AI1361" s="230"/>
    </row>
    <row r="1362">
      <c r="O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  <c r="AI1362" s="230"/>
    </row>
    <row r="1363">
      <c r="O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  <c r="AI1363" s="230"/>
    </row>
    <row r="1364">
      <c r="O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  <c r="AI1364" s="230"/>
    </row>
    <row r="1365">
      <c r="O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  <c r="AI1365" s="230"/>
    </row>
    <row r="1366">
      <c r="O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  <c r="AI1366" s="230"/>
    </row>
    <row r="1367">
      <c r="O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  <c r="AI1367" s="230"/>
    </row>
    <row r="1368">
      <c r="O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  <c r="AI1368" s="230"/>
    </row>
    <row r="1369">
      <c r="O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  <c r="AI1369" s="230"/>
    </row>
    <row r="1370">
      <c r="O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  <c r="AI1370" s="230"/>
    </row>
    <row r="1371">
      <c r="O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  <c r="AI1371" s="230"/>
    </row>
    <row r="1372">
      <c r="O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  <c r="AI1372" s="230"/>
    </row>
    <row r="1373">
      <c r="O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  <c r="AI1373" s="230"/>
    </row>
    <row r="1374">
      <c r="O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  <c r="AI1374" s="230"/>
    </row>
    <row r="1375">
      <c r="O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  <c r="AI1375" s="230"/>
    </row>
    <row r="1376">
      <c r="O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  <c r="AI1376" s="230"/>
    </row>
    <row r="1377">
      <c r="O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  <c r="AI1377" s="230"/>
    </row>
    <row r="1378">
      <c r="O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  <c r="AI1378" s="230"/>
    </row>
    <row r="1379">
      <c r="O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  <c r="AI1379" s="230"/>
    </row>
    <row r="1380">
      <c r="O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  <c r="AI1380" s="230"/>
    </row>
    <row r="1381">
      <c r="O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  <c r="AI1381" s="230"/>
    </row>
    <row r="1382">
      <c r="O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  <c r="AI1382" s="230"/>
    </row>
    <row r="1383">
      <c r="O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  <c r="AI1383" s="230"/>
    </row>
    <row r="1384">
      <c r="O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  <c r="AI1384" s="230"/>
    </row>
    <row r="1385">
      <c r="O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  <c r="AI1385" s="230"/>
    </row>
    <row r="1386">
      <c r="O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  <c r="AI1386" s="230"/>
    </row>
    <row r="1387">
      <c r="O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  <c r="AI1387" s="230"/>
    </row>
    <row r="1388">
      <c r="O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  <c r="AI1388" s="230"/>
    </row>
    <row r="1389">
      <c r="O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  <c r="AI1389" s="230"/>
    </row>
    <row r="1390">
      <c r="O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  <c r="AI1390" s="230"/>
    </row>
    <row r="1391">
      <c r="O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  <c r="AI1391" s="230"/>
    </row>
    <row r="1392">
      <c r="O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  <c r="AI1392" s="230"/>
    </row>
    <row r="1393">
      <c r="O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  <c r="AI1393" s="230"/>
    </row>
    <row r="1394">
      <c r="O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  <c r="AI1394" s="230"/>
    </row>
    <row r="1395">
      <c r="O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  <c r="AI1395" s="230"/>
    </row>
    <row r="1396">
      <c r="O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  <c r="AI1396" s="230"/>
    </row>
    <row r="1397">
      <c r="O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  <c r="AI1397" s="230"/>
    </row>
    <row r="1398">
      <c r="O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  <c r="AI1398" s="230"/>
    </row>
    <row r="1399">
      <c r="O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  <c r="AI1399" s="230"/>
    </row>
    <row r="1400">
      <c r="O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  <c r="AI1400" s="230"/>
    </row>
    <row r="1401">
      <c r="O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  <c r="AI1401" s="230"/>
    </row>
    <row r="1402">
      <c r="O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  <c r="AI1402" s="230"/>
    </row>
    <row r="1403">
      <c r="O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  <c r="AI1403" s="230"/>
    </row>
    <row r="1404">
      <c r="O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  <c r="AI1404" s="230"/>
    </row>
    <row r="1405">
      <c r="O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  <c r="AI1405" s="230"/>
    </row>
    <row r="1406">
      <c r="O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  <c r="AI1406" s="230"/>
    </row>
    <row r="1407">
      <c r="O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  <c r="AI1407" s="230"/>
    </row>
    <row r="1408">
      <c r="O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  <c r="AI1408" s="230"/>
    </row>
    <row r="1409">
      <c r="O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  <c r="AI1409" s="230"/>
    </row>
    <row r="1410">
      <c r="O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  <c r="AI1410" s="230"/>
    </row>
    <row r="1411">
      <c r="O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  <c r="AI1411" s="230"/>
    </row>
    <row r="1412">
      <c r="O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  <c r="AI1412" s="230"/>
    </row>
    <row r="1413">
      <c r="O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  <c r="AI1413" s="230"/>
    </row>
    <row r="1414">
      <c r="O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  <c r="AI1414" s="230"/>
    </row>
    <row r="1415">
      <c r="O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  <c r="AI1415" s="230"/>
    </row>
    <row r="1416">
      <c r="O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  <c r="AI1416" s="230"/>
    </row>
    <row r="1417">
      <c r="O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  <c r="AI1417" s="230"/>
    </row>
    <row r="1418">
      <c r="O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  <c r="AI1418" s="230"/>
    </row>
    <row r="1419">
      <c r="O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  <c r="AI1419" s="230"/>
    </row>
    <row r="1420">
      <c r="O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  <c r="AI1420" s="230"/>
    </row>
    <row r="1421">
      <c r="O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  <c r="AI1421" s="230"/>
    </row>
    <row r="1422">
      <c r="O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  <c r="AI1422" s="230"/>
    </row>
    <row r="1423">
      <c r="O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  <c r="AI1423" s="230"/>
    </row>
    <row r="1424">
      <c r="O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  <c r="AI1424" s="230"/>
    </row>
    <row r="1425">
      <c r="O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  <c r="AI1425" s="230"/>
    </row>
    <row r="1426">
      <c r="O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  <c r="AI1426" s="230"/>
    </row>
    <row r="1427">
      <c r="O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  <c r="AI1427" s="230"/>
    </row>
    <row r="1428">
      <c r="O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  <c r="AI1428" s="230"/>
    </row>
    <row r="1429">
      <c r="O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  <c r="AI1429" s="230"/>
    </row>
    <row r="1430">
      <c r="O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  <c r="AI1430" s="230"/>
    </row>
    <row r="1431">
      <c r="O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  <c r="AI1431" s="230"/>
    </row>
    <row r="1432">
      <c r="O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  <c r="AI1432" s="230"/>
    </row>
    <row r="1433">
      <c r="O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  <c r="AI1433" s="230"/>
    </row>
    <row r="1434">
      <c r="O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  <c r="AI1434" s="230"/>
    </row>
    <row r="1435">
      <c r="O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  <c r="AI1435" s="230"/>
    </row>
    <row r="1436">
      <c r="O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  <c r="AI1436" s="230"/>
    </row>
    <row r="1437">
      <c r="O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  <c r="AI1437" s="230"/>
    </row>
    <row r="1438">
      <c r="O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  <c r="AI1438" s="230"/>
    </row>
    <row r="1439">
      <c r="O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  <c r="AI1439" s="230"/>
    </row>
    <row r="1440">
      <c r="O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  <c r="AI1440" s="230"/>
    </row>
    <row r="1441">
      <c r="O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  <c r="AI1441" s="230"/>
    </row>
    <row r="1442">
      <c r="O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  <c r="AI1442" s="230"/>
    </row>
    <row r="1443">
      <c r="O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  <c r="AI1443" s="230"/>
    </row>
    <row r="1444">
      <c r="O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  <c r="AI1444" s="230"/>
    </row>
    <row r="1445">
      <c r="O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  <c r="AI1445" s="230"/>
    </row>
    <row r="1446">
      <c r="O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  <c r="AI1446" s="230"/>
    </row>
    <row r="1447">
      <c r="O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  <c r="AI1447" s="230"/>
    </row>
    <row r="1448">
      <c r="O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  <c r="AI1448" s="230"/>
    </row>
    <row r="1449">
      <c r="O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  <c r="AI1449" s="230"/>
    </row>
    <row r="1450">
      <c r="O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  <c r="AI1450" s="230"/>
    </row>
    <row r="1451">
      <c r="O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  <c r="AI1451" s="230"/>
    </row>
    <row r="1452">
      <c r="O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  <c r="AI1452" s="230"/>
    </row>
    <row r="1453">
      <c r="O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  <c r="AI1453" s="230"/>
    </row>
    <row r="1454">
      <c r="O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  <c r="AI1454" s="230"/>
    </row>
    <row r="1455">
      <c r="O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  <c r="AI1455" s="230"/>
    </row>
    <row r="1456">
      <c r="O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  <c r="AI1456" s="230"/>
    </row>
    <row r="1457">
      <c r="O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  <c r="AI1457" s="230"/>
    </row>
    <row r="1458">
      <c r="O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  <c r="AI1458" s="230"/>
    </row>
    <row r="1459">
      <c r="O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  <c r="AI1459" s="230"/>
    </row>
    <row r="1460">
      <c r="O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  <c r="AI1460" s="230"/>
    </row>
    <row r="1461">
      <c r="O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  <c r="AI1461" s="230"/>
    </row>
    <row r="1462">
      <c r="O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  <c r="AI1462" s="230"/>
    </row>
    <row r="1463">
      <c r="O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  <c r="AI1463" s="230"/>
    </row>
    <row r="1464">
      <c r="O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  <c r="AI1464" s="230"/>
    </row>
    <row r="1465">
      <c r="O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  <c r="AI1465" s="230"/>
    </row>
    <row r="1466">
      <c r="O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  <c r="AI1466" s="230"/>
    </row>
    <row r="1467">
      <c r="O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  <c r="AI1467" s="230"/>
    </row>
    <row r="1468">
      <c r="O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  <c r="AI1468" s="230"/>
    </row>
    <row r="1469">
      <c r="O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  <c r="AI1469" s="230"/>
    </row>
    <row r="1470">
      <c r="O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  <c r="AI1470" s="230"/>
    </row>
    <row r="1471">
      <c r="O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  <c r="AI1471" s="230"/>
    </row>
    <row r="1472">
      <c r="O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  <c r="AI1472" s="230"/>
    </row>
    <row r="1473">
      <c r="O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  <c r="AI1473" s="230"/>
    </row>
    <row r="1474">
      <c r="O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  <c r="AI1474" s="230"/>
    </row>
    <row r="1475">
      <c r="O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  <c r="AI1475" s="230"/>
    </row>
    <row r="1476">
      <c r="O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  <c r="AI1476" s="230"/>
    </row>
    <row r="1477">
      <c r="O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  <c r="AI1477" s="230"/>
    </row>
    <row r="1478">
      <c r="O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  <c r="AI1478" s="230"/>
    </row>
    <row r="1479">
      <c r="O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  <c r="AI1479" s="230"/>
    </row>
    <row r="1480">
      <c r="O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  <c r="AI1480" s="230"/>
    </row>
    <row r="1481">
      <c r="O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  <c r="AI1481" s="230"/>
    </row>
    <row r="1482">
      <c r="O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  <c r="AI1482" s="230"/>
    </row>
    <row r="1483">
      <c r="O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  <c r="AI1483" s="230"/>
    </row>
    <row r="1484">
      <c r="O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  <c r="AI1484" s="230"/>
    </row>
    <row r="1485">
      <c r="O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  <c r="AI1485" s="230"/>
    </row>
    <row r="1486">
      <c r="O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  <c r="AI1486" s="230"/>
    </row>
    <row r="1487">
      <c r="O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  <c r="AI1487" s="230"/>
    </row>
    <row r="1488">
      <c r="O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  <c r="AI1488" s="230"/>
    </row>
    <row r="1489">
      <c r="O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  <c r="AI1489" s="230"/>
    </row>
    <row r="1490">
      <c r="O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  <c r="AI1490" s="230"/>
    </row>
    <row r="1491">
      <c r="O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  <c r="AI1491" s="230"/>
    </row>
    <row r="1492">
      <c r="O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  <c r="AI1492" s="230"/>
    </row>
    <row r="1493">
      <c r="O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  <c r="AI1493" s="230"/>
    </row>
    <row r="1494">
      <c r="O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  <c r="AI1494" s="230"/>
    </row>
    <row r="1495">
      <c r="O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  <c r="AI1495" s="230"/>
    </row>
    <row r="1496">
      <c r="O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  <c r="AI1496" s="230"/>
    </row>
    <row r="1497">
      <c r="O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  <c r="AI1497" s="230"/>
    </row>
    <row r="1498">
      <c r="O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  <c r="AI1498" s="230"/>
    </row>
    <row r="1499">
      <c r="O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  <c r="AI1499" s="230"/>
    </row>
    <row r="1500">
      <c r="O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  <c r="AI1500" s="230"/>
    </row>
    <row r="1501">
      <c r="O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  <c r="AI1501" s="230"/>
    </row>
    <row r="1502">
      <c r="O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  <c r="AI1502" s="230"/>
    </row>
    <row r="1503">
      <c r="O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  <c r="AI1503" s="230"/>
    </row>
    <row r="1504">
      <c r="O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  <c r="AI1504" s="230"/>
    </row>
    <row r="1505">
      <c r="O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  <c r="AI1505" s="230"/>
    </row>
    <row r="1506">
      <c r="O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  <c r="AI1506" s="230"/>
    </row>
    <row r="1507">
      <c r="O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  <c r="AI1507" s="230"/>
    </row>
    <row r="1508">
      <c r="O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  <c r="AI1508" s="230"/>
    </row>
    <row r="1509">
      <c r="O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  <c r="AI1509" s="230"/>
    </row>
    <row r="1510">
      <c r="O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  <c r="AI1510" s="230"/>
    </row>
    <row r="1511">
      <c r="O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  <c r="AI1511" s="230"/>
    </row>
    <row r="1512">
      <c r="O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  <c r="AI1512" s="230"/>
    </row>
    <row r="1513">
      <c r="O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  <c r="AI1513" s="230"/>
    </row>
    <row r="1514">
      <c r="O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  <c r="AI1514" s="230"/>
    </row>
    <row r="1515">
      <c r="O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  <c r="AI1515" s="230"/>
    </row>
    <row r="1516">
      <c r="O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  <c r="AI1516" s="230"/>
    </row>
    <row r="1517">
      <c r="O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  <c r="AI1517" s="230"/>
    </row>
    <row r="1518">
      <c r="O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  <c r="AI1518" s="230"/>
    </row>
    <row r="1519">
      <c r="O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  <c r="AI1519" s="230"/>
    </row>
    <row r="1520">
      <c r="O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  <c r="AI1520" s="230"/>
    </row>
    <row r="1521">
      <c r="O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  <c r="AI1521" s="230"/>
    </row>
    <row r="1522">
      <c r="O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  <c r="AI1522" s="230"/>
    </row>
    <row r="1523">
      <c r="O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  <c r="AI1523" s="230"/>
    </row>
    <row r="1524">
      <c r="O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  <c r="AI1524" s="230"/>
    </row>
    <row r="1525">
      <c r="O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  <c r="AI1525" s="230"/>
    </row>
    <row r="1526">
      <c r="O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  <c r="AI1526" s="230"/>
    </row>
    <row r="1527">
      <c r="O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  <c r="AI1527" s="230"/>
    </row>
    <row r="1528">
      <c r="O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  <c r="AI1528" s="230"/>
    </row>
    <row r="1529">
      <c r="O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  <c r="AI1529" s="230"/>
    </row>
    <row r="1530">
      <c r="O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  <c r="AI1530" s="230"/>
    </row>
    <row r="1531">
      <c r="O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  <c r="AI1531" s="230"/>
    </row>
    <row r="1532">
      <c r="O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  <c r="AI1532" s="230"/>
    </row>
    <row r="1533">
      <c r="O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  <c r="AI1533" s="230"/>
    </row>
    <row r="1534">
      <c r="O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  <c r="AI1534" s="230"/>
    </row>
    <row r="1535">
      <c r="O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  <c r="AI1535" s="230"/>
    </row>
    <row r="1536">
      <c r="O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  <c r="AI1536" s="230"/>
    </row>
    <row r="1537">
      <c r="O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  <c r="AI1537" s="230"/>
    </row>
    <row r="1538">
      <c r="O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  <c r="AI1538" s="230"/>
    </row>
    <row r="1539">
      <c r="O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  <c r="AI1539" s="230"/>
    </row>
    <row r="1540">
      <c r="O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  <c r="AI1540" s="230"/>
    </row>
    <row r="1541">
      <c r="O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  <c r="AI1541" s="230"/>
    </row>
    <row r="1542">
      <c r="O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  <c r="AI1542" s="230"/>
    </row>
    <row r="1543">
      <c r="O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  <c r="AI1543" s="230"/>
    </row>
    <row r="1544">
      <c r="O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  <c r="AI1544" s="230"/>
    </row>
    <row r="1545">
      <c r="O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  <c r="AI1545" s="230"/>
    </row>
    <row r="1546">
      <c r="O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  <c r="AI1546" s="230"/>
    </row>
    <row r="1547">
      <c r="O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  <c r="AI1547" s="230"/>
    </row>
    <row r="1548">
      <c r="O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  <c r="AI1548" s="230"/>
    </row>
    <row r="1549">
      <c r="O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  <c r="AI1549" s="230"/>
    </row>
    <row r="1550">
      <c r="O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  <c r="AI1550" s="230"/>
    </row>
    <row r="1551">
      <c r="O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  <c r="AI1551" s="230"/>
    </row>
    <row r="1552">
      <c r="O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  <c r="AI1552" s="230"/>
    </row>
    <row r="1553">
      <c r="O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  <c r="AI1553" s="230"/>
    </row>
    <row r="1554">
      <c r="O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  <c r="AI1554" s="230"/>
    </row>
    <row r="1555">
      <c r="O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  <c r="AI1555" s="230"/>
    </row>
    <row r="1556">
      <c r="O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  <c r="AI1556" s="230"/>
    </row>
    <row r="1557">
      <c r="O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  <c r="AI1557" s="230"/>
    </row>
    <row r="1558">
      <c r="O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  <c r="AI1558" s="230"/>
    </row>
    <row r="1559">
      <c r="O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  <c r="AI1559" s="230"/>
    </row>
    <row r="1560">
      <c r="O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  <c r="AI1560" s="230"/>
    </row>
    <row r="1561">
      <c r="O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  <c r="AI1561" s="230"/>
    </row>
    <row r="1562">
      <c r="O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  <c r="AI1562" s="230"/>
    </row>
    <row r="1563">
      <c r="O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  <c r="AI1563" s="230"/>
    </row>
    <row r="1564">
      <c r="O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  <c r="AI1564" s="230"/>
    </row>
    <row r="1565">
      <c r="O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  <c r="AI1565" s="230"/>
    </row>
    <row r="1566">
      <c r="O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  <c r="AI1566" s="230"/>
    </row>
    <row r="1567">
      <c r="O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  <c r="AI1567" s="230"/>
    </row>
    <row r="1568">
      <c r="O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  <c r="AI1568" s="230"/>
    </row>
    <row r="1569">
      <c r="O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  <c r="AI1569" s="230"/>
    </row>
    <row r="1570">
      <c r="O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  <c r="AI1570" s="230"/>
    </row>
    <row r="1571">
      <c r="O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  <c r="AI1571" s="230"/>
    </row>
    <row r="1572">
      <c r="O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  <c r="AI1572" s="230"/>
    </row>
    <row r="1573">
      <c r="O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  <c r="AI1573" s="230"/>
    </row>
    <row r="1574">
      <c r="O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  <c r="AI1574" s="230"/>
    </row>
    <row r="1575">
      <c r="O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  <c r="AI1575" s="230"/>
    </row>
    <row r="1576">
      <c r="O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  <c r="AI1576" s="230"/>
    </row>
    <row r="1577">
      <c r="O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  <c r="AI1577" s="230"/>
    </row>
    <row r="1578">
      <c r="O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  <c r="AI1578" s="230"/>
    </row>
    <row r="1579">
      <c r="O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  <c r="AI1579" s="230"/>
    </row>
    <row r="1580">
      <c r="O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  <c r="AI1580" s="230"/>
    </row>
    <row r="1581">
      <c r="O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  <c r="AI1581" s="230"/>
    </row>
    <row r="1582">
      <c r="O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  <c r="AI1582" s="230"/>
    </row>
    <row r="1583">
      <c r="O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  <c r="AI1583" s="230"/>
    </row>
    <row r="1584">
      <c r="O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  <c r="AI1584" s="230"/>
    </row>
    <row r="1585">
      <c r="O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  <c r="AI1585" s="230"/>
    </row>
    <row r="1586">
      <c r="O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  <c r="AI1586" s="230"/>
    </row>
    <row r="1587">
      <c r="O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  <c r="AI1587" s="230"/>
    </row>
    <row r="1588">
      <c r="O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  <c r="AI1588" s="230"/>
    </row>
    <row r="1589">
      <c r="O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  <c r="AI1589" s="230"/>
    </row>
    <row r="1590">
      <c r="O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  <c r="AI1590" s="230"/>
    </row>
    <row r="1591">
      <c r="O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  <c r="AI1591" s="230"/>
    </row>
    <row r="1592">
      <c r="O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  <c r="AI1592" s="230"/>
    </row>
    <row r="1593">
      <c r="O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  <c r="AI1593" s="230"/>
    </row>
    <row r="1594">
      <c r="O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  <c r="AI1594" s="230"/>
    </row>
    <row r="1595">
      <c r="O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  <c r="AI1595" s="230"/>
    </row>
    <row r="1596">
      <c r="O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  <c r="AI1596" s="230"/>
    </row>
    <row r="1597">
      <c r="O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  <c r="AI1597" s="230"/>
    </row>
    <row r="1598">
      <c r="O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  <c r="AI1598" s="230"/>
    </row>
    <row r="1599">
      <c r="O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  <c r="AI1599" s="230"/>
    </row>
    <row r="1600">
      <c r="O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  <c r="AI1600" s="230"/>
    </row>
    <row r="1601">
      <c r="O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  <c r="AI1601" s="230"/>
    </row>
    <row r="1602">
      <c r="O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  <c r="AI1602" s="230"/>
    </row>
    <row r="1603">
      <c r="O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  <c r="AI1603" s="230"/>
    </row>
    <row r="1604">
      <c r="O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  <c r="AI1604" s="230"/>
    </row>
    <row r="1605">
      <c r="O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  <c r="AI1605" s="230"/>
    </row>
    <row r="1606">
      <c r="O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  <c r="AI1606" s="230"/>
    </row>
    <row r="1607">
      <c r="O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  <c r="AI1607" s="230"/>
    </row>
    <row r="1608">
      <c r="O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  <c r="AI1608" s="230"/>
    </row>
    <row r="1609">
      <c r="O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  <c r="AI1609" s="230"/>
    </row>
    <row r="1610">
      <c r="O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  <c r="AI1610" s="230"/>
    </row>
    <row r="1611">
      <c r="O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  <c r="AI1611" s="230"/>
    </row>
    <row r="1612">
      <c r="O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  <c r="AI1612" s="230"/>
    </row>
    <row r="1613">
      <c r="O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  <c r="AI1613" s="230"/>
    </row>
    <row r="1614">
      <c r="O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  <c r="AI1614" s="230"/>
    </row>
    <row r="1615">
      <c r="O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  <c r="AI1615" s="230"/>
    </row>
    <row r="1616">
      <c r="O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  <c r="AI1616" s="230"/>
    </row>
    <row r="1617">
      <c r="O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  <c r="AI1617" s="230"/>
    </row>
    <row r="1618">
      <c r="O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  <c r="AI1618" s="230"/>
    </row>
    <row r="1619">
      <c r="O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  <c r="AI1619" s="230"/>
    </row>
    <row r="1620">
      <c r="O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  <c r="AI1620" s="230"/>
    </row>
    <row r="1621">
      <c r="O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  <c r="AI1621" s="230"/>
    </row>
    <row r="1622">
      <c r="O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  <c r="AI1622" s="230"/>
    </row>
    <row r="1623">
      <c r="O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  <c r="AI1623" s="230"/>
    </row>
    <row r="1624">
      <c r="O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  <c r="AI1624" s="230"/>
    </row>
    <row r="1625">
      <c r="O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  <c r="AI1625" s="230"/>
    </row>
    <row r="1626">
      <c r="O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  <c r="AI1626" s="230"/>
    </row>
    <row r="1627">
      <c r="O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  <c r="AI1627" s="230"/>
    </row>
    <row r="1628">
      <c r="O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  <c r="AI1628" s="230"/>
    </row>
    <row r="1629">
      <c r="O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  <c r="AI1629" s="230"/>
    </row>
    <row r="1630">
      <c r="O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  <c r="AI1630" s="230"/>
    </row>
    <row r="1631">
      <c r="O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  <c r="AI1631" s="230"/>
    </row>
    <row r="1632">
      <c r="O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  <c r="AI1632" s="230"/>
    </row>
    <row r="1633">
      <c r="O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  <c r="AI1633" s="230"/>
    </row>
    <row r="1634">
      <c r="O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  <c r="AI1634" s="230"/>
    </row>
    <row r="1635">
      <c r="O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  <c r="AI1635" s="230"/>
    </row>
    <row r="1636">
      <c r="O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  <c r="AI1636" s="230"/>
    </row>
    <row r="1637">
      <c r="O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  <c r="AI1637" s="230"/>
    </row>
    <row r="1638">
      <c r="O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  <c r="AI1638" s="230"/>
    </row>
    <row r="1639">
      <c r="O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  <c r="AI1639" s="230"/>
    </row>
    <row r="1640">
      <c r="O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  <c r="AI1640" s="230"/>
    </row>
    <row r="1641">
      <c r="O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  <c r="AI1641" s="230"/>
    </row>
    <row r="1642">
      <c r="O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  <c r="AI1642" s="230"/>
    </row>
    <row r="1643">
      <c r="O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  <c r="AI1643" s="230"/>
    </row>
    <row r="1644">
      <c r="O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  <c r="AI1644" s="230"/>
    </row>
    <row r="1645">
      <c r="O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  <c r="AI1645" s="230"/>
    </row>
    <row r="1646">
      <c r="O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  <c r="AI1646" s="230"/>
    </row>
    <row r="1647">
      <c r="O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  <c r="AI1647" s="230"/>
    </row>
    <row r="1648">
      <c r="O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  <c r="AI1648" s="230"/>
    </row>
    <row r="1649">
      <c r="O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  <c r="AI1649" s="230"/>
    </row>
    <row r="1650">
      <c r="O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  <c r="AI1650" s="230"/>
    </row>
    <row r="1651">
      <c r="O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  <c r="AI1651" s="230"/>
    </row>
    <row r="1652">
      <c r="O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  <c r="AI1652" s="230"/>
    </row>
    <row r="1653">
      <c r="O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  <c r="AI1653" s="230"/>
    </row>
    <row r="1654">
      <c r="O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  <c r="AI1654" s="230"/>
    </row>
    <row r="1655">
      <c r="O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  <c r="AI1655" s="230"/>
    </row>
    <row r="1656">
      <c r="O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  <c r="AI1656" s="230"/>
    </row>
    <row r="1657">
      <c r="O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  <c r="AI1657" s="230"/>
    </row>
    <row r="1658">
      <c r="O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  <c r="AI1658" s="230"/>
    </row>
    <row r="1659">
      <c r="O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  <c r="AI1659" s="230"/>
    </row>
    <row r="1660">
      <c r="O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  <c r="AI1660" s="230"/>
    </row>
    <row r="1661">
      <c r="O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  <c r="AI1661" s="230"/>
    </row>
    <row r="1662">
      <c r="O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  <c r="AI1662" s="230"/>
    </row>
    <row r="1663">
      <c r="O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  <c r="AI1663" s="230"/>
    </row>
    <row r="1664">
      <c r="O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  <c r="AI1664" s="230"/>
    </row>
    <row r="1665">
      <c r="O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  <c r="AI1665" s="230"/>
    </row>
    <row r="1666">
      <c r="O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  <c r="AI1666" s="230"/>
    </row>
    <row r="1667">
      <c r="O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  <c r="AI1667" s="230"/>
    </row>
    <row r="1668">
      <c r="O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  <c r="AI1668" s="230"/>
    </row>
    <row r="1669">
      <c r="O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  <c r="AI1669" s="230"/>
    </row>
    <row r="1670">
      <c r="O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  <c r="AI1670" s="230"/>
    </row>
    <row r="1671">
      <c r="O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  <c r="AI1671" s="230"/>
    </row>
    <row r="1672">
      <c r="O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  <c r="AI1672" s="230"/>
    </row>
    <row r="1673">
      <c r="O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  <c r="AI1673" s="230"/>
    </row>
    <row r="1674">
      <c r="O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  <c r="AI1674" s="230"/>
    </row>
    <row r="1675">
      <c r="O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  <c r="AI1675" s="230"/>
    </row>
    <row r="1676">
      <c r="O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  <c r="AI1676" s="230"/>
    </row>
    <row r="1677">
      <c r="O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  <c r="AI1677" s="230"/>
    </row>
    <row r="1678">
      <c r="O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  <c r="AI1678" s="230"/>
    </row>
    <row r="1679">
      <c r="O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  <c r="AI1679" s="230"/>
    </row>
    <row r="1680">
      <c r="O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  <c r="AI1680" s="230"/>
    </row>
    <row r="1681">
      <c r="O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  <c r="AI1681" s="230"/>
    </row>
    <row r="1682">
      <c r="O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  <c r="AI1682" s="230"/>
    </row>
    <row r="1683">
      <c r="O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  <c r="AI1683" s="230"/>
    </row>
    <row r="1684">
      <c r="O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  <c r="AI1684" s="230"/>
    </row>
    <row r="1685">
      <c r="O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  <c r="AI1685" s="230"/>
    </row>
    <row r="1686">
      <c r="O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  <c r="AI1686" s="230"/>
    </row>
    <row r="1687">
      <c r="O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  <c r="AI1687" s="230"/>
    </row>
    <row r="1688">
      <c r="O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  <c r="AI1688" s="230"/>
    </row>
    <row r="1689">
      <c r="O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  <c r="AI1689" s="230"/>
    </row>
    <row r="1690">
      <c r="O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  <c r="AI1690" s="230"/>
    </row>
    <row r="1691">
      <c r="O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  <c r="AI1691" s="230"/>
    </row>
    <row r="1692">
      <c r="O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  <c r="AI1692" s="230"/>
    </row>
    <row r="1693">
      <c r="O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  <c r="AI1693" s="230"/>
    </row>
    <row r="1694">
      <c r="O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  <c r="AI1694" s="230"/>
    </row>
    <row r="1695">
      <c r="O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  <c r="AI1695" s="230"/>
    </row>
    <row r="1696">
      <c r="O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  <c r="AI1696" s="230"/>
    </row>
    <row r="1697">
      <c r="O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  <c r="AI1697" s="230"/>
    </row>
    <row r="1698">
      <c r="O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  <c r="AI1698" s="230"/>
    </row>
    <row r="1699">
      <c r="O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  <c r="AI1699" s="230"/>
    </row>
    <row r="1700">
      <c r="O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  <c r="AI1700" s="230"/>
    </row>
    <row r="1701">
      <c r="O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  <c r="AI1701" s="230"/>
    </row>
    <row r="1702">
      <c r="O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  <c r="AI1702" s="230"/>
    </row>
    <row r="1703">
      <c r="O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  <c r="AI1703" s="230"/>
    </row>
    <row r="1704">
      <c r="O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  <c r="AI1704" s="230"/>
    </row>
    <row r="1705">
      <c r="O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  <c r="AI1705" s="230"/>
    </row>
    <row r="1706">
      <c r="O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  <c r="AI1706" s="230"/>
    </row>
    <row r="1707">
      <c r="O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  <c r="AI1707" s="230"/>
    </row>
    <row r="1708">
      <c r="O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  <c r="AI1708" s="230"/>
    </row>
    <row r="1709">
      <c r="O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  <c r="AI1709" s="230"/>
    </row>
    <row r="1710">
      <c r="O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  <c r="AI1710" s="230"/>
    </row>
    <row r="1711">
      <c r="O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  <c r="AI1711" s="230"/>
    </row>
    <row r="1712">
      <c r="O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  <c r="AI1712" s="230"/>
    </row>
    <row r="1713">
      <c r="O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  <c r="AI1713" s="230"/>
    </row>
    <row r="1714">
      <c r="O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  <c r="AI1714" s="230"/>
    </row>
    <row r="1715">
      <c r="O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  <c r="AI1715" s="230"/>
    </row>
    <row r="1716">
      <c r="O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  <c r="AI1716" s="230"/>
    </row>
    <row r="1717">
      <c r="O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  <c r="AI1717" s="230"/>
    </row>
    <row r="1718">
      <c r="O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  <c r="AI1718" s="230"/>
    </row>
    <row r="1719">
      <c r="O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  <c r="AI1719" s="230"/>
    </row>
    <row r="1720">
      <c r="O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  <c r="AI1720" s="230"/>
    </row>
    <row r="1721">
      <c r="O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  <c r="AI1721" s="230"/>
    </row>
    <row r="1722">
      <c r="O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  <c r="AI1722" s="230"/>
    </row>
    <row r="1723">
      <c r="O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  <c r="AI1723" s="230"/>
    </row>
    <row r="1724">
      <c r="O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  <c r="AI1724" s="230"/>
    </row>
    <row r="1725">
      <c r="O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  <c r="AI1725" s="230"/>
    </row>
    <row r="1726">
      <c r="O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  <c r="AI1726" s="230"/>
    </row>
    <row r="1727">
      <c r="O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  <c r="AI1727" s="230"/>
    </row>
    <row r="1728">
      <c r="O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  <c r="AI1728" s="230"/>
    </row>
    <row r="1729">
      <c r="O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  <c r="AI1729" s="230"/>
    </row>
    <row r="1730">
      <c r="O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  <c r="AI1730" s="230"/>
    </row>
    <row r="1731">
      <c r="O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  <c r="AI1731" s="230"/>
    </row>
    <row r="1732">
      <c r="O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  <c r="AI1732" s="230"/>
    </row>
    <row r="1733">
      <c r="O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  <c r="AI1733" s="230"/>
    </row>
    <row r="1734">
      <c r="O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  <c r="AI1734" s="230"/>
    </row>
    <row r="1735">
      <c r="O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  <c r="AI1735" s="230"/>
    </row>
    <row r="1736">
      <c r="O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  <c r="AI1736" s="230"/>
    </row>
    <row r="1737">
      <c r="O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  <c r="AI1737" s="230"/>
    </row>
    <row r="1738">
      <c r="O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  <c r="AI1738" s="230"/>
    </row>
    <row r="1739">
      <c r="O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  <c r="AI1739" s="230"/>
    </row>
    <row r="1740">
      <c r="O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  <c r="AI1740" s="230"/>
    </row>
    <row r="1741">
      <c r="O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  <c r="AI1741" s="230"/>
    </row>
    <row r="1742">
      <c r="O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  <c r="AI1742" s="230"/>
    </row>
    <row r="1743">
      <c r="O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  <c r="AI1743" s="230"/>
    </row>
    <row r="1744">
      <c r="O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  <c r="AI1744" s="230"/>
    </row>
    <row r="1745">
      <c r="O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  <c r="AI1745" s="230"/>
    </row>
    <row r="1746">
      <c r="O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  <c r="AI1746" s="230"/>
    </row>
    <row r="1747">
      <c r="O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  <c r="AI1747" s="230"/>
    </row>
    <row r="1748">
      <c r="O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  <c r="AI1748" s="230"/>
    </row>
    <row r="1749">
      <c r="O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  <c r="AI1749" s="230"/>
    </row>
    <row r="1750">
      <c r="O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  <c r="AI1750" s="230"/>
    </row>
    <row r="1751">
      <c r="O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  <c r="AI1751" s="230"/>
    </row>
    <row r="1752">
      <c r="O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  <c r="AI1752" s="230"/>
    </row>
    <row r="1753">
      <c r="O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  <c r="AI1753" s="230"/>
    </row>
    <row r="1754">
      <c r="O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  <c r="AI1754" s="230"/>
    </row>
    <row r="1755">
      <c r="O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  <c r="AI1755" s="230"/>
    </row>
    <row r="1756">
      <c r="O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  <c r="AI1756" s="230"/>
    </row>
    <row r="1757">
      <c r="O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  <c r="AI1757" s="230"/>
    </row>
    <row r="1758">
      <c r="O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  <c r="AI1758" s="230"/>
    </row>
    <row r="1759">
      <c r="O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  <c r="AI1759" s="230"/>
    </row>
    <row r="1760">
      <c r="O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  <c r="AI1760" s="230"/>
    </row>
    <row r="1761">
      <c r="O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  <c r="AI1761" s="230"/>
    </row>
    <row r="1762">
      <c r="O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  <c r="AI1762" s="230"/>
    </row>
    <row r="1763">
      <c r="O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  <c r="AI1763" s="230"/>
    </row>
    <row r="1764">
      <c r="O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  <c r="AI1764" s="230"/>
    </row>
    <row r="1765">
      <c r="O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  <c r="AI1765" s="230"/>
    </row>
    <row r="1766">
      <c r="O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  <c r="AI1766" s="230"/>
    </row>
    <row r="1767">
      <c r="O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  <c r="AI1767" s="230"/>
    </row>
    <row r="1768">
      <c r="O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  <c r="AI1768" s="230"/>
    </row>
    <row r="1769">
      <c r="O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  <c r="AI1769" s="230"/>
    </row>
    <row r="1770">
      <c r="O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  <c r="AI1770" s="230"/>
    </row>
    <row r="1771">
      <c r="O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  <c r="AI1771" s="230"/>
    </row>
    <row r="1772">
      <c r="O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  <c r="AI1772" s="230"/>
    </row>
    <row r="1773">
      <c r="O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  <c r="AI1773" s="230"/>
    </row>
    <row r="1774">
      <c r="O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  <c r="AI1774" s="230"/>
    </row>
    <row r="1775">
      <c r="O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  <c r="AI1775" s="230"/>
    </row>
    <row r="1776">
      <c r="O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  <c r="AI1776" s="230"/>
    </row>
    <row r="1777">
      <c r="O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  <c r="AI1777" s="230"/>
    </row>
    <row r="1778">
      <c r="O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  <c r="AI1778" s="230"/>
    </row>
    <row r="1779">
      <c r="O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  <c r="AI1779" s="230"/>
    </row>
    <row r="1780">
      <c r="O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  <c r="AI1780" s="230"/>
    </row>
    <row r="1781">
      <c r="O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  <c r="AI1781" s="230"/>
    </row>
    <row r="1782">
      <c r="O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  <c r="AI1782" s="230"/>
    </row>
    <row r="1783">
      <c r="O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  <c r="AI1783" s="230"/>
    </row>
    <row r="1784">
      <c r="O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  <c r="AI1784" s="230"/>
    </row>
    <row r="1785">
      <c r="O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  <c r="AI1785" s="230"/>
    </row>
    <row r="1786">
      <c r="O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  <c r="AI1786" s="230"/>
    </row>
    <row r="1787">
      <c r="O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  <c r="AI1787" s="230"/>
    </row>
    <row r="1788">
      <c r="O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  <c r="AI1788" s="230"/>
    </row>
    <row r="1789">
      <c r="O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  <c r="AI1789" s="230"/>
    </row>
    <row r="1790">
      <c r="O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  <c r="AI1790" s="230"/>
    </row>
    <row r="1791">
      <c r="O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  <c r="AI1791" s="230"/>
    </row>
    <row r="1792">
      <c r="O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  <c r="AI1792" s="230"/>
    </row>
    <row r="1793">
      <c r="O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  <c r="AI1793" s="230"/>
    </row>
    <row r="1794">
      <c r="O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  <c r="AI1794" s="230"/>
    </row>
    <row r="1795">
      <c r="O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  <c r="AI1795" s="230"/>
    </row>
    <row r="1796">
      <c r="O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  <c r="AI1796" s="230"/>
    </row>
    <row r="1797">
      <c r="O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  <c r="AI1797" s="230"/>
    </row>
    <row r="1798">
      <c r="O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  <c r="AI1798" s="230"/>
    </row>
    <row r="1799">
      <c r="O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  <c r="AI1799" s="230"/>
    </row>
    <row r="1800">
      <c r="O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  <c r="AI1800" s="230"/>
    </row>
    <row r="1801">
      <c r="O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  <c r="AI1801" s="230"/>
    </row>
    <row r="1802">
      <c r="O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  <c r="AI1802" s="230"/>
    </row>
    <row r="1803">
      <c r="O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  <c r="AI1803" s="230"/>
    </row>
    <row r="1804">
      <c r="O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  <c r="AI1804" s="230"/>
    </row>
    <row r="1805">
      <c r="O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  <c r="AI1805" s="230"/>
    </row>
    <row r="1806">
      <c r="O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  <c r="AI1806" s="230"/>
    </row>
    <row r="1807">
      <c r="O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  <c r="AI1807" s="230"/>
    </row>
    <row r="1808">
      <c r="O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  <c r="AI1808" s="230"/>
    </row>
    <row r="1809">
      <c r="O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  <c r="AI1809" s="230"/>
    </row>
    <row r="1810">
      <c r="O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  <c r="AI1810" s="230"/>
    </row>
    <row r="1811">
      <c r="O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  <c r="AI1811" s="230"/>
    </row>
    <row r="1812">
      <c r="O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  <c r="AI1812" s="230"/>
    </row>
    <row r="1813">
      <c r="O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  <c r="AI1813" s="230"/>
    </row>
    <row r="1814">
      <c r="O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  <c r="AI1814" s="230"/>
    </row>
    <row r="1815">
      <c r="O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  <c r="AI1815" s="230"/>
    </row>
    <row r="1816">
      <c r="O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  <c r="AI1816" s="230"/>
    </row>
    <row r="1817">
      <c r="O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  <c r="AI1817" s="230"/>
    </row>
    <row r="1818">
      <c r="O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  <c r="AI1818" s="230"/>
    </row>
    <row r="1819">
      <c r="O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  <c r="AI1819" s="230"/>
    </row>
    <row r="1820">
      <c r="O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  <c r="AI1820" s="230"/>
    </row>
    <row r="1821">
      <c r="O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  <c r="AI1821" s="230"/>
    </row>
    <row r="1822">
      <c r="O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  <c r="AI1822" s="230"/>
    </row>
    <row r="1823">
      <c r="O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  <c r="AI1823" s="230"/>
    </row>
    <row r="1824">
      <c r="O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  <c r="AI1824" s="230"/>
    </row>
    <row r="1825">
      <c r="O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  <c r="AI1825" s="230"/>
    </row>
    <row r="1826">
      <c r="O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  <c r="AI1826" s="230"/>
    </row>
    <row r="1827">
      <c r="O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  <c r="AI1827" s="230"/>
    </row>
    <row r="1828">
      <c r="O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  <c r="AI1828" s="230"/>
    </row>
    <row r="1829">
      <c r="O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  <c r="AI1829" s="230"/>
    </row>
    <row r="1830">
      <c r="O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  <c r="AI1830" s="230"/>
    </row>
    <row r="1831">
      <c r="O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  <c r="AI1831" s="230"/>
    </row>
    <row r="1832">
      <c r="O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  <c r="AI1832" s="230"/>
    </row>
    <row r="1833">
      <c r="O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  <c r="AI1833" s="230"/>
    </row>
    <row r="1834">
      <c r="O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  <c r="AI1834" s="230"/>
    </row>
    <row r="1835">
      <c r="O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  <c r="AI1835" s="230"/>
    </row>
    <row r="1836">
      <c r="O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  <c r="AI1836" s="230"/>
    </row>
    <row r="1837">
      <c r="O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  <c r="AI1837" s="230"/>
    </row>
    <row r="1838">
      <c r="O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  <c r="AI1838" s="230"/>
    </row>
    <row r="1839">
      <c r="O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  <c r="AI1839" s="230"/>
    </row>
    <row r="1840">
      <c r="O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  <c r="AI1840" s="230"/>
    </row>
    <row r="1841">
      <c r="O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  <c r="AI1841" s="230"/>
    </row>
    <row r="1842">
      <c r="O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  <c r="AI1842" s="230"/>
    </row>
    <row r="1843">
      <c r="O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  <c r="AI1843" s="230"/>
    </row>
    <row r="1844">
      <c r="O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  <c r="AI1844" s="230"/>
    </row>
    <row r="1845">
      <c r="O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  <c r="AI1845" s="230"/>
    </row>
    <row r="1846">
      <c r="O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  <c r="AI1846" s="230"/>
    </row>
    <row r="1847">
      <c r="O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  <c r="AI1847" s="230"/>
    </row>
    <row r="1848">
      <c r="O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  <c r="AI1848" s="230"/>
    </row>
    <row r="1849">
      <c r="O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  <c r="AI1849" s="230"/>
    </row>
    <row r="1850">
      <c r="O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  <c r="AI1850" s="230"/>
    </row>
    <row r="1851">
      <c r="O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  <c r="AI1851" s="230"/>
    </row>
    <row r="1852">
      <c r="O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  <c r="AI1852" s="230"/>
    </row>
    <row r="1853">
      <c r="O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  <c r="AI1853" s="230"/>
    </row>
    <row r="1854">
      <c r="O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  <c r="AI1854" s="230"/>
    </row>
    <row r="1855">
      <c r="O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  <c r="AI1855" s="230"/>
    </row>
    <row r="1856">
      <c r="O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  <c r="AI1856" s="230"/>
    </row>
    <row r="1857">
      <c r="O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  <c r="AI1857" s="230"/>
    </row>
    <row r="1858">
      <c r="O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  <c r="AI1858" s="230"/>
    </row>
    <row r="1859">
      <c r="O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  <c r="AI1859" s="230"/>
    </row>
    <row r="1860">
      <c r="O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  <c r="AI1860" s="230"/>
    </row>
    <row r="1861">
      <c r="O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  <c r="AI1861" s="230"/>
    </row>
    <row r="1862">
      <c r="O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  <c r="AI1862" s="230"/>
    </row>
    <row r="1863">
      <c r="O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  <c r="AI1863" s="230"/>
    </row>
    <row r="1864">
      <c r="O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  <c r="AI1864" s="230"/>
    </row>
    <row r="1865">
      <c r="O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  <c r="AI1865" s="230"/>
    </row>
    <row r="1866">
      <c r="O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  <c r="AI1866" s="230"/>
    </row>
    <row r="1867">
      <c r="O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  <c r="AI1867" s="230"/>
    </row>
    <row r="1868">
      <c r="O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  <c r="AI1868" s="230"/>
    </row>
    <row r="1869">
      <c r="O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  <c r="AI1869" s="230"/>
    </row>
    <row r="1870">
      <c r="O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  <c r="AI1870" s="230"/>
    </row>
    <row r="1871">
      <c r="O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  <c r="AI1871" s="230"/>
    </row>
    <row r="1872">
      <c r="O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  <c r="AI1872" s="230"/>
    </row>
    <row r="1873">
      <c r="O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  <c r="AI1873" s="230"/>
    </row>
    <row r="1874">
      <c r="O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  <c r="AI1874" s="230"/>
    </row>
    <row r="1875">
      <c r="O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  <c r="AI1875" s="230"/>
    </row>
    <row r="1876">
      <c r="O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  <c r="AI1876" s="230"/>
    </row>
    <row r="1877">
      <c r="O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  <c r="AI1877" s="230"/>
    </row>
    <row r="1878">
      <c r="O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  <c r="AI1878" s="230"/>
    </row>
    <row r="1879">
      <c r="O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  <c r="AI1879" s="230"/>
    </row>
    <row r="1880">
      <c r="O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  <c r="AI1880" s="230"/>
    </row>
    <row r="1881">
      <c r="O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  <c r="AI1881" s="230"/>
    </row>
    <row r="1882">
      <c r="O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  <c r="AI1882" s="230"/>
    </row>
    <row r="1883">
      <c r="O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  <c r="AI1883" s="230"/>
    </row>
    <row r="1884">
      <c r="O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  <c r="AI1884" s="230"/>
    </row>
    <row r="1885">
      <c r="O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  <c r="AI1885" s="230"/>
    </row>
    <row r="1886">
      <c r="O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  <c r="AI1886" s="230"/>
    </row>
    <row r="1887">
      <c r="O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  <c r="AI1887" s="230"/>
    </row>
    <row r="1888">
      <c r="O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  <c r="AI1888" s="230"/>
    </row>
    <row r="1889">
      <c r="O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  <c r="AI1889" s="230"/>
    </row>
    <row r="1890">
      <c r="O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  <c r="AI1890" s="230"/>
    </row>
    <row r="1891">
      <c r="O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  <c r="AI1891" s="230"/>
    </row>
    <row r="1892">
      <c r="O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  <c r="AI1892" s="230"/>
    </row>
    <row r="1893">
      <c r="O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  <c r="AI1893" s="230"/>
    </row>
    <row r="1894">
      <c r="O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  <c r="AI1894" s="230"/>
    </row>
    <row r="1895">
      <c r="O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  <c r="AI1895" s="230"/>
    </row>
    <row r="1896">
      <c r="O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  <c r="AI1896" s="230"/>
    </row>
    <row r="1897">
      <c r="O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  <c r="AI1897" s="230"/>
    </row>
    <row r="1898">
      <c r="O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  <c r="AI1898" s="230"/>
    </row>
    <row r="1899">
      <c r="O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  <c r="AI1899" s="230"/>
    </row>
    <row r="1900">
      <c r="O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  <c r="AI1900" s="230"/>
    </row>
    <row r="1901">
      <c r="O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  <c r="AI1901" s="230"/>
    </row>
    <row r="1902">
      <c r="O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  <c r="AI1902" s="230"/>
    </row>
    <row r="1903">
      <c r="O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  <c r="AI1903" s="230"/>
    </row>
    <row r="1904">
      <c r="O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  <c r="AI1904" s="230"/>
    </row>
    <row r="1905">
      <c r="O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  <c r="AI1905" s="230"/>
    </row>
    <row r="1906">
      <c r="O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  <c r="AI1906" s="230"/>
    </row>
    <row r="1907">
      <c r="O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  <c r="AI1907" s="230"/>
    </row>
    <row r="1908">
      <c r="O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  <c r="AI1908" s="230"/>
    </row>
    <row r="1909">
      <c r="O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  <c r="AI1909" s="230"/>
    </row>
    <row r="1910">
      <c r="O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  <c r="AI1910" s="230"/>
    </row>
    <row r="1911">
      <c r="O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  <c r="AI1911" s="230"/>
    </row>
    <row r="1912">
      <c r="O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  <c r="AI1912" s="230"/>
    </row>
    <row r="1913">
      <c r="O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  <c r="AI1913" s="230"/>
    </row>
    <row r="1914">
      <c r="O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  <c r="AI1914" s="230"/>
    </row>
    <row r="1915">
      <c r="O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  <c r="AI1915" s="230"/>
    </row>
    <row r="1916">
      <c r="O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  <c r="AI1916" s="230"/>
    </row>
    <row r="1917">
      <c r="O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  <c r="AI1917" s="230"/>
    </row>
    <row r="1918">
      <c r="O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  <c r="AI1918" s="230"/>
    </row>
    <row r="1919">
      <c r="O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  <c r="AI1919" s="230"/>
    </row>
    <row r="1920">
      <c r="O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  <c r="AI1920" s="230"/>
    </row>
    <row r="1921">
      <c r="O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  <c r="AI1921" s="230"/>
    </row>
    <row r="1922">
      <c r="O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  <c r="AI1922" s="230"/>
    </row>
    <row r="1923">
      <c r="O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  <c r="AI1923" s="230"/>
    </row>
    <row r="1924">
      <c r="O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  <c r="AI1924" s="230"/>
    </row>
    <row r="1925">
      <c r="O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  <c r="AI1925" s="230"/>
    </row>
    <row r="1926">
      <c r="O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  <c r="AI1926" s="230"/>
    </row>
    <row r="1927">
      <c r="O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  <c r="AI1927" s="230"/>
    </row>
    <row r="1928">
      <c r="O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  <c r="AI1928" s="230"/>
    </row>
    <row r="1929">
      <c r="O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  <c r="AI1929" s="230"/>
    </row>
    <row r="1930">
      <c r="O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  <c r="AI1930" s="230"/>
    </row>
    <row r="1931">
      <c r="O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  <c r="AI1931" s="230"/>
    </row>
    <row r="1932">
      <c r="O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  <c r="AI1932" s="230"/>
    </row>
    <row r="1933">
      <c r="O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  <c r="AI1933" s="230"/>
    </row>
    <row r="1934">
      <c r="O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  <c r="AI1934" s="230"/>
    </row>
    <row r="1935">
      <c r="O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  <c r="AI1935" s="230"/>
    </row>
    <row r="1936">
      <c r="O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  <c r="AI1936" s="230"/>
    </row>
    <row r="1937">
      <c r="O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  <c r="AI1937" s="230"/>
    </row>
    <row r="1938">
      <c r="O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  <c r="AI1938" s="230"/>
    </row>
    <row r="1939">
      <c r="O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  <c r="AI1939" s="230"/>
    </row>
    <row r="1940">
      <c r="O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  <c r="AI1940" s="230"/>
    </row>
    <row r="1941">
      <c r="O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  <c r="AI1941" s="230"/>
    </row>
    <row r="1942">
      <c r="O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  <c r="AI1942" s="230"/>
    </row>
    <row r="1943">
      <c r="O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  <c r="AI1943" s="230"/>
    </row>
    <row r="1944">
      <c r="O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  <c r="AI1944" s="230"/>
    </row>
    <row r="1945">
      <c r="O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  <c r="AI1945" s="230"/>
    </row>
    <row r="1946">
      <c r="O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  <c r="AI1946" s="230"/>
    </row>
    <row r="1947">
      <c r="O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  <c r="AI1947" s="230"/>
    </row>
    <row r="1948">
      <c r="O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  <c r="AI1948" s="230"/>
    </row>
    <row r="1949">
      <c r="O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  <c r="AI1949" s="230"/>
    </row>
    <row r="1950">
      <c r="O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  <c r="AI1950" s="230"/>
    </row>
    <row r="1951">
      <c r="O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  <c r="AI1951" s="230"/>
    </row>
    <row r="1952">
      <c r="O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  <c r="AI1952" s="230"/>
    </row>
    <row r="1953">
      <c r="O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  <c r="AI1953" s="230"/>
    </row>
    <row r="1954">
      <c r="O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  <c r="AI1954" s="230"/>
    </row>
    <row r="1955">
      <c r="O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  <c r="AI1955" s="230"/>
    </row>
    <row r="1956">
      <c r="O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  <c r="AI1956" s="230"/>
    </row>
    <row r="1957">
      <c r="O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  <c r="AI1957" s="230"/>
    </row>
    <row r="1958">
      <c r="O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  <c r="AI1958" s="230"/>
    </row>
    <row r="1959">
      <c r="O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  <c r="AI1959" s="230"/>
    </row>
    <row r="1960">
      <c r="O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  <c r="AI1960" s="230"/>
    </row>
    <row r="1961">
      <c r="O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  <c r="AI1961" s="230"/>
    </row>
    <row r="1962">
      <c r="O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  <c r="AI1962" s="230"/>
    </row>
    <row r="1963">
      <c r="O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  <c r="AI1963" s="230"/>
    </row>
    <row r="1964">
      <c r="O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  <c r="AI1964" s="230"/>
    </row>
    <row r="1965">
      <c r="O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  <c r="AI1965" s="230"/>
    </row>
    <row r="1966">
      <c r="O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  <c r="AI1966" s="230"/>
    </row>
    <row r="1967">
      <c r="O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  <c r="AI1967" s="230"/>
    </row>
    <row r="1968">
      <c r="O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  <c r="AI1968" s="230"/>
    </row>
    <row r="1969">
      <c r="O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  <c r="AI1969" s="230"/>
    </row>
    <row r="1970">
      <c r="O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  <c r="AI1970" s="230"/>
    </row>
    <row r="1971">
      <c r="O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  <c r="AI1971" s="230"/>
    </row>
    <row r="1972">
      <c r="O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  <c r="AI1972" s="230"/>
    </row>
    <row r="1973">
      <c r="O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  <c r="AI1973" s="230"/>
    </row>
    <row r="1974">
      <c r="O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  <c r="AI1974" s="230"/>
    </row>
    <row r="1975">
      <c r="O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  <c r="AI1975" s="230"/>
    </row>
    <row r="1976">
      <c r="O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  <c r="AI1976" s="230"/>
    </row>
    <row r="1977">
      <c r="O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  <c r="AI1977" s="230"/>
    </row>
    <row r="1978">
      <c r="O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  <c r="AI1978" s="230"/>
    </row>
    <row r="1979">
      <c r="O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  <c r="AI1979" s="230"/>
    </row>
    <row r="1980">
      <c r="O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  <c r="AI1980" s="230"/>
    </row>
    <row r="1981">
      <c r="O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  <c r="AI1981" s="230"/>
    </row>
    <row r="1982">
      <c r="O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  <c r="AI1982" s="230"/>
    </row>
    <row r="1983">
      <c r="O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  <c r="AI1983" s="230"/>
    </row>
    <row r="1984">
      <c r="O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  <c r="AI1984" s="230"/>
    </row>
    <row r="1985">
      <c r="O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  <c r="AI1985" s="230"/>
    </row>
    <row r="1986">
      <c r="O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  <c r="AI1986" s="230"/>
    </row>
    <row r="1987">
      <c r="O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  <c r="AI1987" s="230"/>
    </row>
    <row r="1988">
      <c r="O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  <c r="AI1988" s="230"/>
    </row>
    <row r="1989">
      <c r="O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  <c r="AI1989" s="230"/>
    </row>
    <row r="1990">
      <c r="O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  <c r="AI1990" s="230"/>
    </row>
    <row r="1991">
      <c r="O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  <c r="AI1991" s="230"/>
    </row>
    <row r="1992">
      <c r="O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  <c r="AI1992" s="230"/>
    </row>
    <row r="1993">
      <c r="O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  <c r="AI1993" s="230"/>
    </row>
    <row r="1994">
      <c r="O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  <c r="AI1994" s="230"/>
    </row>
    <row r="1995">
      <c r="O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  <c r="AI1995" s="230"/>
    </row>
    <row r="1996">
      <c r="O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  <c r="AI1996" s="230"/>
    </row>
    <row r="1997">
      <c r="O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  <c r="AI1997" s="230"/>
    </row>
    <row r="1998">
      <c r="O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  <c r="AI1998" s="230"/>
    </row>
    <row r="1999">
      <c r="O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  <c r="AI1999" s="230"/>
    </row>
    <row r="2000">
      <c r="O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  <c r="AI2000" s="230"/>
    </row>
    <row r="2001">
      <c r="O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  <c r="AI2001" s="230"/>
    </row>
    <row r="2002">
      <c r="O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  <c r="AI2002" s="230"/>
    </row>
    <row r="2003">
      <c r="O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  <c r="AI2003" s="230"/>
    </row>
    <row r="2004">
      <c r="O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  <c r="AI2004" s="230"/>
    </row>
  </sheetData>
  <autoFilter ref="$A$1:$BM$200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  <col customWidth="1" min="9" max="9" width="17.13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140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21.0</v>
      </c>
      <c r="C3" s="219">
        <v>462.0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2.0</v>
      </c>
      <c r="D6" s="212"/>
      <c r="E6" s="212"/>
      <c r="F6" s="221" t="s">
        <v>1371</v>
      </c>
    </row>
    <row r="7" ht="22.5" customHeight="1">
      <c r="A7" s="218" t="s">
        <v>255</v>
      </c>
      <c r="B7" s="216">
        <f>SUM('Sprint 24'!O:O)</f>
        <v>516</v>
      </c>
      <c r="C7" s="212">
        <f>ROUND(SUM('Sprint 24'!U:U)/3600,2)</f>
        <v>709.5</v>
      </c>
      <c r="D7" s="216">
        <f>SUMIF('Sprint 24'!J:J, "Done", 'Sprint 24'!O:O)</f>
        <v>85</v>
      </c>
      <c r="E7" s="212">
        <f>ROUND(SUMIF('Sprint 24'!J:J, "Done", 'Sprint 24'!U:U)/3600,2)</f>
        <v>102.5</v>
      </c>
      <c r="F7" s="217"/>
      <c r="I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24'!U:U, ('Sprint 24'!Q:Q = ""mid-sprint"")))/3600,0),2)"),0.0)</f>
        <v>0</v>
      </c>
      <c r="D9" s="212">
        <f>IFERROR(__xludf.DUMMYFUNCTION("IFERROR(SUM(FILTER('Sprint 24'!O:O, (('Sprint 24'!J:J = ""Done"")) * ('Sprint 24'!Q:Q = ""mid-sprint""))),0)"),0.0)</f>
        <v>0</v>
      </c>
      <c r="E9" s="212">
        <f>IFERROR(__xludf.DUMMYFUNCTION("ROUND(IFERROR(SUM(FILTER('Sprint 24'!U:U, (('Sprint 24'!J:J = ""Done"")) * ('Sprint 24'!P:P = ""mid-sprint"")))/3600,0),2)"),0.0)</f>
        <v>0</v>
      </c>
      <c r="F9" s="225" t="s">
        <v>257</v>
      </c>
    </row>
    <row r="10" ht="22.5" customHeight="1">
      <c r="A10" s="218" t="s">
        <v>258</v>
      </c>
      <c r="B10" s="212">
        <f>IFERROR(__xludf.DUMMYFUNCTION("ROUND(IFERROR(SUM(FILTER('Sprint 24'!U:U, ('Sprint 24'!Q:Q = ""change-request"")))/3600,0),2)"),0.0)</f>
        <v>0</v>
      </c>
      <c r="D10" s="212">
        <f>IFERROR(__xludf.DUMMYFUNCTION("IFERROR(SUM(FILTER('Sprint 24'!O:O, (('Sprint 24'!J:J = ""Done"")) * ('Sprint 24'!Q:Q = ""change-request""))),0)"),0.0)</f>
        <v>0</v>
      </c>
      <c r="E10" s="212">
        <f>IFERROR(__xludf.DUMMYFUNCTION("ROUND(IFERROR(SUM(FILTER('Sprint 24'!U:U, (('Sprint 24'!J:J = ""Done"")) * ('Sprint 24'!Q:Q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24'!O:O, ('Sprint 24'!E:E = ""Aek:Atiphat Nanthachitvanich""))),0)"),35.0)</f>
        <v>35</v>
      </c>
      <c r="C12" s="223">
        <f>IFERROR(__xludf.DUMMYFUNCTION("ROUND(IFERROR(SUM(FILTER('Sprint 24'!U:U, ('Sprint 24'!E:E = ""Aek:Atiphat Nanthachitvanich"")))/3600,0),2)"),55.33)</f>
        <v>55.33</v>
      </c>
      <c r="D12" s="216">
        <f>IFERROR(__xludf.DUMMYFUNCTION("IFERROR(SUM(FILTER('Sprint 24'!O:O, (('Sprint 24'!J:J = ""Done"")) * ('Sprint 24'!E:E = ""Aek:Atiphat Nanthachitvanich""))),0)"),13.0)</f>
        <v>13</v>
      </c>
      <c r="E12" s="223">
        <f>IFERROR(__xludf.DUMMYFUNCTION("ROUND(IFERROR(SUM(FILTER('Sprint 24'!U:U, (('Sprint 24'!J:J = ""Done"")) * ('Sprint 24'!E:E = ""Aek:Atiphat Nanthachitvanich"")))/3600,0),2)"),23.33)</f>
        <v>23.33</v>
      </c>
      <c r="F12" s="224"/>
    </row>
    <row r="13" ht="22.5" customHeight="1">
      <c r="A13" s="218" t="s">
        <v>32</v>
      </c>
      <c r="B13" s="216">
        <f>IFERROR(__xludf.DUMMYFUNCTION("IFERROR(SUM(FILTER('Sprint 24'!O:O, ('Sprint 24'!E:E = ""A:Phongthorn""))),0)"),66.0)</f>
        <v>66</v>
      </c>
      <c r="C13" s="223">
        <f>IFERROR(__xludf.DUMMYFUNCTION("ROUND(IFERROR(SUM(FILTER('Sprint 24'!U:U, ('Sprint 24'!E:E = ""A:Phongthorn"")))/3600,0),2)"),170.0)</f>
        <v>170</v>
      </c>
      <c r="D13" s="216">
        <f>IFERROR(__xludf.DUMMYFUNCTION("IFERROR(SUM(FILTER('Sprint 24'!O:O, (('Sprint 24'!J:J = ""Done"")) * ('Sprint 24'!E:E = ""A:Phongthorn""))),0)"),0.0)</f>
        <v>0</v>
      </c>
      <c r="E13" s="223">
        <f>IFERROR(__xludf.DUMMYFUNCTION("ROUND(IFERROR(SUM(FILTER('Sprint 24'!U:U, (('Sprint 24'!J:J = ""Done"")) * ('Sprint 24'!E:E = ""A:Phongthorn"")))/3600,0),2)"),0.0)</f>
        <v>0</v>
      </c>
      <c r="F13" s="224"/>
    </row>
    <row r="14" ht="22.5" customHeight="1">
      <c r="A14" s="218" t="s">
        <v>72</v>
      </c>
      <c r="B14" s="216">
        <f>IFERROR(__xludf.DUMMYFUNCTION("IFERROR(SUM(FILTER('Sprint 24'!O:O, ('Sprint 24'!E:E = ""Aom: Pornsawan Polnyiem""))),0)"),29.0)</f>
        <v>29</v>
      </c>
      <c r="C14" s="223">
        <f>IFERROR(__xludf.DUMMYFUNCTION("ROUND(IFERROR(SUM(FILTER('Sprint 24'!U:U, ('Sprint 24'!E:E = ""Aom: Pornsawan Polnyiem"")))/3600,0),2)"),0.17)</f>
        <v>0.17</v>
      </c>
      <c r="D14" s="216">
        <f>IFERROR(__xludf.DUMMYFUNCTION("IFERROR(SUM(FILTER('Sprint 24'!O:O, (('Sprint 24'!J:J = ""Done"")) * ('Sprint 24'!E:E = ""Aom: Pornsawan Polnyiem""))),0)"),1.0)</f>
        <v>1</v>
      </c>
      <c r="E14" s="223">
        <f>IFERROR(__xludf.DUMMYFUNCTION("ROUND(IFERROR(SUM(FILTER('Sprint 24'!U:U, (('Sprint 24'!J:J = ""Done"")) * ('Sprint 24'!E:E = ""Aom: Pornsawan Polnyiem"")))/3600,0),2)"),0.17)</f>
        <v>0.17</v>
      </c>
      <c r="F14" s="224"/>
    </row>
    <row r="15" ht="22.5" customHeight="1">
      <c r="A15" s="218" t="s">
        <v>24</v>
      </c>
      <c r="B15" s="216">
        <f>IFERROR(__xludf.DUMMYFUNCTION("IFERROR(SUM(FILTER('Sprint 24'!O:O, ('Sprint 24'!E:E = ""Zan : Isarapong Bulan""))),0)"),22.0)</f>
        <v>22</v>
      </c>
      <c r="C15" s="223">
        <f>IFERROR(__xludf.DUMMYFUNCTION("ROUND(IFERROR(SUM(FILTER('Sprint 24'!U:U, ('Sprint 24'!E:E = ""Zan : Isarapong Bulan"")))/3600,0),2)"),0.0)</f>
        <v>0</v>
      </c>
      <c r="D15" s="216">
        <f>IFERROR(__xludf.DUMMYFUNCTION("IFERROR(SUM(FILTER('Sprint 24'!O:O, (('Sprint 24'!J:J = ""Done"")) * ('Sprint 24'!E:E = ""Zan : Isarapong Bulan""))),0)"),21.0)</f>
        <v>21</v>
      </c>
      <c r="E15" s="223">
        <f>IFERROR(__xludf.DUMMYFUNCTION("ROUND(IFERROR(SUM(FILTER('Sprint 24'!U:U, (('Sprint 24'!J:J = ""Done"")) * ('Sprint 24'!E:E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24'!O:O, ('Sprint 24'!E:E = ""Mai:Sateta Abvanawong""))),0)"),78.0)</f>
        <v>78</v>
      </c>
      <c r="C16" s="223">
        <f>IFERROR(__xludf.DUMMYFUNCTION("ROUND(IFERROR(SUM(FILTER('Sprint 24'!U:U, ('Sprint 24'!E:E = ""Mai:Sateta Abvanawong"")))/3600,0),2)"),156.0)</f>
        <v>156</v>
      </c>
      <c r="D16" s="216">
        <f>IFERROR(__xludf.DUMMYFUNCTION("IFERROR(SUM(FILTER('Sprint 24'!O:O, (('Sprint 24'!J:J = ""Done"")) * ('Sprint 24'!E:E = ""Mai:Sateta Abvanawong""))),0)"),5.0)</f>
        <v>5</v>
      </c>
      <c r="E16" s="223">
        <f>IFERROR(__xludf.DUMMYFUNCTION("ROUND(IFERROR(SUM(FILTER('Sprint 24'!U:U, (('Sprint 24'!J:J = ""Done"")) * ('Sprint 24'!E:E = ""Mai:Sateta Abvanawong""))),0)/3600,2)"),10.0)</f>
        <v>10</v>
      </c>
      <c r="F16" s="224"/>
    </row>
    <row r="17" ht="22.5" customHeight="1">
      <c r="A17" s="218" t="s">
        <v>74</v>
      </c>
      <c r="B17" s="216">
        <f>IFERROR(__xludf.DUMMYFUNCTION("IFERROR(SUM(FILTER('Sprint 24'!O:O, ('Sprint 24'!E:E = ""Mac: Jarupong Pawichpongkul""))),0)"),85.0)</f>
        <v>85</v>
      </c>
      <c r="C17" s="223">
        <f>IFERROR(__xludf.DUMMYFUNCTION("ROUND(IFERROR(SUM(FILTER('Sprint 24'!U:U, ('Sprint 24'!E:E = ""Mac: Jarupong Pawichpongkul"")))/3600,0),2)"),179.0)</f>
        <v>179</v>
      </c>
      <c r="D17" s="216">
        <f>IFERROR(__xludf.DUMMYFUNCTION("IFERROR(SUM(FILTER('Sprint 24'!O:O, (('Sprint 24'!J:J = ""Done"")) * ('Sprint 24'!E:E = ""Mac: Jarupong Pawichpongkul""))),0)"),17.0)</f>
        <v>17</v>
      </c>
      <c r="E17" s="223">
        <f>IFERROR(__xludf.DUMMYFUNCTION("ROUND(IFERROR(SUM(FILTER('Sprint 24'!U:U, (('Sprint 24'!J:J = ""Done"")) * ('Sprint 24'!E:E = ""Mac: Jarupong Pawichpongkul"")))/3600,0),2)"),39.0)</f>
        <v>39</v>
      </c>
      <c r="F17" s="224"/>
    </row>
    <row r="18" ht="22.5" customHeight="1">
      <c r="A18" s="218" t="s">
        <v>75</v>
      </c>
      <c r="B18" s="216">
        <f>IFERROR(__xludf.DUMMYFUNCTION("IFERROR(SUM(FILTER('Sprint 24'!O:O, ('Sprint 24'!E:E = ""Moss : Kittapath Sangvikukit""))),0)"),60.0)</f>
        <v>60</v>
      </c>
      <c r="C18" s="223">
        <f>IFERROR(__xludf.DUMMYFUNCTION("ROUND(IFERROR(SUM(FILTER('Sprint 24'!U:U, ('Sprint 24'!E:E = ""Moss : Kittapath Sangvikukit"")))/3600,0),2)"),81.0)</f>
        <v>81</v>
      </c>
      <c r="D18" s="216">
        <f>IFERROR(__xludf.DUMMYFUNCTION("IFERROR(SUM(FILTER('Sprint 24'!O:O, (('Sprint 24'!J:J = ""Done"")) * ('Sprint 24'!E:E = ""Moss : Kittapath Sangvikukit""))),0)"),1.0)</f>
        <v>1</v>
      </c>
      <c r="E18" s="223">
        <f>IFERROR(__xludf.DUMMYFUNCTION("ROUND(IFERROR(SUM(FILTER('Sprint 24'!U:U, (('Sprint 24'!J:J = ""Done"")) * ('Sprint 24'!E:E = ""Moss : Kittapath Sangvikukit"")))/3600,0),2)"),2.0)</f>
        <v>2</v>
      </c>
      <c r="F18" s="224"/>
    </row>
    <row r="19" ht="22.5" customHeight="1">
      <c r="A19" s="218" t="s">
        <v>28</v>
      </c>
      <c r="B19" s="216">
        <f>IFERROR(__xludf.DUMMYFUNCTION("IFERROR(SUM(FILTER('Sprint 24'!O:O, ('Sprint 24'!E:E = ""Jack: Warin Kesorn""))),0)"),0.0)</f>
        <v>0</v>
      </c>
      <c r="C19" s="223">
        <f>IFERROR(__xludf.DUMMYFUNCTION("ROUND(IFERROR(SUM(FILTER('Sprint 24'!U:U, ('Sprint 24'!E:E = ""Jack: Warin Kesorn"")))/3600,0),2)"),0.0)</f>
        <v>0</v>
      </c>
      <c r="D19" s="216">
        <f>IFERROR(__xludf.DUMMYFUNCTION("IFERROR(SUM(FILTER('Sprint 24'!O:O, (('Sprint 24'!J:J = ""Done"")) * ('Sprint 24'!E:E = ""Jack: Warin Kesorn""))),0)"),0.0)</f>
        <v>0</v>
      </c>
      <c r="E19" s="223">
        <f>IFERROR(__xludf.DUMMYFUNCTION("ROUND(IFERROR(SUM(FILTER('Sprint 24'!U:U, (('Sprint 24'!J:J = ""Done"")) * ('Sprint 24'!E:E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24'!O:O, ('Sprint 24'!E:E = ""Nim : muthita munmueang""))),0)"),65.0)</f>
        <v>65</v>
      </c>
      <c r="C20" s="223">
        <f>IFERROR(__xludf.DUMMYFUNCTION("ROUND(IFERROR(SUM(FILTER('Sprint 24'!U:U, ('Sprint 24'!E:E = ""Nim : muthita munmueang"")))/3600,0),2)"),68.0)</f>
        <v>68</v>
      </c>
      <c r="D20" s="216">
        <f>IFERROR(__xludf.DUMMYFUNCTION("IFERROR(SUM(FILTER('Sprint 24'!O:O, (('Sprint 24'!J:J = ""Done"")) * ('Sprint 24'!E:E = ""Nim : muthita munmueang""))),0)"),10.0)</f>
        <v>10</v>
      </c>
      <c r="E20" s="223">
        <f>IFERROR(__xludf.DUMMYFUNCTION("ROUND(IFERROR(SUM(FILTER('Sprint 24'!U:U, (('Sprint 24'!J:J = ""Done"")) * ('Sprint 24'!E:E = ""Nim : muthita munmueang"")))/3600,0),2)"),28.0)</f>
        <v>28</v>
      </c>
      <c r="F20" s="224"/>
    </row>
    <row r="21" ht="22.5" customHeight="1">
      <c r="A21" s="221" t="s">
        <v>77</v>
      </c>
      <c r="B21" s="224">
        <f>IFERROR(__xludf.DUMMYFUNCTION("IFERROR(SUM(FILTER('Sprint 24'!O:O, ('Sprint 24'!E:E = ""Arm:Worawat Chotipongchoawalit""))),0)"),76.0)</f>
        <v>76</v>
      </c>
      <c r="C21" s="223">
        <f>IFERROR(__xludf.DUMMYFUNCTION("ROUND(IFERROR(SUM(FILTER('Sprint 24'!U:U, ('Sprint 24'!E:E = ""Arm:Worawat Chotipongchoawalit"")))/3600,0),2)"),0.0)</f>
        <v>0</v>
      </c>
      <c r="D21" s="216">
        <f>IFERROR(__xludf.DUMMYFUNCTION("IFERROR(SUM(FILTER('Sprint 24'!O:O, (('Sprint 24'!J:J = ""Done"")) * ('Sprint 24'!E:E = ""Arm:Worawat Chotipongchoawalit""))),0)"),17.0)</f>
        <v>17</v>
      </c>
      <c r="E21" s="223">
        <f>IFERROR(__xludf.DUMMYFUNCTION("ROUND(IFERROR(SUM(FILTER('Sprint 24'!U:U, (('Sprint 24'!J:J = ""Done"")) * ('Sprint 24'!E:E = ""Arm:Worawat Chotipongchoawalit"")))/3600,0),2)"),0.0)</f>
        <v>0</v>
      </c>
      <c r="F21" s="224"/>
    </row>
    <row r="22">
      <c r="C22" s="125"/>
    </row>
    <row r="23">
      <c r="C23" s="125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37" t="s">
        <v>2212</v>
      </c>
      <c r="J25" s="238" t="s">
        <v>2213</v>
      </c>
      <c r="K25" s="235"/>
    </row>
    <row r="26" ht="20.25" customHeight="1">
      <c r="A26" s="239" t="s">
        <v>2214</v>
      </c>
      <c r="B26" s="240" t="s">
        <v>30</v>
      </c>
      <c r="C26" s="240" t="s">
        <v>24</v>
      </c>
      <c r="D26" s="240" t="s">
        <v>72</v>
      </c>
      <c r="E26" s="240" t="s">
        <v>28</v>
      </c>
      <c r="F26" s="240" t="s">
        <v>32</v>
      </c>
      <c r="G26" s="240" t="s">
        <v>74</v>
      </c>
      <c r="H26" s="240" t="s">
        <v>73</v>
      </c>
      <c r="I26" s="240" t="s">
        <v>77</v>
      </c>
      <c r="J26" s="240" t="s">
        <v>75</v>
      </c>
      <c r="K26" s="240" t="s">
        <v>76</v>
      </c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>
      <c r="A27" s="101"/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>
      <c r="A28" s="101"/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ht="32.25" customHeight="1">
      <c r="A29" s="101"/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ht="22.5" customHeight="1">
      <c r="A30" s="101"/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>
      <c r="A31" s="101"/>
      <c r="B31" s="101"/>
      <c r="C31" s="99"/>
      <c r="D31" s="99"/>
      <c r="E31" s="99"/>
      <c r="F31" s="99"/>
      <c r="G31" s="99"/>
      <c r="H31" s="99"/>
      <c r="I31" s="99"/>
      <c r="J31" s="99"/>
      <c r="K31" s="99"/>
    </row>
    <row r="32" ht="21.0" customHeight="1">
      <c r="A32" s="101"/>
      <c r="B32" s="101"/>
      <c r="C32" s="99"/>
      <c r="D32" s="99"/>
      <c r="E32" s="99"/>
      <c r="F32" s="101"/>
      <c r="G32" s="99"/>
      <c r="H32" s="99"/>
      <c r="I32" s="99"/>
      <c r="J32" s="99"/>
      <c r="K32" s="99"/>
    </row>
    <row r="33">
      <c r="C33" s="125"/>
    </row>
    <row r="34">
      <c r="C34" s="125"/>
    </row>
    <row r="35">
      <c r="C35" s="125"/>
    </row>
    <row r="36">
      <c r="C36" s="125"/>
    </row>
    <row r="37">
      <c r="C37" s="125"/>
    </row>
    <row r="38">
      <c r="C38" s="125"/>
    </row>
    <row r="39">
      <c r="C39" s="125"/>
    </row>
    <row r="40">
      <c r="C40" s="125"/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</sheetData>
  <mergeCells count="3">
    <mergeCell ref="B25:E25"/>
    <mergeCell ref="F25:H25"/>
    <mergeCell ref="J25:K2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39" width="17.5"/>
    <col customWidth="1" min="40" max="40" width="21.38"/>
    <col customWidth="1" min="41" max="43" width="17.5"/>
    <col customWidth="1" min="44" max="44" width="21.25"/>
    <col customWidth="1" min="45" max="45" width="17.5"/>
    <col customWidth="1" min="46" max="46" width="21.25"/>
    <col customWidth="1" min="47" max="47" width="20.13"/>
    <col customWidth="1" min="48" max="48" width="21.25"/>
    <col customWidth="1" min="49" max="49" width="20.13"/>
    <col customWidth="1" min="50" max="50" width="21.25"/>
    <col customWidth="1" min="51" max="51" width="20.13"/>
    <col customWidth="1" min="53" max="53" width="17.5"/>
    <col customWidth="1" min="54" max="54" width="21.25"/>
    <col customWidth="1" min="55" max="55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274</v>
      </c>
      <c r="T1" s="102" t="s">
        <v>274</v>
      </c>
      <c r="U1" s="102" t="s">
        <v>275</v>
      </c>
      <c r="V1" s="102" t="s">
        <v>70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102" t="s">
        <v>70</v>
      </c>
      <c r="AF1" s="102" t="s">
        <v>70</v>
      </c>
      <c r="AQ1" s="102"/>
      <c r="AR1" s="102"/>
      <c r="BL1" s="88"/>
      <c r="BM1" s="88"/>
    </row>
    <row r="2">
      <c r="A2" s="102" t="s">
        <v>310</v>
      </c>
      <c r="B2" s="102" t="s">
        <v>2215</v>
      </c>
      <c r="C2" s="229" t="s">
        <v>2216</v>
      </c>
      <c r="D2" s="102" t="s">
        <v>2217</v>
      </c>
      <c r="E2" s="102" t="s">
        <v>314</v>
      </c>
      <c r="F2" s="102" t="s">
        <v>315</v>
      </c>
      <c r="G2" s="102" t="s">
        <v>362</v>
      </c>
      <c r="H2" s="102" t="s">
        <v>363</v>
      </c>
      <c r="I2" s="102" t="s">
        <v>284</v>
      </c>
      <c r="J2" s="102" t="s">
        <v>26</v>
      </c>
      <c r="L2" s="229" t="s">
        <v>2218</v>
      </c>
      <c r="M2" s="229" t="s">
        <v>2219</v>
      </c>
      <c r="O2" s="102">
        <v>1.0</v>
      </c>
      <c r="U2" s="102">
        <v>600.0</v>
      </c>
      <c r="V2" s="102" t="s">
        <v>394</v>
      </c>
    </row>
    <row r="3">
      <c r="A3" s="102" t="s">
        <v>332</v>
      </c>
      <c r="B3" s="102" t="s">
        <v>2220</v>
      </c>
      <c r="C3" s="229" t="s">
        <v>2221</v>
      </c>
      <c r="D3" s="102" t="s">
        <v>2222</v>
      </c>
      <c r="E3" s="102" t="s">
        <v>584</v>
      </c>
      <c r="F3" s="102" t="s">
        <v>585</v>
      </c>
      <c r="G3" s="102" t="s">
        <v>280</v>
      </c>
      <c r="H3" s="102" t="s">
        <v>281</v>
      </c>
      <c r="I3" s="102" t="s">
        <v>284</v>
      </c>
      <c r="J3" s="102" t="s">
        <v>336</v>
      </c>
      <c r="L3" s="229" t="s">
        <v>2223</v>
      </c>
      <c r="M3" s="229" t="s">
        <v>2224</v>
      </c>
      <c r="O3" s="230"/>
      <c r="U3" s="230"/>
      <c r="V3" s="102" t="s">
        <v>286</v>
      </c>
    </row>
    <row r="4">
      <c r="A4" s="102" t="s">
        <v>310</v>
      </c>
      <c r="B4" s="102" t="s">
        <v>2225</v>
      </c>
      <c r="C4" s="229" t="s">
        <v>2226</v>
      </c>
      <c r="D4" s="102" t="s">
        <v>2227</v>
      </c>
      <c r="E4" s="102" t="s">
        <v>314</v>
      </c>
      <c r="F4" s="102" t="s">
        <v>315</v>
      </c>
      <c r="G4" s="102" t="s">
        <v>316</v>
      </c>
      <c r="H4" s="102" t="s">
        <v>317</v>
      </c>
      <c r="I4" s="102" t="s">
        <v>284</v>
      </c>
      <c r="J4" s="102" t="s">
        <v>26</v>
      </c>
      <c r="L4" s="229" t="s">
        <v>2228</v>
      </c>
      <c r="M4" s="229" t="s">
        <v>2229</v>
      </c>
      <c r="O4" s="102">
        <v>1.0</v>
      </c>
      <c r="U4" s="102">
        <v>600.0</v>
      </c>
      <c r="V4" s="102" t="s">
        <v>394</v>
      </c>
    </row>
    <row r="5">
      <c r="A5" s="102" t="s">
        <v>332</v>
      </c>
      <c r="B5" s="102" t="s">
        <v>1735</v>
      </c>
      <c r="C5" s="229" t="s">
        <v>1736</v>
      </c>
      <c r="D5" s="102" t="s">
        <v>1737</v>
      </c>
      <c r="E5" s="102" t="s">
        <v>556</v>
      </c>
      <c r="F5" s="102" t="s">
        <v>557</v>
      </c>
      <c r="G5" s="102" t="s">
        <v>280</v>
      </c>
      <c r="H5" s="102" t="s">
        <v>281</v>
      </c>
      <c r="I5" s="102" t="s">
        <v>284</v>
      </c>
      <c r="J5" s="102" t="s">
        <v>478</v>
      </c>
      <c r="L5" s="229" t="s">
        <v>1739</v>
      </c>
      <c r="M5" s="229" t="s">
        <v>2230</v>
      </c>
      <c r="N5" s="229" t="s">
        <v>1004</v>
      </c>
      <c r="O5" s="230"/>
      <c r="U5" s="230"/>
      <c r="V5" s="102" t="s">
        <v>394</v>
      </c>
    </row>
    <row r="6">
      <c r="A6" s="102" t="s">
        <v>332</v>
      </c>
      <c r="B6" s="102" t="s">
        <v>1741</v>
      </c>
      <c r="C6" s="229" t="s">
        <v>1742</v>
      </c>
      <c r="D6" s="102" t="s">
        <v>1743</v>
      </c>
      <c r="E6" s="102" t="s">
        <v>584</v>
      </c>
      <c r="F6" s="102" t="s">
        <v>585</v>
      </c>
      <c r="G6" s="102" t="s">
        <v>280</v>
      </c>
      <c r="H6" s="102" t="s">
        <v>281</v>
      </c>
      <c r="I6" s="102" t="s">
        <v>284</v>
      </c>
      <c r="J6" s="102" t="s">
        <v>2231</v>
      </c>
      <c r="L6" s="229" t="s">
        <v>1744</v>
      </c>
      <c r="M6" s="229" t="s">
        <v>2232</v>
      </c>
      <c r="O6" s="230"/>
      <c r="U6" s="230"/>
      <c r="V6" s="102" t="s">
        <v>286</v>
      </c>
    </row>
    <row r="7">
      <c r="A7" s="102" t="s">
        <v>310</v>
      </c>
      <c r="B7" s="102" t="s">
        <v>2233</v>
      </c>
      <c r="C7" s="229" t="s">
        <v>2234</v>
      </c>
      <c r="D7" s="102" t="s">
        <v>2235</v>
      </c>
      <c r="E7" s="102" t="s">
        <v>282</v>
      </c>
      <c r="F7" s="102" t="s">
        <v>283</v>
      </c>
      <c r="G7" s="102" t="s">
        <v>316</v>
      </c>
      <c r="H7" s="102" t="s">
        <v>317</v>
      </c>
      <c r="I7" s="102" t="s">
        <v>284</v>
      </c>
      <c r="J7" s="102" t="s">
        <v>26</v>
      </c>
      <c r="L7" s="229" t="s">
        <v>2236</v>
      </c>
      <c r="M7" s="229" t="s">
        <v>2229</v>
      </c>
      <c r="N7" s="229" t="s">
        <v>1192</v>
      </c>
      <c r="O7" s="102">
        <v>1.0</v>
      </c>
      <c r="U7" s="102">
        <v>600.0</v>
      </c>
      <c r="V7" s="102" t="s">
        <v>394</v>
      </c>
    </row>
    <row r="8">
      <c r="A8" s="102" t="s">
        <v>310</v>
      </c>
      <c r="B8" s="102" t="s">
        <v>1757</v>
      </c>
      <c r="C8" s="229" t="s">
        <v>1758</v>
      </c>
      <c r="D8" s="102" t="s">
        <v>1759</v>
      </c>
      <c r="E8" s="102" t="s">
        <v>328</v>
      </c>
      <c r="F8" s="102" t="s">
        <v>329</v>
      </c>
      <c r="G8" s="102" t="s">
        <v>314</v>
      </c>
      <c r="H8" s="102" t="s">
        <v>315</v>
      </c>
      <c r="I8" s="102" t="s">
        <v>284</v>
      </c>
      <c r="J8" s="102" t="s">
        <v>678</v>
      </c>
      <c r="L8" s="229" t="s">
        <v>1760</v>
      </c>
      <c r="M8" s="229" t="s">
        <v>2237</v>
      </c>
      <c r="O8" s="102">
        <v>3.0</v>
      </c>
      <c r="U8" s="230"/>
      <c r="V8" s="102" t="s">
        <v>1005</v>
      </c>
    </row>
    <row r="9">
      <c r="A9" s="102" t="s">
        <v>310</v>
      </c>
      <c r="B9" s="102" t="s">
        <v>1000</v>
      </c>
      <c r="C9" s="229" t="s">
        <v>1001</v>
      </c>
      <c r="D9" s="102" t="s">
        <v>1002</v>
      </c>
      <c r="E9" s="102" t="s">
        <v>513</v>
      </c>
      <c r="F9" s="102" t="s">
        <v>514</v>
      </c>
      <c r="G9" s="102" t="s">
        <v>314</v>
      </c>
      <c r="H9" s="102" t="s">
        <v>315</v>
      </c>
      <c r="I9" s="102" t="s">
        <v>284</v>
      </c>
      <c r="J9" s="102" t="s">
        <v>355</v>
      </c>
      <c r="L9" s="229" t="s">
        <v>1003</v>
      </c>
      <c r="M9" s="229" t="s">
        <v>2238</v>
      </c>
      <c r="N9" s="229" t="s">
        <v>1004</v>
      </c>
      <c r="O9" s="102">
        <v>1.0</v>
      </c>
      <c r="U9" s="102">
        <v>7200.0</v>
      </c>
      <c r="V9" s="102" t="s">
        <v>1005</v>
      </c>
    </row>
    <row r="10">
      <c r="A10" s="102" t="s">
        <v>310</v>
      </c>
      <c r="B10" s="102" t="s">
        <v>1006</v>
      </c>
      <c r="C10" s="229" t="s">
        <v>1007</v>
      </c>
      <c r="D10" s="102" t="s">
        <v>1008</v>
      </c>
      <c r="E10" s="102" t="s">
        <v>513</v>
      </c>
      <c r="F10" s="102" t="s">
        <v>514</v>
      </c>
      <c r="G10" s="102" t="s">
        <v>314</v>
      </c>
      <c r="H10" s="102" t="s">
        <v>315</v>
      </c>
      <c r="I10" s="102" t="s">
        <v>284</v>
      </c>
      <c r="J10" s="102" t="s">
        <v>355</v>
      </c>
      <c r="L10" s="229" t="s">
        <v>1009</v>
      </c>
      <c r="M10" s="229" t="s">
        <v>2239</v>
      </c>
      <c r="N10" s="229" t="s">
        <v>1004</v>
      </c>
      <c r="O10" s="102">
        <v>3.0</v>
      </c>
      <c r="U10" s="102">
        <v>28800.0</v>
      </c>
      <c r="V10" s="102" t="s">
        <v>1005</v>
      </c>
    </row>
    <row r="11">
      <c r="A11" s="102" t="s">
        <v>310</v>
      </c>
      <c r="B11" s="102" t="s">
        <v>2240</v>
      </c>
      <c r="C11" s="229" t="s">
        <v>1763</v>
      </c>
      <c r="D11" s="102" t="s">
        <v>1764</v>
      </c>
      <c r="E11" s="102" t="s">
        <v>353</v>
      </c>
      <c r="F11" s="102" t="s">
        <v>354</v>
      </c>
      <c r="G11" s="102" t="s">
        <v>314</v>
      </c>
      <c r="H11" s="102" t="s">
        <v>315</v>
      </c>
      <c r="I11" s="102" t="s">
        <v>284</v>
      </c>
      <c r="J11" s="102" t="s">
        <v>34</v>
      </c>
      <c r="L11" s="229" t="s">
        <v>1765</v>
      </c>
      <c r="M11" s="229" t="s">
        <v>1765</v>
      </c>
      <c r="O11" s="102">
        <v>1.0</v>
      </c>
      <c r="U11" s="230"/>
      <c r="V11" s="102" t="s">
        <v>394</v>
      </c>
    </row>
    <row r="12">
      <c r="A12" s="102" t="s">
        <v>310</v>
      </c>
      <c r="B12" s="102" t="s">
        <v>2241</v>
      </c>
      <c r="C12" s="229" t="s">
        <v>2242</v>
      </c>
      <c r="D12" s="102" t="s">
        <v>1764</v>
      </c>
      <c r="E12" s="102" t="s">
        <v>314</v>
      </c>
      <c r="F12" s="102" t="s">
        <v>315</v>
      </c>
      <c r="G12" s="102" t="s">
        <v>314</v>
      </c>
      <c r="H12" s="102" t="s">
        <v>315</v>
      </c>
      <c r="I12" s="102" t="s">
        <v>284</v>
      </c>
      <c r="J12" s="102" t="s">
        <v>26</v>
      </c>
      <c r="L12" s="229" t="s">
        <v>2243</v>
      </c>
      <c r="M12" s="229" t="s">
        <v>2244</v>
      </c>
      <c r="O12" s="102">
        <v>1.0</v>
      </c>
      <c r="U12" s="102">
        <v>7200.0</v>
      </c>
      <c r="V12" s="102" t="s">
        <v>394</v>
      </c>
    </row>
    <row r="13">
      <c r="A13" s="102" t="s">
        <v>332</v>
      </c>
      <c r="B13" s="102" t="s">
        <v>2245</v>
      </c>
      <c r="C13" s="229" t="s">
        <v>2246</v>
      </c>
      <c r="D13" s="102" t="s">
        <v>2247</v>
      </c>
      <c r="E13" s="102" t="s">
        <v>328</v>
      </c>
      <c r="F13" s="102" t="s">
        <v>329</v>
      </c>
      <c r="G13" s="102" t="s">
        <v>280</v>
      </c>
      <c r="H13" s="102" t="s">
        <v>281</v>
      </c>
      <c r="I13" s="102" t="s">
        <v>284</v>
      </c>
      <c r="J13" s="102" t="s">
        <v>336</v>
      </c>
      <c r="L13" s="229" t="s">
        <v>2248</v>
      </c>
      <c r="M13" s="229" t="s">
        <v>2249</v>
      </c>
      <c r="O13" s="230"/>
      <c r="U13" s="230"/>
      <c r="V13" s="102" t="s">
        <v>286</v>
      </c>
    </row>
    <row r="14">
      <c r="A14" s="102" t="s">
        <v>332</v>
      </c>
      <c r="B14" s="102" t="s">
        <v>2250</v>
      </c>
      <c r="C14" s="229" t="s">
        <v>2251</v>
      </c>
      <c r="D14" s="102" t="s">
        <v>2252</v>
      </c>
      <c r="E14" s="102" t="s">
        <v>328</v>
      </c>
      <c r="F14" s="102" t="s">
        <v>329</v>
      </c>
      <c r="G14" s="102" t="s">
        <v>280</v>
      </c>
      <c r="H14" s="102" t="s">
        <v>281</v>
      </c>
      <c r="I14" s="102" t="s">
        <v>284</v>
      </c>
      <c r="J14" s="102" t="s">
        <v>336</v>
      </c>
      <c r="L14" s="229" t="s">
        <v>2253</v>
      </c>
      <c r="M14" s="229" t="s">
        <v>2249</v>
      </c>
      <c r="O14" s="230"/>
      <c r="U14" s="230"/>
      <c r="V14" s="102" t="s">
        <v>286</v>
      </c>
    </row>
    <row r="15">
      <c r="A15" s="102" t="s">
        <v>310</v>
      </c>
      <c r="B15" s="102" t="s">
        <v>1767</v>
      </c>
      <c r="C15" s="229" t="s">
        <v>1768</v>
      </c>
      <c r="D15" s="102" t="s">
        <v>1769</v>
      </c>
      <c r="E15" s="102" t="s">
        <v>564</v>
      </c>
      <c r="F15" s="102" t="s">
        <v>565</v>
      </c>
      <c r="G15" s="102" t="s">
        <v>353</v>
      </c>
      <c r="H15" s="102" t="s">
        <v>354</v>
      </c>
      <c r="I15" s="102" t="s">
        <v>284</v>
      </c>
      <c r="J15" s="102" t="s">
        <v>454</v>
      </c>
      <c r="L15" s="229" t="s">
        <v>1770</v>
      </c>
      <c r="M15" s="229" t="s">
        <v>2254</v>
      </c>
      <c r="N15" s="229" t="s">
        <v>1192</v>
      </c>
      <c r="O15" s="102">
        <v>3.0</v>
      </c>
      <c r="U15" s="230"/>
      <c r="V15" s="102" t="s">
        <v>1058</v>
      </c>
    </row>
    <row r="16">
      <c r="A16" s="102" t="s">
        <v>276</v>
      </c>
      <c r="B16" s="102" t="s">
        <v>2255</v>
      </c>
      <c r="C16" s="229" t="s">
        <v>2256</v>
      </c>
      <c r="D16" s="102" t="s">
        <v>279</v>
      </c>
      <c r="E16" s="102" t="s">
        <v>280</v>
      </c>
      <c r="F16" s="102" t="s">
        <v>281</v>
      </c>
      <c r="G16" s="102" t="s">
        <v>282</v>
      </c>
      <c r="H16" s="102" t="s">
        <v>283</v>
      </c>
      <c r="I16" s="102" t="s">
        <v>284</v>
      </c>
      <c r="J16" s="102" t="s">
        <v>26</v>
      </c>
      <c r="L16" s="229" t="s">
        <v>2257</v>
      </c>
      <c r="M16" s="229" t="s">
        <v>2258</v>
      </c>
      <c r="O16" s="230"/>
      <c r="U16" s="230"/>
      <c r="V16" s="102" t="s">
        <v>299</v>
      </c>
      <c r="W16" s="102" t="s">
        <v>286</v>
      </c>
    </row>
    <row r="17">
      <c r="A17" s="102" t="s">
        <v>276</v>
      </c>
      <c r="B17" s="102" t="s">
        <v>2259</v>
      </c>
      <c r="C17" s="229" t="s">
        <v>2260</v>
      </c>
      <c r="D17" s="102" t="s">
        <v>291</v>
      </c>
      <c r="E17" s="102" t="s">
        <v>280</v>
      </c>
      <c r="F17" s="102" t="s">
        <v>281</v>
      </c>
      <c r="G17" s="102" t="s">
        <v>282</v>
      </c>
      <c r="H17" s="102" t="s">
        <v>283</v>
      </c>
      <c r="I17" s="102" t="s">
        <v>284</v>
      </c>
      <c r="J17" s="102" t="s">
        <v>26</v>
      </c>
      <c r="L17" s="229" t="s">
        <v>2257</v>
      </c>
      <c r="M17" s="229" t="s">
        <v>2261</v>
      </c>
      <c r="O17" s="230"/>
      <c r="U17" s="230"/>
      <c r="V17" s="102" t="s">
        <v>299</v>
      </c>
      <c r="W17" s="102" t="s">
        <v>286</v>
      </c>
    </row>
    <row r="18">
      <c r="A18" s="102" t="s">
        <v>276</v>
      </c>
      <c r="B18" s="102" t="s">
        <v>2262</v>
      </c>
      <c r="C18" s="229" t="s">
        <v>2263</v>
      </c>
      <c r="D18" s="102" t="s">
        <v>1567</v>
      </c>
      <c r="E18" s="102" t="s">
        <v>391</v>
      </c>
      <c r="F18" s="102" t="s">
        <v>392</v>
      </c>
      <c r="G18" s="102" t="s">
        <v>391</v>
      </c>
      <c r="H18" s="102" t="s">
        <v>392</v>
      </c>
      <c r="I18" s="102" t="s">
        <v>284</v>
      </c>
      <c r="J18" s="102" t="s">
        <v>26</v>
      </c>
      <c r="L18" s="229" t="s">
        <v>2264</v>
      </c>
      <c r="M18" s="229" t="s">
        <v>2265</v>
      </c>
      <c r="O18" s="230"/>
      <c r="U18" s="230"/>
      <c r="V18" s="102" t="s">
        <v>2266</v>
      </c>
      <c r="W18" s="102" t="s">
        <v>2267</v>
      </c>
      <c r="X18" s="102" t="s">
        <v>2268</v>
      </c>
      <c r="Y18" s="102" t="s">
        <v>2269</v>
      </c>
      <c r="Z18" s="102" t="s">
        <v>2270</v>
      </c>
      <c r="AA18" s="102" t="s">
        <v>2271</v>
      </c>
      <c r="AB18" s="102" t="s">
        <v>2272</v>
      </c>
      <c r="AC18" s="102" t="s">
        <v>2273</v>
      </c>
      <c r="AD18" s="102" t="s">
        <v>2274</v>
      </c>
      <c r="AE18" s="102" t="s">
        <v>2275</v>
      </c>
    </row>
    <row r="19">
      <c r="A19" s="102" t="s">
        <v>276</v>
      </c>
      <c r="B19" s="102" t="s">
        <v>2276</v>
      </c>
      <c r="C19" s="229" t="s">
        <v>2277</v>
      </c>
      <c r="D19" s="102" t="s">
        <v>1567</v>
      </c>
      <c r="E19" s="102" t="s">
        <v>391</v>
      </c>
      <c r="F19" s="102" t="s">
        <v>392</v>
      </c>
      <c r="G19" s="102" t="s">
        <v>391</v>
      </c>
      <c r="H19" s="102" t="s">
        <v>392</v>
      </c>
      <c r="I19" s="102" t="s">
        <v>284</v>
      </c>
      <c r="J19" s="102" t="s">
        <v>26</v>
      </c>
      <c r="L19" s="229" t="s">
        <v>2278</v>
      </c>
      <c r="M19" s="229" t="s">
        <v>2279</v>
      </c>
      <c r="O19" s="230"/>
      <c r="U19" s="230"/>
      <c r="V19" s="102" t="s">
        <v>2269</v>
      </c>
      <c r="W19" s="102" t="s">
        <v>2270</v>
      </c>
      <c r="X19" s="102" t="s">
        <v>2271</v>
      </c>
      <c r="Y19" s="102" t="s">
        <v>2272</v>
      </c>
      <c r="Z19" s="102" t="s">
        <v>2273</v>
      </c>
      <c r="AA19" s="102" t="s">
        <v>2274</v>
      </c>
      <c r="AB19" s="102" t="s">
        <v>2275</v>
      </c>
    </row>
    <row r="20">
      <c r="A20" s="102" t="s">
        <v>310</v>
      </c>
      <c r="B20" s="102" t="s">
        <v>2280</v>
      </c>
      <c r="C20" s="229" t="s">
        <v>2281</v>
      </c>
      <c r="D20" s="102" t="s">
        <v>2282</v>
      </c>
      <c r="E20" s="102" t="s">
        <v>314</v>
      </c>
      <c r="F20" s="102" t="s">
        <v>315</v>
      </c>
      <c r="G20" s="102" t="s">
        <v>316</v>
      </c>
      <c r="H20" s="102" t="s">
        <v>317</v>
      </c>
      <c r="I20" s="102" t="s">
        <v>284</v>
      </c>
      <c r="J20" s="102" t="s">
        <v>26</v>
      </c>
      <c r="L20" s="229" t="s">
        <v>2283</v>
      </c>
      <c r="M20" s="229" t="s">
        <v>2229</v>
      </c>
      <c r="O20" s="102">
        <v>1.0</v>
      </c>
      <c r="U20" s="102">
        <v>1800.0</v>
      </c>
      <c r="V20" s="102" t="s">
        <v>394</v>
      </c>
    </row>
    <row r="21">
      <c r="A21" s="102" t="s">
        <v>310</v>
      </c>
      <c r="B21" s="102" t="s">
        <v>2284</v>
      </c>
      <c r="C21" s="229" t="s">
        <v>2285</v>
      </c>
      <c r="D21" s="102" t="s">
        <v>2286</v>
      </c>
      <c r="E21" s="102" t="s">
        <v>564</v>
      </c>
      <c r="F21" s="102" t="s">
        <v>565</v>
      </c>
      <c r="G21" s="102" t="s">
        <v>316</v>
      </c>
      <c r="H21" s="102" t="s">
        <v>317</v>
      </c>
      <c r="I21" s="102" t="s">
        <v>318</v>
      </c>
      <c r="J21" s="102" t="s">
        <v>26</v>
      </c>
      <c r="L21" s="229" t="s">
        <v>2287</v>
      </c>
      <c r="M21" s="229" t="s">
        <v>2229</v>
      </c>
      <c r="N21" s="229" t="s">
        <v>1849</v>
      </c>
      <c r="O21" s="102">
        <v>1.0</v>
      </c>
      <c r="U21" s="102">
        <v>0.0</v>
      </c>
      <c r="V21" s="102" t="s">
        <v>394</v>
      </c>
    </row>
    <row r="22">
      <c r="A22" s="102" t="s">
        <v>332</v>
      </c>
      <c r="B22" s="102" t="s">
        <v>1771</v>
      </c>
      <c r="C22" s="229" t="s">
        <v>1772</v>
      </c>
      <c r="D22" s="102" t="s">
        <v>1773</v>
      </c>
      <c r="E22" s="102" t="s">
        <v>564</v>
      </c>
      <c r="F22" s="102" t="s">
        <v>565</v>
      </c>
      <c r="G22" s="102" t="s">
        <v>353</v>
      </c>
      <c r="H22" s="102" t="s">
        <v>354</v>
      </c>
      <c r="I22" s="102" t="s">
        <v>318</v>
      </c>
      <c r="J22" s="102" t="s">
        <v>922</v>
      </c>
      <c r="L22" s="229" t="s">
        <v>1774</v>
      </c>
      <c r="M22" s="229" t="s">
        <v>2288</v>
      </c>
      <c r="O22" s="230"/>
      <c r="U22" s="230"/>
      <c r="V22" s="102" t="s">
        <v>1058</v>
      </c>
    </row>
    <row r="23">
      <c r="A23" s="102" t="s">
        <v>310</v>
      </c>
      <c r="B23" s="102" t="s">
        <v>1010</v>
      </c>
      <c r="C23" s="229" t="s">
        <v>1011</v>
      </c>
      <c r="D23" s="102" t="s">
        <v>1012</v>
      </c>
      <c r="E23" s="102" t="s">
        <v>584</v>
      </c>
      <c r="F23" s="102" t="s">
        <v>585</v>
      </c>
      <c r="G23" s="102" t="s">
        <v>282</v>
      </c>
      <c r="H23" s="102" t="s">
        <v>283</v>
      </c>
      <c r="I23" s="102" t="s">
        <v>284</v>
      </c>
      <c r="J23" s="102" t="s">
        <v>355</v>
      </c>
      <c r="L23" s="229" t="s">
        <v>1013</v>
      </c>
      <c r="M23" s="229" t="s">
        <v>2289</v>
      </c>
      <c r="N23" s="229" t="s">
        <v>1004</v>
      </c>
      <c r="O23" s="102">
        <v>1.0</v>
      </c>
      <c r="P23" s="102" t="s">
        <v>1015</v>
      </c>
      <c r="U23" s="230"/>
      <c r="V23" s="102" t="s">
        <v>286</v>
      </c>
    </row>
    <row r="24">
      <c r="A24" s="102" t="s">
        <v>310</v>
      </c>
      <c r="B24" s="102" t="s">
        <v>1016</v>
      </c>
      <c r="C24" s="229" t="s">
        <v>1017</v>
      </c>
      <c r="D24" s="102" t="s">
        <v>1018</v>
      </c>
      <c r="E24" s="102" t="s">
        <v>495</v>
      </c>
      <c r="F24" s="102" t="s">
        <v>496</v>
      </c>
      <c r="G24" s="102" t="s">
        <v>304</v>
      </c>
      <c r="H24" s="102" t="s">
        <v>305</v>
      </c>
      <c r="I24" s="102" t="s">
        <v>284</v>
      </c>
      <c r="J24" s="102" t="s">
        <v>454</v>
      </c>
      <c r="L24" s="229" t="s">
        <v>1019</v>
      </c>
      <c r="M24" s="229" t="s">
        <v>2290</v>
      </c>
      <c r="N24" s="229" t="s">
        <v>1004</v>
      </c>
      <c r="O24" s="102">
        <v>3.0</v>
      </c>
      <c r="P24" s="102" t="s">
        <v>1020</v>
      </c>
      <c r="U24" s="102">
        <v>28800.0</v>
      </c>
      <c r="V24" s="102" t="s">
        <v>286</v>
      </c>
    </row>
    <row r="25">
      <c r="A25" s="102" t="s">
        <v>276</v>
      </c>
      <c r="B25" s="102" t="s">
        <v>2291</v>
      </c>
      <c r="C25" s="229" t="s">
        <v>2292</v>
      </c>
      <c r="D25" s="102" t="s">
        <v>398</v>
      </c>
      <c r="E25" s="102" t="s">
        <v>391</v>
      </c>
      <c r="F25" s="102" t="s">
        <v>392</v>
      </c>
      <c r="G25" s="102" t="s">
        <v>391</v>
      </c>
      <c r="H25" s="102" t="s">
        <v>392</v>
      </c>
      <c r="I25" s="102" t="s">
        <v>284</v>
      </c>
      <c r="J25" s="102" t="s">
        <v>63</v>
      </c>
      <c r="L25" s="229" t="s">
        <v>1024</v>
      </c>
      <c r="M25" s="229" t="s">
        <v>1024</v>
      </c>
      <c r="O25" s="230"/>
      <c r="U25" s="230"/>
      <c r="V25" s="102" t="s">
        <v>299</v>
      </c>
      <c r="W25" s="102" t="s">
        <v>286</v>
      </c>
    </row>
    <row r="26">
      <c r="A26" s="102" t="s">
        <v>276</v>
      </c>
      <c r="B26" s="102" t="s">
        <v>1775</v>
      </c>
      <c r="C26" s="229" t="s">
        <v>1776</v>
      </c>
      <c r="D26" s="102" t="s">
        <v>398</v>
      </c>
      <c r="E26" s="102" t="s">
        <v>391</v>
      </c>
      <c r="F26" s="102" t="s">
        <v>392</v>
      </c>
      <c r="G26" s="102" t="s">
        <v>391</v>
      </c>
      <c r="H26" s="102" t="s">
        <v>392</v>
      </c>
      <c r="I26" s="102" t="s">
        <v>284</v>
      </c>
      <c r="J26" s="102" t="s">
        <v>63</v>
      </c>
      <c r="L26" s="229" t="s">
        <v>1024</v>
      </c>
      <c r="M26" s="229" t="s">
        <v>1024</v>
      </c>
      <c r="O26" s="230"/>
      <c r="U26" s="230"/>
      <c r="V26" s="102" t="s">
        <v>299</v>
      </c>
      <c r="W26" s="102" t="s">
        <v>286</v>
      </c>
    </row>
    <row r="27">
      <c r="A27" s="102" t="s">
        <v>276</v>
      </c>
      <c r="B27" s="102" t="s">
        <v>1021</v>
      </c>
      <c r="C27" s="229" t="s">
        <v>1022</v>
      </c>
      <c r="D27" s="102" t="s">
        <v>398</v>
      </c>
      <c r="E27" s="102" t="s">
        <v>391</v>
      </c>
      <c r="F27" s="102" t="s">
        <v>392</v>
      </c>
      <c r="G27" s="102" t="s">
        <v>391</v>
      </c>
      <c r="H27" s="102" t="s">
        <v>392</v>
      </c>
      <c r="I27" s="102" t="s">
        <v>284</v>
      </c>
      <c r="J27" s="102" t="s">
        <v>63</v>
      </c>
      <c r="L27" s="229" t="s">
        <v>1024</v>
      </c>
      <c r="M27" s="229" t="s">
        <v>1024</v>
      </c>
      <c r="O27" s="230"/>
      <c r="U27" s="230"/>
      <c r="V27" s="102" t="s">
        <v>299</v>
      </c>
      <c r="W27" s="102" t="s">
        <v>286</v>
      </c>
    </row>
    <row r="28">
      <c r="A28" s="102" t="s">
        <v>276</v>
      </c>
      <c r="B28" s="102" t="s">
        <v>1779</v>
      </c>
      <c r="C28" s="229" t="s">
        <v>1780</v>
      </c>
      <c r="D28" s="102" t="s">
        <v>398</v>
      </c>
      <c r="E28" s="102" t="s">
        <v>391</v>
      </c>
      <c r="F28" s="102" t="s">
        <v>392</v>
      </c>
      <c r="G28" s="102" t="s">
        <v>391</v>
      </c>
      <c r="H28" s="102" t="s">
        <v>392</v>
      </c>
      <c r="I28" s="102" t="s">
        <v>284</v>
      </c>
      <c r="J28" s="102" t="s">
        <v>63</v>
      </c>
      <c r="L28" s="229" t="s">
        <v>1024</v>
      </c>
      <c r="M28" s="229" t="s">
        <v>1024</v>
      </c>
      <c r="O28" s="230"/>
      <c r="U28" s="230"/>
      <c r="V28" s="102" t="s">
        <v>299</v>
      </c>
      <c r="W28" s="102" t="s">
        <v>286</v>
      </c>
    </row>
    <row r="29">
      <c r="A29" s="102" t="s">
        <v>276</v>
      </c>
      <c r="B29" s="102" t="s">
        <v>1781</v>
      </c>
      <c r="C29" s="229" t="s">
        <v>1782</v>
      </c>
      <c r="D29" s="102" t="s">
        <v>398</v>
      </c>
      <c r="E29" s="102" t="s">
        <v>391</v>
      </c>
      <c r="F29" s="102" t="s">
        <v>392</v>
      </c>
      <c r="G29" s="102" t="s">
        <v>391</v>
      </c>
      <c r="H29" s="102" t="s">
        <v>392</v>
      </c>
      <c r="I29" s="102" t="s">
        <v>284</v>
      </c>
      <c r="J29" s="102" t="s">
        <v>63</v>
      </c>
      <c r="L29" s="229" t="s">
        <v>1024</v>
      </c>
      <c r="M29" s="229" t="s">
        <v>1024</v>
      </c>
      <c r="O29" s="230"/>
      <c r="U29" s="230"/>
      <c r="V29" s="102" t="s">
        <v>299</v>
      </c>
      <c r="W29" s="102" t="s">
        <v>286</v>
      </c>
    </row>
    <row r="30">
      <c r="A30" s="102" t="s">
        <v>276</v>
      </c>
      <c r="B30" s="102" t="s">
        <v>1784</v>
      </c>
      <c r="C30" s="229" t="s">
        <v>1785</v>
      </c>
      <c r="D30" s="102" t="s">
        <v>398</v>
      </c>
      <c r="E30" s="102" t="s">
        <v>391</v>
      </c>
      <c r="F30" s="102" t="s">
        <v>392</v>
      </c>
      <c r="G30" s="102" t="s">
        <v>391</v>
      </c>
      <c r="H30" s="102" t="s">
        <v>392</v>
      </c>
      <c r="I30" s="102" t="s">
        <v>284</v>
      </c>
      <c r="J30" s="102" t="s">
        <v>63</v>
      </c>
      <c r="L30" s="229" t="s">
        <v>1786</v>
      </c>
      <c r="M30" s="229" t="s">
        <v>1786</v>
      </c>
      <c r="O30" s="230"/>
      <c r="U30" s="230"/>
      <c r="V30" s="102" t="s">
        <v>299</v>
      </c>
      <c r="W30" s="102" t="s">
        <v>286</v>
      </c>
    </row>
    <row r="31">
      <c r="A31" s="102" t="s">
        <v>276</v>
      </c>
      <c r="B31" s="102" t="s">
        <v>1026</v>
      </c>
      <c r="C31" s="229" t="s">
        <v>1027</v>
      </c>
      <c r="D31" s="102" t="s">
        <v>398</v>
      </c>
      <c r="E31" s="102" t="s">
        <v>391</v>
      </c>
      <c r="F31" s="102" t="s">
        <v>392</v>
      </c>
      <c r="G31" s="102" t="s">
        <v>391</v>
      </c>
      <c r="H31" s="102" t="s">
        <v>392</v>
      </c>
      <c r="I31" s="102" t="s">
        <v>284</v>
      </c>
      <c r="J31" s="102" t="s">
        <v>63</v>
      </c>
      <c r="L31" s="229" t="s">
        <v>1028</v>
      </c>
      <c r="M31" s="229" t="s">
        <v>1028</v>
      </c>
      <c r="O31" s="230"/>
      <c r="U31" s="230"/>
      <c r="V31" s="102" t="s">
        <v>299</v>
      </c>
      <c r="W31" s="102" t="s">
        <v>286</v>
      </c>
    </row>
    <row r="32">
      <c r="A32" s="102" t="s">
        <v>276</v>
      </c>
      <c r="B32" s="102" t="s">
        <v>1030</v>
      </c>
      <c r="C32" s="229" t="s">
        <v>1031</v>
      </c>
      <c r="D32" s="102" t="s">
        <v>398</v>
      </c>
      <c r="E32" s="102" t="s">
        <v>391</v>
      </c>
      <c r="F32" s="102" t="s">
        <v>392</v>
      </c>
      <c r="G32" s="102" t="s">
        <v>391</v>
      </c>
      <c r="H32" s="102" t="s">
        <v>392</v>
      </c>
      <c r="I32" s="102" t="s">
        <v>284</v>
      </c>
      <c r="J32" s="102" t="s">
        <v>63</v>
      </c>
      <c r="L32" s="229" t="s">
        <v>1028</v>
      </c>
      <c r="M32" s="229" t="s">
        <v>1028</v>
      </c>
      <c r="O32" s="230"/>
      <c r="U32" s="230"/>
      <c r="V32" s="102" t="s">
        <v>299</v>
      </c>
      <c r="W32" s="102" t="s">
        <v>286</v>
      </c>
    </row>
    <row r="33">
      <c r="A33" s="102" t="s">
        <v>276</v>
      </c>
      <c r="B33" s="102" t="s">
        <v>1787</v>
      </c>
      <c r="C33" s="229" t="s">
        <v>1788</v>
      </c>
      <c r="D33" s="102" t="s">
        <v>398</v>
      </c>
      <c r="E33" s="102" t="s">
        <v>391</v>
      </c>
      <c r="F33" s="102" t="s">
        <v>392</v>
      </c>
      <c r="G33" s="102" t="s">
        <v>391</v>
      </c>
      <c r="H33" s="102" t="s">
        <v>392</v>
      </c>
      <c r="I33" s="102" t="s">
        <v>284</v>
      </c>
      <c r="J33" s="102" t="s">
        <v>63</v>
      </c>
      <c r="L33" s="229" t="s">
        <v>1035</v>
      </c>
      <c r="M33" s="229" t="s">
        <v>1028</v>
      </c>
      <c r="O33" s="230"/>
      <c r="U33" s="230"/>
      <c r="V33" s="102" t="s">
        <v>299</v>
      </c>
      <c r="W33" s="102" t="s">
        <v>286</v>
      </c>
    </row>
    <row r="34">
      <c r="A34" s="102" t="s">
        <v>276</v>
      </c>
      <c r="B34" s="102" t="s">
        <v>1033</v>
      </c>
      <c r="C34" s="229" t="s">
        <v>1034</v>
      </c>
      <c r="D34" s="102" t="s">
        <v>398</v>
      </c>
      <c r="E34" s="102" t="s">
        <v>391</v>
      </c>
      <c r="F34" s="102" t="s">
        <v>392</v>
      </c>
      <c r="G34" s="102" t="s">
        <v>391</v>
      </c>
      <c r="H34" s="102" t="s">
        <v>392</v>
      </c>
      <c r="I34" s="102" t="s">
        <v>284</v>
      </c>
      <c r="J34" s="102" t="s">
        <v>63</v>
      </c>
      <c r="L34" s="229" t="s">
        <v>1035</v>
      </c>
      <c r="M34" s="229" t="s">
        <v>1035</v>
      </c>
      <c r="O34" s="230"/>
      <c r="U34" s="230"/>
      <c r="V34" s="102" t="s">
        <v>299</v>
      </c>
      <c r="W34" s="102" t="s">
        <v>286</v>
      </c>
    </row>
    <row r="35">
      <c r="A35" s="102" t="s">
        <v>310</v>
      </c>
      <c r="B35" s="102" t="s">
        <v>1037</v>
      </c>
      <c r="C35" s="229" t="s">
        <v>1038</v>
      </c>
      <c r="D35" s="102" t="s">
        <v>1039</v>
      </c>
      <c r="E35" s="102" t="s">
        <v>584</v>
      </c>
      <c r="F35" s="102" t="s">
        <v>585</v>
      </c>
      <c r="G35" s="102" t="s">
        <v>282</v>
      </c>
      <c r="H35" s="102" t="s">
        <v>283</v>
      </c>
      <c r="I35" s="102" t="s">
        <v>284</v>
      </c>
      <c r="J35" s="102" t="s">
        <v>454</v>
      </c>
      <c r="L35" s="229" t="s">
        <v>1040</v>
      </c>
      <c r="M35" s="229" t="s">
        <v>2289</v>
      </c>
      <c r="N35" s="229" t="s">
        <v>1004</v>
      </c>
      <c r="O35" s="102">
        <v>1.0</v>
      </c>
      <c r="P35" s="102" t="s">
        <v>1015</v>
      </c>
      <c r="U35" s="230"/>
      <c r="V35" s="102" t="s">
        <v>286</v>
      </c>
    </row>
    <row r="36">
      <c r="A36" s="102" t="s">
        <v>276</v>
      </c>
      <c r="B36" s="102" t="s">
        <v>2293</v>
      </c>
      <c r="C36" s="229" t="s">
        <v>2294</v>
      </c>
      <c r="D36" s="102" t="s">
        <v>279</v>
      </c>
      <c r="E36" s="102" t="s">
        <v>280</v>
      </c>
      <c r="F36" s="102" t="s">
        <v>281</v>
      </c>
      <c r="G36" s="102" t="s">
        <v>282</v>
      </c>
      <c r="H36" s="102" t="s">
        <v>283</v>
      </c>
      <c r="I36" s="102" t="s">
        <v>284</v>
      </c>
      <c r="J36" s="102" t="s">
        <v>26</v>
      </c>
      <c r="L36" s="229" t="s">
        <v>2295</v>
      </c>
      <c r="M36" s="229" t="s">
        <v>2296</v>
      </c>
      <c r="O36" s="230"/>
      <c r="U36" s="230"/>
      <c r="V36" s="102" t="s">
        <v>286</v>
      </c>
    </row>
    <row r="37">
      <c r="A37" s="102" t="s">
        <v>276</v>
      </c>
      <c r="B37" s="102" t="s">
        <v>2297</v>
      </c>
      <c r="C37" s="229" t="s">
        <v>2298</v>
      </c>
      <c r="D37" s="102" t="s">
        <v>291</v>
      </c>
      <c r="E37" s="102" t="s">
        <v>280</v>
      </c>
      <c r="F37" s="102" t="s">
        <v>281</v>
      </c>
      <c r="G37" s="102" t="s">
        <v>282</v>
      </c>
      <c r="H37" s="102" t="s">
        <v>283</v>
      </c>
      <c r="I37" s="102" t="s">
        <v>284</v>
      </c>
      <c r="J37" s="102" t="s">
        <v>26</v>
      </c>
      <c r="L37" s="229" t="s">
        <v>2295</v>
      </c>
      <c r="M37" s="229" t="s">
        <v>2299</v>
      </c>
      <c r="O37" s="230"/>
      <c r="U37" s="230"/>
      <c r="V37" s="102" t="s">
        <v>286</v>
      </c>
    </row>
    <row r="38">
      <c r="A38" s="102" t="s">
        <v>310</v>
      </c>
      <c r="B38" s="102" t="s">
        <v>2300</v>
      </c>
      <c r="C38" s="229" t="s">
        <v>2301</v>
      </c>
      <c r="D38" s="102" t="s">
        <v>2302</v>
      </c>
      <c r="E38" s="102" t="s">
        <v>556</v>
      </c>
      <c r="F38" s="102" t="s">
        <v>557</v>
      </c>
      <c r="G38" s="102" t="s">
        <v>282</v>
      </c>
      <c r="H38" s="102" t="s">
        <v>283</v>
      </c>
      <c r="I38" s="102" t="s">
        <v>284</v>
      </c>
      <c r="J38" s="102" t="s">
        <v>26</v>
      </c>
      <c r="L38" s="229" t="s">
        <v>2303</v>
      </c>
      <c r="M38" s="229" t="s">
        <v>2304</v>
      </c>
      <c r="N38" s="229" t="s">
        <v>1893</v>
      </c>
      <c r="O38" s="102">
        <v>1.0</v>
      </c>
      <c r="U38" s="102">
        <v>7200.0</v>
      </c>
      <c r="V38" s="102" t="s">
        <v>286</v>
      </c>
    </row>
    <row r="39">
      <c r="A39" s="102" t="s">
        <v>310</v>
      </c>
      <c r="B39" s="102" t="s">
        <v>1790</v>
      </c>
      <c r="C39" s="229" t="s">
        <v>1791</v>
      </c>
      <c r="D39" s="102" t="s">
        <v>2305</v>
      </c>
      <c r="E39" s="102" t="s">
        <v>282</v>
      </c>
      <c r="F39" s="102" t="s">
        <v>283</v>
      </c>
      <c r="G39" s="102" t="s">
        <v>282</v>
      </c>
      <c r="H39" s="102" t="s">
        <v>283</v>
      </c>
      <c r="I39" s="102" t="s">
        <v>284</v>
      </c>
      <c r="J39" s="102" t="s">
        <v>34</v>
      </c>
      <c r="L39" s="229" t="s">
        <v>1793</v>
      </c>
      <c r="M39" s="229" t="s">
        <v>2306</v>
      </c>
      <c r="O39" s="102">
        <v>5.0</v>
      </c>
      <c r="U39" s="230"/>
      <c r="V39" s="102" t="s">
        <v>394</v>
      </c>
    </row>
    <row r="40">
      <c r="A40" s="102" t="s">
        <v>276</v>
      </c>
      <c r="B40" s="102" t="s">
        <v>2307</v>
      </c>
      <c r="C40" s="229" t="s">
        <v>2308</v>
      </c>
      <c r="D40" s="102" t="s">
        <v>390</v>
      </c>
      <c r="E40" s="102" t="s">
        <v>391</v>
      </c>
      <c r="F40" s="102" t="s">
        <v>392</v>
      </c>
      <c r="G40" s="102" t="s">
        <v>391</v>
      </c>
      <c r="H40" s="102" t="s">
        <v>392</v>
      </c>
      <c r="I40" s="102" t="s">
        <v>284</v>
      </c>
      <c r="J40" s="102" t="s">
        <v>26</v>
      </c>
      <c r="L40" s="229" t="s">
        <v>2309</v>
      </c>
      <c r="M40" s="229" t="s">
        <v>2310</v>
      </c>
      <c r="O40" s="230"/>
      <c r="U40" s="230"/>
      <c r="V40" s="102" t="s">
        <v>2271</v>
      </c>
      <c r="W40" s="102" t="s">
        <v>2272</v>
      </c>
      <c r="X40" s="102" t="s">
        <v>2273</v>
      </c>
      <c r="Y40" s="102" t="s">
        <v>2274</v>
      </c>
      <c r="Z40" s="102" t="s">
        <v>2275</v>
      </c>
    </row>
    <row r="41">
      <c r="A41" s="102" t="s">
        <v>276</v>
      </c>
      <c r="B41" s="102" t="s">
        <v>2311</v>
      </c>
      <c r="C41" s="229" t="s">
        <v>2312</v>
      </c>
      <c r="D41" s="102" t="s">
        <v>398</v>
      </c>
      <c r="E41" s="102" t="s">
        <v>391</v>
      </c>
      <c r="F41" s="102" t="s">
        <v>392</v>
      </c>
      <c r="G41" s="102" t="s">
        <v>391</v>
      </c>
      <c r="H41" s="102" t="s">
        <v>392</v>
      </c>
      <c r="I41" s="102" t="s">
        <v>284</v>
      </c>
      <c r="J41" s="102" t="s">
        <v>26</v>
      </c>
      <c r="L41" s="229" t="s">
        <v>2309</v>
      </c>
      <c r="M41" s="229" t="s">
        <v>2309</v>
      </c>
      <c r="O41" s="230"/>
      <c r="U41" s="230"/>
      <c r="V41" s="102" t="s">
        <v>2271</v>
      </c>
      <c r="W41" s="102" t="s">
        <v>2272</v>
      </c>
      <c r="X41" s="102" t="s">
        <v>2273</v>
      </c>
      <c r="Y41" s="102" t="s">
        <v>2274</v>
      </c>
      <c r="Z41" s="102" t="s">
        <v>2275</v>
      </c>
    </row>
    <row r="42">
      <c r="A42" s="102" t="s">
        <v>310</v>
      </c>
      <c r="B42" s="102" t="s">
        <v>1794</v>
      </c>
      <c r="C42" s="229" t="s">
        <v>1795</v>
      </c>
      <c r="D42" s="102" t="s">
        <v>1796</v>
      </c>
      <c r="E42" s="102" t="s">
        <v>495</v>
      </c>
      <c r="F42" s="102" t="s">
        <v>496</v>
      </c>
      <c r="G42" s="102" t="s">
        <v>304</v>
      </c>
      <c r="H42" s="102" t="s">
        <v>305</v>
      </c>
      <c r="I42" s="102" t="s">
        <v>284</v>
      </c>
      <c r="J42" s="102" t="s">
        <v>454</v>
      </c>
      <c r="L42" s="229" t="s">
        <v>1797</v>
      </c>
      <c r="M42" s="229" t="s">
        <v>2313</v>
      </c>
      <c r="N42" s="229" t="s">
        <v>1004</v>
      </c>
      <c r="O42" s="102">
        <v>3.0</v>
      </c>
      <c r="P42" s="102" t="s">
        <v>331</v>
      </c>
      <c r="U42" s="102">
        <v>28800.0</v>
      </c>
      <c r="V42" s="102" t="s">
        <v>286</v>
      </c>
    </row>
    <row r="43">
      <c r="A43" s="102" t="s">
        <v>310</v>
      </c>
      <c r="B43" s="102" t="s">
        <v>1798</v>
      </c>
      <c r="C43" s="229" t="s">
        <v>1799</v>
      </c>
      <c r="D43" s="102" t="s">
        <v>1800</v>
      </c>
      <c r="E43" s="102" t="s">
        <v>316</v>
      </c>
      <c r="F43" s="102" t="s">
        <v>317</v>
      </c>
      <c r="G43" s="102" t="s">
        <v>316</v>
      </c>
      <c r="H43" s="102" t="s">
        <v>317</v>
      </c>
      <c r="I43" s="102" t="s">
        <v>284</v>
      </c>
      <c r="J43" s="102" t="s">
        <v>63</v>
      </c>
      <c r="L43" s="229" t="s">
        <v>1801</v>
      </c>
      <c r="M43" s="229" t="s">
        <v>2314</v>
      </c>
      <c r="O43" s="230"/>
      <c r="U43" s="230"/>
      <c r="V43" s="102" t="s">
        <v>394</v>
      </c>
    </row>
    <row r="44">
      <c r="A44" s="102" t="s">
        <v>332</v>
      </c>
      <c r="B44" s="102" t="s">
        <v>2315</v>
      </c>
      <c r="C44" s="229" t="s">
        <v>2316</v>
      </c>
      <c r="D44" s="102" t="s">
        <v>2317</v>
      </c>
      <c r="E44" s="102" t="s">
        <v>314</v>
      </c>
      <c r="F44" s="102" t="s">
        <v>315</v>
      </c>
      <c r="G44" s="102" t="s">
        <v>316</v>
      </c>
      <c r="H44" s="102" t="s">
        <v>317</v>
      </c>
      <c r="I44" s="102" t="s">
        <v>284</v>
      </c>
      <c r="J44" s="102" t="s">
        <v>2318</v>
      </c>
      <c r="L44" s="229" t="s">
        <v>2319</v>
      </c>
      <c r="M44" s="229" t="s">
        <v>2320</v>
      </c>
      <c r="O44" s="102">
        <v>1.0</v>
      </c>
      <c r="U44" s="230"/>
      <c r="V44" s="102" t="s">
        <v>394</v>
      </c>
    </row>
    <row r="45">
      <c r="A45" s="102" t="s">
        <v>310</v>
      </c>
      <c r="B45" s="102" t="s">
        <v>2321</v>
      </c>
      <c r="C45" s="229" t="s">
        <v>2322</v>
      </c>
      <c r="D45" s="102" t="s">
        <v>2323</v>
      </c>
      <c r="E45" s="102" t="s">
        <v>556</v>
      </c>
      <c r="F45" s="102" t="s">
        <v>557</v>
      </c>
      <c r="G45" s="102" t="s">
        <v>316</v>
      </c>
      <c r="H45" s="102" t="s">
        <v>317</v>
      </c>
      <c r="I45" s="102" t="s">
        <v>318</v>
      </c>
      <c r="J45" s="102" t="s">
        <v>26</v>
      </c>
      <c r="L45" s="229" t="s">
        <v>2324</v>
      </c>
      <c r="M45" s="229" t="s">
        <v>2229</v>
      </c>
      <c r="N45" s="229" t="s">
        <v>1849</v>
      </c>
      <c r="O45" s="102">
        <v>1.0</v>
      </c>
      <c r="U45" s="230"/>
      <c r="V45" s="102" t="s">
        <v>394</v>
      </c>
    </row>
    <row r="46">
      <c r="A46" s="102" t="s">
        <v>310</v>
      </c>
      <c r="B46" s="102" t="s">
        <v>1803</v>
      </c>
      <c r="C46" s="229" t="s">
        <v>1804</v>
      </c>
      <c r="D46" s="102" t="s">
        <v>1805</v>
      </c>
      <c r="E46" s="102" t="s">
        <v>495</v>
      </c>
      <c r="F46" s="102" t="s">
        <v>496</v>
      </c>
      <c r="G46" s="102" t="s">
        <v>282</v>
      </c>
      <c r="H46" s="102" t="s">
        <v>283</v>
      </c>
      <c r="I46" s="102" t="s">
        <v>284</v>
      </c>
      <c r="J46" s="102" t="s">
        <v>454</v>
      </c>
      <c r="L46" s="229" t="s">
        <v>1806</v>
      </c>
      <c r="M46" s="229" t="s">
        <v>2325</v>
      </c>
      <c r="N46" s="229" t="s">
        <v>1004</v>
      </c>
      <c r="O46" s="102">
        <v>2.0</v>
      </c>
      <c r="U46" s="102">
        <v>14400.0</v>
      </c>
      <c r="V46" s="102" t="s">
        <v>286</v>
      </c>
    </row>
    <row r="47">
      <c r="A47" s="102" t="s">
        <v>310</v>
      </c>
      <c r="B47" s="102" t="s">
        <v>1809</v>
      </c>
      <c r="C47" s="229" t="s">
        <v>1810</v>
      </c>
      <c r="D47" s="102" t="s">
        <v>1811</v>
      </c>
      <c r="E47" s="102" t="s">
        <v>495</v>
      </c>
      <c r="F47" s="102" t="s">
        <v>496</v>
      </c>
      <c r="G47" s="102" t="s">
        <v>282</v>
      </c>
      <c r="H47" s="102" t="s">
        <v>283</v>
      </c>
      <c r="I47" s="102" t="s">
        <v>284</v>
      </c>
      <c r="J47" s="102" t="s">
        <v>454</v>
      </c>
      <c r="L47" s="229" t="s">
        <v>1812</v>
      </c>
      <c r="M47" s="229" t="s">
        <v>2326</v>
      </c>
      <c r="N47" s="229" t="s">
        <v>1004</v>
      </c>
      <c r="O47" s="230"/>
      <c r="U47" s="102">
        <v>3600.0</v>
      </c>
      <c r="V47" s="102" t="s">
        <v>286</v>
      </c>
    </row>
    <row r="48">
      <c r="A48" s="102" t="s">
        <v>310</v>
      </c>
      <c r="B48" s="102" t="s">
        <v>1813</v>
      </c>
      <c r="C48" s="229" t="s">
        <v>1814</v>
      </c>
      <c r="D48" s="102" t="s">
        <v>1815</v>
      </c>
      <c r="E48" s="102" t="s">
        <v>495</v>
      </c>
      <c r="F48" s="102" t="s">
        <v>496</v>
      </c>
      <c r="G48" s="102" t="s">
        <v>282</v>
      </c>
      <c r="H48" s="102" t="s">
        <v>283</v>
      </c>
      <c r="I48" s="102" t="s">
        <v>284</v>
      </c>
      <c r="J48" s="102" t="s">
        <v>454</v>
      </c>
      <c r="L48" s="229" t="s">
        <v>1816</v>
      </c>
      <c r="M48" s="229" t="s">
        <v>2327</v>
      </c>
      <c r="N48" s="229" t="s">
        <v>1004</v>
      </c>
      <c r="O48" s="102">
        <v>1.0</v>
      </c>
      <c r="U48" s="102">
        <v>7200.0</v>
      </c>
      <c r="V48" s="102" t="s">
        <v>286</v>
      </c>
    </row>
    <row r="49">
      <c r="A49" s="102" t="s">
        <v>310</v>
      </c>
      <c r="B49" s="102" t="s">
        <v>2328</v>
      </c>
      <c r="C49" s="229" t="s">
        <v>2329</v>
      </c>
      <c r="D49" s="102" t="s">
        <v>2330</v>
      </c>
      <c r="E49" s="102" t="s">
        <v>556</v>
      </c>
      <c r="F49" s="102" t="s">
        <v>557</v>
      </c>
      <c r="G49" s="102" t="s">
        <v>316</v>
      </c>
      <c r="H49" s="102" t="s">
        <v>317</v>
      </c>
      <c r="I49" s="102" t="s">
        <v>318</v>
      </c>
      <c r="J49" s="102" t="s">
        <v>26</v>
      </c>
      <c r="L49" s="229" t="s">
        <v>2331</v>
      </c>
      <c r="M49" s="229" t="s">
        <v>2229</v>
      </c>
      <c r="N49" s="229" t="s">
        <v>1862</v>
      </c>
      <c r="O49" s="230"/>
      <c r="U49" s="230"/>
      <c r="V49" s="102" t="s">
        <v>394</v>
      </c>
    </row>
    <row r="50">
      <c r="A50" s="102" t="s">
        <v>310</v>
      </c>
      <c r="B50" s="102" t="s">
        <v>2332</v>
      </c>
      <c r="C50" s="229" t="s">
        <v>2333</v>
      </c>
      <c r="D50" s="102" t="s">
        <v>2334</v>
      </c>
      <c r="E50" s="102" t="s">
        <v>314</v>
      </c>
      <c r="F50" s="102" t="s">
        <v>315</v>
      </c>
      <c r="G50" s="102" t="s">
        <v>316</v>
      </c>
      <c r="H50" s="102" t="s">
        <v>317</v>
      </c>
      <c r="I50" s="102" t="s">
        <v>284</v>
      </c>
      <c r="J50" s="102" t="s">
        <v>26</v>
      </c>
      <c r="L50" s="229" t="s">
        <v>2335</v>
      </c>
      <c r="M50" s="229" t="s">
        <v>2336</v>
      </c>
      <c r="O50" s="102">
        <v>1.0</v>
      </c>
      <c r="U50" s="102">
        <v>1800.0</v>
      </c>
      <c r="V50" s="102" t="s">
        <v>394</v>
      </c>
    </row>
    <row r="51">
      <c r="A51" s="102" t="s">
        <v>310</v>
      </c>
      <c r="B51" s="102" t="s">
        <v>1818</v>
      </c>
      <c r="C51" s="229" t="s">
        <v>1819</v>
      </c>
      <c r="D51" s="102" t="s">
        <v>1820</v>
      </c>
      <c r="E51" s="102" t="s">
        <v>328</v>
      </c>
      <c r="F51" s="102" t="s">
        <v>329</v>
      </c>
      <c r="G51" s="102" t="s">
        <v>282</v>
      </c>
      <c r="H51" s="102" t="s">
        <v>283</v>
      </c>
      <c r="I51" s="102" t="s">
        <v>284</v>
      </c>
      <c r="J51" s="102" t="s">
        <v>454</v>
      </c>
      <c r="L51" s="229" t="s">
        <v>1821</v>
      </c>
      <c r="M51" s="229" t="s">
        <v>2337</v>
      </c>
      <c r="O51" s="102">
        <v>2.0</v>
      </c>
      <c r="U51" s="230"/>
      <c r="V51" s="102" t="s">
        <v>286</v>
      </c>
    </row>
    <row r="52">
      <c r="A52" s="102" t="s">
        <v>310</v>
      </c>
      <c r="B52" s="102" t="s">
        <v>1046</v>
      </c>
      <c r="C52" s="229" t="s">
        <v>1047</v>
      </c>
      <c r="D52" s="102" t="s">
        <v>1048</v>
      </c>
      <c r="E52" s="102" t="s">
        <v>314</v>
      </c>
      <c r="F52" s="102" t="s">
        <v>315</v>
      </c>
      <c r="G52" s="102" t="s">
        <v>314</v>
      </c>
      <c r="H52" s="102" t="s">
        <v>315</v>
      </c>
      <c r="I52" s="102" t="s">
        <v>284</v>
      </c>
      <c r="J52" s="102" t="s">
        <v>454</v>
      </c>
      <c r="L52" s="229" t="s">
        <v>1049</v>
      </c>
      <c r="M52" s="229" t="s">
        <v>2338</v>
      </c>
      <c r="O52" s="102">
        <v>3.0</v>
      </c>
      <c r="U52" s="102">
        <v>57600.0</v>
      </c>
      <c r="V52" s="102" t="s">
        <v>1051</v>
      </c>
    </row>
    <row r="53">
      <c r="A53" s="102" t="s">
        <v>310</v>
      </c>
      <c r="B53" s="102" t="s">
        <v>1831</v>
      </c>
      <c r="C53" s="229" t="s">
        <v>1832</v>
      </c>
      <c r="D53" s="102" t="s">
        <v>1833</v>
      </c>
      <c r="E53" s="102" t="s">
        <v>314</v>
      </c>
      <c r="F53" s="102" t="s">
        <v>315</v>
      </c>
      <c r="G53" s="102" t="s">
        <v>314</v>
      </c>
      <c r="H53" s="102" t="s">
        <v>315</v>
      </c>
      <c r="I53" s="102" t="s">
        <v>284</v>
      </c>
      <c r="J53" s="102" t="s">
        <v>63</v>
      </c>
      <c r="L53" s="229" t="s">
        <v>1834</v>
      </c>
      <c r="M53" s="229" t="s">
        <v>2338</v>
      </c>
      <c r="O53" s="102">
        <v>3.0</v>
      </c>
      <c r="U53" s="230"/>
      <c r="V53" s="102" t="s">
        <v>1051</v>
      </c>
    </row>
    <row r="54">
      <c r="A54" s="102" t="s">
        <v>310</v>
      </c>
      <c r="B54" s="102" t="s">
        <v>1836</v>
      </c>
      <c r="C54" s="229" t="s">
        <v>1837</v>
      </c>
      <c r="D54" s="102" t="s">
        <v>1838</v>
      </c>
      <c r="E54" s="102" t="s">
        <v>314</v>
      </c>
      <c r="F54" s="102" t="s">
        <v>315</v>
      </c>
      <c r="G54" s="102" t="s">
        <v>314</v>
      </c>
      <c r="H54" s="102" t="s">
        <v>315</v>
      </c>
      <c r="I54" s="102" t="s">
        <v>284</v>
      </c>
      <c r="J54" s="102" t="s">
        <v>34</v>
      </c>
      <c r="L54" s="229" t="s">
        <v>1839</v>
      </c>
      <c r="M54" s="229" t="s">
        <v>2339</v>
      </c>
      <c r="O54" s="102">
        <v>5.0</v>
      </c>
      <c r="U54" s="230"/>
      <c r="V54" s="102" t="s">
        <v>1051</v>
      </c>
    </row>
    <row r="55">
      <c r="A55" s="102" t="s">
        <v>310</v>
      </c>
      <c r="B55" s="102" t="s">
        <v>2340</v>
      </c>
      <c r="C55" s="229" t="s">
        <v>2341</v>
      </c>
      <c r="D55" s="102" t="s">
        <v>2342</v>
      </c>
      <c r="E55" s="102" t="s">
        <v>314</v>
      </c>
      <c r="F55" s="102" t="s">
        <v>315</v>
      </c>
      <c r="G55" s="102" t="s">
        <v>314</v>
      </c>
      <c r="H55" s="102" t="s">
        <v>315</v>
      </c>
      <c r="I55" s="102" t="s">
        <v>284</v>
      </c>
      <c r="J55" s="102" t="s">
        <v>26</v>
      </c>
      <c r="L55" s="229" t="s">
        <v>2343</v>
      </c>
      <c r="M55" s="229" t="s">
        <v>2344</v>
      </c>
      <c r="O55" s="102">
        <v>2.0</v>
      </c>
      <c r="U55" s="102">
        <v>14400.0</v>
      </c>
      <c r="V55" s="102" t="s">
        <v>394</v>
      </c>
    </row>
    <row r="56">
      <c r="A56" s="102" t="s">
        <v>310</v>
      </c>
      <c r="B56" s="102" t="s">
        <v>2345</v>
      </c>
      <c r="C56" s="229" t="s">
        <v>2346</v>
      </c>
      <c r="D56" s="102" t="s">
        <v>2347</v>
      </c>
      <c r="E56" s="102" t="s">
        <v>314</v>
      </c>
      <c r="F56" s="102" t="s">
        <v>315</v>
      </c>
      <c r="G56" s="102" t="s">
        <v>314</v>
      </c>
      <c r="H56" s="102" t="s">
        <v>315</v>
      </c>
      <c r="I56" s="102" t="s">
        <v>284</v>
      </c>
      <c r="J56" s="102" t="s">
        <v>26</v>
      </c>
      <c r="L56" s="229" t="s">
        <v>2348</v>
      </c>
      <c r="M56" s="229" t="s">
        <v>2349</v>
      </c>
      <c r="O56" s="102">
        <v>3.0</v>
      </c>
      <c r="U56" s="102">
        <v>28800.0</v>
      </c>
      <c r="V56" s="102" t="s">
        <v>394</v>
      </c>
    </row>
    <row r="57">
      <c r="A57" s="102" t="s">
        <v>310</v>
      </c>
      <c r="B57" s="102" t="s">
        <v>2350</v>
      </c>
      <c r="C57" s="229" t="s">
        <v>2351</v>
      </c>
      <c r="D57" s="102" t="s">
        <v>2352</v>
      </c>
      <c r="E57" s="102" t="s">
        <v>314</v>
      </c>
      <c r="F57" s="102" t="s">
        <v>315</v>
      </c>
      <c r="G57" s="102" t="s">
        <v>314</v>
      </c>
      <c r="H57" s="102" t="s">
        <v>315</v>
      </c>
      <c r="I57" s="102" t="s">
        <v>284</v>
      </c>
      <c r="J57" s="102" t="s">
        <v>26</v>
      </c>
      <c r="L57" s="229" t="s">
        <v>2348</v>
      </c>
      <c r="M57" s="229" t="s">
        <v>2353</v>
      </c>
      <c r="O57" s="102">
        <v>3.0</v>
      </c>
      <c r="U57" s="102">
        <v>28800.0</v>
      </c>
      <c r="V57" s="102" t="s">
        <v>394</v>
      </c>
    </row>
    <row r="58">
      <c r="A58" s="102" t="s">
        <v>310</v>
      </c>
      <c r="B58" s="102" t="s">
        <v>2354</v>
      </c>
      <c r="C58" s="229" t="s">
        <v>1841</v>
      </c>
      <c r="D58" s="102" t="s">
        <v>1842</v>
      </c>
      <c r="E58" s="102" t="s">
        <v>314</v>
      </c>
      <c r="F58" s="102" t="s">
        <v>315</v>
      </c>
      <c r="G58" s="102" t="s">
        <v>314</v>
      </c>
      <c r="H58" s="102" t="s">
        <v>315</v>
      </c>
      <c r="I58" s="102" t="s">
        <v>284</v>
      </c>
      <c r="J58" s="102" t="s">
        <v>355</v>
      </c>
      <c r="L58" s="229" t="s">
        <v>1843</v>
      </c>
      <c r="M58" s="229" t="s">
        <v>2355</v>
      </c>
      <c r="O58" s="102">
        <v>2.0</v>
      </c>
      <c r="U58" s="230"/>
      <c r="V58" s="102" t="s">
        <v>394</v>
      </c>
    </row>
    <row r="59">
      <c r="A59" s="102" t="s">
        <v>310</v>
      </c>
      <c r="B59" s="102" t="s">
        <v>1844</v>
      </c>
      <c r="C59" s="229" t="s">
        <v>1845</v>
      </c>
      <c r="D59" s="102" t="s">
        <v>1846</v>
      </c>
      <c r="E59" s="102" t="s">
        <v>513</v>
      </c>
      <c r="F59" s="102" t="s">
        <v>514</v>
      </c>
      <c r="G59" s="102" t="s">
        <v>314</v>
      </c>
      <c r="H59" s="102" t="s">
        <v>315</v>
      </c>
      <c r="I59" s="102" t="s">
        <v>284</v>
      </c>
      <c r="J59" s="102" t="s">
        <v>355</v>
      </c>
      <c r="L59" s="229" t="s">
        <v>1847</v>
      </c>
      <c r="M59" s="229" t="s">
        <v>2356</v>
      </c>
      <c r="N59" s="229" t="s">
        <v>1849</v>
      </c>
      <c r="O59" s="102">
        <v>2.0</v>
      </c>
      <c r="U59" s="102">
        <v>14400.0</v>
      </c>
      <c r="V59" s="102" t="s">
        <v>286</v>
      </c>
    </row>
    <row r="60">
      <c r="A60" s="102" t="s">
        <v>276</v>
      </c>
      <c r="B60" s="102" t="s">
        <v>2357</v>
      </c>
      <c r="C60" s="229" t="s">
        <v>2358</v>
      </c>
      <c r="D60" s="102" t="s">
        <v>390</v>
      </c>
      <c r="E60" s="102" t="s">
        <v>391</v>
      </c>
      <c r="F60" s="102" t="s">
        <v>392</v>
      </c>
      <c r="G60" s="102" t="s">
        <v>391</v>
      </c>
      <c r="H60" s="102" t="s">
        <v>392</v>
      </c>
      <c r="I60" s="102" t="s">
        <v>284</v>
      </c>
      <c r="J60" s="102" t="s">
        <v>26</v>
      </c>
      <c r="L60" s="229" t="s">
        <v>2359</v>
      </c>
      <c r="M60" s="229" t="s">
        <v>2360</v>
      </c>
      <c r="O60" s="230"/>
      <c r="U60" s="230"/>
      <c r="V60" s="102" t="s">
        <v>2271</v>
      </c>
      <c r="W60" s="102" t="s">
        <v>2272</v>
      </c>
      <c r="X60" s="102" t="s">
        <v>2273</v>
      </c>
      <c r="Y60" s="102" t="s">
        <v>2274</v>
      </c>
      <c r="Z60" s="102" t="s">
        <v>2275</v>
      </c>
    </row>
    <row r="61">
      <c r="A61" s="102" t="s">
        <v>276</v>
      </c>
      <c r="B61" s="102" t="s">
        <v>2361</v>
      </c>
      <c r="C61" s="229" t="s">
        <v>2362</v>
      </c>
      <c r="D61" s="102" t="s">
        <v>398</v>
      </c>
      <c r="E61" s="102" t="s">
        <v>391</v>
      </c>
      <c r="F61" s="102" t="s">
        <v>392</v>
      </c>
      <c r="G61" s="102" t="s">
        <v>391</v>
      </c>
      <c r="H61" s="102" t="s">
        <v>392</v>
      </c>
      <c r="I61" s="102" t="s">
        <v>284</v>
      </c>
      <c r="J61" s="102" t="s">
        <v>26</v>
      </c>
      <c r="L61" s="229" t="s">
        <v>2363</v>
      </c>
      <c r="M61" s="229" t="s">
        <v>2364</v>
      </c>
      <c r="O61" s="230"/>
      <c r="U61" s="230"/>
      <c r="V61" s="102" t="s">
        <v>2271</v>
      </c>
      <c r="W61" s="102" t="s">
        <v>2272</v>
      </c>
      <c r="X61" s="102" t="s">
        <v>2273</v>
      </c>
      <c r="Y61" s="102" t="s">
        <v>2274</v>
      </c>
      <c r="Z61" s="102" t="s">
        <v>2275</v>
      </c>
    </row>
    <row r="62">
      <c r="A62" s="102" t="s">
        <v>310</v>
      </c>
      <c r="B62" s="102" t="s">
        <v>1850</v>
      </c>
      <c r="C62" s="229" t="s">
        <v>1851</v>
      </c>
      <c r="D62" s="102" t="s">
        <v>1852</v>
      </c>
      <c r="E62" s="102" t="s">
        <v>564</v>
      </c>
      <c r="F62" s="102" t="s">
        <v>565</v>
      </c>
      <c r="G62" s="102" t="s">
        <v>353</v>
      </c>
      <c r="H62" s="102" t="s">
        <v>354</v>
      </c>
      <c r="I62" s="102" t="s">
        <v>284</v>
      </c>
      <c r="J62" s="102" t="s">
        <v>355</v>
      </c>
      <c r="L62" s="229" t="s">
        <v>1853</v>
      </c>
      <c r="M62" s="229" t="s">
        <v>2365</v>
      </c>
      <c r="N62" s="229" t="s">
        <v>1004</v>
      </c>
      <c r="O62" s="102">
        <v>3.0</v>
      </c>
      <c r="P62" s="102" t="s">
        <v>593</v>
      </c>
      <c r="Q62" s="102" t="s">
        <v>1855</v>
      </c>
      <c r="U62" s="230"/>
      <c r="V62" s="102" t="s">
        <v>1058</v>
      </c>
      <c r="W62" s="102" t="s">
        <v>1058</v>
      </c>
    </row>
    <row r="63">
      <c r="A63" s="102" t="s">
        <v>310</v>
      </c>
      <c r="B63" s="102" t="s">
        <v>1053</v>
      </c>
      <c r="C63" s="229" t="s">
        <v>1054</v>
      </c>
      <c r="D63" s="102" t="s">
        <v>1055</v>
      </c>
      <c r="E63" s="102" t="s">
        <v>564</v>
      </c>
      <c r="F63" s="102" t="s">
        <v>565</v>
      </c>
      <c r="G63" s="102" t="s">
        <v>353</v>
      </c>
      <c r="H63" s="102" t="s">
        <v>354</v>
      </c>
      <c r="I63" s="102" t="s">
        <v>284</v>
      </c>
      <c r="J63" s="102" t="s">
        <v>678</v>
      </c>
      <c r="L63" s="229" t="s">
        <v>1056</v>
      </c>
      <c r="M63" s="229" t="s">
        <v>2366</v>
      </c>
      <c r="N63" s="229" t="s">
        <v>1057</v>
      </c>
      <c r="O63" s="102">
        <v>3.0</v>
      </c>
      <c r="U63" s="230"/>
      <c r="V63" s="102" t="s">
        <v>1058</v>
      </c>
      <c r="W63" s="102" t="s">
        <v>1058</v>
      </c>
    </row>
    <row r="64">
      <c r="A64" s="102" t="s">
        <v>310</v>
      </c>
      <c r="B64" s="102" t="s">
        <v>1059</v>
      </c>
      <c r="C64" s="229" t="s">
        <v>1060</v>
      </c>
      <c r="D64" s="102" t="s">
        <v>1061</v>
      </c>
      <c r="E64" s="102" t="s">
        <v>328</v>
      </c>
      <c r="F64" s="102" t="s">
        <v>329</v>
      </c>
      <c r="G64" s="102" t="s">
        <v>282</v>
      </c>
      <c r="H64" s="102" t="s">
        <v>283</v>
      </c>
      <c r="I64" s="102" t="s">
        <v>284</v>
      </c>
      <c r="J64" s="102" t="s">
        <v>678</v>
      </c>
      <c r="L64" s="229" t="s">
        <v>1062</v>
      </c>
      <c r="M64" s="229" t="s">
        <v>2313</v>
      </c>
      <c r="O64" s="102">
        <v>5.0</v>
      </c>
      <c r="U64" s="230"/>
      <c r="V64" s="102" t="s">
        <v>394</v>
      </c>
    </row>
    <row r="65">
      <c r="A65" s="102" t="s">
        <v>310</v>
      </c>
      <c r="B65" s="102" t="s">
        <v>2367</v>
      </c>
      <c r="C65" s="229" t="s">
        <v>2368</v>
      </c>
      <c r="D65" s="102" t="s">
        <v>2369</v>
      </c>
      <c r="E65" s="102" t="s">
        <v>353</v>
      </c>
      <c r="F65" s="102" t="s">
        <v>354</v>
      </c>
      <c r="G65" s="102" t="s">
        <v>353</v>
      </c>
      <c r="H65" s="102" t="s">
        <v>354</v>
      </c>
      <c r="I65" s="102" t="s">
        <v>284</v>
      </c>
      <c r="J65" s="102" t="s">
        <v>26</v>
      </c>
      <c r="L65" s="229" t="s">
        <v>2370</v>
      </c>
      <c r="M65" s="229" t="s">
        <v>2371</v>
      </c>
      <c r="O65" s="102">
        <v>3.0</v>
      </c>
      <c r="P65" s="102" t="s">
        <v>593</v>
      </c>
      <c r="U65" s="230"/>
      <c r="V65" s="102" t="s">
        <v>1058</v>
      </c>
      <c r="W65" s="102" t="s">
        <v>1058</v>
      </c>
    </row>
    <row r="66">
      <c r="A66" s="102" t="s">
        <v>310</v>
      </c>
      <c r="B66" s="102" t="s">
        <v>2372</v>
      </c>
      <c r="C66" s="229" t="s">
        <v>2373</v>
      </c>
      <c r="D66" s="102" t="s">
        <v>2374</v>
      </c>
      <c r="E66" s="102" t="s">
        <v>353</v>
      </c>
      <c r="F66" s="102" t="s">
        <v>354</v>
      </c>
      <c r="G66" s="102" t="s">
        <v>353</v>
      </c>
      <c r="H66" s="102" t="s">
        <v>354</v>
      </c>
      <c r="I66" s="102" t="s">
        <v>284</v>
      </c>
      <c r="J66" s="102" t="s">
        <v>26</v>
      </c>
      <c r="L66" s="229" t="s">
        <v>2375</v>
      </c>
      <c r="M66" s="229" t="s">
        <v>2376</v>
      </c>
      <c r="O66" s="102">
        <v>5.0</v>
      </c>
      <c r="P66" s="102" t="s">
        <v>593</v>
      </c>
      <c r="U66" s="230"/>
      <c r="V66" s="102" t="s">
        <v>1058</v>
      </c>
      <c r="W66" s="102" t="s">
        <v>1058</v>
      </c>
    </row>
    <row r="67">
      <c r="A67" s="102" t="s">
        <v>310</v>
      </c>
      <c r="B67" s="102" t="s">
        <v>2377</v>
      </c>
      <c r="C67" s="229" t="s">
        <v>1065</v>
      </c>
      <c r="D67" s="102" t="s">
        <v>2378</v>
      </c>
      <c r="E67" s="102" t="s">
        <v>556</v>
      </c>
      <c r="F67" s="102" t="s">
        <v>557</v>
      </c>
      <c r="G67" s="102" t="s">
        <v>282</v>
      </c>
      <c r="H67" s="102" t="s">
        <v>283</v>
      </c>
      <c r="I67" s="102" t="s">
        <v>284</v>
      </c>
      <c r="J67" s="102" t="s">
        <v>355</v>
      </c>
      <c r="L67" s="229" t="s">
        <v>1067</v>
      </c>
      <c r="M67" s="229" t="s">
        <v>2379</v>
      </c>
      <c r="N67" s="229" t="s">
        <v>1004</v>
      </c>
      <c r="O67" s="102">
        <v>5.0</v>
      </c>
      <c r="U67" s="230"/>
      <c r="V67" s="102" t="s">
        <v>394</v>
      </c>
    </row>
    <row r="68">
      <c r="A68" s="102" t="s">
        <v>310</v>
      </c>
      <c r="B68" s="102" t="s">
        <v>1068</v>
      </c>
      <c r="C68" s="229" t="s">
        <v>1069</v>
      </c>
      <c r="D68" s="102" t="s">
        <v>1070</v>
      </c>
      <c r="E68" s="102" t="s">
        <v>495</v>
      </c>
      <c r="F68" s="102" t="s">
        <v>496</v>
      </c>
      <c r="G68" s="102" t="s">
        <v>282</v>
      </c>
      <c r="H68" s="102" t="s">
        <v>283</v>
      </c>
      <c r="I68" s="102" t="s">
        <v>284</v>
      </c>
      <c r="J68" s="102" t="s">
        <v>454</v>
      </c>
      <c r="L68" s="229" t="s">
        <v>1071</v>
      </c>
      <c r="M68" s="229" t="s">
        <v>2327</v>
      </c>
      <c r="N68" s="229" t="s">
        <v>1004</v>
      </c>
      <c r="O68" s="102">
        <v>2.0</v>
      </c>
      <c r="U68" s="102">
        <v>14400.0</v>
      </c>
      <c r="V68" s="102" t="s">
        <v>286</v>
      </c>
    </row>
    <row r="69">
      <c r="A69" s="102" t="s">
        <v>310</v>
      </c>
      <c r="B69" s="102" t="s">
        <v>1857</v>
      </c>
      <c r="C69" s="229" t="s">
        <v>1858</v>
      </c>
      <c r="D69" s="102" t="s">
        <v>1859</v>
      </c>
      <c r="E69" s="102" t="s">
        <v>513</v>
      </c>
      <c r="F69" s="102" t="s">
        <v>514</v>
      </c>
      <c r="G69" s="102" t="s">
        <v>282</v>
      </c>
      <c r="H69" s="102" t="s">
        <v>283</v>
      </c>
      <c r="I69" s="102" t="s">
        <v>284</v>
      </c>
      <c r="J69" s="102" t="s">
        <v>355</v>
      </c>
      <c r="L69" s="229" t="s">
        <v>1860</v>
      </c>
      <c r="M69" s="229" t="s">
        <v>2380</v>
      </c>
      <c r="N69" s="229" t="s">
        <v>1862</v>
      </c>
      <c r="O69" s="102">
        <v>5.0</v>
      </c>
      <c r="P69" s="102" t="s">
        <v>593</v>
      </c>
      <c r="U69" s="102">
        <v>57600.0</v>
      </c>
      <c r="V69" s="102" t="s">
        <v>299</v>
      </c>
      <c r="W69" s="102" t="s">
        <v>286</v>
      </c>
    </row>
    <row r="70">
      <c r="A70" s="102" t="s">
        <v>276</v>
      </c>
      <c r="B70" s="102" t="s">
        <v>2381</v>
      </c>
      <c r="C70" s="229" t="s">
        <v>2382</v>
      </c>
      <c r="D70" s="102" t="s">
        <v>279</v>
      </c>
      <c r="E70" s="102" t="s">
        <v>280</v>
      </c>
      <c r="F70" s="102" t="s">
        <v>281</v>
      </c>
      <c r="G70" s="102" t="s">
        <v>282</v>
      </c>
      <c r="H70" s="102" t="s">
        <v>283</v>
      </c>
      <c r="I70" s="102" t="s">
        <v>284</v>
      </c>
      <c r="J70" s="102" t="s">
        <v>26</v>
      </c>
      <c r="L70" s="229" t="s">
        <v>2383</v>
      </c>
      <c r="M70" s="229" t="s">
        <v>2384</v>
      </c>
      <c r="O70" s="230"/>
      <c r="U70" s="230"/>
      <c r="V70" s="102" t="s">
        <v>529</v>
      </c>
      <c r="W70" s="102" t="s">
        <v>298</v>
      </c>
      <c r="X70" s="102" t="s">
        <v>299</v>
      </c>
      <c r="Y70" s="102" t="s">
        <v>286</v>
      </c>
    </row>
    <row r="71">
      <c r="A71" s="102" t="s">
        <v>276</v>
      </c>
      <c r="B71" s="102" t="s">
        <v>2385</v>
      </c>
      <c r="C71" s="229" t="s">
        <v>2386</v>
      </c>
      <c r="D71" s="102" t="s">
        <v>291</v>
      </c>
      <c r="E71" s="102" t="s">
        <v>280</v>
      </c>
      <c r="F71" s="102" t="s">
        <v>281</v>
      </c>
      <c r="G71" s="102" t="s">
        <v>282</v>
      </c>
      <c r="H71" s="102" t="s">
        <v>283</v>
      </c>
      <c r="I71" s="102" t="s">
        <v>284</v>
      </c>
      <c r="J71" s="102" t="s">
        <v>26</v>
      </c>
      <c r="L71" s="229" t="s">
        <v>2383</v>
      </c>
      <c r="M71" s="229" t="s">
        <v>2384</v>
      </c>
      <c r="O71" s="230"/>
      <c r="U71" s="230"/>
      <c r="V71" s="102" t="s">
        <v>529</v>
      </c>
      <c r="W71" s="102" t="s">
        <v>298</v>
      </c>
      <c r="X71" s="102" t="s">
        <v>299</v>
      </c>
      <c r="Y71" s="102" t="s">
        <v>286</v>
      </c>
    </row>
    <row r="72">
      <c r="A72" s="102" t="s">
        <v>276</v>
      </c>
      <c r="B72" s="102" t="s">
        <v>2387</v>
      </c>
      <c r="C72" s="229" t="s">
        <v>2388</v>
      </c>
      <c r="D72" s="102" t="s">
        <v>279</v>
      </c>
      <c r="E72" s="102" t="s">
        <v>280</v>
      </c>
      <c r="F72" s="102" t="s">
        <v>281</v>
      </c>
      <c r="G72" s="102" t="s">
        <v>282</v>
      </c>
      <c r="H72" s="102" t="s">
        <v>283</v>
      </c>
      <c r="I72" s="102" t="s">
        <v>284</v>
      </c>
      <c r="J72" s="102" t="s">
        <v>26</v>
      </c>
      <c r="L72" s="229" t="s">
        <v>2383</v>
      </c>
      <c r="M72" s="229" t="s">
        <v>2389</v>
      </c>
      <c r="O72" s="230"/>
      <c r="U72" s="230"/>
      <c r="V72" s="102" t="s">
        <v>529</v>
      </c>
      <c r="W72" s="102" t="s">
        <v>298</v>
      </c>
      <c r="X72" s="102" t="s">
        <v>299</v>
      </c>
      <c r="Y72" s="102" t="s">
        <v>286</v>
      </c>
    </row>
    <row r="73">
      <c r="A73" s="102" t="s">
        <v>276</v>
      </c>
      <c r="B73" s="102" t="s">
        <v>2390</v>
      </c>
      <c r="C73" s="229" t="s">
        <v>2391</v>
      </c>
      <c r="D73" s="102" t="s">
        <v>291</v>
      </c>
      <c r="E73" s="102" t="s">
        <v>280</v>
      </c>
      <c r="F73" s="102" t="s">
        <v>281</v>
      </c>
      <c r="G73" s="102" t="s">
        <v>282</v>
      </c>
      <c r="H73" s="102" t="s">
        <v>283</v>
      </c>
      <c r="I73" s="102" t="s">
        <v>284</v>
      </c>
      <c r="J73" s="102" t="s">
        <v>26</v>
      </c>
      <c r="L73" s="229" t="s">
        <v>2383</v>
      </c>
      <c r="M73" s="229" t="s">
        <v>2392</v>
      </c>
      <c r="O73" s="230"/>
      <c r="U73" s="230"/>
      <c r="V73" s="102" t="s">
        <v>529</v>
      </c>
      <c r="W73" s="102" t="s">
        <v>298</v>
      </c>
      <c r="X73" s="102" t="s">
        <v>299</v>
      </c>
      <c r="Y73" s="102" t="s">
        <v>286</v>
      </c>
    </row>
    <row r="74">
      <c r="A74" s="102" t="s">
        <v>276</v>
      </c>
      <c r="B74" s="102" t="s">
        <v>2393</v>
      </c>
      <c r="C74" s="229" t="s">
        <v>2394</v>
      </c>
      <c r="D74" s="102" t="s">
        <v>279</v>
      </c>
      <c r="E74" s="102" t="s">
        <v>280</v>
      </c>
      <c r="F74" s="102" t="s">
        <v>281</v>
      </c>
      <c r="G74" s="102" t="s">
        <v>282</v>
      </c>
      <c r="H74" s="102" t="s">
        <v>283</v>
      </c>
      <c r="I74" s="102" t="s">
        <v>284</v>
      </c>
      <c r="J74" s="102" t="s">
        <v>26</v>
      </c>
      <c r="L74" s="229" t="s">
        <v>2383</v>
      </c>
      <c r="M74" s="229" t="s">
        <v>2395</v>
      </c>
      <c r="O74" s="230"/>
      <c r="U74" s="230"/>
      <c r="V74" s="102" t="s">
        <v>529</v>
      </c>
      <c r="W74" s="102" t="s">
        <v>298</v>
      </c>
      <c r="X74" s="102" t="s">
        <v>299</v>
      </c>
      <c r="Y74" s="102" t="s">
        <v>286</v>
      </c>
    </row>
    <row r="75">
      <c r="A75" s="102" t="s">
        <v>276</v>
      </c>
      <c r="B75" s="102" t="s">
        <v>2396</v>
      </c>
      <c r="C75" s="229" t="s">
        <v>2397</v>
      </c>
      <c r="D75" s="102" t="s">
        <v>291</v>
      </c>
      <c r="E75" s="102" t="s">
        <v>280</v>
      </c>
      <c r="F75" s="102" t="s">
        <v>281</v>
      </c>
      <c r="G75" s="102" t="s">
        <v>282</v>
      </c>
      <c r="H75" s="102" t="s">
        <v>283</v>
      </c>
      <c r="I75" s="102" t="s">
        <v>284</v>
      </c>
      <c r="J75" s="102" t="s">
        <v>26</v>
      </c>
      <c r="L75" s="229" t="s">
        <v>2383</v>
      </c>
      <c r="M75" s="229" t="s">
        <v>2398</v>
      </c>
      <c r="O75" s="230"/>
      <c r="U75" s="230"/>
      <c r="V75" s="102" t="s">
        <v>529</v>
      </c>
      <c r="W75" s="102" t="s">
        <v>298</v>
      </c>
      <c r="X75" s="102" t="s">
        <v>299</v>
      </c>
      <c r="Y75" s="102" t="s">
        <v>286</v>
      </c>
    </row>
    <row r="76">
      <c r="A76" s="102" t="s">
        <v>332</v>
      </c>
      <c r="B76" s="102" t="s">
        <v>1072</v>
      </c>
      <c r="C76" s="229" t="s">
        <v>1073</v>
      </c>
      <c r="D76" s="102" t="s">
        <v>1074</v>
      </c>
      <c r="E76" s="102" t="s">
        <v>282</v>
      </c>
      <c r="F76" s="102" t="s">
        <v>283</v>
      </c>
      <c r="G76" s="102" t="s">
        <v>316</v>
      </c>
      <c r="H76" s="102" t="s">
        <v>317</v>
      </c>
      <c r="I76" s="102" t="s">
        <v>648</v>
      </c>
      <c r="J76" s="102" t="s">
        <v>1075</v>
      </c>
      <c r="L76" s="229" t="s">
        <v>1076</v>
      </c>
      <c r="M76" s="229" t="s">
        <v>2320</v>
      </c>
      <c r="N76" s="229" t="s">
        <v>955</v>
      </c>
      <c r="O76" s="230"/>
      <c r="P76" s="102" t="s">
        <v>1078</v>
      </c>
      <c r="Q76" s="102" t="s">
        <v>366</v>
      </c>
      <c r="R76" s="102" t="s">
        <v>1079</v>
      </c>
      <c r="S76" s="102" t="s">
        <v>367</v>
      </c>
      <c r="T76" s="102" t="s">
        <v>368</v>
      </c>
      <c r="U76" s="230"/>
      <c r="V76" s="102" t="s">
        <v>394</v>
      </c>
    </row>
    <row r="77">
      <c r="A77" s="102" t="s">
        <v>310</v>
      </c>
      <c r="B77" s="102" t="s">
        <v>1863</v>
      </c>
      <c r="C77" s="229" t="s">
        <v>1864</v>
      </c>
      <c r="D77" s="102" t="s">
        <v>1865</v>
      </c>
      <c r="E77" s="102" t="s">
        <v>556</v>
      </c>
      <c r="F77" s="102" t="s">
        <v>557</v>
      </c>
      <c r="G77" s="102" t="s">
        <v>282</v>
      </c>
      <c r="H77" s="102" t="s">
        <v>283</v>
      </c>
      <c r="I77" s="102" t="s">
        <v>284</v>
      </c>
      <c r="J77" s="102" t="s">
        <v>454</v>
      </c>
      <c r="L77" s="229" t="s">
        <v>1866</v>
      </c>
      <c r="M77" s="229" t="s">
        <v>2356</v>
      </c>
      <c r="N77" s="229" t="s">
        <v>1004</v>
      </c>
      <c r="O77" s="102">
        <v>2.0</v>
      </c>
      <c r="P77" s="102" t="s">
        <v>435</v>
      </c>
      <c r="U77" s="102">
        <v>14400.0</v>
      </c>
      <c r="V77" s="102" t="s">
        <v>286</v>
      </c>
    </row>
    <row r="78">
      <c r="A78" s="102" t="s">
        <v>310</v>
      </c>
      <c r="B78" s="102" t="s">
        <v>1867</v>
      </c>
      <c r="C78" s="229" t="s">
        <v>1868</v>
      </c>
      <c r="D78" s="102" t="s">
        <v>1869</v>
      </c>
      <c r="E78" s="102" t="s">
        <v>584</v>
      </c>
      <c r="F78" s="102" t="s">
        <v>585</v>
      </c>
      <c r="G78" s="102" t="s">
        <v>282</v>
      </c>
      <c r="H78" s="102" t="s">
        <v>283</v>
      </c>
      <c r="I78" s="102" t="s">
        <v>284</v>
      </c>
      <c r="J78" s="102" t="s">
        <v>454</v>
      </c>
      <c r="L78" s="229" t="s">
        <v>1870</v>
      </c>
      <c r="M78" s="229" t="s">
        <v>2399</v>
      </c>
      <c r="N78" s="229" t="s">
        <v>1170</v>
      </c>
      <c r="O78" s="102">
        <v>3.0</v>
      </c>
      <c r="U78" s="230"/>
      <c r="V78" s="102" t="s">
        <v>299</v>
      </c>
      <c r="W78" s="102" t="s">
        <v>286</v>
      </c>
    </row>
    <row r="79">
      <c r="A79" s="102" t="s">
        <v>310</v>
      </c>
      <c r="B79" s="102" t="s">
        <v>1871</v>
      </c>
      <c r="C79" s="229" t="s">
        <v>1872</v>
      </c>
      <c r="D79" s="102" t="s">
        <v>1873</v>
      </c>
      <c r="E79" s="102" t="s">
        <v>495</v>
      </c>
      <c r="F79" s="102" t="s">
        <v>496</v>
      </c>
      <c r="G79" s="102" t="s">
        <v>304</v>
      </c>
      <c r="H79" s="102" t="s">
        <v>305</v>
      </c>
      <c r="I79" s="102" t="s">
        <v>284</v>
      </c>
      <c r="J79" s="102" t="s">
        <v>454</v>
      </c>
      <c r="L79" s="229" t="s">
        <v>1874</v>
      </c>
      <c r="M79" s="229" t="s">
        <v>2399</v>
      </c>
      <c r="N79" s="229" t="s">
        <v>1170</v>
      </c>
      <c r="O79" s="102">
        <v>5.0</v>
      </c>
      <c r="P79" s="102" t="s">
        <v>331</v>
      </c>
      <c r="U79" s="230"/>
      <c r="V79" s="102" t="s">
        <v>299</v>
      </c>
      <c r="W79" s="102" t="s">
        <v>286</v>
      </c>
    </row>
    <row r="80">
      <c r="A80" s="102" t="s">
        <v>276</v>
      </c>
      <c r="B80" s="102" t="s">
        <v>1080</v>
      </c>
      <c r="C80" s="229" t="s">
        <v>1081</v>
      </c>
      <c r="D80" s="102" t="s">
        <v>1082</v>
      </c>
      <c r="G80" s="102" t="s">
        <v>521</v>
      </c>
      <c r="H80" s="102" t="s">
        <v>522</v>
      </c>
      <c r="I80" s="102" t="s">
        <v>284</v>
      </c>
      <c r="J80" s="102" t="s">
        <v>63</v>
      </c>
      <c r="L80" s="229" t="s">
        <v>1083</v>
      </c>
      <c r="M80" s="229" t="s">
        <v>1083</v>
      </c>
      <c r="O80" s="230"/>
      <c r="U80" s="230"/>
      <c r="V80" s="102" t="s">
        <v>1085</v>
      </c>
      <c r="W80" s="102" t="s">
        <v>529</v>
      </c>
      <c r="X80" s="102" t="s">
        <v>298</v>
      </c>
      <c r="Y80" s="102" t="s">
        <v>299</v>
      </c>
      <c r="Z80" s="102" t="s">
        <v>286</v>
      </c>
    </row>
    <row r="81">
      <c r="A81" s="102" t="s">
        <v>276</v>
      </c>
      <c r="B81" s="102" t="s">
        <v>1086</v>
      </c>
      <c r="C81" s="229" t="s">
        <v>1087</v>
      </c>
      <c r="D81" s="102" t="s">
        <v>1082</v>
      </c>
      <c r="G81" s="102" t="s">
        <v>521</v>
      </c>
      <c r="H81" s="102" t="s">
        <v>522</v>
      </c>
      <c r="I81" s="102" t="s">
        <v>284</v>
      </c>
      <c r="J81" s="102" t="s">
        <v>63</v>
      </c>
      <c r="L81" s="229" t="s">
        <v>1083</v>
      </c>
      <c r="M81" s="229" t="s">
        <v>1083</v>
      </c>
      <c r="O81" s="230"/>
      <c r="U81" s="230"/>
      <c r="V81" s="102" t="s">
        <v>1085</v>
      </c>
      <c r="W81" s="102" t="s">
        <v>529</v>
      </c>
      <c r="X81" s="102" t="s">
        <v>298</v>
      </c>
      <c r="Y81" s="102" t="s">
        <v>299</v>
      </c>
      <c r="Z81" s="102" t="s">
        <v>286</v>
      </c>
    </row>
    <row r="82">
      <c r="A82" s="102" t="s">
        <v>276</v>
      </c>
      <c r="B82" s="102" t="s">
        <v>1088</v>
      </c>
      <c r="C82" s="229" t="s">
        <v>1089</v>
      </c>
      <c r="D82" s="102" t="s">
        <v>1082</v>
      </c>
      <c r="G82" s="102" t="s">
        <v>521</v>
      </c>
      <c r="H82" s="102" t="s">
        <v>522</v>
      </c>
      <c r="I82" s="102" t="s">
        <v>284</v>
      </c>
      <c r="J82" s="102" t="s">
        <v>63</v>
      </c>
      <c r="L82" s="229" t="s">
        <v>1083</v>
      </c>
      <c r="M82" s="229" t="s">
        <v>1083</v>
      </c>
      <c r="O82" s="230"/>
      <c r="U82" s="230"/>
      <c r="V82" s="102" t="s">
        <v>1085</v>
      </c>
      <c r="W82" s="102" t="s">
        <v>529</v>
      </c>
      <c r="X82" s="102" t="s">
        <v>298</v>
      </c>
      <c r="Y82" s="102" t="s">
        <v>299</v>
      </c>
      <c r="Z82" s="102" t="s">
        <v>286</v>
      </c>
    </row>
    <row r="83">
      <c r="A83" s="102" t="s">
        <v>276</v>
      </c>
      <c r="B83" s="102" t="s">
        <v>1091</v>
      </c>
      <c r="C83" s="229" t="s">
        <v>1092</v>
      </c>
      <c r="D83" s="102" t="s">
        <v>1093</v>
      </c>
      <c r="E83" s="102" t="s">
        <v>521</v>
      </c>
      <c r="F83" s="102" t="s">
        <v>522</v>
      </c>
      <c r="G83" s="102" t="s">
        <v>521</v>
      </c>
      <c r="H83" s="102" t="s">
        <v>522</v>
      </c>
      <c r="I83" s="102" t="s">
        <v>284</v>
      </c>
      <c r="J83" s="102" t="s">
        <v>63</v>
      </c>
      <c r="L83" s="229" t="s">
        <v>1094</v>
      </c>
      <c r="M83" s="229" t="s">
        <v>2400</v>
      </c>
      <c r="O83" s="230"/>
      <c r="U83" s="230"/>
      <c r="V83" s="102" t="s">
        <v>1085</v>
      </c>
      <c r="W83" s="102" t="s">
        <v>529</v>
      </c>
      <c r="X83" s="102" t="s">
        <v>298</v>
      </c>
      <c r="Y83" s="102" t="s">
        <v>299</v>
      </c>
      <c r="Z83" s="102" t="s">
        <v>286</v>
      </c>
    </row>
    <row r="84">
      <c r="A84" s="102" t="s">
        <v>276</v>
      </c>
      <c r="B84" s="102" t="s">
        <v>1096</v>
      </c>
      <c r="C84" s="229" t="s">
        <v>1097</v>
      </c>
      <c r="D84" s="102" t="s">
        <v>1098</v>
      </c>
      <c r="E84" s="102" t="s">
        <v>521</v>
      </c>
      <c r="F84" s="102" t="s">
        <v>522</v>
      </c>
      <c r="G84" s="102" t="s">
        <v>521</v>
      </c>
      <c r="H84" s="102" t="s">
        <v>522</v>
      </c>
      <c r="I84" s="102" t="s">
        <v>284</v>
      </c>
      <c r="J84" s="102" t="s">
        <v>63</v>
      </c>
      <c r="L84" s="229" t="s">
        <v>1099</v>
      </c>
      <c r="M84" s="229" t="s">
        <v>2401</v>
      </c>
      <c r="O84" s="230"/>
      <c r="U84" s="230"/>
      <c r="V84" s="102" t="s">
        <v>1085</v>
      </c>
      <c r="W84" s="102" t="s">
        <v>529</v>
      </c>
      <c r="X84" s="102" t="s">
        <v>298</v>
      </c>
      <c r="Y84" s="102" t="s">
        <v>299</v>
      </c>
      <c r="Z84" s="102" t="s">
        <v>286</v>
      </c>
    </row>
    <row r="85">
      <c r="A85" s="102" t="s">
        <v>276</v>
      </c>
      <c r="B85" s="102" t="s">
        <v>1101</v>
      </c>
      <c r="C85" s="229" t="s">
        <v>1102</v>
      </c>
      <c r="D85" s="102" t="s">
        <v>1103</v>
      </c>
      <c r="E85" s="102" t="s">
        <v>521</v>
      </c>
      <c r="F85" s="102" t="s">
        <v>522</v>
      </c>
      <c r="G85" s="102" t="s">
        <v>521</v>
      </c>
      <c r="H85" s="102" t="s">
        <v>522</v>
      </c>
      <c r="I85" s="102" t="s">
        <v>284</v>
      </c>
      <c r="J85" s="102" t="s">
        <v>63</v>
      </c>
      <c r="L85" s="229" t="s">
        <v>1099</v>
      </c>
      <c r="M85" s="229" t="s">
        <v>2401</v>
      </c>
      <c r="O85" s="230"/>
      <c r="U85" s="230"/>
      <c r="V85" s="102" t="s">
        <v>1085</v>
      </c>
      <c r="W85" s="102" t="s">
        <v>529</v>
      </c>
      <c r="X85" s="102" t="s">
        <v>298</v>
      </c>
      <c r="Y85" s="102" t="s">
        <v>299</v>
      </c>
      <c r="Z85" s="102" t="s">
        <v>286</v>
      </c>
    </row>
    <row r="86">
      <c r="A86" s="102" t="s">
        <v>276</v>
      </c>
      <c r="B86" s="102" t="s">
        <v>1104</v>
      </c>
      <c r="C86" s="229" t="s">
        <v>1105</v>
      </c>
      <c r="D86" s="102" t="s">
        <v>1082</v>
      </c>
      <c r="G86" s="102" t="s">
        <v>521</v>
      </c>
      <c r="H86" s="102" t="s">
        <v>522</v>
      </c>
      <c r="I86" s="102" t="s">
        <v>284</v>
      </c>
      <c r="J86" s="102" t="s">
        <v>63</v>
      </c>
      <c r="L86" s="229" t="s">
        <v>1106</v>
      </c>
      <c r="M86" s="229" t="s">
        <v>1106</v>
      </c>
      <c r="O86" s="230"/>
      <c r="U86" s="230"/>
      <c r="V86" s="102" t="s">
        <v>1085</v>
      </c>
      <c r="W86" s="102" t="s">
        <v>529</v>
      </c>
      <c r="X86" s="102" t="s">
        <v>298</v>
      </c>
      <c r="Y86" s="102" t="s">
        <v>299</v>
      </c>
      <c r="Z86" s="102" t="s">
        <v>286</v>
      </c>
    </row>
    <row r="87">
      <c r="A87" s="102" t="s">
        <v>276</v>
      </c>
      <c r="B87" s="102" t="s">
        <v>1108</v>
      </c>
      <c r="C87" s="229" t="s">
        <v>1109</v>
      </c>
      <c r="D87" s="102" t="s">
        <v>1110</v>
      </c>
      <c r="E87" s="102" t="s">
        <v>521</v>
      </c>
      <c r="F87" s="102" t="s">
        <v>522</v>
      </c>
      <c r="G87" s="102" t="s">
        <v>521</v>
      </c>
      <c r="H87" s="102" t="s">
        <v>522</v>
      </c>
      <c r="I87" s="102" t="s">
        <v>284</v>
      </c>
      <c r="J87" s="102" t="s">
        <v>26</v>
      </c>
      <c r="L87" s="229" t="s">
        <v>1111</v>
      </c>
      <c r="M87" s="229" t="s">
        <v>1112</v>
      </c>
      <c r="O87" s="230"/>
      <c r="U87" s="230"/>
      <c r="V87" s="102" t="s">
        <v>1085</v>
      </c>
      <c r="W87" s="102" t="s">
        <v>529</v>
      </c>
      <c r="X87" s="102" t="s">
        <v>298</v>
      </c>
      <c r="Y87" s="102" t="s">
        <v>299</v>
      </c>
      <c r="Z87" s="102" t="s">
        <v>286</v>
      </c>
    </row>
    <row r="88">
      <c r="A88" s="102" t="s">
        <v>310</v>
      </c>
      <c r="B88" s="102" t="s">
        <v>1875</v>
      </c>
      <c r="C88" s="229" t="s">
        <v>1876</v>
      </c>
      <c r="D88" s="102" t="s">
        <v>1877</v>
      </c>
      <c r="E88" s="102" t="s">
        <v>584</v>
      </c>
      <c r="F88" s="102" t="s">
        <v>585</v>
      </c>
      <c r="G88" s="102" t="s">
        <v>282</v>
      </c>
      <c r="H88" s="102" t="s">
        <v>283</v>
      </c>
      <c r="I88" s="102" t="s">
        <v>515</v>
      </c>
      <c r="J88" s="102" t="s">
        <v>454</v>
      </c>
      <c r="L88" s="229" t="s">
        <v>1878</v>
      </c>
      <c r="M88" s="229" t="s">
        <v>2402</v>
      </c>
      <c r="N88" s="229" t="s">
        <v>1170</v>
      </c>
      <c r="O88" s="102">
        <v>2.0</v>
      </c>
      <c r="U88" s="230"/>
      <c r="V88" s="102" t="s">
        <v>299</v>
      </c>
      <c r="W88" s="102" t="s">
        <v>286</v>
      </c>
    </row>
    <row r="89">
      <c r="A89" s="102" t="s">
        <v>276</v>
      </c>
      <c r="B89" s="102" t="s">
        <v>1879</v>
      </c>
      <c r="C89" s="229" t="s">
        <v>1880</v>
      </c>
      <c r="D89" s="102" t="s">
        <v>279</v>
      </c>
      <c r="E89" s="102" t="s">
        <v>280</v>
      </c>
      <c r="F89" s="102" t="s">
        <v>281</v>
      </c>
      <c r="G89" s="102" t="s">
        <v>282</v>
      </c>
      <c r="H89" s="102" t="s">
        <v>283</v>
      </c>
      <c r="I89" s="102" t="s">
        <v>284</v>
      </c>
      <c r="J89" s="102" t="s">
        <v>34</v>
      </c>
      <c r="L89" s="229" t="s">
        <v>1881</v>
      </c>
      <c r="M89" s="229" t="s">
        <v>1885</v>
      </c>
      <c r="O89" s="230"/>
      <c r="U89" s="230"/>
      <c r="V89" s="102" t="s">
        <v>299</v>
      </c>
      <c r="W89" s="102" t="s">
        <v>286</v>
      </c>
    </row>
    <row r="90">
      <c r="A90" s="102" t="s">
        <v>276</v>
      </c>
      <c r="B90" s="102" t="s">
        <v>1883</v>
      </c>
      <c r="C90" s="229" t="s">
        <v>1884</v>
      </c>
      <c r="D90" s="102" t="s">
        <v>291</v>
      </c>
      <c r="E90" s="102" t="s">
        <v>280</v>
      </c>
      <c r="F90" s="102" t="s">
        <v>281</v>
      </c>
      <c r="G90" s="102" t="s">
        <v>282</v>
      </c>
      <c r="H90" s="102" t="s">
        <v>283</v>
      </c>
      <c r="I90" s="102" t="s">
        <v>284</v>
      </c>
      <c r="J90" s="102" t="s">
        <v>26</v>
      </c>
      <c r="L90" s="229" t="s">
        <v>1881</v>
      </c>
      <c r="M90" s="229" t="s">
        <v>1885</v>
      </c>
      <c r="O90" s="230"/>
      <c r="U90" s="230"/>
      <c r="V90" s="102" t="s">
        <v>299</v>
      </c>
      <c r="W90" s="102" t="s">
        <v>286</v>
      </c>
    </row>
    <row r="91">
      <c r="A91" s="102" t="s">
        <v>276</v>
      </c>
      <c r="B91" s="102" t="s">
        <v>2403</v>
      </c>
      <c r="C91" s="229" t="s">
        <v>2404</v>
      </c>
      <c r="D91" s="102" t="s">
        <v>279</v>
      </c>
      <c r="E91" s="102" t="s">
        <v>280</v>
      </c>
      <c r="F91" s="102" t="s">
        <v>281</v>
      </c>
      <c r="G91" s="102" t="s">
        <v>304</v>
      </c>
      <c r="H91" s="102" t="s">
        <v>305</v>
      </c>
      <c r="I91" s="102" t="s">
        <v>284</v>
      </c>
      <c r="J91" s="102" t="s">
        <v>34</v>
      </c>
      <c r="L91" s="229" t="s">
        <v>2405</v>
      </c>
      <c r="M91" s="229" t="s">
        <v>2406</v>
      </c>
      <c r="O91" s="230"/>
      <c r="U91" s="230"/>
      <c r="V91" s="102" t="s">
        <v>299</v>
      </c>
      <c r="W91" s="102" t="s">
        <v>286</v>
      </c>
    </row>
    <row r="92">
      <c r="A92" s="102" t="s">
        <v>276</v>
      </c>
      <c r="B92" s="102" t="s">
        <v>2407</v>
      </c>
      <c r="C92" s="229" t="s">
        <v>2408</v>
      </c>
      <c r="D92" s="102" t="s">
        <v>291</v>
      </c>
      <c r="E92" s="102" t="s">
        <v>280</v>
      </c>
      <c r="F92" s="102" t="s">
        <v>281</v>
      </c>
      <c r="G92" s="102" t="s">
        <v>304</v>
      </c>
      <c r="H92" s="102" t="s">
        <v>305</v>
      </c>
      <c r="I92" s="102" t="s">
        <v>284</v>
      </c>
      <c r="J92" s="102" t="s">
        <v>26</v>
      </c>
      <c r="L92" s="229" t="s">
        <v>2405</v>
      </c>
      <c r="M92" s="229" t="s">
        <v>2406</v>
      </c>
      <c r="O92" s="230"/>
      <c r="U92" s="230"/>
      <c r="V92" s="102" t="s">
        <v>299</v>
      </c>
      <c r="W92" s="102" t="s">
        <v>286</v>
      </c>
    </row>
    <row r="93">
      <c r="A93" s="102" t="s">
        <v>276</v>
      </c>
      <c r="B93" s="102" t="s">
        <v>1886</v>
      </c>
      <c r="C93" s="229" t="s">
        <v>1887</v>
      </c>
      <c r="D93" s="102" t="s">
        <v>279</v>
      </c>
      <c r="E93" s="102" t="s">
        <v>280</v>
      </c>
      <c r="F93" s="102" t="s">
        <v>281</v>
      </c>
      <c r="G93" s="102" t="s">
        <v>304</v>
      </c>
      <c r="H93" s="102" t="s">
        <v>305</v>
      </c>
      <c r="I93" s="102" t="s">
        <v>284</v>
      </c>
      <c r="J93" s="102" t="s">
        <v>34</v>
      </c>
      <c r="L93" s="229" t="s">
        <v>1888</v>
      </c>
      <c r="M93" s="229" t="s">
        <v>2409</v>
      </c>
      <c r="O93" s="230"/>
      <c r="U93" s="230"/>
      <c r="V93" s="102" t="s">
        <v>299</v>
      </c>
      <c r="W93" s="102" t="s">
        <v>286</v>
      </c>
    </row>
    <row r="94">
      <c r="A94" s="102" t="s">
        <v>276</v>
      </c>
      <c r="B94" s="102" t="s">
        <v>1890</v>
      </c>
      <c r="C94" s="229" t="s">
        <v>1891</v>
      </c>
      <c r="D94" s="102" t="s">
        <v>291</v>
      </c>
      <c r="E94" s="102" t="s">
        <v>280</v>
      </c>
      <c r="F94" s="102" t="s">
        <v>281</v>
      </c>
      <c r="G94" s="102" t="s">
        <v>304</v>
      </c>
      <c r="H94" s="102" t="s">
        <v>305</v>
      </c>
      <c r="I94" s="102" t="s">
        <v>284</v>
      </c>
      <c r="J94" s="102" t="s">
        <v>26</v>
      </c>
      <c r="L94" s="229" t="s">
        <v>1888</v>
      </c>
      <c r="M94" s="229" t="s">
        <v>1892</v>
      </c>
      <c r="O94" s="230"/>
      <c r="U94" s="230"/>
      <c r="V94" s="102" t="s">
        <v>299</v>
      </c>
      <c r="W94" s="102" t="s">
        <v>286</v>
      </c>
    </row>
    <row r="95">
      <c r="A95" s="102" t="s">
        <v>310</v>
      </c>
      <c r="B95" s="102" t="s">
        <v>2410</v>
      </c>
      <c r="C95" s="229" t="s">
        <v>2411</v>
      </c>
      <c r="D95" s="102" t="s">
        <v>2412</v>
      </c>
      <c r="E95" s="102" t="s">
        <v>495</v>
      </c>
      <c r="F95" s="102" t="s">
        <v>496</v>
      </c>
      <c r="G95" s="102" t="s">
        <v>304</v>
      </c>
      <c r="H95" s="102" t="s">
        <v>305</v>
      </c>
      <c r="I95" s="102" t="s">
        <v>284</v>
      </c>
      <c r="J95" s="102" t="s">
        <v>454</v>
      </c>
      <c r="L95" s="229" t="s">
        <v>2413</v>
      </c>
      <c r="M95" s="229" t="s">
        <v>2414</v>
      </c>
      <c r="N95" s="229" t="s">
        <v>1170</v>
      </c>
      <c r="O95" s="102">
        <v>1.0</v>
      </c>
      <c r="P95" s="102" t="s">
        <v>777</v>
      </c>
      <c r="U95" s="102">
        <v>7200.0</v>
      </c>
      <c r="V95" s="102" t="s">
        <v>299</v>
      </c>
      <c r="W95" s="102" t="s">
        <v>286</v>
      </c>
    </row>
    <row r="96">
      <c r="A96" s="102" t="s">
        <v>332</v>
      </c>
      <c r="B96" s="102" t="s">
        <v>1113</v>
      </c>
      <c r="C96" s="229" t="s">
        <v>1114</v>
      </c>
      <c r="D96" s="102" t="s">
        <v>1115</v>
      </c>
      <c r="E96" s="102" t="s">
        <v>282</v>
      </c>
      <c r="F96" s="102" t="s">
        <v>283</v>
      </c>
      <c r="G96" s="102" t="s">
        <v>316</v>
      </c>
      <c r="H96" s="102" t="s">
        <v>317</v>
      </c>
      <c r="I96" s="102" t="s">
        <v>284</v>
      </c>
      <c r="J96" s="102" t="s">
        <v>2415</v>
      </c>
      <c r="L96" s="229" t="s">
        <v>1116</v>
      </c>
      <c r="M96" s="229" t="s">
        <v>2320</v>
      </c>
      <c r="N96" s="229" t="s">
        <v>1893</v>
      </c>
      <c r="O96" s="230"/>
      <c r="P96" s="102" t="s">
        <v>783</v>
      </c>
      <c r="Q96" s="102" t="s">
        <v>368</v>
      </c>
      <c r="U96" s="230"/>
      <c r="V96" s="102" t="s">
        <v>394</v>
      </c>
    </row>
    <row r="97">
      <c r="A97" s="102" t="s">
        <v>310</v>
      </c>
      <c r="B97" s="102" t="s">
        <v>1894</v>
      </c>
      <c r="C97" s="229" t="s">
        <v>1895</v>
      </c>
      <c r="D97" s="102" t="s">
        <v>1896</v>
      </c>
      <c r="E97" s="102" t="s">
        <v>495</v>
      </c>
      <c r="F97" s="102" t="s">
        <v>496</v>
      </c>
      <c r="G97" s="102" t="s">
        <v>304</v>
      </c>
      <c r="H97" s="102" t="s">
        <v>305</v>
      </c>
      <c r="I97" s="102" t="s">
        <v>284</v>
      </c>
      <c r="J97" s="102" t="s">
        <v>454</v>
      </c>
      <c r="L97" s="229" t="s">
        <v>1897</v>
      </c>
      <c r="M97" s="229" t="s">
        <v>2416</v>
      </c>
      <c r="N97" s="229" t="s">
        <v>1170</v>
      </c>
      <c r="O97" s="102">
        <v>2.0</v>
      </c>
      <c r="P97" s="102" t="s">
        <v>331</v>
      </c>
      <c r="U97" s="102">
        <v>7200.0</v>
      </c>
      <c r="V97" s="102" t="s">
        <v>299</v>
      </c>
      <c r="W97" s="102" t="s">
        <v>286</v>
      </c>
    </row>
    <row r="98">
      <c r="A98" s="102" t="s">
        <v>310</v>
      </c>
      <c r="B98" s="102" t="s">
        <v>2417</v>
      </c>
      <c r="C98" s="229" t="s">
        <v>2418</v>
      </c>
      <c r="D98" s="102" t="s">
        <v>2419</v>
      </c>
      <c r="E98" s="102" t="s">
        <v>328</v>
      </c>
      <c r="F98" s="102" t="s">
        <v>329</v>
      </c>
      <c r="G98" s="102" t="s">
        <v>282</v>
      </c>
      <c r="H98" s="102" t="s">
        <v>283</v>
      </c>
      <c r="I98" s="102" t="s">
        <v>284</v>
      </c>
      <c r="J98" s="102" t="s">
        <v>26</v>
      </c>
      <c r="L98" s="229" t="s">
        <v>2420</v>
      </c>
      <c r="M98" s="229" t="s">
        <v>2421</v>
      </c>
      <c r="N98" s="229" t="s">
        <v>1170</v>
      </c>
      <c r="O98" s="102">
        <v>1.0</v>
      </c>
      <c r="U98" s="230"/>
      <c r="V98" s="102" t="s">
        <v>299</v>
      </c>
      <c r="W98" s="102" t="s">
        <v>286</v>
      </c>
      <c r="AC98" s="231"/>
    </row>
    <row r="99">
      <c r="A99" s="102" t="s">
        <v>310</v>
      </c>
      <c r="B99" s="102" t="s">
        <v>1898</v>
      </c>
      <c r="C99" s="229" t="s">
        <v>1899</v>
      </c>
      <c r="D99" s="102" t="s">
        <v>1900</v>
      </c>
      <c r="E99" s="102" t="s">
        <v>584</v>
      </c>
      <c r="F99" s="102" t="s">
        <v>585</v>
      </c>
      <c r="G99" s="102" t="s">
        <v>282</v>
      </c>
      <c r="H99" s="102" t="s">
        <v>283</v>
      </c>
      <c r="I99" s="102" t="s">
        <v>284</v>
      </c>
      <c r="J99" s="102" t="s">
        <v>678</v>
      </c>
      <c r="L99" s="229" t="s">
        <v>1901</v>
      </c>
      <c r="M99" s="229" t="s">
        <v>2264</v>
      </c>
      <c r="N99" s="229" t="s">
        <v>1170</v>
      </c>
      <c r="O99" s="102">
        <v>1.0</v>
      </c>
      <c r="P99" s="102" t="s">
        <v>593</v>
      </c>
      <c r="U99" s="230"/>
      <c r="V99" s="102" t="s">
        <v>299</v>
      </c>
      <c r="W99" s="102" t="s">
        <v>286</v>
      </c>
    </row>
    <row r="100">
      <c r="A100" s="102" t="s">
        <v>310</v>
      </c>
      <c r="B100" s="102" t="s">
        <v>1122</v>
      </c>
      <c r="C100" s="229" t="s">
        <v>1123</v>
      </c>
      <c r="D100" s="102" t="s">
        <v>1124</v>
      </c>
      <c r="E100" s="102" t="s">
        <v>328</v>
      </c>
      <c r="F100" s="102" t="s">
        <v>329</v>
      </c>
      <c r="G100" s="102" t="s">
        <v>282</v>
      </c>
      <c r="H100" s="102" t="s">
        <v>283</v>
      </c>
      <c r="I100" s="102" t="s">
        <v>284</v>
      </c>
      <c r="J100" s="102" t="s">
        <v>454</v>
      </c>
      <c r="L100" s="229" t="s">
        <v>1125</v>
      </c>
      <c r="M100" s="229" t="s">
        <v>2422</v>
      </c>
      <c r="N100" s="229" t="s">
        <v>1126</v>
      </c>
      <c r="O100" s="102">
        <v>1.0</v>
      </c>
      <c r="U100" s="230"/>
      <c r="V100" s="102" t="s">
        <v>299</v>
      </c>
      <c r="W100" s="102" t="s">
        <v>286</v>
      </c>
    </row>
    <row r="101">
      <c r="A101" s="102" t="s">
        <v>310</v>
      </c>
      <c r="B101" s="102" t="s">
        <v>1127</v>
      </c>
      <c r="C101" s="229" t="s">
        <v>1128</v>
      </c>
      <c r="D101" s="102" t="s">
        <v>1129</v>
      </c>
      <c r="E101" s="102" t="s">
        <v>328</v>
      </c>
      <c r="F101" s="102" t="s">
        <v>329</v>
      </c>
      <c r="G101" s="102" t="s">
        <v>282</v>
      </c>
      <c r="H101" s="102" t="s">
        <v>283</v>
      </c>
      <c r="I101" s="102" t="s">
        <v>284</v>
      </c>
      <c r="J101" s="102" t="s">
        <v>454</v>
      </c>
      <c r="L101" s="229" t="s">
        <v>1125</v>
      </c>
      <c r="M101" s="229" t="s">
        <v>2422</v>
      </c>
      <c r="N101" s="229" t="s">
        <v>1126</v>
      </c>
      <c r="O101" s="102">
        <v>2.0</v>
      </c>
      <c r="U101" s="230"/>
      <c r="V101" s="102" t="s">
        <v>299</v>
      </c>
      <c r="W101" s="102" t="s">
        <v>286</v>
      </c>
    </row>
    <row r="102">
      <c r="A102" s="102" t="s">
        <v>310</v>
      </c>
      <c r="B102" s="102" t="s">
        <v>1130</v>
      </c>
      <c r="C102" s="229" t="s">
        <v>1131</v>
      </c>
      <c r="D102" s="102" t="s">
        <v>1132</v>
      </c>
      <c r="E102" s="102" t="s">
        <v>513</v>
      </c>
      <c r="F102" s="102" t="s">
        <v>514</v>
      </c>
      <c r="G102" s="102" t="s">
        <v>282</v>
      </c>
      <c r="H102" s="102" t="s">
        <v>283</v>
      </c>
      <c r="I102" s="102" t="s">
        <v>284</v>
      </c>
      <c r="J102" s="102" t="s">
        <v>454</v>
      </c>
      <c r="L102" s="229" t="s">
        <v>1133</v>
      </c>
      <c r="M102" s="229" t="s">
        <v>2422</v>
      </c>
      <c r="N102" s="229" t="s">
        <v>1134</v>
      </c>
      <c r="O102" s="102">
        <v>3.0</v>
      </c>
      <c r="U102" s="230"/>
      <c r="V102" s="102" t="s">
        <v>299</v>
      </c>
      <c r="W102" s="102" t="s">
        <v>286</v>
      </c>
    </row>
    <row r="103">
      <c r="A103" s="102" t="s">
        <v>310</v>
      </c>
      <c r="B103" s="102" t="s">
        <v>1135</v>
      </c>
      <c r="C103" s="229" t="s">
        <v>1136</v>
      </c>
      <c r="D103" s="102" t="s">
        <v>1137</v>
      </c>
      <c r="E103" s="102" t="s">
        <v>513</v>
      </c>
      <c r="F103" s="102" t="s">
        <v>514</v>
      </c>
      <c r="G103" s="102" t="s">
        <v>282</v>
      </c>
      <c r="H103" s="102" t="s">
        <v>283</v>
      </c>
      <c r="I103" s="102" t="s">
        <v>284</v>
      </c>
      <c r="J103" s="102" t="s">
        <v>454</v>
      </c>
      <c r="L103" s="229" t="s">
        <v>1138</v>
      </c>
      <c r="M103" s="229" t="s">
        <v>2423</v>
      </c>
      <c r="N103" s="229" t="s">
        <v>1139</v>
      </c>
      <c r="O103" s="102">
        <v>3.0</v>
      </c>
      <c r="U103" s="230"/>
      <c r="V103" s="102" t="s">
        <v>299</v>
      </c>
      <c r="W103" s="102" t="s">
        <v>286</v>
      </c>
    </row>
    <row r="104">
      <c r="A104" s="102" t="s">
        <v>310</v>
      </c>
      <c r="B104" s="102" t="s">
        <v>1140</v>
      </c>
      <c r="C104" s="229" t="s">
        <v>1141</v>
      </c>
      <c r="D104" s="102" t="s">
        <v>1142</v>
      </c>
      <c r="E104" s="102" t="s">
        <v>328</v>
      </c>
      <c r="F104" s="102" t="s">
        <v>329</v>
      </c>
      <c r="G104" s="102" t="s">
        <v>282</v>
      </c>
      <c r="H104" s="102" t="s">
        <v>283</v>
      </c>
      <c r="I104" s="102" t="s">
        <v>284</v>
      </c>
      <c r="J104" s="102" t="s">
        <v>454</v>
      </c>
      <c r="L104" s="229" t="s">
        <v>1143</v>
      </c>
      <c r="M104" s="229" t="s">
        <v>2399</v>
      </c>
      <c r="N104" s="229" t="s">
        <v>1144</v>
      </c>
      <c r="O104" s="102">
        <v>3.0</v>
      </c>
      <c r="U104" s="230"/>
      <c r="V104" s="102" t="s">
        <v>299</v>
      </c>
      <c r="W104" s="102" t="s">
        <v>286</v>
      </c>
    </row>
    <row r="105">
      <c r="A105" s="102" t="s">
        <v>310</v>
      </c>
      <c r="B105" s="102" t="s">
        <v>2424</v>
      </c>
      <c r="C105" s="229" t="s">
        <v>2425</v>
      </c>
      <c r="D105" s="102" t="s">
        <v>2426</v>
      </c>
      <c r="E105" s="102" t="s">
        <v>564</v>
      </c>
      <c r="F105" s="102" t="s">
        <v>565</v>
      </c>
      <c r="G105" s="102" t="s">
        <v>353</v>
      </c>
      <c r="H105" s="102" t="s">
        <v>354</v>
      </c>
      <c r="I105" s="102" t="s">
        <v>284</v>
      </c>
      <c r="J105" s="102" t="s">
        <v>26</v>
      </c>
      <c r="L105" s="229" t="s">
        <v>2427</v>
      </c>
      <c r="M105" s="229" t="s">
        <v>2428</v>
      </c>
      <c r="N105" s="229" t="s">
        <v>1293</v>
      </c>
      <c r="O105" s="102">
        <v>5.0</v>
      </c>
      <c r="U105" s="102">
        <v>43200.0</v>
      </c>
      <c r="V105" s="102" t="s">
        <v>1205</v>
      </c>
      <c r="W105" s="102" t="s">
        <v>1058</v>
      </c>
      <c r="X105" s="102" t="s">
        <v>1058</v>
      </c>
    </row>
    <row r="106">
      <c r="A106" s="102" t="s">
        <v>310</v>
      </c>
      <c r="B106" s="102" t="s">
        <v>2429</v>
      </c>
      <c r="C106" s="229" t="s">
        <v>2430</v>
      </c>
      <c r="D106" s="102" t="s">
        <v>2431</v>
      </c>
      <c r="E106" s="102" t="s">
        <v>495</v>
      </c>
      <c r="F106" s="102" t="s">
        <v>496</v>
      </c>
      <c r="G106" s="102" t="s">
        <v>282</v>
      </c>
      <c r="H106" s="102" t="s">
        <v>283</v>
      </c>
      <c r="I106" s="102" t="s">
        <v>284</v>
      </c>
      <c r="J106" s="102" t="s">
        <v>26</v>
      </c>
      <c r="L106" s="229" t="s">
        <v>2432</v>
      </c>
      <c r="M106" s="229" t="s">
        <v>2433</v>
      </c>
      <c r="N106" s="229" t="s">
        <v>1170</v>
      </c>
      <c r="O106" s="102">
        <v>1.0</v>
      </c>
      <c r="P106" s="102" t="s">
        <v>593</v>
      </c>
      <c r="U106" s="102">
        <v>7200.0</v>
      </c>
      <c r="V106" s="102" t="s">
        <v>299</v>
      </c>
      <c r="W106" s="102" t="s">
        <v>286</v>
      </c>
    </row>
    <row r="107">
      <c r="A107" s="102" t="s">
        <v>310</v>
      </c>
      <c r="B107" s="102" t="s">
        <v>1145</v>
      </c>
      <c r="C107" s="229" t="s">
        <v>1146</v>
      </c>
      <c r="D107" s="102" t="s">
        <v>1147</v>
      </c>
      <c r="E107" s="102" t="s">
        <v>314</v>
      </c>
      <c r="F107" s="102" t="s">
        <v>315</v>
      </c>
      <c r="G107" s="102" t="s">
        <v>314</v>
      </c>
      <c r="H107" s="102" t="s">
        <v>315</v>
      </c>
      <c r="I107" s="102" t="s">
        <v>284</v>
      </c>
      <c r="J107" s="102" t="s">
        <v>454</v>
      </c>
      <c r="L107" s="229" t="s">
        <v>1148</v>
      </c>
      <c r="M107" s="229" t="s">
        <v>2338</v>
      </c>
      <c r="O107" s="102">
        <v>5.0</v>
      </c>
      <c r="U107" s="102">
        <v>57600.0</v>
      </c>
      <c r="V107" s="102" t="s">
        <v>1150</v>
      </c>
      <c r="W107" s="102" t="s">
        <v>1051</v>
      </c>
    </row>
    <row r="108">
      <c r="A108" s="102" t="s">
        <v>310</v>
      </c>
      <c r="B108" s="102" t="s">
        <v>1902</v>
      </c>
      <c r="C108" s="229" t="s">
        <v>1903</v>
      </c>
      <c r="D108" s="102" t="s">
        <v>1904</v>
      </c>
      <c r="E108" s="102" t="s">
        <v>556</v>
      </c>
      <c r="F108" s="102" t="s">
        <v>557</v>
      </c>
      <c r="G108" s="102" t="s">
        <v>353</v>
      </c>
      <c r="H108" s="102" t="s">
        <v>354</v>
      </c>
      <c r="I108" s="102" t="s">
        <v>284</v>
      </c>
      <c r="J108" s="102" t="s">
        <v>454</v>
      </c>
      <c r="L108" s="229" t="s">
        <v>1905</v>
      </c>
      <c r="M108" s="229" t="s">
        <v>2434</v>
      </c>
      <c r="N108" s="229" t="s">
        <v>1323</v>
      </c>
      <c r="O108" s="230"/>
      <c r="U108" s="230"/>
      <c r="V108" s="102" t="s">
        <v>1204</v>
      </c>
      <c r="W108" s="102" t="s">
        <v>1205</v>
      </c>
      <c r="X108" s="102" t="s">
        <v>1205</v>
      </c>
      <c r="Y108" s="102" t="s">
        <v>1058</v>
      </c>
      <c r="Z108" s="102" t="s">
        <v>1058</v>
      </c>
    </row>
    <row r="109">
      <c r="A109" s="102" t="s">
        <v>310</v>
      </c>
      <c r="B109" s="102" t="s">
        <v>2435</v>
      </c>
      <c r="C109" s="229" t="s">
        <v>2436</v>
      </c>
      <c r="D109" s="102" t="s">
        <v>2437</v>
      </c>
      <c r="E109" s="102" t="s">
        <v>564</v>
      </c>
      <c r="F109" s="102" t="s">
        <v>565</v>
      </c>
      <c r="G109" s="102" t="s">
        <v>353</v>
      </c>
      <c r="H109" s="102" t="s">
        <v>354</v>
      </c>
      <c r="I109" s="102" t="s">
        <v>284</v>
      </c>
      <c r="J109" s="102" t="s">
        <v>26</v>
      </c>
      <c r="L109" s="229" t="s">
        <v>2438</v>
      </c>
      <c r="M109" s="229" t="s">
        <v>2439</v>
      </c>
      <c r="N109" s="229" t="s">
        <v>1323</v>
      </c>
      <c r="O109" s="102">
        <v>2.0</v>
      </c>
      <c r="U109" s="102">
        <v>10800.0</v>
      </c>
      <c r="V109" s="102" t="s">
        <v>1204</v>
      </c>
      <c r="W109" s="102" t="s">
        <v>1205</v>
      </c>
      <c r="X109" s="102" t="s">
        <v>1205</v>
      </c>
      <c r="Y109" s="102" t="s">
        <v>1058</v>
      </c>
      <c r="Z109" s="102" t="s">
        <v>1058</v>
      </c>
    </row>
    <row r="110">
      <c r="A110" s="102" t="s">
        <v>332</v>
      </c>
      <c r="B110" s="102" t="s">
        <v>1151</v>
      </c>
      <c r="C110" s="229" t="s">
        <v>1152</v>
      </c>
      <c r="D110" s="102" t="s">
        <v>1153</v>
      </c>
      <c r="E110" s="102" t="s">
        <v>353</v>
      </c>
      <c r="F110" s="102" t="s">
        <v>354</v>
      </c>
      <c r="G110" s="102" t="s">
        <v>316</v>
      </c>
      <c r="H110" s="102" t="s">
        <v>317</v>
      </c>
      <c r="I110" s="102" t="s">
        <v>284</v>
      </c>
      <c r="J110" s="102" t="s">
        <v>2231</v>
      </c>
      <c r="L110" s="229" t="s">
        <v>1154</v>
      </c>
      <c r="M110" s="229" t="s">
        <v>2320</v>
      </c>
      <c r="O110" s="230"/>
      <c r="P110" s="102" t="s">
        <v>27</v>
      </c>
      <c r="Q110" s="102" t="s">
        <v>538</v>
      </c>
      <c r="R110" s="102" t="s">
        <v>474</v>
      </c>
      <c r="U110" s="230"/>
      <c r="V110" s="102" t="s">
        <v>1155</v>
      </c>
      <c r="W110" s="102" t="s">
        <v>394</v>
      </c>
    </row>
    <row r="111">
      <c r="A111" s="102" t="s">
        <v>310</v>
      </c>
      <c r="B111" s="102" t="s">
        <v>1156</v>
      </c>
      <c r="C111" s="229" t="s">
        <v>1157</v>
      </c>
      <c r="D111" s="102" t="s">
        <v>1158</v>
      </c>
      <c r="E111" s="102" t="s">
        <v>328</v>
      </c>
      <c r="F111" s="102" t="s">
        <v>329</v>
      </c>
      <c r="G111" s="102" t="s">
        <v>282</v>
      </c>
      <c r="H111" s="102" t="s">
        <v>283</v>
      </c>
      <c r="I111" s="102" t="s">
        <v>284</v>
      </c>
      <c r="J111" s="102" t="s">
        <v>454</v>
      </c>
      <c r="L111" s="229" t="s">
        <v>1159</v>
      </c>
      <c r="M111" s="229" t="s">
        <v>2399</v>
      </c>
      <c r="N111" s="229" t="s">
        <v>1160</v>
      </c>
      <c r="O111" s="102">
        <v>3.0</v>
      </c>
      <c r="U111" s="230"/>
      <c r="V111" s="102" t="s">
        <v>299</v>
      </c>
      <c r="W111" s="102" t="s">
        <v>286</v>
      </c>
    </row>
    <row r="112">
      <c r="A112" s="102" t="s">
        <v>310</v>
      </c>
      <c r="B112" s="102" t="s">
        <v>1161</v>
      </c>
      <c r="C112" s="229" t="s">
        <v>1162</v>
      </c>
      <c r="D112" s="102" t="s">
        <v>1163</v>
      </c>
      <c r="E112" s="102" t="s">
        <v>328</v>
      </c>
      <c r="F112" s="102" t="s">
        <v>329</v>
      </c>
      <c r="G112" s="102" t="s">
        <v>282</v>
      </c>
      <c r="H112" s="102" t="s">
        <v>283</v>
      </c>
      <c r="I112" s="102" t="s">
        <v>284</v>
      </c>
      <c r="J112" s="102" t="s">
        <v>454</v>
      </c>
      <c r="L112" s="229" t="s">
        <v>1164</v>
      </c>
      <c r="M112" s="229" t="s">
        <v>2399</v>
      </c>
      <c r="N112" s="229" t="s">
        <v>1165</v>
      </c>
      <c r="O112" s="102">
        <v>3.0</v>
      </c>
      <c r="U112" s="230"/>
      <c r="V112" s="102" t="s">
        <v>299</v>
      </c>
      <c r="W112" s="102" t="s">
        <v>286</v>
      </c>
    </row>
    <row r="113">
      <c r="A113" s="102" t="s">
        <v>310</v>
      </c>
      <c r="B113" s="102" t="s">
        <v>1166</v>
      </c>
      <c r="C113" s="229" t="s">
        <v>1167</v>
      </c>
      <c r="D113" s="102" t="s">
        <v>1168</v>
      </c>
      <c r="E113" s="102" t="s">
        <v>584</v>
      </c>
      <c r="F113" s="102" t="s">
        <v>585</v>
      </c>
      <c r="G113" s="102" t="s">
        <v>282</v>
      </c>
      <c r="H113" s="102" t="s">
        <v>283</v>
      </c>
      <c r="I113" s="102" t="s">
        <v>284</v>
      </c>
      <c r="J113" s="102" t="s">
        <v>454</v>
      </c>
      <c r="L113" s="229" t="s">
        <v>1169</v>
      </c>
      <c r="M113" s="229" t="s">
        <v>2289</v>
      </c>
      <c r="N113" s="229" t="s">
        <v>1170</v>
      </c>
      <c r="O113" s="102">
        <v>1.0</v>
      </c>
      <c r="P113" s="102" t="s">
        <v>1015</v>
      </c>
      <c r="U113" s="230"/>
      <c r="V113" s="102" t="s">
        <v>299</v>
      </c>
      <c r="W113" s="102" t="s">
        <v>286</v>
      </c>
    </row>
    <row r="114">
      <c r="A114" s="102" t="s">
        <v>310</v>
      </c>
      <c r="B114" s="102" t="s">
        <v>1908</v>
      </c>
      <c r="C114" s="229" t="s">
        <v>1909</v>
      </c>
      <c r="D114" s="102" t="s">
        <v>1910</v>
      </c>
      <c r="E114" s="102" t="s">
        <v>584</v>
      </c>
      <c r="F114" s="102" t="s">
        <v>585</v>
      </c>
      <c r="G114" s="102" t="s">
        <v>282</v>
      </c>
      <c r="H114" s="102" t="s">
        <v>283</v>
      </c>
      <c r="I114" s="102" t="s">
        <v>284</v>
      </c>
      <c r="J114" s="102" t="s">
        <v>454</v>
      </c>
      <c r="L114" s="229" t="s">
        <v>1911</v>
      </c>
      <c r="M114" s="229" t="s">
        <v>2416</v>
      </c>
      <c r="N114" s="229" t="s">
        <v>1304</v>
      </c>
      <c r="O114" s="102">
        <v>3.0</v>
      </c>
      <c r="P114" s="102" t="s">
        <v>331</v>
      </c>
      <c r="U114" s="230"/>
      <c r="V114" s="102" t="s">
        <v>298</v>
      </c>
      <c r="W114" s="102" t="s">
        <v>299</v>
      </c>
      <c r="X114" s="102" t="s">
        <v>286</v>
      </c>
    </row>
    <row r="115">
      <c r="A115" s="102" t="s">
        <v>310</v>
      </c>
      <c r="B115" s="102" t="s">
        <v>1913</v>
      </c>
      <c r="C115" s="229" t="s">
        <v>1914</v>
      </c>
      <c r="D115" s="102" t="s">
        <v>1915</v>
      </c>
      <c r="E115" s="102" t="s">
        <v>282</v>
      </c>
      <c r="F115" s="102" t="s">
        <v>283</v>
      </c>
      <c r="G115" s="102" t="s">
        <v>282</v>
      </c>
      <c r="H115" s="102" t="s">
        <v>283</v>
      </c>
      <c r="I115" s="102" t="s">
        <v>284</v>
      </c>
      <c r="J115" s="102" t="s">
        <v>34</v>
      </c>
      <c r="L115" s="229" t="s">
        <v>1916</v>
      </c>
      <c r="M115" s="229" t="s">
        <v>2440</v>
      </c>
      <c r="O115" s="102">
        <v>5.0</v>
      </c>
      <c r="P115" s="102" t="s">
        <v>593</v>
      </c>
      <c r="U115" s="230"/>
      <c r="V115" s="102" t="s">
        <v>286</v>
      </c>
      <c r="AQ115" s="102"/>
    </row>
    <row r="116">
      <c r="A116" s="102" t="s">
        <v>310</v>
      </c>
      <c r="B116" s="102" t="s">
        <v>1183</v>
      </c>
      <c r="C116" s="229" t="s">
        <v>1184</v>
      </c>
      <c r="D116" s="102" t="s">
        <v>1185</v>
      </c>
      <c r="E116" s="102" t="s">
        <v>495</v>
      </c>
      <c r="F116" s="102" t="s">
        <v>496</v>
      </c>
      <c r="G116" s="102" t="s">
        <v>282</v>
      </c>
      <c r="H116" s="102" t="s">
        <v>283</v>
      </c>
      <c r="I116" s="102" t="s">
        <v>284</v>
      </c>
      <c r="J116" s="102" t="s">
        <v>454</v>
      </c>
      <c r="L116" s="229" t="s">
        <v>1186</v>
      </c>
      <c r="M116" s="229" t="s">
        <v>2289</v>
      </c>
      <c r="N116" s="229" t="s">
        <v>1170</v>
      </c>
      <c r="O116" s="102">
        <v>3.0</v>
      </c>
      <c r="P116" s="102" t="s">
        <v>1015</v>
      </c>
      <c r="U116" s="102">
        <v>14400.0</v>
      </c>
      <c r="V116" s="102" t="s">
        <v>299</v>
      </c>
      <c r="W116" s="102" t="s">
        <v>286</v>
      </c>
      <c r="AQ116" s="102"/>
    </row>
    <row r="117">
      <c r="A117" s="102" t="s">
        <v>310</v>
      </c>
      <c r="B117" s="102" t="s">
        <v>1188</v>
      </c>
      <c r="C117" s="229" t="s">
        <v>1189</v>
      </c>
      <c r="D117" s="102" t="s">
        <v>1190</v>
      </c>
      <c r="E117" s="102" t="s">
        <v>513</v>
      </c>
      <c r="F117" s="102" t="s">
        <v>514</v>
      </c>
      <c r="G117" s="102" t="s">
        <v>282</v>
      </c>
      <c r="H117" s="102" t="s">
        <v>283</v>
      </c>
      <c r="I117" s="102" t="s">
        <v>284</v>
      </c>
      <c r="J117" s="102" t="s">
        <v>355</v>
      </c>
      <c r="L117" s="229" t="s">
        <v>1191</v>
      </c>
      <c r="M117" s="229" t="s">
        <v>2289</v>
      </c>
      <c r="N117" s="229" t="s">
        <v>1192</v>
      </c>
      <c r="O117" s="102">
        <v>1.0</v>
      </c>
      <c r="P117" s="102" t="s">
        <v>1015</v>
      </c>
      <c r="U117" s="102">
        <v>7200.0</v>
      </c>
      <c r="V117" s="102" t="s">
        <v>286</v>
      </c>
      <c r="AQ117" s="102"/>
    </row>
    <row r="118">
      <c r="A118" s="102" t="s">
        <v>310</v>
      </c>
      <c r="B118" s="102" t="s">
        <v>1918</v>
      </c>
      <c r="C118" s="229" t="s">
        <v>1919</v>
      </c>
      <c r="D118" s="102" t="s">
        <v>1920</v>
      </c>
      <c r="E118" s="102" t="s">
        <v>556</v>
      </c>
      <c r="F118" s="102" t="s">
        <v>557</v>
      </c>
      <c r="G118" s="102" t="s">
        <v>353</v>
      </c>
      <c r="H118" s="102" t="s">
        <v>354</v>
      </c>
      <c r="I118" s="102" t="s">
        <v>1921</v>
      </c>
      <c r="J118" s="102" t="s">
        <v>454</v>
      </c>
      <c r="L118" s="229" t="s">
        <v>1922</v>
      </c>
      <c r="M118" s="229" t="s">
        <v>2441</v>
      </c>
      <c r="N118" s="229" t="s">
        <v>1170</v>
      </c>
      <c r="O118" s="102">
        <v>5.0</v>
      </c>
      <c r="U118" s="102">
        <v>57600.0</v>
      </c>
      <c r="V118" s="102" t="s">
        <v>1205</v>
      </c>
      <c r="W118" s="102" t="s">
        <v>1205</v>
      </c>
      <c r="X118" s="102" t="s">
        <v>1058</v>
      </c>
      <c r="Y118" s="102" t="s">
        <v>1058</v>
      </c>
      <c r="AQ118" s="102"/>
    </row>
    <row r="119">
      <c r="A119" s="102" t="s">
        <v>310</v>
      </c>
      <c r="B119" s="102" t="s">
        <v>1923</v>
      </c>
      <c r="C119" s="229" t="s">
        <v>1924</v>
      </c>
      <c r="D119" s="102" t="s">
        <v>1925</v>
      </c>
      <c r="E119" s="102" t="s">
        <v>564</v>
      </c>
      <c r="F119" s="102" t="s">
        <v>565</v>
      </c>
      <c r="G119" s="102" t="s">
        <v>353</v>
      </c>
      <c r="H119" s="102" t="s">
        <v>354</v>
      </c>
      <c r="I119" s="102" t="s">
        <v>284</v>
      </c>
      <c r="J119" s="102" t="s">
        <v>454</v>
      </c>
      <c r="L119" s="229" t="s">
        <v>1922</v>
      </c>
      <c r="M119" s="229" t="s">
        <v>2442</v>
      </c>
      <c r="N119" s="229" t="s">
        <v>1893</v>
      </c>
      <c r="O119" s="102">
        <v>5.0</v>
      </c>
      <c r="U119" s="102">
        <v>43200.0</v>
      </c>
      <c r="V119" s="102" t="s">
        <v>1205</v>
      </c>
      <c r="W119" s="102" t="s">
        <v>1058</v>
      </c>
      <c r="X119" s="102" t="s">
        <v>1058</v>
      </c>
      <c r="AQ119" s="102"/>
    </row>
    <row r="120">
      <c r="A120" s="102" t="s">
        <v>310</v>
      </c>
      <c r="B120" s="102" t="s">
        <v>1926</v>
      </c>
      <c r="C120" s="229" t="s">
        <v>1927</v>
      </c>
      <c r="D120" s="102" t="s">
        <v>1928</v>
      </c>
      <c r="E120" s="102" t="s">
        <v>564</v>
      </c>
      <c r="F120" s="102" t="s">
        <v>565</v>
      </c>
      <c r="G120" s="102" t="s">
        <v>353</v>
      </c>
      <c r="H120" s="102" t="s">
        <v>354</v>
      </c>
      <c r="I120" s="102" t="s">
        <v>284</v>
      </c>
      <c r="J120" s="102" t="s">
        <v>454</v>
      </c>
      <c r="L120" s="229" t="s">
        <v>1922</v>
      </c>
      <c r="M120" s="229" t="s">
        <v>2443</v>
      </c>
      <c r="N120" s="229" t="s">
        <v>1170</v>
      </c>
      <c r="O120" s="102">
        <v>5.0</v>
      </c>
      <c r="U120" s="102">
        <v>43200.0</v>
      </c>
      <c r="V120" s="102" t="s">
        <v>1205</v>
      </c>
      <c r="W120" s="102" t="s">
        <v>1205</v>
      </c>
      <c r="X120" s="102" t="s">
        <v>1058</v>
      </c>
      <c r="Y120" s="102" t="s">
        <v>1058</v>
      </c>
    </row>
    <row r="121">
      <c r="A121" s="102" t="s">
        <v>310</v>
      </c>
      <c r="B121" s="102" t="s">
        <v>1929</v>
      </c>
      <c r="C121" s="229" t="s">
        <v>1930</v>
      </c>
      <c r="D121" s="102" t="s">
        <v>1931</v>
      </c>
      <c r="E121" s="102" t="s">
        <v>564</v>
      </c>
      <c r="F121" s="102" t="s">
        <v>565</v>
      </c>
      <c r="G121" s="102" t="s">
        <v>353</v>
      </c>
      <c r="H121" s="102" t="s">
        <v>354</v>
      </c>
      <c r="I121" s="102" t="s">
        <v>284</v>
      </c>
      <c r="J121" s="102" t="s">
        <v>454</v>
      </c>
      <c r="L121" s="229" t="s">
        <v>1932</v>
      </c>
      <c r="M121" s="229" t="s">
        <v>2444</v>
      </c>
      <c r="N121" s="229" t="s">
        <v>1144</v>
      </c>
      <c r="O121" s="102">
        <v>5.0</v>
      </c>
      <c r="P121" s="102" t="s">
        <v>593</v>
      </c>
      <c r="U121" s="102">
        <v>43200.0</v>
      </c>
      <c r="V121" s="102" t="s">
        <v>1205</v>
      </c>
      <c r="W121" s="102" t="s">
        <v>1205</v>
      </c>
      <c r="X121" s="102" t="s">
        <v>1058</v>
      </c>
      <c r="Y121" s="102" t="s">
        <v>1058</v>
      </c>
      <c r="AP121" s="102"/>
      <c r="AQ121" s="102"/>
      <c r="AR121" s="102"/>
    </row>
    <row r="122">
      <c r="A122" s="102" t="s">
        <v>310</v>
      </c>
      <c r="B122" s="102" t="s">
        <v>1933</v>
      </c>
      <c r="C122" s="229" t="s">
        <v>1934</v>
      </c>
      <c r="D122" s="102" t="s">
        <v>1935</v>
      </c>
      <c r="E122" s="102" t="s">
        <v>564</v>
      </c>
      <c r="F122" s="102" t="s">
        <v>565</v>
      </c>
      <c r="G122" s="102" t="s">
        <v>353</v>
      </c>
      <c r="H122" s="102" t="s">
        <v>354</v>
      </c>
      <c r="I122" s="102" t="s">
        <v>284</v>
      </c>
      <c r="J122" s="102" t="s">
        <v>454</v>
      </c>
      <c r="L122" s="229" t="s">
        <v>1936</v>
      </c>
      <c r="M122" s="229" t="s">
        <v>2445</v>
      </c>
      <c r="N122" s="229" t="s">
        <v>1275</v>
      </c>
      <c r="O122" s="102">
        <v>3.0</v>
      </c>
      <c r="U122" s="230"/>
      <c r="V122" s="102" t="s">
        <v>1204</v>
      </c>
      <c r="W122" s="102" t="s">
        <v>1205</v>
      </c>
      <c r="X122" s="102" t="s">
        <v>1205</v>
      </c>
      <c r="Y122" s="102" t="s">
        <v>1058</v>
      </c>
      <c r="Z122" s="102" t="s">
        <v>1058</v>
      </c>
      <c r="AP122" s="102"/>
      <c r="AQ122" s="102"/>
      <c r="AR122" s="102"/>
    </row>
    <row r="123">
      <c r="A123" s="102" t="s">
        <v>310</v>
      </c>
      <c r="B123" s="102" t="s">
        <v>1937</v>
      </c>
      <c r="C123" s="229" t="s">
        <v>1938</v>
      </c>
      <c r="D123" s="102" t="s">
        <v>1939</v>
      </c>
      <c r="E123" s="102" t="s">
        <v>564</v>
      </c>
      <c r="F123" s="102" t="s">
        <v>565</v>
      </c>
      <c r="G123" s="102" t="s">
        <v>353</v>
      </c>
      <c r="H123" s="102" t="s">
        <v>354</v>
      </c>
      <c r="I123" s="102" t="s">
        <v>284</v>
      </c>
      <c r="J123" s="102" t="s">
        <v>454</v>
      </c>
      <c r="L123" s="229" t="s">
        <v>1940</v>
      </c>
      <c r="M123" s="229" t="s">
        <v>2446</v>
      </c>
      <c r="N123" s="229" t="s">
        <v>1941</v>
      </c>
      <c r="O123" s="102">
        <v>3.0</v>
      </c>
      <c r="P123" s="102" t="s">
        <v>593</v>
      </c>
      <c r="Q123" s="102" t="s">
        <v>1855</v>
      </c>
      <c r="U123" s="102">
        <v>28800.0</v>
      </c>
      <c r="V123" s="102" t="s">
        <v>1203</v>
      </c>
      <c r="W123" s="102" t="s">
        <v>1204</v>
      </c>
      <c r="X123" s="102" t="s">
        <v>1205</v>
      </c>
      <c r="Y123" s="102" t="s">
        <v>1205</v>
      </c>
      <c r="Z123" s="102" t="s">
        <v>1058</v>
      </c>
      <c r="AA123" s="102" t="s">
        <v>1058</v>
      </c>
    </row>
    <row r="124">
      <c r="A124" s="102" t="s">
        <v>310</v>
      </c>
      <c r="B124" s="102" t="s">
        <v>1193</v>
      </c>
      <c r="C124" s="229" t="s">
        <v>1194</v>
      </c>
      <c r="D124" s="102" t="s">
        <v>1195</v>
      </c>
      <c r="E124" s="102" t="s">
        <v>495</v>
      </c>
      <c r="F124" s="102" t="s">
        <v>496</v>
      </c>
      <c r="G124" s="102" t="s">
        <v>282</v>
      </c>
      <c r="H124" s="102" t="s">
        <v>283</v>
      </c>
      <c r="I124" s="102" t="s">
        <v>284</v>
      </c>
      <c r="J124" s="102" t="s">
        <v>454</v>
      </c>
      <c r="L124" s="229" t="s">
        <v>1196</v>
      </c>
      <c r="M124" s="229" t="s">
        <v>2289</v>
      </c>
      <c r="N124" s="229" t="s">
        <v>1170</v>
      </c>
      <c r="O124" s="102">
        <v>3.0</v>
      </c>
      <c r="P124" s="102" t="s">
        <v>1015</v>
      </c>
      <c r="U124" s="102">
        <v>14400.0</v>
      </c>
      <c r="V124" s="102" t="s">
        <v>299</v>
      </c>
      <c r="W124" s="102" t="s">
        <v>286</v>
      </c>
      <c r="AP124" s="102"/>
      <c r="AQ124" s="102"/>
    </row>
    <row r="125">
      <c r="A125" s="102" t="s">
        <v>310</v>
      </c>
      <c r="B125" s="102" t="s">
        <v>1942</v>
      </c>
      <c r="C125" s="229" t="s">
        <v>1943</v>
      </c>
      <c r="D125" s="102" t="s">
        <v>1944</v>
      </c>
      <c r="E125" s="102" t="s">
        <v>584</v>
      </c>
      <c r="F125" s="102" t="s">
        <v>585</v>
      </c>
      <c r="G125" s="102" t="s">
        <v>282</v>
      </c>
      <c r="H125" s="102" t="s">
        <v>283</v>
      </c>
      <c r="I125" s="102" t="s">
        <v>284</v>
      </c>
      <c r="J125" s="102" t="s">
        <v>454</v>
      </c>
      <c r="L125" s="229" t="s">
        <v>1945</v>
      </c>
      <c r="M125" s="229" t="s">
        <v>2399</v>
      </c>
      <c r="O125" s="102">
        <v>3.0</v>
      </c>
      <c r="U125" s="230"/>
      <c r="V125" s="102" t="s">
        <v>298</v>
      </c>
      <c r="W125" s="102" t="s">
        <v>299</v>
      </c>
      <c r="X125" s="102" t="s">
        <v>286</v>
      </c>
      <c r="AP125" s="102"/>
      <c r="AQ125" s="102"/>
    </row>
    <row r="126">
      <c r="A126" s="102" t="s">
        <v>310</v>
      </c>
      <c r="B126" s="102" t="s">
        <v>2447</v>
      </c>
      <c r="C126" s="229" t="s">
        <v>2448</v>
      </c>
      <c r="D126" s="102" t="s">
        <v>2449</v>
      </c>
      <c r="E126" s="102" t="s">
        <v>353</v>
      </c>
      <c r="F126" s="102" t="s">
        <v>354</v>
      </c>
      <c r="G126" s="102" t="s">
        <v>314</v>
      </c>
      <c r="H126" s="102" t="s">
        <v>315</v>
      </c>
      <c r="I126" s="102" t="s">
        <v>648</v>
      </c>
      <c r="J126" s="102" t="s">
        <v>26</v>
      </c>
      <c r="L126" s="229" t="s">
        <v>2450</v>
      </c>
      <c r="M126" s="229" t="s">
        <v>2451</v>
      </c>
      <c r="O126" s="102">
        <v>8.0</v>
      </c>
      <c r="U126" s="230"/>
      <c r="V126" s="102" t="s">
        <v>1155</v>
      </c>
      <c r="W126" s="102" t="s">
        <v>394</v>
      </c>
      <c r="AP126" s="102"/>
      <c r="AQ126" s="102"/>
    </row>
    <row r="127">
      <c r="A127" s="102" t="s">
        <v>310</v>
      </c>
      <c r="B127" s="102" t="s">
        <v>2452</v>
      </c>
      <c r="C127" s="229" t="s">
        <v>2453</v>
      </c>
      <c r="D127" s="102" t="s">
        <v>2454</v>
      </c>
      <c r="E127" s="102" t="s">
        <v>353</v>
      </c>
      <c r="F127" s="102" t="s">
        <v>354</v>
      </c>
      <c r="G127" s="102" t="s">
        <v>314</v>
      </c>
      <c r="H127" s="102" t="s">
        <v>315</v>
      </c>
      <c r="I127" s="102" t="s">
        <v>648</v>
      </c>
      <c r="J127" s="102" t="s">
        <v>26</v>
      </c>
      <c r="L127" s="229" t="s">
        <v>2455</v>
      </c>
      <c r="M127" s="229" t="s">
        <v>2456</v>
      </c>
      <c r="O127" s="102">
        <v>5.0</v>
      </c>
      <c r="U127" s="230"/>
      <c r="V127" s="102" t="s">
        <v>1964</v>
      </c>
      <c r="W127" s="102" t="s">
        <v>2457</v>
      </c>
      <c r="X127" s="102" t="s">
        <v>1155</v>
      </c>
      <c r="Y127" s="102" t="s">
        <v>394</v>
      </c>
      <c r="AP127" s="102"/>
      <c r="AQ127" s="102"/>
    </row>
    <row r="128">
      <c r="A128" s="102" t="s">
        <v>630</v>
      </c>
      <c r="B128" s="102" t="s">
        <v>1198</v>
      </c>
      <c r="C128" s="229" t="s">
        <v>1199</v>
      </c>
      <c r="D128" s="102" t="s">
        <v>1200</v>
      </c>
      <c r="G128" s="102" t="s">
        <v>353</v>
      </c>
      <c r="H128" s="102" t="s">
        <v>354</v>
      </c>
      <c r="I128" s="102" t="s">
        <v>284</v>
      </c>
      <c r="J128" s="102" t="s">
        <v>63</v>
      </c>
      <c r="L128" s="229" t="s">
        <v>1201</v>
      </c>
      <c r="M128" s="229" t="s">
        <v>2446</v>
      </c>
      <c r="N128" s="229" t="s">
        <v>1202</v>
      </c>
      <c r="O128" s="230"/>
      <c r="U128" s="230"/>
      <c r="V128" s="102" t="s">
        <v>1203</v>
      </c>
      <c r="W128" s="102" t="s">
        <v>1204</v>
      </c>
      <c r="X128" s="102" t="s">
        <v>1205</v>
      </c>
      <c r="Y128" s="102" t="s">
        <v>1205</v>
      </c>
      <c r="Z128" s="102" t="s">
        <v>1058</v>
      </c>
      <c r="AA128" s="102" t="s">
        <v>1058</v>
      </c>
      <c r="AP128" s="102"/>
      <c r="AQ128" s="102"/>
    </row>
    <row r="129">
      <c r="A129" s="102" t="s">
        <v>310</v>
      </c>
      <c r="B129" s="102" t="s">
        <v>1947</v>
      </c>
      <c r="C129" s="229" t="s">
        <v>1948</v>
      </c>
      <c r="D129" s="102" t="s">
        <v>1949</v>
      </c>
      <c r="E129" s="102" t="s">
        <v>556</v>
      </c>
      <c r="F129" s="102" t="s">
        <v>557</v>
      </c>
      <c r="G129" s="102" t="s">
        <v>282</v>
      </c>
      <c r="H129" s="102" t="s">
        <v>283</v>
      </c>
      <c r="I129" s="102" t="s">
        <v>648</v>
      </c>
      <c r="J129" s="102" t="s">
        <v>454</v>
      </c>
      <c r="L129" s="229" t="s">
        <v>1950</v>
      </c>
      <c r="M129" s="229" t="s">
        <v>2399</v>
      </c>
      <c r="N129" s="229" t="s">
        <v>1202</v>
      </c>
      <c r="O129" s="102">
        <v>5.0</v>
      </c>
      <c r="U129" s="102">
        <v>57600.0</v>
      </c>
      <c r="V129" s="102" t="s">
        <v>529</v>
      </c>
      <c r="W129" s="102" t="s">
        <v>298</v>
      </c>
      <c r="X129" s="102" t="s">
        <v>299</v>
      </c>
      <c r="Y129" s="102" t="s">
        <v>286</v>
      </c>
      <c r="AP129" s="102"/>
      <c r="AQ129" s="102"/>
    </row>
    <row r="130">
      <c r="A130" s="102" t="s">
        <v>276</v>
      </c>
      <c r="B130" s="102" t="s">
        <v>2458</v>
      </c>
      <c r="C130" s="229" t="s">
        <v>2459</v>
      </c>
      <c r="D130" s="102" t="s">
        <v>2460</v>
      </c>
      <c r="E130" s="102" t="s">
        <v>584</v>
      </c>
      <c r="F130" s="102" t="s">
        <v>585</v>
      </c>
      <c r="G130" s="102" t="s">
        <v>584</v>
      </c>
      <c r="H130" s="102" t="s">
        <v>585</v>
      </c>
      <c r="I130" s="102" t="s">
        <v>284</v>
      </c>
      <c r="J130" s="102" t="s">
        <v>26</v>
      </c>
      <c r="L130" s="229" t="s">
        <v>2461</v>
      </c>
      <c r="M130" s="229" t="s">
        <v>2462</v>
      </c>
      <c r="O130" s="230"/>
      <c r="U130" s="230"/>
      <c r="V130" s="102" t="s">
        <v>2271</v>
      </c>
      <c r="W130" s="102" t="s">
        <v>2272</v>
      </c>
      <c r="X130" s="102" t="s">
        <v>2273</v>
      </c>
      <c r="Y130" s="102" t="s">
        <v>2274</v>
      </c>
      <c r="Z130" s="102" t="s">
        <v>2275</v>
      </c>
      <c r="AP130" s="102"/>
      <c r="AQ130" s="102"/>
      <c r="AR130" s="102"/>
    </row>
    <row r="131">
      <c r="A131" s="102" t="s">
        <v>276</v>
      </c>
      <c r="B131" s="102" t="s">
        <v>2463</v>
      </c>
      <c r="C131" s="229" t="s">
        <v>2464</v>
      </c>
      <c r="D131" s="102" t="s">
        <v>2465</v>
      </c>
      <c r="E131" s="102" t="s">
        <v>584</v>
      </c>
      <c r="F131" s="102" t="s">
        <v>585</v>
      </c>
      <c r="G131" s="102" t="s">
        <v>584</v>
      </c>
      <c r="H131" s="102" t="s">
        <v>585</v>
      </c>
      <c r="I131" s="102" t="s">
        <v>284</v>
      </c>
      <c r="J131" s="102" t="s">
        <v>26</v>
      </c>
      <c r="L131" s="229" t="s">
        <v>2461</v>
      </c>
      <c r="M131" s="229" t="s">
        <v>2466</v>
      </c>
      <c r="O131" s="230"/>
      <c r="U131" s="102">
        <v>28800.0</v>
      </c>
      <c r="V131" s="102" t="s">
        <v>2271</v>
      </c>
      <c r="W131" s="102" t="s">
        <v>2272</v>
      </c>
      <c r="X131" s="102" t="s">
        <v>2273</v>
      </c>
      <c r="Y131" s="102" t="s">
        <v>2274</v>
      </c>
      <c r="Z131" s="102" t="s">
        <v>2275</v>
      </c>
      <c r="AP131" s="102"/>
      <c r="AQ131" s="102"/>
      <c r="AR131" s="102"/>
    </row>
    <row r="132">
      <c r="A132" s="102" t="s">
        <v>276</v>
      </c>
      <c r="B132" s="102" t="s">
        <v>2467</v>
      </c>
      <c r="C132" s="229" t="s">
        <v>2468</v>
      </c>
      <c r="D132" s="102" t="s">
        <v>2469</v>
      </c>
      <c r="E132" s="102" t="s">
        <v>584</v>
      </c>
      <c r="F132" s="102" t="s">
        <v>585</v>
      </c>
      <c r="G132" s="102" t="s">
        <v>584</v>
      </c>
      <c r="H132" s="102" t="s">
        <v>585</v>
      </c>
      <c r="I132" s="102" t="s">
        <v>284</v>
      </c>
      <c r="J132" s="102" t="s">
        <v>26</v>
      </c>
      <c r="L132" s="229" t="s">
        <v>2470</v>
      </c>
      <c r="M132" s="229" t="s">
        <v>2466</v>
      </c>
      <c r="O132" s="230"/>
      <c r="U132" s="102">
        <v>14400.0</v>
      </c>
      <c r="V132" s="102" t="s">
        <v>2271</v>
      </c>
      <c r="W132" s="102" t="s">
        <v>2272</v>
      </c>
      <c r="X132" s="102" t="s">
        <v>2273</v>
      </c>
      <c r="Y132" s="102" t="s">
        <v>2274</v>
      </c>
      <c r="Z132" s="102" t="s">
        <v>2275</v>
      </c>
      <c r="AP132" s="102"/>
      <c r="AQ132" s="102"/>
      <c r="AR132" s="102"/>
    </row>
    <row r="133">
      <c r="A133" s="102" t="s">
        <v>276</v>
      </c>
      <c r="B133" s="102" t="s">
        <v>2471</v>
      </c>
      <c r="C133" s="229" t="s">
        <v>2472</v>
      </c>
      <c r="D133" s="102" t="s">
        <v>2473</v>
      </c>
      <c r="E133" s="102" t="s">
        <v>584</v>
      </c>
      <c r="F133" s="102" t="s">
        <v>585</v>
      </c>
      <c r="G133" s="102" t="s">
        <v>584</v>
      </c>
      <c r="H133" s="102" t="s">
        <v>585</v>
      </c>
      <c r="I133" s="102" t="s">
        <v>284</v>
      </c>
      <c r="J133" s="102" t="s">
        <v>26</v>
      </c>
      <c r="L133" s="229" t="s">
        <v>2474</v>
      </c>
      <c r="M133" s="229" t="s">
        <v>2466</v>
      </c>
      <c r="O133" s="230"/>
      <c r="U133" s="102">
        <v>43200.0</v>
      </c>
      <c r="V133" s="102" t="s">
        <v>2271</v>
      </c>
      <c r="W133" s="102" t="s">
        <v>2272</v>
      </c>
      <c r="X133" s="102" t="s">
        <v>2273</v>
      </c>
      <c r="Y133" s="102" t="s">
        <v>2274</v>
      </c>
      <c r="Z133" s="102" t="s">
        <v>2275</v>
      </c>
    </row>
    <row r="134">
      <c r="A134" s="102" t="s">
        <v>310</v>
      </c>
      <c r="B134" s="102" t="s">
        <v>1951</v>
      </c>
      <c r="C134" s="229" t="s">
        <v>1952</v>
      </c>
      <c r="D134" s="102" t="s">
        <v>1953</v>
      </c>
      <c r="E134" s="102" t="s">
        <v>564</v>
      </c>
      <c r="F134" s="102" t="s">
        <v>565</v>
      </c>
      <c r="G134" s="102" t="s">
        <v>353</v>
      </c>
      <c r="H134" s="102" t="s">
        <v>354</v>
      </c>
      <c r="I134" s="102" t="s">
        <v>284</v>
      </c>
      <c r="J134" s="102" t="s">
        <v>454</v>
      </c>
      <c r="L134" s="229" t="s">
        <v>1954</v>
      </c>
      <c r="M134" s="229" t="s">
        <v>2446</v>
      </c>
      <c r="N134" s="229" t="s">
        <v>1955</v>
      </c>
      <c r="O134" s="102">
        <v>5.0</v>
      </c>
      <c r="P134" s="102" t="s">
        <v>1855</v>
      </c>
      <c r="U134" s="102">
        <v>43200.0</v>
      </c>
      <c r="V134" s="102" t="s">
        <v>1203</v>
      </c>
      <c r="W134" s="102" t="s">
        <v>1204</v>
      </c>
      <c r="X134" s="102" t="s">
        <v>1205</v>
      </c>
      <c r="Y134" s="102" t="s">
        <v>1205</v>
      </c>
      <c r="Z134" s="102" t="s">
        <v>1058</v>
      </c>
      <c r="AA134" s="102" t="s">
        <v>1058</v>
      </c>
    </row>
    <row r="135">
      <c r="A135" s="102" t="s">
        <v>310</v>
      </c>
      <c r="B135" s="102" t="s">
        <v>1956</v>
      </c>
      <c r="C135" s="229" t="s">
        <v>1957</v>
      </c>
      <c r="D135" s="102" t="s">
        <v>1958</v>
      </c>
      <c r="E135" s="102" t="s">
        <v>282</v>
      </c>
      <c r="F135" s="102" t="s">
        <v>283</v>
      </c>
      <c r="G135" s="102" t="s">
        <v>282</v>
      </c>
      <c r="H135" s="102" t="s">
        <v>283</v>
      </c>
      <c r="I135" s="102" t="s">
        <v>284</v>
      </c>
      <c r="J135" s="102" t="s">
        <v>34</v>
      </c>
      <c r="L135" s="229" t="s">
        <v>1959</v>
      </c>
      <c r="M135" s="229" t="s">
        <v>2264</v>
      </c>
      <c r="O135" s="102">
        <v>13.0</v>
      </c>
      <c r="U135" s="230"/>
      <c r="V135" s="102" t="s">
        <v>286</v>
      </c>
    </row>
    <row r="136">
      <c r="A136" s="102" t="s">
        <v>276</v>
      </c>
      <c r="B136" s="102" t="s">
        <v>2475</v>
      </c>
      <c r="C136" s="229" t="s">
        <v>2476</v>
      </c>
      <c r="D136" s="102" t="s">
        <v>347</v>
      </c>
      <c r="E136" s="102" t="s">
        <v>280</v>
      </c>
      <c r="F136" s="102" t="s">
        <v>281</v>
      </c>
      <c r="G136" s="102" t="s">
        <v>1987</v>
      </c>
      <c r="H136" s="102" t="s">
        <v>1988</v>
      </c>
      <c r="I136" s="102" t="s">
        <v>284</v>
      </c>
      <c r="J136" s="102" t="s">
        <v>26</v>
      </c>
      <c r="L136" s="229" t="s">
        <v>2477</v>
      </c>
      <c r="M136" s="229" t="s">
        <v>2478</v>
      </c>
      <c r="O136" s="230"/>
      <c r="U136" s="230"/>
      <c r="V136" s="102" t="s">
        <v>1085</v>
      </c>
      <c r="W136" s="102" t="s">
        <v>529</v>
      </c>
      <c r="X136" s="102" t="s">
        <v>298</v>
      </c>
      <c r="Y136" s="102" t="s">
        <v>299</v>
      </c>
      <c r="Z136" s="102" t="s">
        <v>286</v>
      </c>
    </row>
    <row r="137">
      <c r="A137" s="102" t="s">
        <v>276</v>
      </c>
      <c r="B137" s="102" t="s">
        <v>2479</v>
      </c>
      <c r="C137" s="229" t="s">
        <v>2480</v>
      </c>
      <c r="D137" s="102" t="s">
        <v>2030</v>
      </c>
      <c r="E137" s="102" t="s">
        <v>280</v>
      </c>
      <c r="F137" s="102" t="s">
        <v>281</v>
      </c>
      <c r="G137" s="102" t="s">
        <v>1987</v>
      </c>
      <c r="H137" s="102" t="s">
        <v>1988</v>
      </c>
      <c r="I137" s="102" t="s">
        <v>284</v>
      </c>
      <c r="J137" s="102" t="s">
        <v>26</v>
      </c>
      <c r="L137" s="229" t="s">
        <v>2477</v>
      </c>
      <c r="M137" s="229" t="s">
        <v>2481</v>
      </c>
      <c r="O137" s="230"/>
      <c r="U137" s="230"/>
      <c r="V137" s="102" t="s">
        <v>1085</v>
      </c>
      <c r="W137" s="102" t="s">
        <v>529</v>
      </c>
      <c r="X137" s="102" t="s">
        <v>298</v>
      </c>
      <c r="Y137" s="102" t="s">
        <v>299</v>
      </c>
      <c r="Z137" s="102" t="s">
        <v>286</v>
      </c>
    </row>
    <row r="138">
      <c r="A138" s="102" t="s">
        <v>332</v>
      </c>
      <c r="B138" s="102" t="s">
        <v>2482</v>
      </c>
      <c r="C138" s="229" t="s">
        <v>2483</v>
      </c>
      <c r="D138" s="102" t="s">
        <v>2484</v>
      </c>
      <c r="E138" s="102" t="s">
        <v>304</v>
      </c>
      <c r="F138" s="102" t="s">
        <v>305</v>
      </c>
      <c r="G138" s="102" t="s">
        <v>2485</v>
      </c>
      <c r="H138" s="102" t="s">
        <v>2486</v>
      </c>
      <c r="I138" s="102" t="s">
        <v>284</v>
      </c>
      <c r="J138" s="102" t="s">
        <v>336</v>
      </c>
      <c r="L138" s="229" t="s">
        <v>2487</v>
      </c>
      <c r="M138" s="229" t="s">
        <v>2320</v>
      </c>
      <c r="O138" s="230"/>
      <c r="U138" s="230"/>
      <c r="V138" s="102" t="s">
        <v>1155</v>
      </c>
      <c r="W138" s="102" t="s">
        <v>1964</v>
      </c>
      <c r="X138" s="102" t="s">
        <v>394</v>
      </c>
    </row>
    <row r="139">
      <c r="A139" s="102" t="s">
        <v>276</v>
      </c>
      <c r="B139" s="102" t="s">
        <v>2488</v>
      </c>
      <c r="C139" s="229" t="s">
        <v>2489</v>
      </c>
      <c r="D139" s="102" t="s">
        <v>347</v>
      </c>
      <c r="E139" s="102" t="s">
        <v>280</v>
      </c>
      <c r="F139" s="102" t="s">
        <v>281</v>
      </c>
      <c r="G139" s="102" t="s">
        <v>1987</v>
      </c>
      <c r="H139" s="102" t="s">
        <v>1988</v>
      </c>
      <c r="I139" s="102" t="s">
        <v>284</v>
      </c>
      <c r="J139" s="102" t="s">
        <v>26</v>
      </c>
      <c r="L139" s="229" t="s">
        <v>2490</v>
      </c>
      <c r="M139" s="229" t="s">
        <v>2491</v>
      </c>
      <c r="O139" s="230"/>
      <c r="U139" s="230"/>
      <c r="V139" s="102" t="s">
        <v>1085</v>
      </c>
      <c r="W139" s="102" t="s">
        <v>529</v>
      </c>
      <c r="X139" s="102" t="s">
        <v>298</v>
      </c>
      <c r="Y139" s="102" t="s">
        <v>299</v>
      </c>
      <c r="Z139" s="102" t="s">
        <v>286</v>
      </c>
    </row>
    <row r="140">
      <c r="A140" s="102" t="s">
        <v>276</v>
      </c>
      <c r="B140" s="102" t="s">
        <v>2492</v>
      </c>
      <c r="C140" s="229" t="s">
        <v>2493</v>
      </c>
      <c r="D140" s="102" t="s">
        <v>2030</v>
      </c>
      <c r="E140" s="102" t="s">
        <v>2494</v>
      </c>
      <c r="F140" s="102" t="s">
        <v>2495</v>
      </c>
      <c r="G140" s="102" t="s">
        <v>1987</v>
      </c>
      <c r="H140" s="102" t="s">
        <v>1988</v>
      </c>
      <c r="I140" s="102" t="s">
        <v>284</v>
      </c>
      <c r="J140" s="102" t="s">
        <v>26</v>
      </c>
      <c r="L140" s="229" t="s">
        <v>2490</v>
      </c>
      <c r="M140" s="229" t="s">
        <v>2496</v>
      </c>
      <c r="O140" s="230"/>
      <c r="U140" s="230"/>
      <c r="V140" s="102" t="s">
        <v>1085</v>
      </c>
      <c r="W140" s="102" t="s">
        <v>529</v>
      </c>
      <c r="X140" s="102" t="s">
        <v>298</v>
      </c>
      <c r="Y140" s="102" t="s">
        <v>299</v>
      </c>
      <c r="Z140" s="102" t="s">
        <v>286</v>
      </c>
    </row>
    <row r="141">
      <c r="A141" s="102" t="s">
        <v>276</v>
      </c>
      <c r="B141" s="102" t="s">
        <v>2497</v>
      </c>
      <c r="C141" s="229" t="s">
        <v>2498</v>
      </c>
      <c r="D141" s="102" t="s">
        <v>347</v>
      </c>
      <c r="E141" s="102" t="s">
        <v>280</v>
      </c>
      <c r="F141" s="102" t="s">
        <v>281</v>
      </c>
      <c r="G141" s="102" t="s">
        <v>1987</v>
      </c>
      <c r="H141" s="102" t="s">
        <v>1988</v>
      </c>
      <c r="I141" s="102" t="s">
        <v>284</v>
      </c>
      <c r="J141" s="102" t="s">
        <v>26</v>
      </c>
      <c r="L141" s="229" t="s">
        <v>2490</v>
      </c>
      <c r="M141" s="229" t="s">
        <v>2499</v>
      </c>
      <c r="O141" s="230"/>
      <c r="U141" s="230"/>
      <c r="V141" s="102" t="s">
        <v>1085</v>
      </c>
      <c r="W141" s="102" t="s">
        <v>529</v>
      </c>
      <c r="X141" s="102" t="s">
        <v>298</v>
      </c>
      <c r="Y141" s="102" t="s">
        <v>299</v>
      </c>
      <c r="Z141" s="102" t="s">
        <v>286</v>
      </c>
    </row>
    <row r="142">
      <c r="A142" s="102" t="s">
        <v>276</v>
      </c>
      <c r="B142" s="102" t="s">
        <v>2500</v>
      </c>
      <c r="C142" s="229" t="s">
        <v>2501</v>
      </c>
      <c r="D142" s="102" t="s">
        <v>2030</v>
      </c>
      <c r="E142" s="102" t="s">
        <v>2494</v>
      </c>
      <c r="F142" s="102" t="s">
        <v>2495</v>
      </c>
      <c r="G142" s="102" t="s">
        <v>1987</v>
      </c>
      <c r="H142" s="102" t="s">
        <v>1988</v>
      </c>
      <c r="I142" s="102" t="s">
        <v>284</v>
      </c>
      <c r="J142" s="102" t="s">
        <v>26</v>
      </c>
      <c r="L142" s="229" t="s">
        <v>2490</v>
      </c>
      <c r="M142" s="229" t="s">
        <v>2496</v>
      </c>
      <c r="O142" s="230"/>
      <c r="U142" s="230"/>
      <c r="V142" s="102" t="s">
        <v>1085</v>
      </c>
      <c r="W142" s="102" t="s">
        <v>529</v>
      </c>
      <c r="X142" s="102" t="s">
        <v>298</v>
      </c>
      <c r="Y142" s="102" t="s">
        <v>299</v>
      </c>
      <c r="Z142" s="102" t="s">
        <v>286</v>
      </c>
    </row>
    <row r="143">
      <c r="A143" s="102" t="s">
        <v>310</v>
      </c>
      <c r="B143" s="102" t="s">
        <v>2502</v>
      </c>
      <c r="C143" s="229" t="s">
        <v>1961</v>
      </c>
      <c r="D143" s="102" t="s">
        <v>1962</v>
      </c>
      <c r="E143" s="102" t="s">
        <v>314</v>
      </c>
      <c r="F143" s="102" t="s">
        <v>315</v>
      </c>
      <c r="G143" s="102" t="s">
        <v>314</v>
      </c>
      <c r="H143" s="102" t="s">
        <v>315</v>
      </c>
      <c r="I143" s="102" t="s">
        <v>284</v>
      </c>
      <c r="J143" s="102" t="s">
        <v>355</v>
      </c>
      <c r="L143" s="229" t="s">
        <v>1963</v>
      </c>
      <c r="M143" s="229" t="s">
        <v>2503</v>
      </c>
      <c r="O143" s="102">
        <v>3.0</v>
      </c>
      <c r="U143" s="230"/>
      <c r="V143" s="102" t="s">
        <v>1964</v>
      </c>
      <c r="W143" s="102" t="s">
        <v>394</v>
      </c>
    </row>
    <row r="144">
      <c r="A144" s="102" t="s">
        <v>310</v>
      </c>
      <c r="B144" s="102" t="s">
        <v>1965</v>
      </c>
      <c r="C144" s="229" t="s">
        <v>1966</v>
      </c>
      <c r="D144" s="102" t="s">
        <v>1967</v>
      </c>
      <c r="E144" s="102" t="s">
        <v>584</v>
      </c>
      <c r="F144" s="102" t="s">
        <v>585</v>
      </c>
      <c r="G144" s="102" t="s">
        <v>282</v>
      </c>
      <c r="H144" s="102" t="s">
        <v>283</v>
      </c>
      <c r="I144" s="102" t="s">
        <v>284</v>
      </c>
      <c r="J144" s="102" t="s">
        <v>454</v>
      </c>
      <c r="L144" s="229" t="s">
        <v>1968</v>
      </c>
      <c r="M144" s="229" t="s">
        <v>2289</v>
      </c>
      <c r="O144" s="102">
        <v>3.0</v>
      </c>
      <c r="P144" s="102" t="s">
        <v>1015</v>
      </c>
      <c r="U144" s="102">
        <v>28800.0</v>
      </c>
      <c r="V144" s="102" t="s">
        <v>529</v>
      </c>
      <c r="W144" s="102" t="s">
        <v>298</v>
      </c>
      <c r="X144" s="102" t="s">
        <v>299</v>
      </c>
      <c r="Y144" s="102" t="s">
        <v>286</v>
      </c>
    </row>
    <row r="145">
      <c r="A145" s="102" t="s">
        <v>310</v>
      </c>
      <c r="B145" s="102" t="s">
        <v>2504</v>
      </c>
      <c r="C145" s="229" t="s">
        <v>2505</v>
      </c>
      <c r="D145" s="102" t="s">
        <v>2506</v>
      </c>
      <c r="E145" s="102" t="s">
        <v>556</v>
      </c>
      <c r="F145" s="102" t="s">
        <v>557</v>
      </c>
      <c r="G145" s="102" t="s">
        <v>282</v>
      </c>
      <c r="H145" s="102" t="s">
        <v>283</v>
      </c>
      <c r="I145" s="102" t="s">
        <v>284</v>
      </c>
      <c r="J145" s="102" t="s">
        <v>26</v>
      </c>
      <c r="L145" s="229" t="s">
        <v>2507</v>
      </c>
      <c r="M145" s="229" t="s">
        <v>2416</v>
      </c>
      <c r="N145" s="229" t="s">
        <v>1202</v>
      </c>
      <c r="O145" s="102">
        <v>3.0</v>
      </c>
      <c r="U145" s="102">
        <v>28800.0</v>
      </c>
      <c r="V145" s="102" t="s">
        <v>529</v>
      </c>
      <c r="W145" s="102" t="s">
        <v>298</v>
      </c>
      <c r="X145" s="102" t="s">
        <v>299</v>
      </c>
      <c r="Y145" s="102" t="s">
        <v>286</v>
      </c>
    </row>
    <row r="146">
      <c r="A146" s="102" t="s">
        <v>310</v>
      </c>
      <c r="B146" s="102" t="s">
        <v>1969</v>
      </c>
      <c r="C146" s="229" t="s">
        <v>1970</v>
      </c>
      <c r="D146" s="102" t="s">
        <v>2508</v>
      </c>
      <c r="E146" s="102" t="s">
        <v>495</v>
      </c>
      <c r="F146" s="102" t="s">
        <v>496</v>
      </c>
      <c r="G146" s="102" t="s">
        <v>282</v>
      </c>
      <c r="H146" s="102" t="s">
        <v>283</v>
      </c>
      <c r="I146" s="102" t="s">
        <v>284</v>
      </c>
      <c r="J146" s="102" t="s">
        <v>2509</v>
      </c>
      <c r="L146" s="229" t="s">
        <v>1972</v>
      </c>
      <c r="M146" s="229" t="s">
        <v>2510</v>
      </c>
      <c r="N146" s="229" t="s">
        <v>1170</v>
      </c>
      <c r="O146" s="102">
        <v>5.0</v>
      </c>
      <c r="P146" s="102" t="s">
        <v>331</v>
      </c>
      <c r="U146" s="102">
        <v>7200.0</v>
      </c>
      <c r="V146" s="102" t="s">
        <v>299</v>
      </c>
      <c r="W146" s="102" t="s">
        <v>286</v>
      </c>
    </row>
    <row r="147">
      <c r="A147" s="102" t="s">
        <v>310</v>
      </c>
      <c r="B147" s="102" t="s">
        <v>1206</v>
      </c>
      <c r="C147" s="229" t="s">
        <v>1207</v>
      </c>
      <c r="D147" s="102" t="s">
        <v>1208</v>
      </c>
      <c r="E147" s="102" t="s">
        <v>584</v>
      </c>
      <c r="F147" s="102" t="s">
        <v>585</v>
      </c>
      <c r="G147" s="102" t="s">
        <v>282</v>
      </c>
      <c r="H147" s="102" t="s">
        <v>283</v>
      </c>
      <c r="I147" s="102" t="s">
        <v>284</v>
      </c>
      <c r="J147" s="102" t="s">
        <v>454</v>
      </c>
      <c r="L147" s="229" t="s">
        <v>1209</v>
      </c>
      <c r="M147" s="229" t="s">
        <v>2289</v>
      </c>
      <c r="N147" s="229" t="s">
        <v>1170</v>
      </c>
      <c r="O147" s="102">
        <v>3.0</v>
      </c>
      <c r="P147" s="102" t="s">
        <v>1015</v>
      </c>
      <c r="U147" s="230"/>
      <c r="V147" s="102" t="s">
        <v>299</v>
      </c>
      <c r="W147" s="102" t="s">
        <v>286</v>
      </c>
    </row>
    <row r="148">
      <c r="A148" s="102" t="s">
        <v>310</v>
      </c>
      <c r="B148" s="102" t="s">
        <v>1210</v>
      </c>
      <c r="C148" s="229" t="s">
        <v>1211</v>
      </c>
      <c r="D148" s="102" t="s">
        <v>1212</v>
      </c>
      <c r="E148" s="102" t="s">
        <v>513</v>
      </c>
      <c r="F148" s="102" t="s">
        <v>514</v>
      </c>
      <c r="G148" s="102" t="s">
        <v>282</v>
      </c>
      <c r="H148" s="102" t="s">
        <v>283</v>
      </c>
      <c r="I148" s="102" t="s">
        <v>284</v>
      </c>
      <c r="J148" s="102" t="s">
        <v>355</v>
      </c>
      <c r="L148" s="229" t="s">
        <v>1213</v>
      </c>
      <c r="M148" s="229" t="s">
        <v>2289</v>
      </c>
      <c r="N148" s="229" t="s">
        <v>1144</v>
      </c>
      <c r="O148" s="102">
        <v>3.0</v>
      </c>
      <c r="P148" s="102" t="s">
        <v>1015</v>
      </c>
      <c r="U148" s="230"/>
      <c r="V148" s="102" t="s">
        <v>299</v>
      </c>
      <c r="W148" s="102" t="s">
        <v>286</v>
      </c>
    </row>
    <row r="149">
      <c r="A149" s="102" t="s">
        <v>310</v>
      </c>
      <c r="B149" s="102" t="s">
        <v>1214</v>
      </c>
      <c r="C149" s="229" t="s">
        <v>1215</v>
      </c>
      <c r="D149" s="102" t="s">
        <v>1012</v>
      </c>
      <c r="E149" s="102" t="s">
        <v>584</v>
      </c>
      <c r="F149" s="102" t="s">
        <v>585</v>
      </c>
      <c r="G149" s="102" t="s">
        <v>282</v>
      </c>
      <c r="H149" s="102" t="s">
        <v>283</v>
      </c>
      <c r="I149" s="102" t="s">
        <v>284</v>
      </c>
      <c r="J149" s="102" t="s">
        <v>454</v>
      </c>
      <c r="L149" s="229" t="s">
        <v>1216</v>
      </c>
      <c r="M149" s="229" t="s">
        <v>2289</v>
      </c>
      <c r="N149" s="229" t="s">
        <v>1170</v>
      </c>
      <c r="O149" s="102">
        <v>3.0</v>
      </c>
      <c r="P149" s="102" t="s">
        <v>1015</v>
      </c>
      <c r="U149" s="230"/>
      <c r="V149" s="102" t="s">
        <v>299</v>
      </c>
      <c r="W149" s="102" t="s">
        <v>286</v>
      </c>
    </row>
    <row r="150">
      <c r="A150" s="102" t="s">
        <v>310</v>
      </c>
      <c r="B150" s="102" t="s">
        <v>1217</v>
      </c>
      <c r="C150" s="229" t="s">
        <v>1218</v>
      </c>
      <c r="D150" s="102" t="s">
        <v>1219</v>
      </c>
      <c r="E150" s="102" t="s">
        <v>513</v>
      </c>
      <c r="F150" s="102" t="s">
        <v>514</v>
      </c>
      <c r="G150" s="102" t="s">
        <v>282</v>
      </c>
      <c r="H150" s="102" t="s">
        <v>283</v>
      </c>
      <c r="I150" s="102" t="s">
        <v>284</v>
      </c>
      <c r="J150" s="102" t="s">
        <v>355</v>
      </c>
      <c r="L150" s="229" t="s">
        <v>1220</v>
      </c>
      <c r="M150" s="229" t="s">
        <v>2289</v>
      </c>
      <c r="N150" s="229" t="s">
        <v>1192</v>
      </c>
      <c r="O150" s="102">
        <v>1.0</v>
      </c>
      <c r="P150" s="102" t="s">
        <v>1015</v>
      </c>
      <c r="U150" s="102">
        <v>7200.0</v>
      </c>
      <c r="V150" s="102" t="s">
        <v>286</v>
      </c>
    </row>
    <row r="151">
      <c r="A151" s="102" t="s">
        <v>310</v>
      </c>
      <c r="B151" s="102" t="s">
        <v>1222</v>
      </c>
      <c r="C151" s="229" t="s">
        <v>1223</v>
      </c>
      <c r="D151" s="102" t="s">
        <v>1224</v>
      </c>
      <c r="E151" s="102" t="s">
        <v>513</v>
      </c>
      <c r="F151" s="102" t="s">
        <v>514</v>
      </c>
      <c r="G151" s="102" t="s">
        <v>282</v>
      </c>
      <c r="H151" s="102" t="s">
        <v>283</v>
      </c>
      <c r="I151" s="102" t="s">
        <v>284</v>
      </c>
      <c r="J151" s="102" t="s">
        <v>355</v>
      </c>
      <c r="L151" s="229" t="s">
        <v>1220</v>
      </c>
      <c r="M151" s="229" t="s">
        <v>2289</v>
      </c>
      <c r="N151" s="229" t="s">
        <v>1225</v>
      </c>
      <c r="O151" s="102">
        <v>2.0</v>
      </c>
      <c r="P151" s="102" t="s">
        <v>1015</v>
      </c>
      <c r="U151" s="102">
        <v>14400.0</v>
      </c>
      <c r="V151" s="102" t="s">
        <v>286</v>
      </c>
    </row>
    <row r="152">
      <c r="A152" s="102" t="s">
        <v>310</v>
      </c>
      <c r="B152" s="102" t="s">
        <v>1226</v>
      </c>
      <c r="C152" s="229" t="s">
        <v>1227</v>
      </c>
      <c r="D152" s="102" t="s">
        <v>1228</v>
      </c>
      <c r="E152" s="102" t="s">
        <v>513</v>
      </c>
      <c r="F152" s="102" t="s">
        <v>514</v>
      </c>
      <c r="G152" s="102" t="s">
        <v>282</v>
      </c>
      <c r="H152" s="102" t="s">
        <v>283</v>
      </c>
      <c r="I152" s="102" t="s">
        <v>284</v>
      </c>
      <c r="J152" s="102" t="s">
        <v>355</v>
      </c>
      <c r="L152" s="229" t="s">
        <v>1229</v>
      </c>
      <c r="M152" s="229" t="s">
        <v>2289</v>
      </c>
      <c r="N152" s="229" t="s">
        <v>1225</v>
      </c>
      <c r="O152" s="102">
        <v>1.0</v>
      </c>
      <c r="P152" s="102" t="s">
        <v>1015</v>
      </c>
      <c r="U152" s="102">
        <v>7200.0</v>
      </c>
      <c r="V152" s="102" t="s">
        <v>286</v>
      </c>
    </row>
    <row r="153">
      <c r="A153" s="102" t="s">
        <v>310</v>
      </c>
      <c r="B153" s="102" t="s">
        <v>2511</v>
      </c>
      <c r="C153" s="229" t="s">
        <v>2512</v>
      </c>
      <c r="D153" s="102" t="s">
        <v>2513</v>
      </c>
      <c r="E153" s="102" t="s">
        <v>584</v>
      </c>
      <c r="F153" s="102" t="s">
        <v>585</v>
      </c>
      <c r="G153" s="102" t="s">
        <v>353</v>
      </c>
      <c r="H153" s="102" t="s">
        <v>354</v>
      </c>
      <c r="I153" s="102" t="s">
        <v>284</v>
      </c>
      <c r="J153" s="102" t="s">
        <v>26</v>
      </c>
      <c r="L153" s="229" t="s">
        <v>2514</v>
      </c>
      <c r="M153" s="229" t="s">
        <v>2244</v>
      </c>
      <c r="N153" s="229" t="s">
        <v>2515</v>
      </c>
      <c r="O153" s="102">
        <v>8.0</v>
      </c>
      <c r="U153" s="230"/>
      <c r="V153" s="102" t="s">
        <v>2271</v>
      </c>
      <c r="W153" s="102" t="s">
        <v>2272</v>
      </c>
      <c r="X153" s="102" t="s">
        <v>2273</v>
      </c>
      <c r="Y153" s="102" t="s">
        <v>2274</v>
      </c>
      <c r="Z153" s="102" t="s">
        <v>2275</v>
      </c>
    </row>
    <row r="154">
      <c r="A154" s="102" t="s">
        <v>332</v>
      </c>
      <c r="B154" s="102" t="s">
        <v>1973</v>
      </c>
      <c r="C154" s="229" t="s">
        <v>1974</v>
      </c>
      <c r="D154" s="102" t="s">
        <v>1975</v>
      </c>
      <c r="E154" s="102" t="s">
        <v>282</v>
      </c>
      <c r="F154" s="102" t="s">
        <v>283</v>
      </c>
      <c r="G154" s="102" t="s">
        <v>316</v>
      </c>
      <c r="H154" s="102" t="s">
        <v>317</v>
      </c>
      <c r="I154" s="102" t="s">
        <v>284</v>
      </c>
      <c r="J154" s="102" t="s">
        <v>1738</v>
      </c>
      <c r="L154" s="229" t="s">
        <v>1976</v>
      </c>
      <c r="M154" s="229" t="s">
        <v>2516</v>
      </c>
      <c r="N154" s="229" t="s">
        <v>1978</v>
      </c>
      <c r="O154" s="102">
        <v>3.0</v>
      </c>
      <c r="P154" s="102" t="s">
        <v>783</v>
      </c>
      <c r="U154" s="230"/>
      <c r="V154" s="102" t="s">
        <v>1979</v>
      </c>
      <c r="W154" s="102" t="s">
        <v>1155</v>
      </c>
      <c r="X154" s="102" t="s">
        <v>1964</v>
      </c>
      <c r="Y154" s="102" t="s">
        <v>394</v>
      </c>
    </row>
    <row r="155">
      <c r="A155" s="102" t="s">
        <v>310</v>
      </c>
      <c r="B155" s="102" t="s">
        <v>1230</v>
      </c>
      <c r="C155" s="229" t="s">
        <v>1231</v>
      </c>
      <c r="D155" s="102" t="s">
        <v>1232</v>
      </c>
      <c r="E155" s="102" t="s">
        <v>513</v>
      </c>
      <c r="F155" s="102" t="s">
        <v>514</v>
      </c>
      <c r="G155" s="102" t="s">
        <v>282</v>
      </c>
      <c r="H155" s="102" t="s">
        <v>283</v>
      </c>
      <c r="I155" s="102" t="s">
        <v>648</v>
      </c>
      <c r="J155" s="102" t="s">
        <v>454</v>
      </c>
      <c r="L155" s="229" t="s">
        <v>1233</v>
      </c>
      <c r="M155" s="229" t="s">
        <v>2399</v>
      </c>
      <c r="N155" s="229" t="s">
        <v>1202</v>
      </c>
      <c r="O155" s="102">
        <v>5.0</v>
      </c>
      <c r="U155" s="102">
        <v>86400.0</v>
      </c>
      <c r="V155" s="102" t="s">
        <v>529</v>
      </c>
      <c r="W155" s="102" t="s">
        <v>298</v>
      </c>
      <c r="X155" s="102" t="s">
        <v>299</v>
      </c>
      <c r="Y155" s="102" t="s">
        <v>286</v>
      </c>
    </row>
    <row r="156">
      <c r="A156" s="102" t="s">
        <v>310</v>
      </c>
      <c r="B156" s="102" t="s">
        <v>1234</v>
      </c>
      <c r="C156" s="229" t="s">
        <v>1235</v>
      </c>
      <c r="D156" s="102" t="s">
        <v>1236</v>
      </c>
      <c r="E156" s="102" t="s">
        <v>513</v>
      </c>
      <c r="F156" s="102" t="s">
        <v>514</v>
      </c>
      <c r="G156" s="102" t="s">
        <v>282</v>
      </c>
      <c r="H156" s="102" t="s">
        <v>283</v>
      </c>
      <c r="I156" s="102" t="s">
        <v>648</v>
      </c>
      <c r="J156" s="102" t="s">
        <v>454</v>
      </c>
      <c r="L156" s="229" t="s">
        <v>1233</v>
      </c>
      <c r="M156" s="229" t="s">
        <v>2399</v>
      </c>
      <c r="N156" s="229" t="s">
        <v>1237</v>
      </c>
      <c r="O156" s="102">
        <v>8.0</v>
      </c>
      <c r="U156" s="102">
        <v>115200.0</v>
      </c>
      <c r="V156" s="102" t="s">
        <v>529</v>
      </c>
      <c r="W156" s="102" t="s">
        <v>298</v>
      </c>
      <c r="X156" s="102" t="s">
        <v>299</v>
      </c>
      <c r="Y156" s="102" t="s">
        <v>286</v>
      </c>
    </row>
    <row r="157">
      <c r="A157" s="102" t="s">
        <v>310</v>
      </c>
      <c r="B157" s="102" t="s">
        <v>1238</v>
      </c>
      <c r="C157" s="229" t="s">
        <v>1239</v>
      </c>
      <c r="D157" s="102" t="s">
        <v>1240</v>
      </c>
      <c r="E157" s="102" t="s">
        <v>564</v>
      </c>
      <c r="F157" s="102" t="s">
        <v>565</v>
      </c>
      <c r="G157" s="102" t="s">
        <v>282</v>
      </c>
      <c r="H157" s="102" t="s">
        <v>283</v>
      </c>
      <c r="I157" s="102" t="s">
        <v>284</v>
      </c>
      <c r="J157" s="102" t="s">
        <v>454</v>
      </c>
      <c r="L157" s="229" t="s">
        <v>1241</v>
      </c>
      <c r="M157" s="229" t="s">
        <v>2399</v>
      </c>
      <c r="N157" s="229" t="s">
        <v>1242</v>
      </c>
      <c r="O157" s="102">
        <v>8.0</v>
      </c>
      <c r="U157" s="102">
        <v>72000.0</v>
      </c>
      <c r="V157" s="102" t="s">
        <v>529</v>
      </c>
      <c r="W157" s="102" t="s">
        <v>298</v>
      </c>
      <c r="X157" s="102" t="s">
        <v>299</v>
      </c>
      <c r="Y157" s="102" t="s">
        <v>286</v>
      </c>
    </row>
    <row r="158">
      <c r="A158" s="102" t="s">
        <v>310</v>
      </c>
      <c r="B158" s="102" t="s">
        <v>1243</v>
      </c>
      <c r="C158" s="229" t="s">
        <v>1244</v>
      </c>
      <c r="D158" s="102" t="s">
        <v>1245</v>
      </c>
      <c r="E158" s="102" t="s">
        <v>328</v>
      </c>
      <c r="F158" s="102" t="s">
        <v>329</v>
      </c>
      <c r="G158" s="102" t="s">
        <v>282</v>
      </c>
      <c r="H158" s="102" t="s">
        <v>283</v>
      </c>
      <c r="I158" s="102" t="s">
        <v>284</v>
      </c>
      <c r="J158" s="102" t="s">
        <v>454</v>
      </c>
      <c r="L158" s="229" t="s">
        <v>1246</v>
      </c>
      <c r="M158" s="229" t="s">
        <v>2399</v>
      </c>
      <c r="N158" s="229" t="s">
        <v>1247</v>
      </c>
      <c r="O158" s="102">
        <v>8.0</v>
      </c>
      <c r="U158" s="230"/>
      <c r="V158" s="102" t="s">
        <v>529</v>
      </c>
      <c r="W158" s="102" t="s">
        <v>298</v>
      </c>
      <c r="X158" s="102" t="s">
        <v>299</v>
      </c>
      <c r="Y158" s="102" t="s">
        <v>286</v>
      </c>
    </row>
    <row r="159">
      <c r="A159" s="102" t="s">
        <v>310</v>
      </c>
      <c r="B159" s="102" t="s">
        <v>1248</v>
      </c>
      <c r="C159" s="229" t="s">
        <v>1249</v>
      </c>
      <c r="D159" s="102" t="s">
        <v>1250</v>
      </c>
      <c r="E159" s="102" t="s">
        <v>328</v>
      </c>
      <c r="F159" s="102" t="s">
        <v>329</v>
      </c>
      <c r="G159" s="102" t="s">
        <v>282</v>
      </c>
      <c r="H159" s="102" t="s">
        <v>283</v>
      </c>
      <c r="I159" s="102" t="s">
        <v>284</v>
      </c>
      <c r="J159" s="102" t="s">
        <v>454</v>
      </c>
      <c r="L159" s="229" t="s">
        <v>1251</v>
      </c>
      <c r="M159" s="229" t="s">
        <v>2399</v>
      </c>
      <c r="N159" s="229" t="s">
        <v>1252</v>
      </c>
      <c r="O159" s="102">
        <v>8.0</v>
      </c>
      <c r="U159" s="230"/>
      <c r="V159" s="102" t="s">
        <v>529</v>
      </c>
      <c r="W159" s="102" t="s">
        <v>298</v>
      </c>
      <c r="X159" s="102" t="s">
        <v>299</v>
      </c>
      <c r="Y159" s="102" t="s">
        <v>286</v>
      </c>
    </row>
    <row r="160">
      <c r="A160" s="102" t="s">
        <v>276</v>
      </c>
      <c r="B160" s="102" t="s">
        <v>1985</v>
      </c>
      <c r="C160" s="229" t="s">
        <v>1986</v>
      </c>
      <c r="D160" s="102" t="s">
        <v>279</v>
      </c>
      <c r="E160" s="102" t="s">
        <v>280</v>
      </c>
      <c r="F160" s="102" t="s">
        <v>281</v>
      </c>
      <c r="G160" s="102" t="s">
        <v>1987</v>
      </c>
      <c r="H160" s="102" t="s">
        <v>1988</v>
      </c>
      <c r="I160" s="102" t="s">
        <v>284</v>
      </c>
      <c r="J160" s="102" t="s">
        <v>63</v>
      </c>
      <c r="L160" s="229" t="s">
        <v>1989</v>
      </c>
      <c r="M160" s="229" t="s">
        <v>2517</v>
      </c>
      <c r="O160" s="230"/>
      <c r="U160" s="230"/>
      <c r="V160" s="102" t="s">
        <v>1991</v>
      </c>
      <c r="W160" s="102" t="s">
        <v>1992</v>
      </c>
      <c r="X160" s="102" t="s">
        <v>1085</v>
      </c>
      <c r="Y160" s="102" t="s">
        <v>529</v>
      </c>
      <c r="Z160" s="102" t="s">
        <v>298</v>
      </c>
      <c r="AA160" s="102" t="s">
        <v>299</v>
      </c>
      <c r="AB160" s="102" t="s">
        <v>286</v>
      </c>
    </row>
    <row r="161">
      <c r="A161" s="102" t="s">
        <v>276</v>
      </c>
      <c r="B161" s="102" t="s">
        <v>1993</v>
      </c>
      <c r="C161" s="229" t="s">
        <v>1994</v>
      </c>
      <c r="D161" s="102" t="s">
        <v>291</v>
      </c>
      <c r="E161" s="102" t="s">
        <v>280</v>
      </c>
      <c r="F161" s="102" t="s">
        <v>281</v>
      </c>
      <c r="G161" s="102" t="s">
        <v>1987</v>
      </c>
      <c r="H161" s="102" t="s">
        <v>1988</v>
      </c>
      <c r="I161" s="102" t="s">
        <v>284</v>
      </c>
      <c r="J161" s="102" t="s">
        <v>26</v>
      </c>
      <c r="L161" s="229" t="s">
        <v>1989</v>
      </c>
      <c r="M161" s="229" t="s">
        <v>1995</v>
      </c>
      <c r="O161" s="230"/>
      <c r="U161" s="230"/>
      <c r="V161" s="102" t="s">
        <v>1991</v>
      </c>
      <c r="W161" s="102" t="s">
        <v>1992</v>
      </c>
      <c r="X161" s="102" t="s">
        <v>1085</v>
      </c>
      <c r="Y161" s="102" t="s">
        <v>529</v>
      </c>
      <c r="Z161" s="102" t="s">
        <v>298</v>
      </c>
      <c r="AA161" s="102" t="s">
        <v>299</v>
      </c>
      <c r="AB161" s="102" t="s">
        <v>286</v>
      </c>
    </row>
    <row r="162">
      <c r="A162" s="102" t="s">
        <v>276</v>
      </c>
      <c r="B162" s="102" t="s">
        <v>2518</v>
      </c>
      <c r="C162" s="229" t="s">
        <v>2519</v>
      </c>
      <c r="D162" s="102" t="s">
        <v>279</v>
      </c>
      <c r="E162" s="102" t="s">
        <v>280</v>
      </c>
      <c r="F162" s="102" t="s">
        <v>281</v>
      </c>
      <c r="G162" s="102" t="s">
        <v>1987</v>
      </c>
      <c r="H162" s="102" t="s">
        <v>1988</v>
      </c>
      <c r="I162" s="102" t="s">
        <v>284</v>
      </c>
      <c r="J162" s="102" t="s">
        <v>63</v>
      </c>
      <c r="L162" s="229" t="s">
        <v>1989</v>
      </c>
      <c r="M162" s="229" t="s">
        <v>2520</v>
      </c>
      <c r="O162" s="230"/>
      <c r="U162" s="230"/>
      <c r="V162" s="102" t="s">
        <v>1991</v>
      </c>
      <c r="W162" s="102" t="s">
        <v>1992</v>
      </c>
      <c r="X162" s="102" t="s">
        <v>1085</v>
      </c>
      <c r="Y162" s="102" t="s">
        <v>529</v>
      </c>
      <c r="Z162" s="102" t="s">
        <v>298</v>
      </c>
      <c r="AA162" s="102" t="s">
        <v>299</v>
      </c>
      <c r="AB162" s="102" t="s">
        <v>286</v>
      </c>
      <c r="AF162" s="230"/>
      <c r="AG162" s="230"/>
      <c r="AH162" s="230"/>
      <c r="AI162" s="230"/>
    </row>
    <row r="163">
      <c r="A163" s="102" t="s">
        <v>276</v>
      </c>
      <c r="B163" s="102" t="s">
        <v>2521</v>
      </c>
      <c r="C163" s="229" t="s">
        <v>2522</v>
      </c>
      <c r="D163" s="102" t="s">
        <v>279</v>
      </c>
      <c r="E163" s="102" t="s">
        <v>280</v>
      </c>
      <c r="F163" s="102" t="s">
        <v>281</v>
      </c>
      <c r="G163" s="102" t="s">
        <v>1987</v>
      </c>
      <c r="H163" s="102" t="s">
        <v>1988</v>
      </c>
      <c r="I163" s="102" t="s">
        <v>284</v>
      </c>
      <c r="J163" s="102" t="s">
        <v>63</v>
      </c>
      <c r="L163" s="229" t="s">
        <v>1989</v>
      </c>
      <c r="M163" s="229" t="s">
        <v>2523</v>
      </c>
      <c r="O163" s="230"/>
      <c r="U163" s="230"/>
      <c r="V163" s="102" t="s">
        <v>1991</v>
      </c>
      <c r="W163" s="102" t="s">
        <v>1992</v>
      </c>
      <c r="X163" s="102" t="s">
        <v>1085</v>
      </c>
      <c r="Y163" s="102" t="s">
        <v>529</v>
      </c>
      <c r="Z163" s="102" t="s">
        <v>298</v>
      </c>
      <c r="AA163" s="102" t="s">
        <v>299</v>
      </c>
      <c r="AB163" s="102" t="s">
        <v>286</v>
      </c>
      <c r="AF163" s="230"/>
      <c r="AG163" s="230"/>
      <c r="AH163" s="230"/>
      <c r="AI163" s="230"/>
    </row>
    <row r="164">
      <c r="A164" s="102" t="s">
        <v>276</v>
      </c>
      <c r="B164" s="102" t="s">
        <v>2524</v>
      </c>
      <c r="C164" s="229" t="s">
        <v>2525</v>
      </c>
      <c r="D164" s="102" t="s">
        <v>279</v>
      </c>
      <c r="E164" s="102" t="s">
        <v>280</v>
      </c>
      <c r="F164" s="102" t="s">
        <v>281</v>
      </c>
      <c r="G164" s="102" t="s">
        <v>1987</v>
      </c>
      <c r="H164" s="102" t="s">
        <v>1988</v>
      </c>
      <c r="I164" s="102" t="s">
        <v>284</v>
      </c>
      <c r="J164" s="102" t="s">
        <v>63</v>
      </c>
      <c r="L164" s="229" t="s">
        <v>1989</v>
      </c>
      <c r="M164" s="229" t="s">
        <v>2526</v>
      </c>
      <c r="O164" s="230"/>
      <c r="U164" s="230"/>
      <c r="V164" s="102" t="s">
        <v>1991</v>
      </c>
      <c r="W164" s="102" t="s">
        <v>1992</v>
      </c>
      <c r="X164" s="102" t="s">
        <v>1085</v>
      </c>
      <c r="Y164" s="102" t="s">
        <v>529</v>
      </c>
      <c r="Z164" s="102" t="s">
        <v>298</v>
      </c>
      <c r="AA164" s="102" t="s">
        <v>299</v>
      </c>
      <c r="AB164" s="102" t="s">
        <v>286</v>
      </c>
      <c r="AF164" s="230"/>
      <c r="AG164" s="230"/>
      <c r="AH164" s="230"/>
      <c r="AI164" s="230"/>
    </row>
    <row r="165">
      <c r="A165" s="102" t="s">
        <v>276</v>
      </c>
      <c r="B165" s="102" t="s">
        <v>2527</v>
      </c>
      <c r="C165" s="229" t="s">
        <v>2528</v>
      </c>
      <c r="D165" s="102" t="s">
        <v>279</v>
      </c>
      <c r="E165" s="102" t="s">
        <v>280</v>
      </c>
      <c r="F165" s="102" t="s">
        <v>281</v>
      </c>
      <c r="G165" s="102" t="s">
        <v>1987</v>
      </c>
      <c r="H165" s="102" t="s">
        <v>1988</v>
      </c>
      <c r="I165" s="102" t="s">
        <v>284</v>
      </c>
      <c r="J165" s="102" t="s">
        <v>63</v>
      </c>
      <c r="L165" s="229" t="s">
        <v>1989</v>
      </c>
      <c r="M165" s="229" t="s">
        <v>2526</v>
      </c>
      <c r="O165" s="230"/>
      <c r="U165" s="230"/>
      <c r="V165" s="102" t="s">
        <v>1991</v>
      </c>
      <c r="W165" s="102" t="s">
        <v>1992</v>
      </c>
      <c r="X165" s="102" t="s">
        <v>1085</v>
      </c>
      <c r="Y165" s="102" t="s">
        <v>529</v>
      </c>
      <c r="Z165" s="102" t="s">
        <v>298</v>
      </c>
      <c r="AA165" s="102" t="s">
        <v>299</v>
      </c>
      <c r="AB165" s="102" t="s">
        <v>286</v>
      </c>
      <c r="AF165" s="230"/>
      <c r="AG165" s="230"/>
      <c r="AH165" s="230"/>
      <c r="AI165" s="230"/>
    </row>
    <row r="166">
      <c r="A166" s="102" t="s">
        <v>276</v>
      </c>
      <c r="B166" s="102" t="s">
        <v>2529</v>
      </c>
      <c r="C166" s="229" t="s">
        <v>2530</v>
      </c>
      <c r="D166" s="102" t="s">
        <v>279</v>
      </c>
      <c r="E166" s="102" t="s">
        <v>280</v>
      </c>
      <c r="F166" s="102" t="s">
        <v>281</v>
      </c>
      <c r="G166" s="102" t="s">
        <v>1987</v>
      </c>
      <c r="H166" s="102" t="s">
        <v>1988</v>
      </c>
      <c r="I166" s="102" t="s">
        <v>284</v>
      </c>
      <c r="J166" s="102" t="s">
        <v>63</v>
      </c>
      <c r="L166" s="229" t="s">
        <v>1989</v>
      </c>
      <c r="M166" s="229" t="s">
        <v>2526</v>
      </c>
      <c r="O166" s="230"/>
      <c r="U166" s="230"/>
      <c r="V166" s="102" t="s">
        <v>1991</v>
      </c>
      <c r="W166" s="102" t="s">
        <v>1992</v>
      </c>
      <c r="X166" s="102" t="s">
        <v>1085</v>
      </c>
      <c r="Y166" s="102" t="s">
        <v>529</v>
      </c>
      <c r="Z166" s="102" t="s">
        <v>298</v>
      </c>
      <c r="AA166" s="102" t="s">
        <v>299</v>
      </c>
      <c r="AB166" s="102" t="s">
        <v>286</v>
      </c>
      <c r="AF166" s="230"/>
      <c r="AG166" s="230"/>
      <c r="AH166" s="230"/>
      <c r="AI166" s="230"/>
    </row>
    <row r="167">
      <c r="A167" s="102" t="s">
        <v>276</v>
      </c>
      <c r="B167" s="102" t="s">
        <v>2531</v>
      </c>
      <c r="C167" s="229" t="s">
        <v>2532</v>
      </c>
      <c r="D167" s="102" t="s">
        <v>279</v>
      </c>
      <c r="E167" s="102" t="s">
        <v>280</v>
      </c>
      <c r="F167" s="102" t="s">
        <v>281</v>
      </c>
      <c r="G167" s="102" t="s">
        <v>1987</v>
      </c>
      <c r="H167" s="102" t="s">
        <v>1988</v>
      </c>
      <c r="I167" s="102" t="s">
        <v>284</v>
      </c>
      <c r="J167" s="102" t="s">
        <v>63</v>
      </c>
      <c r="L167" s="229" t="s">
        <v>1989</v>
      </c>
      <c r="M167" s="229" t="s">
        <v>2526</v>
      </c>
      <c r="O167" s="230"/>
      <c r="U167" s="230"/>
      <c r="V167" s="102" t="s">
        <v>1991</v>
      </c>
      <c r="W167" s="102" t="s">
        <v>1992</v>
      </c>
      <c r="X167" s="102" t="s">
        <v>1085</v>
      </c>
      <c r="Y167" s="102" t="s">
        <v>529</v>
      </c>
      <c r="Z167" s="102" t="s">
        <v>298</v>
      </c>
      <c r="AA167" s="102" t="s">
        <v>299</v>
      </c>
      <c r="AB167" s="102" t="s">
        <v>286</v>
      </c>
      <c r="AF167" s="230"/>
      <c r="AG167" s="230"/>
      <c r="AH167" s="230"/>
      <c r="AI167" s="230"/>
    </row>
    <row r="168">
      <c r="A168" s="102" t="s">
        <v>276</v>
      </c>
      <c r="B168" s="102" t="s">
        <v>2533</v>
      </c>
      <c r="C168" s="229" t="s">
        <v>2534</v>
      </c>
      <c r="D168" s="102" t="s">
        <v>279</v>
      </c>
      <c r="E168" s="102" t="s">
        <v>280</v>
      </c>
      <c r="F168" s="102" t="s">
        <v>281</v>
      </c>
      <c r="G168" s="102" t="s">
        <v>1987</v>
      </c>
      <c r="H168" s="102" t="s">
        <v>1988</v>
      </c>
      <c r="I168" s="102" t="s">
        <v>284</v>
      </c>
      <c r="J168" s="102" t="s">
        <v>63</v>
      </c>
      <c r="L168" s="229" t="s">
        <v>1989</v>
      </c>
      <c r="M168" s="229" t="s">
        <v>2523</v>
      </c>
      <c r="O168" s="230"/>
      <c r="U168" s="230"/>
      <c r="V168" s="102" t="s">
        <v>1991</v>
      </c>
      <c r="W168" s="102" t="s">
        <v>1992</v>
      </c>
      <c r="X168" s="102" t="s">
        <v>1085</v>
      </c>
      <c r="Y168" s="102" t="s">
        <v>529</v>
      </c>
      <c r="Z168" s="102" t="s">
        <v>298</v>
      </c>
      <c r="AA168" s="102" t="s">
        <v>299</v>
      </c>
      <c r="AB168" s="102" t="s">
        <v>286</v>
      </c>
      <c r="AF168" s="230"/>
      <c r="AG168" s="230"/>
      <c r="AH168" s="230"/>
      <c r="AI168" s="230"/>
    </row>
    <row r="169">
      <c r="A169" s="102" t="s">
        <v>276</v>
      </c>
      <c r="B169" s="102" t="s">
        <v>1996</v>
      </c>
      <c r="C169" s="229" t="s">
        <v>1997</v>
      </c>
      <c r="D169" s="102" t="s">
        <v>279</v>
      </c>
      <c r="E169" s="102" t="s">
        <v>280</v>
      </c>
      <c r="F169" s="102" t="s">
        <v>281</v>
      </c>
      <c r="G169" s="102" t="s">
        <v>1987</v>
      </c>
      <c r="H169" s="102" t="s">
        <v>1988</v>
      </c>
      <c r="I169" s="102" t="s">
        <v>284</v>
      </c>
      <c r="J169" s="102" t="s">
        <v>63</v>
      </c>
      <c r="L169" s="229" t="s">
        <v>1989</v>
      </c>
      <c r="M169" s="229" t="s">
        <v>2535</v>
      </c>
      <c r="O169" s="230"/>
      <c r="U169" s="230"/>
      <c r="V169" s="102" t="s">
        <v>1991</v>
      </c>
      <c r="W169" s="102" t="s">
        <v>1992</v>
      </c>
      <c r="X169" s="102" t="s">
        <v>1085</v>
      </c>
      <c r="Y169" s="102" t="s">
        <v>529</v>
      </c>
      <c r="Z169" s="102" t="s">
        <v>298</v>
      </c>
      <c r="AA169" s="102" t="s">
        <v>299</v>
      </c>
      <c r="AB169" s="102" t="s">
        <v>286</v>
      </c>
      <c r="AF169" s="230"/>
      <c r="AG169" s="230"/>
      <c r="AH169" s="230"/>
      <c r="AI169" s="230"/>
    </row>
    <row r="170">
      <c r="A170" s="102" t="s">
        <v>276</v>
      </c>
      <c r="B170" s="102" t="s">
        <v>1998</v>
      </c>
      <c r="C170" s="229" t="s">
        <v>1999</v>
      </c>
      <c r="D170" s="102" t="s">
        <v>291</v>
      </c>
      <c r="E170" s="102" t="s">
        <v>280</v>
      </c>
      <c r="F170" s="102" t="s">
        <v>281</v>
      </c>
      <c r="G170" s="102" t="s">
        <v>1987</v>
      </c>
      <c r="H170" s="102" t="s">
        <v>1988</v>
      </c>
      <c r="I170" s="102" t="s">
        <v>284</v>
      </c>
      <c r="J170" s="102" t="s">
        <v>26</v>
      </c>
      <c r="L170" s="229" t="s">
        <v>1989</v>
      </c>
      <c r="M170" s="229" t="s">
        <v>1995</v>
      </c>
      <c r="O170" s="230"/>
      <c r="U170" s="230"/>
      <c r="V170" s="102" t="s">
        <v>1991</v>
      </c>
      <c r="W170" s="102" t="s">
        <v>1992</v>
      </c>
      <c r="X170" s="102" t="s">
        <v>1085</v>
      </c>
      <c r="Y170" s="102" t="s">
        <v>529</v>
      </c>
      <c r="Z170" s="102" t="s">
        <v>298</v>
      </c>
      <c r="AA170" s="102" t="s">
        <v>299</v>
      </c>
      <c r="AB170" s="102" t="s">
        <v>286</v>
      </c>
      <c r="AF170" s="230"/>
      <c r="AG170" s="230"/>
      <c r="AH170" s="230"/>
      <c r="AI170" s="230"/>
    </row>
    <row r="171">
      <c r="A171" s="102" t="s">
        <v>276</v>
      </c>
      <c r="B171" s="102" t="s">
        <v>2000</v>
      </c>
      <c r="C171" s="229" t="s">
        <v>2001</v>
      </c>
      <c r="D171" s="102" t="s">
        <v>291</v>
      </c>
      <c r="E171" s="102" t="s">
        <v>280</v>
      </c>
      <c r="F171" s="102" t="s">
        <v>281</v>
      </c>
      <c r="G171" s="102" t="s">
        <v>1987</v>
      </c>
      <c r="H171" s="102" t="s">
        <v>1988</v>
      </c>
      <c r="I171" s="102" t="s">
        <v>284</v>
      </c>
      <c r="J171" s="102" t="s">
        <v>26</v>
      </c>
      <c r="L171" s="229" t="s">
        <v>1989</v>
      </c>
      <c r="M171" s="229" t="s">
        <v>1995</v>
      </c>
      <c r="O171" s="230"/>
      <c r="U171" s="230"/>
      <c r="V171" s="102" t="s">
        <v>1991</v>
      </c>
      <c r="W171" s="102" t="s">
        <v>1992</v>
      </c>
      <c r="X171" s="102" t="s">
        <v>1085</v>
      </c>
      <c r="Y171" s="102" t="s">
        <v>529</v>
      </c>
      <c r="Z171" s="102" t="s">
        <v>298</v>
      </c>
      <c r="AA171" s="102" t="s">
        <v>299</v>
      </c>
      <c r="AB171" s="102" t="s">
        <v>286</v>
      </c>
      <c r="AF171" s="230"/>
      <c r="AG171" s="230"/>
      <c r="AH171" s="230"/>
      <c r="AI171" s="230"/>
    </row>
    <row r="172">
      <c r="A172" s="102" t="s">
        <v>276</v>
      </c>
      <c r="B172" s="102" t="s">
        <v>2002</v>
      </c>
      <c r="C172" s="229" t="s">
        <v>2003</v>
      </c>
      <c r="D172" s="102" t="s">
        <v>291</v>
      </c>
      <c r="E172" s="102" t="s">
        <v>280</v>
      </c>
      <c r="F172" s="102" t="s">
        <v>281</v>
      </c>
      <c r="G172" s="102" t="s">
        <v>1987</v>
      </c>
      <c r="H172" s="102" t="s">
        <v>1988</v>
      </c>
      <c r="I172" s="102" t="s">
        <v>284</v>
      </c>
      <c r="J172" s="102" t="s">
        <v>26</v>
      </c>
      <c r="L172" s="229" t="s">
        <v>1989</v>
      </c>
      <c r="M172" s="229" t="s">
        <v>1995</v>
      </c>
      <c r="O172" s="230"/>
      <c r="U172" s="230"/>
      <c r="V172" s="102" t="s">
        <v>1991</v>
      </c>
      <c r="W172" s="102" t="s">
        <v>1992</v>
      </c>
      <c r="X172" s="102" t="s">
        <v>1085</v>
      </c>
      <c r="Y172" s="102" t="s">
        <v>529</v>
      </c>
      <c r="Z172" s="102" t="s">
        <v>298</v>
      </c>
      <c r="AA172" s="102" t="s">
        <v>299</v>
      </c>
      <c r="AB172" s="102" t="s">
        <v>286</v>
      </c>
      <c r="AF172" s="230"/>
      <c r="AG172" s="230"/>
      <c r="AH172" s="230"/>
      <c r="AI172" s="230"/>
    </row>
    <row r="173">
      <c r="A173" s="102" t="s">
        <v>276</v>
      </c>
      <c r="B173" s="102" t="s">
        <v>2004</v>
      </c>
      <c r="C173" s="229" t="s">
        <v>2005</v>
      </c>
      <c r="D173" s="102" t="s">
        <v>291</v>
      </c>
      <c r="E173" s="102" t="s">
        <v>280</v>
      </c>
      <c r="F173" s="102" t="s">
        <v>281</v>
      </c>
      <c r="G173" s="102" t="s">
        <v>1987</v>
      </c>
      <c r="H173" s="102" t="s">
        <v>1988</v>
      </c>
      <c r="I173" s="102" t="s">
        <v>284</v>
      </c>
      <c r="J173" s="102" t="s">
        <v>26</v>
      </c>
      <c r="L173" s="229" t="s">
        <v>1989</v>
      </c>
      <c r="M173" s="229" t="s">
        <v>1995</v>
      </c>
      <c r="O173" s="230"/>
      <c r="U173" s="230"/>
      <c r="V173" s="102" t="s">
        <v>1991</v>
      </c>
      <c r="W173" s="102" t="s">
        <v>1992</v>
      </c>
      <c r="X173" s="102" t="s">
        <v>1085</v>
      </c>
      <c r="Y173" s="102" t="s">
        <v>529</v>
      </c>
      <c r="Z173" s="102" t="s">
        <v>298</v>
      </c>
      <c r="AA173" s="102" t="s">
        <v>299</v>
      </c>
      <c r="AB173" s="102" t="s">
        <v>286</v>
      </c>
      <c r="AF173" s="230"/>
      <c r="AG173" s="230"/>
      <c r="AH173" s="230"/>
      <c r="AI173" s="230"/>
    </row>
    <row r="174">
      <c r="A174" s="102" t="s">
        <v>276</v>
      </c>
      <c r="B174" s="102" t="s">
        <v>2006</v>
      </c>
      <c r="C174" s="229" t="s">
        <v>2007</v>
      </c>
      <c r="D174" s="102" t="s">
        <v>291</v>
      </c>
      <c r="E174" s="102" t="s">
        <v>280</v>
      </c>
      <c r="F174" s="102" t="s">
        <v>281</v>
      </c>
      <c r="G174" s="102" t="s">
        <v>1987</v>
      </c>
      <c r="H174" s="102" t="s">
        <v>1988</v>
      </c>
      <c r="I174" s="102" t="s">
        <v>284</v>
      </c>
      <c r="J174" s="102" t="s">
        <v>26</v>
      </c>
      <c r="L174" s="229" t="s">
        <v>1989</v>
      </c>
      <c r="M174" s="229" t="s">
        <v>1995</v>
      </c>
      <c r="O174" s="230"/>
      <c r="U174" s="230"/>
      <c r="V174" s="102" t="s">
        <v>1991</v>
      </c>
      <c r="W174" s="102" t="s">
        <v>1992</v>
      </c>
      <c r="X174" s="102" t="s">
        <v>1085</v>
      </c>
      <c r="Y174" s="102" t="s">
        <v>529</v>
      </c>
      <c r="Z174" s="102" t="s">
        <v>298</v>
      </c>
      <c r="AA174" s="102" t="s">
        <v>299</v>
      </c>
      <c r="AB174" s="102" t="s">
        <v>286</v>
      </c>
      <c r="AF174" s="230"/>
      <c r="AG174" s="230"/>
      <c r="AH174" s="230"/>
      <c r="AI174" s="230"/>
    </row>
    <row r="175">
      <c r="A175" s="102" t="s">
        <v>276</v>
      </c>
      <c r="B175" s="102" t="s">
        <v>2008</v>
      </c>
      <c r="C175" s="229" t="s">
        <v>2009</v>
      </c>
      <c r="D175" s="102" t="s">
        <v>291</v>
      </c>
      <c r="E175" s="102" t="s">
        <v>280</v>
      </c>
      <c r="F175" s="102" t="s">
        <v>281</v>
      </c>
      <c r="G175" s="102" t="s">
        <v>1987</v>
      </c>
      <c r="H175" s="102" t="s">
        <v>1988</v>
      </c>
      <c r="I175" s="102" t="s">
        <v>284</v>
      </c>
      <c r="J175" s="102" t="s">
        <v>26</v>
      </c>
      <c r="L175" s="229" t="s">
        <v>1989</v>
      </c>
      <c r="M175" s="229" t="s">
        <v>1995</v>
      </c>
      <c r="O175" s="230"/>
      <c r="U175" s="230"/>
      <c r="V175" s="102" t="s">
        <v>1991</v>
      </c>
      <c r="W175" s="102" t="s">
        <v>1992</v>
      </c>
      <c r="X175" s="102" t="s">
        <v>1085</v>
      </c>
      <c r="Y175" s="102" t="s">
        <v>529</v>
      </c>
      <c r="Z175" s="102" t="s">
        <v>298</v>
      </c>
      <c r="AA175" s="102" t="s">
        <v>299</v>
      </c>
      <c r="AB175" s="102" t="s">
        <v>286</v>
      </c>
      <c r="AF175" s="230"/>
      <c r="AG175" s="230"/>
      <c r="AH175" s="230"/>
      <c r="AI175" s="230"/>
    </row>
    <row r="176">
      <c r="A176" s="102" t="s">
        <v>276</v>
      </c>
      <c r="B176" s="102" t="s">
        <v>2010</v>
      </c>
      <c r="C176" s="229" t="s">
        <v>2011</v>
      </c>
      <c r="D176" s="102" t="s">
        <v>291</v>
      </c>
      <c r="E176" s="102" t="s">
        <v>280</v>
      </c>
      <c r="F176" s="102" t="s">
        <v>281</v>
      </c>
      <c r="G176" s="102" t="s">
        <v>1987</v>
      </c>
      <c r="H176" s="102" t="s">
        <v>1988</v>
      </c>
      <c r="I176" s="102" t="s">
        <v>284</v>
      </c>
      <c r="J176" s="102" t="s">
        <v>26</v>
      </c>
      <c r="L176" s="229" t="s">
        <v>1989</v>
      </c>
      <c r="M176" s="229" t="s">
        <v>1995</v>
      </c>
      <c r="O176" s="230"/>
      <c r="U176" s="230"/>
      <c r="V176" s="102" t="s">
        <v>1991</v>
      </c>
      <c r="W176" s="102" t="s">
        <v>1992</v>
      </c>
      <c r="X176" s="102" t="s">
        <v>1085</v>
      </c>
      <c r="Y176" s="102" t="s">
        <v>529</v>
      </c>
      <c r="Z176" s="102" t="s">
        <v>298</v>
      </c>
      <c r="AA176" s="102" t="s">
        <v>299</v>
      </c>
      <c r="AB176" s="102" t="s">
        <v>286</v>
      </c>
      <c r="AF176" s="230"/>
      <c r="AG176" s="230"/>
      <c r="AH176" s="230"/>
      <c r="AI176" s="230"/>
    </row>
    <row r="177">
      <c r="A177" s="102" t="s">
        <v>276</v>
      </c>
      <c r="B177" s="102" t="s">
        <v>2012</v>
      </c>
      <c r="C177" s="229" t="s">
        <v>2013</v>
      </c>
      <c r="D177" s="102" t="s">
        <v>291</v>
      </c>
      <c r="E177" s="102" t="s">
        <v>280</v>
      </c>
      <c r="F177" s="102" t="s">
        <v>281</v>
      </c>
      <c r="G177" s="102" t="s">
        <v>1987</v>
      </c>
      <c r="H177" s="102" t="s">
        <v>1988</v>
      </c>
      <c r="I177" s="102" t="s">
        <v>284</v>
      </c>
      <c r="J177" s="102" t="s">
        <v>26</v>
      </c>
      <c r="L177" s="229" t="s">
        <v>1989</v>
      </c>
      <c r="M177" s="229" t="s">
        <v>1995</v>
      </c>
      <c r="O177" s="230"/>
      <c r="U177" s="230"/>
      <c r="V177" s="102" t="s">
        <v>1991</v>
      </c>
      <c r="W177" s="102" t="s">
        <v>1992</v>
      </c>
      <c r="X177" s="102" t="s">
        <v>1085</v>
      </c>
      <c r="Y177" s="102" t="s">
        <v>529</v>
      </c>
      <c r="Z177" s="102" t="s">
        <v>298</v>
      </c>
      <c r="AA177" s="102" t="s">
        <v>299</v>
      </c>
      <c r="AB177" s="102" t="s">
        <v>286</v>
      </c>
      <c r="AF177" s="230"/>
      <c r="AG177" s="230"/>
      <c r="AH177" s="230"/>
      <c r="AI177" s="230"/>
    </row>
    <row r="178">
      <c r="A178" s="102" t="s">
        <v>310</v>
      </c>
      <c r="B178" s="102" t="s">
        <v>2014</v>
      </c>
      <c r="C178" s="229" t="s">
        <v>2015</v>
      </c>
      <c r="D178" s="102" t="s">
        <v>2016</v>
      </c>
      <c r="E178" s="102" t="s">
        <v>282</v>
      </c>
      <c r="F178" s="102" t="s">
        <v>283</v>
      </c>
      <c r="G178" s="102" t="s">
        <v>316</v>
      </c>
      <c r="H178" s="102" t="s">
        <v>317</v>
      </c>
      <c r="I178" s="102" t="s">
        <v>284</v>
      </c>
      <c r="J178" s="102" t="s">
        <v>34</v>
      </c>
      <c r="L178" s="229" t="s">
        <v>2017</v>
      </c>
      <c r="M178" s="229" t="s">
        <v>2516</v>
      </c>
      <c r="N178" s="229" t="s">
        <v>2019</v>
      </c>
      <c r="O178" s="102">
        <v>2.0</v>
      </c>
      <c r="P178" s="102" t="s">
        <v>481</v>
      </c>
      <c r="U178" s="230"/>
      <c r="V178" s="102" t="s">
        <v>1155</v>
      </c>
      <c r="W178" s="102" t="s">
        <v>1964</v>
      </c>
      <c r="X178" s="102" t="s">
        <v>394</v>
      </c>
      <c r="AF178" s="230"/>
      <c r="AG178" s="230"/>
      <c r="AH178" s="230"/>
      <c r="AI178" s="230"/>
    </row>
    <row r="179">
      <c r="A179" s="102" t="s">
        <v>276</v>
      </c>
      <c r="B179" s="102" t="s">
        <v>2024</v>
      </c>
      <c r="C179" s="229" t="s">
        <v>2025</v>
      </c>
      <c r="D179" s="102" t="s">
        <v>347</v>
      </c>
      <c r="E179" s="102" t="s">
        <v>280</v>
      </c>
      <c r="F179" s="102" t="s">
        <v>281</v>
      </c>
      <c r="G179" s="102" t="s">
        <v>280</v>
      </c>
      <c r="H179" s="102" t="s">
        <v>281</v>
      </c>
      <c r="I179" s="102" t="s">
        <v>284</v>
      </c>
      <c r="J179" s="102" t="s">
        <v>63</v>
      </c>
      <c r="L179" s="229" t="s">
        <v>2026</v>
      </c>
      <c r="M179" s="229" t="s">
        <v>2536</v>
      </c>
      <c r="O179" s="230"/>
      <c r="U179" s="230"/>
      <c r="V179" s="102" t="s">
        <v>1991</v>
      </c>
      <c r="W179" s="102" t="s">
        <v>1992</v>
      </c>
      <c r="X179" s="102" t="s">
        <v>1085</v>
      </c>
      <c r="Y179" s="102" t="s">
        <v>529</v>
      </c>
      <c r="Z179" s="102" t="s">
        <v>298</v>
      </c>
      <c r="AA179" s="102" t="s">
        <v>299</v>
      </c>
      <c r="AB179" s="102" t="s">
        <v>286</v>
      </c>
      <c r="AF179" s="230"/>
      <c r="AG179" s="230"/>
      <c r="AH179" s="230"/>
      <c r="AI179" s="230"/>
    </row>
    <row r="180">
      <c r="A180" s="102" t="s">
        <v>276</v>
      </c>
      <c r="B180" s="102" t="s">
        <v>2028</v>
      </c>
      <c r="C180" s="229" t="s">
        <v>2029</v>
      </c>
      <c r="D180" s="102" t="s">
        <v>2030</v>
      </c>
      <c r="E180" s="102" t="s">
        <v>280</v>
      </c>
      <c r="F180" s="102" t="s">
        <v>281</v>
      </c>
      <c r="G180" s="102" t="s">
        <v>280</v>
      </c>
      <c r="H180" s="102" t="s">
        <v>281</v>
      </c>
      <c r="I180" s="102" t="s">
        <v>284</v>
      </c>
      <c r="J180" s="102" t="s">
        <v>26</v>
      </c>
      <c r="L180" s="229" t="s">
        <v>2026</v>
      </c>
      <c r="M180" s="229" t="s">
        <v>1995</v>
      </c>
      <c r="O180" s="230"/>
      <c r="U180" s="230"/>
      <c r="V180" s="102" t="s">
        <v>1991</v>
      </c>
      <c r="W180" s="102" t="s">
        <v>1992</v>
      </c>
      <c r="X180" s="102" t="s">
        <v>1085</v>
      </c>
      <c r="Y180" s="102" t="s">
        <v>529</v>
      </c>
      <c r="Z180" s="102" t="s">
        <v>298</v>
      </c>
      <c r="AA180" s="102" t="s">
        <v>299</v>
      </c>
      <c r="AB180" s="102" t="s">
        <v>286</v>
      </c>
      <c r="AF180" s="230"/>
      <c r="AG180" s="230"/>
      <c r="AH180" s="230"/>
      <c r="AI180" s="230"/>
    </row>
    <row r="181">
      <c r="A181" s="102" t="s">
        <v>310</v>
      </c>
      <c r="B181" s="102" t="s">
        <v>2031</v>
      </c>
      <c r="C181" s="229" t="s">
        <v>2032</v>
      </c>
      <c r="D181" s="102" t="s">
        <v>2033</v>
      </c>
      <c r="E181" s="102" t="s">
        <v>556</v>
      </c>
      <c r="F181" s="102" t="s">
        <v>557</v>
      </c>
      <c r="G181" s="102" t="s">
        <v>282</v>
      </c>
      <c r="H181" s="102" t="s">
        <v>283</v>
      </c>
      <c r="I181" s="102" t="s">
        <v>284</v>
      </c>
      <c r="J181" s="102" t="s">
        <v>454</v>
      </c>
      <c r="L181" s="229" t="s">
        <v>2034</v>
      </c>
      <c r="M181" s="229" t="s">
        <v>2399</v>
      </c>
      <c r="O181" s="102">
        <v>1.0</v>
      </c>
      <c r="U181" s="230"/>
      <c r="V181" s="102" t="s">
        <v>1991</v>
      </c>
      <c r="W181" s="102" t="s">
        <v>1992</v>
      </c>
      <c r="X181" s="102" t="s">
        <v>1085</v>
      </c>
      <c r="Y181" s="102" t="s">
        <v>529</v>
      </c>
      <c r="Z181" s="102" t="s">
        <v>298</v>
      </c>
      <c r="AA181" s="102" t="s">
        <v>299</v>
      </c>
      <c r="AB181" s="102" t="s">
        <v>286</v>
      </c>
      <c r="AF181" s="230"/>
      <c r="AG181" s="230"/>
      <c r="AH181" s="230"/>
      <c r="AI181" s="230"/>
    </row>
    <row r="182">
      <c r="A182" s="102" t="s">
        <v>310</v>
      </c>
      <c r="B182" s="102" t="s">
        <v>2537</v>
      </c>
      <c r="C182" s="229" t="s">
        <v>2538</v>
      </c>
      <c r="D182" s="102" t="s">
        <v>2539</v>
      </c>
      <c r="E182" s="102" t="s">
        <v>584</v>
      </c>
      <c r="F182" s="102" t="s">
        <v>585</v>
      </c>
      <c r="G182" s="102" t="s">
        <v>353</v>
      </c>
      <c r="H182" s="102" t="s">
        <v>354</v>
      </c>
      <c r="I182" s="102" t="s">
        <v>284</v>
      </c>
      <c r="J182" s="102" t="s">
        <v>26</v>
      </c>
      <c r="L182" s="229" t="s">
        <v>2540</v>
      </c>
      <c r="M182" s="229" t="s">
        <v>2244</v>
      </c>
      <c r="O182" s="102">
        <v>2.0</v>
      </c>
      <c r="U182" s="102">
        <v>14400.0</v>
      </c>
      <c r="V182" s="102" t="s">
        <v>2271</v>
      </c>
      <c r="W182" s="102" t="s">
        <v>2272</v>
      </c>
      <c r="X182" s="102" t="s">
        <v>2273</v>
      </c>
      <c r="Y182" s="102" t="s">
        <v>2274</v>
      </c>
      <c r="Z182" s="102" t="s">
        <v>2275</v>
      </c>
      <c r="AF182" s="230"/>
      <c r="AG182" s="230"/>
      <c r="AH182" s="230"/>
      <c r="AI182" s="230"/>
    </row>
    <row r="183">
      <c r="A183" s="102" t="s">
        <v>310</v>
      </c>
      <c r="B183" s="102" t="s">
        <v>2035</v>
      </c>
      <c r="C183" s="229" t="s">
        <v>2036</v>
      </c>
      <c r="D183" s="102" t="s">
        <v>2037</v>
      </c>
      <c r="E183" s="102" t="s">
        <v>556</v>
      </c>
      <c r="F183" s="102" t="s">
        <v>557</v>
      </c>
      <c r="G183" s="102" t="s">
        <v>353</v>
      </c>
      <c r="H183" s="102" t="s">
        <v>354</v>
      </c>
      <c r="I183" s="102" t="s">
        <v>284</v>
      </c>
      <c r="J183" s="102" t="s">
        <v>454</v>
      </c>
      <c r="L183" s="229" t="s">
        <v>2038</v>
      </c>
      <c r="M183" s="229" t="s">
        <v>2446</v>
      </c>
      <c r="N183" s="229" t="s">
        <v>1978</v>
      </c>
      <c r="O183" s="102">
        <v>5.0</v>
      </c>
      <c r="P183" s="102" t="s">
        <v>1855</v>
      </c>
      <c r="U183" s="102">
        <v>57600.0</v>
      </c>
      <c r="V183" s="102" t="s">
        <v>1259</v>
      </c>
      <c r="W183" s="102" t="s">
        <v>1203</v>
      </c>
      <c r="X183" s="102" t="s">
        <v>1204</v>
      </c>
      <c r="Y183" s="102" t="s">
        <v>1205</v>
      </c>
      <c r="Z183" s="102" t="s">
        <v>1205</v>
      </c>
      <c r="AA183" s="102" t="s">
        <v>1058</v>
      </c>
      <c r="AB183" s="102" t="s">
        <v>1058</v>
      </c>
      <c r="AF183" s="230"/>
      <c r="AG183" s="230"/>
      <c r="AH183" s="230"/>
      <c r="AI183" s="230"/>
    </row>
    <row r="184">
      <c r="A184" s="102" t="s">
        <v>310</v>
      </c>
      <c r="B184" s="102" t="s">
        <v>2039</v>
      </c>
      <c r="C184" s="229" t="s">
        <v>2040</v>
      </c>
      <c r="D184" s="102" t="s">
        <v>2041</v>
      </c>
      <c r="E184" s="102" t="s">
        <v>564</v>
      </c>
      <c r="F184" s="102" t="s">
        <v>565</v>
      </c>
      <c r="G184" s="102" t="s">
        <v>353</v>
      </c>
      <c r="H184" s="102" t="s">
        <v>354</v>
      </c>
      <c r="I184" s="102" t="s">
        <v>284</v>
      </c>
      <c r="J184" s="102" t="s">
        <v>454</v>
      </c>
      <c r="L184" s="229" t="s">
        <v>2038</v>
      </c>
      <c r="M184" s="229" t="s">
        <v>2446</v>
      </c>
      <c r="N184" s="229" t="s">
        <v>2042</v>
      </c>
      <c r="O184" s="102">
        <v>5.0</v>
      </c>
      <c r="P184" s="102" t="s">
        <v>1855</v>
      </c>
      <c r="U184" s="102">
        <v>57600.0</v>
      </c>
      <c r="V184" s="102" t="s">
        <v>1259</v>
      </c>
      <c r="W184" s="102" t="s">
        <v>1203</v>
      </c>
      <c r="X184" s="102" t="s">
        <v>1204</v>
      </c>
      <c r="Y184" s="102" t="s">
        <v>1205</v>
      </c>
      <c r="Z184" s="102" t="s">
        <v>1205</v>
      </c>
      <c r="AA184" s="102" t="s">
        <v>1058</v>
      </c>
      <c r="AB184" s="102" t="s">
        <v>1058</v>
      </c>
      <c r="AF184" s="230"/>
      <c r="AG184" s="230"/>
      <c r="AH184" s="230"/>
      <c r="AI184" s="230"/>
    </row>
    <row r="185">
      <c r="A185" s="102" t="s">
        <v>310</v>
      </c>
      <c r="B185" s="102" t="s">
        <v>2043</v>
      </c>
      <c r="C185" s="229" t="s">
        <v>2044</v>
      </c>
      <c r="D185" s="102" t="s">
        <v>2045</v>
      </c>
      <c r="E185" s="102" t="s">
        <v>564</v>
      </c>
      <c r="F185" s="102" t="s">
        <v>565</v>
      </c>
      <c r="G185" s="102" t="s">
        <v>353</v>
      </c>
      <c r="H185" s="102" t="s">
        <v>354</v>
      </c>
      <c r="I185" s="102" t="s">
        <v>284</v>
      </c>
      <c r="J185" s="102" t="s">
        <v>454</v>
      </c>
      <c r="L185" s="229" t="s">
        <v>2046</v>
      </c>
      <c r="M185" s="229" t="s">
        <v>2446</v>
      </c>
      <c r="N185" s="229" t="s">
        <v>1978</v>
      </c>
      <c r="O185" s="102">
        <v>5.0</v>
      </c>
      <c r="P185" s="102" t="s">
        <v>1855</v>
      </c>
      <c r="U185" s="102">
        <v>57600.0</v>
      </c>
      <c r="V185" s="102" t="s">
        <v>1259</v>
      </c>
      <c r="W185" s="102" t="s">
        <v>1203</v>
      </c>
      <c r="X185" s="102" t="s">
        <v>1204</v>
      </c>
      <c r="Y185" s="102" t="s">
        <v>1205</v>
      </c>
      <c r="Z185" s="102" t="s">
        <v>1205</v>
      </c>
      <c r="AA185" s="102" t="s">
        <v>1058</v>
      </c>
      <c r="AB185" s="102" t="s">
        <v>1058</v>
      </c>
      <c r="AF185" s="230"/>
      <c r="AG185" s="230"/>
      <c r="AH185" s="230"/>
      <c r="AI185" s="230"/>
    </row>
    <row r="186">
      <c r="A186" s="102" t="s">
        <v>310</v>
      </c>
      <c r="B186" s="102" t="s">
        <v>2047</v>
      </c>
      <c r="C186" s="229" t="s">
        <v>2048</v>
      </c>
      <c r="D186" s="102" t="s">
        <v>2049</v>
      </c>
      <c r="E186" s="102" t="s">
        <v>556</v>
      </c>
      <c r="F186" s="102" t="s">
        <v>557</v>
      </c>
      <c r="G186" s="102" t="s">
        <v>353</v>
      </c>
      <c r="H186" s="102" t="s">
        <v>354</v>
      </c>
      <c r="I186" s="102" t="s">
        <v>284</v>
      </c>
      <c r="J186" s="102" t="s">
        <v>454</v>
      </c>
      <c r="L186" s="229" t="s">
        <v>2046</v>
      </c>
      <c r="M186" s="229" t="s">
        <v>2446</v>
      </c>
      <c r="N186" s="229" t="s">
        <v>1978</v>
      </c>
      <c r="O186" s="102">
        <v>5.0</v>
      </c>
      <c r="P186" s="102" t="s">
        <v>1855</v>
      </c>
      <c r="U186" s="230"/>
      <c r="V186" s="102" t="s">
        <v>1259</v>
      </c>
      <c r="W186" s="102" t="s">
        <v>1203</v>
      </c>
      <c r="X186" s="102" t="s">
        <v>1204</v>
      </c>
      <c r="Y186" s="102" t="s">
        <v>1205</v>
      </c>
      <c r="Z186" s="102" t="s">
        <v>1205</v>
      </c>
      <c r="AA186" s="102" t="s">
        <v>1058</v>
      </c>
      <c r="AB186" s="102" t="s">
        <v>1058</v>
      </c>
      <c r="AF186" s="230"/>
      <c r="AG186" s="230"/>
      <c r="AH186" s="230"/>
      <c r="AI186" s="230"/>
    </row>
    <row r="187">
      <c r="A187" s="102" t="s">
        <v>310</v>
      </c>
      <c r="B187" s="102" t="s">
        <v>2050</v>
      </c>
      <c r="C187" s="229" t="s">
        <v>2051</v>
      </c>
      <c r="D187" s="102" t="s">
        <v>2052</v>
      </c>
      <c r="E187" s="102" t="s">
        <v>564</v>
      </c>
      <c r="F187" s="102" t="s">
        <v>565</v>
      </c>
      <c r="G187" s="102" t="s">
        <v>353</v>
      </c>
      <c r="H187" s="102" t="s">
        <v>354</v>
      </c>
      <c r="I187" s="102" t="s">
        <v>284</v>
      </c>
      <c r="J187" s="102" t="s">
        <v>454</v>
      </c>
      <c r="L187" s="229" t="s">
        <v>2053</v>
      </c>
      <c r="M187" s="229" t="s">
        <v>2446</v>
      </c>
      <c r="N187" s="229" t="s">
        <v>2054</v>
      </c>
      <c r="O187" s="102">
        <v>5.0</v>
      </c>
      <c r="P187" s="102" t="s">
        <v>1855</v>
      </c>
      <c r="U187" s="102">
        <v>57600.0</v>
      </c>
      <c r="V187" s="102" t="s">
        <v>1259</v>
      </c>
      <c r="W187" s="102" t="s">
        <v>1203</v>
      </c>
      <c r="X187" s="102" t="s">
        <v>1204</v>
      </c>
      <c r="Y187" s="102" t="s">
        <v>1205</v>
      </c>
      <c r="Z187" s="102" t="s">
        <v>1205</v>
      </c>
      <c r="AA187" s="102" t="s">
        <v>1058</v>
      </c>
      <c r="AB187" s="102" t="s">
        <v>1058</v>
      </c>
      <c r="AF187" s="230"/>
      <c r="AG187" s="230"/>
      <c r="AH187" s="230"/>
      <c r="AI187" s="230"/>
    </row>
    <row r="188">
      <c r="A188" s="102" t="s">
        <v>310</v>
      </c>
      <c r="B188" s="102" t="s">
        <v>2055</v>
      </c>
      <c r="C188" s="229" t="s">
        <v>2056</v>
      </c>
      <c r="D188" s="102" t="s">
        <v>2057</v>
      </c>
      <c r="E188" s="102" t="s">
        <v>556</v>
      </c>
      <c r="F188" s="102" t="s">
        <v>557</v>
      </c>
      <c r="G188" s="102" t="s">
        <v>353</v>
      </c>
      <c r="H188" s="102" t="s">
        <v>354</v>
      </c>
      <c r="I188" s="102" t="s">
        <v>284</v>
      </c>
      <c r="J188" s="102" t="s">
        <v>454</v>
      </c>
      <c r="L188" s="229" t="s">
        <v>2058</v>
      </c>
      <c r="M188" s="229" t="s">
        <v>2446</v>
      </c>
      <c r="N188" s="229" t="s">
        <v>1352</v>
      </c>
      <c r="O188" s="102">
        <v>5.0</v>
      </c>
      <c r="P188" s="102" t="s">
        <v>593</v>
      </c>
      <c r="Q188" s="102" t="s">
        <v>1855</v>
      </c>
      <c r="U188" s="102">
        <v>57600.0</v>
      </c>
      <c r="V188" s="102" t="s">
        <v>1259</v>
      </c>
      <c r="W188" s="102" t="s">
        <v>1203</v>
      </c>
      <c r="X188" s="102" t="s">
        <v>1204</v>
      </c>
      <c r="Y188" s="102" t="s">
        <v>1205</v>
      </c>
      <c r="Z188" s="102" t="s">
        <v>1205</v>
      </c>
      <c r="AA188" s="102" t="s">
        <v>1058</v>
      </c>
      <c r="AB188" s="102" t="s">
        <v>1058</v>
      </c>
      <c r="AF188" s="230"/>
      <c r="AG188" s="230"/>
      <c r="AH188" s="230"/>
      <c r="AI188" s="230"/>
    </row>
    <row r="189">
      <c r="A189" s="102" t="s">
        <v>630</v>
      </c>
      <c r="B189" s="102" t="s">
        <v>1253</v>
      </c>
      <c r="C189" s="229" t="s">
        <v>1254</v>
      </c>
      <c r="D189" s="102" t="s">
        <v>1255</v>
      </c>
      <c r="G189" s="102" t="s">
        <v>353</v>
      </c>
      <c r="H189" s="102" t="s">
        <v>354</v>
      </c>
      <c r="I189" s="102" t="s">
        <v>284</v>
      </c>
      <c r="J189" s="102" t="s">
        <v>63</v>
      </c>
      <c r="L189" s="229" t="s">
        <v>1256</v>
      </c>
      <c r="M189" s="229" t="s">
        <v>2446</v>
      </c>
      <c r="N189" s="229" t="s">
        <v>1257</v>
      </c>
      <c r="O189" s="230"/>
      <c r="U189" s="230"/>
      <c r="V189" s="102" t="s">
        <v>1258</v>
      </c>
      <c r="W189" s="102" t="s">
        <v>1259</v>
      </c>
      <c r="X189" s="102" t="s">
        <v>1203</v>
      </c>
      <c r="Y189" s="102" t="s">
        <v>1204</v>
      </c>
      <c r="Z189" s="102" t="s">
        <v>1260</v>
      </c>
      <c r="AA189" s="102" t="s">
        <v>1205</v>
      </c>
      <c r="AB189" s="102" t="s">
        <v>1205</v>
      </c>
      <c r="AC189" s="102" t="s">
        <v>1058</v>
      </c>
      <c r="AD189" s="102" t="s">
        <v>1058</v>
      </c>
      <c r="AF189" s="230"/>
      <c r="AG189" s="230"/>
      <c r="AH189" s="230"/>
      <c r="AI189" s="230"/>
    </row>
    <row r="190">
      <c r="A190" s="102" t="s">
        <v>310</v>
      </c>
      <c r="B190" s="102" t="s">
        <v>1266</v>
      </c>
      <c r="C190" s="229" t="s">
        <v>1267</v>
      </c>
      <c r="D190" s="102" t="s">
        <v>1268</v>
      </c>
      <c r="E190" s="102" t="s">
        <v>495</v>
      </c>
      <c r="F190" s="102" t="s">
        <v>496</v>
      </c>
      <c r="G190" s="102" t="s">
        <v>282</v>
      </c>
      <c r="H190" s="102" t="s">
        <v>283</v>
      </c>
      <c r="I190" s="102" t="s">
        <v>284</v>
      </c>
      <c r="J190" s="102" t="s">
        <v>454</v>
      </c>
      <c r="L190" s="229" t="s">
        <v>1269</v>
      </c>
      <c r="M190" s="229" t="s">
        <v>2541</v>
      </c>
      <c r="N190" s="229" t="s">
        <v>1170</v>
      </c>
      <c r="O190" s="102">
        <v>5.0</v>
      </c>
      <c r="U190" s="102">
        <v>7200.0</v>
      </c>
      <c r="V190" s="102" t="s">
        <v>299</v>
      </c>
      <c r="W190" s="102" t="s">
        <v>286</v>
      </c>
      <c r="AF190" s="230"/>
      <c r="AG190" s="230"/>
      <c r="AH190" s="230"/>
      <c r="AI190" s="230"/>
    </row>
    <row r="191">
      <c r="A191" s="102" t="s">
        <v>310</v>
      </c>
      <c r="B191" s="102" t="s">
        <v>1271</v>
      </c>
      <c r="C191" s="229" t="s">
        <v>1272</v>
      </c>
      <c r="D191" s="102" t="s">
        <v>1273</v>
      </c>
      <c r="E191" s="102" t="s">
        <v>328</v>
      </c>
      <c r="F191" s="102" t="s">
        <v>329</v>
      </c>
      <c r="G191" s="102" t="s">
        <v>282</v>
      </c>
      <c r="H191" s="102" t="s">
        <v>283</v>
      </c>
      <c r="I191" s="102" t="s">
        <v>284</v>
      </c>
      <c r="J191" s="102" t="s">
        <v>454</v>
      </c>
      <c r="L191" s="229" t="s">
        <v>1274</v>
      </c>
      <c r="M191" s="229" t="s">
        <v>2399</v>
      </c>
      <c r="N191" s="229" t="s">
        <v>1275</v>
      </c>
      <c r="O191" s="102">
        <v>3.0</v>
      </c>
      <c r="U191" s="230"/>
      <c r="V191" s="102" t="s">
        <v>298</v>
      </c>
      <c r="W191" s="102" t="s">
        <v>299</v>
      </c>
      <c r="X191" s="102" t="s">
        <v>286</v>
      </c>
      <c r="AF191" s="230"/>
      <c r="AG191" s="230"/>
      <c r="AH191" s="230"/>
      <c r="AI191" s="230"/>
    </row>
    <row r="192">
      <c r="A192" s="102" t="s">
        <v>310</v>
      </c>
      <c r="B192" s="102" t="s">
        <v>2064</v>
      </c>
      <c r="C192" s="229" t="s">
        <v>2065</v>
      </c>
      <c r="D192" s="102" t="s">
        <v>2066</v>
      </c>
      <c r="E192" s="102" t="s">
        <v>584</v>
      </c>
      <c r="F192" s="102" t="s">
        <v>585</v>
      </c>
      <c r="G192" s="102" t="s">
        <v>282</v>
      </c>
      <c r="H192" s="102" t="s">
        <v>283</v>
      </c>
      <c r="I192" s="102" t="s">
        <v>284</v>
      </c>
      <c r="J192" s="102" t="s">
        <v>454</v>
      </c>
      <c r="L192" s="229" t="s">
        <v>2067</v>
      </c>
      <c r="M192" s="229" t="s">
        <v>2223</v>
      </c>
      <c r="N192" s="229" t="s">
        <v>2069</v>
      </c>
      <c r="O192" s="102">
        <v>5.0</v>
      </c>
      <c r="U192" s="230"/>
      <c r="V192" s="102" t="s">
        <v>299</v>
      </c>
      <c r="W192" s="102" t="s">
        <v>286</v>
      </c>
      <c r="AF192" s="230"/>
      <c r="AG192" s="230"/>
      <c r="AH192" s="230"/>
      <c r="AI192" s="230"/>
    </row>
    <row r="193">
      <c r="A193" s="102" t="s">
        <v>310</v>
      </c>
      <c r="B193" s="102" t="s">
        <v>2070</v>
      </c>
      <c r="C193" s="229" t="s">
        <v>2071</v>
      </c>
      <c r="D193" s="102" t="s">
        <v>2072</v>
      </c>
      <c r="E193" s="102" t="s">
        <v>495</v>
      </c>
      <c r="F193" s="102" t="s">
        <v>496</v>
      </c>
      <c r="G193" s="102" t="s">
        <v>282</v>
      </c>
      <c r="H193" s="102" t="s">
        <v>283</v>
      </c>
      <c r="I193" s="102" t="s">
        <v>284</v>
      </c>
      <c r="J193" s="102" t="s">
        <v>454</v>
      </c>
      <c r="L193" s="229" t="s">
        <v>2073</v>
      </c>
      <c r="M193" s="229" t="s">
        <v>2399</v>
      </c>
      <c r="O193" s="102">
        <v>1.0</v>
      </c>
      <c r="P193" s="102" t="s">
        <v>435</v>
      </c>
      <c r="U193" s="102">
        <v>3600.0</v>
      </c>
      <c r="V193" s="102" t="s">
        <v>1991</v>
      </c>
      <c r="W193" s="102" t="s">
        <v>1992</v>
      </c>
      <c r="X193" s="102" t="s">
        <v>1085</v>
      </c>
      <c r="Y193" s="102" t="s">
        <v>529</v>
      </c>
      <c r="Z193" s="102" t="s">
        <v>298</v>
      </c>
      <c r="AA193" s="102" t="s">
        <v>299</v>
      </c>
      <c r="AB193" s="102" t="s">
        <v>286</v>
      </c>
      <c r="AF193" s="230"/>
      <c r="AG193" s="230"/>
      <c r="AH193" s="230"/>
      <c r="AI193" s="230"/>
    </row>
    <row r="194">
      <c r="A194" s="102" t="s">
        <v>310</v>
      </c>
      <c r="B194" s="102" t="s">
        <v>2075</v>
      </c>
      <c r="C194" s="229" t="s">
        <v>2076</v>
      </c>
      <c r="D194" s="102" t="s">
        <v>2077</v>
      </c>
      <c r="E194" s="102" t="s">
        <v>495</v>
      </c>
      <c r="F194" s="102" t="s">
        <v>496</v>
      </c>
      <c r="G194" s="102" t="s">
        <v>282</v>
      </c>
      <c r="H194" s="102" t="s">
        <v>283</v>
      </c>
      <c r="I194" s="102" t="s">
        <v>284</v>
      </c>
      <c r="J194" s="102" t="s">
        <v>454</v>
      </c>
      <c r="L194" s="229" t="s">
        <v>2073</v>
      </c>
      <c r="M194" s="229" t="s">
        <v>2399</v>
      </c>
      <c r="O194" s="102">
        <v>1.0</v>
      </c>
      <c r="P194" s="102" t="s">
        <v>435</v>
      </c>
      <c r="U194" s="102">
        <v>7200.0</v>
      </c>
      <c r="V194" s="102" t="s">
        <v>1991</v>
      </c>
      <c r="W194" s="102" t="s">
        <v>1992</v>
      </c>
      <c r="X194" s="102" t="s">
        <v>1085</v>
      </c>
      <c r="Y194" s="102" t="s">
        <v>529</v>
      </c>
      <c r="Z194" s="102" t="s">
        <v>298</v>
      </c>
      <c r="AA194" s="102" t="s">
        <v>299</v>
      </c>
      <c r="AB194" s="102" t="s">
        <v>286</v>
      </c>
      <c r="AF194" s="230"/>
      <c r="AG194" s="230"/>
      <c r="AH194" s="230"/>
      <c r="AI194" s="230"/>
    </row>
    <row r="195">
      <c r="A195" s="102" t="s">
        <v>310</v>
      </c>
      <c r="B195" s="102" t="s">
        <v>2078</v>
      </c>
      <c r="C195" s="229" t="s">
        <v>2079</v>
      </c>
      <c r="D195" s="102" t="s">
        <v>2080</v>
      </c>
      <c r="E195" s="102" t="s">
        <v>495</v>
      </c>
      <c r="F195" s="102" t="s">
        <v>496</v>
      </c>
      <c r="G195" s="102" t="s">
        <v>282</v>
      </c>
      <c r="H195" s="102" t="s">
        <v>283</v>
      </c>
      <c r="I195" s="102" t="s">
        <v>284</v>
      </c>
      <c r="J195" s="102" t="s">
        <v>454</v>
      </c>
      <c r="L195" s="229" t="s">
        <v>2073</v>
      </c>
      <c r="M195" s="229" t="s">
        <v>2399</v>
      </c>
      <c r="O195" s="102">
        <v>2.0</v>
      </c>
      <c r="P195" s="102" t="s">
        <v>435</v>
      </c>
      <c r="U195" s="102">
        <v>10800.0</v>
      </c>
      <c r="V195" s="102" t="s">
        <v>1991</v>
      </c>
      <c r="W195" s="102" t="s">
        <v>1992</v>
      </c>
      <c r="X195" s="102" t="s">
        <v>1085</v>
      </c>
      <c r="Y195" s="102" t="s">
        <v>529</v>
      </c>
      <c r="Z195" s="102" t="s">
        <v>298</v>
      </c>
      <c r="AA195" s="102" t="s">
        <v>299</v>
      </c>
      <c r="AB195" s="102" t="s">
        <v>286</v>
      </c>
      <c r="AF195" s="230"/>
      <c r="AG195" s="230"/>
      <c r="AH195" s="230"/>
      <c r="AI195" s="230"/>
    </row>
    <row r="196">
      <c r="A196" s="102" t="s">
        <v>310</v>
      </c>
      <c r="B196" s="102" t="s">
        <v>2081</v>
      </c>
      <c r="C196" s="229" t="s">
        <v>2082</v>
      </c>
      <c r="D196" s="102" t="s">
        <v>2083</v>
      </c>
      <c r="E196" s="102" t="s">
        <v>513</v>
      </c>
      <c r="F196" s="102" t="s">
        <v>514</v>
      </c>
      <c r="G196" s="102" t="s">
        <v>282</v>
      </c>
      <c r="H196" s="102" t="s">
        <v>283</v>
      </c>
      <c r="I196" s="102" t="s">
        <v>284</v>
      </c>
      <c r="J196" s="102" t="s">
        <v>454</v>
      </c>
      <c r="L196" s="229" t="s">
        <v>2073</v>
      </c>
      <c r="M196" s="229" t="s">
        <v>2399</v>
      </c>
      <c r="O196" s="102">
        <v>1.0</v>
      </c>
      <c r="P196" s="102" t="s">
        <v>435</v>
      </c>
      <c r="U196" s="102">
        <v>7200.0</v>
      </c>
      <c r="V196" s="102" t="s">
        <v>1991</v>
      </c>
      <c r="W196" s="102" t="s">
        <v>1992</v>
      </c>
      <c r="X196" s="102" t="s">
        <v>1085</v>
      </c>
      <c r="Y196" s="102" t="s">
        <v>529</v>
      </c>
      <c r="Z196" s="102" t="s">
        <v>298</v>
      </c>
      <c r="AA196" s="102" t="s">
        <v>299</v>
      </c>
      <c r="AB196" s="102" t="s">
        <v>286</v>
      </c>
      <c r="AF196" s="230"/>
      <c r="AG196" s="230"/>
      <c r="AH196" s="230"/>
      <c r="AI196" s="230"/>
    </row>
    <row r="197">
      <c r="A197" s="102" t="s">
        <v>310</v>
      </c>
      <c r="B197" s="102" t="s">
        <v>2085</v>
      </c>
      <c r="C197" s="229" t="s">
        <v>2086</v>
      </c>
      <c r="D197" s="102" t="s">
        <v>2087</v>
      </c>
      <c r="E197" s="102" t="s">
        <v>513</v>
      </c>
      <c r="F197" s="102" t="s">
        <v>514</v>
      </c>
      <c r="G197" s="102" t="s">
        <v>282</v>
      </c>
      <c r="H197" s="102" t="s">
        <v>283</v>
      </c>
      <c r="I197" s="102" t="s">
        <v>284</v>
      </c>
      <c r="J197" s="102" t="s">
        <v>454</v>
      </c>
      <c r="L197" s="229" t="s">
        <v>2088</v>
      </c>
      <c r="M197" s="229" t="s">
        <v>2399</v>
      </c>
      <c r="N197" s="229" t="s">
        <v>2089</v>
      </c>
      <c r="O197" s="102">
        <v>1.0</v>
      </c>
      <c r="P197" s="102" t="s">
        <v>435</v>
      </c>
      <c r="U197" s="102">
        <v>7200.0</v>
      </c>
      <c r="V197" s="102" t="s">
        <v>1991</v>
      </c>
      <c r="W197" s="102" t="s">
        <v>1992</v>
      </c>
      <c r="X197" s="102" t="s">
        <v>1085</v>
      </c>
      <c r="Y197" s="102" t="s">
        <v>529</v>
      </c>
      <c r="Z197" s="102" t="s">
        <v>298</v>
      </c>
      <c r="AA197" s="102" t="s">
        <v>299</v>
      </c>
      <c r="AB197" s="102" t="s">
        <v>286</v>
      </c>
      <c r="AF197" s="230"/>
      <c r="AG197" s="230"/>
      <c r="AH197" s="230"/>
      <c r="AI197" s="230"/>
    </row>
    <row r="198">
      <c r="A198" s="102" t="s">
        <v>310</v>
      </c>
      <c r="B198" s="102" t="s">
        <v>2090</v>
      </c>
      <c r="C198" s="229" t="s">
        <v>2091</v>
      </c>
      <c r="D198" s="102" t="s">
        <v>2092</v>
      </c>
      <c r="E198" s="102" t="s">
        <v>513</v>
      </c>
      <c r="F198" s="102" t="s">
        <v>514</v>
      </c>
      <c r="G198" s="102" t="s">
        <v>282</v>
      </c>
      <c r="H198" s="102" t="s">
        <v>283</v>
      </c>
      <c r="I198" s="102" t="s">
        <v>284</v>
      </c>
      <c r="J198" s="102" t="s">
        <v>454</v>
      </c>
      <c r="L198" s="229" t="s">
        <v>2088</v>
      </c>
      <c r="M198" s="229" t="s">
        <v>2399</v>
      </c>
      <c r="O198" s="102">
        <v>1.0</v>
      </c>
      <c r="P198" s="102" t="s">
        <v>435</v>
      </c>
      <c r="U198" s="102">
        <v>7200.0</v>
      </c>
      <c r="V198" s="102" t="s">
        <v>1991</v>
      </c>
      <c r="W198" s="102" t="s">
        <v>1992</v>
      </c>
      <c r="X198" s="102" t="s">
        <v>1085</v>
      </c>
      <c r="Y198" s="102" t="s">
        <v>529</v>
      </c>
      <c r="Z198" s="102" t="s">
        <v>298</v>
      </c>
      <c r="AA198" s="102" t="s">
        <v>299</v>
      </c>
      <c r="AB198" s="102" t="s">
        <v>286</v>
      </c>
      <c r="AF198" s="230"/>
      <c r="AG198" s="230"/>
      <c r="AH198" s="230"/>
      <c r="AI198" s="230"/>
    </row>
    <row r="199">
      <c r="A199" s="102" t="s">
        <v>310</v>
      </c>
      <c r="B199" s="102" t="s">
        <v>2093</v>
      </c>
      <c r="C199" s="229" t="s">
        <v>2094</v>
      </c>
      <c r="D199" s="102" t="s">
        <v>2095</v>
      </c>
      <c r="E199" s="102" t="s">
        <v>513</v>
      </c>
      <c r="F199" s="102" t="s">
        <v>514</v>
      </c>
      <c r="G199" s="102" t="s">
        <v>282</v>
      </c>
      <c r="H199" s="102" t="s">
        <v>283</v>
      </c>
      <c r="I199" s="102" t="s">
        <v>284</v>
      </c>
      <c r="J199" s="102" t="s">
        <v>454</v>
      </c>
      <c r="L199" s="229" t="s">
        <v>2088</v>
      </c>
      <c r="M199" s="229" t="s">
        <v>2399</v>
      </c>
      <c r="N199" s="229" t="s">
        <v>2096</v>
      </c>
      <c r="O199" s="102">
        <v>2.0</v>
      </c>
      <c r="P199" s="102" t="s">
        <v>435</v>
      </c>
      <c r="U199" s="102">
        <v>14400.0</v>
      </c>
      <c r="V199" s="102" t="s">
        <v>1991</v>
      </c>
      <c r="W199" s="102" t="s">
        <v>1992</v>
      </c>
      <c r="X199" s="102" t="s">
        <v>1085</v>
      </c>
      <c r="Y199" s="102" t="s">
        <v>529</v>
      </c>
      <c r="Z199" s="102" t="s">
        <v>298</v>
      </c>
      <c r="AA199" s="102" t="s">
        <v>299</v>
      </c>
      <c r="AB199" s="102" t="s">
        <v>286</v>
      </c>
      <c r="AF199" s="230"/>
      <c r="AG199" s="230"/>
      <c r="AH199" s="230"/>
      <c r="AI199" s="230"/>
    </row>
    <row r="200">
      <c r="A200" s="102" t="s">
        <v>310</v>
      </c>
      <c r="B200" s="102" t="s">
        <v>1276</v>
      </c>
      <c r="C200" s="229" t="s">
        <v>1277</v>
      </c>
      <c r="D200" s="102" t="s">
        <v>1278</v>
      </c>
      <c r="E200" s="102" t="s">
        <v>584</v>
      </c>
      <c r="F200" s="102" t="s">
        <v>585</v>
      </c>
      <c r="G200" s="102" t="s">
        <v>282</v>
      </c>
      <c r="H200" s="102" t="s">
        <v>283</v>
      </c>
      <c r="I200" s="102" t="s">
        <v>284</v>
      </c>
      <c r="J200" s="102" t="s">
        <v>454</v>
      </c>
      <c r="L200" s="229" t="s">
        <v>1279</v>
      </c>
      <c r="M200" s="229" t="s">
        <v>2542</v>
      </c>
      <c r="O200" s="102">
        <v>5.0</v>
      </c>
      <c r="U200" s="230"/>
      <c r="V200" s="102" t="s">
        <v>286</v>
      </c>
      <c r="AF200" s="230"/>
      <c r="AG200" s="230"/>
      <c r="AH200" s="230"/>
      <c r="AI200" s="230"/>
    </row>
    <row r="201">
      <c r="A201" s="102" t="s">
        <v>310</v>
      </c>
      <c r="B201" s="102" t="s">
        <v>2097</v>
      </c>
      <c r="C201" s="229" t="s">
        <v>2098</v>
      </c>
      <c r="D201" s="102" t="s">
        <v>2099</v>
      </c>
      <c r="E201" s="102" t="s">
        <v>556</v>
      </c>
      <c r="F201" s="102" t="s">
        <v>557</v>
      </c>
      <c r="G201" s="102" t="s">
        <v>282</v>
      </c>
      <c r="H201" s="102" t="s">
        <v>283</v>
      </c>
      <c r="I201" s="102" t="s">
        <v>648</v>
      </c>
      <c r="J201" s="102" t="s">
        <v>454</v>
      </c>
      <c r="L201" s="229" t="s">
        <v>1283</v>
      </c>
      <c r="M201" s="229" t="s">
        <v>2541</v>
      </c>
      <c r="N201" s="229" t="s">
        <v>1293</v>
      </c>
      <c r="O201" s="102">
        <v>3.0</v>
      </c>
      <c r="U201" s="102">
        <v>28800.0</v>
      </c>
      <c r="V201" s="102" t="s">
        <v>299</v>
      </c>
      <c r="W201" s="102" t="s">
        <v>286</v>
      </c>
      <c r="AF201" s="230"/>
      <c r="AG201" s="230"/>
      <c r="AH201" s="230"/>
      <c r="AI201" s="230"/>
    </row>
    <row r="202">
      <c r="A202" s="102" t="s">
        <v>310</v>
      </c>
      <c r="B202" s="102" t="s">
        <v>1280</v>
      </c>
      <c r="C202" s="229" t="s">
        <v>1281</v>
      </c>
      <c r="D202" s="102" t="s">
        <v>1282</v>
      </c>
      <c r="E202" s="102" t="s">
        <v>513</v>
      </c>
      <c r="F202" s="102" t="s">
        <v>514</v>
      </c>
      <c r="G202" s="102" t="s">
        <v>282</v>
      </c>
      <c r="H202" s="102" t="s">
        <v>283</v>
      </c>
      <c r="I202" s="102" t="s">
        <v>648</v>
      </c>
      <c r="J202" s="102" t="s">
        <v>454</v>
      </c>
      <c r="L202" s="229" t="s">
        <v>1283</v>
      </c>
      <c r="M202" s="229" t="s">
        <v>2541</v>
      </c>
      <c r="N202" s="229" t="s">
        <v>1126</v>
      </c>
      <c r="O202" s="102">
        <v>3.0</v>
      </c>
      <c r="U202" s="102">
        <v>28800.0</v>
      </c>
      <c r="V202" s="102" t="s">
        <v>299</v>
      </c>
      <c r="W202" s="102" t="s">
        <v>286</v>
      </c>
      <c r="AF202" s="230"/>
      <c r="AG202" s="230"/>
      <c r="AH202" s="230"/>
      <c r="AI202" s="230"/>
    </row>
    <row r="203">
      <c r="A203" s="102" t="s">
        <v>310</v>
      </c>
      <c r="B203" s="102" t="s">
        <v>2101</v>
      </c>
      <c r="C203" s="229" t="s">
        <v>2102</v>
      </c>
      <c r="D203" s="102" t="s">
        <v>2103</v>
      </c>
      <c r="E203" s="102" t="s">
        <v>556</v>
      </c>
      <c r="F203" s="102" t="s">
        <v>557</v>
      </c>
      <c r="G203" s="102" t="s">
        <v>282</v>
      </c>
      <c r="H203" s="102" t="s">
        <v>283</v>
      </c>
      <c r="I203" s="102" t="s">
        <v>284</v>
      </c>
      <c r="J203" s="102" t="s">
        <v>454</v>
      </c>
      <c r="L203" s="229" t="s">
        <v>1283</v>
      </c>
      <c r="M203" s="229" t="s">
        <v>2541</v>
      </c>
      <c r="N203" s="229" t="s">
        <v>1160</v>
      </c>
      <c r="O203" s="102">
        <v>5.0</v>
      </c>
      <c r="U203" s="230"/>
      <c r="V203" s="102" t="s">
        <v>299</v>
      </c>
      <c r="W203" s="102" t="s">
        <v>286</v>
      </c>
      <c r="AF203" s="230"/>
      <c r="AG203" s="230"/>
      <c r="AH203" s="230"/>
      <c r="AI203" s="230"/>
    </row>
    <row r="204">
      <c r="A204" s="102" t="s">
        <v>310</v>
      </c>
      <c r="B204" s="102" t="s">
        <v>1284</v>
      </c>
      <c r="C204" s="229" t="s">
        <v>1285</v>
      </c>
      <c r="D204" s="102" t="s">
        <v>1286</v>
      </c>
      <c r="E204" s="102" t="s">
        <v>513</v>
      </c>
      <c r="F204" s="102" t="s">
        <v>514</v>
      </c>
      <c r="G204" s="102" t="s">
        <v>282</v>
      </c>
      <c r="H204" s="102" t="s">
        <v>283</v>
      </c>
      <c r="I204" s="102" t="s">
        <v>284</v>
      </c>
      <c r="J204" s="102" t="s">
        <v>454</v>
      </c>
      <c r="L204" s="229" t="s">
        <v>1283</v>
      </c>
      <c r="M204" s="229" t="s">
        <v>2541</v>
      </c>
      <c r="N204" s="229" t="s">
        <v>1126</v>
      </c>
      <c r="O204" s="102">
        <v>3.0</v>
      </c>
      <c r="U204" s="102">
        <v>28800.0</v>
      </c>
      <c r="V204" s="102" t="s">
        <v>299</v>
      </c>
      <c r="W204" s="102" t="s">
        <v>286</v>
      </c>
      <c r="AF204" s="230"/>
      <c r="AG204" s="230"/>
      <c r="AH204" s="230"/>
      <c r="AI204" s="230"/>
    </row>
    <row r="205">
      <c r="A205" s="102" t="s">
        <v>310</v>
      </c>
      <c r="B205" s="102" t="s">
        <v>1287</v>
      </c>
      <c r="C205" s="229" t="s">
        <v>1288</v>
      </c>
      <c r="D205" s="102" t="s">
        <v>1289</v>
      </c>
      <c r="E205" s="102" t="s">
        <v>556</v>
      </c>
      <c r="F205" s="102" t="s">
        <v>557</v>
      </c>
      <c r="G205" s="102" t="s">
        <v>282</v>
      </c>
      <c r="H205" s="102" t="s">
        <v>283</v>
      </c>
      <c r="I205" s="102" t="s">
        <v>284</v>
      </c>
      <c r="J205" s="102" t="s">
        <v>454</v>
      </c>
      <c r="L205" s="229" t="s">
        <v>1283</v>
      </c>
      <c r="M205" s="229" t="s">
        <v>2541</v>
      </c>
      <c r="N205" s="229" t="s">
        <v>1126</v>
      </c>
      <c r="O205" s="102">
        <v>3.0</v>
      </c>
      <c r="U205" s="102">
        <v>28800.0</v>
      </c>
      <c r="V205" s="102" t="s">
        <v>299</v>
      </c>
      <c r="W205" s="102" t="s">
        <v>286</v>
      </c>
      <c r="AF205" s="230"/>
      <c r="AG205" s="230"/>
      <c r="AH205" s="230"/>
      <c r="AI205" s="230"/>
    </row>
    <row r="206">
      <c r="A206" s="102" t="s">
        <v>310</v>
      </c>
      <c r="B206" s="102" t="s">
        <v>1290</v>
      </c>
      <c r="C206" s="229" t="s">
        <v>1291</v>
      </c>
      <c r="D206" s="102" t="s">
        <v>1292</v>
      </c>
      <c r="E206" s="102" t="s">
        <v>556</v>
      </c>
      <c r="F206" s="102" t="s">
        <v>557</v>
      </c>
      <c r="G206" s="102" t="s">
        <v>282</v>
      </c>
      <c r="H206" s="102" t="s">
        <v>283</v>
      </c>
      <c r="I206" s="102" t="s">
        <v>284</v>
      </c>
      <c r="J206" s="102" t="s">
        <v>454</v>
      </c>
      <c r="L206" s="229" t="s">
        <v>1283</v>
      </c>
      <c r="M206" s="229" t="s">
        <v>2541</v>
      </c>
      <c r="N206" s="229" t="s">
        <v>1293</v>
      </c>
      <c r="O206" s="102">
        <v>2.0</v>
      </c>
      <c r="U206" s="102">
        <v>14400.0</v>
      </c>
      <c r="V206" s="102" t="s">
        <v>299</v>
      </c>
      <c r="W206" s="102" t="s">
        <v>286</v>
      </c>
      <c r="AF206" s="230"/>
      <c r="AG206" s="230"/>
      <c r="AH206" s="230"/>
      <c r="AI206" s="230"/>
    </row>
    <row r="207">
      <c r="A207" s="102" t="s">
        <v>310</v>
      </c>
      <c r="B207" s="102" t="s">
        <v>2104</v>
      </c>
      <c r="C207" s="229" t="s">
        <v>2105</v>
      </c>
      <c r="D207" s="102" t="s">
        <v>2106</v>
      </c>
      <c r="E207" s="102" t="s">
        <v>328</v>
      </c>
      <c r="F207" s="102" t="s">
        <v>329</v>
      </c>
      <c r="G207" s="102" t="s">
        <v>282</v>
      </c>
      <c r="H207" s="102" t="s">
        <v>283</v>
      </c>
      <c r="I207" s="102" t="s">
        <v>284</v>
      </c>
      <c r="J207" s="102" t="s">
        <v>454</v>
      </c>
      <c r="L207" s="229" t="s">
        <v>1283</v>
      </c>
      <c r="M207" s="229" t="s">
        <v>2541</v>
      </c>
      <c r="N207" s="229" t="s">
        <v>1139</v>
      </c>
      <c r="O207" s="102">
        <v>1.0</v>
      </c>
      <c r="U207" s="230"/>
      <c r="V207" s="102" t="s">
        <v>299</v>
      </c>
      <c r="W207" s="102" t="s">
        <v>286</v>
      </c>
      <c r="AF207" s="230"/>
      <c r="AG207" s="230"/>
      <c r="AH207" s="230"/>
      <c r="AI207" s="230"/>
    </row>
    <row r="208">
      <c r="A208" s="102" t="s">
        <v>310</v>
      </c>
      <c r="B208" s="102" t="s">
        <v>2107</v>
      </c>
      <c r="C208" s="229" t="s">
        <v>2108</v>
      </c>
      <c r="D208" s="102" t="s">
        <v>2109</v>
      </c>
      <c r="E208" s="102" t="s">
        <v>328</v>
      </c>
      <c r="F208" s="102" t="s">
        <v>329</v>
      </c>
      <c r="G208" s="102" t="s">
        <v>282</v>
      </c>
      <c r="H208" s="102" t="s">
        <v>283</v>
      </c>
      <c r="I208" s="102" t="s">
        <v>284</v>
      </c>
      <c r="J208" s="102" t="s">
        <v>454</v>
      </c>
      <c r="L208" s="229" t="s">
        <v>1283</v>
      </c>
      <c r="M208" s="229" t="s">
        <v>2541</v>
      </c>
      <c r="N208" s="229" t="s">
        <v>1139</v>
      </c>
      <c r="O208" s="102">
        <v>1.0</v>
      </c>
      <c r="U208" s="230"/>
      <c r="V208" s="102" t="s">
        <v>299</v>
      </c>
      <c r="W208" s="102" t="s">
        <v>286</v>
      </c>
      <c r="AF208" s="230"/>
      <c r="AG208" s="230"/>
      <c r="AH208" s="230"/>
      <c r="AI208" s="230"/>
    </row>
    <row r="209">
      <c r="A209" s="102" t="s">
        <v>310</v>
      </c>
      <c r="B209" s="102" t="s">
        <v>2110</v>
      </c>
      <c r="C209" s="229" t="s">
        <v>2111</v>
      </c>
      <c r="D209" s="102" t="s">
        <v>2112</v>
      </c>
      <c r="E209" s="102" t="s">
        <v>328</v>
      </c>
      <c r="F209" s="102" t="s">
        <v>329</v>
      </c>
      <c r="G209" s="102" t="s">
        <v>282</v>
      </c>
      <c r="H209" s="102" t="s">
        <v>283</v>
      </c>
      <c r="I209" s="102" t="s">
        <v>284</v>
      </c>
      <c r="J209" s="102" t="s">
        <v>454</v>
      </c>
      <c r="L209" s="229" t="s">
        <v>1283</v>
      </c>
      <c r="M209" s="229" t="s">
        <v>2543</v>
      </c>
      <c r="N209" s="229" t="s">
        <v>1139</v>
      </c>
      <c r="O209" s="102">
        <v>1.0</v>
      </c>
      <c r="U209" s="230"/>
      <c r="V209" s="102" t="s">
        <v>299</v>
      </c>
      <c r="W209" s="102" t="s">
        <v>286</v>
      </c>
      <c r="AF209" s="230"/>
      <c r="AG209" s="230"/>
      <c r="AH209" s="230"/>
      <c r="AI209" s="230"/>
    </row>
    <row r="210">
      <c r="A210" s="102" t="s">
        <v>310</v>
      </c>
      <c r="B210" s="102" t="s">
        <v>2113</v>
      </c>
      <c r="C210" s="229" t="s">
        <v>2114</v>
      </c>
      <c r="D210" s="102" t="s">
        <v>2115</v>
      </c>
      <c r="E210" s="102" t="s">
        <v>513</v>
      </c>
      <c r="F210" s="102" t="s">
        <v>514</v>
      </c>
      <c r="G210" s="102" t="s">
        <v>282</v>
      </c>
      <c r="H210" s="102" t="s">
        <v>283</v>
      </c>
      <c r="I210" s="102" t="s">
        <v>648</v>
      </c>
      <c r="J210" s="102" t="s">
        <v>454</v>
      </c>
      <c r="L210" s="229" t="s">
        <v>2116</v>
      </c>
      <c r="M210" s="229" t="s">
        <v>2399</v>
      </c>
      <c r="N210" s="229" t="s">
        <v>1237</v>
      </c>
      <c r="O210" s="102">
        <v>3.0</v>
      </c>
      <c r="U210" s="102">
        <v>28800.0</v>
      </c>
      <c r="V210" s="102" t="s">
        <v>529</v>
      </c>
      <c r="W210" s="102" t="s">
        <v>298</v>
      </c>
      <c r="X210" s="102" t="s">
        <v>299</v>
      </c>
      <c r="Y210" s="102" t="s">
        <v>286</v>
      </c>
      <c r="AF210" s="230"/>
      <c r="AG210" s="230"/>
      <c r="AH210" s="230"/>
      <c r="AI210" s="230"/>
    </row>
    <row r="211">
      <c r="A211" s="102" t="s">
        <v>310</v>
      </c>
      <c r="B211" s="102" t="s">
        <v>2117</v>
      </c>
      <c r="C211" s="229" t="s">
        <v>2118</v>
      </c>
      <c r="D211" s="102" t="s">
        <v>2119</v>
      </c>
      <c r="E211" s="102" t="s">
        <v>513</v>
      </c>
      <c r="F211" s="102" t="s">
        <v>514</v>
      </c>
      <c r="G211" s="102" t="s">
        <v>282</v>
      </c>
      <c r="H211" s="102" t="s">
        <v>283</v>
      </c>
      <c r="I211" s="102" t="s">
        <v>648</v>
      </c>
      <c r="J211" s="102" t="s">
        <v>454</v>
      </c>
      <c r="L211" s="229" t="s">
        <v>2116</v>
      </c>
      <c r="M211" s="229" t="s">
        <v>2399</v>
      </c>
      <c r="N211" s="229" t="s">
        <v>1247</v>
      </c>
      <c r="O211" s="102">
        <v>3.0</v>
      </c>
      <c r="U211" s="102">
        <v>28800.0</v>
      </c>
      <c r="V211" s="102" t="s">
        <v>529</v>
      </c>
      <c r="W211" s="102" t="s">
        <v>298</v>
      </c>
      <c r="X211" s="102" t="s">
        <v>299</v>
      </c>
      <c r="Y211" s="102" t="s">
        <v>286</v>
      </c>
      <c r="AF211" s="230"/>
      <c r="AG211" s="230"/>
      <c r="AH211" s="230"/>
      <c r="AI211" s="230"/>
    </row>
    <row r="212">
      <c r="A212" s="102" t="s">
        <v>310</v>
      </c>
      <c r="B212" s="102" t="s">
        <v>2120</v>
      </c>
      <c r="C212" s="229" t="s">
        <v>2121</v>
      </c>
      <c r="D212" s="102" t="s">
        <v>2122</v>
      </c>
      <c r="E212" s="102" t="s">
        <v>564</v>
      </c>
      <c r="F212" s="102" t="s">
        <v>565</v>
      </c>
      <c r="G212" s="102" t="s">
        <v>282</v>
      </c>
      <c r="H212" s="102" t="s">
        <v>283</v>
      </c>
      <c r="I212" s="102" t="s">
        <v>284</v>
      </c>
      <c r="J212" s="102" t="s">
        <v>454</v>
      </c>
      <c r="L212" s="229" t="s">
        <v>2123</v>
      </c>
      <c r="M212" s="229" t="s">
        <v>2399</v>
      </c>
      <c r="N212" s="229" t="s">
        <v>1352</v>
      </c>
      <c r="O212" s="102">
        <v>5.0</v>
      </c>
      <c r="U212" s="102">
        <v>57600.0</v>
      </c>
      <c r="V212" s="102" t="s">
        <v>1085</v>
      </c>
      <c r="W212" s="102" t="s">
        <v>529</v>
      </c>
      <c r="X212" s="102" t="s">
        <v>298</v>
      </c>
      <c r="Y212" s="102" t="s">
        <v>299</v>
      </c>
      <c r="Z212" s="102" t="s">
        <v>286</v>
      </c>
      <c r="AF212" s="230"/>
      <c r="AG212" s="230"/>
      <c r="AH212" s="230"/>
      <c r="AI212" s="230"/>
    </row>
    <row r="213">
      <c r="A213" s="102" t="s">
        <v>310</v>
      </c>
      <c r="B213" s="102" t="s">
        <v>1294</v>
      </c>
      <c r="C213" s="229" t="s">
        <v>1295</v>
      </c>
      <c r="D213" s="102" t="s">
        <v>1296</v>
      </c>
      <c r="E213" s="102" t="s">
        <v>328</v>
      </c>
      <c r="F213" s="102" t="s">
        <v>329</v>
      </c>
      <c r="G213" s="102" t="s">
        <v>282</v>
      </c>
      <c r="H213" s="102" t="s">
        <v>283</v>
      </c>
      <c r="I213" s="102" t="s">
        <v>284</v>
      </c>
      <c r="J213" s="102" t="s">
        <v>454</v>
      </c>
      <c r="L213" s="229" t="s">
        <v>1297</v>
      </c>
      <c r="M213" s="229" t="s">
        <v>2327</v>
      </c>
      <c r="O213" s="102">
        <v>3.0</v>
      </c>
      <c r="U213" s="230"/>
      <c r="V213" s="102" t="s">
        <v>286</v>
      </c>
      <c r="AF213" s="230"/>
      <c r="AG213" s="230"/>
      <c r="AH213" s="230"/>
      <c r="AI213" s="230"/>
    </row>
    <row r="214">
      <c r="A214" s="102" t="s">
        <v>310</v>
      </c>
      <c r="B214" s="102" t="s">
        <v>1298</v>
      </c>
      <c r="C214" s="229" t="s">
        <v>1299</v>
      </c>
      <c r="D214" s="102" t="s">
        <v>1300</v>
      </c>
      <c r="E214" s="102" t="s">
        <v>328</v>
      </c>
      <c r="F214" s="102" t="s">
        <v>329</v>
      </c>
      <c r="G214" s="102" t="s">
        <v>282</v>
      </c>
      <c r="H214" s="102" t="s">
        <v>283</v>
      </c>
      <c r="I214" s="102" t="s">
        <v>284</v>
      </c>
      <c r="J214" s="102" t="s">
        <v>454</v>
      </c>
      <c r="L214" s="229" t="s">
        <v>1297</v>
      </c>
      <c r="M214" s="229" t="s">
        <v>2327</v>
      </c>
      <c r="O214" s="102">
        <v>5.0</v>
      </c>
      <c r="U214" s="230"/>
      <c r="V214" s="102" t="s">
        <v>286</v>
      </c>
      <c r="AF214" s="230"/>
      <c r="AG214" s="230"/>
      <c r="AH214" s="230"/>
      <c r="AI214" s="230"/>
    </row>
    <row r="215">
      <c r="A215" s="102" t="s">
        <v>310</v>
      </c>
      <c r="B215" s="102" t="s">
        <v>1301</v>
      </c>
      <c r="C215" s="229" t="s">
        <v>1302</v>
      </c>
      <c r="D215" s="102" t="s">
        <v>1303</v>
      </c>
      <c r="E215" s="102" t="s">
        <v>495</v>
      </c>
      <c r="F215" s="102" t="s">
        <v>496</v>
      </c>
      <c r="G215" s="102" t="s">
        <v>282</v>
      </c>
      <c r="H215" s="102" t="s">
        <v>283</v>
      </c>
      <c r="I215" s="102" t="s">
        <v>284</v>
      </c>
      <c r="J215" s="102" t="s">
        <v>454</v>
      </c>
      <c r="L215" s="229" t="s">
        <v>1297</v>
      </c>
      <c r="M215" s="229" t="s">
        <v>2399</v>
      </c>
      <c r="N215" s="229" t="s">
        <v>1304</v>
      </c>
      <c r="O215" s="102">
        <v>8.0</v>
      </c>
      <c r="P215" s="102" t="s">
        <v>1305</v>
      </c>
      <c r="U215" s="102">
        <v>57600.0</v>
      </c>
      <c r="V215" s="102" t="s">
        <v>298</v>
      </c>
      <c r="W215" s="102" t="s">
        <v>299</v>
      </c>
      <c r="X215" s="102" t="s">
        <v>286</v>
      </c>
      <c r="AF215" s="230"/>
      <c r="AG215" s="230"/>
      <c r="AH215" s="230"/>
      <c r="AI215" s="230"/>
    </row>
    <row r="216">
      <c r="A216" s="102" t="s">
        <v>310</v>
      </c>
      <c r="B216" s="102" t="s">
        <v>1306</v>
      </c>
      <c r="C216" s="229" t="s">
        <v>1307</v>
      </c>
      <c r="D216" s="102" t="s">
        <v>1308</v>
      </c>
      <c r="E216" s="102" t="s">
        <v>328</v>
      </c>
      <c r="F216" s="102" t="s">
        <v>329</v>
      </c>
      <c r="G216" s="102" t="s">
        <v>282</v>
      </c>
      <c r="H216" s="102" t="s">
        <v>283</v>
      </c>
      <c r="I216" s="102" t="s">
        <v>284</v>
      </c>
      <c r="J216" s="102" t="s">
        <v>454</v>
      </c>
      <c r="L216" s="229" t="s">
        <v>1297</v>
      </c>
      <c r="M216" s="229" t="s">
        <v>2399</v>
      </c>
      <c r="N216" s="229" t="s">
        <v>1304</v>
      </c>
      <c r="O216" s="102">
        <v>2.0</v>
      </c>
      <c r="U216" s="230"/>
      <c r="V216" s="102" t="s">
        <v>298</v>
      </c>
      <c r="W216" s="102" t="s">
        <v>299</v>
      </c>
      <c r="X216" s="102" t="s">
        <v>286</v>
      </c>
      <c r="AF216" s="230"/>
      <c r="AG216" s="230"/>
      <c r="AH216" s="230"/>
      <c r="AI216" s="230"/>
    </row>
    <row r="217">
      <c r="A217" s="102" t="s">
        <v>310</v>
      </c>
      <c r="B217" s="102" t="s">
        <v>2126</v>
      </c>
      <c r="C217" s="229" t="s">
        <v>2127</v>
      </c>
      <c r="D217" s="102" t="s">
        <v>2128</v>
      </c>
      <c r="E217" s="102" t="s">
        <v>556</v>
      </c>
      <c r="F217" s="102" t="s">
        <v>557</v>
      </c>
      <c r="G217" s="102" t="s">
        <v>282</v>
      </c>
      <c r="H217" s="102" t="s">
        <v>283</v>
      </c>
      <c r="I217" s="102" t="s">
        <v>648</v>
      </c>
      <c r="J217" s="102" t="s">
        <v>454</v>
      </c>
      <c r="L217" s="229" t="s">
        <v>1312</v>
      </c>
      <c r="M217" s="229" t="s">
        <v>2399</v>
      </c>
      <c r="N217" s="229" t="s">
        <v>1202</v>
      </c>
      <c r="O217" s="102">
        <v>5.0</v>
      </c>
      <c r="U217" s="102">
        <v>57600.0</v>
      </c>
      <c r="V217" s="102" t="s">
        <v>529</v>
      </c>
      <c r="W217" s="102" t="s">
        <v>298</v>
      </c>
      <c r="X217" s="102" t="s">
        <v>299</v>
      </c>
      <c r="Y217" s="102" t="s">
        <v>286</v>
      </c>
      <c r="AF217" s="230"/>
      <c r="AG217" s="230"/>
      <c r="AH217" s="230"/>
      <c r="AI217" s="230"/>
    </row>
    <row r="218">
      <c r="A218" s="102" t="s">
        <v>310</v>
      </c>
      <c r="B218" s="102" t="s">
        <v>1309</v>
      </c>
      <c r="C218" s="229" t="s">
        <v>1310</v>
      </c>
      <c r="D218" s="102" t="s">
        <v>1311</v>
      </c>
      <c r="E218" s="102" t="s">
        <v>556</v>
      </c>
      <c r="F218" s="102" t="s">
        <v>557</v>
      </c>
      <c r="G218" s="102" t="s">
        <v>282</v>
      </c>
      <c r="H218" s="102" t="s">
        <v>283</v>
      </c>
      <c r="I218" s="102" t="s">
        <v>284</v>
      </c>
      <c r="J218" s="102" t="s">
        <v>454</v>
      </c>
      <c r="L218" s="229" t="s">
        <v>1312</v>
      </c>
      <c r="M218" s="229" t="s">
        <v>2399</v>
      </c>
      <c r="N218" s="229" t="s">
        <v>1304</v>
      </c>
      <c r="O218" s="102">
        <v>3.0</v>
      </c>
      <c r="U218" s="102">
        <v>28800.0</v>
      </c>
      <c r="V218" s="102" t="s">
        <v>298</v>
      </c>
      <c r="W218" s="102" t="s">
        <v>299</v>
      </c>
      <c r="X218" s="102" t="s">
        <v>286</v>
      </c>
      <c r="AF218" s="230"/>
      <c r="AG218" s="230"/>
      <c r="AH218" s="230"/>
      <c r="AI218" s="230"/>
    </row>
    <row r="219">
      <c r="A219" s="102" t="s">
        <v>310</v>
      </c>
      <c r="B219" s="102" t="s">
        <v>1313</v>
      </c>
      <c r="C219" s="229" t="s">
        <v>1314</v>
      </c>
      <c r="D219" s="102" t="s">
        <v>1315</v>
      </c>
      <c r="E219" s="102" t="s">
        <v>556</v>
      </c>
      <c r="F219" s="102" t="s">
        <v>557</v>
      </c>
      <c r="G219" s="102" t="s">
        <v>282</v>
      </c>
      <c r="H219" s="102" t="s">
        <v>283</v>
      </c>
      <c r="I219" s="102" t="s">
        <v>284</v>
      </c>
      <c r="J219" s="102" t="s">
        <v>454</v>
      </c>
      <c r="L219" s="229" t="s">
        <v>1312</v>
      </c>
      <c r="M219" s="229" t="s">
        <v>2544</v>
      </c>
      <c r="N219" s="229" t="s">
        <v>1304</v>
      </c>
      <c r="O219" s="102">
        <v>3.0</v>
      </c>
      <c r="U219" s="102">
        <v>28800.0</v>
      </c>
      <c r="V219" s="102" t="s">
        <v>298</v>
      </c>
      <c r="W219" s="102" t="s">
        <v>299</v>
      </c>
      <c r="X219" s="102" t="s">
        <v>286</v>
      </c>
      <c r="AF219" s="230"/>
      <c r="AG219" s="230"/>
      <c r="AH219" s="230"/>
      <c r="AI219" s="230"/>
    </row>
    <row r="220">
      <c r="A220" s="102" t="s">
        <v>310</v>
      </c>
      <c r="B220" s="102" t="s">
        <v>1316</v>
      </c>
      <c r="C220" s="229" t="s">
        <v>1317</v>
      </c>
      <c r="D220" s="102" t="s">
        <v>1318</v>
      </c>
      <c r="E220" s="102" t="s">
        <v>584</v>
      </c>
      <c r="F220" s="102" t="s">
        <v>585</v>
      </c>
      <c r="G220" s="102" t="s">
        <v>282</v>
      </c>
      <c r="H220" s="102" t="s">
        <v>283</v>
      </c>
      <c r="I220" s="102" t="s">
        <v>284</v>
      </c>
      <c r="J220" s="102" t="s">
        <v>454</v>
      </c>
      <c r="L220" s="229" t="s">
        <v>1319</v>
      </c>
      <c r="M220" s="229" t="s">
        <v>2327</v>
      </c>
      <c r="O220" s="102">
        <v>5.0</v>
      </c>
      <c r="U220" s="230"/>
      <c r="V220" s="102" t="s">
        <v>286</v>
      </c>
      <c r="AF220" s="230"/>
      <c r="AG220" s="230"/>
      <c r="AH220" s="230"/>
      <c r="AI220" s="230"/>
    </row>
    <row r="221">
      <c r="A221" s="102" t="s">
        <v>310</v>
      </c>
      <c r="B221" s="102" t="s">
        <v>1320</v>
      </c>
      <c r="C221" s="229" t="s">
        <v>1321</v>
      </c>
      <c r="D221" s="102" t="s">
        <v>1322</v>
      </c>
      <c r="E221" s="102" t="s">
        <v>328</v>
      </c>
      <c r="F221" s="102" t="s">
        <v>329</v>
      </c>
      <c r="G221" s="102" t="s">
        <v>282</v>
      </c>
      <c r="H221" s="102" t="s">
        <v>283</v>
      </c>
      <c r="I221" s="102" t="s">
        <v>284</v>
      </c>
      <c r="J221" s="102" t="s">
        <v>454</v>
      </c>
      <c r="L221" s="229" t="s">
        <v>1319</v>
      </c>
      <c r="M221" s="229" t="s">
        <v>2399</v>
      </c>
      <c r="N221" s="229" t="s">
        <v>1323</v>
      </c>
      <c r="O221" s="102">
        <v>5.0</v>
      </c>
      <c r="U221" s="230"/>
      <c r="V221" s="102" t="s">
        <v>298</v>
      </c>
      <c r="W221" s="102" t="s">
        <v>299</v>
      </c>
      <c r="X221" s="102" t="s">
        <v>286</v>
      </c>
      <c r="AF221" s="230"/>
      <c r="AG221" s="230"/>
      <c r="AH221" s="230"/>
      <c r="AI221" s="230"/>
    </row>
    <row r="222">
      <c r="A222" s="102" t="s">
        <v>310</v>
      </c>
      <c r="B222" s="102" t="s">
        <v>2130</v>
      </c>
      <c r="C222" s="229" t="s">
        <v>2131</v>
      </c>
      <c r="D222" s="102" t="s">
        <v>2132</v>
      </c>
      <c r="E222" s="102" t="s">
        <v>584</v>
      </c>
      <c r="F222" s="102" t="s">
        <v>585</v>
      </c>
      <c r="G222" s="102" t="s">
        <v>282</v>
      </c>
      <c r="H222" s="102" t="s">
        <v>283</v>
      </c>
      <c r="I222" s="102" t="s">
        <v>284</v>
      </c>
      <c r="J222" s="102" t="s">
        <v>678</v>
      </c>
      <c r="L222" s="229" t="s">
        <v>1319</v>
      </c>
      <c r="M222" s="229" t="s">
        <v>2327</v>
      </c>
      <c r="O222" s="102">
        <v>2.0</v>
      </c>
      <c r="P222" s="102" t="s">
        <v>593</v>
      </c>
      <c r="U222" s="230"/>
      <c r="V222" s="102" t="s">
        <v>286</v>
      </c>
      <c r="AF222" s="230"/>
      <c r="AG222" s="230"/>
      <c r="AH222" s="230"/>
      <c r="AI222" s="230"/>
    </row>
    <row r="223">
      <c r="A223" s="102" t="s">
        <v>310</v>
      </c>
      <c r="B223" s="102" t="s">
        <v>2133</v>
      </c>
      <c r="C223" s="229" t="s">
        <v>2134</v>
      </c>
      <c r="D223" s="102" t="s">
        <v>2135</v>
      </c>
      <c r="E223" s="102" t="s">
        <v>584</v>
      </c>
      <c r="F223" s="102" t="s">
        <v>585</v>
      </c>
      <c r="G223" s="102" t="s">
        <v>282</v>
      </c>
      <c r="H223" s="102" t="s">
        <v>283</v>
      </c>
      <c r="I223" s="102" t="s">
        <v>284</v>
      </c>
      <c r="J223" s="102" t="s">
        <v>454</v>
      </c>
      <c r="L223" s="229" t="s">
        <v>2136</v>
      </c>
      <c r="M223" s="229" t="s">
        <v>2399</v>
      </c>
      <c r="O223" s="102">
        <v>3.0</v>
      </c>
      <c r="P223" s="102" t="s">
        <v>593</v>
      </c>
      <c r="U223" s="102">
        <v>28800.0</v>
      </c>
      <c r="V223" s="102" t="s">
        <v>529</v>
      </c>
      <c r="W223" s="102" t="s">
        <v>298</v>
      </c>
      <c r="X223" s="102" t="s">
        <v>299</v>
      </c>
      <c r="Y223" s="102" t="s">
        <v>286</v>
      </c>
      <c r="AF223" s="230"/>
      <c r="AG223" s="230"/>
      <c r="AH223" s="230"/>
      <c r="AI223" s="230"/>
    </row>
    <row r="224">
      <c r="A224" s="102" t="s">
        <v>310</v>
      </c>
      <c r="B224" s="102" t="s">
        <v>2545</v>
      </c>
      <c r="C224" s="229" t="s">
        <v>2546</v>
      </c>
      <c r="D224" s="102" t="s">
        <v>2547</v>
      </c>
      <c r="E224" s="102" t="s">
        <v>328</v>
      </c>
      <c r="F224" s="102" t="s">
        <v>329</v>
      </c>
      <c r="G224" s="102" t="s">
        <v>282</v>
      </c>
      <c r="H224" s="102" t="s">
        <v>283</v>
      </c>
      <c r="I224" s="102" t="s">
        <v>284</v>
      </c>
      <c r="J224" s="102" t="s">
        <v>26</v>
      </c>
      <c r="L224" s="229" t="s">
        <v>1327</v>
      </c>
      <c r="M224" s="229" t="s">
        <v>2416</v>
      </c>
      <c r="N224" s="229" t="s">
        <v>2042</v>
      </c>
      <c r="O224" s="102">
        <v>3.0</v>
      </c>
      <c r="U224" s="230"/>
      <c r="V224" s="102" t="s">
        <v>1085</v>
      </c>
      <c r="W224" s="102" t="s">
        <v>529</v>
      </c>
      <c r="X224" s="102" t="s">
        <v>298</v>
      </c>
      <c r="Y224" s="102" t="s">
        <v>299</v>
      </c>
      <c r="Z224" s="102" t="s">
        <v>286</v>
      </c>
      <c r="AF224" s="230"/>
      <c r="AG224" s="230"/>
      <c r="AH224" s="230"/>
      <c r="AI224" s="230"/>
    </row>
    <row r="225">
      <c r="A225" s="102" t="s">
        <v>310</v>
      </c>
      <c r="B225" s="102" t="s">
        <v>2548</v>
      </c>
      <c r="C225" s="229" t="s">
        <v>2549</v>
      </c>
      <c r="D225" s="102" t="s">
        <v>2550</v>
      </c>
      <c r="E225" s="102" t="s">
        <v>328</v>
      </c>
      <c r="F225" s="102" t="s">
        <v>329</v>
      </c>
      <c r="G225" s="102" t="s">
        <v>282</v>
      </c>
      <c r="H225" s="102" t="s">
        <v>283</v>
      </c>
      <c r="I225" s="102" t="s">
        <v>284</v>
      </c>
      <c r="J225" s="102" t="s">
        <v>26</v>
      </c>
      <c r="L225" s="229" t="s">
        <v>1327</v>
      </c>
      <c r="M225" s="229" t="s">
        <v>2491</v>
      </c>
      <c r="N225" s="229" t="s">
        <v>2042</v>
      </c>
      <c r="O225" s="102">
        <v>3.0</v>
      </c>
      <c r="U225" s="230"/>
      <c r="V225" s="102" t="s">
        <v>1085</v>
      </c>
      <c r="W225" s="102" t="s">
        <v>529</v>
      </c>
      <c r="X225" s="102" t="s">
        <v>298</v>
      </c>
      <c r="Y225" s="102" t="s">
        <v>299</v>
      </c>
      <c r="Z225" s="102" t="s">
        <v>286</v>
      </c>
      <c r="AF225" s="230"/>
      <c r="AG225" s="230"/>
      <c r="AH225" s="230"/>
      <c r="AI225" s="230"/>
    </row>
    <row r="226">
      <c r="A226" s="102" t="s">
        <v>310</v>
      </c>
      <c r="B226" s="102" t="s">
        <v>2551</v>
      </c>
      <c r="C226" s="229" t="s">
        <v>2552</v>
      </c>
      <c r="D226" s="102" t="s">
        <v>2553</v>
      </c>
      <c r="E226" s="102" t="s">
        <v>328</v>
      </c>
      <c r="F226" s="102" t="s">
        <v>329</v>
      </c>
      <c r="G226" s="102" t="s">
        <v>282</v>
      </c>
      <c r="H226" s="102" t="s">
        <v>283</v>
      </c>
      <c r="I226" s="102" t="s">
        <v>284</v>
      </c>
      <c r="J226" s="102" t="s">
        <v>26</v>
      </c>
      <c r="L226" s="229" t="s">
        <v>1327</v>
      </c>
      <c r="M226" s="229" t="s">
        <v>2416</v>
      </c>
      <c r="N226" s="229" t="s">
        <v>2042</v>
      </c>
      <c r="O226" s="102">
        <v>3.0</v>
      </c>
      <c r="U226" s="230"/>
      <c r="V226" s="102" t="s">
        <v>1085</v>
      </c>
      <c r="W226" s="102" t="s">
        <v>529</v>
      </c>
      <c r="X226" s="102" t="s">
        <v>298</v>
      </c>
      <c r="Y226" s="102" t="s">
        <v>299</v>
      </c>
      <c r="Z226" s="102" t="s">
        <v>286</v>
      </c>
      <c r="AF226" s="230"/>
      <c r="AG226" s="230"/>
      <c r="AH226" s="230"/>
      <c r="AI226" s="230"/>
    </row>
    <row r="227">
      <c r="A227" s="102" t="s">
        <v>310</v>
      </c>
      <c r="B227" s="102" t="s">
        <v>1324</v>
      </c>
      <c r="C227" s="229" t="s">
        <v>1325</v>
      </c>
      <c r="D227" s="102" t="s">
        <v>1326</v>
      </c>
      <c r="E227" s="102" t="s">
        <v>584</v>
      </c>
      <c r="F227" s="102" t="s">
        <v>585</v>
      </c>
      <c r="G227" s="102" t="s">
        <v>282</v>
      </c>
      <c r="H227" s="102" t="s">
        <v>283</v>
      </c>
      <c r="I227" s="102" t="s">
        <v>284</v>
      </c>
      <c r="J227" s="102" t="s">
        <v>454</v>
      </c>
      <c r="L227" s="229" t="s">
        <v>1327</v>
      </c>
      <c r="M227" s="229" t="s">
        <v>2399</v>
      </c>
      <c r="O227" s="102">
        <v>3.0</v>
      </c>
      <c r="U227" s="102">
        <v>28800.0</v>
      </c>
      <c r="V227" s="102" t="s">
        <v>529</v>
      </c>
      <c r="W227" s="102" t="s">
        <v>298</v>
      </c>
      <c r="X227" s="102" t="s">
        <v>299</v>
      </c>
      <c r="Y227" s="102" t="s">
        <v>286</v>
      </c>
      <c r="AF227" s="230"/>
      <c r="AG227" s="230"/>
      <c r="AH227" s="230"/>
      <c r="AI227" s="230"/>
    </row>
    <row r="228">
      <c r="A228" s="102" t="s">
        <v>310</v>
      </c>
      <c r="B228" s="102" t="s">
        <v>1328</v>
      </c>
      <c r="C228" s="229" t="s">
        <v>1329</v>
      </c>
      <c r="D228" s="102" t="s">
        <v>1330</v>
      </c>
      <c r="E228" s="102" t="s">
        <v>584</v>
      </c>
      <c r="F228" s="102" t="s">
        <v>585</v>
      </c>
      <c r="G228" s="102" t="s">
        <v>282</v>
      </c>
      <c r="H228" s="102" t="s">
        <v>283</v>
      </c>
      <c r="I228" s="102" t="s">
        <v>284</v>
      </c>
      <c r="J228" s="102" t="s">
        <v>454</v>
      </c>
      <c r="L228" s="229" t="s">
        <v>1331</v>
      </c>
      <c r="M228" s="229" t="s">
        <v>2554</v>
      </c>
      <c r="N228" s="229" t="s">
        <v>1192</v>
      </c>
      <c r="O228" s="102">
        <v>3.0</v>
      </c>
      <c r="U228" s="230"/>
      <c r="V228" s="102" t="s">
        <v>286</v>
      </c>
      <c r="AF228" s="230"/>
      <c r="AG228" s="230"/>
      <c r="AH228" s="230"/>
      <c r="AI228" s="230"/>
    </row>
    <row r="229">
      <c r="A229" s="102" t="s">
        <v>310</v>
      </c>
      <c r="B229" s="102" t="s">
        <v>1332</v>
      </c>
      <c r="C229" s="229" t="s">
        <v>1333</v>
      </c>
      <c r="D229" s="102" t="s">
        <v>1334</v>
      </c>
      <c r="E229" s="102" t="s">
        <v>564</v>
      </c>
      <c r="F229" s="102" t="s">
        <v>565</v>
      </c>
      <c r="G229" s="102" t="s">
        <v>282</v>
      </c>
      <c r="H229" s="102" t="s">
        <v>283</v>
      </c>
      <c r="I229" s="102" t="s">
        <v>284</v>
      </c>
      <c r="J229" s="102" t="s">
        <v>454</v>
      </c>
      <c r="L229" s="229" t="s">
        <v>1331</v>
      </c>
      <c r="M229" s="229" t="s">
        <v>2327</v>
      </c>
      <c r="N229" s="229" t="s">
        <v>1335</v>
      </c>
      <c r="O229" s="102">
        <v>5.0</v>
      </c>
      <c r="U229" s="230"/>
      <c r="V229" s="102" t="s">
        <v>286</v>
      </c>
      <c r="AF229" s="230"/>
      <c r="AG229" s="230"/>
      <c r="AH229" s="230"/>
      <c r="AI229" s="230"/>
    </row>
    <row r="230">
      <c r="A230" s="102" t="s">
        <v>310</v>
      </c>
      <c r="B230" s="102" t="s">
        <v>1336</v>
      </c>
      <c r="C230" s="229" t="s">
        <v>1337</v>
      </c>
      <c r="D230" s="102" t="s">
        <v>1338</v>
      </c>
      <c r="E230" s="102" t="s">
        <v>495</v>
      </c>
      <c r="F230" s="102" t="s">
        <v>496</v>
      </c>
      <c r="G230" s="102" t="s">
        <v>282</v>
      </c>
      <c r="H230" s="102" t="s">
        <v>283</v>
      </c>
      <c r="I230" s="102" t="s">
        <v>284</v>
      </c>
      <c r="J230" s="102" t="s">
        <v>454</v>
      </c>
      <c r="L230" s="229" t="s">
        <v>1331</v>
      </c>
      <c r="M230" s="229" t="s">
        <v>2399</v>
      </c>
      <c r="N230" s="229" t="s">
        <v>1252</v>
      </c>
      <c r="O230" s="102">
        <v>5.0</v>
      </c>
      <c r="U230" s="230"/>
      <c r="V230" s="102" t="s">
        <v>529</v>
      </c>
      <c r="W230" s="102" t="s">
        <v>298</v>
      </c>
      <c r="X230" s="102" t="s">
        <v>299</v>
      </c>
      <c r="Y230" s="102" t="s">
        <v>286</v>
      </c>
      <c r="AF230" s="230"/>
      <c r="AG230" s="230"/>
      <c r="AH230" s="230"/>
      <c r="AI230" s="230"/>
    </row>
    <row r="231">
      <c r="A231" s="102" t="s">
        <v>310</v>
      </c>
      <c r="B231" s="102" t="s">
        <v>2138</v>
      </c>
      <c r="C231" s="229" t="s">
        <v>2139</v>
      </c>
      <c r="D231" s="102" t="s">
        <v>2140</v>
      </c>
      <c r="E231" s="102" t="s">
        <v>495</v>
      </c>
      <c r="F231" s="102" t="s">
        <v>496</v>
      </c>
      <c r="G231" s="102" t="s">
        <v>282</v>
      </c>
      <c r="H231" s="102" t="s">
        <v>283</v>
      </c>
      <c r="I231" s="102" t="s">
        <v>284</v>
      </c>
      <c r="J231" s="102" t="s">
        <v>454</v>
      </c>
      <c r="L231" s="229" t="s">
        <v>1331</v>
      </c>
      <c r="M231" s="229" t="s">
        <v>2327</v>
      </c>
      <c r="N231" s="229" t="s">
        <v>1004</v>
      </c>
      <c r="O231" s="102">
        <v>5.0</v>
      </c>
      <c r="U231" s="102">
        <v>43200.0</v>
      </c>
      <c r="V231" s="102" t="s">
        <v>286</v>
      </c>
      <c r="AF231" s="230"/>
      <c r="AG231" s="230"/>
      <c r="AH231" s="230"/>
      <c r="AI231" s="230"/>
    </row>
    <row r="232">
      <c r="A232" s="102" t="s">
        <v>310</v>
      </c>
      <c r="B232" s="102" t="s">
        <v>2141</v>
      </c>
      <c r="C232" s="229" t="s">
        <v>2142</v>
      </c>
      <c r="D232" s="102" t="s">
        <v>2143</v>
      </c>
      <c r="E232" s="102" t="s">
        <v>584</v>
      </c>
      <c r="F232" s="102" t="s">
        <v>585</v>
      </c>
      <c r="G232" s="102" t="s">
        <v>282</v>
      </c>
      <c r="H232" s="102" t="s">
        <v>283</v>
      </c>
      <c r="I232" s="102" t="s">
        <v>284</v>
      </c>
      <c r="J232" s="102" t="s">
        <v>454</v>
      </c>
      <c r="L232" s="229" t="s">
        <v>1331</v>
      </c>
      <c r="M232" s="229" t="s">
        <v>2399</v>
      </c>
      <c r="O232" s="102">
        <v>5.0</v>
      </c>
      <c r="U232" s="102">
        <v>57600.0</v>
      </c>
      <c r="V232" s="102" t="s">
        <v>529</v>
      </c>
      <c r="W232" s="102" t="s">
        <v>298</v>
      </c>
      <c r="X232" s="102" t="s">
        <v>299</v>
      </c>
      <c r="Y232" s="102" t="s">
        <v>286</v>
      </c>
      <c r="AF232" s="230"/>
      <c r="AG232" s="230"/>
      <c r="AH232" s="230"/>
      <c r="AI232" s="230"/>
    </row>
    <row r="233">
      <c r="A233" s="102" t="s">
        <v>310</v>
      </c>
      <c r="B233" s="102" t="s">
        <v>1339</v>
      </c>
      <c r="C233" s="229" t="s">
        <v>1340</v>
      </c>
      <c r="D233" s="102" t="s">
        <v>1341</v>
      </c>
      <c r="E233" s="102" t="s">
        <v>513</v>
      </c>
      <c r="F233" s="102" t="s">
        <v>514</v>
      </c>
      <c r="G233" s="102" t="s">
        <v>282</v>
      </c>
      <c r="H233" s="102" t="s">
        <v>283</v>
      </c>
      <c r="I233" s="102" t="s">
        <v>284</v>
      </c>
      <c r="J233" s="102" t="s">
        <v>454</v>
      </c>
      <c r="L233" s="229" t="s">
        <v>1342</v>
      </c>
      <c r="M233" s="229" t="s">
        <v>2416</v>
      </c>
      <c r="N233" s="229" t="s">
        <v>1343</v>
      </c>
      <c r="O233" s="102">
        <v>5.0</v>
      </c>
      <c r="P233" s="102" t="s">
        <v>1344</v>
      </c>
      <c r="U233" s="102">
        <v>57600.0</v>
      </c>
      <c r="V233" s="102" t="s">
        <v>1085</v>
      </c>
      <c r="W233" s="102" t="s">
        <v>529</v>
      </c>
      <c r="X233" s="102" t="s">
        <v>298</v>
      </c>
      <c r="Y233" s="102" t="s">
        <v>299</v>
      </c>
      <c r="Z233" s="102" t="s">
        <v>286</v>
      </c>
      <c r="AF233" s="230"/>
      <c r="AG233" s="230"/>
      <c r="AH233" s="230"/>
      <c r="AI233" s="230"/>
    </row>
    <row r="234">
      <c r="A234" s="102" t="s">
        <v>310</v>
      </c>
      <c r="B234" s="102" t="s">
        <v>1345</v>
      </c>
      <c r="C234" s="229" t="s">
        <v>1346</v>
      </c>
      <c r="D234" s="102" t="s">
        <v>1347</v>
      </c>
      <c r="E234" s="102" t="s">
        <v>513</v>
      </c>
      <c r="F234" s="102" t="s">
        <v>514</v>
      </c>
      <c r="G234" s="102" t="s">
        <v>282</v>
      </c>
      <c r="H234" s="102" t="s">
        <v>283</v>
      </c>
      <c r="I234" s="102" t="s">
        <v>284</v>
      </c>
      <c r="J234" s="102" t="s">
        <v>454</v>
      </c>
      <c r="L234" s="229" t="s">
        <v>1342</v>
      </c>
      <c r="M234" s="229" t="s">
        <v>2416</v>
      </c>
      <c r="N234" s="229" t="s">
        <v>1343</v>
      </c>
      <c r="O234" s="102">
        <v>3.0</v>
      </c>
      <c r="P234" s="102" t="s">
        <v>1348</v>
      </c>
      <c r="U234" s="102">
        <v>28800.0</v>
      </c>
      <c r="V234" s="102" t="s">
        <v>1085</v>
      </c>
      <c r="W234" s="102" t="s">
        <v>529</v>
      </c>
      <c r="X234" s="102" t="s">
        <v>298</v>
      </c>
      <c r="Y234" s="102" t="s">
        <v>299</v>
      </c>
      <c r="Z234" s="102" t="s">
        <v>286</v>
      </c>
      <c r="AF234" s="230"/>
      <c r="AG234" s="230"/>
      <c r="AH234" s="230"/>
      <c r="AI234" s="230"/>
    </row>
    <row r="235">
      <c r="A235" s="102" t="s">
        <v>310</v>
      </c>
      <c r="B235" s="102" t="s">
        <v>1349</v>
      </c>
      <c r="C235" s="229" t="s">
        <v>1350</v>
      </c>
      <c r="D235" s="102" t="s">
        <v>1351</v>
      </c>
      <c r="E235" s="102" t="s">
        <v>556</v>
      </c>
      <c r="F235" s="102" t="s">
        <v>557</v>
      </c>
      <c r="G235" s="102" t="s">
        <v>282</v>
      </c>
      <c r="H235" s="102" t="s">
        <v>283</v>
      </c>
      <c r="I235" s="102" t="s">
        <v>284</v>
      </c>
      <c r="J235" s="102" t="s">
        <v>454</v>
      </c>
      <c r="L235" s="229" t="s">
        <v>1342</v>
      </c>
      <c r="M235" s="229" t="s">
        <v>2416</v>
      </c>
      <c r="N235" s="229" t="s">
        <v>1352</v>
      </c>
      <c r="O235" s="102">
        <v>2.0</v>
      </c>
      <c r="P235" s="102" t="s">
        <v>1348</v>
      </c>
      <c r="U235" s="230"/>
      <c r="V235" s="102" t="s">
        <v>1085</v>
      </c>
      <c r="W235" s="102" t="s">
        <v>529</v>
      </c>
      <c r="X235" s="102" t="s">
        <v>298</v>
      </c>
      <c r="Y235" s="102" t="s">
        <v>299</v>
      </c>
      <c r="Z235" s="102" t="s">
        <v>286</v>
      </c>
      <c r="AF235" s="230"/>
      <c r="AG235" s="230"/>
      <c r="AH235" s="230"/>
      <c r="AI235" s="230"/>
    </row>
    <row r="236">
      <c r="A236" s="102" t="s">
        <v>310</v>
      </c>
      <c r="B236" s="102" t="s">
        <v>1353</v>
      </c>
      <c r="C236" s="229" t="s">
        <v>1354</v>
      </c>
      <c r="D236" s="102" t="s">
        <v>1355</v>
      </c>
      <c r="E236" s="102" t="s">
        <v>513</v>
      </c>
      <c r="F236" s="102" t="s">
        <v>514</v>
      </c>
      <c r="G236" s="102" t="s">
        <v>282</v>
      </c>
      <c r="H236" s="102" t="s">
        <v>283</v>
      </c>
      <c r="I236" s="102" t="s">
        <v>284</v>
      </c>
      <c r="J236" s="102" t="s">
        <v>454</v>
      </c>
      <c r="L236" s="229" t="s">
        <v>1342</v>
      </c>
      <c r="M236" s="229" t="s">
        <v>2416</v>
      </c>
      <c r="N236" s="229" t="s">
        <v>1356</v>
      </c>
      <c r="O236" s="102">
        <v>3.0</v>
      </c>
      <c r="P236" s="102" t="s">
        <v>1348</v>
      </c>
      <c r="U236" s="102">
        <v>28800.0</v>
      </c>
      <c r="V236" s="102" t="s">
        <v>1085</v>
      </c>
      <c r="W236" s="102" t="s">
        <v>529</v>
      </c>
      <c r="X236" s="102" t="s">
        <v>298</v>
      </c>
      <c r="Y236" s="102" t="s">
        <v>299</v>
      </c>
      <c r="Z236" s="102" t="s">
        <v>286</v>
      </c>
      <c r="AF236" s="230"/>
      <c r="AG236" s="230"/>
      <c r="AH236" s="230"/>
      <c r="AI236" s="230"/>
    </row>
    <row r="237">
      <c r="A237" s="102" t="s">
        <v>310</v>
      </c>
      <c r="B237" s="102" t="s">
        <v>2144</v>
      </c>
      <c r="C237" s="229" t="s">
        <v>2145</v>
      </c>
      <c r="D237" s="102" t="s">
        <v>2146</v>
      </c>
      <c r="E237" s="102" t="s">
        <v>556</v>
      </c>
      <c r="F237" s="102" t="s">
        <v>557</v>
      </c>
      <c r="G237" s="102" t="s">
        <v>282</v>
      </c>
      <c r="H237" s="102" t="s">
        <v>283</v>
      </c>
      <c r="I237" s="102" t="s">
        <v>284</v>
      </c>
      <c r="J237" s="102" t="s">
        <v>454</v>
      </c>
      <c r="L237" s="229" t="s">
        <v>1342</v>
      </c>
      <c r="M237" s="229" t="s">
        <v>2555</v>
      </c>
      <c r="N237" s="229" t="s">
        <v>1849</v>
      </c>
      <c r="O237" s="102">
        <v>5.0</v>
      </c>
      <c r="U237" s="230"/>
      <c r="V237" s="102" t="s">
        <v>286</v>
      </c>
      <c r="AF237" s="230"/>
      <c r="AG237" s="230"/>
      <c r="AH237" s="230"/>
      <c r="AI237" s="230"/>
    </row>
    <row r="238">
      <c r="A238" s="102" t="s">
        <v>310</v>
      </c>
      <c r="B238" s="102" t="s">
        <v>2556</v>
      </c>
      <c r="C238" s="229" t="s">
        <v>2557</v>
      </c>
      <c r="D238" s="102" t="s">
        <v>2558</v>
      </c>
      <c r="E238" s="102" t="s">
        <v>328</v>
      </c>
      <c r="F238" s="102" t="s">
        <v>329</v>
      </c>
      <c r="G238" s="102" t="s">
        <v>282</v>
      </c>
      <c r="H238" s="102" t="s">
        <v>283</v>
      </c>
      <c r="I238" s="102" t="s">
        <v>284</v>
      </c>
      <c r="J238" s="102" t="s">
        <v>26</v>
      </c>
      <c r="L238" s="229" t="s">
        <v>1342</v>
      </c>
      <c r="M238" s="229" t="s">
        <v>2416</v>
      </c>
      <c r="N238" s="229" t="s">
        <v>1202</v>
      </c>
      <c r="O238" s="102">
        <v>5.0</v>
      </c>
      <c r="U238" s="230"/>
      <c r="V238" s="102" t="s">
        <v>529</v>
      </c>
      <c r="W238" s="102" t="s">
        <v>298</v>
      </c>
      <c r="X238" s="102" t="s">
        <v>299</v>
      </c>
      <c r="Y238" s="102" t="s">
        <v>286</v>
      </c>
      <c r="AF238" s="230"/>
      <c r="AG238" s="230"/>
      <c r="AH238" s="230"/>
      <c r="AI238" s="230"/>
    </row>
    <row r="239">
      <c r="A239" s="102" t="s">
        <v>310</v>
      </c>
      <c r="B239" s="102" t="s">
        <v>2152</v>
      </c>
      <c r="C239" s="229" t="s">
        <v>2153</v>
      </c>
      <c r="D239" s="102" t="s">
        <v>2154</v>
      </c>
      <c r="E239" s="102" t="s">
        <v>556</v>
      </c>
      <c r="F239" s="102" t="s">
        <v>557</v>
      </c>
      <c r="G239" s="102" t="s">
        <v>282</v>
      </c>
      <c r="H239" s="102" t="s">
        <v>283</v>
      </c>
      <c r="I239" s="102" t="s">
        <v>284</v>
      </c>
      <c r="J239" s="102" t="s">
        <v>454</v>
      </c>
      <c r="L239" s="229" t="s">
        <v>2155</v>
      </c>
      <c r="M239" s="229" t="s">
        <v>2327</v>
      </c>
      <c r="N239" s="229" t="s">
        <v>1893</v>
      </c>
      <c r="O239" s="102">
        <v>3.0</v>
      </c>
      <c r="U239" s="102">
        <v>28800.0</v>
      </c>
      <c r="V239" s="102" t="s">
        <v>286</v>
      </c>
      <c r="AF239" s="230"/>
      <c r="AG239" s="230"/>
      <c r="AH239" s="230"/>
      <c r="AI239" s="230"/>
    </row>
    <row r="240">
      <c r="A240" s="102" t="s">
        <v>310</v>
      </c>
      <c r="B240" s="102" t="s">
        <v>2559</v>
      </c>
      <c r="C240" s="229" t="s">
        <v>2560</v>
      </c>
      <c r="D240" s="102" t="s">
        <v>2561</v>
      </c>
      <c r="E240" s="102" t="s">
        <v>328</v>
      </c>
      <c r="F240" s="102" t="s">
        <v>329</v>
      </c>
      <c r="G240" s="102" t="s">
        <v>282</v>
      </c>
      <c r="H240" s="102" t="s">
        <v>283</v>
      </c>
      <c r="I240" s="102" t="s">
        <v>648</v>
      </c>
      <c r="J240" s="102" t="s">
        <v>26</v>
      </c>
      <c r="L240" s="229" t="s">
        <v>2562</v>
      </c>
      <c r="M240" s="229" t="s">
        <v>2416</v>
      </c>
      <c r="N240" s="229" t="s">
        <v>1202</v>
      </c>
      <c r="O240" s="102">
        <v>2.0</v>
      </c>
      <c r="P240" s="102" t="s">
        <v>473</v>
      </c>
      <c r="U240" s="230"/>
      <c r="V240" s="102" t="s">
        <v>529</v>
      </c>
      <c r="W240" s="102" t="s">
        <v>298</v>
      </c>
      <c r="X240" s="102" t="s">
        <v>299</v>
      </c>
      <c r="Y240" s="102" t="s">
        <v>286</v>
      </c>
      <c r="AF240" s="230"/>
      <c r="AG240" s="230"/>
      <c r="AH240" s="230"/>
      <c r="AI240" s="230"/>
    </row>
    <row r="241">
      <c r="A241" s="102" t="s">
        <v>310</v>
      </c>
      <c r="B241" s="102" t="s">
        <v>2156</v>
      </c>
      <c r="C241" s="229" t="s">
        <v>2157</v>
      </c>
      <c r="D241" s="102" t="s">
        <v>2158</v>
      </c>
      <c r="E241" s="102" t="s">
        <v>556</v>
      </c>
      <c r="F241" s="102" t="s">
        <v>557</v>
      </c>
      <c r="G241" s="102" t="s">
        <v>282</v>
      </c>
      <c r="H241" s="102" t="s">
        <v>283</v>
      </c>
      <c r="I241" s="102" t="s">
        <v>648</v>
      </c>
      <c r="J241" s="102" t="s">
        <v>454</v>
      </c>
      <c r="L241" s="229" t="s">
        <v>2159</v>
      </c>
      <c r="M241" s="229" t="s">
        <v>2399</v>
      </c>
      <c r="O241" s="102">
        <v>5.0</v>
      </c>
      <c r="P241" s="102" t="s">
        <v>593</v>
      </c>
      <c r="Q241" s="102" t="s">
        <v>435</v>
      </c>
      <c r="U241" s="102">
        <v>57600.0</v>
      </c>
      <c r="V241" s="102" t="s">
        <v>1991</v>
      </c>
      <c r="W241" s="102" t="s">
        <v>1992</v>
      </c>
      <c r="X241" s="102" t="s">
        <v>1085</v>
      </c>
      <c r="Y241" s="102" t="s">
        <v>529</v>
      </c>
      <c r="Z241" s="102" t="s">
        <v>298</v>
      </c>
      <c r="AA241" s="102" t="s">
        <v>299</v>
      </c>
      <c r="AB241" s="102" t="s">
        <v>286</v>
      </c>
      <c r="AF241" s="230"/>
      <c r="AG241" s="230"/>
      <c r="AH241" s="230"/>
      <c r="AI241" s="230"/>
    </row>
    <row r="242">
      <c r="A242" s="102" t="s">
        <v>310</v>
      </c>
      <c r="B242" s="102" t="s">
        <v>2161</v>
      </c>
      <c r="C242" s="229" t="s">
        <v>2162</v>
      </c>
      <c r="D242" s="102" t="s">
        <v>2163</v>
      </c>
      <c r="E242" s="102" t="s">
        <v>556</v>
      </c>
      <c r="F242" s="102" t="s">
        <v>557</v>
      </c>
      <c r="G242" s="102" t="s">
        <v>282</v>
      </c>
      <c r="H242" s="102" t="s">
        <v>283</v>
      </c>
      <c r="I242" s="102" t="s">
        <v>284</v>
      </c>
      <c r="J242" s="102" t="s">
        <v>454</v>
      </c>
      <c r="L242" s="229" t="s">
        <v>2164</v>
      </c>
      <c r="M242" s="229" t="s">
        <v>2399</v>
      </c>
      <c r="N242" s="229" t="s">
        <v>2165</v>
      </c>
      <c r="O242" s="102">
        <v>1.0</v>
      </c>
      <c r="P242" s="102" t="s">
        <v>435</v>
      </c>
      <c r="U242" s="102">
        <v>7200.0</v>
      </c>
      <c r="V242" s="102" t="s">
        <v>1991</v>
      </c>
      <c r="W242" s="102" t="s">
        <v>1992</v>
      </c>
      <c r="X242" s="102" t="s">
        <v>1085</v>
      </c>
      <c r="Y242" s="102" t="s">
        <v>529</v>
      </c>
      <c r="Z242" s="102" t="s">
        <v>298</v>
      </c>
      <c r="AA242" s="102" t="s">
        <v>299</v>
      </c>
      <c r="AB242" s="102" t="s">
        <v>286</v>
      </c>
      <c r="AF242" s="230"/>
      <c r="AG242" s="230"/>
      <c r="AH242" s="230"/>
      <c r="AI242" s="230"/>
    </row>
    <row r="243">
      <c r="A243" s="102" t="s">
        <v>310</v>
      </c>
      <c r="B243" s="102" t="s">
        <v>2166</v>
      </c>
      <c r="C243" s="229" t="s">
        <v>2167</v>
      </c>
      <c r="D243" s="102" t="s">
        <v>2168</v>
      </c>
      <c r="E243" s="102" t="s">
        <v>495</v>
      </c>
      <c r="F243" s="102" t="s">
        <v>496</v>
      </c>
      <c r="G243" s="102" t="s">
        <v>282</v>
      </c>
      <c r="H243" s="102" t="s">
        <v>283</v>
      </c>
      <c r="I243" s="102" t="s">
        <v>284</v>
      </c>
      <c r="J243" s="102" t="s">
        <v>454</v>
      </c>
      <c r="L243" s="229" t="s">
        <v>2169</v>
      </c>
      <c r="M243" s="229" t="s">
        <v>2399</v>
      </c>
      <c r="O243" s="102">
        <v>2.0</v>
      </c>
      <c r="P243" s="102" t="s">
        <v>435</v>
      </c>
      <c r="U243" s="102">
        <v>7200.0</v>
      </c>
      <c r="V243" s="102" t="s">
        <v>1991</v>
      </c>
      <c r="W243" s="102" t="s">
        <v>1992</v>
      </c>
      <c r="X243" s="102" t="s">
        <v>1085</v>
      </c>
      <c r="Y243" s="102" t="s">
        <v>529</v>
      </c>
      <c r="Z243" s="102" t="s">
        <v>298</v>
      </c>
      <c r="AA243" s="102" t="s">
        <v>299</v>
      </c>
      <c r="AB243" s="102" t="s">
        <v>286</v>
      </c>
      <c r="AF243" s="230"/>
      <c r="AG243" s="230"/>
      <c r="AH243" s="230"/>
      <c r="AI243" s="230"/>
    </row>
    <row r="244">
      <c r="A244" s="102" t="s">
        <v>310</v>
      </c>
      <c r="B244" s="102" t="s">
        <v>2563</v>
      </c>
      <c r="C244" s="229" t="s">
        <v>2564</v>
      </c>
      <c r="D244" s="102" t="s">
        <v>2565</v>
      </c>
      <c r="E244" s="102" t="s">
        <v>564</v>
      </c>
      <c r="F244" s="102" t="s">
        <v>565</v>
      </c>
      <c r="G244" s="102" t="s">
        <v>282</v>
      </c>
      <c r="H244" s="102" t="s">
        <v>283</v>
      </c>
      <c r="I244" s="102" t="s">
        <v>515</v>
      </c>
      <c r="J244" s="102" t="s">
        <v>26</v>
      </c>
      <c r="L244" s="229" t="s">
        <v>2566</v>
      </c>
      <c r="M244" s="229" t="s">
        <v>2244</v>
      </c>
      <c r="N244" s="229" t="s">
        <v>2165</v>
      </c>
      <c r="O244" s="102">
        <v>3.0</v>
      </c>
      <c r="U244" s="102">
        <v>28800.0</v>
      </c>
      <c r="V244" s="102" t="s">
        <v>2269</v>
      </c>
      <c r="W244" s="102" t="s">
        <v>2270</v>
      </c>
      <c r="X244" s="102" t="s">
        <v>2271</v>
      </c>
      <c r="Y244" s="102" t="s">
        <v>2272</v>
      </c>
      <c r="Z244" s="102" t="s">
        <v>2273</v>
      </c>
      <c r="AA244" s="102" t="s">
        <v>2274</v>
      </c>
      <c r="AB244" s="102" t="s">
        <v>2275</v>
      </c>
      <c r="AF244" s="230"/>
      <c r="AG244" s="230"/>
      <c r="AH244" s="230"/>
      <c r="AI244" s="230"/>
    </row>
    <row r="245">
      <c r="A245" s="102" t="s">
        <v>310</v>
      </c>
      <c r="B245" s="102" t="s">
        <v>2567</v>
      </c>
      <c r="C245" s="229" t="s">
        <v>2568</v>
      </c>
      <c r="D245" s="102" t="s">
        <v>2569</v>
      </c>
      <c r="E245" s="102" t="s">
        <v>564</v>
      </c>
      <c r="F245" s="102" t="s">
        <v>565</v>
      </c>
      <c r="G245" s="102" t="s">
        <v>282</v>
      </c>
      <c r="H245" s="102" t="s">
        <v>283</v>
      </c>
      <c r="I245" s="102" t="s">
        <v>515</v>
      </c>
      <c r="J245" s="102" t="s">
        <v>26</v>
      </c>
      <c r="L245" s="229" t="s">
        <v>2566</v>
      </c>
      <c r="M245" s="229" t="s">
        <v>2244</v>
      </c>
      <c r="N245" s="229" t="s">
        <v>2570</v>
      </c>
      <c r="O245" s="102">
        <v>3.0</v>
      </c>
      <c r="U245" s="102">
        <v>28800.0</v>
      </c>
      <c r="V245" s="102" t="s">
        <v>2269</v>
      </c>
      <c r="W245" s="102" t="s">
        <v>2270</v>
      </c>
      <c r="X245" s="102" t="s">
        <v>2271</v>
      </c>
      <c r="Y245" s="102" t="s">
        <v>2272</v>
      </c>
      <c r="Z245" s="102" t="s">
        <v>2273</v>
      </c>
      <c r="AA245" s="102" t="s">
        <v>2274</v>
      </c>
      <c r="AB245" s="102" t="s">
        <v>2275</v>
      </c>
      <c r="AF245" s="230"/>
      <c r="AG245" s="230"/>
      <c r="AH245" s="230"/>
      <c r="AI245" s="230"/>
    </row>
    <row r="246">
      <c r="A246" s="102" t="s">
        <v>310</v>
      </c>
      <c r="B246" s="102" t="s">
        <v>2571</v>
      </c>
      <c r="C246" s="229" t="s">
        <v>2572</v>
      </c>
      <c r="D246" s="102" t="s">
        <v>2573</v>
      </c>
      <c r="E246" s="102" t="s">
        <v>564</v>
      </c>
      <c r="F246" s="102" t="s">
        <v>565</v>
      </c>
      <c r="G246" s="102" t="s">
        <v>282</v>
      </c>
      <c r="H246" s="102" t="s">
        <v>283</v>
      </c>
      <c r="I246" s="102" t="s">
        <v>515</v>
      </c>
      <c r="J246" s="102" t="s">
        <v>26</v>
      </c>
      <c r="L246" s="229" t="s">
        <v>2574</v>
      </c>
      <c r="M246" s="229" t="s">
        <v>2244</v>
      </c>
      <c r="N246" s="229" t="s">
        <v>2575</v>
      </c>
      <c r="O246" s="102">
        <v>3.0</v>
      </c>
      <c r="U246" s="102">
        <v>28800.0</v>
      </c>
      <c r="V246" s="102" t="s">
        <v>2266</v>
      </c>
      <c r="W246" s="102" t="s">
        <v>2267</v>
      </c>
      <c r="X246" s="102" t="s">
        <v>2268</v>
      </c>
      <c r="Y246" s="102" t="s">
        <v>2269</v>
      </c>
      <c r="Z246" s="102" t="s">
        <v>2270</v>
      </c>
      <c r="AA246" s="102" t="s">
        <v>2271</v>
      </c>
      <c r="AB246" s="102" t="s">
        <v>2272</v>
      </c>
      <c r="AC246" s="102" t="s">
        <v>2273</v>
      </c>
      <c r="AD246" s="102" t="s">
        <v>2274</v>
      </c>
      <c r="AE246" s="102" t="s">
        <v>2275</v>
      </c>
      <c r="AF246" s="230"/>
      <c r="AG246" s="230"/>
      <c r="AH246" s="230"/>
      <c r="AI246" s="230"/>
    </row>
    <row r="247">
      <c r="A247" s="102" t="s">
        <v>630</v>
      </c>
      <c r="B247" s="102" t="s">
        <v>1357</v>
      </c>
      <c r="C247" s="229" t="s">
        <v>1358</v>
      </c>
      <c r="D247" s="102" t="s">
        <v>1359</v>
      </c>
      <c r="G247" s="102" t="s">
        <v>314</v>
      </c>
      <c r="H247" s="102" t="s">
        <v>315</v>
      </c>
      <c r="I247" s="102" t="s">
        <v>284</v>
      </c>
      <c r="J247" s="102" t="s">
        <v>63</v>
      </c>
      <c r="L247" s="229" t="s">
        <v>1360</v>
      </c>
      <c r="M247" s="229" t="s">
        <v>2576</v>
      </c>
      <c r="O247" s="230"/>
      <c r="U247" s="230"/>
      <c r="V247" s="102" t="s">
        <v>1362</v>
      </c>
      <c r="W247" s="102" t="s">
        <v>1363</v>
      </c>
      <c r="X247" s="102" t="s">
        <v>1364</v>
      </c>
      <c r="Y247" s="102" t="s">
        <v>1365</v>
      </c>
      <c r="Z247" s="102" t="s">
        <v>1366</v>
      </c>
      <c r="AA247" s="102" t="s">
        <v>1367</v>
      </c>
      <c r="AB247" s="102" t="s">
        <v>1368</v>
      </c>
      <c r="AC247" s="102" t="s">
        <v>1369</v>
      </c>
      <c r="AD247" s="102" t="s">
        <v>1370</v>
      </c>
      <c r="AE247" s="102" t="s">
        <v>1150</v>
      </c>
      <c r="AF247" s="102" t="s">
        <v>1051</v>
      </c>
      <c r="AG247" s="230"/>
      <c r="AH247" s="230"/>
      <c r="AI247" s="230"/>
    </row>
    <row r="248">
      <c r="O248" s="230"/>
      <c r="U248" s="230"/>
      <c r="AF248" s="230"/>
      <c r="AG248" s="230"/>
      <c r="AH248" s="230"/>
      <c r="AI248" s="230"/>
    </row>
    <row r="249">
      <c r="O249" s="230"/>
      <c r="U249" s="230"/>
      <c r="AF249" s="230"/>
      <c r="AG249" s="230"/>
      <c r="AH249" s="230"/>
      <c r="AI249" s="230"/>
    </row>
    <row r="250">
      <c r="O250" s="230"/>
      <c r="U250" s="230"/>
      <c r="AF250" s="230"/>
      <c r="AG250" s="230"/>
      <c r="AH250" s="230"/>
      <c r="AI250" s="230"/>
    </row>
    <row r="251">
      <c r="O251" s="230"/>
      <c r="U251" s="230"/>
      <c r="AF251" s="230"/>
      <c r="AG251" s="230"/>
      <c r="AH251" s="230"/>
      <c r="AI251" s="230"/>
    </row>
    <row r="252">
      <c r="O252" s="230"/>
      <c r="U252" s="230"/>
      <c r="AF252" s="230"/>
      <c r="AG252" s="230"/>
      <c r="AH252" s="230"/>
      <c r="AI252" s="230"/>
    </row>
    <row r="253">
      <c r="O253" s="230"/>
      <c r="U253" s="230"/>
      <c r="AF253" s="230"/>
      <c r="AG253" s="230"/>
      <c r="AH253" s="230"/>
      <c r="AI253" s="230"/>
    </row>
    <row r="254">
      <c r="O254" s="230"/>
      <c r="U254" s="230"/>
      <c r="AF254" s="230"/>
      <c r="AG254" s="230"/>
      <c r="AH254" s="230"/>
      <c r="AI254" s="230"/>
    </row>
    <row r="255">
      <c r="O255" s="230"/>
      <c r="U255" s="230"/>
      <c r="AF255" s="230"/>
      <c r="AG255" s="230"/>
      <c r="AH255" s="230"/>
      <c r="AI255" s="230"/>
    </row>
    <row r="256">
      <c r="O256" s="230"/>
      <c r="U256" s="230"/>
      <c r="AF256" s="230"/>
      <c r="AG256" s="230"/>
      <c r="AH256" s="230"/>
      <c r="AI256" s="230"/>
    </row>
    <row r="257">
      <c r="O257" s="230"/>
      <c r="U257" s="230"/>
      <c r="AF257" s="230"/>
      <c r="AG257" s="230"/>
      <c r="AH257" s="230"/>
      <c r="AI257" s="230"/>
    </row>
    <row r="258">
      <c r="O258" s="230"/>
      <c r="U258" s="230"/>
      <c r="AF258" s="230"/>
      <c r="AG258" s="230"/>
      <c r="AH258" s="230"/>
      <c r="AI258" s="230"/>
    </row>
    <row r="259">
      <c r="O259" s="230"/>
      <c r="U259" s="230"/>
      <c r="AF259" s="230"/>
      <c r="AG259" s="230"/>
      <c r="AH259" s="230"/>
      <c r="AI259" s="230"/>
    </row>
    <row r="260">
      <c r="O260" s="230"/>
      <c r="U260" s="230"/>
      <c r="AF260" s="230"/>
      <c r="AG260" s="230"/>
      <c r="AH260" s="230"/>
      <c r="AI260" s="230"/>
    </row>
    <row r="261">
      <c r="O261" s="230"/>
      <c r="U261" s="230"/>
      <c r="AF261" s="230"/>
      <c r="AG261" s="230"/>
      <c r="AH261" s="230"/>
      <c r="AI261" s="230"/>
    </row>
    <row r="262">
      <c r="O262" s="230"/>
      <c r="U262" s="230"/>
      <c r="AF262" s="230"/>
      <c r="AG262" s="230"/>
      <c r="AH262" s="230"/>
      <c r="AI262" s="230"/>
    </row>
    <row r="263">
      <c r="O263" s="230"/>
      <c r="S263" s="230"/>
      <c r="T263" s="230"/>
      <c r="U263" s="230"/>
      <c r="V263" s="230"/>
      <c r="AF263" s="230"/>
      <c r="AG263" s="230"/>
      <c r="AH263" s="230"/>
      <c r="AI263" s="230"/>
    </row>
    <row r="264">
      <c r="O264" s="230"/>
      <c r="S264" s="230"/>
      <c r="T264" s="230"/>
      <c r="U264" s="230"/>
      <c r="V264" s="230"/>
      <c r="AF264" s="230"/>
      <c r="AG264" s="230"/>
      <c r="AH264" s="230"/>
      <c r="AI264" s="230"/>
    </row>
    <row r="265">
      <c r="O265" s="230"/>
      <c r="S265" s="230"/>
      <c r="T265" s="230"/>
      <c r="U265" s="230"/>
      <c r="V265" s="230"/>
      <c r="AF265" s="230"/>
      <c r="AG265" s="230"/>
      <c r="AH265" s="230"/>
      <c r="AI265" s="230"/>
    </row>
    <row r="266">
      <c r="O266" s="230"/>
      <c r="S266" s="230"/>
      <c r="T266" s="230"/>
      <c r="U266" s="230"/>
      <c r="V266" s="230"/>
      <c r="AF266" s="230"/>
      <c r="AG266" s="230"/>
      <c r="AH266" s="230"/>
      <c r="AI266" s="230"/>
    </row>
    <row r="267">
      <c r="O267" s="230"/>
      <c r="S267" s="230"/>
      <c r="T267" s="230"/>
      <c r="U267" s="230"/>
      <c r="V267" s="230"/>
      <c r="AC267" s="230"/>
      <c r="AD267" s="230"/>
      <c r="AE267" s="230"/>
      <c r="AF267" s="230"/>
      <c r="AG267" s="230"/>
      <c r="AH267" s="230"/>
      <c r="AI267" s="230"/>
    </row>
    <row r="268">
      <c r="O268" s="230"/>
      <c r="S268" s="230"/>
      <c r="T268" s="230"/>
      <c r="U268" s="230"/>
      <c r="V268" s="230"/>
      <c r="AC268" s="230"/>
      <c r="AD268" s="230"/>
      <c r="AE268" s="230"/>
      <c r="AF268" s="230"/>
      <c r="AG268" s="230"/>
      <c r="AH268" s="230"/>
      <c r="AI268" s="230"/>
    </row>
    <row r="269">
      <c r="O269" s="230"/>
      <c r="S269" s="230"/>
      <c r="T269" s="230"/>
      <c r="U269" s="230"/>
      <c r="V269" s="230"/>
      <c r="AC269" s="230"/>
      <c r="AD269" s="230"/>
      <c r="AE269" s="230"/>
      <c r="AF269" s="230"/>
      <c r="AG269" s="230"/>
      <c r="AH269" s="230"/>
      <c r="AI269" s="230"/>
    </row>
    <row r="270">
      <c r="O270" s="230"/>
      <c r="S270" s="230"/>
      <c r="T270" s="230"/>
      <c r="U270" s="230"/>
      <c r="V270" s="230"/>
      <c r="AC270" s="230"/>
      <c r="AD270" s="230"/>
      <c r="AE270" s="230"/>
      <c r="AF270" s="230"/>
      <c r="AG270" s="230"/>
      <c r="AH270" s="230"/>
      <c r="AI270" s="230"/>
    </row>
    <row r="271">
      <c r="O271" s="230"/>
      <c r="S271" s="230"/>
      <c r="T271" s="230"/>
      <c r="U271" s="230"/>
      <c r="V271" s="230"/>
      <c r="AC271" s="230"/>
      <c r="AD271" s="230"/>
      <c r="AE271" s="230"/>
      <c r="AF271" s="230"/>
      <c r="AG271" s="230"/>
      <c r="AH271" s="230"/>
      <c r="AI271" s="230"/>
    </row>
    <row r="272">
      <c r="O272" s="230"/>
      <c r="S272" s="230"/>
      <c r="T272" s="230"/>
      <c r="U272" s="230"/>
      <c r="V272" s="230"/>
      <c r="AC272" s="230"/>
      <c r="AD272" s="230"/>
      <c r="AE272" s="230"/>
      <c r="AF272" s="230"/>
      <c r="AG272" s="230"/>
      <c r="AH272" s="230"/>
      <c r="AI272" s="230"/>
    </row>
    <row r="273">
      <c r="O273" s="230"/>
      <c r="S273" s="230"/>
      <c r="T273" s="230"/>
      <c r="U273" s="230"/>
      <c r="V273" s="230"/>
      <c r="AC273" s="230"/>
      <c r="AD273" s="230"/>
      <c r="AE273" s="230"/>
      <c r="AF273" s="230"/>
      <c r="AG273" s="230"/>
      <c r="AH273" s="230"/>
      <c r="AI273" s="230"/>
    </row>
    <row r="274">
      <c r="O274" s="230"/>
      <c r="S274" s="230"/>
      <c r="T274" s="230"/>
      <c r="U274" s="230"/>
      <c r="V274" s="230"/>
      <c r="AC274" s="230"/>
      <c r="AD274" s="230"/>
      <c r="AE274" s="230"/>
      <c r="AF274" s="230"/>
      <c r="AG274" s="230"/>
      <c r="AH274" s="230"/>
      <c r="AI274" s="230"/>
    </row>
    <row r="275">
      <c r="O275" s="230"/>
      <c r="S275" s="230"/>
      <c r="T275" s="230"/>
      <c r="U275" s="230"/>
      <c r="V275" s="230"/>
      <c r="AC275" s="230"/>
      <c r="AD275" s="230"/>
      <c r="AE275" s="230"/>
      <c r="AF275" s="230"/>
      <c r="AG275" s="230"/>
      <c r="AH275" s="230"/>
      <c r="AI275" s="230"/>
    </row>
    <row r="276">
      <c r="O276" s="230"/>
      <c r="S276" s="230"/>
      <c r="T276" s="230"/>
      <c r="U276" s="230"/>
      <c r="V276" s="230"/>
      <c r="AC276" s="230"/>
      <c r="AD276" s="230"/>
      <c r="AE276" s="230"/>
      <c r="AF276" s="230"/>
      <c r="AG276" s="230"/>
      <c r="AH276" s="230"/>
      <c r="AI276" s="230"/>
    </row>
    <row r="277">
      <c r="O277" s="230"/>
      <c r="S277" s="230"/>
      <c r="T277" s="230"/>
      <c r="U277" s="230"/>
      <c r="V277" s="230"/>
      <c r="AC277" s="230"/>
      <c r="AD277" s="230"/>
      <c r="AE277" s="230"/>
      <c r="AF277" s="230"/>
      <c r="AG277" s="230"/>
      <c r="AH277" s="230"/>
      <c r="AI277" s="230"/>
    </row>
    <row r="278">
      <c r="O278" s="230"/>
      <c r="S278" s="230"/>
      <c r="T278" s="230"/>
      <c r="U278" s="230"/>
      <c r="V278" s="230"/>
      <c r="AC278" s="230"/>
      <c r="AD278" s="230"/>
      <c r="AE278" s="230"/>
      <c r="AF278" s="230"/>
      <c r="AG278" s="230"/>
      <c r="AH278" s="230"/>
      <c r="AI278" s="230"/>
    </row>
    <row r="279">
      <c r="O279" s="230"/>
      <c r="S279" s="230"/>
      <c r="T279" s="230"/>
      <c r="U279" s="230"/>
      <c r="V279" s="230"/>
      <c r="AC279" s="230"/>
      <c r="AD279" s="230"/>
      <c r="AE279" s="230"/>
      <c r="AF279" s="230"/>
      <c r="AG279" s="230"/>
      <c r="AH279" s="230"/>
      <c r="AI279" s="230"/>
    </row>
    <row r="280">
      <c r="O280" s="230"/>
      <c r="S280" s="230"/>
      <c r="T280" s="230"/>
      <c r="U280" s="230"/>
      <c r="V280" s="230"/>
      <c r="AC280" s="230"/>
      <c r="AD280" s="230"/>
      <c r="AE280" s="230"/>
      <c r="AF280" s="230"/>
      <c r="AG280" s="230"/>
      <c r="AH280" s="230"/>
      <c r="AI280" s="230"/>
    </row>
    <row r="281">
      <c r="O281" s="230"/>
      <c r="S281" s="230"/>
      <c r="T281" s="230"/>
      <c r="U281" s="230"/>
      <c r="V281" s="230"/>
      <c r="AC281" s="230"/>
      <c r="AD281" s="230"/>
      <c r="AE281" s="230"/>
      <c r="AF281" s="230"/>
      <c r="AG281" s="230"/>
      <c r="AH281" s="230"/>
      <c r="AI281" s="230"/>
    </row>
    <row r="282">
      <c r="O282" s="230"/>
      <c r="S282" s="230"/>
      <c r="T282" s="230"/>
      <c r="U282" s="230"/>
      <c r="V282" s="230"/>
      <c r="AC282" s="230"/>
      <c r="AD282" s="230"/>
      <c r="AE282" s="230"/>
      <c r="AF282" s="230"/>
      <c r="AG282" s="230"/>
      <c r="AH282" s="230"/>
      <c r="AI282" s="230"/>
    </row>
    <row r="283">
      <c r="O283" s="230"/>
      <c r="S283" s="230"/>
      <c r="T283" s="230"/>
      <c r="U283" s="230"/>
      <c r="V283" s="230"/>
      <c r="AC283" s="230"/>
      <c r="AD283" s="230"/>
      <c r="AE283" s="230"/>
      <c r="AF283" s="230"/>
      <c r="AG283" s="230"/>
      <c r="AH283" s="230"/>
      <c r="AI283" s="230"/>
    </row>
    <row r="284">
      <c r="O284" s="230"/>
      <c r="S284" s="230"/>
      <c r="T284" s="230"/>
      <c r="U284" s="230"/>
      <c r="V284" s="230"/>
      <c r="AC284" s="230"/>
      <c r="AD284" s="230"/>
      <c r="AE284" s="230"/>
      <c r="AF284" s="230"/>
      <c r="AG284" s="230"/>
      <c r="AH284" s="230"/>
      <c r="AI284" s="230"/>
    </row>
    <row r="285">
      <c r="O285" s="230"/>
      <c r="S285" s="230"/>
      <c r="T285" s="230"/>
      <c r="U285" s="230"/>
      <c r="V285" s="230"/>
      <c r="AC285" s="230"/>
      <c r="AD285" s="230"/>
      <c r="AE285" s="230"/>
      <c r="AF285" s="230"/>
      <c r="AG285" s="230"/>
      <c r="AH285" s="230"/>
      <c r="AI285" s="230"/>
    </row>
    <row r="286">
      <c r="O286" s="230"/>
      <c r="S286" s="230"/>
      <c r="T286" s="230"/>
      <c r="U286" s="230"/>
      <c r="V286" s="230"/>
      <c r="AC286" s="230"/>
      <c r="AD286" s="230"/>
      <c r="AE286" s="230"/>
      <c r="AF286" s="230"/>
      <c r="AG286" s="230"/>
      <c r="AH286" s="230"/>
      <c r="AI286" s="230"/>
    </row>
    <row r="287">
      <c r="O287" s="230"/>
      <c r="S287" s="230"/>
      <c r="T287" s="230"/>
      <c r="U287" s="230"/>
      <c r="V287" s="230"/>
      <c r="AC287" s="230"/>
      <c r="AD287" s="230"/>
      <c r="AE287" s="230"/>
      <c r="AF287" s="230"/>
      <c r="AG287" s="230"/>
      <c r="AH287" s="230"/>
      <c r="AI287" s="230"/>
    </row>
    <row r="288">
      <c r="O288" s="230"/>
      <c r="S288" s="230"/>
      <c r="T288" s="230"/>
      <c r="U288" s="230"/>
      <c r="V288" s="230"/>
      <c r="AC288" s="230"/>
      <c r="AD288" s="230"/>
      <c r="AE288" s="230"/>
      <c r="AF288" s="230"/>
      <c r="AG288" s="230"/>
      <c r="AH288" s="230"/>
      <c r="AI288" s="230"/>
    </row>
    <row r="289">
      <c r="O289" s="230"/>
      <c r="S289" s="230"/>
      <c r="T289" s="230"/>
      <c r="U289" s="230"/>
      <c r="V289" s="230"/>
      <c r="AC289" s="230"/>
      <c r="AD289" s="230"/>
      <c r="AE289" s="230"/>
      <c r="AF289" s="230"/>
      <c r="AG289" s="230"/>
      <c r="AH289" s="230"/>
      <c r="AI289" s="230"/>
    </row>
    <row r="290">
      <c r="O290" s="230"/>
      <c r="S290" s="230"/>
      <c r="T290" s="230"/>
      <c r="U290" s="230"/>
      <c r="V290" s="230"/>
      <c r="AC290" s="230"/>
      <c r="AD290" s="230"/>
      <c r="AE290" s="230"/>
      <c r="AF290" s="230"/>
      <c r="AG290" s="230"/>
      <c r="AH290" s="230"/>
      <c r="AI290" s="230"/>
    </row>
    <row r="291">
      <c r="O291" s="230"/>
      <c r="S291" s="230"/>
      <c r="T291" s="230"/>
      <c r="U291" s="230"/>
      <c r="V291" s="230"/>
      <c r="AC291" s="230"/>
      <c r="AD291" s="230"/>
      <c r="AE291" s="230"/>
      <c r="AF291" s="230"/>
      <c r="AG291" s="230"/>
      <c r="AH291" s="230"/>
      <c r="AI291" s="230"/>
    </row>
    <row r="292">
      <c r="O292" s="230"/>
      <c r="S292" s="230"/>
      <c r="T292" s="230"/>
      <c r="U292" s="230"/>
      <c r="V292" s="230"/>
      <c r="AC292" s="230"/>
      <c r="AD292" s="230"/>
      <c r="AE292" s="230"/>
      <c r="AF292" s="230"/>
      <c r="AG292" s="230"/>
      <c r="AH292" s="230"/>
      <c r="AI292" s="230"/>
    </row>
    <row r="293">
      <c r="O293" s="230"/>
      <c r="S293" s="230"/>
      <c r="T293" s="230"/>
      <c r="U293" s="230"/>
      <c r="V293" s="230"/>
      <c r="AC293" s="230"/>
      <c r="AD293" s="230"/>
      <c r="AE293" s="230"/>
      <c r="AF293" s="230"/>
      <c r="AG293" s="230"/>
      <c r="AH293" s="230"/>
      <c r="AI293" s="230"/>
    </row>
    <row r="294">
      <c r="O294" s="230"/>
      <c r="S294" s="230"/>
      <c r="T294" s="230"/>
      <c r="U294" s="230"/>
      <c r="V294" s="230"/>
      <c r="AC294" s="230"/>
      <c r="AD294" s="230"/>
      <c r="AE294" s="230"/>
      <c r="AF294" s="230"/>
      <c r="AG294" s="230"/>
      <c r="AH294" s="230"/>
      <c r="AI294" s="230"/>
    </row>
    <row r="295">
      <c r="O295" s="230"/>
      <c r="S295" s="230"/>
      <c r="T295" s="230"/>
      <c r="U295" s="230"/>
      <c r="V295" s="230"/>
      <c r="AC295" s="230"/>
      <c r="AD295" s="230"/>
      <c r="AE295" s="230"/>
      <c r="AF295" s="230"/>
      <c r="AG295" s="230"/>
      <c r="AH295" s="230"/>
      <c r="AI295" s="230"/>
    </row>
    <row r="296">
      <c r="O296" s="230"/>
      <c r="S296" s="230"/>
      <c r="T296" s="230"/>
      <c r="U296" s="230"/>
      <c r="V296" s="230"/>
      <c r="AC296" s="230"/>
      <c r="AD296" s="230"/>
      <c r="AE296" s="230"/>
      <c r="AF296" s="230"/>
      <c r="AG296" s="230"/>
      <c r="AH296" s="230"/>
      <c r="AI296" s="230"/>
    </row>
    <row r="297">
      <c r="O297" s="230"/>
      <c r="S297" s="230"/>
      <c r="T297" s="230"/>
      <c r="U297" s="230"/>
      <c r="V297" s="230"/>
      <c r="AC297" s="230"/>
      <c r="AD297" s="230"/>
      <c r="AE297" s="230"/>
      <c r="AF297" s="230"/>
      <c r="AG297" s="230"/>
      <c r="AH297" s="230"/>
      <c r="AI297" s="230"/>
    </row>
    <row r="298">
      <c r="O298" s="230"/>
      <c r="S298" s="230"/>
      <c r="T298" s="230"/>
      <c r="U298" s="230"/>
      <c r="V298" s="230"/>
      <c r="AC298" s="230"/>
      <c r="AD298" s="230"/>
      <c r="AE298" s="230"/>
      <c r="AF298" s="230"/>
      <c r="AG298" s="230"/>
      <c r="AH298" s="230"/>
      <c r="AI298" s="230"/>
    </row>
    <row r="299">
      <c r="O299" s="230"/>
      <c r="S299" s="230"/>
      <c r="T299" s="230"/>
      <c r="U299" s="230"/>
      <c r="V299" s="230"/>
      <c r="AC299" s="230"/>
      <c r="AD299" s="230"/>
      <c r="AE299" s="230"/>
      <c r="AF299" s="230"/>
      <c r="AG299" s="230"/>
      <c r="AH299" s="230"/>
      <c r="AI299" s="230"/>
    </row>
    <row r="300">
      <c r="O300" s="230"/>
      <c r="S300" s="230"/>
      <c r="T300" s="230"/>
      <c r="U300" s="230"/>
      <c r="V300" s="230"/>
      <c r="AC300" s="230"/>
      <c r="AD300" s="230"/>
      <c r="AE300" s="230"/>
      <c r="AF300" s="230"/>
      <c r="AG300" s="230"/>
      <c r="AH300" s="230"/>
      <c r="AI300" s="230"/>
    </row>
    <row r="301">
      <c r="O301" s="230"/>
      <c r="S301" s="230"/>
      <c r="T301" s="230"/>
      <c r="U301" s="230"/>
      <c r="V301" s="230"/>
      <c r="AC301" s="230"/>
      <c r="AD301" s="230"/>
      <c r="AE301" s="230"/>
      <c r="AF301" s="230"/>
      <c r="AG301" s="230"/>
      <c r="AH301" s="230"/>
      <c r="AI301" s="230"/>
    </row>
    <row r="302">
      <c r="O302" s="230"/>
      <c r="S302" s="230"/>
      <c r="T302" s="230"/>
      <c r="U302" s="230"/>
      <c r="V302" s="230"/>
      <c r="AC302" s="230"/>
      <c r="AD302" s="230"/>
      <c r="AE302" s="230"/>
      <c r="AF302" s="230"/>
      <c r="AG302" s="230"/>
      <c r="AH302" s="230"/>
      <c r="AI302" s="230"/>
    </row>
    <row r="303">
      <c r="O303" s="230"/>
      <c r="S303" s="230"/>
      <c r="T303" s="230"/>
      <c r="U303" s="230"/>
      <c r="V303" s="230"/>
      <c r="AC303" s="230"/>
      <c r="AD303" s="230"/>
      <c r="AE303" s="230"/>
      <c r="AF303" s="230"/>
      <c r="AG303" s="230"/>
      <c r="AH303" s="230"/>
      <c r="AI303" s="230"/>
    </row>
    <row r="304">
      <c r="O304" s="230"/>
      <c r="S304" s="230"/>
      <c r="T304" s="230"/>
      <c r="U304" s="230"/>
      <c r="V304" s="230"/>
      <c r="AC304" s="230"/>
      <c r="AD304" s="230"/>
      <c r="AE304" s="230"/>
      <c r="AF304" s="230"/>
      <c r="AG304" s="230"/>
      <c r="AH304" s="230"/>
      <c r="AI304" s="230"/>
    </row>
    <row r="305">
      <c r="O305" s="230"/>
      <c r="S305" s="230"/>
      <c r="T305" s="230"/>
      <c r="U305" s="230"/>
      <c r="V305" s="230"/>
      <c r="AC305" s="230"/>
      <c r="AD305" s="230"/>
      <c r="AE305" s="230"/>
      <c r="AF305" s="230"/>
      <c r="AG305" s="230"/>
      <c r="AH305" s="230"/>
      <c r="AI305" s="230"/>
    </row>
    <row r="306">
      <c r="O306" s="230"/>
      <c r="S306" s="230"/>
      <c r="T306" s="230"/>
      <c r="U306" s="230"/>
      <c r="V306" s="230"/>
      <c r="AC306" s="230"/>
      <c r="AD306" s="230"/>
      <c r="AE306" s="230"/>
      <c r="AF306" s="230"/>
      <c r="AG306" s="230"/>
      <c r="AH306" s="230"/>
      <c r="AI306" s="230"/>
    </row>
    <row r="307">
      <c r="O307" s="230"/>
      <c r="S307" s="230"/>
      <c r="T307" s="230"/>
      <c r="U307" s="230"/>
      <c r="V307" s="230"/>
      <c r="AC307" s="230"/>
      <c r="AD307" s="230"/>
      <c r="AE307" s="230"/>
      <c r="AF307" s="230"/>
      <c r="AG307" s="230"/>
      <c r="AH307" s="230"/>
      <c r="AI307" s="230"/>
    </row>
    <row r="308">
      <c r="O308" s="230"/>
      <c r="S308" s="230"/>
      <c r="T308" s="230"/>
      <c r="U308" s="230"/>
      <c r="V308" s="230"/>
      <c r="AC308" s="230"/>
      <c r="AD308" s="230"/>
      <c r="AE308" s="230"/>
      <c r="AF308" s="230"/>
      <c r="AG308" s="230"/>
      <c r="AH308" s="230"/>
      <c r="AI308" s="230"/>
    </row>
    <row r="309">
      <c r="O309" s="230"/>
      <c r="S309" s="230"/>
      <c r="T309" s="230"/>
      <c r="U309" s="230"/>
      <c r="V309" s="230"/>
      <c r="AC309" s="230"/>
      <c r="AD309" s="230"/>
      <c r="AE309" s="230"/>
      <c r="AF309" s="230"/>
      <c r="AG309" s="230"/>
      <c r="AH309" s="230"/>
      <c r="AI309" s="230"/>
    </row>
    <row r="310">
      <c r="O310" s="230"/>
      <c r="S310" s="230"/>
      <c r="T310" s="230"/>
      <c r="U310" s="230"/>
      <c r="V310" s="230"/>
      <c r="AC310" s="230"/>
      <c r="AD310" s="230"/>
      <c r="AE310" s="230"/>
      <c r="AF310" s="230"/>
      <c r="AG310" s="230"/>
      <c r="AH310" s="230"/>
      <c r="AI310" s="230"/>
    </row>
    <row r="311">
      <c r="O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  <c r="AI311" s="230"/>
    </row>
    <row r="312">
      <c r="O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  <c r="AI312" s="230"/>
    </row>
    <row r="313">
      <c r="O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  <c r="AI313" s="230"/>
    </row>
    <row r="314">
      <c r="O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  <c r="AI314" s="230"/>
    </row>
    <row r="315">
      <c r="O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  <c r="AI315" s="230"/>
    </row>
    <row r="316">
      <c r="O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  <c r="AI316" s="230"/>
    </row>
    <row r="317">
      <c r="O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  <c r="AI317" s="230"/>
    </row>
    <row r="318">
      <c r="O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  <c r="AI318" s="230"/>
    </row>
    <row r="319">
      <c r="O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  <c r="AI319" s="230"/>
    </row>
    <row r="320">
      <c r="O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  <c r="AI320" s="230"/>
    </row>
    <row r="321">
      <c r="O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</row>
    <row r="322">
      <c r="O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</row>
    <row r="323">
      <c r="O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  <c r="AI323" s="230"/>
    </row>
    <row r="324">
      <c r="O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</row>
    <row r="325">
      <c r="O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  <c r="AI325" s="230"/>
    </row>
    <row r="326">
      <c r="O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  <c r="AI326" s="230"/>
    </row>
    <row r="327">
      <c r="O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  <c r="AI327" s="230"/>
    </row>
    <row r="328">
      <c r="O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</row>
    <row r="329">
      <c r="O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</row>
    <row r="330">
      <c r="O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  <c r="AI330" s="230"/>
    </row>
    <row r="331">
      <c r="O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</row>
    <row r="332">
      <c r="O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  <c r="AI332" s="230"/>
    </row>
    <row r="333">
      <c r="O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  <c r="AI333" s="230"/>
    </row>
    <row r="334">
      <c r="O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  <c r="AI334" s="230"/>
    </row>
    <row r="335">
      <c r="O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  <c r="AI335" s="230"/>
    </row>
    <row r="336">
      <c r="O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  <c r="AI336" s="230"/>
    </row>
    <row r="337">
      <c r="O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  <c r="AI337" s="230"/>
    </row>
    <row r="338">
      <c r="O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</row>
    <row r="339">
      <c r="O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  <c r="AI339" s="230"/>
    </row>
    <row r="340">
      <c r="O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  <c r="AI340" s="230"/>
    </row>
    <row r="341">
      <c r="O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  <c r="AI341" s="230"/>
    </row>
    <row r="342">
      <c r="O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  <c r="AI342" s="230"/>
    </row>
    <row r="343">
      <c r="O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  <c r="AI343" s="230"/>
    </row>
    <row r="344">
      <c r="O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</row>
    <row r="345">
      <c r="O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</row>
    <row r="346">
      <c r="O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</row>
    <row r="347">
      <c r="O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</row>
    <row r="348">
      <c r="O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</row>
    <row r="349">
      <c r="O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</row>
    <row r="350">
      <c r="O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</row>
    <row r="351">
      <c r="O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</row>
    <row r="352">
      <c r="O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</row>
    <row r="353">
      <c r="O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</row>
    <row r="354">
      <c r="O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  <c r="AI354" s="230"/>
    </row>
    <row r="355">
      <c r="O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  <c r="AI355" s="230"/>
    </row>
    <row r="356">
      <c r="O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  <c r="AI356" s="230"/>
    </row>
    <row r="357">
      <c r="O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  <c r="AI357" s="230"/>
    </row>
    <row r="358">
      <c r="O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  <c r="AI358" s="230"/>
    </row>
    <row r="359">
      <c r="O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  <c r="AI359" s="230"/>
    </row>
    <row r="360">
      <c r="O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  <c r="AI360" s="230"/>
    </row>
    <row r="361">
      <c r="O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</row>
    <row r="362">
      <c r="O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  <c r="AI362" s="230"/>
    </row>
    <row r="363">
      <c r="O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  <c r="AI363" s="230"/>
    </row>
    <row r="364">
      <c r="O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  <c r="AI364" s="230"/>
    </row>
    <row r="365">
      <c r="O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  <c r="AI365" s="230"/>
    </row>
    <row r="366">
      <c r="O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  <c r="AI366" s="230"/>
    </row>
    <row r="367">
      <c r="O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  <c r="AI367" s="230"/>
    </row>
    <row r="368">
      <c r="O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  <c r="AI368" s="230"/>
    </row>
    <row r="369">
      <c r="O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  <c r="AI369" s="230"/>
    </row>
    <row r="370">
      <c r="O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</row>
    <row r="371">
      <c r="O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  <c r="AI371" s="230"/>
    </row>
    <row r="372">
      <c r="O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  <c r="AI372" s="230"/>
    </row>
    <row r="373">
      <c r="O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  <c r="AI373" s="230"/>
    </row>
    <row r="374">
      <c r="O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  <c r="AI374" s="230"/>
    </row>
    <row r="375">
      <c r="O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</row>
    <row r="376">
      <c r="O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  <c r="AI376" s="230"/>
    </row>
    <row r="377">
      <c r="O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  <c r="AI377" s="230"/>
    </row>
    <row r="378">
      <c r="O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  <c r="AI378" s="230"/>
    </row>
    <row r="379">
      <c r="O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  <c r="AI379" s="230"/>
    </row>
    <row r="380">
      <c r="O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  <c r="AI380" s="230"/>
    </row>
    <row r="381">
      <c r="O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</row>
    <row r="382">
      <c r="O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  <c r="AI382" s="230"/>
    </row>
    <row r="383">
      <c r="O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</row>
    <row r="384">
      <c r="O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  <c r="AI384" s="230"/>
    </row>
    <row r="385">
      <c r="O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  <c r="AI385" s="230"/>
    </row>
    <row r="386">
      <c r="O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  <c r="AI386" s="230"/>
    </row>
    <row r="387">
      <c r="O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  <c r="AI387" s="230"/>
    </row>
    <row r="388">
      <c r="O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  <c r="AI388" s="230"/>
    </row>
    <row r="389">
      <c r="O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  <c r="AI389" s="230"/>
    </row>
    <row r="390">
      <c r="O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  <c r="AI390" s="230"/>
    </row>
    <row r="391">
      <c r="O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  <c r="AI391" s="230"/>
    </row>
    <row r="392">
      <c r="O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  <c r="AI392" s="230"/>
    </row>
    <row r="393">
      <c r="O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  <c r="AI393" s="230"/>
    </row>
    <row r="394">
      <c r="O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  <c r="AI394" s="230"/>
    </row>
    <row r="395">
      <c r="O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  <c r="AI395" s="230"/>
    </row>
    <row r="396">
      <c r="O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  <c r="AI396" s="230"/>
    </row>
    <row r="397">
      <c r="O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</row>
    <row r="398">
      <c r="O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  <c r="AI398" s="230"/>
    </row>
    <row r="399">
      <c r="O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  <c r="AI399" s="230"/>
    </row>
    <row r="400">
      <c r="O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  <c r="AI400" s="230"/>
    </row>
    <row r="401">
      <c r="O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  <c r="AI401" s="230"/>
    </row>
    <row r="402">
      <c r="O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  <c r="AI402" s="230"/>
    </row>
    <row r="403">
      <c r="O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  <c r="AI403" s="230"/>
    </row>
    <row r="404">
      <c r="O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  <c r="AI404" s="230"/>
    </row>
    <row r="405">
      <c r="O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  <c r="AI405" s="230"/>
    </row>
    <row r="406">
      <c r="O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  <c r="AI406" s="230"/>
    </row>
    <row r="407">
      <c r="O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  <c r="AI407" s="230"/>
    </row>
    <row r="408">
      <c r="O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  <c r="AI408" s="230"/>
    </row>
    <row r="409">
      <c r="O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  <c r="AI409" s="230"/>
    </row>
    <row r="410">
      <c r="O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  <c r="AI410" s="230"/>
    </row>
    <row r="411">
      <c r="O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  <c r="AI411" s="230"/>
    </row>
    <row r="412">
      <c r="O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  <c r="AI412" s="230"/>
    </row>
    <row r="413">
      <c r="O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  <c r="AI413" s="230"/>
    </row>
    <row r="414">
      <c r="O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  <c r="AI414" s="230"/>
    </row>
    <row r="415">
      <c r="O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  <c r="AI415" s="230"/>
    </row>
    <row r="416">
      <c r="O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  <c r="AI416" s="230"/>
    </row>
    <row r="417">
      <c r="O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  <c r="AI417" s="230"/>
    </row>
    <row r="418">
      <c r="O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  <c r="AI418" s="230"/>
    </row>
    <row r="419">
      <c r="O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</row>
    <row r="420">
      <c r="O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  <c r="AI420" s="230"/>
    </row>
    <row r="421">
      <c r="O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  <c r="AI421" s="230"/>
    </row>
    <row r="422">
      <c r="O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</row>
    <row r="423">
      <c r="O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  <c r="AI423" s="230"/>
    </row>
    <row r="424">
      <c r="O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  <c r="AI424" s="230"/>
    </row>
    <row r="425">
      <c r="O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  <c r="AI425" s="230"/>
    </row>
    <row r="426">
      <c r="O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  <c r="AI426" s="230"/>
    </row>
    <row r="427">
      <c r="O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</row>
    <row r="428">
      <c r="O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</row>
    <row r="429">
      <c r="O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  <c r="AI429" s="230"/>
    </row>
    <row r="430">
      <c r="O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  <c r="AI430" s="230"/>
    </row>
    <row r="431">
      <c r="O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  <c r="AI431" s="230"/>
    </row>
    <row r="432">
      <c r="O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  <c r="AI432" s="230"/>
    </row>
    <row r="433">
      <c r="O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</row>
    <row r="434">
      <c r="O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</row>
    <row r="435">
      <c r="O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  <c r="AI435" s="230"/>
    </row>
    <row r="436">
      <c r="O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  <c r="AI436" s="230"/>
    </row>
    <row r="437">
      <c r="O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</row>
    <row r="438">
      <c r="O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  <c r="AI438" s="230"/>
    </row>
    <row r="439">
      <c r="O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  <c r="AI439" s="230"/>
    </row>
    <row r="440">
      <c r="O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  <c r="AI440" s="230"/>
    </row>
    <row r="441">
      <c r="O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</row>
    <row r="442">
      <c r="O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  <c r="AI442" s="230"/>
    </row>
    <row r="443">
      <c r="O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  <c r="AI443" s="230"/>
    </row>
    <row r="444">
      <c r="O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  <c r="AI444" s="230"/>
    </row>
    <row r="445">
      <c r="O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  <c r="AI445" s="230"/>
    </row>
    <row r="446">
      <c r="O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  <c r="AI446" s="230"/>
    </row>
    <row r="447">
      <c r="O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  <c r="AI447" s="230"/>
    </row>
    <row r="448">
      <c r="O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  <c r="AI448" s="230"/>
    </row>
    <row r="449">
      <c r="O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  <c r="AI449" s="230"/>
    </row>
    <row r="450">
      <c r="O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  <c r="AI450" s="230"/>
    </row>
    <row r="451">
      <c r="O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  <c r="AI451" s="230"/>
    </row>
    <row r="452">
      <c r="O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  <c r="AI452" s="230"/>
    </row>
    <row r="453">
      <c r="O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  <c r="AI453" s="230"/>
    </row>
    <row r="454">
      <c r="O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  <c r="AI454" s="230"/>
    </row>
    <row r="455">
      <c r="O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  <c r="AI455" s="230"/>
    </row>
    <row r="456">
      <c r="O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  <c r="AI456" s="230"/>
    </row>
    <row r="457">
      <c r="O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  <c r="AI457" s="230"/>
    </row>
    <row r="458">
      <c r="O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  <c r="AI458" s="230"/>
    </row>
    <row r="459">
      <c r="O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  <c r="AI459" s="230"/>
    </row>
    <row r="460">
      <c r="O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  <c r="AI460" s="230"/>
    </row>
    <row r="461">
      <c r="O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  <c r="AI461" s="230"/>
    </row>
    <row r="462">
      <c r="O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  <c r="AI462" s="230"/>
    </row>
    <row r="463">
      <c r="O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</row>
    <row r="464">
      <c r="O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  <c r="AI464" s="230"/>
    </row>
    <row r="465">
      <c r="O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  <c r="AI465" s="230"/>
    </row>
    <row r="466">
      <c r="O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  <c r="AI466" s="230"/>
    </row>
    <row r="467">
      <c r="O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  <c r="AI467" s="230"/>
    </row>
    <row r="468">
      <c r="O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  <c r="AI468" s="230"/>
    </row>
    <row r="469">
      <c r="O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  <c r="AI469" s="230"/>
    </row>
    <row r="470">
      <c r="O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  <c r="AI470" s="230"/>
    </row>
    <row r="471">
      <c r="O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  <c r="AI471" s="230"/>
    </row>
    <row r="472">
      <c r="O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  <c r="AI472" s="230"/>
    </row>
    <row r="473">
      <c r="O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  <c r="AI473" s="230"/>
    </row>
    <row r="474">
      <c r="O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  <c r="AI474" s="230"/>
    </row>
    <row r="475">
      <c r="O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  <c r="AI475" s="230"/>
    </row>
    <row r="476">
      <c r="O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  <c r="AI476" s="230"/>
    </row>
    <row r="477">
      <c r="O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  <c r="AI477" s="230"/>
    </row>
    <row r="478">
      <c r="O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  <c r="AI478" s="230"/>
    </row>
    <row r="479">
      <c r="O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  <c r="AI479" s="230"/>
    </row>
    <row r="480">
      <c r="O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  <c r="AI480" s="230"/>
    </row>
    <row r="481">
      <c r="O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  <c r="AI481" s="230"/>
    </row>
    <row r="482">
      <c r="O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  <c r="AI482" s="230"/>
    </row>
    <row r="483">
      <c r="O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  <c r="AI483" s="230"/>
    </row>
    <row r="484">
      <c r="O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  <c r="AI484" s="230"/>
    </row>
    <row r="485">
      <c r="O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</row>
    <row r="486">
      <c r="O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  <c r="AI486" s="230"/>
    </row>
    <row r="487">
      <c r="O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  <c r="AI487" s="230"/>
    </row>
    <row r="488">
      <c r="O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  <c r="AI488" s="230"/>
    </row>
    <row r="489">
      <c r="O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</row>
    <row r="490">
      <c r="O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  <c r="AI490" s="230"/>
    </row>
    <row r="491">
      <c r="O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</row>
    <row r="492">
      <c r="O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</row>
    <row r="493">
      <c r="O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  <c r="AI493" s="230"/>
    </row>
    <row r="494">
      <c r="O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  <c r="AI494" s="230"/>
    </row>
    <row r="495">
      <c r="O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  <c r="AI495" s="230"/>
    </row>
    <row r="496">
      <c r="O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  <c r="AI496" s="230"/>
    </row>
    <row r="497">
      <c r="O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  <c r="AI497" s="230"/>
    </row>
    <row r="498">
      <c r="O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  <c r="AI498" s="230"/>
    </row>
    <row r="499">
      <c r="O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  <c r="AI499" s="230"/>
    </row>
    <row r="500">
      <c r="O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  <c r="AI500" s="230"/>
    </row>
    <row r="501">
      <c r="O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  <c r="AI501" s="230"/>
    </row>
    <row r="502">
      <c r="O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  <c r="AI502" s="230"/>
    </row>
    <row r="503">
      <c r="O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  <c r="AI503" s="230"/>
    </row>
    <row r="504">
      <c r="O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  <c r="AI504" s="230"/>
    </row>
    <row r="505">
      <c r="O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  <c r="AI505" s="230"/>
    </row>
    <row r="506">
      <c r="O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  <c r="AI506" s="230"/>
    </row>
    <row r="507">
      <c r="O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</row>
    <row r="508">
      <c r="O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  <c r="AI508" s="230"/>
    </row>
    <row r="509">
      <c r="O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  <c r="AI509" s="230"/>
    </row>
    <row r="510">
      <c r="O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  <c r="AI510" s="230"/>
    </row>
    <row r="511">
      <c r="O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  <c r="AI511" s="230"/>
    </row>
    <row r="512">
      <c r="O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  <c r="AI512" s="230"/>
    </row>
    <row r="513">
      <c r="O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  <c r="AI513" s="230"/>
    </row>
    <row r="514">
      <c r="O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  <c r="AI514" s="230"/>
    </row>
    <row r="515">
      <c r="O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  <c r="AI515" s="230"/>
    </row>
    <row r="516">
      <c r="O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  <c r="AI516" s="230"/>
    </row>
    <row r="517">
      <c r="O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  <c r="AI517" s="230"/>
    </row>
    <row r="518">
      <c r="O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  <c r="AI518" s="230"/>
    </row>
    <row r="519">
      <c r="O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  <c r="AI519" s="230"/>
    </row>
    <row r="520">
      <c r="O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</row>
    <row r="521">
      <c r="O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</row>
    <row r="522">
      <c r="O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</row>
    <row r="523">
      <c r="O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</row>
    <row r="524">
      <c r="O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</row>
    <row r="525">
      <c r="O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</row>
    <row r="526">
      <c r="O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</row>
    <row r="527">
      <c r="O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</row>
    <row r="528">
      <c r="O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  <c r="AI528" s="230"/>
    </row>
    <row r="529">
      <c r="O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</row>
    <row r="530">
      <c r="O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  <c r="AI530" s="230"/>
    </row>
    <row r="531">
      <c r="O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  <c r="AI531" s="230"/>
    </row>
    <row r="532">
      <c r="O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  <c r="AI532" s="230"/>
    </row>
    <row r="533">
      <c r="O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  <c r="AI533" s="230"/>
    </row>
    <row r="534">
      <c r="O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  <c r="AI534" s="230"/>
    </row>
    <row r="535">
      <c r="O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  <c r="AI535" s="230"/>
    </row>
    <row r="536">
      <c r="O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  <c r="AI536" s="230"/>
    </row>
    <row r="537">
      <c r="O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  <c r="AI537" s="230"/>
    </row>
    <row r="538">
      <c r="O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  <c r="AI538" s="230"/>
    </row>
    <row r="539">
      <c r="O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  <c r="AI539" s="230"/>
    </row>
    <row r="540">
      <c r="O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  <c r="AI540" s="230"/>
    </row>
    <row r="541">
      <c r="O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  <c r="AI541" s="230"/>
    </row>
    <row r="542">
      <c r="O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  <c r="AI542" s="230"/>
    </row>
    <row r="543">
      <c r="O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  <c r="AI543" s="230"/>
    </row>
    <row r="544">
      <c r="O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</row>
    <row r="545">
      <c r="O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  <c r="AI545" s="230"/>
    </row>
    <row r="546">
      <c r="O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  <c r="AI546" s="230"/>
    </row>
    <row r="547">
      <c r="O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</row>
    <row r="548">
      <c r="O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  <c r="AI548" s="230"/>
    </row>
    <row r="549">
      <c r="O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  <c r="AI549" s="230"/>
    </row>
    <row r="550">
      <c r="O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  <c r="AI550" s="230"/>
    </row>
    <row r="551">
      <c r="O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</row>
    <row r="552">
      <c r="O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  <c r="AI552" s="230"/>
    </row>
    <row r="553">
      <c r="O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  <c r="AI553" s="230"/>
    </row>
    <row r="554">
      <c r="O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  <c r="AI554" s="230"/>
    </row>
    <row r="555">
      <c r="O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  <c r="AI555" s="230"/>
    </row>
    <row r="556">
      <c r="O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  <c r="AI556" s="230"/>
    </row>
    <row r="557">
      <c r="O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  <c r="AI557" s="230"/>
    </row>
    <row r="558">
      <c r="O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  <c r="AI558" s="230"/>
    </row>
    <row r="559">
      <c r="O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  <c r="AI559" s="230"/>
    </row>
    <row r="560">
      <c r="O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  <c r="AI560" s="230"/>
    </row>
    <row r="561">
      <c r="O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  <c r="AI561" s="230"/>
    </row>
    <row r="562">
      <c r="O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  <c r="AI562" s="230"/>
    </row>
    <row r="563">
      <c r="O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  <c r="AI563" s="230"/>
    </row>
    <row r="564">
      <c r="O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  <c r="AI564" s="230"/>
    </row>
    <row r="565">
      <c r="O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  <c r="AI565" s="230"/>
    </row>
    <row r="566">
      <c r="O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  <c r="AI566" s="230"/>
    </row>
    <row r="567">
      <c r="O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  <c r="AI567" s="230"/>
    </row>
    <row r="568">
      <c r="O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  <c r="AI568" s="230"/>
    </row>
    <row r="569">
      <c r="O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  <c r="AI569" s="230"/>
    </row>
    <row r="570">
      <c r="O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</row>
    <row r="571">
      <c r="O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</row>
    <row r="572">
      <c r="O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</row>
    <row r="573">
      <c r="O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</row>
    <row r="574">
      <c r="O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  <c r="AI574" s="230"/>
    </row>
    <row r="575">
      <c r="O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  <c r="AI575" s="230"/>
    </row>
    <row r="576">
      <c r="O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  <c r="AI576" s="230"/>
    </row>
    <row r="577">
      <c r="O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  <c r="AI577" s="230"/>
    </row>
    <row r="578">
      <c r="O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  <c r="AI578" s="230"/>
    </row>
    <row r="579">
      <c r="O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  <c r="AI579" s="230"/>
    </row>
    <row r="580">
      <c r="O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  <c r="AI580" s="230"/>
    </row>
    <row r="581">
      <c r="O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  <c r="AI581" s="230"/>
    </row>
    <row r="582">
      <c r="O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  <c r="AI582" s="230"/>
    </row>
    <row r="583">
      <c r="O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  <c r="AI583" s="230"/>
    </row>
    <row r="584">
      <c r="O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  <c r="AI584" s="230"/>
    </row>
    <row r="585">
      <c r="O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  <c r="AI585" s="230"/>
    </row>
    <row r="586">
      <c r="O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  <c r="AI586" s="230"/>
    </row>
    <row r="587">
      <c r="O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  <c r="AI587" s="230"/>
    </row>
    <row r="588">
      <c r="O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  <c r="AI588" s="230"/>
    </row>
    <row r="589">
      <c r="O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  <c r="AI589" s="230"/>
    </row>
    <row r="590">
      <c r="O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  <c r="AI590" s="230"/>
    </row>
    <row r="591">
      <c r="O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  <c r="AI591" s="230"/>
    </row>
    <row r="592">
      <c r="O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  <c r="AI592" s="230"/>
    </row>
    <row r="593">
      <c r="O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  <c r="AI593" s="230"/>
    </row>
    <row r="594">
      <c r="O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  <c r="AI594" s="230"/>
    </row>
    <row r="595">
      <c r="O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</row>
    <row r="596">
      <c r="O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  <c r="AI596" s="230"/>
    </row>
    <row r="597">
      <c r="O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  <c r="AI597" s="230"/>
    </row>
    <row r="598">
      <c r="O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  <c r="AI598" s="230"/>
    </row>
    <row r="599">
      <c r="O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  <c r="AI599" s="230"/>
    </row>
    <row r="600">
      <c r="O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  <c r="AI600" s="230"/>
    </row>
    <row r="601">
      <c r="O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  <c r="AI601" s="230"/>
    </row>
    <row r="602">
      <c r="O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  <c r="AI602" s="230"/>
    </row>
    <row r="603">
      <c r="O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  <c r="AI603" s="230"/>
    </row>
    <row r="604">
      <c r="O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  <c r="AI604" s="230"/>
    </row>
    <row r="605">
      <c r="O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  <c r="AI605" s="230"/>
    </row>
    <row r="606">
      <c r="O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  <c r="AI606" s="230"/>
    </row>
    <row r="607">
      <c r="O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  <c r="AI607" s="230"/>
    </row>
    <row r="608">
      <c r="O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  <c r="AI608" s="230"/>
    </row>
    <row r="609">
      <c r="O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  <c r="AI609" s="230"/>
    </row>
    <row r="610">
      <c r="O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  <c r="AI610" s="230"/>
    </row>
    <row r="611">
      <c r="O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  <c r="AI611" s="230"/>
    </row>
    <row r="612">
      <c r="O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  <c r="AI612" s="230"/>
    </row>
    <row r="613">
      <c r="O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  <c r="AI613" s="230"/>
    </row>
    <row r="614">
      <c r="O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  <c r="AI614" s="230"/>
    </row>
    <row r="615">
      <c r="O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  <c r="AI615" s="230"/>
    </row>
    <row r="616">
      <c r="O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  <c r="AI616" s="230"/>
    </row>
    <row r="617">
      <c r="O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</row>
    <row r="618">
      <c r="O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</row>
    <row r="619">
      <c r="O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  <c r="AI619" s="230"/>
    </row>
    <row r="620">
      <c r="O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</row>
    <row r="621">
      <c r="O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  <c r="AI621" s="230"/>
    </row>
    <row r="622">
      <c r="O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  <c r="AI622" s="230"/>
    </row>
    <row r="623">
      <c r="O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  <c r="AI623" s="230"/>
    </row>
    <row r="624">
      <c r="O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</row>
    <row r="625">
      <c r="O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  <c r="AI625" s="230"/>
    </row>
    <row r="626">
      <c r="O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  <c r="AI626" s="230"/>
    </row>
    <row r="627">
      <c r="O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  <c r="AI627" s="230"/>
    </row>
    <row r="628">
      <c r="O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  <c r="AI628" s="230"/>
    </row>
    <row r="629">
      <c r="O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  <c r="AI629" s="230"/>
    </row>
    <row r="630">
      <c r="O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  <c r="AI630" s="230"/>
    </row>
    <row r="631">
      <c r="O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  <c r="AI631" s="230"/>
    </row>
    <row r="632">
      <c r="O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  <c r="AI632" s="230"/>
    </row>
    <row r="633">
      <c r="O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  <c r="AI633" s="230"/>
    </row>
    <row r="634">
      <c r="O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  <c r="AI634" s="230"/>
    </row>
    <row r="635">
      <c r="O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  <c r="AI635" s="230"/>
    </row>
    <row r="636">
      <c r="O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  <c r="AI636" s="230"/>
    </row>
    <row r="637">
      <c r="O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  <c r="AI637" s="230"/>
    </row>
    <row r="638">
      <c r="O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  <c r="AI638" s="230"/>
    </row>
    <row r="639">
      <c r="O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</row>
    <row r="640">
      <c r="O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  <c r="AI640" s="230"/>
    </row>
    <row r="641">
      <c r="O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  <c r="AI641" s="230"/>
    </row>
    <row r="642">
      <c r="O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  <c r="AI642" s="230"/>
    </row>
    <row r="643">
      <c r="O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  <c r="AI643" s="230"/>
    </row>
    <row r="644">
      <c r="O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  <c r="AI644" s="230"/>
    </row>
    <row r="645">
      <c r="O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  <c r="AI645" s="230"/>
    </row>
    <row r="646">
      <c r="O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  <c r="AI646" s="230"/>
    </row>
    <row r="647">
      <c r="O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  <c r="AI647" s="230"/>
    </row>
    <row r="648">
      <c r="O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  <c r="AI648" s="230"/>
    </row>
    <row r="649">
      <c r="O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  <c r="AI649" s="230"/>
    </row>
    <row r="650">
      <c r="O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  <c r="AI650" s="230"/>
    </row>
    <row r="651">
      <c r="O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  <c r="AI651" s="230"/>
    </row>
    <row r="652">
      <c r="O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  <c r="AI652" s="230"/>
    </row>
    <row r="653">
      <c r="O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  <c r="AI653" s="230"/>
    </row>
    <row r="654">
      <c r="O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  <c r="AI654" s="230"/>
    </row>
    <row r="655">
      <c r="O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  <c r="AI655" s="230"/>
    </row>
    <row r="656">
      <c r="O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  <c r="AI656" s="230"/>
    </row>
    <row r="657">
      <c r="O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  <c r="AI657" s="230"/>
    </row>
    <row r="658">
      <c r="O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  <c r="AI658" s="230"/>
    </row>
    <row r="659">
      <c r="O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  <c r="AI659" s="230"/>
    </row>
    <row r="660">
      <c r="O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  <c r="AI660" s="230"/>
    </row>
    <row r="661">
      <c r="O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</row>
    <row r="662">
      <c r="O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  <c r="AI662" s="230"/>
    </row>
    <row r="663">
      <c r="O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  <c r="AI663" s="230"/>
    </row>
    <row r="664">
      <c r="O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  <c r="AI664" s="230"/>
    </row>
    <row r="665">
      <c r="O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  <c r="AI665" s="230"/>
    </row>
    <row r="666">
      <c r="O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  <c r="AI666" s="230"/>
    </row>
    <row r="667">
      <c r="O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  <c r="AI667" s="230"/>
    </row>
    <row r="668">
      <c r="O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  <c r="AI668" s="230"/>
    </row>
    <row r="669">
      <c r="O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  <c r="AI669" s="230"/>
    </row>
    <row r="670">
      <c r="O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  <c r="AI670" s="230"/>
    </row>
    <row r="671">
      <c r="O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  <c r="AI671" s="230"/>
    </row>
    <row r="672">
      <c r="O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  <c r="AI672" s="230"/>
    </row>
    <row r="673">
      <c r="O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  <c r="AI673" s="230"/>
    </row>
    <row r="674">
      <c r="O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  <c r="AI674" s="230"/>
    </row>
    <row r="675">
      <c r="O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  <c r="AI675" s="230"/>
    </row>
    <row r="676">
      <c r="O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  <c r="AI676" s="230"/>
    </row>
    <row r="677">
      <c r="O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  <c r="AI677" s="230"/>
    </row>
    <row r="678">
      <c r="O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  <c r="AI678" s="230"/>
    </row>
    <row r="679">
      <c r="O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  <c r="AI679" s="230"/>
    </row>
    <row r="680">
      <c r="O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  <c r="AI680" s="230"/>
    </row>
    <row r="681">
      <c r="O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  <c r="AI681" s="230"/>
    </row>
    <row r="682">
      <c r="O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  <c r="AI682" s="230"/>
    </row>
    <row r="683">
      <c r="O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</row>
    <row r="684">
      <c r="O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  <c r="AI684" s="230"/>
    </row>
    <row r="685">
      <c r="O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  <c r="AI685" s="230"/>
    </row>
    <row r="686">
      <c r="O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  <c r="AI686" s="230"/>
    </row>
    <row r="687">
      <c r="O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  <c r="AI687" s="230"/>
    </row>
    <row r="688">
      <c r="O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  <c r="AI688" s="230"/>
    </row>
    <row r="689">
      <c r="O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  <c r="AI689" s="230"/>
    </row>
    <row r="690">
      <c r="O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  <c r="AI690" s="230"/>
    </row>
    <row r="691">
      <c r="O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  <c r="AI691" s="230"/>
    </row>
    <row r="692">
      <c r="O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  <c r="AI692" s="230"/>
    </row>
    <row r="693">
      <c r="O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  <c r="AI693" s="230"/>
    </row>
    <row r="694">
      <c r="O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  <c r="AI694" s="230"/>
    </row>
    <row r="695">
      <c r="O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  <c r="AI695" s="230"/>
    </row>
    <row r="696">
      <c r="O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  <c r="AI696" s="230"/>
    </row>
    <row r="697">
      <c r="O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  <c r="AI697" s="230"/>
    </row>
    <row r="698">
      <c r="O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  <c r="AI698" s="230"/>
    </row>
    <row r="699">
      <c r="O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  <c r="AI699" s="230"/>
    </row>
    <row r="700">
      <c r="O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  <c r="AI700" s="230"/>
    </row>
    <row r="701">
      <c r="O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  <c r="AI701" s="230"/>
    </row>
    <row r="702">
      <c r="O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  <c r="AI702" s="230"/>
    </row>
    <row r="703">
      <c r="O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  <c r="AI703" s="230"/>
    </row>
    <row r="704">
      <c r="O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  <c r="AI704" s="230"/>
    </row>
    <row r="705">
      <c r="O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  <c r="AI705" s="230"/>
    </row>
    <row r="706">
      <c r="O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  <c r="AI706" s="230"/>
    </row>
    <row r="707">
      <c r="O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  <c r="AI707" s="230"/>
    </row>
    <row r="708">
      <c r="O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  <c r="AI708" s="230"/>
    </row>
    <row r="709">
      <c r="O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  <c r="AI709" s="230"/>
    </row>
    <row r="710">
      <c r="O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  <c r="AI710" s="230"/>
    </row>
    <row r="711">
      <c r="O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  <c r="AI711" s="230"/>
    </row>
    <row r="712">
      <c r="O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  <c r="AI712" s="230"/>
    </row>
    <row r="713">
      <c r="O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  <c r="AI713" s="230"/>
    </row>
    <row r="714">
      <c r="O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  <c r="AI714" s="230"/>
    </row>
    <row r="715">
      <c r="O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  <c r="AI715" s="230"/>
    </row>
    <row r="716">
      <c r="O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  <c r="AI716" s="230"/>
    </row>
    <row r="717">
      <c r="O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  <c r="AI717" s="230"/>
    </row>
    <row r="718">
      <c r="O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  <c r="AI718" s="230"/>
    </row>
    <row r="719">
      <c r="O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  <c r="AI719" s="230"/>
    </row>
    <row r="720">
      <c r="O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  <c r="AI720" s="230"/>
    </row>
    <row r="721">
      <c r="O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  <c r="AI721" s="230"/>
    </row>
    <row r="722">
      <c r="O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  <c r="AI722" s="230"/>
    </row>
    <row r="723">
      <c r="O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  <c r="AI723" s="230"/>
    </row>
    <row r="724">
      <c r="O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  <c r="AI724" s="230"/>
    </row>
    <row r="725">
      <c r="O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  <c r="AI725" s="230"/>
    </row>
    <row r="726">
      <c r="O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  <c r="AI726" s="230"/>
    </row>
    <row r="727">
      <c r="O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  <c r="AI727" s="230"/>
    </row>
    <row r="728">
      <c r="O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  <c r="AI728" s="230"/>
    </row>
    <row r="729">
      <c r="O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  <c r="AI729" s="230"/>
    </row>
    <row r="730">
      <c r="O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  <c r="AI730" s="230"/>
    </row>
    <row r="731">
      <c r="O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  <c r="AI731" s="230"/>
    </row>
    <row r="732">
      <c r="O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  <c r="AI732" s="230"/>
    </row>
    <row r="733">
      <c r="O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</row>
    <row r="734">
      <c r="O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</row>
    <row r="735">
      <c r="O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</row>
    <row r="736">
      <c r="O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</row>
    <row r="737">
      <c r="O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</row>
    <row r="738">
      <c r="O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</row>
    <row r="739">
      <c r="O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</row>
    <row r="740">
      <c r="O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</row>
    <row r="741">
      <c r="O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</row>
    <row r="742">
      <c r="O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</row>
    <row r="743">
      <c r="O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</row>
    <row r="744">
      <c r="O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</row>
    <row r="745">
      <c r="O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</row>
    <row r="746">
      <c r="O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</row>
    <row r="747">
      <c r="O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</row>
    <row r="748">
      <c r="O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</row>
    <row r="749">
      <c r="O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  <c r="AI749" s="230"/>
    </row>
    <row r="750">
      <c r="O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  <c r="AI750" s="230"/>
    </row>
    <row r="751">
      <c r="O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  <c r="AI751" s="230"/>
    </row>
    <row r="752">
      <c r="O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  <c r="AI752" s="230"/>
    </row>
    <row r="753">
      <c r="O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  <c r="AI753" s="230"/>
    </row>
    <row r="754">
      <c r="O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  <c r="AI754" s="230"/>
    </row>
    <row r="755">
      <c r="O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  <c r="AI755" s="230"/>
    </row>
    <row r="756">
      <c r="O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  <c r="AI756" s="230"/>
    </row>
    <row r="757">
      <c r="O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  <c r="AI757" s="230"/>
    </row>
    <row r="758">
      <c r="O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  <c r="AI758" s="230"/>
    </row>
    <row r="759">
      <c r="O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  <c r="AI759" s="230"/>
    </row>
    <row r="760">
      <c r="O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  <c r="AI760" s="230"/>
    </row>
    <row r="761">
      <c r="O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  <c r="AI761" s="230"/>
    </row>
    <row r="762">
      <c r="O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  <c r="AI762" s="230"/>
    </row>
    <row r="763">
      <c r="O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  <c r="AI763" s="230"/>
    </row>
    <row r="764">
      <c r="O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  <c r="AI764" s="230"/>
    </row>
    <row r="765">
      <c r="O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  <c r="AI765" s="230"/>
    </row>
    <row r="766">
      <c r="O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  <c r="AI766" s="230"/>
    </row>
    <row r="767">
      <c r="O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  <c r="AI767" s="230"/>
    </row>
    <row r="768">
      <c r="O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  <c r="AI768" s="230"/>
    </row>
    <row r="769">
      <c r="O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  <c r="AI769" s="230"/>
    </row>
    <row r="770">
      <c r="O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  <c r="AI770" s="230"/>
    </row>
    <row r="771">
      <c r="O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  <c r="AI771" s="230"/>
    </row>
    <row r="772">
      <c r="O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  <c r="AI772" s="230"/>
    </row>
    <row r="773">
      <c r="O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  <c r="AI773" s="230"/>
    </row>
    <row r="774">
      <c r="O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  <c r="AI774" s="230"/>
    </row>
    <row r="775">
      <c r="O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  <c r="AI775" s="230"/>
    </row>
    <row r="776">
      <c r="O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  <c r="AI776" s="230"/>
    </row>
    <row r="777">
      <c r="O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  <c r="AI777" s="230"/>
    </row>
    <row r="778">
      <c r="O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  <c r="AI778" s="230"/>
    </row>
    <row r="779">
      <c r="O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  <c r="AI779" s="230"/>
    </row>
    <row r="780">
      <c r="O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  <c r="AI780" s="230"/>
    </row>
    <row r="781">
      <c r="O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  <c r="AI781" s="230"/>
    </row>
    <row r="782">
      <c r="O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  <c r="AI782" s="230"/>
    </row>
    <row r="783">
      <c r="O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</row>
    <row r="784">
      <c r="O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  <c r="AI784" s="230"/>
    </row>
    <row r="785">
      <c r="O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  <c r="AI785" s="230"/>
    </row>
    <row r="786">
      <c r="O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  <c r="AI786" s="230"/>
    </row>
    <row r="787">
      <c r="O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  <c r="AI787" s="230"/>
    </row>
    <row r="788">
      <c r="O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  <c r="AI788" s="230"/>
    </row>
    <row r="789">
      <c r="O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  <c r="AI789" s="230"/>
    </row>
    <row r="790">
      <c r="O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  <c r="AI790" s="230"/>
    </row>
    <row r="791">
      <c r="O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</row>
    <row r="792">
      <c r="O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  <c r="AI792" s="230"/>
    </row>
    <row r="793">
      <c r="O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  <c r="AI793" s="230"/>
    </row>
    <row r="794">
      <c r="O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  <c r="AI794" s="230"/>
    </row>
    <row r="795">
      <c r="O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  <c r="AI795" s="230"/>
    </row>
    <row r="796">
      <c r="O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  <c r="AI796" s="230"/>
    </row>
    <row r="797">
      <c r="O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  <c r="AI797" s="230"/>
    </row>
    <row r="798">
      <c r="O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  <c r="AI798" s="230"/>
    </row>
    <row r="799">
      <c r="O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  <c r="AI799" s="230"/>
    </row>
    <row r="800">
      <c r="O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  <c r="AI800" s="230"/>
    </row>
    <row r="801">
      <c r="O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  <c r="AI801" s="230"/>
    </row>
    <row r="802">
      <c r="O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  <c r="AI802" s="230"/>
    </row>
    <row r="803">
      <c r="O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  <c r="AI803" s="230"/>
    </row>
    <row r="804">
      <c r="O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  <c r="AI804" s="230"/>
    </row>
    <row r="805">
      <c r="O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  <c r="AI805" s="230"/>
    </row>
    <row r="806">
      <c r="O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  <c r="AI806" s="230"/>
    </row>
    <row r="807">
      <c r="O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  <c r="AI807" s="230"/>
    </row>
    <row r="808">
      <c r="O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  <c r="AI808" s="230"/>
    </row>
    <row r="809">
      <c r="O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  <c r="AI809" s="230"/>
    </row>
    <row r="810">
      <c r="O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  <c r="AI810" s="230"/>
    </row>
    <row r="811">
      <c r="O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  <c r="AI811" s="230"/>
    </row>
    <row r="812">
      <c r="O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  <c r="AI812" s="230"/>
    </row>
    <row r="813">
      <c r="O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  <c r="AI813" s="230"/>
    </row>
    <row r="814">
      <c r="O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  <c r="AI814" s="230"/>
    </row>
    <row r="815">
      <c r="O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  <c r="AI815" s="230"/>
    </row>
    <row r="816">
      <c r="O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  <c r="AI816" s="230"/>
    </row>
    <row r="817">
      <c r="O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  <c r="AI817" s="230"/>
    </row>
    <row r="818">
      <c r="O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  <c r="AI818" s="230"/>
    </row>
    <row r="819">
      <c r="O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  <c r="AI819" s="230"/>
    </row>
    <row r="820">
      <c r="O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  <c r="AI820" s="230"/>
    </row>
    <row r="821">
      <c r="O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  <c r="AI821" s="230"/>
    </row>
    <row r="822">
      <c r="O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  <c r="AI822" s="230"/>
    </row>
    <row r="823">
      <c r="O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  <c r="AI823" s="230"/>
    </row>
    <row r="824">
      <c r="O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  <c r="AI824" s="230"/>
    </row>
    <row r="825">
      <c r="O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  <c r="AI825" s="230"/>
    </row>
    <row r="826">
      <c r="O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  <c r="AI826" s="230"/>
    </row>
    <row r="827">
      <c r="O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  <c r="AI827" s="230"/>
    </row>
    <row r="828">
      <c r="O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  <c r="AI828" s="230"/>
    </row>
    <row r="829">
      <c r="O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  <c r="AI829" s="230"/>
    </row>
    <row r="830">
      <c r="O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  <c r="AI830" s="230"/>
    </row>
    <row r="831">
      <c r="O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</row>
    <row r="832">
      <c r="O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  <c r="AI832" s="230"/>
    </row>
    <row r="833">
      <c r="O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  <c r="AI833" s="230"/>
    </row>
    <row r="834">
      <c r="O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  <c r="AI834" s="230"/>
    </row>
    <row r="835">
      <c r="O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  <c r="AI835" s="230"/>
    </row>
    <row r="836">
      <c r="O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  <c r="AI836" s="230"/>
    </row>
    <row r="837">
      <c r="O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  <c r="AI837" s="230"/>
    </row>
    <row r="838">
      <c r="O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  <c r="AI838" s="230"/>
    </row>
    <row r="839">
      <c r="O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  <c r="AI839" s="230"/>
    </row>
    <row r="840">
      <c r="O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  <c r="AI840" s="230"/>
    </row>
    <row r="841">
      <c r="O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  <c r="AI841" s="230"/>
    </row>
    <row r="842">
      <c r="O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  <c r="AI842" s="230"/>
    </row>
    <row r="843">
      <c r="O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  <c r="AI843" s="230"/>
    </row>
    <row r="844">
      <c r="O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  <c r="AI844" s="230"/>
    </row>
    <row r="845">
      <c r="O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  <c r="AI845" s="230"/>
    </row>
    <row r="846">
      <c r="O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  <c r="AI846" s="230"/>
    </row>
    <row r="847">
      <c r="O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  <c r="AI847" s="230"/>
    </row>
    <row r="848">
      <c r="O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  <c r="AI848" s="230"/>
    </row>
    <row r="849">
      <c r="O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  <c r="AI849" s="230"/>
    </row>
    <row r="850">
      <c r="O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  <c r="AI850" s="230"/>
    </row>
    <row r="851">
      <c r="O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  <c r="AI851" s="230"/>
    </row>
    <row r="852">
      <c r="O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  <c r="AI852" s="230"/>
    </row>
    <row r="853">
      <c r="O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  <c r="AI853" s="230"/>
    </row>
    <row r="854">
      <c r="O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  <c r="AI854" s="230"/>
    </row>
    <row r="855">
      <c r="O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  <c r="AI855" s="230"/>
    </row>
    <row r="856">
      <c r="O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  <c r="AI856" s="230"/>
    </row>
    <row r="857">
      <c r="O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  <c r="AI857" s="230"/>
    </row>
    <row r="858">
      <c r="O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  <c r="AI858" s="230"/>
    </row>
    <row r="859">
      <c r="O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  <c r="AI859" s="230"/>
    </row>
    <row r="860">
      <c r="O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  <c r="AI860" s="230"/>
    </row>
    <row r="861">
      <c r="O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  <c r="AI861" s="230"/>
    </row>
    <row r="862">
      <c r="O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  <c r="AI862" s="230"/>
    </row>
    <row r="863">
      <c r="O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  <c r="AI863" s="230"/>
    </row>
    <row r="864">
      <c r="O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  <c r="AI864" s="230"/>
    </row>
    <row r="865">
      <c r="O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  <c r="AI865" s="230"/>
    </row>
    <row r="866">
      <c r="O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  <c r="AI866" s="230"/>
    </row>
    <row r="867">
      <c r="O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  <c r="AI867" s="230"/>
    </row>
    <row r="868">
      <c r="O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  <c r="AI868" s="230"/>
    </row>
    <row r="869">
      <c r="O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  <c r="AI869" s="230"/>
    </row>
    <row r="870">
      <c r="O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  <c r="AI870" s="230"/>
    </row>
    <row r="871">
      <c r="O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  <c r="AI871" s="230"/>
    </row>
    <row r="872">
      <c r="O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  <c r="AI872" s="230"/>
    </row>
    <row r="873">
      <c r="O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  <c r="AI873" s="230"/>
    </row>
    <row r="874">
      <c r="O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  <c r="AI874" s="230"/>
    </row>
    <row r="875">
      <c r="O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  <c r="AI875" s="230"/>
    </row>
    <row r="876">
      <c r="O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  <c r="AI876" s="230"/>
    </row>
    <row r="877">
      <c r="O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  <c r="AI877" s="230"/>
    </row>
    <row r="878">
      <c r="O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  <c r="AI878" s="230"/>
    </row>
    <row r="879">
      <c r="O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  <c r="AI879" s="230"/>
    </row>
    <row r="880">
      <c r="O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  <c r="AI880" s="230"/>
    </row>
    <row r="881">
      <c r="O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  <c r="AI881" s="230"/>
    </row>
    <row r="882">
      <c r="O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  <c r="AI882" s="230"/>
    </row>
    <row r="883">
      <c r="O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  <c r="AI883" s="230"/>
    </row>
    <row r="884">
      <c r="O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  <c r="AI884" s="230"/>
    </row>
    <row r="885">
      <c r="O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  <c r="AI885" s="230"/>
    </row>
    <row r="886">
      <c r="O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  <c r="AI886" s="230"/>
    </row>
    <row r="887">
      <c r="O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  <c r="AI887" s="230"/>
    </row>
    <row r="888">
      <c r="O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  <c r="AI888" s="230"/>
    </row>
    <row r="889">
      <c r="O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  <c r="AI889" s="230"/>
    </row>
    <row r="890">
      <c r="O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  <c r="AI890" s="230"/>
    </row>
    <row r="891">
      <c r="O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  <c r="AI891" s="230"/>
    </row>
    <row r="892">
      <c r="O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  <c r="AI892" s="230"/>
    </row>
    <row r="893">
      <c r="O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  <c r="AI893" s="230"/>
    </row>
    <row r="894">
      <c r="O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  <c r="AI894" s="230"/>
    </row>
    <row r="895">
      <c r="O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  <c r="AI895" s="230"/>
    </row>
    <row r="896">
      <c r="O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  <c r="AI896" s="230"/>
    </row>
    <row r="897">
      <c r="O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  <c r="AI897" s="230"/>
    </row>
    <row r="898">
      <c r="O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  <c r="AI898" s="230"/>
    </row>
    <row r="899">
      <c r="O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  <c r="AI899" s="230"/>
    </row>
    <row r="900">
      <c r="O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  <c r="AI900" s="230"/>
    </row>
    <row r="901">
      <c r="O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  <c r="AI901" s="230"/>
    </row>
    <row r="902">
      <c r="O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  <c r="AI902" s="230"/>
    </row>
    <row r="903">
      <c r="O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  <c r="AI903" s="230"/>
    </row>
    <row r="904">
      <c r="O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  <c r="AI904" s="230"/>
    </row>
    <row r="905">
      <c r="O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  <c r="AI905" s="230"/>
    </row>
    <row r="906">
      <c r="O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  <c r="AI906" s="230"/>
    </row>
    <row r="907">
      <c r="O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  <c r="AI907" s="230"/>
    </row>
    <row r="908">
      <c r="O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  <c r="AI908" s="230"/>
    </row>
    <row r="909">
      <c r="O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  <c r="AI909" s="230"/>
    </row>
    <row r="910">
      <c r="O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  <c r="AI910" s="230"/>
    </row>
    <row r="911">
      <c r="O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  <c r="AI911" s="230"/>
    </row>
    <row r="912">
      <c r="O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  <c r="AI912" s="230"/>
    </row>
    <row r="913">
      <c r="O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  <c r="AI913" s="230"/>
    </row>
    <row r="914">
      <c r="O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  <c r="AI914" s="230"/>
    </row>
    <row r="915">
      <c r="O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  <c r="AI915" s="230"/>
    </row>
    <row r="916">
      <c r="O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  <c r="AI916" s="230"/>
    </row>
    <row r="917">
      <c r="O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  <c r="AI917" s="230"/>
    </row>
    <row r="918">
      <c r="O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  <c r="AI918" s="230"/>
    </row>
    <row r="919">
      <c r="O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  <c r="AI919" s="230"/>
    </row>
    <row r="920">
      <c r="O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  <c r="AI920" s="230"/>
    </row>
    <row r="921">
      <c r="O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  <c r="AI921" s="230"/>
    </row>
    <row r="922">
      <c r="O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  <c r="AI922" s="230"/>
    </row>
    <row r="923">
      <c r="O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</row>
    <row r="924">
      <c r="O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  <c r="AI924" s="230"/>
    </row>
    <row r="925">
      <c r="O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  <c r="AI925" s="230"/>
    </row>
    <row r="926">
      <c r="O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  <c r="AI926" s="230"/>
    </row>
    <row r="927">
      <c r="O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  <c r="AI927" s="230"/>
    </row>
    <row r="928">
      <c r="O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  <c r="AI928" s="230"/>
    </row>
    <row r="929">
      <c r="O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  <c r="AI929" s="230"/>
    </row>
    <row r="930">
      <c r="O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  <c r="AI930" s="230"/>
    </row>
    <row r="931">
      <c r="O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  <c r="AI931" s="230"/>
    </row>
    <row r="932">
      <c r="O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  <c r="AI932" s="230"/>
    </row>
    <row r="933">
      <c r="O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</row>
    <row r="934">
      <c r="O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</row>
    <row r="935">
      <c r="O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</row>
    <row r="936">
      <c r="O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</row>
    <row r="937">
      <c r="O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</row>
    <row r="938">
      <c r="O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</row>
    <row r="939">
      <c r="O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</row>
    <row r="940">
      <c r="O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</row>
    <row r="941">
      <c r="O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</row>
    <row r="942">
      <c r="O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</row>
    <row r="943">
      <c r="O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</row>
    <row r="944">
      <c r="O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</row>
    <row r="945">
      <c r="O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</row>
    <row r="946">
      <c r="O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</row>
    <row r="947">
      <c r="O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</row>
    <row r="948">
      <c r="O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  <c r="AI948" s="230"/>
    </row>
    <row r="949">
      <c r="O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  <c r="AI949" s="230"/>
    </row>
    <row r="950">
      <c r="O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  <c r="AI950" s="230"/>
    </row>
    <row r="951">
      <c r="O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  <c r="AI951" s="230"/>
    </row>
    <row r="952">
      <c r="O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  <c r="AI952" s="230"/>
    </row>
    <row r="953">
      <c r="O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  <c r="AI953" s="230"/>
    </row>
    <row r="954">
      <c r="O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  <c r="AI954" s="230"/>
    </row>
    <row r="955">
      <c r="O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  <c r="AI955" s="230"/>
    </row>
    <row r="956">
      <c r="O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  <c r="AI956" s="230"/>
    </row>
    <row r="957">
      <c r="O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  <c r="AI957" s="230"/>
    </row>
    <row r="958">
      <c r="O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  <c r="AI958" s="230"/>
    </row>
    <row r="959">
      <c r="O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  <c r="AI959" s="230"/>
    </row>
    <row r="960">
      <c r="O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  <c r="AI960" s="230"/>
    </row>
    <row r="961">
      <c r="O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  <c r="AI961" s="230"/>
    </row>
    <row r="962">
      <c r="O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  <c r="AI962" s="230"/>
    </row>
    <row r="963">
      <c r="O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  <c r="AI963" s="230"/>
    </row>
    <row r="964">
      <c r="O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  <c r="AI964" s="230"/>
    </row>
    <row r="965">
      <c r="O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  <c r="AI965" s="230"/>
    </row>
    <row r="966">
      <c r="O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  <c r="AI966" s="230"/>
    </row>
    <row r="967">
      <c r="O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  <c r="AI967" s="230"/>
    </row>
    <row r="968">
      <c r="O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  <c r="AI968" s="230"/>
    </row>
    <row r="969">
      <c r="O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  <c r="AI969" s="230"/>
    </row>
    <row r="970">
      <c r="O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  <c r="AI970" s="230"/>
    </row>
    <row r="971">
      <c r="O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  <c r="AI971" s="230"/>
    </row>
    <row r="972">
      <c r="O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  <c r="AI972" s="230"/>
    </row>
    <row r="973">
      <c r="O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  <c r="AI973" s="230"/>
    </row>
    <row r="974">
      <c r="O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  <c r="AI974" s="230"/>
    </row>
    <row r="975">
      <c r="O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  <c r="AI975" s="230"/>
    </row>
    <row r="976">
      <c r="O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  <c r="AI976" s="230"/>
    </row>
    <row r="977">
      <c r="O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  <c r="AI977" s="230"/>
    </row>
    <row r="978">
      <c r="O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  <c r="AI978" s="230"/>
    </row>
    <row r="979">
      <c r="O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  <c r="AI979" s="230"/>
    </row>
    <row r="980">
      <c r="O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  <c r="AI980" s="230"/>
    </row>
    <row r="981">
      <c r="O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  <c r="AI981" s="230"/>
    </row>
    <row r="982">
      <c r="O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  <c r="AI982" s="230"/>
    </row>
    <row r="983">
      <c r="O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  <c r="AI983" s="230"/>
    </row>
    <row r="984">
      <c r="O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  <c r="AI984" s="230"/>
    </row>
    <row r="985">
      <c r="O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  <c r="AI985" s="230"/>
    </row>
    <row r="986">
      <c r="O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  <c r="AI986" s="230"/>
    </row>
    <row r="987">
      <c r="O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  <c r="AI987" s="230"/>
    </row>
    <row r="988">
      <c r="O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  <c r="AI988" s="230"/>
    </row>
    <row r="989">
      <c r="O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  <c r="AI989" s="230"/>
    </row>
    <row r="990">
      <c r="O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  <c r="AI990" s="230"/>
    </row>
    <row r="991">
      <c r="O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  <c r="AI991" s="230"/>
    </row>
    <row r="992">
      <c r="O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  <c r="AI992" s="230"/>
    </row>
    <row r="993">
      <c r="O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  <c r="AI993" s="230"/>
    </row>
    <row r="994">
      <c r="O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  <c r="AI994" s="230"/>
    </row>
    <row r="995">
      <c r="O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  <c r="AI995" s="230"/>
    </row>
    <row r="996">
      <c r="O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  <c r="AI996" s="230"/>
    </row>
    <row r="997">
      <c r="O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  <c r="AI997" s="230"/>
    </row>
    <row r="998">
      <c r="O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  <c r="AI998" s="230"/>
    </row>
    <row r="999">
      <c r="O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  <c r="AI999" s="230"/>
    </row>
    <row r="1000">
      <c r="O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  <c r="AI1000" s="230"/>
    </row>
    <row r="1001">
      <c r="O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  <c r="AI1001" s="230"/>
    </row>
    <row r="1002">
      <c r="O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  <c r="AI1002" s="230"/>
    </row>
    <row r="1003">
      <c r="O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  <c r="AI1003" s="230"/>
    </row>
    <row r="1004">
      <c r="O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  <c r="AI1004" s="230"/>
    </row>
    <row r="1005">
      <c r="O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  <c r="AI1005" s="230"/>
    </row>
    <row r="1006">
      <c r="O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  <c r="AI1006" s="230"/>
    </row>
    <row r="1007">
      <c r="O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  <c r="AI1007" s="230"/>
    </row>
    <row r="1008">
      <c r="O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  <c r="AI1008" s="230"/>
    </row>
    <row r="1009">
      <c r="O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  <c r="AI1009" s="230"/>
    </row>
    <row r="1010">
      <c r="O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  <c r="AI1010" s="230"/>
    </row>
    <row r="1011">
      <c r="O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  <c r="AI1011" s="230"/>
    </row>
    <row r="1012">
      <c r="O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  <c r="AI1012" s="230"/>
    </row>
    <row r="1013">
      <c r="O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  <c r="AI1013" s="230"/>
    </row>
    <row r="1014">
      <c r="O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  <c r="AI1014" s="230"/>
    </row>
    <row r="1015">
      <c r="O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  <c r="AI1015" s="230"/>
    </row>
    <row r="1016">
      <c r="O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  <c r="AI1016" s="230"/>
    </row>
    <row r="1017">
      <c r="O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  <c r="AI1017" s="230"/>
    </row>
    <row r="1018">
      <c r="O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  <c r="AI1018" s="230"/>
    </row>
    <row r="1019">
      <c r="O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  <c r="AI1019" s="230"/>
    </row>
    <row r="1020">
      <c r="O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  <c r="AI1020" s="230"/>
    </row>
    <row r="1021">
      <c r="O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  <c r="AI1021" s="230"/>
    </row>
    <row r="1022">
      <c r="O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  <c r="AI1022" s="230"/>
    </row>
    <row r="1023">
      <c r="O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  <c r="AI1023" s="230"/>
    </row>
    <row r="1024">
      <c r="O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  <c r="AI1024" s="230"/>
    </row>
    <row r="1025">
      <c r="O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  <c r="AI1025" s="230"/>
    </row>
    <row r="1026">
      <c r="O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  <c r="AI1026" s="230"/>
    </row>
    <row r="1027">
      <c r="O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  <c r="AI1027" s="230"/>
    </row>
    <row r="1028">
      <c r="O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  <c r="AI1028" s="230"/>
    </row>
    <row r="1029">
      <c r="O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  <c r="AI1029" s="230"/>
    </row>
    <row r="1030">
      <c r="O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  <c r="AI1030" s="230"/>
    </row>
    <row r="1031">
      <c r="O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  <c r="AI1031" s="230"/>
    </row>
    <row r="1032">
      <c r="O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  <c r="AI1032" s="230"/>
    </row>
    <row r="1033">
      <c r="O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  <c r="AI1033" s="230"/>
    </row>
    <row r="1034">
      <c r="O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  <c r="AI1034" s="230"/>
    </row>
    <row r="1035">
      <c r="O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  <c r="AI1035" s="230"/>
    </row>
    <row r="1036">
      <c r="O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  <c r="AI1036" s="230"/>
    </row>
    <row r="1037">
      <c r="O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  <c r="AI1037" s="230"/>
    </row>
    <row r="1038">
      <c r="O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  <c r="AI1038" s="230"/>
    </row>
    <row r="1039">
      <c r="O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  <c r="AI1039" s="230"/>
    </row>
    <row r="1040">
      <c r="O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  <c r="AI1040" s="230"/>
    </row>
    <row r="1041">
      <c r="O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  <c r="AI1041" s="230"/>
    </row>
    <row r="1042">
      <c r="O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  <c r="AI1042" s="230"/>
    </row>
    <row r="1043">
      <c r="O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  <c r="AI1043" s="230"/>
    </row>
    <row r="1044">
      <c r="O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  <c r="AI1044" s="230"/>
    </row>
    <row r="1045">
      <c r="O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  <c r="AI1045" s="230"/>
    </row>
    <row r="1046">
      <c r="O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  <c r="AI1046" s="230"/>
    </row>
    <row r="1047">
      <c r="O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  <c r="AI1047" s="230"/>
    </row>
    <row r="1048">
      <c r="O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  <c r="AI1048" s="230"/>
    </row>
    <row r="1049">
      <c r="O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  <c r="AI1049" s="230"/>
    </row>
    <row r="1050">
      <c r="O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  <c r="AI1050" s="230"/>
    </row>
    <row r="1051">
      <c r="O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  <c r="AI1051" s="230"/>
    </row>
    <row r="1052">
      <c r="O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  <c r="AI1052" s="230"/>
    </row>
    <row r="1053">
      <c r="O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  <c r="AI1053" s="230"/>
    </row>
    <row r="1054">
      <c r="O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  <c r="AI1054" s="230"/>
    </row>
    <row r="1055">
      <c r="O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  <c r="AI1055" s="230"/>
    </row>
    <row r="1056">
      <c r="O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  <c r="AI1056" s="230"/>
    </row>
    <row r="1057">
      <c r="O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  <c r="AI1057" s="230"/>
    </row>
    <row r="1058">
      <c r="O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  <c r="AI1058" s="230"/>
    </row>
    <row r="1059">
      <c r="O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  <c r="AI1059" s="230"/>
    </row>
    <row r="1060">
      <c r="O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  <c r="AI1060" s="230"/>
    </row>
    <row r="1061">
      <c r="O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  <c r="AI1061" s="230"/>
    </row>
    <row r="1062">
      <c r="O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  <c r="AI1062" s="230"/>
    </row>
    <row r="1063">
      <c r="O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  <c r="AI1063" s="230"/>
    </row>
    <row r="1064">
      <c r="O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  <c r="AI1064" s="230"/>
    </row>
    <row r="1065">
      <c r="O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  <c r="AI1065" s="230"/>
    </row>
    <row r="1066">
      <c r="O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  <c r="AI1066" s="230"/>
    </row>
    <row r="1067">
      <c r="O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  <c r="AI1067" s="230"/>
    </row>
    <row r="1068">
      <c r="O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  <c r="AI1068" s="230"/>
    </row>
    <row r="1069">
      <c r="O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  <c r="AI1069" s="230"/>
    </row>
    <row r="1070">
      <c r="O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  <c r="AI1070" s="230"/>
    </row>
    <row r="1071">
      <c r="O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  <c r="AI1071" s="230"/>
    </row>
    <row r="1072">
      <c r="O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  <c r="AI1072" s="230"/>
    </row>
    <row r="1073">
      <c r="O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  <c r="AI1073" s="230"/>
    </row>
    <row r="1074">
      <c r="O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  <c r="AI1074" s="230"/>
    </row>
    <row r="1075">
      <c r="O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  <c r="AI1075" s="230"/>
    </row>
    <row r="1076">
      <c r="O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  <c r="AI1076" s="230"/>
    </row>
    <row r="1077">
      <c r="O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  <c r="AI1077" s="230"/>
    </row>
    <row r="1078">
      <c r="O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  <c r="AI1078" s="230"/>
    </row>
    <row r="1079">
      <c r="O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  <c r="AI1079" s="230"/>
    </row>
    <row r="1080">
      <c r="O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  <c r="AI1080" s="230"/>
    </row>
    <row r="1081">
      <c r="O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  <c r="AI1081" s="230"/>
    </row>
    <row r="1082">
      <c r="O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  <c r="AI1082" s="230"/>
    </row>
    <row r="1083">
      <c r="O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  <c r="AI1083" s="230"/>
    </row>
    <row r="1084">
      <c r="O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  <c r="AI1084" s="230"/>
    </row>
    <row r="1085">
      <c r="O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  <c r="AI1085" s="230"/>
    </row>
    <row r="1086">
      <c r="O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  <c r="AI1086" s="230"/>
    </row>
    <row r="1087">
      <c r="O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  <c r="AI1087" s="230"/>
    </row>
    <row r="1088">
      <c r="O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  <c r="AI1088" s="230"/>
    </row>
    <row r="1089">
      <c r="O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  <c r="AI1089" s="230"/>
    </row>
    <row r="1090">
      <c r="O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  <c r="AI1090" s="230"/>
    </row>
    <row r="1091">
      <c r="O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  <c r="AI1091" s="230"/>
    </row>
    <row r="1092">
      <c r="O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  <c r="AI1092" s="230"/>
    </row>
    <row r="1093">
      <c r="O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  <c r="AI1093" s="230"/>
    </row>
    <row r="1094">
      <c r="O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  <c r="AI1094" s="230"/>
    </row>
    <row r="1095">
      <c r="O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  <c r="AI1095" s="230"/>
    </row>
    <row r="1096">
      <c r="O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  <c r="AI1096" s="230"/>
    </row>
    <row r="1097">
      <c r="O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  <c r="AI1097" s="230"/>
    </row>
    <row r="1098">
      <c r="O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  <c r="AI1098" s="230"/>
    </row>
    <row r="1099">
      <c r="O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  <c r="AI1099" s="230"/>
    </row>
    <row r="1100">
      <c r="O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  <c r="AI1100" s="230"/>
    </row>
    <row r="1101">
      <c r="O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  <c r="AI1101" s="230"/>
    </row>
    <row r="1102">
      <c r="O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  <c r="AI1102" s="230"/>
    </row>
    <row r="1103">
      <c r="O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  <c r="AI1103" s="230"/>
    </row>
    <row r="1104">
      <c r="O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  <c r="AI1104" s="230"/>
    </row>
    <row r="1105">
      <c r="O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  <c r="AI1105" s="230"/>
    </row>
    <row r="1106">
      <c r="O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  <c r="AI1106" s="230"/>
    </row>
    <row r="1107">
      <c r="O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  <c r="AI1107" s="230"/>
    </row>
    <row r="1108">
      <c r="O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  <c r="AI1108" s="230"/>
    </row>
    <row r="1109">
      <c r="O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  <c r="AI1109" s="230"/>
    </row>
    <row r="1110">
      <c r="O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  <c r="AI1110" s="230"/>
    </row>
    <row r="1111">
      <c r="O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  <c r="AI1111" s="230"/>
    </row>
    <row r="1112">
      <c r="O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  <c r="AI1112" s="230"/>
    </row>
    <row r="1113">
      <c r="O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  <c r="AI1113" s="230"/>
    </row>
    <row r="1114">
      <c r="O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  <c r="AI1114" s="230"/>
    </row>
    <row r="1115">
      <c r="O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  <c r="AI1115" s="230"/>
    </row>
    <row r="1116">
      <c r="O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  <c r="AI1116" s="230"/>
    </row>
    <row r="1117">
      <c r="O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  <c r="AI1117" s="230"/>
    </row>
    <row r="1118">
      <c r="O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  <c r="AI1118" s="230"/>
    </row>
    <row r="1119">
      <c r="O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  <c r="AI1119" s="230"/>
    </row>
    <row r="1120">
      <c r="O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  <c r="AI1120" s="230"/>
    </row>
    <row r="1121">
      <c r="O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  <c r="AI1121" s="230"/>
    </row>
    <row r="1122">
      <c r="O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  <c r="AI1122" s="230"/>
    </row>
    <row r="1123">
      <c r="O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  <c r="AI1123" s="230"/>
    </row>
    <row r="1124">
      <c r="O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  <c r="AI1124" s="230"/>
    </row>
    <row r="1125">
      <c r="O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  <c r="AI1125" s="230"/>
    </row>
    <row r="1126">
      <c r="O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  <c r="AI1126" s="230"/>
    </row>
    <row r="1127">
      <c r="O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  <c r="AI1127" s="230"/>
    </row>
    <row r="1128">
      <c r="O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  <c r="AI1128" s="230"/>
    </row>
    <row r="1129">
      <c r="O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  <c r="AI1129" s="230"/>
    </row>
    <row r="1130">
      <c r="O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  <c r="AI1130" s="230"/>
    </row>
    <row r="1131">
      <c r="O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  <c r="AI1131" s="230"/>
    </row>
    <row r="1132">
      <c r="O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  <c r="AI1132" s="230"/>
    </row>
    <row r="1133">
      <c r="O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  <c r="AI1133" s="230"/>
    </row>
    <row r="1134">
      <c r="O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  <c r="AI1134" s="230"/>
    </row>
    <row r="1135">
      <c r="O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  <c r="AI1135" s="230"/>
    </row>
    <row r="1136">
      <c r="O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  <c r="AI1136" s="230"/>
    </row>
    <row r="1137">
      <c r="O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  <c r="AI1137" s="230"/>
    </row>
    <row r="1138">
      <c r="O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  <c r="AI1138" s="230"/>
    </row>
    <row r="1139">
      <c r="O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  <c r="AI1139" s="230"/>
    </row>
    <row r="1140">
      <c r="O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  <c r="AI1140" s="230"/>
    </row>
    <row r="1141">
      <c r="O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  <c r="AI1141" s="230"/>
    </row>
    <row r="1142">
      <c r="O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  <c r="AI1142" s="230"/>
    </row>
    <row r="1143">
      <c r="O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  <c r="AI1143" s="230"/>
    </row>
    <row r="1144">
      <c r="O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  <c r="AI1144" s="230"/>
    </row>
    <row r="1145">
      <c r="O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  <c r="AI1145" s="230"/>
    </row>
    <row r="1146">
      <c r="O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  <c r="AI1146" s="230"/>
    </row>
    <row r="1147">
      <c r="O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  <c r="AI1147" s="230"/>
    </row>
    <row r="1148">
      <c r="O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  <c r="AI1148" s="230"/>
    </row>
    <row r="1149">
      <c r="O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  <c r="AI1149" s="230"/>
    </row>
    <row r="1150">
      <c r="O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  <c r="AI1150" s="230"/>
    </row>
    <row r="1151">
      <c r="O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  <c r="AI1151" s="230"/>
    </row>
    <row r="1152">
      <c r="O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  <c r="AI1152" s="230"/>
    </row>
    <row r="1153">
      <c r="O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  <c r="AI1153" s="230"/>
    </row>
    <row r="1154">
      <c r="O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  <c r="AI1154" s="230"/>
    </row>
    <row r="1155">
      <c r="O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  <c r="AI1155" s="230"/>
    </row>
    <row r="1156">
      <c r="O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  <c r="AI1156" s="230"/>
    </row>
    <row r="1157">
      <c r="O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  <c r="AI1157" s="230"/>
    </row>
    <row r="1158">
      <c r="O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  <c r="AI1158" s="230"/>
    </row>
    <row r="1159">
      <c r="O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  <c r="AI1159" s="230"/>
    </row>
    <row r="1160">
      <c r="O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  <c r="AI1160" s="230"/>
    </row>
    <row r="1161">
      <c r="O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  <c r="AI1161" s="230"/>
    </row>
    <row r="1162">
      <c r="O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  <c r="AI1162" s="230"/>
    </row>
    <row r="1163">
      <c r="O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  <c r="AI1163" s="230"/>
    </row>
    <row r="1164">
      <c r="O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  <c r="AI1164" s="230"/>
    </row>
    <row r="1165">
      <c r="O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  <c r="AI1165" s="230"/>
    </row>
    <row r="1166">
      <c r="O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  <c r="AI1166" s="230"/>
    </row>
    <row r="1167">
      <c r="O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  <c r="AI1167" s="230"/>
    </row>
    <row r="1168">
      <c r="O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  <c r="AI1168" s="230"/>
    </row>
    <row r="1169">
      <c r="O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  <c r="AI1169" s="230"/>
    </row>
    <row r="1170">
      <c r="O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  <c r="AI1170" s="230"/>
    </row>
    <row r="1171">
      <c r="O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  <c r="AI1171" s="230"/>
    </row>
    <row r="1172">
      <c r="O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  <c r="AI1172" s="230"/>
    </row>
    <row r="1173">
      <c r="O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  <c r="AI1173" s="230"/>
    </row>
    <row r="1174">
      <c r="O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  <c r="AI1174" s="230"/>
    </row>
    <row r="1175">
      <c r="O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  <c r="AI1175" s="230"/>
    </row>
    <row r="1176">
      <c r="O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  <c r="AI1176" s="230"/>
    </row>
    <row r="1177">
      <c r="O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  <c r="AI1177" s="230"/>
    </row>
    <row r="1178">
      <c r="O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  <c r="AI1178" s="230"/>
    </row>
    <row r="1179">
      <c r="O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  <c r="AI1179" s="230"/>
    </row>
    <row r="1180">
      <c r="O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  <c r="AI1180" s="230"/>
    </row>
    <row r="1181">
      <c r="O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  <c r="AI1181" s="230"/>
    </row>
    <row r="1182">
      <c r="O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  <c r="AI1182" s="230"/>
    </row>
    <row r="1183">
      <c r="O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  <c r="AI1183" s="230"/>
    </row>
    <row r="1184">
      <c r="O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  <c r="AI1184" s="230"/>
    </row>
    <row r="1185">
      <c r="O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  <c r="AI1185" s="230"/>
    </row>
    <row r="1186">
      <c r="O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  <c r="AI1186" s="230"/>
    </row>
    <row r="1187">
      <c r="O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  <c r="AI1187" s="230"/>
    </row>
    <row r="1188">
      <c r="O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  <c r="AI1188" s="230"/>
    </row>
    <row r="1189">
      <c r="O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  <c r="AI1189" s="230"/>
    </row>
    <row r="1190">
      <c r="O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  <c r="AI1190" s="230"/>
    </row>
    <row r="1191">
      <c r="O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  <c r="AI1191" s="230"/>
    </row>
    <row r="1192">
      <c r="O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  <c r="AI1192" s="230"/>
    </row>
    <row r="1193">
      <c r="O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  <c r="AI1193" s="230"/>
    </row>
    <row r="1194">
      <c r="O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  <c r="AI1194" s="230"/>
    </row>
    <row r="1195">
      <c r="O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  <c r="AI1195" s="230"/>
    </row>
    <row r="1196">
      <c r="O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  <c r="AI1196" s="230"/>
    </row>
    <row r="1197">
      <c r="O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  <c r="AI1197" s="230"/>
    </row>
    <row r="1198">
      <c r="O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  <c r="AI1198" s="230"/>
    </row>
    <row r="1199">
      <c r="O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  <c r="AI1199" s="230"/>
    </row>
    <row r="1200">
      <c r="O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  <c r="AI1200" s="230"/>
    </row>
    <row r="1201">
      <c r="O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  <c r="AI1201" s="230"/>
    </row>
    <row r="1202">
      <c r="O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  <c r="AI1202" s="230"/>
    </row>
    <row r="1203">
      <c r="O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  <c r="AI1203" s="230"/>
    </row>
    <row r="1204">
      <c r="O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  <c r="AI1204" s="230"/>
    </row>
    <row r="1205">
      <c r="O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  <c r="AI1205" s="230"/>
    </row>
    <row r="1206">
      <c r="O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  <c r="AI1206" s="230"/>
    </row>
    <row r="1207">
      <c r="O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  <c r="AI1207" s="230"/>
    </row>
    <row r="1208">
      <c r="O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  <c r="AI1208" s="230"/>
    </row>
    <row r="1209">
      <c r="O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  <c r="AI1209" s="230"/>
    </row>
    <row r="1210">
      <c r="O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  <c r="AI1210" s="230"/>
    </row>
    <row r="1211">
      <c r="O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  <c r="AI1211" s="230"/>
    </row>
    <row r="1212">
      <c r="O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  <c r="AI1212" s="230"/>
    </row>
    <row r="1213">
      <c r="O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  <c r="AI1213" s="230"/>
    </row>
    <row r="1214">
      <c r="O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  <c r="AI1214" s="230"/>
    </row>
    <row r="1215">
      <c r="O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  <c r="AI1215" s="230"/>
    </row>
    <row r="1216">
      <c r="O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  <c r="AI1216" s="230"/>
    </row>
    <row r="1217">
      <c r="O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  <c r="AI1217" s="230"/>
    </row>
    <row r="1218">
      <c r="O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  <c r="AI1218" s="230"/>
    </row>
    <row r="1219">
      <c r="O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  <c r="AI1219" s="230"/>
    </row>
    <row r="1220">
      <c r="O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  <c r="AI1220" s="230"/>
    </row>
    <row r="1221">
      <c r="O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  <c r="AI1221" s="230"/>
    </row>
    <row r="1222">
      <c r="O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  <c r="AI1222" s="230"/>
    </row>
    <row r="1223">
      <c r="O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  <c r="AI1223" s="230"/>
    </row>
    <row r="1224">
      <c r="O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  <c r="AI1224" s="230"/>
    </row>
    <row r="1225">
      <c r="O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  <c r="AI1225" s="230"/>
    </row>
    <row r="1226">
      <c r="O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  <c r="AI1226" s="230"/>
    </row>
    <row r="1227">
      <c r="O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  <c r="AI1227" s="230"/>
    </row>
    <row r="1228">
      <c r="O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  <c r="AI1228" s="230"/>
    </row>
    <row r="1229">
      <c r="O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  <c r="AI1229" s="230"/>
    </row>
    <row r="1230">
      <c r="O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  <c r="AI1230" s="230"/>
    </row>
    <row r="1231">
      <c r="O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  <c r="AI1231" s="230"/>
    </row>
    <row r="1232">
      <c r="O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  <c r="AI1232" s="230"/>
    </row>
    <row r="1233">
      <c r="O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  <c r="AI1233" s="230"/>
    </row>
    <row r="1234">
      <c r="O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  <c r="AI1234" s="230"/>
    </row>
    <row r="1235">
      <c r="O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  <c r="AI1235" s="230"/>
    </row>
    <row r="1236">
      <c r="O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  <c r="AI1236" s="230"/>
    </row>
    <row r="1237">
      <c r="O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  <c r="AI1237" s="230"/>
    </row>
    <row r="1238">
      <c r="O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  <c r="AI1238" s="230"/>
    </row>
    <row r="1239">
      <c r="O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  <c r="AI1239" s="230"/>
    </row>
    <row r="1240">
      <c r="O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  <c r="AI1240" s="230"/>
    </row>
    <row r="1241">
      <c r="O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  <c r="AI1241" s="230"/>
    </row>
    <row r="1242">
      <c r="O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  <c r="AI1242" s="230"/>
    </row>
    <row r="1243">
      <c r="O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  <c r="AI1243" s="230"/>
    </row>
    <row r="1244">
      <c r="O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  <c r="AI1244" s="230"/>
    </row>
    <row r="1245">
      <c r="O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  <c r="AI1245" s="230"/>
    </row>
    <row r="1246">
      <c r="O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  <c r="AI1246" s="230"/>
    </row>
    <row r="1247">
      <c r="O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  <c r="AI1247" s="230"/>
    </row>
    <row r="1248">
      <c r="O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  <c r="AI1248" s="230"/>
    </row>
    <row r="1249">
      <c r="O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  <c r="AI1249" s="230"/>
    </row>
    <row r="1250">
      <c r="O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  <c r="AI1250" s="230"/>
    </row>
    <row r="1251">
      <c r="O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  <c r="AI1251" s="230"/>
    </row>
    <row r="1252">
      <c r="O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  <c r="AI1252" s="230"/>
    </row>
    <row r="1253">
      <c r="O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  <c r="AI1253" s="230"/>
    </row>
    <row r="1254">
      <c r="O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  <c r="AI1254" s="230"/>
    </row>
    <row r="1255">
      <c r="O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  <c r="AI1255" s="230"/>
    </row>
    <row r="1256">
      <c r="O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  <c r="AI1256" s="230"/>
    </row>
    <row r="1257">
      <c r="O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  <c r="AI1257" s="230"/>
    </row>
    <row r="1258">
      <c r="O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  <c r="AI1258" s="230"/>
    </row>
    <row r="1259">
      <c r="O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  <c r="AI1259" s="230"/>
    </row>
    <row r="1260">
      <c r="O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  <c r="AI1260" s="230"/>
    </row>
    <row r="1261">
      <c r="O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  <c r="AI1261" s="230"/>
    </row>
    <row r="1262">
      <c r="O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  <c r="AI1262" s="230"/>
    </row>
    <row r="1263">
      <c r="O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  <c r="AI1263" s="230"/>
    </row>
    <row r="1264">
      <c r="O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  <c r="AI1264" s="230"/>
    </row>
    <row r="1265">
      <c r="O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  <c r="AI1265" s="230"/>
    </row>
    <row r="1266">
      <c r="O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  <c r="AI1266" s="230"/>
    </row>
    <row r="1267">
      <c r="O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  <c r="AI1267" s="230"/>
    </row>
    <row r="1268">
      <c r="O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  <c r="AI1268" s="230"/>
    </row>
    <row r="1269">
      <c r="O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  <c r="AI1269" s="230"/>
    </row>
    <row r="1270">
      <c r="O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  <c r="AI1270" s="230"/>
    </row>
    <row r="1271">
      <c r="O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  <c r="AI1271" s="230"/>
    </row>
    <row r="1272">
      <c r="O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  <c r="AI1272" s="230"/>
    </row>
    <row r="1273">
      <c r="O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  <c r="AI1273" s="230"/>
    </row>
    <row r="1274">
      <c r="O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  <c r="AI1274" s="230"/>
    </row>
    <row r="1275">
      <c r="O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  <c r="AI1275" s="230"/>
    </row>
    <row r="1276">
      <c r="O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  <c r="AI1276" s="230"/>
    </row>
    <row r="1277">
      <c r="O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  <c r="AI1277" s="230"/>
    </row>
    <row r="1278">
      <c r="O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  <c r="AI1278" s="230"/>
    </row>
    <row r="1279">
      <c r="O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  <c r="AI1279" s="230"/>
    </row>
    <row r="1280">
      <c r="O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  <c r="AI1280" s="230"/>
    </row>
    <row r="1281">
      <c r="O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  <c r="AI1281" s="230"/>
    </row>
    <row r="1282">
      <c r="O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  <c r="AI1282" s="230"/>
    </row>
    <row r="1283">
      <c r="O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  <c r="AI1283" s="230"/>
    </row>
    <row r="1284">
      <c r="O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  <c r="AI1284" s="230"/>
    </row>
    <row r="1285">
      <c r="O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  <c r="AI1285" s="230"/>
    </row>
    <row r="1286">
      <c r="O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  <c r="AI1286" s="230"/>
    </row>
    <row r="1287">
      <c r="O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  <c r="AI1287" s="230"/>
    </row>
    <row r="1288">
      <c r="O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  <c r="AI1288" s="230"/>
    </row>
    <row r="1289">
      <c r="O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  <c r="AI1289" s="230"/>
    </row>
    <row r="1290">
      <c r="O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  <c r="AI1290" s="230"/>
    </row>
    <row r="1291">
      <c r="O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  <c r="AI1291" s="230"/>
    </row>
    <row r="1292">
      <c r="O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  <c r="AI1292" s="230"/>
    </row>
    <row r="1293">
      <c r="O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  <c r="AI1293" s="230"/>
    </row>
    <row r="1294">
      <c r="O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  <c r="AI1294" s="230"/>
    </row>
    <row r="1295">
      <c r="O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  <c r="AI1295" s="230"/>
    </row>
    <row r="1296">
      <c r="O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  <c r="AI1296" s="230"/>
    </row>
    <row r="1297">
      <c r="O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  <c r="AI1297" s="230"/>
    </row>
    <row r="1298">
      <c r="O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  <c r="AI1298" s="230"/>
    </row>
    <row r="1299">
      <c r="O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  <c r="AI1299" s="230"/>
    </row>
    <row r="1300">
      <c r="O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  <c r="AI1300" s="230"/>
    </row>
    <row r="1301">
      <c r="O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  <c r="AI1301" s="230"/>
    </row>
    <row r="1302">
      <c r="O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  <c r="AI1302" s="230"/>
    </row>
    <row r="1303">
      <c r="O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  <c r="AI1303" s="230"/>
    </row>
    <row r="1304">
      <c r="O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  <c r="AI1304" s="230"/>
    </row>
    <row r="1305">
      <c r="O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  <c r="AI1305" s="230"/>
    </row>
    <row r="1306">
      <c r="O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  <c r="AI1306" s="230"/>
    </row>
    <row r="1307">
      <c r="O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  <c r="AI1307" s="230"/>
    </row>
    <row r="1308">
      <c r="O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  <c r="AI1308" s="230"/>
    </row>
    <row r="1309">
      <c r="O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  <c r="AI1309" s="230"/>
    </row>
    <row r="1310">
      <c r="O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  <c r="AI1310" s="230"/>
    </row>
    <row r="1311">
      <c r="O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  <c r="AI1311" s="230"/>
    </row>
    <row r="1312">
      <c r="O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  <c r="AI1312" s="230"/>
    </row>
    <row r="1313">
      <c r="O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  <c r="AI1313" s="230"/>
    </row>
    <row r="1314">
      <c r="O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  <c r="AI1314" s="230"/>
    </row>
    <row r="1315">
      <c r="O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  <c r="AI1315" s="230"/>
    </row>
    <row r="1316">
      <c r="O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  <c r="AI1316" s="230"/>
    </row>
    <row r="1317">
      <c r="O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  <c r="AI1317" s="230"/>
    </row>
    <row r="1318">
      <c r="O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  <c r="AI1318" s="230"/>
    </row>
    <row r="1319">
      <c r="O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  <c r="AI1319" s="230"/>
    </row>
    <row r="1320">
      <c r="O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  <c r="AI1320" s="230"/>
    </row>
    <row r="1321">
      <c r="O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  <c r="AI1321" s="230"/>
    </row>
    <row r="1322">
      <c r="O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  <c r="AI1322" s="230"/>
    </row>
    <row r="1323">
      <c r="O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  <c r="AI1323" s="230"/>
    </row>
    <row r="1324">
      <c r="O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  <c r="AI1324" s="230"/>
    </row>
    <row r="1325">
      <c r="O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  <c r="AI1325" s="230"/>
    </row>
    <row r="1326">
      <c r="O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  <c r="AI1326" s="230"/>
    </row>
    <row r="1327">
      <c r="O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  <c r="AI1327" s="230"/>
    </row>
    <row r="1328">
      <c r="O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  <c r="AI1328" s="230"/>
    </row>
    <row r="1329">
      <c r="O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  <c r="AI1329" s="230"/>
    </row>
    <row r="1330">
      <c r="O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  <c r="AI1330" s="230"/>
    </row>
    <row r="1331">
      <c r="O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  <c r="AI1331" s="230"/>
    </row>
    <row r="1332">
      <c r="O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  <c r="AI1332" s="230"/>
    </row>
    <row r="1333">
      <c r="O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  <c r="AI1333" s="230"/>
    </row>
    <row r="1334">
      <c r="O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  <c r="AI1334" s="230"/>
    </row>
    <row r="1335">
      <c r="O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  <c r="AI1335" s="230"/>
    </row>
    <row r="1336">
      <c r="O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  <c r="AI1336" s="230"/>
    </row>
    <row r="1337">
      <c r="O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  <c r="AI1337" s="230"/>
    </row>
    <row r="1338">
      <c r="O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  <c r="AI1338" s="230"/>
    </row>
    <row r="1339">
      <c r="O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  <c r="AI1339" s="230"/>
    </row>
    <row r="1340">
      <c r="O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  <c r="AI1340" s="230"/>
    </row>
    <row r="1341">
      <c r="O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  <c r="AI1341" s="230"/>
    </row>
    <row r="1342">
      <c r="O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  <c r="AI1342" s="230"/>
    </row>
    <row r="1343">
      <c r="O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  <c r="AI1343" s="230"/>
    </row>
    <row r="1344">
      <c r="O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  <c r="AI1344" s="230"/>
    </row>
    <row r="1345">
      <c r="O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  <c r="AI1345" s="230"/>
    </row>
    <row r="1346">
      <c r="O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  <c r="AI1346" s="230"/>
    </row>
    <row r="1347">
      <c r="O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  <c r="AI1347" s="230"/>
    </row>
    <row r="1348">
      <c r="O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  <c r="AI1348" s="230"/>
    </row>
    <row r="1349">
      <c r="O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  <c r="AI1349" s="230"/>
    </row>
    <row r="1350">
      <c r="O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  <c r="AI1350" s="230"/>
    </row>
    <row r="1351">
      <c r="O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  <c r="AI1351" s="230"/>
    </row>
    <row r="1352">
      <c r="O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  <c r="AI1352" s="230"/>
    </row>
    <row r="1353">
      <c r="O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  <c r="AI1353" s="230"/>
    </row>
    <row r="1354">
      <c r="O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  <c r="AI1354" s="230"/>
    </row>
    <row r="1355">
      <c r="O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  <c r="AI1355" s="230"/>
    </row>
    <row r="1356">
      <c r="O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  <c r="AI1356" s="230"/>
    </row>
    <row r="1357">
      <c r="O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  <c r="AI1357" s="230"/>
    </row>
    <row r="1358">
      <c r="O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  <c r="AI1358" s="230"/>
    </row>
    <row r="1359">
      <c r="O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  <c r="AI1359" s="230"/>
    </row>
    <row r="1360">
      <c r="O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  <c r="AI1360" s="230"/>
    </row>
    <row r="1361">
      <c r="O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  <c r="AI1361" s="230"/>
    </row>
    <row r="1362">
      <c r="O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  <c r="AI1362" s="230"/>
    </row>
    <row r="1363">
      <c r="O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  <c r="AI1363" s="230"/>
    </row>
    <row r="1364">
      <c r="O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  <c r="AI1364" s="230"/>
    </row>
    <row r="1365">
      <c r="O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  <c r="AI1365" s="230"/>
    </row>
    <row r="1366">
      <c r="O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  <c r="AI1366" s="230"/>
    </row>
    <row r="1367">
      <c r="O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  <c r="AI1367" s="230"/>
    </row>
    <row r="1368">
      <c r="O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  <c r="AI1368" s="230"/>
    </row>
    <row r="1369">
      <c r="O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  <c r="AI1369" s="230"/>
    </row>
    <row r="1370">
      <c r="O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  <c r="AI1370" s="230"/>
    </row>
    <row r="1371">
      <c r="O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  <c r="AI1371" s="230"/>
    </row>
    <row r="1372">
      <c r="O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  <c r="AI1372" s="230"/>
    </row>
    <row r="1373">
      <c r="O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  <c r="AI1373" s="230"/>
    </row>
    <row r="1374">
      <c r="O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  <c r="AI1374" s="230"/>
    </row>
    <row r="1375">
      <c r="O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  <c r="AI1375" s="230"/>
    </row>
    <row r="1376">
      <c r="O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  <c r="AI1376" s="230"/>
    </row>
    <row r="1377">
      <c r="O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  <c r="AI1377" s="230"/>
    </row>
    <row r="1378">
      <c r="O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  <c r="AI1378" s="230"/>
    </row>
    <row r="1379">
      <c r="O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  <c r="AI1379" s="230"/>
    </row>
    <row r="1380">
      <c r="O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  <c r="AI1380" s="230"/>
    </row>
    <row r="1381">
      <c r="O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  <c r="AI1381" s="230"/>
    </row>
    <row r="1382">
      <c r="O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  <c r="AI1382" s="230"/>
    </row>
    <row r="1383">
      <c r="O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  <c r="AI1383" s="230"/>
    </row>
    <row r="1384">
      <c r="O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  <c r="AI1384" s="230"/>
    </row>
    <row r="1385">
      <c r="O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  <c r="AI1385" s="230"/>
    </row>
    <row r="1386">
      <c r="O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  <c r="AI1386" s="230"/>
    </row>
    <row r="1387">
      <c r="O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  <c r="AI1387" s="230"/>
    </row>
    <row r="1388">
      <c r="O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  <c r="AI1388" s="230"/>
    </row>
    <row r="1389">
      <c r="O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  <c r="AI1389" s="230"/>
    </row>
    <row r="1390">
      <c r="O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  <c r="AI1390" s="230"/>
    </row>
    <row r="1391">
      <c r="O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  <c r="AI1391" s="230"/>
    </row>
    <row r="1392">
      <c r="O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  <c r="AI1392" s="230"/>
    </row>
    <row r="1393">
      <c r="O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  <c r="AI1393" s="230"/>
    </row>
    <row r="1394">
      <c r="O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  <c r="AI1394" s="230"/>
    </row>
    <row r="1395">
      <c r="O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  <c r="AI1395" s="230"/>
    </row>
    <row r="1396">
      <c r="O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  <c r="AI1396" s="230"/>
    </row>
    <row r="1397">
      <c r="O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  <c r="AI1397" s="230"/>
    </row>
    <row r="1398">
      <c r="O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  <c r="AI1398" s="230"/>
    </row>
    <row r="1399">
      <c r="O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  <c r="AI1399" s="230"/>
    </row>
    <row r="1400">
      <c r="O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  <c r="AI1400" s="230"/>
    </row>
    <row r="1401">
      <c r="O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  <c r="AI1401" s="230"/>
    </row>
    <row r="1402">
      <c r="O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  <c r="AI1402" s="230"/>
    </row>
    <row r="1403">
      <c r="O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  <c r="AI1403" s="230"/>
    </row>
    <row r="1404">
      <c r="O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  <c r="AI1404" s="230"/>
    </row>
    <row r="1405">
      <c r="O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  <c r="AI1405" s="230"/>
    </row>
    <row r="1406">
      <c r="O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  <c r="AI1406" s="230"/>
    </row>
    <row r="1407">
      <c r="O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  <c r="AI1407" s="230"/>
    </row>
    <row r="1408">
      <c r="O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  <c r="AI1408" s="230"/>
    </row>
    <row r="1409">
      <c r="O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  <c r="AI1409" s="230"/>
    </row>
    <row r="1410">
      <c r="O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  <c r="AI1410" s="230"/>
    </row>
    <row r="1411">
      <c r="O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  <c r="AI1411" s="230"/>
    </row>
    <row r="1412">
      <c r="O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  <c r="AI1412" s="230"/>
    </row>
    <row r="1413">
      <c r="O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  <c r="AI1413" s="230"/>
    </row>
    <row r="1414">
      <c r="O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  <c r="AI1414" s="230"/>
    </row>
    <row r="1415">
      <c r="O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  <c r="AI1415" s="230"/>
    </row>
    <row r="1416">
      <c r="O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  <c r="AI1416" s="230"/>
    </row>
    <row r="1417">
      <c r="O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  <c r="AI1417" s="230"/>
    </row>
    <row r="1418">
      <c r="O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  <c r="AI1418" s="230"/>
    </row>
    <row r="1419">
      <c r="O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  <c r="AI1419" s="230"/>
    </row>
    <row r="1420">
      <c r="O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  <c r="AI1420" s="230"/>
    </row>
    <row r="1421">
      <c r="O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  <c r="AI1421" s="230"/>
    </row>
    <row r="1422">
      <c r="O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  <c r="AI1422" s="230"/>
    </row>
    <row r="1423">
      <c r="O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  <c r="AI1423" s="230"/>
    </row>
    <row r="1424">
      <c r="O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  <c r="AI1424" s="230"/>
    </row>
    <row r="1425">
      <c r="O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  <c r="AI1425" s="230"/>
    </row>
    <row r="1426">
      <c r="O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  <c r="AI1426" s="230"/>
    </row>
    <row r="1427">
      <c r="O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  <c r="AI1427" s="230"/>
    </row>
    <row r="1428">
      <c r="O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  <c r="AI1428" s="230"/>
    </row>
    <row r="1429">
      <c r="O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  <c r="AI1429" s="230"/>
    </row>
    <row r="1430">
      <c r="O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  <c r="AI1430" s="230"/>
    </row>
    <row r="1431">
      <c r="O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  <c r="AI1431" s="230"/>
    </row>
    <row r="1432">
      <c r="O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  <c r="AI1432" s="230"/>
    </row>
    <row r="1433">
      <c r="O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  <c r="AI1433" s="230"/>
    </row>
    <row r="1434">
      <c r="O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  <c r="AI1434" s="230"/>
    </row>
    <row r="1435">
      <c r="O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  <c r="AI1435" s="230"/>
    </row>
    <row r="1436">
      <c r="O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  <c r="AI1436" s="230"/>
    </row>
    <row r="1437">
      <c r="O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  <c r="AI1437" s="230"/>
    </row>
    <row r="1438">
      <c r="O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  <c r="AI1438" s="230"/>
    </row>
    <row r="1439">
      <c r="O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  <c r="AI1439" s="230"/>
    </row>
    <row r="1440">
      <c r="O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  <c r="AI1440" s="230"/>
    </row>
    <row r="1441">
      <c r="O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  <c r="AI1441" s="230"/>
    </row>
    <row r="1442">
      <c r="O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  <c r="AI1442" s="230"/>
    </row>
    <row r="1443">
      <c r="O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  <c r="AI1443" s="230"/>
    </row>
    <row r="1444">
      <c r="O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  <c r="AI1444" s="230"/>
    </row>
    <row r="1445">
      <c r="O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  <c r="AI1445" s="230"/>
    </row>
    <row r="1446">
      <c r="O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  <c r="AI1446" s="230"/>
    </row>
    <row r="1447">
      <c r="O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  <c r="AI1447" s="230"/>
    </row>
    <row r="1448">
      <c r="O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  <c r="AI1448" s="230"/>
    </row>
    <row r="1449">
      <c r="O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  <c r="AI1449" s="230"/>
    </row>
    <row r="1450">
      <c r="O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  <c r="AI1450" s="230"/>
    </row>
    <row r="1451">
      <c r="O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  <c r="AI1451" s="230"/>
    </row>
    <row r="1452">
      <c r="O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  <c r="AI1452" s="230"/>
    </row>
    <row r="1453">
      <c r="O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  <c r="AI1453" s="230"/>
    </row>
    <row r="1454">
      <c r="O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  <c r="AI1454" s="230"/>
    </row>
    <row r="1455">
      <c r="O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  <c r="AI1455" s="230"/>
    </row>
    <row r="1456">
      <c r="O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  <c r="AI1456" s="230"/>
    </row>
    <row r="1457">
      <c r="O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  <c r="AI1457" s="230"/>
    </row>
    <row r="1458">
      <c r="O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  <c r="AI1458" s="230"/>
    </row>
    <row r="1459">
      <c r="O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  <c r="AI1459" s="230"/>
    </row>
    <row r="1460">
      <c r="O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  <c r="AI1460" s="230"/>
    </row>
    <row r="1461">
      <c r="O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  <c r="AI1461" s="230"/>
    </row>
    <row r="1462">
      <c r="O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  <c r="AI1462" s="230"/>
    </row>
    <row r="1463">
      <c r="O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  <c r="AI1463" s="230"/>
    </row>
    <row r="1464">
      <c r="O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  <c r="AI1464" s="230"/>
    </row>
    <row r="1465">
      <c r="O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  <c r="AI1465" s="230"/>
    </row>
    <row r="1466">
      <c r="O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  <c r="AI1466" s="230"/>
    </row>
    <row r="1467">
      <c r="O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  <c r="AI1467" s="230"/>
    </row>
    <row r="1468">
      <c r="O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  <c r="AI1468" s="230"/>
    </row>
    <row r="1469">
      <c r="O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  <c r="AI1469" s="230"/>
    </row>
    <row r="1470">
      <c r="O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  <c r="AI1470" s="230"/>
    </row>
    <row r="1471">
      <c r="O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  <c r="AI1471" s="230"/>
    </row>
    <row r="1472">
      <c r="O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  <c r="AI1472" s="230"/>
    </row>
    <row r="1473">
      <c r="O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  <c r="AI1473" s="230"/>
    </row>
    <row r="1474">
      <c r="O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  <c r="AI1474" s="230"/>
    </row>
    <row r="1475">
      <c r="O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  <c r="AI1475" s="230"/>
    </row>
    <row r="1476">
      <c r="O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  <c r="AI1476" s="230"/>
    </row>
    <row r="1477">
      <c r="O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  <c r="AI1477" s="230"/>
    </row>
    <row r="1478">
      <c r="O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  <c r="AI1478" s="230"/>
    </row>
    <row r="1479">
      <c r="O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  <c r="AI1479" s="230"/>
    </row>
    <row r="1480">
      <c r="O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  <c r="AI1480" s="230"/>
    </row>
    <row r="1481">
      <c r="O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  <c r="AI1481" s="230"/>
    </row>
    <row r="1482">
      <c r="O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  <c r="AI1482" s="230"/>
    </row>
    <row r="1483">
      <c r="O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  <c r="AI1483" s="230"/>
    </row>
    <row r="1484">
      <c r="O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  <c r="AI1484" s="230"/>
    </row>
    <row r="1485">
      <c r="O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  <c r="AI1485" s="230"/>
    </row>
    <row r="1486">
      <c r="O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  <c r="AI1486" s="230"/>
    </row>
    <row r="1487">
      <c r="O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  <c r="AI1487" s="230"/>
    </row>
    <row r="1488">
      <c r="O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  <c r="AI1488" s="230"/>
    </row>
    <row r="1489">
      <c r="O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  <c r="AI1489" s="230"/>
    </row>
    <row r="1490">
      <c r="O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  <c r="AI1490" s="230"/>
    </row>
    <row r="1491">
      <c r="O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  <c r="AI1491" s="230"/>
    </row>
    <row r="1492">
      <c r="O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  <c r="AI1492" s="230"/>
    </row>
    <row r="1493">
      <c r="O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  <c r="AI1493" s="230"/>
    </row>
    <row r="1494">
      <c r="O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  <c r="AI1494" s="230"/>
    </row>
    <row r="1495">
      <c r="O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  <c r="AI1495" s="230"/>
    </row>
    <row r="1496">
      <c r="O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  <c r="AI1496" s="230"/>
    </row>
    <row r="1497">
      <c r="O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  <c r="AI1497" s="230"/>
    </row>
    <row r="1498">
      <c r="O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  <c r="AI1498" s="230"/>
    </row>
    <row r="1499">
      <c r="O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  <c r="AI1499" s="230"/>
    </row>
    <row r="1500">
      <c r="O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  <c r="AI1500" s="230"/>
    </row>
    <row r="1501">
      <c r="O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  <c r="AI1501" s="230"/>
    </row>
    <row r="1502">
      <c r="O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  <c r="AI1502" s="230"/>
    </row>
    <row r="1503">
      <c r="O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  <c r="AI1503" s="230"/>
    </row>
    <row r="1504">
      <c r="O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  <c r="AI1504" s="230"/>
    </row>
    <row r="1505">
      <c r="O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  <c r="AI1505" s="230"/>
    </row>
    <row r="1506">
      <c r="O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  <c r="AI1506" s="230"/>
    </row>
    <row r="1507">
      <c r="O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  <c r="AI1507" s="230"/>
    </row>
    <row r="1508">
      <c r="O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  <c r="AI1508" s="230"/>
    </row>
    <row r="1509">
      <c r="O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  <c r="AI1509" s="230"/>
    </row>
    <row r="1510">
      <c r="O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  <c r="AI1510" s="230"/>
    </row>
    <row r="1511">
      <c r="O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  <c r="AI1511" s="230"/>
    </row>
    <row r="1512">
      <c r="O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  <c r="AI1512" s="230"/>
    </row>
    <row r="1513">
      <c r="O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  <c r="AI1513" s="230"/>
    </row>
    <row r="1514">
      <c r="O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  <c r="AI1514" s="230"/>
    </row>
    <row r="1515">
      <c r="O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  <c r="AI1515" s="230"/>
    </row>
    <row r="1516">
      <c r="O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  <c r="AI1516" s="230"/>
    </row>
    <row r="1517">
      <c r="O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  <c r="AI1517" s="230"/>
    </row>
    <row r="1518">
      <c r="O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  <c r="AI1518" s="230"/>
    </row>
    <row r="1519">
      <c r="O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  <c r="AI1519" s="230"/>
    </row>
    <row r="1520">
      <c r="O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  <c r="AI1520" s="230"/>
    </row>
    <row r="1521">
      <c r="O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  <c r="AI1521" s="230"/>
    </row>
    <row r="1522">
      <c r="O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  <c r="AI1522" s="230"/>
    </row>
    <row r="1523">
      <c r="O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  <c r="AI1523" s="230"/>
    </row>
    <row r="1524">
      <c r="O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  <c r="AI1524" s="230"/>
    </row>
    <row r="1525">
      <c r="O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  <c r="AI1525" s="230"/>
    </row>
    <row r="1526">
      <c r="O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  <c r="AI1526" s="230"/>
    </row>
    <row r="1527">
      <c r="O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  <c r="AI1527" s="230"/>
    </row>
    <row r="1528">
      <c r="O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  <c r="AI1528" s="230"/>
    </row>
    <row r="1529">
      <c r="O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  <c r="AI1529" s="230"/>
    </row>
    <row r="1530">
      <c r="O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  <c r="AI1530" s="230"/>
    </row>
    <row r="1531">
      <c r="O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  <c r="AI1531" s="230"/>
    </row>
    <row r="1532">
      <c r="O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  <c r="AI1532" s="230"/>
    </row>
    <row r="1533">
      <c r="O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  <c r="AI1533" s="230"/>
    </row>
    <row r="1534">
      <c r="O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  <c r="AI1534" s="230"/>
    </row>
    <row r="1535">
      <c r="O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  <c r="AI1535" s="230"/>
    </row>
    <row r="1536">
      <c r="O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  <c r="AI1536" s="230"/>
    </row>
    <row r="1537">
      <c r="O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  <c r="AI1537" s="230"/>
    </row>
    <row r="1538">
      <c r="O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  <c r="AI1538" s="230"/>
    </row>
    <row r="1539">
      <c r="O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  <c r="AI1539" s="230"/>
    </row>
    <row r="1540">
      <c r="O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  <c r="AI1540" s="230"/>
    </row>
    <row r="1541">
      <c r="O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  <c r="AI1541" s="230"/>
    </row>
    <row r="1542">
      <c r="O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  <c r="AI1542" s="230"/>
    </row>
    <row r="1543">
      <c r="O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  <c r="AI1543" s="230"/>
    </row>
    <row r="1544">
      <c r="O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  <c r="AI1544" s="230"/>
    </row>
    <row r="1545">
      <c r="O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  <c r="AI1545" s="230"/>
    </row>
    <row r="1546">
      <c r="O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  <c r="AI1546" s="230"/>
    </row>
    <row r="1547">
      <c r="O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  <c r="AI1547" s="230"/>
    </row>
    <row r="1548">
      <c r="O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  <c r="AI1548" s="230"/>
    </row>
    <row r="1549">
      <c r="O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  <c r="AI1549" s="230"/>
    </row>
    <row r="1550">
      <c r="O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  <c r="AI1550" s="230"/>
    </row>
    <row r="1551">
      <c r="O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  <c r="AI1551" s="230"/>
    </row>
    <row r="1552">
      <c r="O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  <c r="AI1552" s="230"/>
    </row>
    <row r="1553">
      <c r="O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  <c r="AI1553" s="230"/>
    </row>
    <row r="1554">
      <c r="O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  <c r="AI1554" s="230"/>
    </row>
    <row r="1555">
      <c r="O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  <c r="AI1555" s="230"/>
    </row>
    <row r="1556">
      <c r="O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  <c r="AI1556" s="230"/>
    </row>
    <row r="1557">
      <c r="O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  <c r="AI1557" s="230"/>
    </row>
    <row r="1558">
      <c r="O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  <c r="AI1558" s="230"/>
    </row>
    <row r="1559">
      <c r="O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  <c r="AI1559" s="230"/>
    </row>
    <row r="1560">
      <c r="O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  <c r="AI1560" s="230"/>
    </row>
    <row r="1561">
      <c r="O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  <c r="AI1561" s="230"/>
    </row>
    <row r="1562">
      <c r="O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  <c r="AI1562" s="230"/>
    </row>
    <row r="1563">
      <c r="O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  <c r="AI1563" s="230"/>
    </row>
    <row r="1564">
      <c r="O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  <c r="AI1564" s="230"/>
    </row>
    <row r="1565">
      <c r="O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  <c r="AI1565" s="230"/>
    </row>
    <row r="1566">
      <c r="O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  <c r="AI1566" s="230"/>
    </row>
    <row r="1567">
      <c r="O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  <c r="AI1567" s="230"/>
    </row>
    <row r="1568">
      <c r="O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  <c r="AI1568" s="230"/>
    </row>
    <row r="1569">
      <c r="O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  <c r="AI1569" s="230"/>
    </row>
    <row r="1570">
      <c r="O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  <c r="AI1570" s="230"/>
    </row>
    <row r="1571">
      <c r="O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  <c r="AI1571" s="230"/>
    </row>
    <row r="1572">
      <c r="O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  <c r="AI1572" s="230"/>
    </row>
    <row r="1573">
      <c r="O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  <c r="AI1573" s="230"/>
    </row>
    <row r="1574">
      <c r="O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  <c r="AI1574" s="230"/>
    </row>
    <row r="1575">
      <c r="O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  <c r="AI1575" s="230"/>
    </row>
    <row r="1576">
      <c r="O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  <c r="AI1576" s="230"/>
    </row>
    <row r="1577">
      <c r="O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  <c r="AI1577" s="230"/>
    </row>
    <row r="1578">
      <c r="O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  <c r="AI1578" s="230"/>
    </row>
    <row r="1579">
      <c r="O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  <c r="AI1579" s="230"/>
    </row>
    <row r="1580">
      <c r="O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  <c r="AI1580" s="230"/>
    </row>
    <row r="1581">
      <c r="O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  <c r="AI1581" s="230"/>
    </row>
    <row r="1582">
      <c r="O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  <c r="AI1582" s="230"/>
    </row>
    <row r="1583">
      <c r="O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  <c r="AI1583" s="230"/>
    </row>
    <row r="1584">
      <c r="O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  <c r="AI1584" s="230"/>
    </row>
    <row r="1585">
      <c r="O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  <c r="AI1585" s="230"/>
    </row>
    <row r="1586">
      <c r="O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  <c r="AI1586" s="230"/>
    </row>
    <row r="1587">
      <c r="O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  <c r="AI1587" s="230"/>
    </row>
    <row r="1588">
      <c r="O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  <c r="AI1588" s="230"/>
    </row>
    <row r="1589">
      <c r="O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  <c r="AI1589" s="230"/>
    </row>
    <row r="1590">
      <c r="O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  <c r="AI1590" s="230"/>
    </row>
    <row r="1591">
      <c r="O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  <c r="AI1591" s="230"/>
    </row>
    <row r="1592">
      <c r="O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  <c r="AI1592" s="230"/>
    </row>
    <row r="1593">
      <c r="O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  <c r="AI1593" s="230"/>
    </row>
    <row r="1594">
      <c r="O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  <c r="AI1594" s="230"/>
    </row>
    <row r="1595">
      <c r="O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  <c r="AI1595" s="230"/>
    </row>
    <row r="1596">
      <c r="O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  <c r="AI1596" s="230"/>
    </row>
    <row r="1597">
      <c r="O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  <c r="AI1597" s="230"/>
    </row>
    <row r="1598">
      <c r="O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  <c r="AI1598" s="230"/>
    </row>
    <row r="1599">
      <c r="O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  <c r="AI1599" s="230"/>
    </row>
    <row r="1600">
      <c r="O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  <c r="AI1600" s="230"/>
    </row>
    <row r="1601">
      <c r="O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  <c r="AI1601" s="230"/>
    </row>
    <row r="1602">
      <c r="O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  <c r="AI1602" s="230"/>
    </row>
    <row r="1603">
      <c r="O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  <c r="AI1603" s="230"/>
    </row>
    <row r="1604">
      <c r="O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  <c r="AI1604" s="230"/>
    </row>
    <row r="1605">
      <c r="O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  <c r="AI1605" s="230"/>
    </row>
    <row r="1606">
      <c r="O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  <c r="AI1606" s="230"/>
    </row>
    <row r="1607">
      <c r="O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  <c r="AI1607" s="230"/>
    </row>
    <row r="1608">
      <c r="O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  <c r="AI1608" s="230"/>
    </row>
    <row r="1609">
      <c r="O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  <c r="AI1609" s="230"/>
    </row>
    <row r="1610">
      <c r="O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  <c r="AI1610" s="230"/>
    </row>
    <row r="1611">
      <c r="O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  <c r="AI1611" s="230"/>
    </row>
    <row r="1612">
      <c r="O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  <c r="AI1612" s="230"/>
    </row>
    <row r="1613">
      <c r="O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  <c r="AI1613" s="230"/>
    </row>
    <row r="1614">
      <c r="O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  <c r="AI1614" s="230"/>
    </row>
    <row r="1615">
      <c r="O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  <c r="AI1615" s="230"/>
    </row>
    <row r="1616">
      <c r="O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  <c r="AI1616" s="230"/>
    </row>
    <row r="1617">
      <c r="O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  <c r="AI1617" s="230"/>
    </row>
    <row r="1618">
      <c r="O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  <c r="AI1618" s="230"/>
    </row>
    <row r="1619">
      <c r="O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  <c r="AI1619" s="230"/>
    </row>
    <row r="1620">
      <c r="O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  <c r="AI1620" s="230"/>
    </row>
    <row r="1621">
      <c r="O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  <c r="AI1621" s="230"/>
    </row>
    <row r="1622">
      <c r="O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  <c r="AI1622" s="230"/>
    </row>
    <row r="1623">
      <c r="O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  <c r="AI1623" s="230"/>
    </row>
    <row r="1624">
      <c r="O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  <c r="AI1624" s="230"/>
    </row>
    <row r="1625">
      <c r="O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  <c r="AI1625" s="230"/>
    </row>
    <row r="1626">
      <c r="O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  <c r="AI1626" s="230"/>
    </row>
    <row r="1627">
      <c r="O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  <c r="AI1627" s="230"/>
    </row>
    <row r="1628">
      <c r="O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  <c r="AI1628" s="230"/>
    </row>
    <row r="1629">
      <c r="O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  <c r="AI1629" s="230"/>
    </row>
    <row r="1630">
      <c r="O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  <c r="AI1630" s="230"/>
    </row>
    <row r="1631">
      <c r="O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  <c r="AI1631" s="230"/>
    </row>
    <row r="1632">
      <c r="O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  <c r="AI1632" s="230"/>
    </row>
    <row r="1633">
      <c r="O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  <c r="AI1633" s="230"/>
    </row>
    <row r="1634">
      <c r="O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  <c r="AI1634" s="230"/>
    </row>
    <row r="1635">
      <c r="O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  <c r="AI1635" s="230"/>
    </row>
    <row r="1636">
      <c r="O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  <c r="AI1636" s="230"/>
    </row>
    <row r="1637">
      <c r="O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  <c r="AI1637" s="230"/>
    </row>
    <row r="1638">
      <c r="O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  <c r="AI1638" s="230"/>
    </row>
    <row r="1639">
      <c r="O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  <c r="AI1639" s="230"/>
    </row>
    <row r="1640">
      <c r="O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  <c r="AI1640" s="230"/>
    </row>
    <row r="1641">
      <c r="O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  <c r="AI1641" s="230"/>
    </row>
    <row r="1642">
      <c r="O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  <c r="AI1642" s="230"/>
    </row>
    <row r="1643">
      <c r="O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  <c r="AI1643" s="230"/>
    </row>
    <row r="1644">
      <c r="O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  <c r="AI1644" s="230"/>
    </row>
    <row r="1645">
      <c r="O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  <c r="AI1645" s="230"/>
    </row>
    <row r="1646">
      <c r="O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  <c r="AI1646" s="230"/>
    </row>
    <row r="1647">
      <c r="O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  <c r="AI1647" s="230"/>
    </row>
    <row r="1648">
      <c r="O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  <c r="AI1648" s="230"/>
    </row>
    <row r="1649">
      <c r="O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  <c r="AI1649" s="230"/>
    </row>
    <row r="1650">
      <c r="O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  <c r="AI1650" s="230"/>
    </row>
    <row r="1651">
      <c r="O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  <c r="AI1651" s="230"/>
    </row>
    <row r="1652">
      <c r="O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  <c r="AI1652" s="230"/>
    </row>
    <row r="1653">
      <c r="O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  <c r="AI1653" s="230"/>
    </row>
    <row r="1654">
      <c r="O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  <c r="AI1654" s="230"/>
    </row>
    <row r="1655">
      <c r="O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  <c r="AI1655" s="230"/>
    </row>
    <row r="1656">
      <c r="O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  <c r="AI1656" s="230"/>
    </row>
    <row r="1657">
      <c r="O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  <c r="AI1657" s="230"/>
    </row>
    <row r="1658">
      <c r="O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  <c r="AI1658" s="230"/>
    </row>
    <row r="1659">
      <c r="O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  <c r="AI1659" s="230"/>
    </row>
    <row r="1660">
      <c r="O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  <c r="AI1660" s="230"/>
    </row>
    <row r="1661">
      <c r="O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  <c r="AI1661" s="230"/>
    </row>
    <row r="1662">
      <c r="O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  <c r="AI1662" s="230"/>
    </row>
    <row r="1663">
      <c r="O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  <c r="AI1663" s="230"/>
    </row>
    <row r="1664">
      <c r="O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  <c r="AI1664" s="230"/>
    </row>
    <row r="1665">
      <c r="O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  <c r="AI1665" s="230"/>
    </row>
    <row r="1666">
      <c r="O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  <c r="AI1666" s="230"/>
    </row>
    <row r="1667">
      <c r="O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  <c r="AI1667" s="230"/>
    </row>
    <row r="1668">
      <c r="O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  <c r="AI1668" s="230"/>
    </row>
    <row r="1669">
      <c r="O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  <c r="AI1669" s="230"/>
    </row>
    <row r="1670">
      <c r="O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  <c r="AI1670" s="230"/>
    </row>
    <row r="1671">
      <c r="O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  <c r="AI1671" s="230"/>
    </row>
    <row r="1672">
      <c r="O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  <c r="AI1672" s="230"/>
    </row>
    <row r="1673">
      <c r="O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  <c r="AI1673" s="230"/>
    </row>
    <row r="1674">
      <c r="O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  <c r="AI1674" s="230"/>
    </row>
    <row r="1675">
      <c r="O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  <c r="AI1675" s="230"/>
    </row>
    <row r="1676">
      <c r="O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  <c r="AI1676" s="230"/>
    </row>
    <row r="1677">
      <c r="O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  <c r="AI1677" s="230"/>
    </row>
    <row r="1678">
      <c r="O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  <c r="AI1678" s="230"/>
    </row>
    <row r="1679">
      <c r="O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  <c r="AI1679" s="230"/>
    </row>
    <row r="1680">
      <c r="O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  <c r="AI1680" s="230"/>
    </row>
    <row r="1681">
      <c r="O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  <c r="AI1681" s="230"/>
    </row>
    <row r="1682">
      <c r="O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  <c r="AI1682" s="230"/>
    </row>
    <row r="1683">
      <c r="O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  <c r="AI1683" s="230"/>
    </row>
    <row r="1684">
      <c r="O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  <c r="AI1684" s="230"/>
    </row>
    <row r="1685">
      <c r="O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  <c r="AI1685" s="230"/>
    </row>
    <row r="1686">
      <c r="O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  <c r="AI1686" s="230"/>
    </row>
    <row r="1687">
      <c r="O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  <c r="AI1687" s="230"/>
    </row>
    <row r="1688">
      <c r="O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  <c r="AI1688" s="230"/>
    </row>
    <row r="1689">
      <c r="O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  <c r="AI1689" s="230"/>
    </row>
    <row r="1690">
      <c r="O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  <c r="AI1690" s="230"/>
    </row>
    <row r="1691">
      <c r="O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  <c r="AI1691" s="230"/>
    </row>
    <row r="1692">
      <c r="O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  <c r="AI1692" s="230"/>
    </row>
    <row r="1693">
      <c r="O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  <c r="AI1693" s="230"/>
    </row>
    <row r="1694">
      <c r="O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  <c r="AI1694" s="230"/>
    </row>
    <row r="1695">
      <c r="O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  <c r="AI1695" s="230"/>
    </row>
    <row r="1696">
      <c r="O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  <c r="AI1696" s="230"/>
    </row>
    <row r="1697">
      <c r="O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  <c r="AI1697" s="230"/>
    </row>
    <row r="1698">
      <c r="O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  <c r="AI1698" s="230"/>
    </row>
    <row r="1699">
      <c r="O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  <c r="AI1699" s="230"/>
    </row>
    <row r="1700">
      <c r="O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  <c r="AI1700" s="230"/>
    </row>
    <row r="1701">
      <c r="O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  <c r="AI1701" s="230"/>
    </row>
    <row r="1702">
      <c r="O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  <c r="AI1702" s="230"/>
    </row>
    <row r="1703">
      <c r="O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  <c r="AI1703" s="230"/>
    </row>
    <row r="1704">
      <c r="O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  <c r="AI1704" s="230"/>
    </row>
    <row r="1705">
      <c r="O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  <c r="AI1705" s="230"/>
    </row>
    <row r="1706">
      <c r="O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  <c r="AI1706" s="230"/>
    </row>
    <row r="1707">
      <c r="O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  <c r="AI1707" s="230"/>
    </row>
    <row r="1708">
      <c r="O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  <c r="AI1708" s="230"/>
    </row>
    <row r="1709">
      <c r="O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  <c r="AI1709" s="230"/>
    </row>
    <row r="1710">
      <c r="O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  <c r="AI1710" s="230"/>
    </row>
    <row r="1711">
      <c r="O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  <c r="AI1711" s="230"/>
    </row>
    <row r="1712">
      <c r="O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  <c r="AI1712" s="230"/>
    </row>
    <row r="1713">
      <c r="O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  <c r="AI1713" s="230"/>
    </row>
    <row r="1714">
      <c r="O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  <c r="AI1714" s="230"/>
    </row>
    <row r="1715">
      <c r="O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  <c r="AI1715" s="230"/>
    </row>
    <row r="1716">
      <c r="O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  <c r="AI1716" s="230"/>
    </row>
    <row r="1717">
      <c r="O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  <c r="AI1717" s="230"/>
    </row>
    <row r="1718">
      <c r="O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  <c r="AI1718" s="230"/>
    </row>
    <row r="1719">
      <c r="O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  <c r="AI1719" s="230"/>
    </row>
    <row r="1720">
      <c r="O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  <c r="AI1720" s="230"/>
    </row>
    <row r="1721">
      <c r="O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  <c r="AI1721" s="230"/>
    </row>
    <row r="1722">
      <c r="O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  <c r="AI1722" s="230"/>
    </row>
    <row r="1723">
      <c r="O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  <c r="AI1723" s="230"/>
    </row>
    <row r="1724">
      <c r="O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  <c r="AI1724" s="230"/>
    </row>
    <row r="1725">
      <c r="O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  <c r="AI1725" s="230"/>
    </row>
    <row r="1726">
      <c r="O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  <c r="AI1726" s="230"/>
    </row>
    <row r="1727">
      <c r="O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  <c r="AI1727" s="230"/>
    </row>
    <row r="1728">
      <c r="O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  <c r="AI1728" s="230"/>
    </row>
    <row r="1729">
      <c r="O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  <c r="AI1729" s="230"/>
    </row>
    <row r="1730">
      <c r="O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  <c r="AI1730" s="230"/>
    </row>
    <row r="1731">
      <c r="O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  <c r="AI1731" s="230"/>
    </row>
    <row r="1732">
      <c r="O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  <c r="AI1732" s="230"/>
    </row>
    <row r="1733">
      <c r="O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  <c r="AI1733" s="230"/>
    </row>
    <row r="1734">
      <c r="O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  <c r="AI1734" s="230"/>
    </row>
    <row r="1735">
      <c r="O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  <c r="AI1735" s="230"/>
    </row>
    <row r="1736">
      <c r="O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  <c r="AI1736" s="230"/>
    </row>
    <row r="1737">
      <c r="O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  <c r="AI1737" s="230"/>
    </row>
    <row r="1738">
      <c r="O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  <c r="AI1738" s="230"/>
    </row>
    <row r="1739">
      <c r="O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  <c r="AI1739" s="230"/>
    </row>
    <row r="1740">
      <c r="O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  <c r="AI1740" s="230"/>
    </row>
    <row r="1741">
      <c r="O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  <c r="AI1741" s="230"/>
    </row>
    <row r="1742">
      <c r="O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  <c r="AI1742" s="230"/>
    </row>
    <row r="1743">
      <c r="O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  <c r="AI1743" s="230"/>
    </row>
    <row r="1744">
      <c r="O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  <c r="AI1744" s="230"/>
    </row>
    <row r="1745">
      <c r="O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  <c r="AI1745" s="230"/>
    </row>
    <row r="1746">
      <c r="O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  <c r="AI1746" s="230"/>
    </row>
    <row r="1747">
      <c r="O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  <c r="AI1747" s="230"/>
    </row>
    <row r="1748">
      <c r="O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  <c r="AI1748" s="230"/>
    </row>
    <row r="1749">
      <c r="O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  <c r="AI1749" s="230"/>
    </row>
    <row r="1750">
      <c r="O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  <c r="AI1750" s="230"/>
    </row>
    <row r="1751">
      <c r="O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  <c r="AI1751" s="230"/>
    </row>
    <row r="1752">
      <c r="O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  <c r="AI1752" s="230"/>
    </row>
    <row r="1753">
      <c r="O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  <c r="AI1753" s="230"/>
    </row>
    <row r="1754">
      <c r="O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  <c r="AI1754" s="230"/>
    </row>
    <row r="1755">
      <c r="O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  <c r="AI1755" s="230"/>
    </row>
    <row r="1756">
      <c r="O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  <c r="AI1756" s="230"/>
    </row>
    <row r="1757">
      <c r="O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  <c r="AI1757" s="230"/>
    </row>
    <row r="1758">
      <c r="O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  <c r="AI1758" s="230"/>
    </row>
    <row r="1759">
      <c r="O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  <c r="AI1759" s="230"/>
    </row>
    <row r="1760">
      <c r="O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  <c r="AI1760" s="230"/>
    </row>
    <row r="1761">
      <c r="O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  <c r="AI1761" s="230"/>
    </row>
    <row r="1762">
      <c r="O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  <c r="AI1762" s="230"/>
    </row>
    <row r="1763">
      <c r="O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  <c r="AI1763" s="230"/>
    </row>
    <row r="1764">
      <c r="O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  <c r="AI1764" s="230"/>
    </row>
    <row r="1765">
      <c r="O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  <c r="AI1765" s="230"/>
    </row>
    <row r="1766">
      <c r="O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  <c r="AI1766" s="230"/>
    </row>
    <row r="1767">
      <c r="O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  <c r="AI1767" s="230"/>
    </row>
    <row r="1768">
      <c r="O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  <c r="AI1768" s="230"/>
    </row>
    <row r="1769">
      <c r="O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  <c r="AI1769" s="230"/>
    </row>
    <row r="1770">
      <c r="O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  <c r="AI1770" s="230"/>
    </row>
    <row r="1771">
      <c r="O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  <c r="AI1771" s="230"/>
    </row>
    <row r="1772">
      <c r="O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  <c r="AI1772" s="230"/>
    </row>
    <row r="1773">
      <c r="O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  <c r="AI1773" s="230"/>
    </row>
    <row r="1774">
      <c r="O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  <c r="AI1774" s="230"/>
    </row>
    <row r="1775">
      <c r="O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  <c r="AI1775" s="230"/>
    </row>
    <row r="1776">
      <c r="O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  <c r="AI1776" s="230"/>
    </row>
    <row r="1777">
      <c r="O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  <c r="AI1777" s="230"/>
    </row>
    <row r="1778">
      <c r="O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  <c r="AI1778" s="230"/>
    </row>
    <row r="1779">
      <c r="O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  <c r="AI1779" s="230"/>
    </row>
    <row r="1780">
      <c r="O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  <c r="AI1780" s="230"/>
    </row>
    <row r="1781">
      <c r="O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  <c r="AI1781" s="230"/>
    </row>
    <row r="1782">
      <c r="O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  <c r="AI1782" s="230"/>
    </row>
    <row r="1783">
      <c r="O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  <c r="AI1783" s="230"/>
    </row>
    <row r="1784">
      <c r="O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  <c r="AI1784" s="230"/>
    </row>
    <row r="1785">
      <c r="O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  <c r="AI1785" s="230"/>
    </row>
    <row r="1786">
      <c r="O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  <c r="AI1786" s="230"/>
    </row>
    <row r="1787">
      <c r="O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  <c r="AI1787" s="230"/>
    </row>
    <row r="1788">
      <c r="O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  <c r="AI1788" s="230"/>
    </row>
    <row r="1789">
      <c r="O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  <c r="AI1789" s="230"/>
    </row>
    <row r="1790">
      <c r="O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  <c r="AI1790" s="230"/>
    </row>
    <row r="1791">
      <c r="O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  <c r="AI1791" s="230"/>
    </row>
    <row r="1792">
      <c r="O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  <c r="AI1792" s="230"/>
    </row>
    <row r="1793">
      <c r="O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  <c r="AI1793" s="230"/>
    </row>
    <row r="1794">
      <c r="O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  <c r="AI1794" s="230"/>
    </row>
    <row r="1795">
      <c r="O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  <c r="AI1795" s="230"/>
    </row>
    <row r="1796">
      <c r="O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  <c r="AI1796" s="230"/>
    </row>
    <row r="1797">
      <c r="O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  <c r="AI1797" s="230"/>
    </row>
    <row r="1798">
      <c r="O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  <c r="AI1798" s="230"/>
    </row>
    <row r="1799">
      <c r="O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  <c r="AI1799" s="230"/>
    </row>
    <row r="1800">
      <c r="O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  <c r="AI1800" s="230"/>
    </row>
    <row r="1801">
      <c r="O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  <c r="AI1801" s="230"/>
    </row>
    <row r="1802">
      <c r="O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  <c r="AI1802" s="230"/>
    </row>
    <row r="1803">
      <c r="O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  <c r="AI1803" s="230"/>
    </row>
    <row r="1804">
      <c r="O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  <c r="AI1804" s="230"/>
    </row>
    <row r="1805">
      <c r="O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  <c r="AI1805" s="230"/>
    </row>
    <row r="1806">
      <c r="O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  <c r="AI1806" s="230"/>
    </row>
    <row r="1807">
      <c r="O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  <c r="AI1807" s="230"/>
    </row>
    <row r="1808">
      <c r="O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  <c r="AI1808" s="230"/>
    </row>
    <row r="1809">
      <c r="O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  <c r="AI1809" s="230"/>
    </row>
    <row r="1810">
      <c r="O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  <c r="AI1810" s="230"/>
    </row>
    <row r="1811">
      <c r="O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  <c r="AI1811" s="230"/>
    </row>
    <row r="1812">
      <c r="O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  <c r="AI1812" s="230"/>
    </row>
    <row r="1813">
      <c r="O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  <c r="AI1813" s="230"/>
    </row>
    <row r="1814">
      <c r="O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  <c r="AI1814" s="230"/>
    </row>
    <row r="1815">
      <c r="O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  <c r="AI1815" s="230"/>
    </row>
    <row r="1816">
      <c r="O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  <c r="AI1816" s="230"/>
    </row>
    <row r="1817">
      <c r="O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  <c r="AI1817" s="230"/>
    </row>
    <row r="1818">
      <c r="O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  <c r="AI1818" s="230"/>
    </row>
    <row r="1819">
      <c r="O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  <c r="AI1819" s="230"/>
    </row>
    <row r="1820">
      <c r="O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  <c r="AI1820" s="230"/>
    </row>
    <row r="1821">
      <c r="O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  <c r="AI1821" s="230"/>
    </row>
    <row r="1822">
      <c r="O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  <c r="AI1822" s="230"/>
    </row>
    <row r="1823">
      <c r="O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  <c r="AI1823" s="230"/>
    </row>
    <row r="1824">
      <c r="O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  <c r="AI1824" s="230"/>
    </row>
    <row r="1825">
      <c r="O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  <c r="AI1825" s="230"/>
    </row>
    <row r="1826">
      <c r="O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  <c r="AI1826" s="230"/>
    </row>
    <row r="1827">
      <c r="O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  <c r="AI1827" s="230"/>
    </row>
    <row r="1828">
      <c r="O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  <c r="AI1828" s="230"/>
    </row>
    <row r="1829">
      <c r="O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  <c r="AI1829" s="230"/>
    </row>
    <row r="1830">
      <c r="O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  <c r="AI1830" s="230"/>
    </row>
    <row r="1831">
      <c r="O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  <c r="AI1831" s="230"/>
    </row>
    <row r="1832">
      <c r="O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  <c r="AI1832" s="230"/>
    </row>
    <row r="1833">
      <c r="O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  <c r="AI1833" s="230"/>
    </row>
    <row r="1834">
      <c r="O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  <c r="AI1834" s="230"/>
    </row>
    <row r="1835">
      <c r="O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  <c r="AI1835" s="230"/>
    </row>
    <row r="1836">
      <c r="O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  <c r="AI1836" s="230"/>
    </row>
    <row r="1837">
      <c r="O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  <c r="AI1837" s="230"/>
    </row>
    <row r="1838">
      <c r="O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  <c r="AI1838" s="230"/>
    </row>
    <row r="1839">
      <c r="O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  <c r="AI1839" s="230"/>
    </row>
    <row r="1840">
      <c r="O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  <c r="AI1840" s="230"/>
    </row>
    <row r="1841">
      <c r="O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  <c r="AI1841" s="230"/>
    </row>
    <row r="1842">
      <c r="O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  <c r="AI1842" s="230"/>
    </row>
    <row r="1843">
      <c r="O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  <c r="AI1843" s="230"/>
    </row>
    <row r="1844">
      <c r="O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  <c r="AI1844" s="230"/>
    </row>
    <row r="1845">
      <c r="O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  <c r="AI1845" s="230"/>
    </row>
    <row r="1846">
      <c r="O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  <c r="AI1846" s="230"/>
    </row>
    <row r="1847">
      <c r="O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  <c r="AI1847" s="230"/>
    </row>
    <row r="1848">
      <c r="O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  <c r="AI1848" s="230"/>
    </row>
    <row r="1849">
      <c r="O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  <c r="AI1849" s="230"/>
    </row>
    <row r="1850">
      <c r="O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  <c r="AI1850" s="230"/>
    </row>
    <row r="1851">
      <c r="O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  <c r="AI1851" s="230"/>
    </row>
    <row r="1852">
      <c r="O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  <c r="AI1852" s="230"/>
    </row>
    <row r="1853">
      <c r="O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  <c r="AI1853" s="230"/>
    </row>
    <row r="1854">
      <c r="O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  <c r="AI1854" s="230"/>
    </row>
    <row r="1855">
      <c r="O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  <c r="AI1855" s="230"/>
    </row>
    <row r="1856">
      <c r="O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  <c r="AI1856" s="230"/>
    </row>
    <row r="1857">
      <c r="O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  <c r="AI1857" s="230"/>
    </row>
    <row r="1858">
      <c r="O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  <c r="AI1858" s="230"/>
    </row>
    <row r="1859">
      <c r="O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  <c r="AI1859" s="230"/>
    </row>
    <row r="1860">
      <c r="O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  <c r="AI1860" s="230"/>
    </row>
    <row r="1861">
      <c r="O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  <c r="AI1861" s="230"/>
    </row>
    <row r="1862">
      <c r="O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  <c r="AI1862" s="230"/>
    </row>
    <row r="1863">
      <c r="O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  <c r="AI1863" s="230"/>
    </row>
    <row r="1864">
      <c r="O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  <c r="AI1864" s="230"/>
    </row>
    <row r="1865">
      <c r="O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  <c r="AI1865" s="230"/>
    </row>
    <row r="1866">
      <c r="O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  <c r="AI1866" s="230"/>
    </row>
    <row r="1867">
      <c r="O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  <c r="AI1867" s="230"/>
    </row>
    <row r="1868">
      <c r="O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  <c r="AI1868" s="230"/>
    </row>
    <row r="1869">
      <c r="O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  <c r="AI1869" s="230"/>
    </row>
    <row r="1870">
      <c r="O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  <c r="AI1870" s="230"/>
    </row>
    <row r="1871">
      <c r="O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  <c r="AI1871" s="230"/>
    </row>
    <row r="1872">
      <c r="O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  <c r="AI1872" s="230"/>
    </row>
    <row r="1873">
      <c r="O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  <c r="AI1873" s="230"/>
    </row>
    <row r="1874">
      <c r="O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  <c r="AI1874" s="230"/>
    </row>
    <row r="1875">
      <c r="O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  <c r="AI1875" s="230"/>
    </row>
    <row r="1876">
      <c r="O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  <c r="AI1876" s="230"/>
    </row>
    <row r="1877">
      <c r="O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  <c r="AI1877" s="230"/>
    </row>
    <row r="1878">
      <c r="O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  <c r="AI1878" s="230"/>
    </row>
    <row r="1879">
      <c r="O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  <c r="AI1879" s="230"/>
    </row>
    <row r="1880">
      <c r="O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  <c r="AI1880" s="230"/>
    </row>
    <row r="1881">
      <c r="O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  <c r="AI1881" s="230"/>
    </row>
    <row r="1882">
      <c r="O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  <c r="AI1882" s="230"/>
    </row>
    <row r="1883">
      <c r="O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  <c r="AI1883" s="230"/>
    </row>
    <row r="1884">
      <c r="O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  <c r="AI1884" s="230"/>
    </row>
    <row r="1885">
      <c r="O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  <c r="AI1885" s="230"/>
    </row>
    <row r="1886">
      <c r="O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  <c r="AI1886" s="230"/>
    </row>
    <row r="1887">
      <c r="O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  <c r="AI1887" s="230"/>
    </row>
    <row r="1888">
      <c r="O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  <c r="AI1888" s="230"/>
    </row>
    <row r="1889">
      <c r="O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  <c r="AI1889" s="230"/>
    </row>
    <row r="1890">
      <c r="O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  <c r="AI1890" s="230"/>
    </row>
    <row r="1891">
      <c r="O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  <c r="AI1891" s="230"/>
    </row>
    <row r="1892">
      <c r="O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  <c r="AI1892" s="230"/>
    </row>
    <row r="1893">
      <c r="O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  <c r="AI1893" s="230"/>
    </row>
    <row r="1894">
      <c r="O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  <c r="AI1894" s="230"/>
    </row>
    <row r="1895">
      <c r="O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  <c r="AI1895" s="230"/>
    </row>
    <row r="1896">
      <c r="O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  <c r="AI1896" s="230"/>
    </row>
    <row r="1897">
      <c r="O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  <c r="AI1897" s="230"/>
    </row>
    <row r="1898">
      <c r="O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  <c r="AI1898" s="230"/>
    </row>
    <row r="1899">
      <c r="O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  <c r="AI1899" s="230"/>
    </row>
    <row r="1900">
      <c r="O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  <c r="AI1900" s="230"/>
    </row>
    <row r="1901">
      <c r="O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  <c r="AI1901" s="230"/>
    </row>
    <row r="1902">
      <c r="O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  <c r="AI1902" s="230"/>
    </row>
    <row r="1903">
      <c r="O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  <c r="AI1903" s="230"/>
    </row>
    <row r="1904">
      <c r="O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  <c r="AI1904" s="230"/>
    </row>
    <row r="1905">
      <c r="O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  <c r="AI1905" s="230"/>
    </row>
    <row r="1906">
      <c r="O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  <c r="AI1906" s="230"/>
    </row>
    <row r="1907">
      <c r="O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  <c r="AI1907" s="230"/>
    </row>
    <row r="1908">
      <c r="O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  <c r="AI1908" s="230"/>
    </row>
    <row r="1909">
      <c r="O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  <c r="AI1909" s="230"/>
    </row>
    <row r="1910">
      <c r="O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  <c r="AI1910" s="230"/>
    </row>
    <row r="1911">
      <c r="O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  <c r="AI1911" s="230"/>
    </row>
    <row r="1912">
      <c r="O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  <c r="AI1912" s="230"/>
    </row>
    <row r="1913">
      <c r="O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  <c r="AI1913" s="230"/>
    </row>
    <row r="1914">
      <c r="O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  <c r="AI1914" s="230"/>
    </row>
    <row r="1915">
      <c r="O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  <c r="AI1915" s="230"/>
    </row>
    <row r="1916">
      <c r="O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  <c r="AI1916" s="230"/>
    </row>
    <row r="1917">
      <c r="O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  <c r="AI1917" s="230"/>
    </row>
    <row r="1918">
      <c r="O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  <c r="AI1918" s="230"/>
    </row>
    <row r="1919">
      <c r="O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  <c r="AI1919" s="230"/>
    </row>
    <row r="1920">
      <c r="O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  <c r="AI1920" s="230"/>
    </row>
    <row r="1921">
      <c r="O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  <c r="AI1921" s="230"/>
    </row>
    <row r="1922">
      <c r="O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  <c r="AI1922" s="230"/>
    </row>
    <row r="1923">
      <c r="O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  <c r="AI1923" s="230"/>
    </row>
    <row r="1924">
      <c r="O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  <c r="AI1924" s="230"/>
    </row>
    <row r="1925">
      <c r="O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  <c r="AI1925" s="230"/>
    </row>
    <row r="1926">
      <c r="O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  <c r="AI1926" s="230"/>
    </row>
    <row r="1927">
      <c r="O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  <c r="AI1927" s="230"/>
    </row>
    <row r="1928">
      <c r="O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  <c r="AI1928" s="230"/>
    </row>
    <row r="1929">
      <c r="O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  <c r="AI1929" s="230"/>
    </row>
    <row r="1930">
      <c r="O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  <c r="AI1930" s="230"/>
    </row>
    <row r="1931">
      <c r="O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  <c r="AI1931" s="230"/>
    </row>
    <row r="1932">
      <c r="O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  <c r="AI1932" s="230"/>
    </row>
    <row r="1933">
      <c r="O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  <c r="AI1933" s="230"/>
    </row>
    <row r="1934">
      <c r="O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  <c r="AI1934" s="230"/>
    </row>
    <row r="1935">
      <c r="O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  <c r="AI1935" s="230"/>
    </row>
    <row r="1936">
      <c r="O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  <c r="AI1936" s="230"/>
    </row>
    <row r="1937">
      <c r="O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  <c r="AI1937" s="230"/>
    </row>
    <row r="1938">
      <c r="O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  <c r="AI1938" s="230"/>
    </row>
    <row r="1939">
      <c r="O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  <c r="AI1939" s="230"/>
    </row>
    <row r="1940">
      <c r="O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  <c r="AI1940" s="230"/>
    </row>
    <row r="1941">
      <c r="O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  <c r="AI1941" s="230"/>
    </row>
    <row r="1942">
      <c r="O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  <c r="AI1942" s="230"/>
    </row>
    <row r="1943">
      <c r="O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  <c r="AI1943" s="230"/>
    </row>
    <row r="1944">
      <c r="O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  <c r="AI1944" s="230"/>
    </row>
    <row r="1945">
      <c r="O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  <c r="AI1945" s="230"/>
    </row>
    <row r="1946">
      <c r="O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  <c r="AI1946" s="230"/>
    </row>
    <row r="1947">
      <c r="O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  <c r="AI1947" s="230"/>
    </row>
    <row r="1948">
      <c r="O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  <c r="AI1948" s="230"/>
    </row>
    <row r="1949">
      <c r="O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  <c r="AI1949" s="230"/>
    </row>
    <row r="1950">
      <c r="O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  <c r="AI1950" s="230"/>
    </row>
    <row r="1951">
      <c r="O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  <c r="AI1951" s="230"/>
    </row>
    <row r="1952">
      <c r="O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  <c r="AI1952" s="230"/>
    </row>
    <row r="1953">
      <c r="O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  <c r="AI1953" s="230"/>
    </row>
    <row r="1954">
      <c r="O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  <c r="AI1954" s="230"/>
    </row>
    <row r="1955">
      <c r="O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  <c r="AI1955" s="230"/>
    </row>
    <row r="1956">
      <c r="O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  <c r="AI1956" s="230"/>
    </row>
    <row r="1957">
      <c r="O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  <c r="AI1957" s="230"/>
    </row>
    <row r="1958">
      <c r="O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  <c r="AI1958" s="230"/>
    </row>
    <row r="1959">
      <c r="O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  <c r="AI1959" s="230"/>
    </row>
    <row r="1960">
      <c r="O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  <c r="AI1960" s="230"/>
    </row>
    <row r="1961">
      <c r="O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  <c r="AI1961" s="230"/>
    </row>
    <row r="1962">
      <c r="O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  <c r="AI1962" s="230"/>
    </row>
    <row r="1963">
      <c r="O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  <c r="AI1963" s="230"/>
    </row>
    <row r="1964">
      <c r="O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  <c r="AI1964" s="230"/>
    </row>
    <row r="1965">
      <c r="O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  <c r="AI1965" s="230"/>
    </row>
    <row r="1966">
      <c r="O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  <c r="AI1966" s="230"/>
    </row>
    <row r="1967">
      <c r="O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  <c r="AI1967" s="230"/>
    </row>
    <row r="1968">
      <c r="O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  <c r="AI1968" s="230"/>
    </row>
    <row r="1969">
      <c r="O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  <c r="AI1969" s="230"/>
    </row>
    <row r="1970">
      <c r="O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  <c r="AI1970" s="230"/>
    </row>
    <row r="1971">
      <c r="O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  <c r="AI1971" s="230"/>
    </row>
    <row r="1972">
      <c r="O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  <c r="AI1972" s="230"/>
    </row>
    <row r="1973">
      <c r="O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  <c r="AI1973" s="230"/>
    </row>
    <row r="1974">
      <c r="O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  <c r="AI1974" s="230"/>
    </row>
    <row r="1975">
      <c r="O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  <c r="AI1975" s="230"/>
    </row>
    <row r="1976">
      <c r="O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  <c r="AI1976" s="230"/>
    </row>
    <row r="1977">
      <c r="O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  <c r="AI1977" s="230"/>
    </row>
    <row r="1978">
      <c r="O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  <c r="AI1978" s="230"/>
    </row>
    <row r="1979">
      <c r="O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  <c r="AI1979" s="230"/>
    </row>
    <row r="1980">
      <c r="O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  <c r="AI1980" s="230"/>
    </row>
    <row r="1981">
      <c r="O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  <c r="AI1981" s="230"/>
    </row>
    <row r="1982">
      <c r="O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  <c r="AI1982" s="230"/>
    </row>
    <row r="1983">
      <c r="O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  <c r="AI1983" s="230"/>
    </row>
    <row r="1984">
      <c r="O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  <c r="AI1984" s="230"/>
    </row>
    <row r="1985">
      <c r="O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  <c r="AI1985" s="230"/>
    </row>
    <row r="1986">
      <c r="O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  <c r="AI1986" s="230"/>
    </row>
    <row r="1987">
      <c r="O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  <c r="AI1987" s="230"/>
    </row>
    <row r="1988">
      <c r="O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  <c r="AI1988" s="230"/>
    </row>
    <row r="1989">
      <c r="O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  <c r="AI1989" s="230"/>
    </row>
    <row r="1990">
      <c r="O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  <c r="AI1990" s="230"/>
    </row>
    <row r="1991">
      <c r="O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  <c r="AI1991" s="230"/>
    </row>
    <row r="1992">
      <c r="O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  <c r="AI1992" s="230"/>
    </row>
    <row r="1993">
      <c r="O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  <c r="AI1993" s="230"/>
    </row>
    <row r="1994">
      <c r="O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  <c r="AI1994" s="230"/>
    </row>
    <row r="1995">
      <c r="O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  <c r="AI1995" s="230"/>
    </row>
    <row r="1996">
      <c r="O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  <c r="AI1996" s="230"/>
    </row>
    <row r="1997">
      <c r="O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  <c r="AI1997" s="230"/>
    </row>
    <row r="1998">
      <c r="O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  <c r="AI1998" s="230"/>
    </row>
    <row r="1999">
      <c r="O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  <c r="AI1999" s="230"/>
    </row>
    <row r="2000">
      <c r="O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  <c r="AI2000" s="230"/>
    </row>
    <row r="2001">
      <c r="O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  <c r="AI2001" s="230"/>
    </row>
    <row r="2002">
      <c r="O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  <c r="AI2002" s="230"/>
    </row>
    <row r="2003">
      <c r="O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  <c r="AI2003" s="230"/>
    </row>
    <row r="2004">
      <c r="O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  <c r="AI2004" s="230"/>
    </row>
  </sheetData>
  <autoFilter ref="$A$1:$BM$200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  <col customWidth="1" min="9" max="9" width="17.13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130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21.0</v>
      </c>
      <c r="C3" s="219">
        <v>444.5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2.0</v>
      </c>
      <c r="D6" s="212"/>
      <c r="E6" s="212"/>
      <c r="F6" s="221" t="s">
        <v>2577</v>
      </c>
    </row>
    <row r="7" ht="22.5" customHeight="1">
      <c r="A7" s="218" t="s">
        <v>255</v>
      </c>
      <c r="B7" s="216">
        <f>SUM('Sprint 23'!O:O)</f>
        <v>507</v>
      </c>
      <c r="C7" s="212">
        <f>ROUND(SUM('Sprint 23'!S:S)/3600,2)</f>
        <v>775.83</v>
      </c>
      <c r="D7" s="216">
        <f>SUMIF('Sprint 23'!J:J, "Done", 'Sprint 23'!O:O)</f>
        <v>94</v>
      </c>
      <c r="E7" s="212">
        <f>ROUND(SUMIF('Sprint 23'!J:J, "Done", 'Sprint 23'!S:S)/3600,2)</f>
        <v>148.83</v>
      </c>
      <c r="F7" s="217"/>
      <c r="I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23'!S:S, ('Sprint 23'!Q:Q = ""mid-sprint"")))/3600,0),2)"),0.0)</f>
        <v>0</v>
      </c>
      <c r="D9" s="212">
        <f>IFERROR(__xludf.DUMMYFUNCTION("IFERROR(SUM(FILTER('Sprint 23'!O:O, (('Sprint 23'!J:J = ""Done"")) * ('Sprint 23'!Q:Q = ""mid-sprint""))),0)"),0.0)</f>
        <v>0</v>
      </c>
      <c r="E9" s="212">
        <f>IFERROR(__xludf.DUMMYFUNCTION("ROUND(IFERROR(SUM(FILTER('Sprint 23'!S:S, (('Sprint 23'!J:J = ""Done"")) * ('Sprint 23'!P:P = ""mid-sprint"")))/3600,0),2)"),0.0)</f>
        <v>0</v>
      </c>
      <c r="F9" s="225" t="s">
        <v>257</v>
      </c>
    </row>
    <row r="10" ht="22.5" customHeight="1">
      <c r="A10" s="218" t="s">
        <v>258</v>
      </c>
      <c r="B10" s="212">
        <f>IFERROR(__xludf.DUMMYFUNCTION("ROUND(IFERROR(SUM(FILTER('Sprint 23'!S:S, ('Sprint 23'!Q:Q = ""change-request"")))/3600,0),2)"),0.0)</f>
        <v>0</v>
      </c>
      <c r="D10" s="212">
        <f>IFERROR(__xludf.DUMMYFUNCTION("IFERROR(SUM(FILTER('Sprint 23'!O:O, (('Sprint 23'!J:J = ""Done"")) * ('Sprint 23'!Q:Q = ""change-request""))),0)"),0.0)</f>
        <v>0</v>
      </c>
      <c r="E10" s="212">
        <f>IFERROR(__xludf.DUMMYFUNCTION("ROUND(IFERROR(SUM(FILTER('Sprint 23'!S:S, (('Sprint 23'!J:J = ""Done"")) * ('Sprint 23'!Q:Q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23'!O:O, ('Sprint 23'!E:E = ""Aek:Atiphat Nanthachitvanich""))),0)"),22.0)</f>
        <v>22</v>
      </c>
      <c r="C12" s="223">
        <f>IFERROR(__xludf.DUMMYFUNCTION("ROUND(IFERROR(SUM(FILTER('Sprint 23'!S:S, ('Sprint 23'!E:E = ""Aek:Atiphat Nanthachitvanich"")))/3600,0),2)"),57.67)</f>
        <v>57.67</v>
      </c>
      <c r="D12" s="216">
        <f>IFERROR(__xludf.DUMMYFUNCTION("IFERROR(SUM(FILTER('Sprint 23'!O:O, (('Sprint 23'!J:J = ""Done"")) * ('Sprint 23'!E:E = ""Aek:Atiphat Nanthachitvanich""))),0)"),17.0)</f>
        <v>17</v>
      </c>
      <c r="E12" s="223">
        <f>IFERROR(__xludf.DUMMYFUNCTION("ROUND(IFERROR(SUM(FILTER('Sprint 23'!S:S, (('Sprint 23'!J:J = ""Done"")) * ('Sprint 23'!E:E = ""Aek:Atiphat Nanthachitvanich"")))/3600,0),2)"),41.67)</f>
        <v>41.67</v>
      </c>
      <c r="F12" s="224"/>
    </row>
    <row r="13" ht="22.5" customHeight="1">
      <c r="A13" s="218" t="s">
        <v>32</v>
      </c>
      <c r="B13" s="216">
        <f>IFERROR(__xludf.DUMMYFUNCTION("IFERROR(SUM(FILTER('Sprint 23'!O:O, ('Sprint 23'!E:E = ""A:Phongthorn""))),0)"),73.0)</f>
        <v>73</v>
      </c>
      <c r="C13" s="223">
        <f>IFERROR(__xludf.DUMMYFUNCTION("ROUND(IFERROR(SUM(FILTER('Sprint 23'!S:S, ('Sprint 23'!E:E = ""A:Phongthorn"")))/3600,0),2)"),202.0)</f>
        <v>202</v>
      </c>
      <c r="D13" s="216">
        <f>IFERROR(__xludf.DUMMYFUNCTION("IFERROR(SUM(FILTER('Sprint 23'!O:O, (('Sprint 23'!J:J = ""Done"")) * ('Sprint 23'!E:E = ""A:Phongthorn""))),0)"),13.0)</f>
        <v>13</v>
      </c>
      <c r="E13" s="223">
        <f>IFERROR(__xludf.DUMMYFUNCTION("ROUND(IFERROR(SUM(FILTER('Sprint 23'!S:S, (('Sprint 23'!J:J = ""Done"")) * ('Sprint 23'!E:E = ""A:Phongthorn"")))/3600,0),2)"),36.0)</f>
        <v>36</v>
      </c>
      <c r="F13" s="224"/>
    </row>
    <row r="14" ht="22.5" customHeight="1">
      <c r="A14" s="218" t="s">
        <v>72</v>
      </c>
      <c r="B14" s="216">
        <f>IFERROR(__xludf.DUMMYFUNCTION("IFERROR(SUM(FILTER('Sprint 23'!O:O, ('Sprint 23'!E:E = ""Aom: Pornsawan Polnyiem""))),0)"),33.0)</f>
        <v>33</v>
      </c>
      <c r="C14" s="223">
        <f>IFERROR(__xludf.DUMMYFUNCTION("ROUND(IFERROR(SUM(FILTER('Sprint 23'!S:S, ('Sprint 23'!E:E = ""Aom: Pornsawan Polnyiem"")))/3600,0),2)"),3.17)</f>
        <v>3.17</v>
      </c>
      <c r="D14" s="216">
        <f>IFERROR(__xludf.DUMMYFUNCTION("IFERROR(SUM(FILTER('Sprint 23'!O:O, (('Sprint 23'!J:J = ""Done"")) * ('Sprint 23'!E:E = ""Aom: Pornsawan Polnyiem""))),0)"),5.0)</f>
        <v>5</v>
      </c>
      <c r="E14" s="223">
        <f>IFERROR(__xludf.DUMMYFUNCTION("ROUND(IFERROR(SUM(FILTER('Sprint 23'!S:S, (('Sprint 23'!J:J = ""Done"")) * ('Sprint 23'!E:E = ""Aom: Pornsawan Polnyiem"")))/3600,0),2)"),3.17)</f>
        <v>3.17</v>
      </c>
      <c r="F14" s="224"/>
    </row>
    <row r="15" ht="22.5" customHeight="1">
      <c r="A15" s="218" t="s">
        <v>24</v>
      </c>
      <c r="B15" s="216">
        <f>IFERROR(__xludf.DUMMYFUNCTION("IFERROR(SUM(FILTER('Sprint 23'!O:O, ('Sprint 23'!E:E = ""Zan : Isarapong Bulan""))),0)"),27.0)</f>
        <v>27</v>
      </c>
      <c r="C15" s="223">
        <f>IFERROR(__xludf.DUMMYFUNCTION("ROUND(IFERROR(SUM(FILTER('Sprint 23'!S:S, ('Sprint 23'!E:E = ""Zan : Isarapong Bulan"")))/3600,0),2)"),0.0)</f>
        <v>0</v>
      </c>
      <c r="D15" s="216">
        <f>IFERROR(__xludf.DUMMYFUNCTION("IFERROR(SUM(FILTER('Sprint 23'!O:O, (('Sprint 23'!J:J = ""Done"")) * ('Sprint 23'!E:E = ""Zan : Isarapong Bulan""))),0)"),14.0)</f>
        <v>14</v>
      </c>
      <c r="E15" s="223">
        <f>IFERROR(__xludf.DUMMYFUNCTION("ROUND(IFERROR(SUM(FILTER('Sprint 23'!S:S, (('Sprint 23'!J:J = ""Done"")) * ('Sprint 23'!E:E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23'!O:O, ('Sprint 23'!E:E = ""Mai:Sateta Abvanawong""))),0)"),75.0)</f>
        <v>75</v>
      </c>
      <c r="C16" s="223">
        <f>IFERROR(__xludf.DUMMYFUNCTION("ROUND(IFERROR(SUM(FILTER('Sprint 23'!S:S, ('Sprint 23'!E:E = ""Mai:Sateta Abvanawong"")))/3600,0),2)"),150.0)</f>
        <v>150</v>
      </c>
      <c r="D16" s="216">
        <f>IFERROR(__xludf.DUMMYFUNCTION("IFERROR(SUM(FILTER('Sprint 23'!O:O, (('Sprint 23'!J:J = ""Done"")) * ('Sprint 23'!E:E = ""Mai:Sateta Abvanawong""))),0)"),9.0)</f>
        <v>9</v>
      </c>
      <c r="E16" s="223">
        <f>IFERROR(__xludf.DUMMYFUNCTION("ROUND(IFERROR(SUM(FILTER('Sprint 23'!S:S, (('Sprint 23'!J:J = ""Done"")) * ('Sprint 23'!E:E = ""Mai:Sateta Abvanawong""))),0)/3600,2)"),8.0)</f>
        <v>8</v>
      </c>
      <c r="F16" s="224"/>
    </row>
    <row r="17" ht="22.5" customHeight="1">
      <c r="A17" s="218" t="s">
        <v>74</v>
      </c>
      <c r="B17" s="216">
        <f>IFERROR(__xludf.DUMMYFUNCTION("IFERROR(SUM(FILTER('Sprint 23'!O:O, ('Sprint 23'!E:E = ""Mac: Jarupong Pawichpongkul""))),0)"),82.0)</f>
        <v>82</v>
      </c>
      <c r="C17" s="223">
        <f>IFERROR(__xludf.DUMMYFUNCTION("ROUND(IFERROR(SUM(FILTER('Sprint 23'!S:S, ('Sprint 23'!E:E = ""Mac: Jarupong Pawichpongkul"")))/3600,0),2)"),181.0)</f>
        <v>181</v>
      </c>
      <c r="D17" s="216">
        <f>IFERROR(__xludf.DUMMYFUNCTION("IFERROR(SUM(FILTER('Sprint 23'!O:O, (('Sprint 23'!J:J = ""Done"")) * ('Sprint 23'!E:E = ""Mac: Jarupong Pawichpongkul""))),0)"),4.0)</f>
        <v>4</v>
      </c>
      <c r="E17" s="223">
        <f>IFERROR(__xludf.DUMMYFUNCTION("ROUND(IFERROR(SUM(FILTER('Sprint 23'!S:S, (('Sprint 23'!J:J = ""Done"")) * ('Sprint 23'!E:E = ""Mac: 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23'!O:O, ('Sprint 23'!E:E = ""Moss : Kittapath Sangvikukit""))),0)"),62.0)</f>
        <v>62</v>
      </c>
      <c r="C18" s="223">
        <f>IFERROR(__xludf.DUMMYFUNCTION("ROUND(IFERROR(SUM(FILTER('Sprint 23'!S:S, ('Sprint 23'!E:E = ""Moss : Kittapath Sangvikukit"")))/3600,0),2)"),78.0)</f>
        <v>78</v>
      </c>
      <c r="D18" s="216">
        <f>IFERROR(__xludf.DUMMYFUNCTION("IFERROR(SUM(FILTER('Sprint 23'!O:O, (('Sprint 23'!J:J = ""Done"")) * ('Sprint 23'!E:E = ""Moss : Kittapath Sangvikukit""))),0)"),13.0)</f>
        <v>13</v>
      </c>
      <c r="E18" s="223">
        <f>IFERROR(__xludf.DUMMYFUNCTION("ROUND(IFERROR(SUM(FILTER('Sprint 23'!S:S, (('Sprint 23'!J:J = ""Done"")) * ('Sprint 23'!E:E = ""Moss : Kittapath Sangvikukit"")))/3600,0),2)"),28.0)</f>
        <v>28</v>
      </c>
      <c r="F18" s="224"/>
    </row>
    <row r="19" ht="22.5" customHeight="1">
      <c r="A19" s="218" t="s">
        <v>28</v>
      </c>
      <c r="B19" s="216">
        <f>IFERROR(__xludf.DUMMYFUNCTION("IFERROR(SUM(FILTER('Sprint 23'!O:O, ('Sprint 23'!E:E = ""Jack: Warin Kesorn""))),0)"),11.0)</f>
        <v>11</v>
      </c>
      <c r="C19" s="223">
        <f>IFERROR(__xludf.DUMMYFUNCTION("ROUND(IFERROR(SUM(FILTER('Sprint 23'!S:S, ('Sprint 23'!E:E = ""Jack: Warin Kesorn"")))/3600,0),2)"),0.0)</f>
        <v>0</v>
      </c>
      <c r="D19" s="216">
        <f>IFERROR(__xludf.DUMMYFUNCTION("IFERROR(SUM(FILTER('Sprint 23'!O:O, (('Sprint 23'!J:J = ""Done"")) * ('Sprint 23'!E:E = ""Jack: Warin Kesorn""))),0)"),11.0)</f>
        <v>11</v>
      </c>
      <c r="E19" s="223">
        <f>IFERROR(__xludf.DUMMYFUNCTION("ROUND(IFERROR(SUM(FILTER('Sprint 23'!S:S, (('Sprint 23'!J:J = ""Done"")) * ('Sprint 23'!E:E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23'!O:O, ('Sprint 23'!E:E = ""Nim : muthita munmueang""))),0)"),59.0)</f>
        <v>59</v>
      </c>
      <c r="C20" s="223">
        <f>IFERROR(__xludf.DUMMYFUNCTION("ROUND(IFERROR(SUM(FILTER('Sprint 23'!S:S, ('Sprint 23'!E:E = ""Nim : muthita munmueang"")))/3600,0),2)"),104.0)</f>
        <v>104</v>
      </c>
      <c r="D20" s="216">
        <f>IFERROR(__xludf.DUMMYFUNCTION("IFERROR(SUM(FILTER('Sprint 23'!O:O, (('Sprint 23'!J:J = ""Done"")) * ('Sprint 23'!E:E = ""Nim : muthita munmueang""))),0)"),3.0)</f>
        <v>3</v>
      </c>
      <c r="E20" s="223">
        <f>IFERROR(__xludf.DUMMYFUNCTION("ROUND(IFERROR(SUM(FILTER('Sprint 23'!S:S, (('Sprint 23'!J:J = ""Done"")) * ('Sprint 23'!E:E = ""Nim : muthita munmueang"")))/3600,0),2)"),32.0)</f>
        <v>32</v>
      </c>
      <c r="F20" s="224"/>
    </row>
    <row r="21" ht="22.5" customHeight="1">
      <c r="A21" s="221" t="s">
        <v>77</v>
      </c>
      <c r="B21" s="224">
        <f>IFERROR(__xludf.DUMMYFUNCTION("IFERROR(SUM(FILTER('Sprint 23'!O:O, ('Sprint 23'!E:E = ""Arm:Worawat Chotipongchoawalit""))),0)"),63.0)</f>
        <v>63</v>
      </c>
      <c r="C21" s="223">
        <f>IFERROR(__xludf.DUMMYFUNCTION("ROUND(IFERROR(SUM(FILTER('Sprint 23'!S:S, ('Sprint 23'!E:E = ""Arm:Worawat Chotipongchoawalit"")))/3600,0),2)"),0.0)</f>
        <v>0</v>
      </c>
      <c r="D21" s="216">
        <f>IFERROR(__xludf.DUMMYFUNCTION("IFERROR(SUM(FILTER('Sprint 23'!O:O, (('Sprint 23'!J:J = ""Done"")) * ('Sprint 23'!E:E = ""Arm:Worawat Chotipongchoawalit""))),0)"),5.0)</f>
        <v>5</v>
      </c>
      <c r="E21" s="223">
        <f>IFERROR(__xludf.DUMMYFUNCTION("ROUND(IFERROR(SUM(FILTER('Sprint 23'!S:S, (('Sprint 23'!J:J = ""Done"")) * ('Sprint 23'!E:E = ""Arm:Worawat Chotipongchoawalit"")))/3600,0),2)"),0.0)</f>
        <v>0</v>
      </c>
      <c r="F21" s="224"/>
    </row>
    <row r="22">
      <c r="C22" s="125"/>
    </row>
    <row r="23">
      <c r="C23" s="125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37" t="s">
        <v>2212</v>
      </c>
      <c r="J25" s="238" t="s">
        <v>2213</v>
      </c>
      <c r="K25" s="235"/>
    </row>
    <row r="26" ht="20.25" customHeight="1">
      <c r="A26" s="239" t="s">
        <v>2214</v>
      </c>
      <c r="B26" s="240" t="s">
        <v>30</v>
      </c>
      <c r="C26" s="240" t="s">
        <v>24</v>
      </c>
      <c r="D26" s="240" t="s">
        <v>72</v>
      </c>
      <c r="E26" s="240" t="s">
        <v>28</v>
      </c>
      <c r="F26" s="240" t="s">
        <v>32</v>
      </c>
      <c r="G26" s="240" t="s">
        <v>74</v>
      </c>
      <c r="H26" s="240" t="s">
        <v>73</v>
      </c>
      <c r="I26" s="240" t="s">
        <v>77</v>
      </c>
      <c r="J26" s="240" t="s">
        <v>75</v>
      </c>
      <c r="K26" s="240" t="s">
        <v>76</v>
      </c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>
      <c r="A27" s="101"/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>
      <c r="A28" s="101"/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ht="32.25" customHeight="1">
      <c r="A29" s="101"/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ht="22.5" customHeight="1">
      <c r="A30" s="101"/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>
      <c r="A31" s="101"/>
      <c r="B31" s="101"/>
      <c r="C31" s="99"/>
      <c r="D31" s="99"/>
      <c r="E31" s="99"/>
      <c r="F31" s="99"/>
      <c r="G31" s="99"/>
      <c r="H31" s="99"/>
      <c r="I31" s="99"/>
      <c r="J31" s="99"/>
      <c r="K31" s="99"/>
    </row>
    <row r="32" ht="21.0" customHeight="1">
      <c r="A32" s="101"/>
      <c r="B32" s="101"/>
      <c r="C32" s="99"/>
      <c r="D32" s="99"/>
      <c r="E32" s="99"/>
      <c r="F32" s="101"/>
      <c r="G32" s="99"/>
      <c r="H32" s="99"/>
      <c r="I32" s="99"/>
      <c r="J32" s="99"/>
      <c r="K32" s="99"/>
    </row>
    <row r="33">
      <c r="C33" s="125"/>
    </row>
    <row r="34">
      <c r="C34" s="125"/>
    </row>
    <row r="35">
      <c r="C35" s="125"/>
    </row>
    <row r="36">
      <c r="C36" s="125"/>
    </row>
    <row r="37">
      <c r="C37" s="125"/>
    </row>
    <row r="38">
      <c r="C38" s="125"/>
    </row>
    <row r="39">
      <c r="C39" s="125"/>
    </row>
    <row r="40">
      <c r="C40" s="125"/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</sheetData>
  <mergeCells count="3">
    <mergeCell ref="B25:E25"/>
    <mergeCell ref="F25:H25"/>
    <mergeCell ref="J25:K2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39" width="17.5"/>
    <col customWidth="1" min="40" max="40" width="21.38"/>
    <col customWidth="1" min="41" max="43" width="17.5"/>
    <col customWidth="1" min="44" max="44" width="21.25"/>
    <col customWidth="1" min="45" max="45" width="17.5"/>
    <col customWidth="1" min="46" max="46" width="21.25"/>
    <col customWidth="1" min="47" max="47" width="20.13"/>
    <col customWidth="1" min="48" max="48" width="21.25"/>
    <col customWidth="1" min="49" max="49" width="20.13"/>
    <col customWidth="1" min="50" max="50" width="21.25"/>
    <col customWidth="1" min="51" max="51" width="20.13"/>
    <col customWidth="1" min="53" max="53" width="17.5"/>
    <col customWidth="1" min="54" max="54" width="21.25"/>
    <col customWidth="1" min="55" max="55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02" t="s">
        <v>70</v>
      </c>
      <c r="U1" s="102" t="s">
        <v>70</v>
      </c>
      <c r="V1" s="102" t="s">
        <v>70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Q1" s="102"/>
      <c r="AR1" s="102"/>
      <c r="BL1" s="88"/>
      <c r="BM1" s="88"/>
    </row>
    <row r="2">
      <c r="A2" s="102" t="s">
        <v>276</v>
      </c>
      <c r="B2" s="102" t="s">
        <v>2357</v>
      </c>
      <c r="C2" s="229" t="s">
        <v>2358</v>
      </c>
      <c r="D2" s="102" t="s">
        <v>390</v>
      </c>
      <c r="E2" s="102" t="s">
        <v>391</v>
      </c>
      <c r="F2" s="102" t="s">
        <v>392</v>
      </c>
      <c r="G2" s="102" t="s">
        <v>391</v>
      </c>
      <c r="H2" s="102" t="s">
        <v>392</v>
      </c>
      <c r="I2" s="102" t="s">
        <v>284</v>
      </c>
      <c r="J2" s="102" t="s">
        <v>63</v>
      </c>
      <c r="L2" s="229" t="s">
        <v>2359</v>
      </c>
      <c r="M2" s="229" t="s">
        <v>2359</v>
      </c>
      <c r="O2" s="230"/>
      <c r="S2" s="230"/>
      <c r="T2" s="102" t="s">
        <v>2271</v>
      </c>
      <c r="U2" s="102" t="s">
        <v>2272</v>
      </c>
      <c r="V2" s="102" t="s">
        <v>2273</v>
      </c>
      <c r="W2" s="102" t="s">
        <v>2274</v>
      </c>
    </row>
    <row r="3">
      <c r="A3" s="102" t="s">
        <v>276</v>
      </c>
      <c r="B3" s="102" t="s">
        <v>2361</v>
      </c>
      <c r="C3" s="229" t="s">
        <v>2362</v>
      </c>
      <c r="D3" s="102" t="s">
        <v>398</v>
      </c>
      <c r="E3" s="102" t="s">
        <v>391</v>
      </c>
      <c r="F3" s="102" t="s">
        <v>392</v>
      </c>
      <c r="G3" s="102" t="s">
        <v>391</v>
      </c>
      <c r="H3" s="102" t="s">
        <v>392</v>
      </c>
      <c r="I3" s="102" t="s">
        <v>284</v>
      </c>
      <c r="J3" s="102" t="s">
        <v>26</v>
      </c>
      <c r="L3" s="229" t="s">
        <v>2363</v>
      </c>
      <c r="M3" s="229" t="s">
        <v>2364</v>
      </c>
      <c r="O3" s="230"/>
      <c r="S3" s="230"/>
      <c r="T3" s="102" t="s">
        <v>2271</v>
      </c>
      <c r="U3" s="102" t="s">
        <v>2272</v>
      </c>
      <c r="V3" s="102" t="s">
        <v>2273</v>
      </c>
      <c r="W3" s="102" t="s">
        <v>2274</v>
      </c>
    </row>
    <row r="4">
      <c r="A4" s="102" t="s">
        <v>310</v>
      </c>
      <c r="B4" s="102" t="s">
        <v>2578</v>
      </c>
      <c r="C4" s="229" t="s">
        <v>2579</v>
      </c>
      <c r="D4" s="102" t="s">
        <v>2580</v>
      </c>
      <c r="E4" s="102" t="s">
        <v>353</v>
      </c>
      <c r="F4" s="102" t="s">
        <v>354</v>
      </c>
      <c r="G4" s="102" t="s">
        <v>353</v>
      </c>
      <c r="H4" s="102" t="s">
        <v>354</v>
      </c>
      <c r="I4" s="102" t="s">
        <v>284</v>
      </c>
      <c r="J4" s="102" t="s">
        <v>63</v>
      </c>
      <c r="L4" s="229" t="s">
        <v>2581</v>
      </c>
      <c r="M4" s="229" t="s">
        <v>2581</v>
      </c>
      <c r="O4" s="102">
        <v>8.0</v>
      </c>
      <c r="S4" s="230"/>
      <c r="T4" s="102" t="s">
        <v>1155</v>
      </c>
    </row>
    <row r="5">
      <c r="A5" s="102" t="s">
        <v>310</v>
      </c>
      <c r="B5" s="102" t="s">
        <v>2582</v>
      </c>
      <c r="C5" s="229" t="s">
        <v>2583</v>
      </c>
      <c r="D5" s="102" t="s">
        <v>2584</v>
      </c>
      <c r="E5" s="102" t="s">
        <v>353</v>
      </c>
      <c r="F5" s="102" t="s">
        <v>354</v>
      </c>
      <c r="G5" s="102" t="s">
        <v>353</v>
      </c>
      <c r="H5" s="102" t="s">
        <v>354</v>
      </c>
      <c r="I5" s="102" t="s">
        <v>284</v>
      </c>
      <c r="J5" s="102" t="s">
        <v>26</v>
      </c>
      <c r="L5" s="229" t="s">
        <v>2585</v>
      </c>
      <c r="M5" s="229" t="s">
        <v>2586</v>
      </c>
      <c r="O5" s="102">
        <v>1.0</v>
      </c>
      <c r="S5" s="230"/>
      <c r="T5" s="102" t="s">
        <v>1155</v>
      </c>
    </row>
    <row r="6">
      <c r="A6" s="102" t="s">
        <v>310</v>
      </c>
      <c r="B6" s="102" t="s">
        <v>1857</v>
      </c>
      <c r="C6" s="229" t="s">
        <v>1858</v>
      </c>
      <c r="D6" s="102" t="s">
        <v>1859</v>
      </c>
      <c r="E6" s="102" t="s">
        <v>513</v>
      </c>
      <c r="F6" s="102" t="s">
        <v>514</v>
      </c>
      <c r="G6" s="102" t="s">
        <v>282</v>
      </c>
      <c r="H6" s="102" t="s">
        <v>283</v>
      </c>
      <c r="I6" s="102" t="s">
        <v>284</v>
      </c>
      <c r="J6" s="102" t="s">
        <v>34</v>
      </c>
      <c r="L6" s="229" t="s">
        <v>1860</v>
      </c>
      <c r="M6" s="229" t="s">
        <v>2587</v>
      </c>
      <c r="N6" s="229" t="s">
        <v>1862</v>
      </c>
      <c r="O6" s="102">
        <v>3.0</v>
      </c>
      <c r="S6" s="102">
        <v>28800.0</v>
      </c>
      <c r="T6" s="102" t="s">
        <v>299</v>
      </c>
    </row>
    <row r="7">
      <c r="A7" s="102" t="s">
        <v>310</v>
      </c>
      <c r="B7" s="102" t="s">
        <v>2588</v>
      </c>
      <c r="C7" s="229" t="s">
        <v>2589</v>
      </c>
      <c r="D7" s="102" t="s">
        <v>2590</v>
      </c>
      <c r="E7" s="102" t="s">
        <v>282</v>
      </c>
      <c r="F7" s="102" t="s">
        <v>283</v>
      </c>
      <c r="G7" s="102" t="s">
        <v>282</v>
      </c>
      <c r="H7" s="102" t="s">
        <v>283</v>
      </c>
      <c r="I7" s="102" t="s">
        <v>284</v>
      </c>
      <c r="J7" s="102" t="s">
        <v>26</v>
      </c>
      <c r="L7" s="229" t="s">
        <v>2591</v>
      </c>
      <c r="M7" s="229" t="s">
        <v>2592</v>
      </c>
      <c r="O7" s="102">
        <v>1.0</v>
      </c>
      <c r="S7" s="230"/>
      <c r="T7" s="102" t="s">
        <v>299</v>
      </c>
    </row>
    <row r="8">
      <c r="A8" s="102" t="s">
        <v>276</v>
      </c>
      <c r="B8" s="102" t="s">
        <v>2593</v>
      </c>
      <c r="C8" s="229" t="s">
        <v>2594</v>
      </c>
      <c r="D8" s="102" t="s">
        <v>2595</v>
      </c>
      <c r="E8" s="102" t="s">
        <v>521</v>
      </c>
      <c r="F8" s="102" t="s">
        <v>522</v>
      </c>
      <c r="G8" s="102" t="s">
        <v>521</v>
      </c>
      <c r="H8" s="102" t="s">
        <v>522</v>
      </c>
      <c r="I8" s="102" t="s">
        <v>284</v>
      </c>
      <c r="J8" s="102" t="s">
        <v>26</v>
      </c>
      <c r="L8" s="229" t="s">
        <v>2596</v>
      </c>
      <c r="M8" s="229" t="s">
        <v>2597</v>
      </c>
      <c r="O8" s="230"/>
      <c r="S8" s="230"/>
      <c r="T8" s="102" t="s">
        <v>2189</v>
      </c>
    </row>
    <row r="9">
      <c r="A9" s="102" t="s">
        <v>276</v>
      </c>
      <c r="B9" s="102" t="s">
        <v>2381</v>
      </c>
      <c r="C9" s="229" t="s">
        <v>2382</v>
      </c>
      <c r="D9" s="102" t="s">
        <v>279</v>
      </c>
      <c r="E9" s="102" t="s">
        <v>280</v>
      </c>
      <c r="F9" s="102" t="s">
        <v>281</v>
      </c>
      <c r="G9" s="102" t="s">
        <v>282</v>
      </c>
      <c r="H9" s="102" t="s">
        <v>283</v>
      </c>
      <c r="I9" s="102" t="s">
        <v>284</v>
      </c>
      <c r="J9" s="102" t="s">
        <v>63</v>
      </c>
      <c r="L9" s="229" t="s">
        <v>2383</v>
      </c>
      <c r="M9" s="229" t="s">
        <v>2383</v>
      </c>
      <c r="O9" s="230"/>
      <c r="S9" s="230"/>
      <c r="T9" s="102" t="s">
        <v>529</v>
      </c>
      <c r="U9" s="102" t="s">
        <v>298</v>
      </c>
      <c r="V9" s="102" t="s">
        <v>299</v>
      </c>
    </row>
    <row r="10">
      <c r="A10" s="102" t="s">
        <v>276</v>
      </c>
      <c r="B10" s="102" t="s">
        <v>2385</v>
      </c>
      <c r="C10" s="229" t="s">
        <v>2386</v>
      </c>
      <c r="D10" s="102" t="s">
        <v>291</v>
      </c>
      <c r="E10" s="102" t="s">
        <v>280</v>
      </c>
      <c r="F10" s="102" t="s">
        <v>281</v>
      </c>
      <c r="G10" s="102" t="s">
        <v>282</v>
      </c>
      <c r="H10" s="102" t="s">
        <v>283</v>
      </c>
      <c r="I10" s="102" t="s">
        <v>284</v>
      </c>
      <c r="J10" s="102" t="s">
        <v>63</v>
      </c>
      <c r="L10" s="229" t="s">
        <v>2383</v>
      </c>
      <c r="M10" s="229" t="s">
        <v>2383</v>
      </c>
      <c r="O10" s="230"/>
      <c r="S10" s="230"/>
      <c r="T10" s="102" t="s">
        <v>529</v>
      </c>
      <c r="U10" s="102" t="s">
        <v>298</v>
      </c>
      <c r="V10" s="102" t="s">
        <v>299</v>
      </c>
    </row>
    <row r="11">
      <c r="A11" s="102" t="s">
        <v>276</v>
      </c>
      <c r="B11" s="102" t="s">
        <v>2598</v>
      </c>
      <c r="C11" s="229" t="s">
        <v>2599</v>
      </c>
      <c r="D11" s="102" t="s">
        <v>279</v>
      </c>
      <c r="E11" s="102" t="s">
        <v>280</v>
      </c>
      <c r="F11" s="102" t="s">
        <v>281</v>
      </c>
      <c r="G11" s="102" t="s">
        <v>282</v>
      </c>
      <c r="H11" s="102" t="s">
        <v>283</v>
      </c>
      <c r="I11" s="102" t="s">
        <v>284</v>
      </c>
      <c r="J11" s="102" t="s">
        <v>63</v>
      </c>
      <c r="L11" s="229" t="s">
        <v>2383</v>
      </c>
      <c r="M11" s="229" t="s">
        <v>2383</v>
      </c>
      <c r="O11" s="230"/>
      <c r="S11" s="230"/>
      <c r="T11" s="102" t="s">
        <v>529</v>
      </c>
      <c r="U11" s="102" t="s">
        <v>298</v>
      </c>
      <c r="V11" s="102" t="s">
        <v>299</v>
      </c>
    </row>
    <row r="12">
      <c r="A12" s="102" t="s">
        <v>276</v>
      </c>
      <c r="B12" s="102" t="s">
        <v>2600</v>
      </c>
      <c r="C12" s="229" t="s">
        <v>2601</v>
      </c>
      <c r="D12" s="102" t="s">
        <v>291</v>
      </c>
      <c r="E12" s="102" t="s">
        <v>280</v>
      </c>
      <c r="F12" s="102" t="s">
        <v>281</v>
      </c>
      <c r="G12" s="102" t="s">
        <v>282</v>
      </c>
      <c r="H12" s="102" t="s">
        <v>283</v>
      </c>
      <c r="I12" s="102" t="s">
        <v>284</v>
      </c>
      <c r="J12" s="102" t="s">
        <v>63</v>
      </c>
      <c r="L12" s="229" t="s">
        <v>2383</v>
      </c>
      <c r="M12" s="229" t="s">
        <v>2383</v>
      </c>
      <c r="O12" s="230"/>
      <c r="S12" s="230"/>
      <c r="T12" s="102" t="s">
        <v>529</v>
      </c>
      <c r="U12" s="102" t="s">
        <v>298</v>
      </c>
      <c r="V12" s="102" t="s">
        <v>299</v>
      </c>
    </row>
    <row r="13">
      <c r="A13" s="102" t="s">
        <v>276</v>
      </c>
      <c r="B13" s="102" t="s">
        <v>2387</v>
      </c>
      <c r="C13" s="229" t="s">
        <v>2388</v>
      </c>
      <c r="D13" s="102" t="s">
        <v>279</v>
      </c>
      <c r="E13" s="102" t="s">
        <v>280</v>
      </c>
      <c r="F13" s="102" t="s">
        <v>281</v>
      </c>
      <c r="G13" s="102" t="s">
        <v>282</v>
      </c>
      <c r="H13" s="102" t="s">
        <v>283</v>
      </c>
      <c r="I13" s="102" t="s">
        <v>284</v>
      </c>
      <c r="J13" s="102" t="s">
        <v>63</v>
      </c>
      <c r="L13" s="229" t="s">
        <v>2383</v>
      </c>
      <c r="M13" s="229" t="s">
        <v>2383</v>
      </c>
      <c r="O13" s="230"/>
      <c r="S13" s="230"/>
      <c r="T13" s="102" t="s">
        <v>529</v>
      </c>
      <c r="U13" s="102" t="s">
        <v>298</v>
      </c>
      <c r="V13" s="102" t="s">
        <v>299</v>
      </c>
    </row>
    <row r="14">
      <c r="A14" s="102" t="s">
        <v>276</v>
      </c>
      <c r="B14" s="102" t="s">
        <v>2390</v>
      </c>
      <c r="C14" s="229" t="s">
        <v>2391</v>
      </c>
      <c r="D14" s="102" t="s">
        <v>291</v>
      </c>
      <c r="E14" s="102" t="s">
        <v>280</v>
      </c>
      <c r="F14" s="102" t="s">
        <v>281</v>
      </c>
      <c r="G14" s="102" t="s">
        <v>282</v>
      </c>
      <c r="H14" s="102" t="s">
        <v>283</v>
      </c>
      <c r="I14" s="102" t="s">
        <v>284</v>
      </c>
      <c r="J14" s="102" t="s">
        <v>63</v>
      </c>
      <c r="L14" s="229" t="s">
        <v>2383</v>
      </c>
      <c r="M14" s="229" t="s">
        <v>2383</v>
      </c>
      <c r="O14" s="230"/>
      <c r="S14" s="230"/>
      <c r="T14" s="102" t="s">
        <v>529</v>
      </c>
      <c r="U14" s="102" t="s">
        <v>298</v>
      </c>
      <c r="V14" s="102" t="s">
        <v>299</v>
      </c>
    </row>
    <row r="15">
      <c r="A15" s="102" t="s">
        <v>276</v>
      </c>
      <c r="B15" s="102" t="s">
        <v>2393</v>
      </c>
      <c r="C15" s="229" t="s">
        <v>2394</v>
      </c>
      <c r="D15" s="102" t="s">
        <v>279</v>
      </c>
      <c r="E15" s="102" t="s">
        <v>280</v>
      </c>
      <c r="F15" s="102" t="s">
        <v>281</v>
      </c>
      <c r="G15" s="102" t="s">
        <v>282</v>
      </c>
      <c r="H15" s="102" t="s">
        <v>283</v>
      </c>
      <c r="I15" s="102" t="s">
        <v>284</v>
      </c>
      <c r="J15" s="102" t="s">
        <v>63</v>
      </c>
      <c r="L15" s="229" t="s">
        <v>2383</v>
      </c>
      <c r="M15" s="229" t="s">
        <v>2383</v>
      </c>
      <c r="O15" s="230"/>
      <c r="S15" s="230"/>
      <c r="T15" s="102" t="s">
        <v>529</v>
      </c>
      <c r="U15" s="102" t="s">
        <v>298</v>
      </c>
      <c r="V15" s="102" t="s">
        <v>299</v>
      </c>
    </row>
    <row r="16">
      <c r="A16" s="102" t="s">
        <v>276</v>
      </c>
      <c r="B16" s="102" t="s">
        <v>2396</v>
      </c>
      <c r="C16" s="229" t="s">
        <v>2397</v>
      </c>
      <c r="D16" s="102" t="s">
        <v>291</v>
      </c>
      <c r="E16" s="102" t="s">
        <v>280</v>
      </c>
      <c r="F16" s="102" t="s">
        <v>281</v>
      </c>
      <c r="G16" s="102" t="s">
        <v>282</v>
      </c>
      <c r="H16" s="102" t="s">
        <v>283</v>
      </c>
      <c r="I16" s="102" t="s">
        <v>284</v>
      </c>
      <c r="J16" s="102" t="s">
        <v>26</v>
      </c>
      <c r="L16" s="229" t="s">
        <v>2383</v>
      </c>
      <c r="M16" s="229" t="s">
        <v>2398</v>
      </c>
      <c r="O16" s="230"/>
      <c r="S16" s="230"/>
      <c r="T16" s="102" t="s">
        <v>529</v>
      </c>
      <c r="U16" s="102" t="s">
        <v>298</v>
      </c>
      <c r="V16" s="102" t="s">
        <v>299</v>
      </c>
    </row>
    <row r="17">
      <c r="A17" s="102" t="s">
        <v>276</v>
      </c>
      <c r="B17" s="102" t="s">
        <v>2602</v>
      </c>
      <c r="C17" s="229" t="s">
        <v>2603</v>
      </c>
      <c r="D17" s="102" t="s">
        <v>279</v>
      </c>
      <c r="E17" s="102" t="s">
        <v>280</v>
      </c>
      <c r="F17" s="102" t="s">
        <v>281</v>
      </c>
      <c r="G17" s="102" t="s">
        <v>282</v>
      </c>
      <c r="H17" s="102" t="s">
        <v>283</v>
      </c>
      <c r="I17" s="102" t="s">
        <v>284</v>
      </c>
      <c r="J17" s="102" t="s">
        <v>26</v>
      </c>
      <c r="L17" s="229" t="s">
        <v>2604</v>
      </c>
      <c r="M17" s="229" t="s">
        <v>2604</v>
      </c>
      <c r="O17" s="230"/>
      <c r="S17" s="230"/>
      <c r="T17" s="102" t="s">
        <v>298</v>
      </c>
      <c r="U17" s="102" t="s">
        <v>299</v>
      </c>
    </row>
    <row r="18">
      <c r="A18" s="102" t="s">
        <v>276</v>
      </c>
      <c r="B18" s="102" t="s">
        <v>2605</v>
      </c>
      <c r="C18" s="229" t="s">
        <v>2606</v>
      </c>
      <c r="D18" s="102" t="s">
        <v>291</v>
      </c>
      <c r="E18" s="102" t="s">
        <v>280</v>
      </c>
      <c r="F18" s="102" t="s">
        <v>281</v>
      </c>
      <c r="G18" s="102" t="s">
        <v>282</v>
      </c>
      <c r="H18" s="102" t="s">
        <v>283</v>
      </c>
      <c r="I18" s="102" t="s">
        <v>284</v>
      </c>
      <c r="J18" s="102" t="s">
        <v>26</v>
      </c>
      <c r="L18" s="229" t="s">
        <v>2604</v>
      </c>
      <c r="M18" s="229" t="s">
        <v>2604</v>
      </c>
      <c r="O18" s="230"/>
      <c r="S18" s="230"/>
      <c r="T18" s="102" t="s">
        <v>298</v>
      </c>
      <c r="U18" s="102" t="s">
        <v>299</v>
      </c>
    </row>
    <row r="19">
      <c r="A19" s="102" t="s">
        <v>310</v>
      </c>
      <c r="B19" s="102" t="s">
        <v>2607</v>
      </c>
      <c r="C19" s="229" t="s">
        <v>2608</v>
      </c>
      <c r="D19" s="102" t="s">
        <v>2609</v>
      </c>
      <c r="E19" s="102" t="s">
        <v>282</v>
      </c>
      <c r="F19" s="102" t="s">
        <v>283</v>
      </c>
      <c r="G19" s="102" t="s">
        <v>316</v>
      </c>
      <c r="H19" s="102" t="s">
        <v>317</v>
      </c>
      <c r="I19" s="102" t="s">
        <v>284</v>
      </c>
      <c r="J19" s="102" t="s">
        <v>26</v>
      </c>
      <c r="L19" s="229" t="s">
        <v>2610</v>
      </c>
      <c r="M19" s="229" t="s">
        <v>2611</v>
      </c>
      <c r="N19" s="229" t="s">
        <v>1170</v>
      </c>
      <c r="O19" s="102">
        <v>1.0</v>
      </c>
      <c r="P19" s="102" t="s">
        <v>433</v>
      </c>
      <c r="Q19" s="102" t="s">
        <v>368</v>
      </c>
      <c r="S19" s="230"/>
      <c r="T19" s="102" t="s">
        <v>1155</v>
      </c>
    </row>
    <row r="20">
      <c r="A20" s="102" t="s">
        <v>310</v>
      </c>
      <c r="B20" s="102" t="s">
        <v>1867</v>
      </c>
      <c r="C20" s="229" t="s">
        <v>1868</v>
      </c>
      <c r="D20" s="102" t="s">
        <v>1869</v>
      </c>
      <c r="E20" s="102" t="s">
        <v>584</v>
      </c>
      <c r="F20" s="102" t="s">
        <v>585</v>
      </c>
      <c r="G20" s="102" t="s">
        <v>282</v>
      </c>
      <c r="H20" s="102" t="s">
        <v>283</v>
      </c>
      <c r="I20" s="102" t="s">
        <v>284</v>
      </c>
      <c r="J20" s="102" t="s">
        <v>454</v>
      </c>
      <c r="L20" s="229" t="s">
        <v>1870</v>
      </c>
      <c r="M20" s="229" t="s">
        <v>2612</v>
      </c>
      <c r="N20" s="229" t="s">
        <v>1170</v>
      </c>
      <c r="O20" s="102">
        <v>3.0</v>
      </c>
      <c r="S20" s="230"/>
      <c r="T20" s="102" t="s">
        <v>299</v>
      </c>
    </row>
    <row r="21">
      <c r="A21" s="102" t="s">
        <v>310</v>
      </c>
      <c r="B21" s="102" t="s">
        <v>1871</v>
      </c>
      <c r="C21" s="229" t="s">
        <v>1872</v>
      </c>
      <c r="D21" s="102" t="s">
        <v>1873</v>
      </c>
      <c r="E21" s="102" t="s">
        <v>495</v>
      </c>
      <c r="F21" s="102" t="s">
        <v>496</v>
      </c>
      <c r="G21" s="102" t="s">
        <v>304</v>
      </c>
      <c r="H21" s="102" t="s">
        <v>305</v>
      </c>
      <c r="I21" s="102" t="s">
        <v>284</v>
      </c>
      <c r="J21" s="102" t="s">
        <v>678</v>
      </c>
      <c r="L21" s="229" t="s">
        <v>1874</v>
      </c>
      <c r="M21" s="229" t="s">
        <v>2613</v>
      </c>
      <c r="N21" s="229" t="s">
        <v>1170</v>
      </c>
      <c r="O21" s="102">
        <v>5.0</v>
      </c>
      <c r="P21" s="102" t="s">
        <v>331</v>
      </c>
      <c r="S21" s="230"/>
      <c r="T21" s="102" t="s">
        <v>299</v>
      </c>
    </row>
    <row r="22">
      <c r="A22" s="102" t="s">
        <v>332</v>
      </c>
      <c r="B22" s="102" t="s">
        <v>2614</v>
      </c>
      <c r="C22" s="229" t="s">
        <v>2615</v>
      </c>
      <c r="D22" s="102" t="s">
        <v>2616</v>
      </c>
      <c r="E22" s="102" t="s">
        <v>328</v>
      </c>
      <c r="F22" s="102" t="s">
        <v>329</v>
      </c>
      <c r="G22" s="102" t="s">
        <v>280</v>
      </c>
      <c r="H22" s="102" t="s">
        <v>281</v>
      </c>
      <c r="I22" s="102" t="s">
        <v>284</v>
      </c>
      <c r="J22" s="102" t="s">
        <v>336</v>
      </c>
      <c r="L22" s="229" t="s">
        <v>2617</v>
      </c>
      <c r="M22" s="229" t="s">
        <v>2618</v>
      </c>
      <c r="N22" s="229" t="s">
        <v>1293</v>
      </c>
      <c r="O22" s="230"/>
      <c r="S22" s="230"/>
      <c r="T22" s="102" t="s">
        <v>299</v>
      </c>
    </row>
    <row r="23">
      <c r="A23" s="102" t="s">
        <v>332</v>
      </c>
      <c r="B23" s="102" t="s">
        <v>2619</v>
      </c>
      <c r="C23" s="229" t="s">
        <v>2620</v>
      </c>
      <c r="D23" s="102" t="s">
        <v>2621</v>
      </c>
      <c r="E23" s="102" t="s">
        <v>495</v>
      </c>
      <c r="F23" s="102" t="s">
        <v>496</v>
      </c>
      <c r="G23" s="102" t="s">
        <v>280</v>
      </c>
      <c r="H23" s="102" t="s">
        <v>281</v>
      </c>
      <c r="I23" s="102" t="s">
        <v>284</v>
      </c>
      <c r="J23" s="102" t="s">
        <v>336</v>
      </c>
      <c r="L23" s="229" t="s">
        <v>2622</v>
      </c>
      <c r="M23" s="229" t="s">
        <v>2623</v>
      </c>
      <c r="O23" s="230"/>
      <c r="S23" s="230"/>
      <c r="T23" s="102" t="s">
        <v>299</v>
      </c>
    </row>
    <row r="24">
      <c r="A24" s="102" t="s">
        <v>332</v>
      </c>
      <c r="B24" s="102" t="s">
        <v>2624</v>
      </c>
      <c r="C24" s="229" t="s">
        <v>2625</v>
      </c>
      <c r="D24" s="102" t="s">
        <v>2626</v>
      </c>
      <c r="E24" s="102" t="s">
        <v>495</v>
      </c>
      <c r="F24" s="102" t="s">
        <v>496</v>
      </c>
      <c r="G24" s="102" t="s">
        <v>280</v>
      </c>
      <c r="H24" s="102" t="s">
        <v>281</v>
      </c>
      <c r="I24" s="102" t="s">
        <v>284</v>
      </c>
      <c r="J24" s="102" t="s">
        <v>759</v>
      </c>
      <c r="L24" s="229" t="s">
        <v>2627</v>
      </c>
      <c r="M24" s="229" t="s">
        <v>2628</v>
      </c>
      <c r="O24" s="230"/>
      <c r="S24" s="230"/>
      <c r="T24" s="102" t="s">
        <v>299</v>
      </c>
    </row>
    <row r="25">
      <c r="A25" s="102" t="s">
        <v>276</v>
      </c>
      <c r="B25" s="102" t="s">
        <v>1080</v>
      </c>
      <c r="C25" s="229" t="s">
        <v>1081</v>
      </c>
      <c r="D25" s="102" t="s">
        <v>1082</v>
      </c>
      <c r="G25" s="102" t="s">
        <v>521</v>
      </c>
      <c r="H25" s="102" t="s">
        <v>522</v>
      </c>
      <c r="I25" s="102" t="s">
        <v>284</v>
      </c>
      <c r="J25" s="102" t="s">
        <v>63</v>
      </c>
      <c r="L25" s="229" t="s">
        <v>1083</v>
      </c>
      <c r="M25" s="229" t="s">
        <v>1083</v>
      </c>
      <c r="O25" s="230"/>
      <c r="S25" s="230"/>
      <c r="T25" s="102" t="s">
        <v>1085</v>
      </c>
      <c r="U25" s="102" t="s">
        <v>529</v>
      </c>
      <c r="V25" s="102" t="s">
        <v>298</v>
      </c>
      <c r="W25" s="102" t="s">
        <v>299</v>
      </c>
    </row>
    <row r="26">
      <c r="A26" s="102" t="s">
        <v>276</v>
      </c>
      <c r="B26" s="102" t="s">
        <v>1086</v>
      </c>
      <c r="C26" s="229" t="s">
        <v>1087</v>
      </c>
      <c r="D26" s="102" t="s">
        <v>1082</v>
      </c>
      <c r="G26" s="102" t="s">
        <v>521</v>
      </c>
      <c r="H26" s="102" t="s">
        <v>522</v>
      </c>
      <c r="I26" s="102" t="s">
        <v>284</v>
      </c>
      <c r="J26" s="102" t="s">
        <v>63</v>
      </c>
      <c r="L26" s="229" t="s">
        <v>1083</v>
      </c>
      <c r="M26" s="229" t="s">
        <v>1083</v>
      </c>
      <c r="O26" s="230"/>
      <c r="S26" s="230"/>
      <c r="T26" s="102" t="s">
        <v>1085</v>
      </c>
      <c r="U26" s="102" t="s">
        <v>529</v>
      </c>
      <c r="V26" s="102" t="s">
        <v>298</v>
      </c>
      <c r="W26" s="102" t="s">
        <v>299</v>
      </c>
    </row>
    <row r="27">
      <c r="A27" s="102" t="s">
        <v>276</v>
      </c>
      <c r="B27" s="102" t="s">
        <v>1088</v>
      </c>
      <c r="C27" s="229" t="s">
        <v>1089</v>
      </c>
      <c r="D27" s="102" t="s">
        <v>1082</v>
      </c>
      <c r="G27" s="102" t="s">
        <v>521</v>
      </c>
      <c r="H27" s="102" t="s">
        <v>522</v>
      </c>
      <c r="I27" s="102" t="s">
        <v>284</v>
      </c>
      <c r="J27" s="102" t="s">
        <v>63</v>
      </c>
      <c r="L27" s="229" t="s">
        <v>1083</v>
      </c>
      <c r="M27" s="229" t="s">
        <v>1083</v>
      </c>
      <c r="O27" s="230"/>
      <c r="S27" s="230"/>
      <c r="T27" s="102" t="s">
        <v>1085</v>
      </c>
      <c r="U27" s="102" t="s">
        <v>529</v>
      </c>
      <c r="V27" s="102" t="s">
        <v>298</v>
      </c>
      <c r="W27" s="102" t="s">
        <v>299</v>
      </c>
    </row>
    <row r="28">
      <c r="A28" s="102" t="s">
        <v>276</v>
      </c>
      <c r="B28" s="102" t="s">
        <v>1091</v>
      </c>
      <c r="C28" s="229" t="s">
        <v>1092</v>
      </c>
      <c r="D28" s="102" t="s">
        <v>1093</v>
      </c>
      <c r="E28" s="102" t="s">
        <v>521</v>
      </c>
      <c r="F28" s="102" t="s">
        <v>522</v>
      </c>
      <c r="G28" s="102" t="s">
        <v>521</v>
      </c>
      <c r="H28" s="102" t="s">
        <v>522</v>
      </c>
      <c r="I28" s="102" t="s">
        <v>284</v>
      </c>
      <c r="J28" s="102" t="s">
        <v>63</v>
      </c>
      <c r="L28" s="229" t="s">
        <v>1094</v>
      </c>
      <c r="M28" s="229" t="s">
        <v>2400</v>
      </c>
      <c r="O28" s="230"/>
      <c r="S28" s="230"/>
      <c r="T28" s="102" t="s">
        <v>1085</v>
      </c>
      <c r="U28" s="102" t="s">
        <v>529</v>
      </c>
      <c r="V28" s="102" t="s">
        <v>298</v>
      </c>
      <c r="W28" s="102" t="s">
        <v>299</v>
      </c>
    </row>
    <row r="29">
      <c r="A29" s="102" t="s">
        <v>276</v>
      </c>
      <c r="B29" s="102" t="s">
        <v>1096</v>
      </c>
      <c r="C29" s="229" t="s">
        <v>1097</v>
      </c>
      <c r="D29" s="102" t="s">
        <v>1098</v>
      </c>
      <c r="E29" s="102" t="s">
        <v>521</v>
      </c>
      <c r="F29" s="102" t="s">
        <v>522</v>
      </c>
      <c r="G29" s="102" t="s">
        <v>521</v>
      </c>
      <c r="H29" s="102" t="s">
        <v>522</v>
      </c>
      <c r="I29" s="102" t="s">
        <v>284</v>
      </c>
      <c r="J29" s="102" t="s">
        <v>63</v>
      </c>
      <c r="L29" s="229" t="s">
        <v>1099</v>
      </c>
      <c r="M29" s="229" t="s">
        <v>2401</v>
      </c>
      <c r="O29" s="230"/>
      <c r="S29" s="230"/>
      <c r="T29" s="102" t="s">
        <v>1085</v>
      </c>
      <c r="U29" s="102" t="s">
        <v>529</v>
      </c>
      <c r="V29" s="102" t="s">
        <v>298</v>
      </c>
      <c r="W29" s="102" t="s">
        <v>299</v>
      </c>
    </row>
    <row r="30">
      <c r="A30" s="102" t="s">
        <v>276</v>
      </c>
      <c r="B30" s="102" t="s">
        <v>1101</v>
      </c>
      <c r="C30" s="229" t="s">
        <v>1102</v>
      </c>
      <c r="D30" s="102" t="s">
        <v>1103</v>
      </c>
      <c r="E30" s="102" t="s">
        <v>521</v>
      </c>
      <c r="F30" s="102" t="s">
        <v>522</v>
      </c>
      <c r="G30" s="102" t="s">
        <v>521</v>
      </c>
      <c r="H30" s="102" t="s">
        <v>522</v>
      </c>
      <c r="I30" s="102" t="s">
        <v>284</v>
      </c>
      <c r="J30" s="102" t="s">
        <v>63</v>
      </c>
      <c r="L30" s="229" t="s">
        <v>1099</v>
      </c>
      <c r="M30" s="229" t="s">
        <v>2401</v>
      </c>
      <c r="O30" s="230"/>
      <c r="S30" s="230"/>
      <c r="T30" s="102" t="s">
        <v>1085</v>
      </c>
      <c r="U30" s="102" t="s">
        <v>529</v>
      </c>
      <c r="V30" s="102" t="s">
        <v>298</v>
      </c>
      <c r="W30" s="102" t="s">
        <v>299</v>
      </c>
    </row>
    <row r="31">
      <c r="A31" s="102" t="s">
        <v>276</v>
      </c>
      <c r="B31" s="102" t="s">
        <v>1104</v>
      </c>
      <c r="C31" s="229" t="s">
        <v>1105</v>
      </c>
      <c r="D31" s="102" t="s">
        <v>1082</v>
      </c>
      <c r="G31" s="102" t="s">
        <v>521</v>
      </c>
      <c r="H31" s="102" t="s">
        <v>522</v>
      </c>
      <c r="I31" s="102" t="s">
        <v>284</v>
      </c>
      <c r="J31" s="102" t="s">
        <v>63</v>
      </c>
      <c r="L31" s="229" t="s">
        <v>1106</v>
      </c>
      <c r="M31" s="229" t="s">
        <v>1106</v>
      </c>
      <c r="O31" s="230"/>
      <c r="S31" s="230"/>
      <c r="T31" s="102" t="s">
        <v>1085</v>
      </c>
      <c r="U31" s="102" t="s">
        <v>529</v>
      </c>
      <c r="V31" s="102" t="s">
        <v>298</v>
      </c>
      <c r="W31" s="102" t="s">
        <v>299</v>
      </c>
    </row>
    <row r="32">
      <c r="A32" s="102" t="s">
        <v>276</v>
      </c>
      <c r="B32" s="102" t="s">
        <v>1108</v>
      </c>
      <c r="C32" s="229" t="s">
        <v>1109</v>
      </c>
      <c r="D32" s="102" t="s">
        <v>1110</v>
      </c>
      <c r="E32" s="102" t="s">
        <v>521</v>
      </c>
      <c r="F32" s="102" t="s">
        <v>522</v>
      </c>
      <c r="G32" s="102" t="s">
        <v>521</v>
      </c>
      <c r="H32" s="102" t="s">
        <v>522</v>
      </c>
      <c r="I32" s="102" t="s">
        <v>284</v>
      </c>
      <c r="J32" s="102" t="s">
        <v>26</v>
      </c>
      <c r="L32" s="229" t="s">
        <v>1111</v>
      </c>
      <c r="M32" s="229" t="s">
        <v>1112</v>
      </c>
      <c r="O32" s="230"/>
      <c r="S32" s="230"/>
      <c r="T32" s="102" t="s">
        <v>1085</v>
      </c>
      <c r="U32" s="102" t="s">
        <v>529</v>
      </c>
      <c r="V32" s="102" t="s">
        <v>298</v>
      </c>
      <c r="W32" s="102" t="s">
        <v>299</v>
      </c>
    </row>
    <row r="33">
      <c r="A33" s="102" t="s">
        <v>310</v>
      </c>
      <c r="B33" s="102" t="s">
        <v>1875</v>
      </c>
      <c r="C33" s="229" t="s">
        <v>1876</v>
      </c>
      <c r="D33" s="102" t="s">
        <v>1877</v>
      </c>
      <c r="E33" s="102" t="s">
        <v>584</v>
      </c>
      <c r="F33" s="102" t="s">
        <v>585</v>
      </c>
      <c r="G33" s="102" t="s">
        <v>282</v>
      </c>
      <c r="H33" s="102" t="s">
        <v>283</v>
      </c>
      <c r="I33" s="102" t="s">
        <v>515</v>
      </c>
      <c r="J33" s="102" t="s">
        <v>678</v>
      </c>
      <c r="L33" s="229" t="s">
        <v>1878</v>
      </c>
      <c r="M33" s="229" t="s">
        <v>2629</v>
      </c>
      <c r="O33" s="102">
        <v>2.0</v>
      </c>
      <c r="S33" s="230"/>
      <c r="T33" s="102" t="s">
        <v>299</v>
      </c>
    </row>
    <row r="34">
      <c r="A34" s="102" t="s">
        <v>310</v>
      </c>
      <c r="B34" s="102" t="s">
        <v>2630</v>
      </c>
      <c r="C34" s="229" t="s">
        <v>2631</v>
      </c>
      <c r="D34" s="102" t="s">
        <v>2632</v>
      </c>
      <c r="E34" s="102" t="s">
        <v>513</v>
      </c>
      <c r="F34" s="102" t="s">
        <v>514</v>
      </c>
      <c r="G34" s="102" t="s">
        <v>314</v>
      </c>
      <c r="H34" s="102" t="s">
        <v>315</v>
      </c>
      <c r="I34" s="102" t="s">
        <v>284</v>
      </c>
      <c r="J34" s="102" t="s">
        <v>26</v>
      </c>
      <c r="L34" s="229" t="s">
        <v>2633</v>
      </c>
      <c r="M34" s="229" t="s">
        <v>2634</v>
      </c>
      <c r="N34" s="229" t="s">
        <v>1293</v>
      </c>
      <c r="O34" s="102">
        <v>3.0</v>
      </c>
      <c r="P34" s="102" t="s">
        <v>1305</v>
      </c>
      <c r="S34" s="102">
        <v>28800.0</v>
      </c>
      <c r="T34" s="102" t="s">
        <v>1150</v>
      </c>
    </row>
    <row r="35">
      <c r="A35" s="102" t="s">
        <v>276</v>
      </c>
      <c r="B35" s="102" t="s">
        <v>2635</v>
      </c>
      <c r="C35" s="229" t="s">
        <v>2636</v>
      </c>
      <c r="D35" s="102" t="s">
        <v>2637</v>
      </c>
      <c r="E35" s="102" t="s">
        <v>314</v>
      </c>
      <c r="F35" s="102" t="s">
        <v>315</v>
      </c>
      <c r="G35" s="102" t="s">
        <v>316</v>
      </c>
      <c r="H35" s="102" t="s">
        <v>317</v>
      </c>
      <c r="I35" s="102" t="s">
        <v>284</v>
      </c>
      <c r="J35" s="102" t="s">
        <v>26</v>
      </c>
      <c r="L35" s="229" t="s">
        <v>2638</v>
      </c>
      <c r="M35" s="229" t="s">
        <v>2639</v>
      </c>
      <c r="O35" s="230"/>
      <c r="S35" s="230"/>
      <c r="T35" s="102" t="s">
        <v>1155</v>
      </c>
    </row>
    <row r="36">
      <c r="A36" s="102" t="s">
        <v>276</v>
      </c>
      <c r="B36" s="102" t="s">
        <v>2640</v>
      </c>
      <c r="C36" s="229" t="s">
        <v>2641</v>
      </c>
      <c r="D36" s="102" t="s">
        <v>2642</v>
      </c>
      <c r="E36" s="102" t="s">
        <v>934</v>
      </c>
      <c r="F36" s="102" t="s">
        <v>935</v>
      </c>
      <c r="G36" s="102" t="s">
        <v>316</v>
      </c>
      <c r="H36" s="102" t="s">
        <v>317</v>
      </c>
      <c r="I36" s="102" t="s">
        <v>284</v>
      </c>
      <c r="J36" s="102" t="s">
        <v>26</v>
      </c>
      <c r="L36" s="229" t="s">
        <v>2643</v>
      </c>
      <c r="M36" s="229" t="s">
        <v>2644</v>
      </c>
      <c r="O36" s="230"/>
      <c r="S36" s="230"/>
      <c r="T36" s="102" t="s">
        <v>1155</v>
      </c>
    </row>
    <row r="37">
      <c r="A37" s="102" t="s">
        <v>276</v>
      </c>
      <c r="B37" s="102" t="s">
        <v>1879</v>
      </c>
      <c r="C37" s="229" t="s">
        <v>1880</v>
      </c>
      <c r="D37" s="102" t="s">
        <v>279</v>
      </c>
      <c r="E37" s="102" t="s">
        <v>280</v>
      </c>
      <c r="F37" s="102" t="s">
        <v>281</v>
      </c>
      <c r="G37" s="102" t="s">
        <v>282</v>
      </c>
      <c r="H37" s="102" t="s">
        <v>283</v>
      </c>
      <c r="I37" s="102" t="s">
        <v>284</v>
      </c>
      <c r="J37" s="102" t="s">
        <v>63</v>
      </c>
      <c r="L37" s="229" t="s">
        <v>1881</v>
      </c>
      <c r="M37" s="229" t="s">
        <v>1881</v>
      </c>
      <c r="O37" s="230"/>
      <c r="S37" s="230"/>
      <c r="T37" s="102" t="s">
        <v>299</v>
      </c>
    </row>
    <row r="38">
      <c r="A38" s="102" t="s">
        <v>276</v>
      </c>
      <c r="B38" s="102" t="s">
        <v>1883</v>
      </c>
      <c r="C38" s="229" t="s">
        <v>1884</v>
      </c>
      <c r="D38" s="102" t="s">
        <v>291</v>
      </c>
      <c r="E38" s="102" t="s">
        <v>280</v>
      </c>
      <c r="F38" s="102" t="s">
        <v>281</v>
      </c>
      <c r="G38" s="102" t="s">
        <v>282</v>
      </c>
      <c r="H38" s="102" t="s">
        <v>283</v>
      </c>
      <c r="I38" s="102" t="s">
        <v>284</v>
      </c>
      <c r="J38" s="102" t="s">
        <v>34</v>
      </c>
      <c r="L38" s="229" t="s">
        <v>1881</v>
      </c>
      <c r="M38" s="229" t="s">
        <v>1881</v>
      </c>
      <c r="O38" s="230"/>
      <c r="S38" s="230"/>
      <c r="T38" s="102" t="s">
        <v>299</v>
      </c>
    </row>
    <row r="39">
      <c r="A39" s="102" t="s">
        <v>310</v>
      </c>
      <c r="B39" s="102" t="s">
        <v>2645</v>
      </c>
      <c r="C39" s="229" t="s">
        <v>2646</v>
      </c>
      <c r="D39" s="102" t="s">
        <v>2647</v>
      </c>
      <c r="E39" s="102" t="s">
        <v>314</v>
      </c>
      <c r="F39" s="102" t="s">
        <v>315</v>
      </c>
      <c r="G39" s="102" t="s">
        <v>316</v>
      </c>
      <c r="H39" s="102" t="s">
        <v>317</v>
      </c>
      <c r="I39" s="102" t="s">
        <v>284</v>
      </c>
      <c r="J39" s="102" t="s">
        <v>26</v>
      </c>
      <c r="L39" s="229" t="s">
        <v>2648</v>
      </c>
      <c r="M39" s="229" t="s">
        <v>2649</v>
      </c>
      <c r="N39" s="229" t="s">
        <v>1139</v>
      </c>
      <c r="O39" s="102">
        <v>1.0</v>
      </c>
      <c r="P39" s="102" t="s">
        <v>322</v>
      </c>
      <c r="Q39" s="102" t="s">
        <v>367</v>
      </c>
      <c r="S39" s="102">
        <v>7200.0</v>
      </c>
      <c r="T39" s="102" t="s">
        <v>1155</v>
      </c>
    </row>
    <row r="40">
      <c r="A40" s="102" t="s">
        <v>276</v>
      </c>
      <c r="B40" s="102" t="s">
        <v>2403</v>
      </c>
      <c r="C40" s="229" t="s">
        <v>2404</v>
      </c>
      <c r="D40" s="102" t="s">
        <v>279</v>
      </c>
      <c r="E40" s="102" t="s">
        <v>280</v>
      </c>
      <c r="F40" s="102" t="s">
        <v>281</v>
      </c>
      <c r="G40" s="102" t="s">
        <v>304</v>
      </c>
      <c r="H40" s="102" t="s">
        <v>305</v>
      </c>
      <c r="I40" s="102" t="s">
        <v>284</v>
      </c>
      <c r="J40" s="102" t="s">
        <v>63</v>
      </c>
      <c r="L40" s="229" t="s">
        <v>2405</v>
      </c>
      <c r="M40" s="229" t="s">
        <v>2405</v>
      </c>
      <c r="O40" s="230"/>
      <c r="S40" s="230"/>
      <c r="T40" s="102" t="s">
        <v>299</v>
      </c>
    </row>
    <row r="41">
      <c r="A41" s="102" t="s">
        <v>276</v>
      </c>
      <c r="B41" s="102" t="s">
        <v>2407</v>
      </c>
      <c r="C41" s="229" t="s">
        <v>2408</v>
      </c>
      <c r="D41" s="102" t="s">
        <v>291</v>
      </c>
      <c r="E41" s="102" t="s">
        <v>280</v>
      </c>
      <c r="F41" s="102" t="s">
        <v>281</v>
      </c>
      <c r="G41" s="102" t="s">
        <v>304</v>
      </c>
      <c r="H41" s="102" t="s">
        <v>305</v>
      </c>
      <c r="I41" s="102" t="s">
        <v>284</v>
      </c>
      <c r="J41" s="102" t="s">
        <v>63</v>
      </c>
      <c r="L41" s="229" t="s">
        <v>2405</v>
      </c>
      <c r="M41" s="229" t="s">
        <v>2650</v>
      </c>
      <c r="O41" s="230"/>
      <c r="S41" s="230"/>
      <c r="T41" s="102" t="s">
        <v>299</v>
      </c>
    </row>
    <row r="42">
      <c r="A42" s="102" t="s">
        <v>310</v>
      </c>
      <c r="B42" s="102" t="s">
        <v>2651</v>
      </c>
      <c r="C42" s="229" t="s">
        <v>2652</v>
      </c>
      <c r="D42" s="102" t="s">
        <v>2653</v>
      </c>
      <c r="E42" s="102" t="s">
        <v>304</v>
      </c>
      <c r="F42" s="102" t="s">
        <v>305</v>
      </c>
      <c r="G42" s="102" t="s">
        <v>304</v>
      </c>
      <c r="H42" s="102" t="s">
        <v>305</v>
      </c>
      <c r="I42" s="102" t="s">
        <v>284</v>
      </c>
      <c r="J42" s="102" t="s">
        <v>26</v>
      </c>
      <c r="L42" s="229" t="s">
        <v>2654</v>
      </c>
      <c r="M42" s="229" t="s">
        <v>2655</v>
      </c>
      <c r="O42" s="102">
        <v>3.0</v>
      </c>
      <c r="P42" s="102" t="s">
        <v>27</v>
      </c>
      <c r="S42" s="230"/>
      <c r="T42" s="102" t="s">
        <v>2189</v>
      </c>
    </row>
    <row r="43">
      <c r="A43" s="102" t="s">
        <v>276</v>
      </c>
      <c r="B43" s="102" t="s">
        <v>1886</v>
      </c>
      <c r="C43" s="229" t="s">
        <v>1887</v>
      </c>
      <c r="D43" s="102" t="s">
        <v>279</v>
      </c>
      <c r="E43" s="102" t="s">
        <v>280</v>
      </c>
      <c r="F43" s="102" t="s">
        <v>281</v>
      </c>
      <c r="G43" s="102" t="s">
        <v>304</v>
      </c>
      <c r="H43" s="102" t="s">
        <v>305</v>
      </c>
      <c r="I43" s="102" t="s">
        <v>284</v>
      </c>
      <c r="J43" s="102" t="s">
        <v>34</v>
      </c>
      <c r="L43" s="229" t="s">
        <v>1888</v>
      </c>
      <c r="M43" s="229" t="s">
        <v>2409</v>
      </c>
      <c r="O43" s="230"/>
      <c r="S43" s="230"/>
      <c r="T43" s="102" t="s">
        <v>299</v>
      </c>
    </row>
    <row r="44">
      <c r="A44" s="102" t="s">
        <v>276</v>
      </c>
      <c r="B44" s="102" t="s">
        <v>1890</v>
      </c>
      <c r="C44" s="229" t="s">
        <v>1891</v>
      </c>
      <c r="D44" s="102" t="s">
        <v>291</v>
      </c>
      <c r="E44" s="102" t="s">
        <v>280</v>
      </c>
      <c r="F44" s="102" t="s">
        <v>281</v>
      </c>
      <c r="G44" s="102" t="s">
        <v>304</v>
      </c>
      <c r="H44" s="102" t="s">
        <v>305</v>
      </c>
      <c r="I44" s="102" t="s">
        <v>284</v>
      </c>
      <c r="J44" s="102" t="s">
        <v>26</v>
      </c>
      <c r="L44" s="229" t="s">
        <v>1888</v>
      </c>
      <c r="M44" s="229" t="s">
        <v>1892</v>
      </c>
      <c r="O44" s="230"/>
      <c r="S44" s="230"/>
      <c r="T44" s="102" t="s">
        <v>299</v>
      </c>
    </row>
    <row r="45">
      <c r="A45" s="102" t="s">
        <v>310</v>
      </c>
      <c r="B45" s="102" t="s">
        <v>2410</v>
      </c>
      <c r="C45" s="229" t="s">
        <v>2411</v>
      </c>
      <c r="D45" s="102" t="s">
        <v>2412</v>
      </c>
      <c r="E45" s="102" t="s">
        <v>495</v>
      </c>
      <c r="F45" s="102" t="s">
        <v>496</v>
      </c>
      <c r="G45" s="102" t="s">
        <v>304</v>
      </c>
      <c r="H45" s="102" t="s">
        <v>305</v>
      </c>
      <c r="I45" s="102" t="s">
        <v>284</v>
      </c>
      <c r="J45" s="102" t="s">
        <v>678</v>
      </c>
      <c r="L45" s="229" t="s">
        <v>2413</v>
      </c>
      <c r="M45" s="229" t="s">
        <v>2656</v>
      </c>
      <c r="N45" s="229" t="s">
        <v>1170</v>
      </c>
      <c r="O45" s="102">
        <v>1.0</v>
      </c>
      <c r="P45" s="102" t="s">
        <v>777</v>
      </c>
      <c r="S45" s="102">
        <v>7200.0</v>
      </c>
      <c r="T45" s="102" t="s">
        <v>299</v>
      </c>
    </row>
    <row r="46">
      <c r="A46" s="102" t="s">
        <v>310</v>
      </c>
      <c r="B46" s="102" t="s">
        <v>1894</v>
      </c>
      <c r="C46" s="229" t="s">
        <v>1895</v>
      </c>
      <c r="D46" s="102" t="s">
        <v>1896</v>
      </c>
      <c r="E46" s="102" t="s">
        <v>495</v>
      </c>
      <c r="F46" s="102" t="s">
        <v>496</v>
      </c>
      <c r="G46" s="102" t="s">
        <v>304</v>
      </c>
      <c r="H46" s="102" t="s">
        <v>305</v>
      </c>
      <c r="I46" s="102" t="s">
        <v>284</v>
      </c>
      <c r="J46" s="102" t="s">
        <v>454</v>
      </c>
      <c r="L46" s="229" t="s">
        <v>1897</v>
      </c>
      <c r="M46" s="229" t="s">
        <v>2657</v>
      </c>
      <c r="N46" s="229" t="s">
        <v>1170</v>
      </c>
      <c r="O46" s="102">
        <v>2.0</v>
      </c>
      <c r="P46" s="102" t="s">
        <v>331</v>
      </c>
      <c r="S46" s="102">
        <v>7200.0</v>
      </c>
      <c r="T46" s="102" t="s">
        <v>299</v>
      </c>
    </row>
    <row r="47">
      <c r="A47" s="102" t="s">
        <v>310</v>
      </c>
      <c r="B47" s="102" t="s">
        <v>2658</v>
      </c>
      <c r="C47" s="229" t="s">
        <v>2659</v>
      </c>
      <c r="D47" s="102" t="s">
        <v>2660</v>
      </c>
      <c r="E47" s="102" t="s">
        <v>353</v>
      </c>
      <c r="F47" s="102" t="s">
        <v>354</v>
      </c>
      <c r="G47" s="102" t="s">
        <v>353</v>
      </c>
      <c r="H47" s="102" t="s">
        <v>354</v>
      </c>
      <c r="I47" s="102" t="s">
        <v>284</v>
      </c>
      <c r="J47" s="102" t="s">
        <v>26</v>
      </c>
      <c r="L47" s="229" t="s">
        <v>2661</v>
      </c>
      <c r="M47" s="229" t="s">
        <v>2662</v>
      </c>
      <c r="N47" s="229" t="s">
        <v>1139</v>
      </c>
      <c r="O47" s="230"/>
      <c r="S47" s="230"/>
      <c r="T47" s="102" t="s">
        <v>1155</v>
      </c>
    </row>
    <row r="48">
      <c r="A48" s="102" t="s">
        <v>310</v>
      </c>
      <c r="B48" s="102" t="s">
        <v>2663</v>
      </c>
      <c r="C48" s="229" t="s">
        <v>2664</v>
      </c>
      <c r="D48" s="102" t="s">
        <v>2665</v>
      </c>
      <c r="E48" s="102" t="s">
        <v>353</v>
      </c>
      <c r="F48" s="102" t="s">
        <v>354</v>
      </c>
      <c r="G48" s="102" t="s">
        <v>314</v>
      </c>
      <c r="H48" s="102" t="s">
        <v>315</v>
      </c>
      <c r="I48" s="102" t="s">
        <v>284</v>
      </c>
      <c r="J48" s="102" t="s">
        <v>26</v>
      </c>
      <c r="L48" s="229" t="s">
        <v>2666</v>
      </c>
      <c r="M48" s="229" t="s">
        <v>2667</v>
      </c>
      <c r="N48" s="229" t="s">
        <v>1139</v>
      </c>
      <c r="O48" s="102">
        <v>5.0</v>
      </c>
      <c r="P48" s="102" t="s">
        <v>2668</v>
      </c>
      <c r="Q48" s="102" t="s">
        <v>593</v>
      </c>
      <c r="S48" s="230"/>
      <c r="T48" s="102" t="s">
        <v>1155</v>
      </c>
    </row>
    <row r="49">
      <c r="A49" s="102" t="s">
        <v>310</v>
      </c>
      <c r="B49" s="102" t="s">
        <v>2417</v>
      </c>
      <c r="C49" s="229" t="s">
        <v>2418</v>
      </c>
      <c r="D49" s="102" t="s">
        <v>2419</v>
      </c>
      <c r="E49" s="102" t="s">
        <v>328</v>
      </c>
      <c r="F49" s="102" t="s">
        <v>329</v>
      </c>
      <c r="G49" s="102" t="s">
        <v>282</v>
      </c>
      <c r="H49" s="102" t="s">
        <v>283</v>
      </c>
      <c r="I49" s="102" t="s">
        <v>284</v>
      </c>
      <c r="J49" s="102" t="s">
        <v>454</v>
      </c>
      <c r="L49" s="229" t="s">
        <v>2420</v>
      </c>
      <c r="M49" s="229" t="s">
        <v>2669</v>
      </c>
      <c r="O49" s="102">
        <v>1.0</v>
      </c>
      <c r="S49" s="230"/>
      <c r="T49" s="102" t="s">
        <v>299</v>
      </c>
    </row>
    <row r="50">
      <c r="A50" s="102" t="s">
        <v>332</v>
      </c>
      <c r="B50" s="102" t="s">
        <v>2670</v>
      </c>
      <c r="C50" s="229" t="s">
        <v>2671</v>
      </c>
      <c r="D50" s="102" t="s">
        <v>2672</v>
      </c>
      <c r="E50" s="102" t="s">
        <v>304</v>
      </c>
      <c r="F50" s="102" t="s">
        <v>305</v>
      </c>
      <c r="G50" s="102" t="s">
        <v>304</v>
      </c>
      <c r="H50" s="102" t="s">
        <v>305</v>
      </c>
      <c r="I50" s="102" t="s">
        <v>284</v>
      </c>
      <c r="J50" s="102" t="s">
        <v>922</v>
      </c>
      <c r="L50" s="229" t="s">
        <v>2673</v>
      </c>
      <c r="M50" s="229" t="s">
        <v>2655</v>
      </c>
      <c r="N50" s="229" t="s">
        <v>1893</v>
      </c>
      <c r="O50" s="230"/>
      <c r="P50" s="102" t="s">
        <v>27</v>
      </c>
      <c r="S50" s="230"/>
      <c r="T50" s="102" t="s">
        <v>2189</v>
      </c>
    </row>
    <row r="51">
      <c r="A51" s="102" t="s">
        <v>310</v>
      </c>
      <c r="B51" s="102" t="s">
        <v>1898</v>
      </c>
      <c r="C51" s="229" t="s">
        <v>1899</v>
      </c>
      <c r="D51" s="102" t="s">
        <v>1900</v>
      </c>
      <c r="E51" s="102" t="s">
        <v>584</v>
      </c>
      <c r="F51" s="102" t="s">
        <v>585</v>
      </c>
      <c r="G51" s="102" t="s">
        <v>282</v>
      </c>
      <c r="H51" s="102" t="s">
        <v>283</v>
      </c>
      <c r="I51" s="102" t="s">
        <v>284</v>
      </c>
      <c r="J51" s="102" t="s">
        <v>678</v>
      </c>
      <c r="L51" s="229" t="s">
        <v>1901</v>
      </c>
      <c r="M51" s="229" t="s">
        <v>2674</v>
      </c>
      <c r="O51" s="102">
        <v>1.0</v>
      </c>
      <c r="S51" s="230"/>
      <c r="T51" s="102" t="s">
        <v>299</v>
      </c>
    </row>
    <row r="52">
      <c r="A52" s="102" t="s">
        <v>310</v>
      </c>
      <c r="B52" s="102" t="s">
        <v>1122</v>
      </c>
      <c r="C52" s="229" t="s">
        <v>1123</v>
      </c>
      <c r="D52" s="102" t="s">
        <v>1124</v>
      </c>
      <c r="E52" s="102" t="s">
        <v>328</v>
      </c>
      <c r="F52" s="102" t="s">
        <v>329</v>
      </c>
      <c r="G52" s="102" t="s">
        <v>282</v>
      </c>
      <c r="H52" s="102" t="s">
        <v>283</v>
      </c>
      <c r="I52" s="102" t="s">
        <v>284</v>
      </c>
      <c r="J52" s="102" t="s">
        <v>454</v>
      </c>
      <c r="L52" s="229" t="s">
        <v>1125</v>
      </c>
      <c r="M52" s="229" t="s">
        <v>2675</v>
      </c>
      <c r="N52" s="229" t="s">
        <v>1126</v>
      </c>
      <c r="O52" s="102">
        <v>1.0</v>
      </c>
      <c r="S52" s="230"/>
      <c r="T52" s="102" t="s">
        <v>299</v>
      </c>
    </row>
    <row r="53">
      <c r="A53" s="102" t="s">
        <v>310</v>
      </c>
      <c r="B53" s="102" t="s">
        <v>1127</v>
      </c>
      <c r="C53" s="229" t="s">
        <v>1128</v>
      </c>
      <c r="D53" s="102" t="s">
        <v>1129</v>
      </c>
      <c r="E53" s="102" t="s">
        <v>328</v>
      </c>
      <c r="F53" s="102" t="s">
        <v>329</v>
      </c>
      <c r="G53" s="102" t="s">
        <v>282</v>
      </c>
      <c r="H53" s="102" t="s">
        <v>283</v>
      </c>
      <c r="I53" s="102" t="s">
        <v>284</v>
      </c>
      <c r="J53" s="102" t="s">
        <v>454</v>
      </c>
      <c r="L53" s="229" t="s">
        <v>1125</v>
      </c>
      <c r="M53" s="229" t="s">
        <v>2675</v>
      </c>
      <c r="N53" s="229" t="s">
        <v>1126</v>
      </c>
      <c r="O53" s="102">
        <v>2.0</v>
      </c>
      <c r="S53" s="230"/>
      <c r="T53" s="102" t="s">
        <v>299</v>
      </c>
    </row>
    <row r="54">
      <c r="A54" s="102" t="s">
        <v>310</v>
      </c>
      <c r="B54" s="102" t="s">
        <v>1130</v>
      </c>
      <c r="C54" s="229" t="s">
        <v>1131</v>
      </c>
      <c r="D54" s="102" t="s">
        <v>1132</v>
      </c>
      <c r="E54" s="102" t="s">
        <v>513</v>
      </c>
      <c r="F54" s="102" t="s">
        <v>514</v>
      </c>
      <c r="G54" s="102" t="s">
        <v>282</v>
      </c>
      <c r="H54" s="102" t="s">
        <v>283</v>
      </c>
      <c r="I54" s="102" t="s">
        <v>284</v>
      </c>
      <c r="J54" s="102" t="s">
        <v>678</v>
      </c>
      <c r="L54" s="229" t="s">
        <v>1133</v>
      </c>
      <c r="M54" s="229" t="s">
        <v>2676</v>
      </c>
      <c r="N54" s="229" t="s">
        <v>1134</v>
      </c>
      <c r="O54" s="102">
        <v>3.0</v>
      </c>
      <c r="S54" s="230"/>
      <c r="T54" s="102" t="s">
        <v>299</v>
      </c>
    </row>
    <row r="55">
      <c r="A55" s="102" t="s">
        <v>310</v>
      </c>
      <c r="B55" s="102" t="s">
        <v>1135</v>
      </c>
      <c r="C55" s="229" t="s">
        <v>1136</v>
      </c>
      <c r="D55" s="102" t="s">
        <v>1137</v>
      </c>
      <c r="E55" s="102" t="s">
        <v>513</v>
      </c>
      <c r="F55" s="102" t="s">
        <v>514</v>
      </c>
      <c r="G55" s="102" t="s">
        <v>282</v>
      </c>
      <c r="H55" s="102" t="s">
        <v>283</v>
      </c>
      <c r="I55" s="102" t="s">
        <v>284</v>
      </c>
      <c r="J55" s="102" t="s">
        <v>678</v>
      </c>
      <c r="L55" s="229" t="s">
        <v>1138</v>
      </c>
      <c r="M55" s="229" t="s">
        <v>2677</v>
      </c>
      <c r="N55" s="229" t="s">
        <v>1139</v>
      </c>
      <c r="O55" s="102">
        <v>3.0</v>
      </c>
      <c r="S55" s="230"/>
      <c r="T55" s="102" t="s">
        <v>299</v>
      </c>
    </row>
    <row r="56">
      <c r="A56" s="102" t="s">
        <v>310</v>
      </c>
      <c r="B56" s="102" t="s">
        <v>1140</v>
      </c>
      <c r="C56" s="229" t="s">
        <v>1141</v>
      </c>
      <c r="D56" s="102" t="s">
        <v>1142</v>
      </c>
      <c r="E56" s="102" t="s">
        <v>328</v>
      </c>
      <c r="F56" s="102" t="s">
        <v>329</v>
      </c>
      <c r="G56" s="102" t="s">
        <v>282</v>
      </c>
      <c r="H56" s="102" t="s">
        <v>283</v>
      </c>
      <c r="I56" s="102" t="s">
        <v>284</v>
      </c>
      <c r="J56" s="102" t="s">
        <v>454</v>
      </c>
      <c r="L56" s="229" t="s">
        <v>1143</v>
      </c>
      <c r="M56" s="229" t="s">
        <v>2678</v>
      </c>
      <c r="N56" s="229" t="s">
        <v>1144</v>
      </c>
      <c r="O56" s="102">
        <v>3.0</v>
      </c>
      <c r="S56" s="230"/>
      <c r="T56" s="102" t="s">
        <v>299</v>
      </c>
    </row>
    <row r="57">
      <c r="A57" s="102" t="s">
        <v>310</v>
      </c>
      <c r="B57" s="102" t="s">
        <v>2679</v>
      </c>
      <c r="C57" s="229" t="s">
        <v>2680</v>
      </c>
      <c r="D57" s="102" t="s">
        <v>2681</v>
      </c>
      <c r="E57" s="102" t="s">
        <v>513</v>
      </c>
      <c r="F57" s="102" t="s">
        <v>514</v>
      </c>
      <c r="G57" s="102" t="s">
        <v>314</v>
      </c>
      <c r="H57" s="102" t="s">
        <v>315</v>
      </c>
      <c r="I57" s="102" t="s">
        <v>284</v>
      </c>
      <c r="J57" s="102" t="s">
        <v>34</v>
      </c>
      <c r="L57" s="229" t="s">
        <v>2682</v>
      </c>
      <c r="M57" s="229" t="s">
        <v>2683</v>
      </c>
      <c r="N57" s="229" t="s">
        <v>1139</v>
      </c>
      <c r="O57" s="102">
        <v>5.0</v>
      </c>
      <c r="S57" s="102">
        <v>86400.0</v>
      </c>
      <c r="T57" s="102" t="s">
        <v>299</v>
      </c>
    </row>
    <row r="58">
      <c r="A58" s="102" t="s">
        <v>332</v>
      </c>
      <c r="B58" s="102" t="s">
        <v>2684</v>
      </c>
      <c r="C58" s="229" t="s">
        <v>2685</v>
      </c>
      <c r="D58" s="102" t="s">
        <v>2686</v>
      </c>
      <c r="E58" s="102" t="s">
        <v>495</v>
      </c>
      <c r="F58" s="102" t="s">
        <v>496</v>
      </c>
      <c r="G58" s="102" t="s">
        <v>280</v>
      </c>
      <c r="H58" s="102" t="s">
        <v>281</v>
      </c>
      <c r="I58" s="102" t="s">
        <v>284</v>
      </c>
      <c r="J58" s="102" t="s">
        <v>336</v>
      </c>
      <c r="L58" s="229" t="s">
        <v>2687</v>
      </c>
      <c r="M58" s="229" t="s">
        <v>2688</v>
      </c>
      <c r="O58" s="230"/>
      <c r="S58" s="230"/>
      <c r="T58" s="102" t="s">
        <v>299</v>
      </c>
    </row>
    <row r="59">
      <c r="A59" s="102" t="s">
        <v>310</v>
      </c>
      <c r="B59" s="102" t="s">
        <v>2689</v>
      </c>
      <c r="C59" s="229" t="s">
        <v>2690</v>
      </c>
      <c r="D59" s="102" t="s">
        <v>2691</v>
      </c>
      <c r="E59" s="102" t="s">
        <v>353</v>
      </c>
      <c r="F59" s="102" t="s">
        <v>354</v>
      </c>
      <c r="G59" s="102" t="s">
        <v>316</v>
      </c>
      <c r="H59" s="102" t="s">
        <v>317</v>
      </c>
      <c r="I59" s="102" t="s">
        <v>284</v>
      </c>
      <c r="J59" s="102" t="s">
        <v>26</v>
      </c>
      <c r="L59" s="229" t="s">
        <v>2692</v>
      </c>
      <c r="M59" s="229" t="s">
        <v>2693</v>
      </c>
      <c r="N59" s="229" t="s">
        <v>1862</v>
      </c>
      <c r="O59" s="230"/>
      <c r="P59" s="102" t="s">
        <v>2694</v>
      </c>
      <c r="S59" s="230"/>
      <c r="T59" s="102" t="s">
        <v>1155</v>
      </c>
    </row>
    <row r="60">
      <c r="A60" s="102" t="s">
        <v>332</v>
      </c>
      <c r="B60" s="102" t="s">
        <v>2695</v>
      </c>
      <c r="C60" s="229" t="s">
        <v>2696</v>
      </c>
      <c r="D60" s="102" t="s">
        <v>2697</v>
      </c>
      <c r="E60" s="102" t="s">
        <v>304</v>
      </c>
      <c r="F60" s="102" t="s">
        <v>305</v>
      </c>
      <c r="G60" s="102" t="s">
        <v>316</v>
      </c>
      <c r="H60" s="102" t="s">
        <v>317</v>
      </c>
      <c r="I60" s="102" t="s">
        <v>284</v>
      </c>
      <c r="J60" s="102" t="s">
        <v>336</v>
      </c>
      <c r="L60" s="229" t="s">
        <v>2698</v>
      </c>
      <c r="M60" s="229" t="s">
        <v>2699</v>
      </c>
      <c r="N60" s="229" t="s">
        <v>1862</v>
      </c>
      <c r="O60" s="230"/>
      <c r="P60" s="102" t="s">
        <v>27</v>
      </c>
      <c r="Q60" s="102" t="s">
        <v>783</v>
      </c>
      <c r="S60" s="230"/>
      <c r="T60" s="102" t="s">
        <v>1155</v>
      </c>
    </row>
    <row r="61">
      <c r="A61" s="102" t="s">
        <v>310</v>
      </c>
      <c r="B61" s="102" t="s">
        <v>2700</v>
      </c>
      <c r="C61" s="229" t="s">
        <v>2701</v>
      </c>
      <c r="D61" s="102" t="s">
        <v>2702</v>
      </c>
      <c r="E61" s="102" t="s">
        <v>282</v>
      </c>
      <c r="F61" s="102" t="s">
        <v>283</v>
      </c>
      <c r="G61" s="102" t="s">
        <v>362</v>
      </c>
      <c r="H61" s="102" t="s">
        <v>363</v>
      </c>
      <c r="I61" s="102" t="s">
        <v>318</v>
      </c>
      <c r="J61" s="102" t="s">
        <v>26</v>
      </c>
      <c r="L61" s="229" t="s">
        <v>2703</v>
      </c>
      <c r="M61" s="229" t="s">
        <v>2704</v>
      </c>
      <c r="N61" s="229" t="s">
        <v>1165</v>
      </c>
      <c r="O61" s="102">
        <v>1.0</v>
      </c>
      <c r="S61" s="102">
        <v>600.0</v>
      </c>
      <c r="T61" s="102" t="s">
        <v>1155</v>
      </c>
    </row>
    <row r="62">
      <c r="A62" s="102" t="s">
        <v>310</v>
      </c>
      <c r="B62" s="102" t="s">
        <v>2705</v>
      </c>
      <c r="C62" s="229" t="s">
        <v>2706</v>
      </c>
      <c r="D62" s="102" t="s">
        <v>2707</v>
      </c>
      <c r="E62" s="102" t="s">
        <v>513</v>
      </c>
      <c r="F62" s="102" t="s">
        <v>514</v>
      </c>
      <c r="G62" s="102" t="s">
        <v>314</v>
      </c>
      <c r="H62" s="102" t="s">
        <v>315</v>
      </c>
      <c r="I62" s="102" t="s">
        <v>284</v>
      </c>
      <c r="J62" s="102" t="s">
        <v>355</v>
      </c>
      <c r="L62" s="229" t="s">
        <v>2708</v>
      </c>
      <c r="M62" s="229" t="s">
        <v>2709</v>
      </c>
      <c r="N62" s="229" t="s">
        <v>1160</v>
      </c>
      <c r="O62" s="102">
        <v>2.0</v>
      </c>
      <c r="S62" s="102">
        <v>14400.0</v>
      </c>
      <c r="T62" s="102" t="s">
        <v>299</v>
      </c>
    </row>
    <row r="63">
      <c r="A63" s="102" t="s">
        <v>310</v>
      </c>
      <c r="B63" s="102" t="s">
        <v>2710</v>
      </c>
      <c r="C63" s="229" t="s">
        <v>2711</v>
      </c>
      <c r="D63" s="102" t="s">
        <v>2305</v>
      </c>
      <c r="E63" s="102" t="s">
        <v>282</v>
      </c>
      <c r="F63" s="102" t="s">
        <v>283</v>
      </c>
      <c r="G63" s="102" t="s">
        <v>282</v>
      </c>
      <c r="H63" s="102" t="s">
        <v>283</v>
      </c>
      <c r="I63" s="102" t="s">
        <v>284</v>
      </c>
      <c r="J63" s="102" t="s">
        <v>34</v>
      </c>
      <c r="L63" s="229" t="s">
        <v>2712</v>
      </c>
      <c r="M63" s="229" t="s">
        <v>2713</v>
      </c>
      <c r="O63" s="102">
        <v>8.0</v>
      </c>
      <c r="S63" s="230"/>
      <c r="T63" s="102" t="s">
        <v>299</v>
      </c>
    </row>
    <row r="64">
      <c r="A64" s="102" t="s">
        <v>276</v>
      </c>
      <c r="B64" s="102" t="s">
        <v>2714</v>
      </c>
      <c r="C64" s="229" t="s">
        <v>2715</v>
      </c>
      <c r="D64" s="102" t="s">
        <v>279</v>
      </c>
      <c r="E64" s="102" t="s">
        <v>280</v>
      </c>
      <c r="F64" s="102" t="s">
        <v>281</v>
      </c>
      <c r="G64" s="102" t="s">
        <v>1987</v>
      </c>
      <c r="H64" s="102" t="s">
        <v>1988</v>
      </c>
      <c r="I64" s="102" t="s">
        <v>284</v>
      </c>
      <c r="J64" s="102" t="s">
        <v>26</v>
      </c>
      <c r="L64" s="229" t="s">
        <v>2716</v>
      </c>
      <c r="M64" s="229" t="s">
        <v>2717</v>
      </c>
      <c r="O64" s="230"/>
      <c r="S64" s="230"/>
      <c r="T64" s="102" t="s">
        <v>298</v>
      </c>
      <c r="U64" s="102" t="s">
        <v>299</v>
      </c>
    </row>
    <row r="65">
      <c r="A65" s="102" t="s">
        <v>276</v>
      </c>
      <c r="B65" s="102" t="s">
        <v>2718</v>
      </c>
      <c r="C65" s="229" t="s">
        <v>2719</v>
      </c>
      <c r="D65" s="102" t="s">
        <v>291</v>
      </c>
      <c r="E65" s="102" t="s">
        <v>280</v>
      </c>
      <c r="F65" s="102" t="s">
        <v>281</v>
      </c>
      <c r="G65" s="102" t="s">
        <v>1987</v>
      </c>
      <c r="H65" s="102" t="s">
        <v>1988</v>
      </c>
      <c r="I65" s="102" t="s">
        <v>284</v>
      </c>
      <c r="J65" s="102" t="s">
        <v>26</v>
      </c>
      <c r="L65" s="229" t="s">
        <v>2716</v>
      </c>
      <c r="M65" s="229" t="s">
        <v>2720</v>
      </c>
      <c r="O65" s="230"/>
      <c r="S65" s="230"/>
      <c r="T65" s="102" t="s">
        <v>298</v>
      </c>
      <c r="U65" s="102" t="s">
        <v>299</v>
      </c>
    </row>
    <row r="66">
      <c r="A66" s="102" t="s">
        <v>276</v>
      </c>
      <c r="B66" s="102" t="s">
        <v>2721</v>
      </c>
      <c r="C66" s="229" t="s">
        <v>2722</v>
      </c>
      <c r="D66" s="102" t="s">
        <v>279</v>
      </c>
      <c r="E66" s="102" t="s">
        <v>280</v>
      </c>
      <c r="F66" s="102" t="s">
        <v>281</v>
      </c>
      <c r="G66" s="102" t="s">
        <v>1987</v>
      </c>
      <c r="H66" s="102" t="s">
        <v>1988</v>
      </c>
      <c r="I66" s="102" t="s">
        <v>284</v>
      </c>
      <c r="J66" s="102" t="s">
        <v>26</v>
      </c>
      <c r="L66" s="229" t="s">
        <v>2716</v>
      </c>
      <c r="M66" s="229" t="s">
        <v>2723</v>
      </c>
      <c r="O66" s="230"/>
      <c r="S66" s="230"/>
      <c r="T66" s="102" t="s">
        <v>298</v>
      </c>
      <c r="U66" s="102" t="s">
        <v>299</v>
      </c>
    </row>
    <row r="67">
      <c r="A67" s="102" t="s">
        <v>276</v>
      </c>
      <c r="B67" s="102" t="s">
        <v>2724</v>
      </c>
      <c r="C67" s="229" t="s">
        <v>2725</v>
      </c>
      <c r="D67" s="102" t="s">
        <v>291</v>
      </c>
      <c r="E67" s="102" t="s">
        <v>280</v>
      </c>
      <c r="F67" s="102" t="s">
        <v>281</v>
      </c>
      <c r="G67" s="102" t="s">
        <v>1987</v>
      </c>
      <c r="H67" s="102" t="s">
        <v>1988</v>
      </c>
      <c r="I67" s="102" t="s">
        <v>284</v>
      </c>
      <c r="J67" s="102" t="s">
        <v>26</v>
      </c>
      <c r="L67" s="229" t="s">
        <v>2716</v>
      </c>
      <c r="M67" s="229" t="s">
        <v>2726</v>
      </c>
      <c r="O67" s="230"/>
      <c r="S67" s="230"/>
      <c r="T67" s="102" t="s">
        <v>298</v>
      </c>
      <c r="U67" s="102" t="s">
        <v>299</v>
      </c>
    </row>
    <row r="68">
      <c r="A68" s="102" t="s">
        <v>276</v>
      </c>
      <c r="B68" s="102" t="s">
        <v>2727</v>
      </c>
      <c r="C68" s="229" t="s">
        <v>2728</v>
      </c>
      <c r="D68" s="102" t="s">
        <v>279</v>
      </c>
      <c r="E68" s="102" t="s">
        <v>280</v>
      </c>
      <c r="F68" s="102" t="s">
        <v>281</v>
      </c>
      <c r="G68" s="102" t="s">
        <v>1987</v>
      </c>
      <c r="H68" s="102" t="s">
        <v>1988</v>
      </c>
      <c r="I68" s="102" t="s">
        <v>284</v>
      </c>
      <c r="J68" s="102" t="s">
        <v>26</v>
      </c>
      <c r="L68" s="229" t="s">
        <v>2716</v>
      </c>
      <c r="M68" s="229" t="s">
        <v>2729</v>
      </c>
      <c r="O68" s="230"/>
      <c r="S68" s="230"/>
      <c r="T68" s="102" t="s">
        <v>529</v>
      </c>
      <c r="U68" s="102" t="s">
        <v>298</v>
      </c>
      <c r="V68" s="102" t="s">
        <v>299</v>
      </c>
    </row>
    <row r="69">
      <c r="A69" s="102" t="s">
        <v>276</v>
      </c>
      <c r="B69" s="102" t="s">
        <v>2730</v>
      </c>
      <c r="C69" s="229" t="s">
        <v>2731</v>
      </c>
      <c r="D69" s="102" t="s">
        <v>291</v>
      </c>
      <c r="E69" s="102" t="s">
        <v>280</v>
      </c>
      <c r="F69" s="102" t="s">
        <v>281</v>
      </c>
      <c r="G69" s="102" t="s">
        <v>1987</v>
      </c>
      <c r="H69" s="102" t="s">
        <v>1988</v>
      </c>
      <c r="I69" s="102" t="s">
        <v>284</v>
      </c>
      <c r="J69" s="102" t="s">
        <v>26</v>
      </c>
      <c r="L69" s="229" t="s">
        <v>2716</v>
      </c>
      <c r="M69" s="229" t="s">
        <v>2732</v>
      </c>
      <c r="O69" s="230"/>
      <c r="S69" s="230"/>
      <c r="T69" s="102" t="s">
        <v>529</v>
      </c>
      <c r="U69" s="102" t="s">
        <v>298</v>
      </c>
      <c r="V69" s="102" t="s">
        <v>299</v>
      </c>
    </row>
    <row r="70">
      <c r="A70" s="102" t="s">
        <v>276</v>
      </c>
      <c r="B70" s="102" t="s">
        <v>2733</v>
      </c>
      <c r="C70" s="229" t="s">
        <v>2734</v>
      </c>
      <c r="D70" s="102" t="s">
        <v>279</v>
      </c>
      <c r="E70" s="102" t="s">
        <v>280</v>
      </c>
      <c r="F70" s="102" t="s">
        <v>281</v>
      </c>
      <c r="G70" s="102" t="s">
        <v>1987</v>
      </c>
      <c r="H70" s="102" t="s">
        <v>1988</v>
      </c>
      <c r="I70" s="102" t="s">
        <v>284</v>
      </c>
      <c r="J70" s="102" t="s">
        <v>26</v>
      </c>
      <c r="L70" s="229" t="s">
        <v>2735</v>
      </c>
      <c r="M70" s="229" t="s">
        <v>2736</v>
      </c>
      <c r="O70" s="230"/>
      <c r="S70" s="230"/>
      <c r="T70" s="102" t="s">
        <v>529</v>
      </c>
      <c r="U70" s="102" t="s">
        <v>298</v>
      </c>
      <c r="V70" s="102" t="s">
        <v>299</v>
      </c>
    </row>
    <row r="71">
      <c r="A71" s="102" t="s">
        <v>276</v>
      </c>
      <c r="B71" s="102" t="s">
        <v>2737</v>
      </c>
      <c r="C71" s="229" t="s">
        <v>2738</v>
      </c>
      <c r="D71" s="102" t="s">
        <v>291</v>
      </c>
      <c r="E71" s="102" t="s">
        <v>280</v>
      </c>
      <c r="F71" s="102" t="s">
        <v>281</v>
      </c>
      <c r="G71" s="102" t="s">
        <v>1987</v>
      </c>
      <c r="H71" s="102" t="s">
        <v>1988</v>
      </c>
      <c r="I71" s="102" t="s">
        <v>284</v>
      </c>
      <c r="J71" s="102" t="s">
        <v>26</v>
      </c>
      <c r="L71" s="229" t="s">
        <v>2735</v>
      </c>
      <c r="M71" s="229" t="s">
        <v>2739</v>
      </c>
      <c r="O71" s="230"/>
      <c r="S71" s="230"/>
      <c r="T71" s="102" t="s">
        <v>529</v>
      </c>
      <c r="U71" s="102" t="s">
        <v>298</v>
      </c>
      <c r="V71" s="102" t="s">
        <v>299</v>
      </c>
    </row>
    <row r="72">
      <c r="A72" s="102" t="s">
        <v>276</v>
      </c>
      <c r="B72" s="102" t="s">
        <v>2740</v>
      </c>
      <c r="C72" s="229" t="s">
        <v>2741</v>
      </c>
      <c r="D72" s="102" t="s">
        <v>279</v>
      </c>
      <c r="E72" s="102" t="s">
        <v>280</v>
      </c>
      <c r="F72" s="102" t="s">
        <v>281</v>
      </c>
      <c r="G72" s="102" t="s">
        <v>1987</v>
      </c>
      <c r="H72" s="102" t="s">
        <v>1988</v>
      </c>
      <c r="I72" s="102" t="s">
        <v>284</v>
      </c>
      <c r="J72" s="102" t="s">
        <v>26</v>
      </c>
      <c r="L72" s="229" t="s">
        <v>2742</v>
      </c>
      <c r="M72" s="229" t="s">
        <v>2743</v>
      </c>
      <c r="O72" s="230"/>
      <c r="S72" s="230"/>
      <c r="T72" s="102" t="s">
        <v>298</v>
      </c>
      <c r="U72" s="102" t="s">
        <v>299</v>
      </c>
    </row>
    <row r="73">
      <c r="A73" s="102" t="s">
        <v>276</v>
      </c>
      <c r="B73" s="102" t="s">
        <v>2744</v>
      </c>
      <c r="C73" s="229" t="s">
        <v>2745</v>
      </c>
      <c r="D73" s="102" t="s">
        <v>291</v>
      </c>
      <c r="E73" s="102" t="s">
        <v>280</v>
      </c>
      <c r="F73" s="102" t="s">
        <v>281</v>
      </c>
      <c r="G73" s="102" t="s">
        <v>1987</v>
      </c>
      <c r="H73" s="102" t="s">
        <v>1988</v>
      </c>
      <c r="I73" s="102" t="s">
        <v>284</v>
      </c>
      <c r="J73" s="102" t="s">
        <v>26</v>
      </c>
      <c r="L73" s="229" t="s">
        <v>2742</v>
      </c>
      <c r="M73" s="229" t="s">
        <v>2746</v>
      </c>
      <c r="O73" s="230"/>
      <c r="S73" s="230"/>
      <c r="T73" s="102" t="s">
        <v>298</v>
      </c>
      <c r="U73" s="102" t="s">
        <v>299</v>
      </c>
    </row>
    <row r="74">
      <c r="A74" s="102" t="s">
        <v>310</v>
      </c>
      <c r="B74" s="102" t="s">
        <v>2747</v>
      </c>
      <c r="C74" s="229" t="s">
        <v>2748</v>
      </c>
      <c r="D74" s="102" t="s">
        <v>2749</v>
      </c>
      <c r="E74" s="102" t="s">
        <v>314</v>
      </c>
      <c r="F74" s="102" t="s">
        <v>315</v>
      </c>
      <c r="G74" s="102" t="s">
        <v>314</v>
      </c>
      <c r="H74" s="102" t="s">
        <v>315</v>
      </c>
      <c r="I74" s="102" t="s">
        <v>284</v>
      </c>
      <c r="J74" s="102" t="s">
        <v>26</v>
      </c>
      <c r="L74" s="229" t="s">
        <v>2750</v>
      </c>
      <c r="M74" s="229" t="s">
        <v>2751</v>
      </c>
      <c r="O74" s="102">
        <v>2.0</v>
      </c>
      <c r="S74" s="102">
        <v>14400.0</v>
      </c>
      <c r="T74" s="102" t="s">
        <v>1155</v>
      </c>
    </row>
    <row r="75">
      <c r="A75" s="102" t="s">
        <v>310</v>
      </c>
      <c r="B75" s="102" t="s">
        <v>2752</v>
      </c>
      <c r="C75" s="229" t="s">
        <v>2753</v>
      </c>
      <c r="D75" s="102" t="s">
        <v>2754</v>
      </c>
      <c r="E75" s="102" t="s">
        <v>314</v>
      </c>
      <c r="F75" s="102" t="s">
        <v>315</v>
      </c>
      <c r="G75" s="102" t="s">
        <v>314</v>
      </c>
      <c r="H75" s="102" t="s">
        <v>315</v>
      </c>
      <c r="I75" s="102" t="s">
        <v>284</v>
      </c>
      <c r="J75" s="102" t="s">
        <v>26</v>
      </c>
      <c r="L75" s="229" t="s">
        <v>2755</v>
      </c>
      <c r="M75" s="229" t="s">
        <v>2756</v>
      </c>
      <c r="O75" s="102">
        <v>5.0</v>
      </c>
      <c r="S75" s="102">
        <v>57600.0</v>
      </c>
      <c r="T75" s="102" t="s">
        <v>1155</v>
      </c>
    </row>
    <row r="76">
      <c r="A76" s="102" t="s">
        <v>310</v>
      </c>
      <c r="B76" s="102" t="s">
        <v>2757</v>
      </c>
      <c r="C76" s="229" t="s">
        <v>2758</v>
      </c>
      <c r="D76" s="102" t="s">
        <v>2759</v>
      </c>
      <c r="E76" s="102" t="s">
        <v>314</v>
      </c>
      <c r="F76" s="102" t="s">
        <v>315</v>
      </c>
      <c r="G76" s="102" t="s">
        <v>314</v>
      </c>
      <c r="H76" s="102" t="s">
        <v>315</v>
      </c>
      <c r="I76" s="102" t="s">
        <v>284</v>
      </c>
      <c r="J76" s="102" t="s">
        <v>26</v>
      </c>
      <c r="L76" s="229" t="s">
        <v>2755</v>
      </c>
      <c r="M76" s="229" t="s">
        <v>2760</v>
      </c>
      <c r="O76" s="102">
        <v>5.0</v>
      </c>
      <c r="S76" s="102">
        <v>57600.0</v>
      </c>
      <c r="T76" s="102" t="s">
        <v>1155</v>
      </c>
    </row>
    <row r="77">
      <c r="A77" s="102" t="s">
        <v>310</v>
      </c>
      <c r="B77" s="102" t="s">
        <v>2761</v>
      </c>
      <c r="C77" s="229" t="s">
        <v>2762</v>
      </c>
      <c r="D77" s="102" t="s">
        <v>2763</v>
      </c>
      <c r="E77" s="102" t="s">
        <v>304</v>
      </c>
      <c r="F77" s="102" t="s">
        <v>305</v>
      </c>
      <c r="G77" s="102" t="s">
        <v>316</v>
      </c>
      <c r="H77" s="102" t="s">
        <v>317</v>
      </c>
      <c r="I77" s="102" t="s">
        <v>515</v>
      </c>
      <c r="J77" s="102" t="s">
        <v>26</v>
      </c>
      <c r="L77" s="229" t="s">
        <v>2764</v>
      </c>
      <c r="M77" s="229" t="s">
        <v>2765</v>
      </c>
      <c r="N77" s="229" t="s">
        <v>1144</v>
      </c>
      <c r="O77" s="230"/>
      <c r="P77" s="102" t="s">
        <v>27</v>
      </c>
      <c r="S77" s="230"/>
      <c r="T77" s="102" t="s">
        <v>1155</v>
      </c>
    </row>
    <row r="78">
      <c r="A78" s="102" t="s">
        <v>310</v>
      </c>
      <c r="B78" s="102" t="s">
        <v>2429</v>
      </c>
      <c r="C78" s="229" t="s">
        <v>2430</v>
      </c>
      <c r="D78" s="102" t="s">
        <v>2431</v>
      </c>
      <c r="E78" s="102" t="s">
        <v>495</v>
      </c>
      <c r="F78" s="102" t="s">
        <v>496</v>
      </c>
      <c r="G78" s="102" t="s">
        <v>282</v>
      </c>
      <c r="H78" s="102" t="s">
        <v>283</v>
      </c>
      <c r="I78" s="102" t="s">
        <v>284</v>
      </c>
      <c r="J78" s="102" t="s">
        <v>678</v>
      </c>
      <c r="L78" s="229" t="s">
        <v>2432</v>
      </c>
      <c r="M78" s="229" t="s">
        <v>2766</v>
      </c>
      <c r="N78" s="229" t="s">
        <v>1170</v>
      </c>
      <c r="O78" s="102">
        <v>1.0</v>
      </c>
      <c r="P78" s="102" t="s">
        <v>593</v>
      </c>
      <c r="S78" s="102">
        <v>7200.0</v>
      </c>
      <c r="T78" s="102" t="s">
        <v>299</v>
      </c>
    </row>
    <row r="79">
      <c r="A79" s="102" t="s">
        <v>332</v>
      </c>
      <c r="B79" s="102" t="s">
        <v>2767</v>
      </c>
      <c r="C79" s="229" t="s">
        <v>2768</v>
      </c>
      <c r="D79" s="102" t="s">
        <v>2769</v>
      </c>
      <c r="E79" s="102" t="s">
        <v>495</v>
      </c>
      <c r="F79" s="102" t="s">
        <v>496</v>
      </c>
      <c r="G79" s="102" t="s">
        <v>521</v>
      </c>
      <c r="H79" s="102" t="s">
        <v>522</v>
      </c>
      <c r="I79" s="102" t="s">
        <v>284</v>
      </c>
      <c r="J79" s="102" t="s">
        <v>336</v>
      </c>
      <c r="L79" s="229" t="s">
        <v>2770</v>
      </c>
      <c r="M79" s="229" t="s">
        <v>2771</v>
      </c>
      <c r="O79" s="230"/>
      <c r="S79" s="230"/>
      <c r="T79" s="102" t="s">
        <v>299</v>
      </c>
    </row>
    <row r="80">
      <c r="A80" s="102" t="s">
        <v>332</v>
      </c>
      <c r="B80" s="102" t="s">
        <v>2772</v>
      </c>
      <c r="C80" s="229" t="s">
        <v>2773</v>
      </c>
      <c r="D80" s="102" t="s">
        <v>2774</v>
      </c>
      <c r="E80" s="102" t="s">
        <v>495</v>
      </c>
      <c r="F80" s="102" t="s">
        <v>496</v>
      </c>
      <c r="G80" s="102" t="s">
        <v>521</v>
      </c>
      <c r="H80" s="102" t="s">
        <v>522</v>
      </c>
      <c r="I80" s="102" t="s">
        <v>284</v>
      </c>
      <c r="J80" s="102" t="s">
        <v>336</v>
      </c>
      <c r="L80" s="229" t="s">
        <v>2775</v>
      </c>
      <c r="M80" s="229" t="s">
        <v>2776</v>
      </c>
      <c r="O80" s="230"/>
      <c r="S80" s="230"/>
      <c r="T80" s="102" t="s">
        <v>299</v>
      </c>
    </row>
    <row r="81">
      <c r="A81" s="102" t="s">
        <v>310</v>
      </c>
      <c r="B81" s="102" t="s">
        <v>2777</v>
      </c>
      <c r="C81" s="229" t="s">
        <v>2778</v>
      </c>
      <c r="D81" s="102" t="s">
        <v>2779</v>
      </c>
      <c r="E81" s="102" t="s">
        <v>564</v>
      </c>
      <c r="F81" s="102" t="s">
        <v>565</v>
      </c>
      <c r="G81" s="102" t="s">
        <v>316</v>
      </c>
      <c r="H81" s="102" t="s">
        <v>317</v>
      </c>
      <c r="I81" s="102" t="s">
        <v>318</v>
      </c>
      <c r="J81" s="102" t="s">
        <v>26</v>
      </c>
      <c r="L81" s="229" t="s">
        <v>2780</v>
      </c>
      <c r="M81" s="229" t="s">
        <v>2781</v>
      </c>
      <c r="N81" s="229" t="s">
        <v>1275</v>
      </c>
      <c r="O81" s="102">
        <v>1.0</v>
      </c>
      <c r="S81" s="230"/>
      <c r="T81" s="102" t="s">
        <v>1155</v>
      </c>
    </row>
    <row r="82">
      <c r="A82" s="102" t="s">
        <v>310</v>
      </c>
      <c r="B82" s="102" t="s">
        <v>1145</v>
      </c>
      <c r="C82" s="229" t="s">
        <v>1146</v>
      </c>
      <c r="D82" s="102" t="s">
        <v>1147</v>
      </c>
      <c r="E82" s="102" t="s">
        <v>314</v>
      </c>
      <c r="F82" s="102" t="s">
        <v>315</v>
      </c>
      <c r="G82" s="102" t="s">
        <v>314</v>
      </c>
      <c r="H82" s="102" t="s">
        <v>315</v>
      </c>
      <c r="I82" s="102" t="s">
        <v>284</v>
      </c>
      <c r="J82" s="102" t="s">
        <v>454</v>
      </c>
      <c r="L82" s="229" t="s">
        <v>1148</v>
      </c>
      <c r="M82" s="229" t="s">
        <v>2751</v>
      </c>
      <c r="O82" s="102">
        <v>5.0</v>
      </c>
      <c r="S82" s="102">
        <v>57600.0</v>
      </c>
      <c r="T82" s="102" t="s">
        <v>1150</v>
      </c>
    </row>
    <row r="83">
      <c r="A83" s="102" t="s">
        <v>332</v>
      </c>
      <c r="B83" s="102" t="s">
        <v>2782</v>
      </c>
      <c r="C83" s="229" t="s">
        <v>2783</v>
      </c>
      <c r="D83" s="102" t="s">
        <v>2784</v>
      </c>
      <c r="E83" s="102" t="s">
        <v>328</v>
      </c>
      <c r="F83" s="102" t="s">
        <v>329</v>
      </c>
      <c r="G83" s="102" t="s">
        <v>280</v>
      </c>
      <c r="H83" s="102" t="s">
        <v>281</v>
      </c>
      <c r="I83" s="102" t="s">
        <v>284</v>
      </c>
      <c r="J83" s="102" t="s">
        <v>336</v>
      </c>
      <c r="L83" s="229" t="s">
        <v>2785</v>
      </c>
      <c r="M83" s="229" t="s">
        <v>2786</v>
      </c>
      <c r="O83" s="230"/>
      <c r="S83" s="230"/>
      <c r="T83" s="102" t="s">
        <v>298</v>
      </c>
      <c r="U83" s="102" t="s">
        <v>299</v>
      </c>
    </row>
    <row r="84">
      <c r="A84" s="102" t="s">
        <v>310</v>
      </c>
      <c r="B84" s="102" t="s">
        <v>1902</v>
      </c>
      <c r="C84" s="229" t="s">
        <v>1903</v>
      </c>
      <c r="D84" s="102" t="s">
        <v>1904</v>
      </c>
      <c r="E84" s="102" t="s">
        <v>556</v>
      </c>
      <c r="F84" s="102" t="s">
        <v>557</v>
      </c>
      <c r="G84" s="102" t="s">
        <v>353</v>
      </c>
      <c r="H84" s="102" t="s">
        <v>354</v>
      </c>
      <c r="I84" s="102" t="s">
        <v>284</v>
      </c>
      <c r="J84" s="102" t="s">
        <v>678</v>
      </c>
      <c r="L84" s="229" t="s">
        <v>1905</v>
      </c>
      <c r="M84" s="229" t="s">
        <v>2787</v>
      </c>
      <c r="N84" s="229" t="s">
        <v>1323</v>
      </c>
      <c r="O84" s="230"/>
      <c r="S84" s="230"/>
      <c r="T84" s="102" t="s">
        <v>1204</v>
      </c>
      <c r="U84" s="102" t="s">
        <v>1205</v>
      </c>
      <c r="V84" s="102" t="s">
        <v>1205</v>
      </c>
    </row>
    <row r="85">
      <c r="A85" s="102" t="s">
        <v>310</v>
      </c>
      <c r="B85" s="102" t="s">
        <v>2435</v>
      </c>
      <c r="C85" s="229" t="s">
        <v>2436</v>
      </c>
      <c r="D85" s="102" t="s">
        <v>2437</v>
      </c>
      <c r="E85" s="102" t="s">
        <v>564</v>
      </c>
      <c r="F85" s="102" t="s">
        <v>565</v>
      </c>
      <c r="G85" s="102" t="s">
        <v>353</v>
      </c>
      <c r="H85" s="102" t="s">
        <v>354</v>
      </c>
      <c r="I85" s="102" t="s">
        <v>284</v>
      </c>
      <c r="J85" s="102" t="s">
        <v>678</v>
      </c>
      <c r="L85" s="229" t="s">
        <v>2438</v>
      </c>
      <c r="M85" s="229" t="s">
        <v>2787</v>
      </c>
      <c r="N85" s="229" t="s">
        <v>1323</v>
      </c>
      <c r="O85" s="102">
        <v>2.0</v>
      </c>
      <c r="S85" s="102">
        <v>10800.0</v>
      </c>
      <c r="T85" s="102" t="s">
        <v>1204</v>
      </c>
      <c r="U85" s="102" t="s">
        <v>1205</v>
      </c>
      <c r="V85" s="102" t="s">
        <v>1205</v>
      </c>
    </row>
    <row r="86">
      <c r="A86" s="102" t="s">
        <v>310</v>
      </c>
      <c r="B86" s="102" t="s">
        <v>2788</v>
      </c>
      <c r="C86" s="229" t="s">
        <v>2789</v>
      </c>
      <c r="D86" s="102" t="s">
        <v>2790</v>
      </c>
      <c r="E86" s="102" t="s">
        <v>314</v>
      </c>
      <c r="F86" s="102" t="s">
        <v>315</v>
      </c>
      <c r="G86" s="102" t="s">
        <v>316</v>
      </c>
      <c r="H86" s="102" t="s">
        <v>317</v>
      </c>
      <c r="I86" s="102" t="s">
        <v>284</v>
      </c>
      <c r="J86" s="102" t="s">
        <v>26</v>
      </c>
      <c r="L86" s="229" t="s">
        <v>2791</v>
      </c>
      <c r="M86" s="229" t="s">
        <v>2792</v>
      </c>
      <c r="N86" s="229" t="s">
        <v>1126</v>
      </c>
      <c r="O86" s="102">
        <v>2.0</v>
      </c>
      <c r="P86" s="102" t="s">
        <v>322</v>
      </c>
      <c r="S86" s="102">
        <v>10800.0</v>
      </c>
      <c r="T86" s="102" t="s">
        <v>1155</v>
      </c>
    </row>
    <row r="87">
      <c r="A87" s="102" t="s">
        <v>310</v>
      </c>
      <c r="B87" s="102" t="s">
        <v>2793</v>
      </c>
      <c r="C87" s="229" t="s">
        <v>2794</v>
      </c>
      <c r="D87" s="102" t="s">
        <v>2795</v>
      </c>
      <c r="E87" s="102" t="s">
        <v>353</v>
      </c>
      <c r="F87" s="102" t="s">
        <v>354</v>
      </c>
      <c r="G87" s="102" t="s">
        <v>316</v>
      </c>
      <c r="H87" s="102" t="s">
        <v>317</v>
      </c>
      <c r="I87" s="102" t="s">
        <v>515</v>
      </c>
      <c r="J87" s="102" t="s">
        <v>26</v>
      </c>
      <c r="L87" s="229" t="s">
        <v>2796</v>
      </c>
      <c r="M87" s="229" t="s">
        <v>2797</v>
      </c>
      <c r="N87" s="229" t="s">
        <v>2798</v>
      </c>
      <c r="O87" s="102">
        <v>3.0</v>
      </c>
      <c r="P87" s="102" t="s">
        <v>433</v>
      </c>
      <c r="Q87" s="102" t="s">
        <v>783</v>
      </c>
      <c r="S87" s="230"/>
      <c r="T87" s="102" t="s">
        <v>1155</v>
      </c>
    </row>
    <row r="88">
      <c r="A88" s="102" t="s">
        <v>310</v>
      </c>
      <c r="B88" s="102" t="s">
        <v>2799</v>
      </c>
      <c r="C88" s="229" t="s">
        <v>2800</v>
      </c>
      <c r="D88" s="102" t="s">
        <v>2801</v>
      </c>
      <c r="E88" s="102" t="s">
        <v>513</v>
      </c>
      <c r="F88" s="102" t="s">
        <v>514</v>
      </c>
      <c r="G88" s="102" t="s">
        <v>314</v>
      </c>
      <c r="H88" s="102" t="s">
        <v>315</v>
      </c>
      <c r="I88" s="102" t="s">
        <v>284</v>
      </c>
      <c r="J88" s="102" t="s">
        <v>26</v>
      </c>
      <c r="L88" s="229" t="s">
        <v>2802</v>
      </c>
      <c r="M88" s="229" t="s">
        <v>2803</v>
      </c>
      <c r="N88" s="229" t="s">
        <v>1304</v>
      </c>
      <c r="O88" s="102">
        <v>3.0</v>
      </c>
      <c r="S88" s="102">
        <v>28800.0</v>
      </c>
      <c r="T88" s="102" t="s">
        <v>298</v>
      </c>
      <c r="U88" s="102" t="s">
        <v>299</v>
      </c>
    </row>
    <row r="89">
      <c r="A89" s="102" t="s">
        <v>310</v>
      </c>
      <c r="B89" s="102" t="s">
        <v>2804</v>
      </c>
      <c r="C89" s="229" t="s">
        <v>2805</v>
      </c>
      <c r="D89" s="102" t="s">
        <v>2806</v>
      </c>
      <c r="E89" s="102" t="s">
        <v>495</v>
      </c>
      <c r="F89" s="102" t="s">
        <v>496</v>
      </c>
      <c r="G89" s="102" t="s">
        <v>304</v>
      </c>
      <c r="H89" s="102" t="s">
        <v>305</v>
      </c>
      <c r="I89" s="102" t="s">
        <v>284</v>
      </c>
      <c r="J89" s="102" t="s">
        <v>26</v>
      </c>
      <c r="L89" s="229" t="s">
        <v>2807</v>
      </c>
      <c r="M89" s="229" t="s">
        <v>2808</v>
      </c>
      <c r="N89" s="229" t="s">
        <v>1304</v>
      </c>
      <c r="O89" s="102">
        <v>1.0</v>
      </c>
      <c r="P89" s="102" t="s">
        <v>1305</v>
      </c>
      <c r="Q89" s="102" t="s">
        <v>593</v>
      </c>
      <c r="S89" s="102">
        <v>7200.0</v>
      </c>
      <c r="T89" s="102" t="s">
        <v>298</v>
      </c>
      <c r="U89" s="102" t="s">
        <v>299</v>
      </c>
    </row>
    <row r="90">
      <c r="A90" s="102" t="s">
        <v>332</v>
      </c>
      <c r="B90" s="102" t="s">
        <v>1151</v>
      </c>
      <c r="C90" s="229" t="s">
        <v>1152</v>
      </c>
      <c r="D90" s="102" t="s">
        <v>1153</v>
      </c>
      <c r="E90" s="102" t="s">
        <v>353</v>
      </c>
      <c r="F90" s="102" t="s">
        <v>354</v>
      </c>
      <c r="G90" s="102" t="s">
        <v>316</v>
      </c>
      <c r="H90" s="102" t="s">
        <v>317</v>
      </c>
      <c r="I90" s="102" t="s">
        <v>284</v>
      </c>
      <c r="J90" s="102" t="s">
        <v>2231</v>
      </c>
      <c r="L90" s="229" t="s">
        <v>1154</v>
      </c>
      <c r="M90" s="229" t="s">
        <v>2809</v>
      </c>
      <c r="O90" s="230"/>
      <c r="P90" s="102" t="s">
        <v>27</v>
      </c>
      <c r="Q90" s="102" t="s">
        <v>538</v>
      </c>
      <c r="R90" s="102" t="s">
        <v>474</v>
      </c>
      <c r="S90" s="230"/>
      <c r="T90" s="102" t="s">
        <v>1155</v>
      </c>
    </row>
    <row r="91">
      <c r="A91" s="102" t="s">
        <v>310</v>
      </c>
      <c r="B91" s="102" t="s">
        <v>2810</v>
      </c>
      <c r="C91" s="229" t="s">
        <v>2811</v>
      </c>
      <c r="D91" s="102" t="s">
        <v>2812</v>
      </c>
      <c r="E91" s="102" t="s">
        <v>353</v>
      </c>
      <c r="F91" s="102" t="s">
        <v>354</v>
      </c>
      <c r="G91" s="102" t="s">
        <v>353</v>
      </c>
      <c r="H91" s="102" t="s">
        <v>354</v>
      </c>
      <c r="I91" s="102" t="s">
        <v>284</v>
      </c>
      <c r="J91" s="102" t="s">
        <v>26</v>
      </c>
      <c r="L91" s="229" t="s">
        <v>2813</v>
      </c>
      <c r="M91" s="229" t="s">
        <v>2814</v>
      </c>
      <c r="O91" s="102">
        <v>5.0</v>
      </c>
      <c r="S91" s="230"/>
      <c r="T91" s="102" t="s">
        <v>2815</v>
      </c>
      <c r="U91" s="102" t="s">
        <v>2816</v>
      </c>
    </row>
    <row r="92">
      <c r="A92" s="102" t="s">
        <v>310</v>
      </c>
      <c r="B92" s="102" t="s">
        <v>2817</v>
      </c>
      <c r="C92" s="229" t="s">
        <v>2818</v>
      </c>
      <c r="D92" s="102" t="s">
        <v>2819</v>
      </c>
      <c r="E92" s="102" t="s">
        <v>282</v>
      </c>
      <c r="F92" s="102" t="s">
        <v>283</v>
      </c>
      <c r="G92" s="102" t="s">
        <v>316</v>
      </c>
      <c r="H92" s="102" t="s">
        <v>317</v>
      </c>
      <c r="I92" s="102" t="s">
        <v>515</v>
      </c>
      <c r="J92" s="102" t="s">
        <v>26</v>
      </c>
      <c r="L92" s="229" t="s">
        <v>2820</v>
      </c>
      <c r="M92" s="229" t="s">
        <v>2821</v>
      </c>
      <c r="N92" s="229" t="s">
        <v>2822</v>
      </c>
      <c r="O92" s="102">
        <v>1.0</v>
      </c>
      <c r="P92" s="102" t="s">
        <v>433</v>
      </c>
      <c r="Q92" s="102" t="s">
        <v>367</v>
      </c>
      <c r="R92" s="102" t="s">
        <v>783</v>
      </c>
      <c r="S92" s="102">
        <v>7200.0</v>
      </c>
      <c r="T92" s="102" t="s">
        <v>1155</v>
      </c>
    </row>
    <row r="93">
      <c r="A93" s="102" t="s">
        <v>310</v>
      </c>
      <c r="B93" s="102" t="s">
        <v>2823</v>
      </c>
      <c r="C93" s="229" t="s">
        <v>2824</v>
      </c>
      <c r="D93" s="102" t="s">
        <v>2825</v>
      </c>
      <c r="E93" s="102" t="s">
        <v>513</v>
      </c>
      <c r="F93" s="102" t="s">
        <v>514</v>
      </c>
      <c r="G93" s="102" t="s">
        <v>353</v>
      </c>
      <c r="H93" s="102" t="s">
        <v>354</v>
      </c>
      <c r="I93" s="102" t="s">
        <v>284</v>
      </c>
      <c r="J93" s="102" t="s">
        <v>26</v>
      </c>
      <c r="L93" s="229" t="s">
        <v>2826</v>
      </c>
      <c r="M93" s="229" t="s">
        <v>2827</v>
      </c>
      <c r="N93" s="229" t="s">
        <v>1304</v>
      </c>
      <c r="O93" s="102">
        <v>5.0</v>
      </c>
      <c r="P93" s="102" t="s">
        <v>593</v>
      </c>
      <c r="S93" s="102">
        <v>57600.0</v>
      </c>
      <c r="T93" s="102" t="s">
        <v>2457</v>
      </c>
      <c r="U93" s="102" t="s">
        <v>1155</v>
      </c>
    </row>
    <row r="94">
      <c r="A94" s="102" t="s">
        <v>310</v>
      </c>
      <c r="B94" s="102" t="s">
        <v>2828</v>
      </c>
      <c r="C94" s="229" t="s">
        <v>2829</v>
      </c>
      <c r="D94" s="102" t="s">
        <v>2830</v>
      </c>
      <c r="E94" s="102" t="s">
        <v>584</v>
      </c>
      <c r="F94" s="102" t="s">
        <v>585</v>
      </c>
      <c r="G94" s="102" t="s">
        <v>353</v>
      </c>
      <c r="H94" s="102" t="s">
        <v>354</v>
      </c>
      <c r="I94" s="102" t="s">
        <v>284</v>
      </c>
      <c r="J94" s="102" t="s">
        <v>678</v>
      </c>
      <c r="L94" s="229" t="s">
        <v>2831</v>
      </c>
      <c r="M94" s="229" t="s">
        <v>2832</v>
      </c>
      <c r="O94" s="102">
        <v>1.0</v>
      </c>
      <c r="S94" s="230"/>
      <c r="T94" s="102" t="s">
        <v>2272</v>
      </c>
      <c r="U94" s="102" t="s">
        <v>2273</v>
      </c>
      <c r="V94" s="102" t="s">
        <v>2274</v>
      </c>
    </row>
    <row r="95">
      <c r="A95" s="102" t="s">
        <v>310</v>
      </c>
      <c r="B95" s="102" t="s">
        <v>2833</v>
      </c>
      <c r="C95" s="229" t="s">
        <v>2834</v>
      </c>
      <c r="D95" s="102" t="s">
        <v>2835</v>
      </c>
      <c r="E95" s="102" t="s">
        <v>556</v>
      </c>
      <c r="F95" s="102" t="s">
        <v>557</v>
      </c>
      <c r="G95" s="102" t="s">
        <v>282</v>
      </c>
      <c r="H95" s="102" t="s">
        <v>283</v>
      </c>
      <c r="I95" s="102" t="s">
        <v>284</v>
      </c>
      <c r="J95" s="102" t="s">
        <v>26</v>
      </c>
      <c r="L95" s="229" t="s">
        <v>2836</v>
      </c>
      <c r="M95" s="229" t="s">
        <v>2837</v>
      </c>
      <c r="O95" s="102">
        <v>3.0</v>
      </c>
      <c r="S95" s="230"/>
      <c r="T95" s="102" t="s">
        <v>529</v>
      </c>
      <c r="U95" s="102" t="s">
        <v>298</v>
      </c>
      <c r="V95" s="102" t="s">
        <v>299</v>
      </c>
    </row>
    <row r="96">
      <c r="A96" s="102" t="s">
        <v>310</v>
      </c>
      <c r="B96" s="102" t="s">
        <v>2838</v>
      </c>
      <c r="C96" s="229" t="s">
        <v>2839</v>
      </c>
      <c r="D96" s="102" t="s">
        <v>2840</v>
      </c>
      <c r="E96" s="102" t="s">
        <v>495</v>
      </c>
      <c r="F96" s="102" t="s">
        <v>496</v>
      </c>
      <c r="G96" s="102" t="s">
        <v>304</v>
      </c>
      <c r="H96" s="102" t="s">
        <v>305</v>
      </c>
      <c r="I96" s="102" t="s">
        <v>284</v>
      </c>
      <c r="J96" s="102" t="s">
        <v>26</v>
      </c>
      <c r="L96" s="229" t="s">
        <v>2841</v>
      </c>
      <c r="M96" s="229" t="s">
        <v>2837</v>
      </c>
      <c r="N96" s="229" t="s">
        <v>1304</v>
      </c>
      <c r="O96" s="102">
        <v>1.0</v>
      </c>
      <c r="P96" s="102" t="s">
        <v>331</v>
      </c>
      <c r="S96" s="102">
        <v>7200.0</v>
      </c>
      <c r="T96" s="102" t="s">
        <v>298</v>
      </c>
      <c r="U96" s="102" t="s">
        <v>299</v>
      </c>
    </row>
    <row r="97">
      <c r="A97" s="102" t="s">
        <v>310</v>
      </c>
      <c r="B97" s="102" t="s">
        <v>1156</v>
      </c>
      <c r="C97" s="229" t="s">
        <v>1157</v>
      </c>
      <c r="D97" s="102" t="s">
        <v>1158</v>
      </c>
      <c r="E97" s="102" t="s">
        <v>328</v>
      </c>
      <c r="F97" s="102" t="s">
        <v>329</v>
      </c>
      <c r="G97" s="102" t="s">
        <v>282</v>
      </c>
      <c r="H97" s="102" t="s">
        <v>283</v>
      </c>
      <c r="I97" s="102" t="s">
        <v>284</v>
      </c>
      <c r="J97" s="102" t="s">
        <v>454</v>
      </c>
      <c r="L97" s="229" t="s">
        <v>1159</v>
      </c>
      <c r="M97" s="229" t="s">
        <v>2842</v>
      </c>
      <c r="N97" s="229" t="s">
        <v>1160</v>
      </c>
      <c r="O97" s="102">
        <v>3.0</v>
      </c>
      <c r="S97" s="230"/>
      <c r="T97" s="102" t="s">
        <v>299</v>
      </c>
    </row>
    <row r="98">
      <c r="A98" s="102" t="s">
        <v>310</v>
      </c>
      <c r="B98" s="102" t="s">
        <v>2843</v>
      </c>
      <c r="C98" s="229" t="s">
        <v>2844</v>
      </c>
      <c r="D98" s="102" t="s">
        <v>2845</v>
      </c>
      <c r="E98" s="102" t="s">
        <v>282</v>
      </c>
      <c r="F98" s="102" t="s">
        <v>283</v>
      </c>
      <c r="G98" s="102" t="s">
        <v>316</v>
      </c>
      <c r="H98" s="102" t="s">
        <v>317</v>
      </c>
      <c r="I98" s="102" t="s">
        <v>284</v>
      </c>
      <c r="J98" s="102" t="s">
        <v>26</v>
      </c>
      <c r="L98" s="229" t="s">
        <v>2846</v>
      </c>
      <c r="M98" s="229" t="s">
        <v>2847</v>
      </c>
      <c r="N98" s="229" t="s">
        <v>2822</v>
      </c>
      <c r="O98" s="102">
        <v>1.0</v>
      </c>
      <c r="P98" s="102" t="s">
        <v>782</v>
      </c>
      <c r="S98" s="102">
        <v>3600.0</v>
      </c>
      <c r="T98" s="102" t="s">
        <v>1155</v>
      </c>
      <c r="AC98" s="231"/>
    </row>
    <row r="99">
      <c r="A99" s="102" t="s">
        <v>310</v>
      </c>
      <c r="B99" s="102" t="s">
        <v>1161</v>
      </c>
      <c r="C99" s="229" t="s">
        <v>1162</v>
      </c>
      <c r="D99" s="102" t="s">
        <v>1163</v>
      </c>
      <c r="E99" s="102" t="s">
        <v>328</v>
      </c>
      <c r="F99" s="102" t="s">
        <v>329</v>
      </c>
      <c r="G99" s="102" t="s">
        <v>282</v>
      </c>
      <c r="H99" s="102" t="s">
        <v>283</v>
      </c>
      <c r="I99" s="102" t="s">
        <v>284</v>
      </c>
      <c r="J99" s="102" t="s">
        <v>454</v>
      </c>
      <c r="L99" s="229" t="s">
        <v>1164</v>
      </c>
      <c r="M99" s="229" t="s">
        <v>2842</v>
      </c>
      <c r="N99" s="229" t="s">
        <v>1165</v>
      </c>
      <c r="O99" s="102">
        <v>3.0</v>
      </c>
      <c r="S99" s="230"/>
      <c r="T99" s="102" t="s">
        <v>299</v>
      </c>
    </row>
    <row r="100">
      <c r="A100" s="102" t="s">
        <v>310</v>
      </c>
      <c r="B100" s="102" t="s">
        <v>1166</v>
      </c>
      <c r="C100" s="229" t="s">
        <v>1167</v>
      </c>
      <c r="D100" s="102" t="s">
        <v>1168</v>
      </c>
      <c r="E100" s="102" t="s">
        <v>584</v>
      </c>
      <c r="F100" s="102" t="s">
        <v>585</v>
      </c>
      <c r="G100" s="102" t="s">
        <v>282</v>
      </c>
      <c r="H100" s="102" t="s">
        <v>283</v>
      </c>
      <c r="I100" s="102" t="s">
        <v>284</v>
      </c>
      <c r="J100" s="102" t="s">
        <v>678</v>
      </c>
      <c r="L100" s="229" t="s">
        <v>1169</v>
      </c>
      <c r="M100" s="229" t="s">
        <v>2848</v>
      </c>
      <c r="O100" s="102">
        <v>1.0</v>
      </c>
      <c r="S100" s="230"/>
      <c r="T100" s="102" t="s">
        <v>299</v>
      </c>
    </row>
    <row r="101">
      <c r="A101" s="102" t="s">
        <v>276</v>
      </c>
      <c r="B101" s="102" t="s">
        <v>2849</v>
      </c>
      <c r="C101" s="229" t="s">
        <v>2850</v>
      </c>
      <c r="D101" s="102" t="s">
        <v>2851</v>
      </c>
      <c r="E101" s="102" t="s">
        <v>495</v>
      </c>
      <c r="F101" s="102" t="s">
        <v>496</v>
      </c>
      <c r="G101" s="102" t="s">
        <v>304</v>
      </c>
      <c r="H101" s="102" t="s">
        <v>305</v>
      </c>
      <c r="I101" s="102" t="s">
        <v>284</v>
      </c>
      <c r="J101" s="102" t="s">
        <v>26</v>
      </c>
      <c r="L101" s="229" t="s">
        <v>2852</v>
      </c>
      <c r="M101" s="229" t="s">
        <v>2853</v>
      </c>
      <c r="O101" s="230"/>
      <c r="S101" s="230"/>
      <c r="T101" s="102" t="s">
        <v>298</v>
      </c>
      <c r="U101" s="102" t="s">
        <v>299</v>
      </c>
    </row>
    <row r="102">
      <c r="A102" s="102" t="s">
        <v>276</v>
      </c>
      <c r="B102" s="102" t="s">
        <v>2854</v>
      </c>
      <c r="C102" s="229" t="s">
        <v>2855</v>
      </c>
      <c r="D102" s="102" t="s">
        <v>2856</v>
      </c>
      <c r="E102" s="102" t="s">
        <v>495</v>
      </c>
      <c r="F102" s="102" t="s">
        <v>496</v>
      </c>
      <c r="G102" s="102" t="s">
        <v>304</v>
      </c>
      <c r="H102" s="102" t="s">
        <v>305</v>
      </c>
      <c r="I102" s="102" t="s">
        <v>284</v>
      </c>
      <c r="J102" s="102" t="s">
        <v>26</v>
      </c>
      <c r="L102" s="229" t="s">
        <v>2852</v>
      </c>
      <c r="M102" s="229" t="s">
        <v>2853</v>
      </c>
      <c r="O102" s="230"/>
      <c r="S102" s="230"/>
      <c r="T102" s="102" t="s">
        <v>298</v>
      </c>
      <c r="U102" s="102" t="s">
        <v>299</v>
      </c>
    </row>
    <row r="103">
      <c r="A103" s="102" t="s">
        <v>276</v>
      </c>
      <c r="B103" s="102" t="s">
        <v>2857</v>
      </c>
      <c r="C103" s="229" t="s">
        <v>2858</v>
      </c>
      <c r="D103" s="102" t="s">
        <v>2859</v>
      </c>
      <c r="E103" s="102" t="s">
        <v>495</v>
      </c>
      <c r="F103" s="102" t="s">
        <v>496</v>
      </c>
      <c r="G103" s="102" t="s">
        <v>304</v>
      </c>
      <c r="H103" s="102" t="s">
        <v>305</v>
      </c>
      <c r="I103" s="102" t="s">
        <v>284</v>
      </c>
      <c r="J103" s="102" t="s">
        <v>26</v>
      </c>
      <c r="L103" s="229" t="s">
        <v>2860</v>
      </c>
      <c r="M103" s="229" t="s">
        <v>2853</v>
      </c>
      <c r="O103" s="230"/>
      <c r="P103" s="102" t="s">
        <v>331</v>
      </c>
      <c r="S103" s="230"/>
      <c r="T103" s="102" t="s">
        <v>298</v>
      </c>
      <c r="U103" s="102" t="s">
        <v>299</v>
      </c>
    </row>
    <row r="104">
      <c r="A104" s="102" t="s">
        <v>276</v>
      </c>
      <c r="B104" s="102" t="s">
        <v>2861</v>
      </c>
      <c r="C104" s="229" t="s">
        <v>2862</v>
      </c>
      <c r="D104" s="102" t="s">
        <v>2863</v>
      </c>
      <c r="E104" s="102" t="s">
        <v>495</v>
      </c>
      <c r="F104" s="102" t="s">
        <v>496</v>
      </c>
      <c r="G104" s="102" t="s">
        <v>304</v>
      </c>
      <c r="H104" s="102" t="s">
        <v>305</v>
      </c>
      <c r="I104" s="102" t="s">
        <v>284</v>
      </c>
      <c r="J104" s="102" t="s">
        <v>26</v>
      </c>
      <c r="L104" s="229" t="s">
        <v>2860</v>
      </c>
      <c r="M104" s="229" t="s">
        <v>2853</v>
      </c>
      <c r="O104" s="230"/>
      <c r="S104" s="230"/>
      <c r="T104" s="102" t="s">
        <v>298</v>
      </c>
      <c r="U104" s="102" t="s">
        <v>299</v>
      </c>
    </row>
    <row r="105">
      <c r="A105" s="102" t="s">
        <v>276</v>
      </c>
      <c r="B105" s="102" t="s">
        <v>2864</v>
      </c>
      <c r="C105" s="229" t="s">
        <v>2865</v>
      </c>
      <c r="D105" s="102" t="s">
        <v>2866</v>
      </c>
      <c r="E105" s="102" t="s">
        <v>495</v>
      </c>
      <c r="F105" s="102" t="s">
        <v>496</v>
      </c>
      <c r="G105" s="102" t="s">
        <v>304</v>
      </c>
      <c r="H105" s="102" t="s">
        <v>305</v>
      </c>
      <c r="I105" s="102" t="s">
        <v>284</v>
      </c>
      <c r="J105" s="102" t="s">
        <v>26</v>
      </c>
      <c r="L105" s="229" t="s">
        <v>2860</v>
      </c>
      <c r="M105" s="229" t="s">
        <v>2867</v>
      </c>
      <c r="O105" s="230"/>
      <c r="S105" s="230"/>
      <c r="T105" s="102" t="s">
        <v>298</v>
      </c>
      <c r="U105" s="102" t="s">
        <v>299</v>
      </c>
    </row>
    <row r="106">
      <c r="A106" s="102" t="s">
        <v>276</v>
      </c>
      <c r="B106" s="102" t="s">
        <v>2868</v>
      </c>
      <c r="C106" s="229" t="s">
        <v>2869</v>
      </c>
      <c r="D106" s="102" t="s">
        <v>2870</v>
      </c>
      <c r="E106" s="102" t="s">
        <v>495</v>
      </c>
      <c r="F106" s="102" t="s">
        <v>496</v>
      </c>
      <c r="G106" s="102" t="s">
        <v>304</v>
      </c>
      <c r="H106" s="102" t="s">
        <v>305</v>
      </c>
      <c r="I106" s="102" t="s">
        <v>284</v>
      </c>
      <c r="J106" s="102" t="s">
        <v>26</v>
      </c>
      <c r="L106" s="229" t="s">
        <v>2871</v>
      </c>
      <c r="M106" s="229" t="s">
        <v>2853</v>
      </c>
      <c r="O106" s="230"/>
      <c r="P106" s="102" t="s">
        <v>331</v>
      </c>
      <c r="S106" s="230"/>
      <c r="T106" s="102" t="s">
        <v>298</v>
      </c>
      <c r="U106" s="102" t="s">
        <v>299</v>
      </c>
    </row>
    <row r="107">
      <c r="A107" s="102" t="s">
        <v>310</v>
      </c>
      <c r="B107" s="102" t="s">
        <v>2872</v>
      </c>
      <c r="C107" s="229" t="s">
        <v>2873</v>
      </c>
      <c r="D107" s="102" t="s">
        <v>2874</v>
      </c>
      <c r="E107" s="102" t="s">
        <v>495</v>
      </c>
      <c r="F107" s="102" t="s">
        <v>496</v>
      </c>
      <c r="G107" s="102" t="s">
        <v>304</v>
      </c>
      <c r="H107" s="102" t="s">
        <v>305</v>
      </c>
      <c r="I107" s="102" t="s">
        <v>284</v>
      </c>
      <c r="J107" s="102" t="s">
        <v>26</v>
      </c>
      <c r="L107" s="229" t="s">
        <v>2875</v>
      </c>
      <c r="M107" s="229" t="s">
        <v>2837</v>
      </c>
      <c r="N107" s="229" t="s">
        <v>1304</v>
      </c>
      <c r="O107" s="102">
        <v>8.0</v>
      </c>
      <c r="P107" s="102" t="s">
        <v>331</v>
      </c>
      <c r="S107" s="102">
        <v>57600.0</v>
      </c>
      <c r="T107" s="102" t="s">
        <v>298</v>
      </c>
      <c r="U107" s="102" t="s">
        <v>299</v>
      </c>
    </row>
    <row r="108">
      <c r="A108" s="102" t="s">
        <v>310</v>
      </c>
      <c r="B108" s="102" t="s">
        <v>2876</v>
      </c>
      <c r="C108" s="229" t="s">
        <v>2877</v>
      </c>
      <c r="D108" s="102" t="s">
        <v>2878</v>
      </c>
      <c r="E108" s="102" t="s">
        <v>564</v>
      </c>
      <c r="F108" s="102" t="s">
        <v>565</v>
      </c>
      <c r="G108" s="102" t="s">
        <v>316</v>
      </c>
      <c r="H108" s="102" t="s">
        <v>317</v>
      </c>
      <c r="I108" s="102" t="s">
        <v>284</v>
      </c>
      <c r="J108" s="102" t="s">
        <v>26</v>
      </c>
      <c r="L108" s="229" t="s">
        <v>2879</v>
      </c>
      <c r="M108" s="229" t="s">
        <v>2880</v>
      </c>
      <c r="O108" s="102">
        <v>1.0</v>
      </c>
      <c r="P108" s="102" t="s">
        <v>366</v>
      </c>
      <c r="Q108" s="102" t="s">
        <v>433</v>
      </c>
      <c r="R108" s="102" t="s">
        <v>368</v>
      </c>
      <c r="S108" s="230"/>
      <c r="T108" s="102" t="s">
        <v>1155</v>
      </c>
    </row>
    <row r="109">
      <c r="A109" s="102" t="s">
        <v>310</v>
      </c>
      <c r="B109" s="102" t="s">
        <v>1908</v>
      </c>
      <c r="C109" s="229" t="s">
        <v>1909</v>
      </c>
      <c r="D109" s="102" t="s">
        <v>1910</v>
      </c>
      <c r="E109" s="102" t="s">
        <v>584</v>
      </c>
      <c r="F109" s="102" t="s">
        <v>585</v>
      </c>
      <c r="G109" s="102" t="s">
        <v>282</v>
      </c>
      <c r="H109" s="102" t="s">
        <v>283</v>
      </c>
      <c r="I109" s="102" t="s">
        <v>284</v>
      </c>
      <c r="J109" s="102" t="s">
        <v>678</v>
      </c>
      <c r="L109" s="229" t="s">
        <v>1911</v>
      </c>
      <c r="M109" s="229" t="s">
        <v>2837</v>
      </c>
      <c r="N109" s="229" t="s">
        <v>1304</v>
      </c>
      <c r="O109" s="102">
        <v>3.0</v>
      </c>
      <c r="P109" s="102" t="s">
        <v>331</v>
      </c>
      <c r="S109" s="230"/>
      <c r="T109" s="102" t="s">
        <v>298</v>
      </c>
      <c r="U109" s="102" t="s">
        <v>299</v>
      </c>
    </row>
    <row r="110">
      <c r="A110" s="102" t="s">
        <v>310</v>
      </c>
      <c r="B110" s="102" t="s">
        <v>2881</v>
      </c>
      <c r="C110" s="229" t="s">
        <v>2882</v>
      </c>
      <c r="D110" s="102" t="s">
        <v>2883</v>
      </c>
      <c r="E110" s="102" t="s">
        <v>584</v>
      </c>
      <c r="F110" s="102" t="s">
        <v>585</v>
      </c>
      <c r="G110" s="102" t="s">
        <v>353</v>
      </c>
      <c r="H110" s="102" t="s">
        <v>354</v>
      </c>
      <c r="I110" s="102" t="s">
        <v>284</v>
      </c>
      <c r="J110" s="102" t="s">
        <v>2509</v>
      </c>
      <c r="L110" s="229" t="s">
        <v>2884</v>
      </c>
      <c r="M110" s="229" t="s">
        <v>2832</v>
      </c>
      <c r="O110" s="102">
        <v>2.0</v>
      </c>
      <c r="S110" s="102">
        <v>14400.0</v>
      </c>
      <c r="T110" s="102" t="s">
        <v>2272</v>
      </c>
      <c r="U110" s="102" t="s">
        <v>2273</v>
      </c>
      <c r="V110" s="102" t="s">
        <v>2274</v>
      </c>
    </row>
    <row r="111">
      <c r="A111" s="102" t="s">
        <v>310</v>
      </c>
      <c r="B111" s="102" t="s">
        <v>2885</v>
      </c>
      <c r="C111" s="229" t="s">
        <v>2886</v>
      </c>
      <c r="D111" s="102" t="s">
        <v>2887</v>
      </c>
      <c r="E111" s="102" t="s">
        <v>314</v>
      </c>
      <c r="F111" s="102" t="s">
        <v>315</v>
      </c>
      <c r="G111" s="102" t="s">
        <v>316</v>
      </c>
      <c r="H111" s="102" t="s">
        <v>317</v>
      </c>
      <c r="I111" s="102" t="s">
        <v>284</v>
      </c>
      <c r="J111" s="102" t="s">
        <v>26</v>
      </c>
      <c r="L111" s="229" t="s">
        <v>2888</v>
      </c>
      <c r="M111" s="229" t="s">
        <v>2889</v>
      </c>
      <c r="O111" s="102">
        <v>1.0</v>
      </c>
      <c r="P111" s="102" t="s">
        <v>2890</v>
      </c>
      <c r="Q111" s="102" t="s">
        <v>2891</v>
      </c>
      <c r="S111" s="102">
        <v>600.0</v>
      </c>
      <c r="T111" s="102" t="s">
        <v>1964</v>
      </c>
      <c r="U111" s="102" t="s">
        <v>1155</v>
      </c>
    </row>
    <row r="112">
      <c r="A112" s="102" t="s">
        <v>310</v>
      </c>
      <c r="B112" s="102" t="s">
        <v>2892</v>
      </c>
      <c r="C112" s="229" t="s">
        <v>2893</v>
      </c>
      <c r="D112" s="102" t="s">
        <v>2894</v>
      </c>
      <c r="E112" s="102" t="s">
        <v>304</v>
      </c>
      <c r="F112" s="102" t="s">
        <v>305</v>
      </c>
      <c r="G112" s="102" t="s">
        <v>282</v>
      </c>
      <c r="H112" s="102" t="s">
        <v>283</v>
      </c>
      <c r="I112" s="102" t="s">
        <v>284</v>
      </c>
      <c r="J112" s="102" t="s">
        <v>26</v>
      </c>
      <c r="L112" s="229" t="s">
        <v>2895</v>
      </c>
      <c r="M112" s="229" t="s">
        <v>2896</v>
      </c>
      <c r="O112" s="102">
        <v>8.0</v>
      </c>
      <c r="P112" s="102" t="s">
        <v>593</v>
      </c>
      <c r="S112" s="230"/>
      <c r="T112" s="102" t="s">
        <v>298</v>
      </c>
      <c r="U112" s="102" t="s">
        <v>299</v>
      </c>
    </row>
    <row r="113">
      <c r="A113" s="102" t="s">
        <v>310</v>
      </c>
      <c r="B113" s="102" t="s">
        <v>1183</v>
      </c>
      <c r="C113" s="229" t="s">
        <v>1184</v>
      </c>
      <c r="D113" s="102" t="s">
        <v>1185</v>
      </c>
      <c r="E113" s="102" t="s">
        <v>495</v>
      </c>
      <c r="F113" s="102" t="s">
        <v>496</v>
      </c>
      <c r="G113" s="102" t="s">
        <v>282</v>
      </c>
      <c r="H113" s="102" t="s">
        <v>283</v>
      </c>
      <c r="I113" s="102" t="s">
        <v>284</v>
      </c>
      <c r="J113" s="102" t="s">
        <v>678</v>
      </c>
      <c r="L113" s="229" t="s">
        <v>1186</v>
      </c>
      <c r="M113" s="229" t="s">
        <v>2766</v>
      </c>
      <c r="N113" s="229" t="s">
        <v>1170</v>
      </c>
      <c r="O113" s="102">
        <v>3.0</v>
      </c>
      <c r="S113" s="102">
        <v>14400.0</v>
      </c>
      <c r="T113" s="102" t="s">
        <v>299</v>
      </c>
    </row>
    <row r="114">
      <c r="A114" s="102" t="s">
        <v>310</v>
      </c>
      <c r="B114" s="102" t="s">
        <v>2897</v>
      </c>
      <c r="C114" s="229" t="s">
        <v>2898</v>
      </c>
      <c r="D114" s="102" t="s">
        <v>2899</v>
      </c>
      <c r="E114" s="102" t="s">
        <v>584</v>
      </c>
      <c r="F114" s="102" t="s">
        <v>585</v>
      </c>
      <c r="G114" s="102" t="s">
        <v>282</v>
      </c>
      <c r="H114" s="102" t="s">
        <v>283</v>
      </c>
      <c r="I114" s="102" t="s">
        <v>284</v>
      </c>
      <c r="J114" s="102" t="s">
        <v>26</v>
      </c>
      <c r="L114" s="229" t="s">
        <v>2900</v>
      </c>
      <c r="M114" s="229" t="s">
        <v>2657</v>
      </c>
      <c r="O114" s="102">
        <v>3.0</v>
      </c>
      <c r="S114" s="102">
        <v>28800.0</v>
      </c>
      <c r="T114" s="102" t="s">
        <v>529</v>
      </c>
      <c r="U114" s="102" t="s">
        <v>298</v>
      </c>
      <c r="V114" s="102" t="s">
        <v>299</v>
      </c>
    </row>
    <row r="115">
      <c r="A115" s="102" t="s">
        <v>310</v>
      </c>
      <c r="B115" s="102" t="s">
        <v>2901</v>
      </c>
      <c r="C115" s="229" t="s">
        <v>2902</v>
      </c>
      <c r="D115" s="102" t="s">
        <v>2903</v>
      </c>
      <c r="E115" s="102" t="s">
        <v>353</v>
      </c>
      <c r="F115" s="102" t="s">
        <v>354</v>
      </c>
      <c r="G115" s="102" t="s">
        <v>316</v>
      </c>
      <c r="H115" s="102" t="s">
        <v>317</v>
      </c>
      <c r="I115" s="102" t="s">
        <v>515</v>
      </c>
      <c r="J115" s="102" t="s">
        <v>63</v>
      </c>
      <c r="L115" s="229" t="s">
        <v>2904</v>
      </c>
      <c r="M115" s="229" t="s">
        <v>2905</v>
      </c>
      <c r="O115" s="230"/>
      <c r="P115" s="102" t="s">
        <v>322</v>
      </c>
      <c r="Q115" s="102" t="s">
        <v>538</v>
      </c>
      <c r="S115" s="230"/>
      <c r="T115" s="102" t="s">
        <v>1155</v>
      </c>
      <c r="AQ115" s="102"/>
    </row>
    <row r="116">
      <c r="A116" s="102" t="s">
        <v>310</v>
      </c>
      <c r="B116" s="102" t="s">
        <v>1918</v>
      </c>
      <c r="C116" s="229" t="s">
        <v>1919</v>
      </c>
      <c r="D116" s="102" t="s">
        <v>1920</v>
      </c>
      <c r="E116" s="102" t="s">
        <v>556</v>
      </c>
      <c r="F116" s="102" t="s">
        <v>557</v>
      </c>
      <c r="G116" s="102" t="s">
        <v>353</v>
      </c>
      <c r="H116" s="102" t="s">
        <v>354</v>
      </c>
      <c r="I116" s="102" t="s">
        <v>1921</v>
      </c>
      <c r="J116" s="102" t="s">
        <v>678</v>
      </c>
      <c r="L116" s="229" t="s">
        <v>1922</v>
      </c>
      <c r="M116" s="229" t="s">
        <v>2906</v>
      </c>
      <c r="N116" s="229" t="s">
        <v>1170</v>
      </c>
      <c r="O116" s="102">
        <v>5.0</v>
      </c>
      <c r="S116" s="102">
        <v>57600.0</v>
      </c>
      <c r="T116" s="102" t="s">
        <v>1205</v>
      </c>
      <c r="U116" s="102" t="s">
        <v>1205</v>
      </c>
      <c r="AQ116" s="102"/>
    </row>
    <row r="117">
      <c r="A117" s="102" t="s">
        <v>310</v>
      </c>
      <c r="B117" s="102" t="s">
        <v>1923</v>
      </c>
      <c r="C117" s="229" t="s">
        <v>1924</v>
      </c>
      <c r="D117" s="102" t="s">
        <v>1925</v>
      </c>
      <c r="E117" s="102" t="s">
        <v>564</v>
      </c>
      <c r="F117" s="102" t="s">
        <v>565</v>
      </c>
      <c r="G117" s="102" t="s">
        <v>353</v>
      </c>
      <c r="H117" s="102" t="s">
        <v>354</v>
      </c>
      <c r="I117" s="102" t="s">
        <v>284</v>
      </c>
      <c r="J117" s="102" t="s">
        <v>63</v>
      </c>
      <c r="L117" s="229" t="s">
        <v>1922</v>
      </c>
      <c r="M117" s="229" t="s">
        <v>2907</v>
      </c>
      <c r="N117" s="229" t="s">
        <v>1170</v>
      </c>
      <c r="O117" s="102">
        <v>5.0</v>
      </c>
      <c r="S117" s="230"/>
      <c r="T117" s="102" t="s">
        <v>1205</v>
      </c>
      <c r="U117" s="102" t="s">
        <v>1058</v>
      </c>
      <c r="AQ117" s="102"/>
    </row>
    <row r="118">
      <c r="A118" s="102" t="s">
        <v>310</v>
      </c>
      <c r="B118" s="102" t="s">
        <v>1926</v>
      </c>
      <c r="C118" s="229" t="s">
        <v>1927</v>
      </c>
      <c r="D118" s="102" t="s">
        <v>1928</v>
      </c>
      <c r="E118" s="102" t="s">
        <v>564</v>
      </c>
      <c r="F118" s="102" t="s">
        <v>565</v>
      </c>
      <c r="G118" s="102" t="s">
        <v>353</v>
      </c>
      <c r="H118" s="102" t="s">
        <v>354</v>
      </c>
      <c r="I118" s="102" t="s">
        <v>284</v>
      </c>
      <c r="J118" s="102" t="s">
        <v>678</v>
      </c>
      <c r="L118" s="229" t="s">
        <v>1922</v>
      </c>
      <c r="M118" s="229" t="s">
        <v>2908</v>
      </c>
      <c r="N118" s="229" t="s">
        <v>1170</v>
      </c>
      <c r="O118" s="102">
        <v>5.0</v>
      </c>
      <c r="S118" s="102">
        <v>43200.0</v>
      </c>
      <c r="T118" s="102" t="s">
        <v>1205</v>
      </c>
      <c r="U118" s="102" t="s">
        <v>1205</v>
      </c>
      <c r="AQ118" s="102"/>
    </row>
    <row r="119">
      <c r="A119" s="102" t="s">
        <v>310</v>
      </c>
      <c r="B119" s="102" t="s">
        <v>1929</v>
      </c>
      <c r="C119" s="229" t="s">
        <v>1930</v>
      </c>
      <c r="D119" s="102" t="s">
        <v>1931</v>
      </c>
      <c r="E119" s="102" t="s">
        <v>564</v>
      </c>
      <c r="F119" s="102" t="s">
        <v>565</v>
      </c>
      <c r="G119" s="102" t="s">
        <v>353</v>
      </c>
      <c r="H119" s="102" t="s">
        <v>354</v>
      </c>
      <c r="I119" s="102" t="s">
        <v>284</v>
      </c>
      <c r="J119" s="102" t="s">
        <v>678</v>
      </c>
      <c r="L119" s="229" t="s">
        <v>1932</v>
      </c>
      <c r="M119" s="229" t="s">
        <v>2662</v>
      </c>
      <c r="N119" s="229" t="s">
        <v>1144</v>
      </c>
      <c r="O119" s="102">
        <v>5.0</v>
      </c>
      <c r="S119" s="102">
        <v>43200.0</v>
      </c>
      <c r="T119" s="102" t="s">
        <v>1205</v>
      </c>
      <c r="U119" s="102" t="s">
        <v>1205</v>
      </c>
      <c r="AQ119" s="102"/>
    </row>
    <row r="120">
      <c r="A120" s="102" t="s">
        <v>310</v>
      </c>
      <c r="B120" s="102" t="s">
        <v>2909</v>
      </c>
      <c r="C120" s="229" t="s">
        <v>2910</v>
      </c>
      <c r="D120" s="102" t="s">
        <v>2911</v>
      </c>
      <c r="E120" s="102" t="s">
        <v>564</v>
      </c>
      <c r="F120" s="102" t="s">
        <v>565</v>
      </c>
      <c r="G120" s="102" t="s">
        <v>353</v>
      </c>
      <c r="H120" s="102" t="s">
        <v>354</v>
      </c>
      <c r="I120" s="102" t="s">
        <v>284</v>
      </c>
      <c r="J120" s="102" t="s">
        <v>678</v>
      </c>
      <c r="L120" s="229" t="s">
        <v>1932</v>
      </c>
      <c r="M120" s="229" t="s">
        <v>2662</v>
      </c>
      <c r="N120" s="229" t="s">
        <v>2912</v>
      </c>
      <c r="O120" s="102">
        <v>3.0</v>
      </c>
      <c r="S120" s="102">
        <v>21600.0</v>
      </c>
      <c r="T120" s="102" t="s">
        <v>1205</v>
      </c>
      <c r="U120" s="102" t="s">
        <v>1205</v>
      </c>
    </row>
    <row r="121">
      <c r="A121" s="102" t="s">
        <v>310</v>
      </c>
      <c r="B121" s="102" t="s">
        <v>2913</v>
      </c>
      <c r="C121" s="229" t="s">
        <v>2914</v>
      </c>
      <c r="D121" s="102" t="s">
        <v>2915</v>
      </c>
      <c r="E121" s="102" t="s">
        <v>564</v>
      </c>
      <c r="F121" s="102" t="s">
        <v>565</v>
      </c>
      <c r="G121" s="102" t="s">
        <v>353</v>
      </c>
      <c r="H121" s="102" t="s">
        <v>354</v>
      </c>
      <c r="I121" s="102" t="s">
        <v>284</v>
      </c>
      <c r="J121" s="102" t="s">
        <v>678</v>
      </c>
      <c r="L121" s="229" t="s">
        <v>1936</v>
      </c>
      <c r="M121" s="229" t="s">
        <v>2662</v>
      </c>
      <c r="N121" s="229" t="s">
        <v>1160</v>
      </c>
      <c r="O121" s="102">
        <v>3.0</v>
      </c>
      <c r="S121" s="102">
        <v>21600.0</v>
      </c>
      <c r="T121" s="102" t="s">
        <v>1205</v>
      </c>
      <c r="U121" s="102" t="s">
        <v>1205</v>
      </c>
      <c r="AP121" s="102"/>
      <c r="AQ121" s="102"/>
      <c r="AR121" s="102"/>
    </row>
    <row r="122">
      <c r="A122" s="102" t="s">
        <v>310</v>
      </c>
      <c r="B122" s="102" t="s">
        <v>1933</v>
      </c>
      <c r="C122" s="229" t="s">
        <v>1934</v>
      </c>
      <c r="D122" s="102" t="s">
        <v>1935</v>
      </c>
      <c r="E122" s="102" t="s">
        <v>564</v>
      </c>
      <c r="F122" s="102" t="s">
        <v>565</v>
      </c>
      <c r="G122" s="102" t="s">
        <v>353</v>
      </c>
      <c r="H122" s="102" t="s">
        <v>354</v>
      </c>
      <c r="I122" s="102" t="s">
        <v>284</v>
      </c>
      <c r="J122" s="102" t="s">
        <v>678</v>
      </c>
      <c r="L122" s="229" t="s">
        <v>1936</v>
      </c>
      <c r="M122" s="229" t="s">
        <v>2787</v>
      </c>
      <c r="N122" s="229" t="s">
        <v>1275</v>
      </c>
      <c r="O122" s="102">
        <v>3.0</v>
      </c>
      <c r="S122" s="230"/>
      <c r="T122" s="102" t="s">
        <v>1204</v>
      </c>
      <c r="U122" s="102" t="s">
        <v>1205</v>
      </c>
      <c r="V122" s="102" t="s">
        <v>1205</v>
      </c>
      <c r="AP122" s="102"/>
      <c r="AQ122" s="102"/>
      <c r="AR122" s="102"/>
    </row>
    <row r="123">
      <c r="A123" s="102" t="s">
        <v>310</v>
      </c>
      <c r="B123" s="102" t="s">
        <v>2916</v>
      </c>
      <c r="C123" s="229" t="s">
        <v>2917</v>
      </c>
      <c r="D123" s="102" t="s">
        <v>2918</v>
      </c>
      <c r="E123" s="102" t="s">
        <v>564</v>
      </c>
      <c r="F123" s="102" t="s">
        <v>565</v>
      </c>
      <c r="G123" s="102" t="s">
        <v>353</v>
      </c>
      <c r="H123" s="102" t="s">
        <v>354</v>
      </c>
      <c r="I123" s="102" t="s">
        <v>284</v>
      </c>
      <c r="J123" s="102" t="s">
        <v>678</v>
      </c>
      <c r="L123" s="229" t="s">
        <v>2919</v>
      </c>
      <c r="M123" s="229" t="s">
        <v>2787</v>
      </c>
      <c r="N123" s="229" t="s">
        <v>2798</v>
      </c>
      <c r="O123" s="102">
        <v>3.0</v>
      </c>
      <c r="S123" s="102">
        <v>21600.0</v>
      </c>
      <c r="T123" s="102" t="s">
        <v>1204</v>
      </c>
      <c r="U123" s="102" t="s">
        <v>1205</v>
      </c>
      <c r="V123" s="102" t="s">
        <v>1205</v>
      </c>
    </row>
    <row r="124">
      <c r="A124" s="102" t="s">
        <v>310</v>
      </c>
      <c r="B124" s="102" t="s">
        <v>1937</v>
      </c>
      <c r="C124" s="229" t="s">
        <v>1938</v>
      </c>
      <c r="D124" s="102" t="s">
        <v>1939</v>
      </c>
      <c r="E124" s="102" t="s">
        <v>564</v>
      </c>
      <c r="F124" s="102" t="s">
        <v>565</v>
      </c>
      <c r="G124" s="102" t="s">
        <v>353</v>
      </c>
      <c r="H124" s="102" t="s">
        <v>354</v>
      </c>
      <c r="I124" s="102" t="s">
        <v>284</v>
      </c>
      <c r="J124" s="102" t="s">
        <v>454</v>
      </c>
      <c r="L124" s="229" t="s">
        <v>1940</v>
      </c>
      <c r="M124" s="229" t="s">
        <v>2920</v>
      </c>
      <c r="N124" s="229" t="s">
        <v>1941</v>
      </c>
      <c r="O124" s="102">
        <v>3.0</v>
      </c>
      <c r="P124" s="102" t="s">
        <v>593</v>
      </c>
      <c r="Q124" s="102" t="s">
        <v>1855</v>
      </c>
      <c r="S124" s="102">
        <v>28800.0</v>
      </c>
      <c r="T124" s="102" t="s">
        <v>1203</v>
      </c>
      <c r="U124" s="102" t="s">
        <v>1204</v>
      </c>
      <c r="V124" s="102" t="s">
        <v>1205</v>
      </c>
      <c r="W124" s="102" t="s">
        <v>1205</v>
      </c>
      <c r="AP124" s="102"/>
      <c r="AQ124" s="102"/>
    </row>
    <row r="125">
      <c r="A125" s="102" t="s">
        <v>310</v>
      </c>
      <c r="B125" s="102" t="s">
        <v>1193</v>
      </c>
      <c r="C125" s="229" t="s">
        <v>1194</v>
      </c>
      <c r="D125" s="102" t="s">
        <v>1195</v>
      </c>
      <c r="E125" s="102" t="s">
        <v>495</v>
      </c>
      <c r="F125" s="102" t="s">
        <v>496</v>
      </c>
      <c r="G125" s="102" t="s">
        <v>282</v>
      </c>
      <c r="H125" s="102" t="s">
        <v>283</v>
      </c>
      <c r="I125" s="102" t="s">
        <v>284</v>
      </c>
      <c r="J125" s="102" t="s">
        <v>678</v>
      </c>
      <c r="L125" s="229" t="s">
        <v>1196</v>
      </c>
      <c r="M125" s="229" t="s">
        <v>2921</v>
      </c>
      <c r="N125" s="229" t="s">
        <v>1170</v>
      </c>
      <c r="O125" s="102">
        <v>3.0</v>
      </c>
      <c r="S125" s="102">
        <v>14400.0</v>
      </c>
      <c r="T125" s="102" t="s">
        <v>299</v>
      </c>
      <c r="AP125" s="102"/>
      <c r="AQ125" s="102"/>
    </row>
    <row r="126">
      <c r="A126" s="102" t="s">
        <v>310</v>
      </c>
      <c r="B126" s="102" t="s">
        <v>2922</v>
      </c>
      <c r="C126" s="229" t="s">
        <v>2923</v>
      </c>
      <c r="D126" s="102" t="s">
        <v>2924</v>
      </c>
      <c r="E126" s="102" t="s">
        <v>556</v>
      </c>
      <c r="F126" s="102" t="s">
        <v>557</v>
      </c>
      <c r="G126" s="102" t="s">
        <v>282</v>
      </c>
      <c r="H126" s="102" t="s">
        <v>283</v>
      </c>
      <c r="I126" s="102" t="s">
        <v>284</v>
      </c>
      <c r="J126" s="102" t="s">
        <v>26</v>
      </c>
      <c r="L126" s="229" t="s">
        <v>2925</v>
      </c>
      <c r="M126" s="229" t="s">
        <v>2837</v>
      </c>
      <c r="N126" s="229" t="s">
        <v>1304</v>
      </c>
      <c r="O126" s="102">
        <v>3.0</v>
      </c>
      <c r="P126" s="102" t="s">
        <v>435</v>
      </c>
      <c r="S126" s="102">
        <v>28800.0</v>
      </c>
      <c r="T126" s="102" t="s">
        <v>298</v>
      </c>
      <c r="U126" s="102" t="s">
        <v>299</v>
      </c>
      <c r="AP126" s="102"/>
      <c r="AQ126" s="102"/>
    </row>
    <row r="127">
      <c r="A127" s="102" t="s">
        <v>332</v>
      </c>
      <c r="B127" s="102" t="s">
        <v>2926</v>
      </c>
      <c r="C127" s="229" t="s">
        <v>2927</v>
      </c>
      <c r="D127" s="102" t="s">
        <v>2928</v>
      </c>
      <c r="E127" s="102" t="s">
        <v>328</v>
      </c>
      <c r="F127" s="102" t="s">
        <v>329</v>
      </c>
      <c r="G127" s="102" t="s">
        <v>280</v>
      </c>
      <c r="H127" s="102" t="s">
        <v>281</v>
      </c>
      <c r="I127" s="102" t="s">
        <v>284</v>
      </c>
      <c r="J127" s="102" t="s">
        <v>336</v>
      </c>
      <c r="L127" s="229" t="s">
        <v>2929</v>
      </c>
      <c r="M127" s="229" t="s">
        <v>2930</v>
      </c>
      <c r="O127" s="230"/>
      <c r="S127" s="230"/>
      <c r="T127" s="102" t="s">
        <v>298</v>
      </c>
      <c r="U127" s="102" t="s">
        <v>299</v>
      </c>
      <c r="AP127" s="102"/>
      <c r="AQ127" s="102"/>
    </row>
    <row r="128">
      <c r="A128" s="102" t="s">
        <v>310</v>
      </c>
      <c r="B128" s="102" t="s">
        <v>1942</v>
      </c>
      <c r="C128" s="229" t="s">
        <v>1943</v>
      </c>
      <c r="D128" s="102" t="s">
        <v>1944</v>
      </c>
      <c r="E128" s="102" t="s">
        <v>584</v>
      </c>
      <c r="F128" s="102" t="s">
        <v>585</v>
      </c>
      <c r="G128" s="102" t="s">
        <v>282</v>
      </c>
      <c r="H128" s="102" t="s">
        <v>283</v>
      </c>
      <c r="I128" s="102" t="s">
        <v>284</v>
      </c>
      <c r="J128" s="102" t="s">
        <v>454</v>
      </c>
      <c r="L128" s="229" t="s">
        <v>1945</v>
      </c>
      <c r="M128" s="229" t="s">
        <v>2931</v>
      </c>
      <c r="O128" s="102">
        <v>3.0</v>
      </c>
      <c r="S128" s="230"/>
      <c r="T128" s="102" t="s">
        <v>298</v>
      </c>
      <c r="U128" s="102" t="s">
        <v>299</v>
      </c>
      <c r="AP128" s="102"/>
      <c r="AQ128" s="102"/>
    </row>
    <row r="129">
      <c r="A129" s="102" t="s">
        <v>332</v>
      </c>
      <c r="B129" s="102" t="s">
        <v>2932</v>
      </c>
      <c r="C129" s="229" t="s">
        <v>2933</v>
      </c>
      <c r="D129" s="102" t="s">
        <v>2934</v>
      </c>
      <c r="E129" s="102" t="s">
        <v>282</v>
      </c>
      <c r="F129" s="102" t="s">
        <v>283</v>
      </c>
      <c r="G129" s="102" t="s">
        <v>316</v>
      </c>
      <c r="H129" s="102" t="s">
        <v>317</v>
      </c>
      <c r="I129" s="102" t="s">
        <v>515</v>
      </c>
      <c r="J129" s="102" t="s">
        <v>336</v>
      </c>
      <c r="L129" s="229" t="s">
        <v>2935</v>
      </c>
      <c r="M129" s="229" t="s">
        <v>2936</v>
      </c>
      <c r="O129" s="102">
        <v>1.0</v>
      </c>
      <c r="P129" s="102" t="s">
        <v>366</v>
      </c>
      <c r="Q129" s="102" t="s">
        <v>368</v>
      </c>
      <c r="S129" s="230"/>
      <c r="T129" s="102" t="s">
        <v>1964</v>
      </c>
      <c r="U129" s="102" t="s">
        <v>1155</v>
      </c>
      <c r="AP129" s="102"/>
      <c r="AQ129" s="102"/>
    </row>
    <row r="130">
      <c r="A130" s="102" t="s">
        <v>332</v>
      </c>
      <c r="B130" s="102" t="s">
        <v>2937</v>
      </c>
      <c r="C130" s="229" t="s">
        <v>2938</v>
      </c>
      <c r="D130" s="102" t="s">
        <v>2939</v>
      </c>
      <c r="E130" s="102" t="s">
        <v>282</v>
      </c>
      <c r="F130" s="102" t="s">
        <v>283</v>
      </c>
      <c r="G130" s="102" t="s">
        <v>316</v>
      </c>
      <c r="H130" s="102" t="s">
        <v>317</v>
      </c>
      <c r="I130" s="102" t="s">
        <v>515</v>
      </c>
      <c r="J130" s="102" t="s">
        <v>336</v>
      </c>
      <c r="L130" s="229" t="s">
        <v>2940</v>
      </c>
      <c r="M130" s="229" t="s">
        <v>2941</v>
      </c>
      <c r="O130" s="102">
        <v>1.0</v>
      </c>
      <c r="P130" s="102" t="s">
        <v>368</v>
      </c>
      <c r="S130" s="230"/>
      <c r="T130" s="102" t="s">
        <v>1964</v>
      </c>
      <c r="U130" s="102" t="s">
        <v>1155</v>
      </c>
      <c r="AP130" s="102"/>
      <c r="AQ130" s="102"/>
      <c r="AR130" s="102"/>
    </row>
    <row r="131">
      <c r="A131" s="102" t="s">
        <v>310</v>
      </c>
      <c r="B131" s="102" t="s">
        <v>2942</v>
      </c>
      <c r="C131" s="229" t="s">
        <v>2943</v>
      </c>
      <c r="D131" s="102" t="s">
        <v>2944</v>
      </c>
      <c r="E131" s="102" t="s">
        <v>564</v>
      </c>
      <c r="F131" s="102" t="s">
        <v>565</v>
      </c>
      <c r="G131" s="102" t="s">
        <v>316</v>
      </c>
      <c r="H131" s="102" t="s">
        <v>317</v>
      </c>
      <c r="I131" s="102" t="s">
        <v>284</v>
      </c>
      <c r="J131" s="102" t="s">
        <v>26</v>
      </c>
      <c r="L131" s="229" t="s">
        <v>2945</v>
      </c>
      <c r="M131" s="229" t="s">
        <v>2946</v>
      </c>
      <c r="O131" s="102">
        <v>2.0</v>
      </c>
      <c r="P131" s="102" t="s">
        <v>368</v>
      </c>
      <c r="S131" s="230"/>
      <c r="T131" s="102" t="s">
        <v>1964</v>
      </c>
      <c r="U131" s="102" t="s">
        <v>1155</v>
      </c>
      <c r="AP131" s="102"/>
      <c r="AQ131" s="102"/>
      <c r="AR131" s="102"/>
    </row>
    <row r="132">
      <c r="A132" s="102" t="s">
        <v>310</v>
      </c>
      <c r="B132" s="102" t="s">
        <v>2447</v>
      </c>
      <c r="C132" s="229" t="s">
        <v>2448</v>
      </c>
      <c r="D132" s="102" t="s">
        <v>2449</v>
      </c>
      <c r="E132" s="102" t="s">
        <v>353</v>
      </c>
      <c r="F132" s="102" t="s">
        <v>354</v>
      </c>
      <c r="G132" s="102" t="s">
        <v>314</v>
      </c>
      <c r="H132" s="102" t="s">
        <v>315</v>
      </c>
      <c r="I132" s="102" t="s">
        <v>648</v>
      </c>
      <c r="J132" s="102" t="s">
        <v>63</v>
      </c>
      <c r="L132" s="229" t="s">
        <v>2450</v>
      </c>
      <c r="M132" s="229" t="s">
        <v>2662</v>
      </c>
      <c r="O132" s="230"/>
      <c r="S132" s="230"/>
      <c r="T132" s="102" t="s">
        <v>1155</v>
      </c>
      <c r="AP132" s="102"/>
      <c r="AQ132" s="102"/>
      <c r="AR132" s="102"/>
    </row>
    <row r="133">
      <c r="A133" s="102" t="s">
        <v>310</v>
      </c>
      <c r="B133" s="102" t="s">
        <v>2947</v>
      </c>
      <c r="C133" s="229" t="s">
        <v>2948</v>
      </c>
      <c r="D133" s="102" t="s">
        <v>2949</v>
      </c>
      <c r="E133" s="102" t="s">
        <v>314</v>
      </c>
      <c r="F133" s="102" t="s">
        <v>315</v>
      </c>
      <c r="G133" s="102" t="s">
        <v>314</v>
      </c>
      <c r="H133" s="102" t="s">
        <v>315</v>
      </c>
      <c r="I133" s="102" t="s">
        <v>648</v>
      </c>
      <c r="J133" s="102" t="s">
        <v>26</v>
      </c>
      <c r="L133" s="229" t="s">
        <v>2450</v>
      </c>
      <c r="M133" s="229" t="s">
        <v>2950</v>
      </c>
      <c r="O133" s="102">
        <v>1.0</v>
      </c>
      <c r="S133" s="102">
        <v>1800.0</v>
      </c>
      <c r="T133" s="102" t="s">
        <v>1155</v>
      </c>
    </row>
    <row r="134">
      <c r="A134" s="102" t="s">
        <v>310</v>
      </c>
      <c r="B134" s="102" t="s">
        <v>2452</v>
      </c>
      <c r="C134" s="229" t="s">
        <v>2453</v>
      </c>
      <c r="D134" s="102" t="s">
        <v>2454</v>
      </c>
      <c r="E134" s="102" t="s">
        <v>353</v>
      </c>
      <c r="F134" s="102" t="s">
        <v>354</v>
      </c>
      <c r="G134" s="102" t="s">
        <v>314</v>
      </c>
      <c r="H134" s="102" t="s">
        <v>315</v>
      </c>
      <c r="I134" s="102" t="s">
        <v>648</v>
      </c>
      <c r="J134" s="102" t="s">
        <v>34</v>
      </c>
      <c r="L134" s="229" t="s">
        <v>2455</v>
      </c>
      <c r="M134" s="229" t="s">
        <v>2951</v>
      </c>
      <c r="O134" s="102">
        <v>5.0</v>
      </c>
      <c r="S134" s="230"/>
      <c r="T134" s="102" t="s">
        <v>1964</v>
      </c>
      <c r="U134" s="102" t="s">
        <v>2457</v>
      </c>
      <c r="V134" s="102" t="s">
        <v>1155</v>
      </c>
    </row>
    <row r="135">
      <c r="A135" s="102" t="s">
        <v>630</v>
      </c>
      <c r="B135" s="102" t="s">
        <v>2952</v>
      </c>
      <c r="C135" s="229" t="s">
        <v>2953</v>
      </c>
      <c r="D135" s="102" t="s">
        <v>1200</v>
      </c>
      <c r="G135" s="102" t="s">
        <v>353</v>
      </c>
      <c r="H135" s="102" t="s">
        <v>354</v>
      </c>
      <c r="I135" s="102" t="s">
        <v>284</v>
      </c>
      <c r="J135" s="102" t="s">
        <v>63</v>
      </c>
      <c r="L135" s="229" t="s">
        <v>2954</v>
      </c>
      <c r="M135" s="229" t="s">
        <v>2955</v>
      </c>
      <c r="N135" s="229" t="s">
        <v>1202</v>
      </c>
      <c r="O135" s="230"/>
      <c r="P135" s="102" t="s">
        <v>1855</v>
      </c>
      <c r="S135" s="230"/>
      <c r="T135" s="102" t="s">
        <v>2956</v>
      </c>
      <c r="U135" s="102" t="s">
        <v>1150</v>
      </c>
    </row>
    <row r="136">
      <c r="A136" s="102" t="s">
        <v>630</v>
      </c>
      <c r="B136" s="102" t="s">
        <v>1198</v>
      </c>
      <c r="C136" s="229" t="s">
        <v>1199</v>
      </c>
      <c r="D136" s="102" t="s">
        <v>1200</v>
      </c>
      <c r="G136" s="102" t="s">
        <v>353</v>
      </c>
      <c r="H136" s="102" t="s">
        <v>354</v>
      </c>
      <c r="I136" s="102" t="s">
        <v>284</v>
      </c>
      <c r="J136" s="102" t="s">
        <v>63</v>
      </c>
      <c r="L136" s="229" t="s">
        <v>1201</v>
      </c>
      <c r="M136" s="229" t="s">
        <v>2957</v>
      </c>
      <c r="N136" s="229" t="s">
        <v>1202</v>
      </c>
      <c r="O136" s="230"/>
      <c r="S136" s="230"/>
      <c r="T136" s="102" t="s">
        <v>1203</v>
      </c>
      <c r="U136" s="102" t="s">
        <v>1204</v>
      </c>
      <c r="V136" s="102" t="s">
        <v>1205</v>
      </c>
      <c r="W136" s="102" t="s">
        <v>1205</v>
      </c>
    </row>
    <row r="137">
      <c r="A137" s="102" t="s">
        <v>310</v>
      </c>
      <c r="B137" s="102" t="s">
        <v>1947</v>
      </c>
      <c r="C137" s="229" t="s">
        <v>1948</v>
      </c>
      <c r="D137" s="102" t="s">
        <v>1949</v>
      </c>
      <c r="E137" s="102" t="s">
        <v>556</v>
      </c>
      <c r="F137" s="102" t="s">
        <v>557</v>
      </c>
      <c r="G137" s="102" t="s">
        <v>282</v>
      </c>
      <c r="H137" s="102" t="s">
        <v>283</v>
      </c>
      <c r="I137" s="102" t="s">
        <v>648</v>
      </c>
      <c r="J137" s="102" t="s">
        <v>454</v>
      </c>
      <c r="L137" s="229" t="s">
        <v>1950</v>
      </c>
      <c r="M137" s="229" t="s">
        <v>2958</v>
      </c>
      <c r="N137" s="229" t="s">
        <v>1202</v>
      </c>
      <c r="O137" s="102">
        <v>5.0</v>
      </c>
      <c r="S137" s="102">
        <v>57600.0</v>
      </c>
      <c r="T137" s="102" t="s">
        <v>529</v>
      </c>
      <c r="U137" s="102" t="s">
        <v>298</v>
      </c>
      <c r="V137" s="102" t="s">
        <v>299</v>
      </c>
    </row>
    <row r="138">
      <c r="A138" s="102" t="s">
        <v>276</v>
      </c>
      <c r="B138" s="102" t="s">
        <v>2458</v>
      </c>
      <c r="C138" s="229" t="s">
        <v>2459</v>
      </c>
      <c r="D138" s="102" t="s">
        <v>2460</v>
      </c>
      <c r="E138" s="102" t="s">
        <v>584</v>
      </c>
      <c r="F138" s="102" t="s">
        <v>585</v>
      </c>
      <c r="G138" s="102" t="s">
        <v>584</v>
      </c>
      <c r="H138" s="102" t="s">
        <v>585</v>
      </c>
      <c r="I138" s="102" t="s">
        <v>284</v>
      </c>
      <c r="J138" s="102" t="s">
        <v>26</v>
      </c>
      <c r="L138" s="229" t="s">
        <v>2461</v>
      </c>
      <c r="M138" s="229" t="s">
        <v>2462</v>
      </c>
      <c r="O138" s="230"/>
      <c r="S138" s="230"/>
      <c r="T138" s="102" t="s">
        <v>2271</v>
      </c>
      <c r="U138" s="102" t="s">
        <v>2272</v>
      </c>
      <c r="V138" s="102" t="s">
        <v>2273</v>
      </c>
      <c r="W138" s="102" t="s">
        <v>2274</v>
      </c>
    </row>
    <row r="139">
      <c r="A139" s="102" t="s">
        <v>276</v>
      </c>
      <c r="B139" s="102" t="s">
        <v>2463</v>
      </c>
      <c r="C139" s="229" t="s">
        <v>2464</v>
      </c>
      <c r="D139" s="102" t="s">
        <v>2465</v>
      </c>
      <c r="E139" s="102" t="s">
        <v>584</v>
      </c>
      <c r="F139" s="102" t="s">
        <v>585</v>
      </c>
      <c r="G139" s="102" t="s">
        <v>584</v>
      </c>
      <c r="H139" s="102" t="s">
        <v>585</v>
      </c>
      <c r="I139" s="102" t="s">
        <v>284</v>
      </c>
      <c r="J139" s="102" t="s">
        <v>26</v>
      </c>
      <c r="L139" s="229" t="s">
        <v>2461</v>
      </c>
      <c r="M139" s="229" t="s">
        <v>2466</v>
      </c>
      <c r="O139" s="230"/>
      <c r="S139" s="102">
        <v>28800.0</v>
      </c>
      <c r="T139" s="102" t="s">
        <v>2271</v>
      </c>
      <c r="U139" s="102" t="s">
        <v>2272</v>
      </c>
      <c r="V139" s="102" t="s">
        <v>2273</v>
      </c>
      <c r="W139" s="102" t="s">
        <v>2274</v>
      </c>
    </row>
    <row r="140">
      <c r="A140" s="102" t="s">
        <v>276</v>
      </c>
      <c r="B140" s="102" t="s">
        <v>2467</v>
      </c>
      <c r="C140" s="229" t="s">
        <v>2468</v>
      </c>
      <c r="D140" s="102" t="s">
        <v>2469</v>
      </c>
      <c r="E140" s="102" t="s">
        <v>584</v>
      </c>
      <c r="F140" s="102" t="s">
        <v>585</v>
      </c>
      <c r="G140" s="102" t="s">
        <v>584</v>
      </c>
      <c r="H140" s="102" t="s">
        <v>585</v>
      </c>
      <c r="I140" s="102" t="s">
        <v>284</v>
      </c>
      <c r="J140" s="102" t="s">
        <v>26</v>
      </c>
      <c r="L140" s="229" t="s">
        <v>2470</v>
      </c>
      <c r="M140" s="229" t="s">
        <v>2466</v>
      </c>
      <c r="O140" s="230"/>
      <c r="S140" s="102">
        <v>14400.0</v>
      </c>
      <c r="T140" s="102" t="s">
        <v>2271</v>
      </c>
      <c r="U140" s="102" t="s">
        <v>2272</v>
      </c>
      <c r="V140" s="102" t="s">
        <v>2273</v>
      </c>
      <c r="W140" s="102" t="s">
        <v>2274</v>
      </c>
    </row>
    <row r="141">
      <c r="A141" s="102" t="s">
        <v>276</v>
      </c>
      <c r="B141" s="102" t="s">
        <v>2471</v>
      </c>
      <c r="C141" s="229" t="s">
        <v>2472</v>
      </c>
      <c r="D141" s="102" t="s">
        <v>2473</v>
      </c>
      <c r="E141" s="102" t="s">
        <v>584</v>
      </c>
      <c r="F141" s="102" t="s">
        <v>585</v>
      </c>
      <c r="G141" s="102" t="s">
        <v>584</v>
      </c>
      <c r="H141" s="102" t="s">
        <v>585</v>
      </c>
      <c r="I141" s="102" t="s">
        <v>284</v>
      </c>
      <c r="J141" s="102" t="s">
        <v>26</v>
      </c>
      <c r="L141" s="229" t="s">
        <v>2474</v>
      </c>
      <c r="M141" s="229" t="s">
        <v>2466</v>
      </c>
      <c r="O141" s="230"/>
      <c r="S141" s="102">
        <v>43200.0</v>
      </c>
      <c r="T141" s="102" t="s">
        <v>2271</v>
      </c>
      <c r="U141" s="102" t="s">
        <v>2272</v>
      </c>
      <c r="V141" s="102" t="s">
        <v>2273</v>
      </c>
      <c r="W141" s="102" t="s">
        <v>2274</v>
      </c>
    </row>
    <row r="142">
      <c r="A142" s="102" t="s">
        <v>310</v>
      </c>
      <c r="B142" s="102" t="s">
        <v>2959</v>
      </c>
      <c r="C142" s="229" t="s">
        <v>2960</v>
      </c>
      <c r="D142" s="102" t="s">
        <v>2961</v>
      </c>
      <c r="E142" s="102" t="s">
        <v>564</v>
      </c>
      <c r="F142" s="102" t="s">
        <v>565</v>
      </c>
      <c r="G142" s="102" t="s">
        <v>353</v>
      </c>
      <c r="H142" s="102" t="s">
        <v>354</v>
      </c>
      <c r="I142" s="102" t="s">
        <v>284</v>
      </c>
      <c r="J142" s="102" t="s">
        <v>454</v>
      </c>
      <c r="L142" s="229" t="s">
        <v>2962</v>
      </c>
      <c r="M142" s="229" t="s">
        <v>2963</v>
      </c>
      <c r="N142" s="229" t="s">
        <v>2515</v>
      </c>
      <c r="O142" s="102">
        <v>2.0</v>
      </c>
      <c r="S142" s="102">
        <v>14400.0</v>
      </c>
      <c r="T142" s="102" t="s">
        <v>2956</v>
      </c>
      <c r="U142" s="102" t="s">
        <v>1150</v>
      </c>
    </row>
    <row r="143">
      <c r="A143" s="102" t="s">
        <v>310</v>
      </c>
      <c r="B143" s="102" t="s">
        <v>2964</v>
      </c>
      <c r="C143" s="229" t="s">
        <v>2965</v>
      </c>
      <c r="D143" s="102" t="s">
        <v>2966</v>
      </c>
      <c r="E143" s="102" t="s">
        <v>564</v>
      </c>
      <c r="F143" s="102" t="s">
        <v>565</v>
      </c>
      <c r="G143" s="102" t="s">
        <v>353</v>
      </c>
      <c r="H143" s="102" t="s">
        <v>354</v>
      </c>
      <c r="I143" s="102" t="s">
        <v>284</v>
      </c>
      <c r="J143" s="102" t="s">
        <v>454</v>
      </c>
      <c r="L143" s="229" t="s">
        <v>2967</v>
      </c>
      <c r="M143" s="229" t="s">
        <v>2963</v>
      </c>
      <c r="N143" s="229" t="s">
        <v>2515</v>
      </c>
      <c r="O143" s="102">
        <v>2.0</v>
      </c>
      <c r="S143" s="102">
        <v>14400.0</v>
      </c>
      <c r="T143" s="102" t="s">
        <v>2956</v>
      </c>
      <c r="U143" s="102" t="s">
        <v>1150</v>
      </c>
    </row>
    <row r="144">
      <c r="A144" s="102" t="s">
        <v>310</v>
      </c>
      <c r="B144" s="102" t="s">
        <v>1951</v>
      </c>
      <c r="C144" s="229" t="s">
        <v>1952</v>
      </c>
      <c r="D144" s="102" t="s">
        <v>1953</v>
      </c>
      <c r="E144" s="102" t="s">
        <v>564</v>
      </c>
      <c r="F144" s="102" t="s">
        <v>565</v>
      </c>
      <c r="G144" s="102" t="s">
        <v>353</v>
      </c>
      <c r="H144" s="102" t="s">
        <v>354</v>
      </c>
      <c r="I144" s="102" t="s">
        <v>284</v>
      </c>
      <c r="J144" s="102" t="s">
        <v>454</v>
      </c>
      <c r="L144" s="229" t="s">
        <v>1954</v>
      </c>
      <c r="M144" s="229" t="s">
        <v>2787</v>
      </c>
      <c r="N144" s="229" t="s">
        <v>1955</v>
      </c>
      <c r="O144" s="102">
        <v>5.0</v>
      </c>
      <c r="P144" s="102" t="s">
        <v>1855</v>
      </c>
      <c r="S144" s="102">
        <v>43200.0</v>
      </c>
      <c r="T144" s="102" t="s">
        <v>1203</v>
      </c>
      <c r="U144" s="102" t="s">
        <v>1204</v>
      </c>
      <c r="V144" s="102" t="s">
        <v>1205</v>
      </c>
      <c r="W144" s="102" t="s">
        <v>1205</v>
      </c>
    </row>
    <row r="145">
      <c r="A145" s="102" t="s">
        <v>310</v>
      </c>
      <c r="B145" s="102" t="s">
        <v>2968</v>
      </c>
      <c r="C145" s="229" t="s">
        <v>2969</v>
      </c>
      <c r="D145" s="102" t="s">
        <v>2970</v>
      </c>
      <c r="E145" s="102" t="s">
        <v>282</v>
      </c>
      <c r="F145" s="102" t="s">
        <v>283</v>
      </c>
      <c r="G145" s="102" t="s">
        <v>282</v>
      </c>
      <c r="H145" s="102" t="s">
        <v>283</v>
      </c>
      <c r="I145" s="102" t="s">
        <v>284</v>
      </c>
      <c r="J145" s="102" t="s">
        <v>34</v>
      </c>
      <c r="L145" s="229" t="s">
        <v>1959</v>
      </c>
      <c r="M145" s="229" t="s">
        <v>1881</v>
      </c>
      <c r="O145" s="102">
        <v>13.0</v>
      </c>
      <c r="S145" s="230"/>
      <c r="T145" s="102" t="s">
        <v>299</v>
      </c>
    </row>
    <row r="146">
      <c r="A146" s="102" t="s">
        <v>276</v>
      </c>
      <c r="B146" s="102" t="s">
        <v>2475</v>
      </c>
      <c r="C146" s="229" t="s">
        <v>2476</v>
      </c>
      <c r="D146" s="102" t="s">
        <v>347</v>
      </c>
      <c r="E146" s="102" t="s">
        <v>280</v>
      </c>
      <c r="F146" s="102" t="s">
        <v>281</v>
      </c>
      <c r="G146" s="102" t="s">
        <v>1987</v>
      </c>
      <c r="H146" s="102" t="s">
        <v>1988</v>
      </c>
      <c r="I146" s="102" t="s">
        <v>284</v>
      </c>
      <c r="J146" s="102" t="s">
        <v>63</v>
      </c>
      <c r="L146" s="229" t="s">
        <v>2477</v>
      </c>
      <c r="M146" s="229" t="s">
        <v>2477</v>
      </c>
      <c r="O146" s="230"/>
      <c r="S146" s="230"/>
      <c r="T146" s="102" t="s">
        <v>1085</v>
      </c>
      <c r="U146" s="102" t="s">
        <v>529</v>
      </c>
      <c r="V146" s="102" t="s">
        <v>298</v>
      </c>
      <c r="W146" s="102" t="s">
        <v>299</v>
      </c>
    </row>
    <row r="147">
      <c r="A147" s="102" t="s">
        <v>276</v>
      </c>
      <c r="B147" s="102" t="s">
        <v>2479</v>
      </c>
      <c r="C147" s="229" t="s">
        <v>2480</v>
      </c>
      <c r="D147" s="102" t="s">
        <v>2030</v>
      </c>
      <c r="E147" s="102" t="s">
        <v>280</v>
      </c>
      <c r="F147" s="102" t="s">
        <v>281</v>
      </c>
      <c r="G147" s="102" t="s">
        <v>1987</v>
      </c>
      <c r="H147" s="102" t="s">
        <v>1988</v>
      </c>
      <c r="I147" s="102" t="s">
        <v>284</v>
      </c>
      <c r="J147" s="102" t="s">
        <v>34</v>
      </c>
      <c r="L147" s="229" t="s">
        <v>2477</v>
      </c>
      <c r="M147" s="229" t="s">
        <v>2971</v>
      </c>
      <c r="O147" s="230"/>
      <c r="S147" s="230"/>
      <c r="T147" s="102" t="s">
        <v>1085</v>
      </c>
      <c r="U147" s="102" t="s">
        <v>529</v>
      </c>
      <c r="V147" s="102" t="s">
        <v>298</v>
      </c>
      <c r="W147" s="102" t="s">
        <v>299</v>
      </c>
    </row>
    <row r="148">
      <c r="A148" s="102" t="s">
        <v>332</v>
      </c>
      <c r="B148" s="102" t="s">
        <v>2972</v>
      </c>
      <c r="C148" s="229" t="s">
        <v>2973</v>
      </c>
      <c r="D148" s="102" t="s">
        <v>2974</v>
      </c>
      <c r="E148" s="102" t="s">
        <v>353</v>
      </c>
      <c r="F148" s="102" t="s">
        <v>354</v>
      </c>
      <c r="G148" s="102" t="s">
        <v>2485</v>
      </c>
      <c r="H148" s="102" t="s">
        <v>2486</v>
      </c>
      <c r="I148" s="102" t="s">
        <v>284</v>
      </c>
      <c r="J148" s="102" t="s">
        <v>2318</v>
      </c>
      <c r="L148" s="229" t="s">
        <v>2975</v>
      </c>
      <c r="M148" s="229" t="s">
        <v>2976</v>
      </c>
      <c r="O148" s="230"/>
      <c r="S148" s="230"/>
      <c r="T148" s="102" t="s">
        <v>1979</v>
      </c>
      <c r="U148" s="102" t="s">
        <v>1964</v>
      </c>
      <c r="V148" s="102" t="s">
        <v>1155</v>
      </c>
    </row>
    <row r="149">
      <c r="A149" s="102" t="s">
        <v>332</v>
      </c>
      <c r="B149" s="102" t="s">
        <v>2482</v>
      </c>
      <c r="C149" s="229" t="s">
        <v>2483</v>
      </c>
      <c r="D149" s="102" t="s">
        <v>2484</v>
      </c>
      <c r="E149" s="102" t="s">
        <v>304</v>
      </c>
      <c r="F149" s="102" t="s">
        <v>305</v>
      </c>
      <c r="G149" s="102" t="s">
        <v>2485</v>
      </c>
      <c r="H149" s="102" t="s">
        <v>2486</v>
      </c>
      <c r="I149" s="102" t="s">
        <v>284</v>
      </c>
      <c r="J149" s="102" t="s">
        <v>2231</v>
      </c>
      <c r="L149" s="229" t="s">
        <v>2487</v>
      </c>
      <c r="M149" s="229" t="s">
        <v>2977</v>
      </c>
      <c r="O149" s="230"/>
      <c r="S149" s="230"/>
      <c r="T149" s="102" t="s">
        <v>1964</v>
      </c>
      <c r="U149" s="102" t="s">
        <v>1155</v>
      </c>
    </row>
    <row r="150">
      <c r="A150" s="102" t="s">
        <v>276</v>
      </c>
      <c r="B150" s="102" t="s">
        <v>2978</v>
      </c>
      <c r="C150" s="229" t="s">
        <v>2979</v>
      </c>
      <c r="D150" s="102" t="s">
        <v>279</v>
      </c>
      <c r="E150" s="102" t="s">
        <v>280</v>
      </c>
      <c r="F150" s="102" t="s">
        <v>281</v>
      </c>
      <c r="G150" s="102" t="s">
        <v>1987</v>
      </c>
      <c r="H150" s="102" t="s">
        <v>1988</v>
      </c>
      <c r="I150" s="102" t="s">
        <v>284</v>
      </c>
      <c r="J150" s="102" t="s">
        <v>26</v>
      </c>
      <c r="L150" s="229" t="s">
        <v>2980</v>
      </c>
      <c r="M150" s="229" t="s">
        <v>2688</v>
      </c>
      <c r="O150" s="230"/>
      <c r="S150" s="230"/>
      <c r="T150" s="102" t="s">
        <v>1085</v>
      </c>
      <c r="U150" s="102" t="s">
        <v>529</v>
      </c>
      <c r="V150" s="102" t="s">
        <v>298</v>
      </c>
      <c r="W150" s="102" t="s">
        <v>299</v>
      </c>
    </row>
    <row r="151">
      <c r="A151" s="102" t="s">
        <v>276</v>
      </c>
      <c r="B151" s="102" t="s">
        <v>2981</v>
      </c>
      <c r="C151" s="229" t="s">
        <v>2982</v>
      </c>
      <c r="D151" s="102" t="s">
        <v>279</v>
      </c>
      <c r="E151" s="102" t="s">
        <v>280</v>
      </c>
      <c r="F151" s="102" t="s">
        <v>281</v>
      </c>
      <c r="G151" s="102" t="s">
        <v>1987</v>
      </c>
      <c r="H151" s="102" t="s">
        <v>1988</v>
      </c>
      <c r="I151" s="102" t="s">
        <v>284</v>
      </c>
      <c r="J151" s="102" t="s">
        <v>26</v>
      </c>
      <c r="L151" s="229" t="s">
        <v>2980</v>
      </c>
      <c r="M151" s="229" t="s">
        <v>2983</v>
      </c>
      <c r="O151" s="230"/>
      <c r="S151" s="230"/>
      <c r="T151" s="102" t="s">
        <v>1085</v>
      </c>
      <c r="U151" s="102" t="s">
        <v>529</v>
      </c>
      <c r="V151" s="102" t="s">
        <v>298</v>
      </c>
      <c r="W151" s="102" t="s">
        <v>299</v>
      </c>
    </row>
    <row r="152">
      <c r="A152" s="102" t="s">
        <v>276</v>
      </c>
      <c r="B152" s="102" t="s">
        <v>2984</v>
      </c>
      <c r="C152" s="229" t="s">
        <v>2985</v>
      </c>
      <c r="D152" s="102" t="s">
        <v>291</v>
      </c>
      <c r="E152" s="102" t="s">
        <v>280</v>
      </c>
      <c r="F152" s="102" t="s">
        <v>281</v>
      </c>
      <c r="G152" s="102" t="s">
        <v>1987</v>
      </c>
      <c r="H152" s="102" t="s">
        <v>1988</v>
      </c>
      <c r="I152" s="102" t="s">
        <v>284</v>
      </c>
      <c r="J152" s="102" t="s">
        <v>26</v>
      </c>
      <c r="L152" s="229" t="s">
        <v>2980</v>
      </c>
      <c r="M152" s="229" t="s">
        <v>2986</v>
      </c>
      <c r="O152" s="230"/>
      <c r="S152" s="230"/>
      <c r="T152" s="102" t="s">
        <v>1085</v>
      </c>
      <c r="U152" s="102" t="s">
        <v>529</v>
      </c>
      <c r="V152" s="102" t="s">
        <v>298</v>
      </c>
      <c r="W152" s="102" t="s">
        <v>299</v>
      </c>
    </row>
    <row r="153">
      <c r="A153" s="102" t="s">
        <v>276</v>
      </c>
      <c r="B153" s="102" t="s">
        <v>2987</v>
      </c>
      <c r="C153" s="229" t="s">
        <v>2988</v>
      </c>
      <c r="D153" s="102" t="s">
        <v>291</v>
      </c>
      <c r="E153" s="102" t="s">
        <v>280</v>
      </c>
      <c r="F153" s="102" t="s">
        <v>281</v>
      </c>
      <c r="G153" s="102" t="s">
        <v>1987</v>
      </c>
      <c r="H153" s="102" t="s">
        <v>1988</v>
      </c>
      <c r="I153" s="102" t="s">
        <v>284</v>
      </c>
      <c r="J153" s="102" t="s">
        <v>26</v>
      </c>
      <c r="L153" s="229" t="s">
        <v>2980</v>
      </c>
      <c r="M153" s="229" t="s">
        <v>2986</v>
      </c>
      <c r="O153" s="230"/>
      <c r="S153" s="230"/>
      <c r="T153" s="102" t="s">
        <v>1085</v>
      </c>
      <c r="U153" s="102" t="s">
        <v>529</v>
      </c>
      <c r="V153" s="102" t="s">
        <v>298</v>
      </c>
      <c r="W153" s="102" t="s">
        <v>299</v>
      </c>
    </row>
    <row r="154">
      <c r="A154" s="102" t="s">
        <v>276</v>
      </c>
      <c r="B154" s="102" t="s">
        <v>2488</v>
      </c>
      <c r="C154" s="229" t="s">
        <v>2489</v>
      </c>
      <c r="D154" s="102" t="s">
        <v>347</v>
      </c>
      <c r="G154" s="102" t="s">
        <v>1987</v>
      </c>
      <c r="H154" s="102" t="s">
        <v>1988</v>
      </c>
      <c r="I154" s="102" t="s">
        <v>284</v>
      </c>
      <c r="J154" s="102" t="s">
        <v>63</v>
      </c>
      <c r="L154" s="229" t="s">
        <v>2490</v>
      </c>
      <c r="M154" s="229" t="s">
        <v>2477</v>
      </c>
      <c r="O154" s="230"/>
      <c r="S154" s="230"/>
      <c r="T154" s="102" t="s">
        <v>1085</v>
      </c>
      <c r="U154" s="102" t="s">
        <v>529</v>
      </c>
      <c r="V154" s="102" t="s">
        <v>298</v>
      </c>
      <c r="W154" s="102" t="s">
        <v>299</v>
      </c>
    </row>
    <row r="155">
      <c r="A155" s="102" t="s">
        <v>276</v>
      </c>
      <c r="B155" s="102" t="s">
        <v>2492</v>
      </c>
      <c r="C155" s="229" t="s">
        <v>2493</v>
      </c>
      <c r="D155" s="102" t="s">
        <v>2030</v>
      </c>
      <c r="E155" s="102" t="s">
        <v>2494</v>
      </c>
      <c r="F155" s="102" t="s">
        <v>2495</v>
      </c>
      <c r="G155" s="102" t="s">
        <v>1987</v>
      </c>
      <c r="H155" s="102" t="s">
        <v>1988</v>
      </c>
      <c r="I155" s="102" t="s">
        <v>284</v>
      </c>
      <c r="J155" s="102" t="s">
        <v>34</v>
      </c>
      <c r="L155" s="229" t="s">
        <v>2490</v>
      </c>
      <c r="M155" s="229" t="s">
        <v>2477</v>
      </c>
      <c r="O155" s="230"/>
      <c r="S155" s="230"/>
      <c r="T155" s="102" t="s">
        <v>1085</v>
      </c>
      <c r="U155" s="102" t="s">
        <v>529</v>
      </c>
      <c r="V155" s="102" t="s">
        <v>298</v>
      </c>
      <c r="W155" s="102" t="s">
        <v>299</v>
      </c>
    </row>
    <row r="156">
      <c r="A156" s="102" t="s">
        <v>276</v>
      </c>
      <c r="B156" s="102" t="s">
        <v>2497</v>
      </c>
      <c r="C156" s="229" t="s">
        <v>2498</v>
      </c>
      <c r="D156" s="102" t="s">
        <v>347</v>
      </c>
      <c r="G156" s="102" t="s">
        <v>1987</v>
      </c>
      <c r="H156" s="102" t="s">
        <v>1988</v>
      </c>
      <c r="I156" s="102" t="s">
        <v>284</v>
      </c>
      <c r="J156" s="102" t="s">
        <v>63</v>
      </c>
      <c r="L156" s="229" t="s">
        <v>2490</v>
      </c>
      <c r="M156" s="229" t="s">
        <v>2989</v>
      </c>
      <c r="O156" s="230"/>
      <c r="S156" s="230"/>
      <c r="T156" s="102" t="s">
        <v>1085</v>
      </c>
      <c r="U156" s="102" t="s">
        <v>529</v>
      </c>
      <c r="V156" s="102" t="s">
        <v>298</v>
      </c>
      <c r="W156" s="102" t="s">
        <v>299</v>
      </c>
    </row>
    <row r="157">
      <c r="A157" s="102" t="s">
        <v>276</v>
      </c>
      <c r="B157" s="102" t="s">
        <v>2500</v>
      </c>
      <c r="C157" s="229" t="s">
        <v>2501</v>
      </c>
      <c r="D157" s="102" t="s">
        <v>2030</v>
      </c>
      <c r="E157" s="102" t="s">
        <v>2494</v>
      </c>
      <c r="F157" s="102" t="s">
        <v>2495</v>
      </c>
      <c r="G157" s="102" t="s">
        <v>1987</v>
      </c>
      <c r="H157" s="102" t="s">
        <v>1988</v>
      </c>
      <c r="I157" s="102" t="s">
        <v>284</v>
      </c>
      <c r="J157" s="102" t="s">
        <v>34</v>
      </c>
      <c r="L157" s="229" t="s">
        <v>2490</v>
      </c>
      <c r="M157" s="229" t="s">
        <v>2989</v>
      </c>
      <c r="O157" s="230"/>
      <c r="S157" s="230"/>
      <c r="T157" s="102" t="s">
        <v>1085</v>
      </c>
      <c r="U157" s="102" t="s">
        <v>529</v>
      </c>
      <c r="V157" s="102" t="s">
        <v>298</v>
      </c>
      <c r="W157" s="102" t="s">
        <v>299</v>
      </c>
    </row>
    <row r="158">
      <c r="A158" s="102" t="s">
        <v>310</v>
      </c>
      <c r="B158" s="102" t="s">
        <v>2990</v>
      </c>
      <c r="C158" s="229" t="s">
        <v>2991</v>
      </c>
      <c r="D158" s="102" t="s">
        <v>2992</v>
      </c>
      <c r="E158" s="102" t="s">
        <v>513</v>
      </c>
      <c r="F158" s="102" t="s">
        <v>514</v>
      </c>
      <c r="G158" s="102" t="s">
        <v>282</v>
      </c>
      <c r="H158" s="102" t="s">
        <v>283</v>
      </c>
      <c r="I158" s="102" t="s">
        <v>284</v>
      </c>
      <c r="J158" s="102" t="s">
        <v>26</v>
      </c>
      <c r="L158" s="229" t="s">
        <v>2993</v>
      </c>
      <c r="M158" s="229" t="s">
        <v>2837</v>
      </c>
      <c r="N158" s="229" t="s">
        <v>1304</v>
      </c>
      <c r="O158" s="102">
        <v>2.0</v>
      </c>
      <c r="P158" s="102" t="s">
        <v>434</v>
      </c>
      <c r="S158" s="102">
        <v>14400.0</v>
      </c>
      <c r="T158" s="102" t="s">
        <v>298</v>
      </c>
      <c r="U158" s="102" t="s">
        <v>299</v>
      </c>
    </row>
    <row r="159">
      <c r="A159" s="102" t="s">
        <v>310</v>
      </c>
      <c r="B159" s="102" t="s">
        <v>1965</v>
      </c>
      <c r="C159" s="229" t="s">
        <v>1966</v>
      </c>
      <c r="D159" s="102" t="s">
        <v>1967</v>
      </c>
      <c r="E159" s="102" t="s">
        <v>584</v>
      </c>
      <c r="F159" s="102" t="s">
        <v>585</v>
      </c>
      <c r="G159" s="102" t="s">
        <v>282</v>
      </c>
      <c r="H159" s="102" t="s">
        <v>283</v>
      </c>
      <c r="I159" s="102" t="s">
        <v>284</v>
      </c>
      <c r="J159" s="102" t="s">
        <v>454</v>
      </c>
      <c r="L159" s="229" t="s">
        <v>1968</v>
      </c>
      <c r="M159" s="229" t="s">
        <v>2931</v>
      </c>
      <c r="O159" s="102">
        <v>3.0</v>
      </c>
      <c r="S159" s="102">
        <v>28800.0</v>
      </c>
      <c r="T159" s="102" t="s">
        <v>529</v>
      </c>
      <c r="U159" s="102" t="s">
        <v>298</v>
      </c>
      <c r="V159" s="102" t="s">
        <v>299</v>
      </c>
    </row>
    <row r="160">
      <c r="A160" s="102" t="s">
        <v>310</v>
      </c>
      <c r="B160" s="102" t="s">
        <v>2504</v>
      </c>
      <c r="C160" s="229" t="s">
        <v>2505</v>
      </c>
      <c r="D160" s="102" t="s">
        <v>2506</v>
      </c>
      <c r="E160" s="102" t="s">
        <v>556</v>
      </c>
      <c r="F160" s="102" t="s">
        <v>557</v>
      </c>
      <c r="G160" s="102" t="s">
        <v>282</v>
      </c>
      <c r="H160" s="102" t="s">
        <v>283</v>
      </c>
      <c r="I160" s="102" t="s">
        <v>284</v>
      </c>
      <c r="J160" s="102" t="s">
        <v>454</v>
      </c>
      <c r="L160" s="229" t="s">
        <v>2507</v>
      </c>
      <c r="M160" s="229" t="s">
        <v>2837</v>
      </c>
      <c r="N160" s="229" t="s">
        <v>1202</v>
      </c>
      <c r="O160" s="102">
        <v>3.0</v>
      </c>
      <c r="S160" s="102">
        <v>28800.0</v>
      </c>
      <c r="T160" s="102" t="s">
        <v>529</v>
      </c>
      <c r="U160" s="102" t="s">
        <v>298</v>
      </c>
      <c r="V160" s="102" t="s">
        <v>299</v>
      </c>
    </row>
    <row r="161">
      <c r="A161" s="102" t="s">
        <v>310</v>
      </c>
      <c r="B161" s="102" t="s">
        <v>1969</v>
      </c>
      <c r="C161" s="229" t="s">
        <v>1970</v>
      </c>
      <c r="D161" s="102" t="s">
        <v>2508</v>
      </c>
      <c r="E161" s="102" t="s">
        <v>495</v>
      </c>
      <c r="F161" s="102" t="s">
        <v>496</v>
      </c>
      <c r="G161" s="102" t="s">
        <v>282</v>
      </c>
      <c r="H161" s="102" t="s">
        <v>283</v>
      </c>
      <c r="I161" s="102" t="s">
        <v>284</v>
      </c>
      <c r="J161" s="102" t="s">
        <v>678</v>
      </c>
      <c r="L161" s="229" t="s">
        <v>1972</v>
      </c>
      <c r="M161" s="229" t="s">
        <v>2994</v>
      </c>
      <c r="N161" s="229" t="s">
        <v>1170</v>
      </c>
      <c r="O161" s="102">
        <v>5.0</v>
      </c>
      <c r="P161" s="102" t="s">
        <v>331</v>
      </c>
      <c r="S161" s="102">
        <v>7200.0</v>
      </c>
      <c r="T161" s="102" t="s">
        <v>299</v>
      </c>
    </row>
    <row r="162">
      <c r="A162" s="102" t="s">
        <v>310</v>
      </c>
      <c r="B162" s="102" t="s">
        <v>1206</v>
      </c>
      <c r="C162" s="229" t="s">
        <v>1207</v>
      </c>
      <c r="D162" s="102" t="s">
        <v>1208</v>
      </c>
      <c r="E162" s="102" t="s">
        <v>584</v>
      </c>
      <c r="F162" s="102" t="s">
        <v>585</v>
      </c>
      <c r="G162" s="102" t="s">
        <v>282</v>
      </c>
      <c r="H162" s="102" t="s">
        <v>283</v>
      </c>
      <c r="I162" s="102" t="s">
        <v>284</v>
      </c>
      <c r="J162" s="102" t="s">
        <v>678</v>
      </c>
      <c r="L162" s="229" t="s">
        <v>1209</v>
      </c>
      <c r="M162" s="229" t="s">
        <v>2995</v>
      </c>
      <c r="O162" s="102">
        <v>3.0</v>
      </c>
      <c r="S162" s="230"/>
      <c r="T162" s="102" t="s">
        <v>299</v>
      </c>
      <c r="AF162" s="230"/>
      <c r="AG162" s="230"/>
      <c r="AH162" s="230"/>
      <c r="AI162" s="230"/>
    </row>
    <row r="163">
      <c r="A163" s="102" t="s">
        <v>310</v>
      </c>
      <c r="B163" s="102" t="s">
        <v>1210</v>
      </c>
      <c r="C163" s="229" t="s">
        <v>1211</v>
      </c>
      <c r="D163" s="102" t="s">
        <v>1212</v>
      </c>
      <c r="E163" s="102" t="s">
        <v>513</v>
      </c>
      <c r="F163" s="102" t="s">
        <v>514</v>
      </c>
      <c r="G163" s="102" t="s">
        <v>282</v>
      </c>
      <c r="H163" s="102" t="s">
        <v>283</v>
      </c>
      <c r="I163" s="102" t="s">
        <v>284</v>
      </c>
      <c r="J163" s="102" t="s">
        <v>355</v>
      </c>
      <c r="L163" s="229" t="s">
        <v>1213</v>
      </c>
      <c r="M163" s="229" t="s">
        <v>2996</v>
      </c>
      <c r="N163" s="229" t="s">
        <v>1144</v>
      </c>
      <c r="O163" s="102">
        <v>3.0</v>
      </c>
      <c r="S163" s="230"/>
      <c r="T163" s="102" t="s">
        <v>299</v>
      </c>
      <c r="AF163" s="230"/>
      <c r="AG163" s="230"/>
      <c r="AH163" s="230"/>
      <c r="AI163" s="230"/>
    </row>
    <row r="164">
      <c r="A164" s="102" t="s">
        <v>310</v>
      </c>
      <c r="B164" s="102" t="s">
        <v>1214</v>
      </c>
      <c r="C164" s="229" t="s">
        <v>1215</v>
      </c>
      <c r="D164" s="102" t="s">
        <v>1012</v>
      </c>
      <c r="E164" s="102" t="s">
        <v>584</v>
      </c>
      <c r="F164" s="102" t="s">
        <v>585</v>
      </c>
      <c r="G164" s="102" t="s">
        <v>282</v>
      </c>
      <c r="H164" s="102" t="s">
        <v>283</v>
      </c>
      <c r="I164" s="102" t="s">
        <v>284</v>
      </c>
      <c r="J164" s="102" t="s">
        <v>678</v>
      </c>
      <c r="L164" s="229" t="s">
        <v>1216</v>
      </c>
      <c r="M164" s="229" t="s">
        <v>2997</v>
      </c>
      <c r="O164" s="102">
        <v>3.0</v>
      </c>
      <c r="S164" s="230"/>
      <c r="T164" s="102" t="s">
        <v>299</v>
      </c>
      <c r="AF164" s="230"/>
      <c r="AG164" s="230"/>
      <c r="AH164" s="230"/>
      <c r="AI164" s="230"/>
    </row>
    <row r="165">
      <c r="A165" s="102" t="s">
        <v>310</v>
      </c>
      <c r="B165" s="102" t="s">
        <v>2511</v>
      </c>
      <c r="C165" s="229" t="s">
        <v>2512</v>
      </c>
      <c r="D165" s="102" t="s">
        <v>2513</v>
      </c>
      <c r="E165" s="102" t="s">
        <v>584</v>
      </c>
      <c r="F165" s="102" t="s">
        <v>585</v>
      </c>
      <c r="G165" s="102" t="s">
        <v>353</v>
      </c>
      <c r="H165" s="102" t="s">
        <v>354</v>
      </c>
      <c r="I165" s="102" t="s">
        <v>284</v>
      </c>
      <c r="J165" s="102" t="s">
        <v>454</v>
      </c>
      <c r="L165" s="229" t="s">
        <v>2514</v>
      </c>
      <c r="M165" s="229" t="s">
        <v>2998</v>
      </c>
      <c r="N165" s="229" t="s">
        <v>2515</v>
      </c>
      <c r="O165" s="102">
        <v>8.0</v>
      </c>
      <c r="S165" s="230"/>
      <c r="T165" s="102" t="s">
        <v>2271</v>
      </c>
      <c r="U165" s="102" t="s">
        <v>2272</v>
      </c>
      <c r="V165" s="102" t="s">
        <v>2273</v>
      </c>
      <c r="W165" s="102" t="s">
        <v>2274</v>
      </c>
      <c r="AF165" s="230"/>
      <c r="AG165" s="230"/>
      <c r="AH165" s="230"/>
      <c r="AI165" s="230"/>
    </row>
    <row r="166">
      <c r="A166" s="102" t="s">
        <v>332</v>
      </c>
      <c r="B166" s="102" t="s">
        <v>1973</v>
      </c>
      <c r="C166" s="229" t="s">
        <v>1974</v>
      </c>
      <c r="D166" s="102" t="s">
        <v>1975</v>
      </c>
      <c r="E166" s="102" t="s">
        <v>282</v>
      </c>
      <c r="F166" s="102" t="s">
        <v>283</v>
      </c>
      <c r="G166" s="102" t="s">
        <v>316</v>
      </c>
      <c r="H166" s="102" t="s">
        <v>317</v>
      </c>
      <c r="I166" s="102" t="s">
        <v>284</v>
      </c>
      <c r="J166" s="102" t="s">
        <v>1738</v>
      </c>
      <c r="L166" s="229" t="s">
        <v>1976</v>
      </c>
      <c r="M166" s="229" t="s">
        <v>2999</v>
      </c>
      <c r="N166" s="229" t="s">
        <v>1978</v>
      </c>
      <c r="O166" s="102">
        <v>3.0</v>
      </c>
      <c r="P166" s="102" t="s">
        <v>783</v>
      </c>
      <c r="S166" s="230"/>
      <c r="T166" s="102" t="s">
        <v>1979</v>
      </c>
      <c r="U166" s="102" t="s">
        <v>1964</v>
      </c>
      <c r="V166" s="102" t="s">
        <v>1155</v>
      </c>
      <c r="AF166" s="230"/>
      <c r="AG166" s="230"/>
      <c r="AH166" s="230"/>
      <c r="AI166" s="230"/>
    </row>
    <row r="167">
      <c r="A167" s="102" t="s">
        <v>310</v>
      </c>
      <c r="B167" s="102" t="s">
        <v>1230</v>
      </c>
      <c r="C167" s="229" t="s">
        <v>1231</v>
      </c>
      <c r="D167" s="102" t="s">
        <v>1232</v>
      </c>
      <c r="E167" s="102" t="s">
        <v>513</v>
      </c>
      <c r="F167" s="102" t="s">
        <v>514</v>
      </c>
      <c r="G167" s="102" t="s">
        <v>282</v>
      </c>
      <c r="H167" s="102" t="s">
        <v>283</v>
      </c>
      <c r="I167" s="102" t="s">
        <v>648</v>
      </c>
      <c r="J167" s="102" t="s">
        <v>454</v>
      </c>
      <c r="L167" s="229" t="s">
        <v>1233</v>
      </c>
      <c r="M167" s="229" t="s">
        <v>3000</v>
      </c>
      <c r="N167" s="229" t="s">
        <v>1202</v>
      </c>
      <c r="O167" s="102">
        <v>5.0</v>
      </c>
      <c r="S167" s="102">
        <v>86400.0</v>
      </c>
      <c r="T167" s="102" t="s">
        <v>529</v>
      </c>
      <c r="U167" s="102" t="s">
        <v>298</v>
      </c>
      <c r="V167" s="102" t="s">
        <v>299</v>
      </c>
      <c r="AF167" s="230"/>
      <c r="AG167" s="230"/>
      <c r="AH167" s="230"/>
      <c r="AI167" s="230"/>
    </row>
    <row r="168">
      <c r="A168" s="102" t="s">
        <v>310</v>
      </c>
      <c r="B168" s="102" t="s">
        <v>1234</v>
      </c>
      <c r="C168" s="229" t="s">
        <v>1235</v>
      </c>
      <c r="D168" s="102" t="s">
        <v>1236</v>
      </c>
      <c r="E168" s="102" t="s">
        <v>513</v>
      </c>
      <c r="F168" s="102" t="s">
        <v>514</v>
      </c>
      <c r="G168" s="102" t="s">
        <v>282</v>
      </c>
      <c r="H168" s="102" t="s">
        <v>283</v>
      </c>
      <c r="I168" s="102" t="s">
        <v>648</v>
      </c>
      <c r="J168" s="102" t="s">
        <v>454</v>
      </c>
      <c r="L168" s="229" t="s">
        <v>1233</v>
      </c>
      <c r="M168" s="229" t="s">
        <v>2931</v>
      </c>
      <c r="N168" s="229" t="s">
        <v>1237</v>
      </c>
      <c r="O168" s="102">
        <v>8.0</v>
      </c>
      <c r="S168" s="102">
        <v>115200.0</v>
      </c>
      <c r="T168" s="102" t="s">
        <v>529</v>
      </c>
      <c r="U168" s="102" t="s">
        <v>298</v>
      </c>
      <c r="V168" s="102" t="s">
        <v>299</v>
      </c>
      <c r="AF168" s="230"/>
      <c r="AG168" s="230"/>
      <c r="AH168" s="230"/>
      <c r="AI168" s="230"/>
    </row>
    <row r="169">
      <c r="A169" s="102" t="s">
        <v>310</v>
      </c>
      <c r="B169" s="102" t="s">
        <v>1238</v>
      </c>
      <c r="C169" s="229" t="s">
        <v>1239</v>
      </c>
      <c r="D169" s="102" t="s">
        <v>1240</v>
      </c>
      <c r="E169" s="102" t="s">
        <v>564</v>
      </c>
      <c r="F169" s="102" t="s">
        <v>565</v>
      </c>
      <c r="G169" s="102" t="s">
        <v>282</v>
      </c>
      <c r="H169" s="102" t="s">
        <v>283</v>
      </c>
      <c r="I169" s="102" t="s">
        <v>284</v>
      </c>
      <c r="J169" s="102" t="s">
        <v>454</v>
      </c>
      <c r="L169" s="229" t="s">
        <v>1241</v>
      </c>
      <c r="M169" s="229" t="s">
        <v>2931</v>
      </c>
      <c r="N169" s="229" t="s">
        <v>1242</v>
      </c>
      <c r="O169" s="102">
        <v>8.0</v>
      </c>
      <c r="S169" s="102">
        <v>72000.0</v>
      </c>
      <c r="T169" s="102" t="s">
        <v>529</v>
      </c>
      <c r="U169" s="102" t="s">
        <v>298</v>
      </c>
      <c r="V169" s="102" t="s">
        <v>299</v>
      </c>
      <c r="AF169" s="230"/>
      <c r="AG169" s="230"/>
      <c r="AH169" s="230"/>
      <c r="AI169" s="230"/>
    </row>
    <row r="170">
      <c r="A170" s="102" t="s">
        <v>310</v>
      </c>
      <c r="B170" s="102" t="s">
        <v>1243</v>
      </c>
      <c r="C170" s="229" t="s">
        <v>1244</v>
      </c>
      <c r="D170" s="102" t="s">
        <v>1245</v>
      </c>
      <c r="E170" s="102" t="s">
        <v>328</v>
      </c>
      <c r="F170" s="102" t="s">
        <v>329</v>
      </c>
      <c r="G170" s="102" t="s">
        <v>282</v>
      </c>
      <c r="H170" s="102" t="s">
        <v>283</v>
      </c>
      <c r="I170" s="102" t="s">
        <v>284</v>
      </c>
      <c r="J170" s="102" t="s">
        <v>454</v>
      </c>
      <c r="L170" s="229" t="s">
        <v>1246</v>
      </c>
      <c r="M170" s="229" t="s">
        <v>2931</v>
      </c>
      <c r="N170" s="229" t="s">
        <v>1247</v>
      </c>
      <c r="O170" s="102">
        <v>8.0</v>
      </c>
      <c r="S170" s="230"/>
      <c r="T170" s="102" t="s">
        <v>529</v>
      </c>
      <c r="U170" s="102" t="s">
        <v>298</v>
      </c>
      <c r="V170" s="102" t="s">
        <v>299</v>
      </c>
      <c r="AF170" s="230"/>
      <c r="AG170" s="230"/>
      <c r="AH170" s="230"/>
      <c r="AI170" s="230"/>
    </row>
    <row r="171">
      <c r="A171" s="102" t="s">
        <v>310</v>
      </c>
      <c r="B171" s="102" t="s">
        <v>1248</v>
      </c>
      <c r="C171" s="229" t="s">
        <v>1249</v>
      </c>
      <c r="D171" s="102" t="s">
        <v>1250</v>
      </c>
      <c r="E171" s="102" t="s">
        <v>328</v>
      </c>
      <c r="F171" s="102" t="s">
        <v>329</v>
      </c>
      <c r="G171" s="102" t="s">
        <v>282</v>
      </c>
      <c r="H171" s="102" t="s">
        <v>283</v>
      </c>
      <c r="I171" s="102" t="s">
        <v>284</v>
      </c>
      <c r="J171" s="102" t="s">
        <v>454</v>
      </c>
      <c r="L171" s="229" t="s">
        <v>1251</v>
      </c>
      <c r="M171" s="229" t="s">
        <v>3001</v>
      </c>
      <c r="N171" s="229" t="s">
        <v>1252</v>
      </c>
      <c r="O171" s="102">
        <v>8.0</v>
      </c>
      <c r="S171" s="230"/>
      <c r="T171" s="102" t="s">
        <v>529</v>
      </c>
      <c r="U171" s="102" t="s">
        <v>298</v>
      </c>
      <c r="V171" s="102" t="s">
        <v>299</v>
      </c>
      <c r="AF171" s="230"/>
      <c r="AG171" s="230"/>
      <c r="AH171" s="230"/>
      <c r="AI171" s="230"/>
    </row>
    <row r="172">
      <c r="A172" s="102" t="s">
        <v>276</v>
      </c>
      <c r="B172" s="102" t="s">
        <v>1985</v>
      </c>
      <c r="C172" s="229" t="s">
        <v>1986</v>
      </c>
      <c r="D172" s="102" t="s">
        <v>279</v>
      </c>
      <c r="E172" s="102" t="s">
        <v>280</v>
      </c>
      <c r="F172" s="102" t="s">
        <v>281</v>
      </c>
      <c r="G172" s="102" t="s">
        <v>1987</v>
      </c>
      <c r="H172" s="102" t="s">
        <v>1988</v>
      </c>
      <c r="I172" s="102" t="s">
        <v>284</v>
      </c>
      <c r="J172" s="102" t="s">
        <v>63</v>
      </c>
      <c r="L172" s="229" t="s">
        <v>1989</v>
      </c>
      <c r="M172" s="229" t="s">
        <v>2517</v>
      </c>
      <c r="O172" s="230"/>
      <c r="S172" s="230"/>
      <c r="T172" s="102" t="s">
        <v>1991</v>
      </c>
      <c r="U172" s="102" t="s">
        <v>1992</v>
      </c>
      <c r="V172" s="102" t="s">
        <v>1085</v>
      </c>
      <c r="W172" s="102" t="s">
        <v>529</v>
      </c>
      <c r="X172" s="102" t="s">
        <v>298</v>
      </c>
      <c r="Y172" s="102" t="s">
        <v>299</v>
      </c>
      <c r="AF172" s="230"/>
      <c r="AG172" s="230"/>
      <c r="AH172" s="230"/>
      <c r="AI172" s="230"/>
    </row>
    <row r="173">
      <c r="A173" s="102" t="s">
        <v>276</v>
      </c>
      <c r="B173" s="102" t="s">
        <v>1993</v>
      </c>
      <c r="C173" s="229" t="s">
        <v>1994</v>
      </c>
      <c r="D173" s="102" t="s">
        <v>291</v>
      </c>
      <c r="E173" s="102" t="s">
        <v>280</v>
      </c>
      <c r="F173" s="102" t="s">
        <v>281</v>
      </c>
      <c r="G173" s="102" t="s">
        <v>1987</v>
      </c>
      <c r="H173" s="102" t="s">
        <v>1988</v>
      </c>
      <c r="I173" s="102" t="s">
        <v>284</v>
      </c>
      <c r="J173" s="102" t="s">
        <v>26</v>
      </c>
      <c r="L173" s="229" t="s">
        <v>1989</v>
      </c>
      <c r="M173" s="229" t="s">
        <v>1995</v>
      </c>
      <c r="O173" s="230"/>
      <c r="S173" s="230"/>
      <c r="T173" s="102" t="s">
        <v>1991</v>
      </c>
      <c r="U173" s="102" t="s">
        <v>1992</v>
      </c>
      <c r="V173" s="102" t="s">
        <v>1085</v>
      </c>
      <c r="W173" s="102" t="s">
        <v>529</v>
      </c>
      <c r="X173" s="102" t="s">
        <v>298</v>
      </c>
      <c r="Y173" s="102" t="s">
        <v>299</v>
      </c>
      <c r="AF173" s="230"/>
      <c r="AG173" s="230"/>
      <c r="AH173" s="230"/>
      <c r="AI173" s="230"/>
    </row>
    <row r="174">
      <c r="A174" s="102" t="s">
        <v>276</v>
      </c>
      <c r="B174" s="102" t="s">
        <v>2518</v>
      </c>
      <c r="C174" s="229" t="s">
        <v>2519</v>
      </c>
      <c r="D174" s="102" t="s">
        <v>279</v>
      </c>
      <c r="E174" s="102" t="s">
        <v>280</v>
      </c>
      <c r="F174" s="102" t="s">
        <v>281</v>
      </c>
      <c r="G174" s="102" t="s">
        <v>1987</v>
      </c>
      <c r="H174" s="102" t="s">
        <v>1988</v>
      </c>
      <c r="I174" s="102" t="s">
        <v>284</v>
      </c>
      <c r="J174" s="102" t="s">
        <v>63</v>
      </c>
      <c r="L174" s="229" t="s">
        <v>1989</v>
      </c>
      <c r="M174" s="229" t="s">
        <v>2520</v>
      </c>
      <c r="O174" s="230"/>
      <c r="S174" s="230"/>
      <c r="T174" s="102" t="s">
        <v>1991</v>
      </c>
      <c r="U174" s="102" t="s">
        <v>1992</v>
      </c>
      <c r="V174" s="102" t="s">
        <v>1085</v>
      </c>
      <c r="W174" s="102" t="s">
        <v>529</v>
      </c>
      <c r="X174" s="102" t="s">
        <v>298</v>
      </c>
      <c r="Y174" s="102" t="s">
        <v>299</v>
      </c>
      <c r="AF174" s="230"/>
      <c r="AG174" s="230"/>
      <c r="AH174" s="230"/>
      <c r="AI174" s="230"/>
    </row>
    <row r="175">
      <c r="A175" s="102" t="s">
        <v>276</v>
      </c>
      <c r="B175" s="102" t="s">
        <v>2521</v>
      </c>
      <c r="C175" s="229" t="s">
        <v>2522</v>
      </c>
      <c r="D175" s="102" t="s">
        <v>279</v>
      </c>
      <c r="E175" s="102" t="s">
        <v>280</v>
      </c>
      <c r="F175" s="102" t="s">
        <v>281</v>
      </c>
      <c r="G175" s="102" t="s">
        <v>1987</v>
      </c>
      <c r="H175" s="102" t="s">
        <v>1988</v>
      </c>
      <c r="I175" s="102" t="s">
        <v>284</v>
      </c>
      <c r="J175" s="102" t="s">
        <v>63</v>
      </c>
      <c r="L175" s="229" t="s">
        <v>1989</v>
      </c>
      <c r="M175" s="229" t="s">
        <v>2523</v>
      </c>
      <c r="O175" s="230"/>
      <c r="S175" s="230"/>
      <c r="T175" s="102" t="s">
        <v>1991</v>
      </c>
      <c r="U175" s="102" t="s">
        <v>1992</v>
      </c>
      <c r="V175" s="102" t="s">
        <v>1085</v>
      </c>
      <c r="W175" s="102" t="s">
        <v>529</v>
      </c>
      <c r="X175" s="102" t="s">
        <v>298</v>
      </c>
      <c r="Y175" s="102" t="s">
        <v>299</v>
      </c>
      <c r="AF175" s="230"/>
      <c r="AG175" s="230"/>
      <c r="AH175" s="230"/>
      <c r="AI175" s="230"/>
    </row>
    <row r="176">
      <c r="A176" s="102" t="s">
        <v>276</v>
      </c>
      <c r="B176" s="102" t="s">
        <v>2524</v>
      </c>
      <c r="C176" s="229" t="s">
        <v>2525</v>
      </c>
      <c r="D176" s="102" t="s">
        <v>279</v>
      </c>
      <c r="E176" s="102" t="s">
        <v>280</v>
      </c>
      <c r="F176" s="102" t="s">
        <v>281</v>
      </c>
      <c r="G176" s="102" t="s">
        <v>1987</v>
      </c>
      <c r="H176" s="102" t="s">
        <v>1988</v>
      </c>
      <c r="I176" s="102" t="s">
        <v>284</v>
      </c>
      <c r="J176" s="102" t="s">
        <v>63</v>
      </c>
      <c r="L176" s="229" t="s">
        <v>1989</v>
      </c>
      <c r="M176" s="229" t="s">
        <v>2526</v>
      </c>
      <c r="O176" s="230"/>
      <c r="S176" s="230"/>
      <c r="T176" s="102" t="s">
        <v>1991</v>
      </c>
      <c r="U176" s="102" t="s">
        <v>1992</v>
      </c>
      <c r="V176" s="102" t="s">
        <v>1085</v>
      </c>
      <c r="W176" s="102" t="s">
        <v>529</v>
      </c>
      <c r="X176" s="102" t="s">
        <v>298</v>
      </c>
      <c r="Y176" s="102" t="s">
        <v>299</v>
      </c>
      <c r="AF176" s="230"/>
      <c r="AG176" s="230"/>
      <c r="AH176" s="230"/>
      <c r="AI176" s="230"/>
    </row>
    <row r="177">
      <c r="A177" s="102" t="s">
        <v>276</v>
      </c>
      <c r="B177" s="102" t="s">
        <v>2527</v>
      </c>
      <c r="C177" s="229" t="s">
        <v>2528</v>
      </c>
      <c r="D177" s="102" t="s">
        <v>279</v>
      </c>
      <c r="E177" s="102" t="s">
        <v>280</v>
      </c>
      <c r="F177" s="102" t="s">
        <v>281</v>
      </c>
      <c r="G177" s="102" t="s">
        <v>1987</v>
      </c>
      <c r="H177" s="102" t="s">
        <v>1988</v>
      </c>
      <c r="I177" s="102" t="s">
        <v>284</v>
      </c>
      <c r="J177" s="102" t="s">
        <v>63</v>
      </c>
      <c r="L177" s="229" t="s">
        <v>1989</v>
      </c>
      <c r="M177" s="229" t="s">
        <v>2526</v>
      </c>
      <c r="O177" s="230"/>
      <c r="S177" s="230"/>
      <c r="T177" s="102" t="s">
        <v>1991</v>
      </c>
      <c r="U177" s="102" t="s">
        <v>1992</v>
      </c>
      <c r="V177" s="102" t="s">
        <v>1085</v>
      </c>
      <c r="W177" s="102" t="s">
        <v>529</v>
      </c>
      <c r="X177" s="102" t="s">
        <v>298</v>
      </c>
      <c r="Y177" s="102" t="s">
        <v>299</v>
      </c>
      <c r="AF177" s="230"/>
      <c r="AG177" s="230"/>
      <c r="AH177" s="230"/>
      <c r="AI177" s="230"/>
    </row>
    <row r="178">
      <c r="A178" s="102" t="s">
        <v>276</v>
      </c>
      <c r="B178" s="102" t="s">
        <v>2529</v>
      </c>
      <c r="C178" s="229" t="s">
        <v>2530</v>
      </c>
      <c r="D178" s="102" t="s">
        <v>279</v>
      </c>
      <c r="E178" s="102" t="s">
        <v>280</v>
      </c>
      <c r="F178" s="102" t="s">
        <v>281</v>
      </c>
      <c r="G178" s="102" t="s">
        <v>1987</v>
      </c>
      <c r="H178" s="102" t="s">
        <v>1988</v>
      </c>
      <c r="I178" s="102" t="s">
        <v>284</v>
      </c>
      <c r="J178" s="102" t="s">
        <v>63</v>
      </c>
      <c r="L178" s="229" t="s">
        <v>1989</v>
      </c>
      <c r="M178" s="229" t="s">
        <v>2526</v>
      </c>
      <c r="O178" s="230"/>
      <c r="S178" s="230"/>
      <c r="T178" s="102" t="s">
        <v>1991</v>
      </c>
      <c r="U178" s="102" t="s">
        <v>1992</v>
      </c>
      <c r="V178" s="102" t="s">
        <v>1085</v>
      </c>
      <c r="W178" s="102" t="s">
        <v>529</v>
      </c>
      <c r="X178" s="102" t="s">
        <v>298</v>
      </c>
      <c r="Y178" s="102" t="s">
        <v>299</v>
      </c>
      <c r="AF178" s="230"/>
      <c r="AG178" s="230"/>
      <c r="AH178" s="230"/>
      <c r="AI178" s="230"/>
    </row>
    <row r="179">
      <c r="A179" s="102" t="s">
        <v>276</v>
      </c>
      <c r="B179" s="102" t="s">
        <v>2531</v>
      </c>
      <c r="C179" s="229" t="s">
        <v>2532</v>
      </c>
      <c r="D179" s="102" t="s">
        <v>279</v>
      </c>
      <c r="E179" s="102" t="s">
        <v>280</v>
      </c>
      <c r="F179" s="102" t="s">
        <v>281</v>
      </c>
      <c r="G179" s="102" t="s">
        <v>1987</v>
      </c>
      <c r="H179" s="102" t="s">
        <v>1988</v>
      </c>
      <c r="I179" s="102" t="s">
        <v>284</v>
      </c>
      <c r="J179" s="102" t="s">
        <v>63</v>
      </c>
      <c r="L179" s="229" t="s">
        <v>1989</v>
      </c>
      <c r="M179" s="229" t="s">
        <v>2526</v>
      </c>
      <c r="O179" s="230"/>
      <c r="S179" s="230"/>
      <c r="T179" s="102" t="s">
        <v>1991</v>
      </c>
      <c r="U179" s="102" t="s">
        <v>1992</v>
      </c>
      <c r="V179" s="102" t="s">
        <v>1085</v>
      </c>
      <c r="W179" s="102" t="s">
        <v>529</v>
      </c>
      <c r="X179" s="102" t="s">
        <v>298</v>
      </c>
      <c r="Y179" s="102" t="s">
        <v>299</v>
      </c>
      <c r="AF179" s="230"/>
      <c r="AG179" s="230"/>
      <c r="AH179" s="230"/>
      <c r="AI179" s="230"/>
    </row>
    <row r="180">
      <c r="A180" s="102" t="s">
        <v>276</v>
      </c>
      <c r="B180" s="102" t="s">
        <v>2533</v>
      </c>
      <c r="C180" s="229" t="s">
        <v>2534</v>
      </c>
      <c r="D180" s="102" t="s">
        <v>279</v>
      </c>
      <c r="E180" s="102" t="s">
        <v>280</v>
      </c>
      <c r="F180" s="102" t="s">
        <v>281</v>
      </c>
      <c r="G180" s="102" t="s">
        <v>1987</v>
      </c>
      <c r="H180" s="102" t="s">
        <v>1988</v>
      </c>
      <c r="I180" s="102" t="s">
        <v>284</v>
      </c>
      <c r="J180" s="102" t="s">
        <v>63</v>
      </c>
      <c r="L180" s="229" t="s">
        <v>1989</v>
      </c>
      <c r="M180" s="229" t="s">
        <v>2523</v>
      </c>
      <c r="O180" s="230"/>
      <c r="S180" s="230"/>
      <c r="T180" s="102" t="s">
        <v>1991</v>
      </c>
      <c r="U180" s="102" t="s">
        <v>1992</v>
      </c>
      <c r="V180" s="102" t="s">
        <v>1085</v>
      </c>
      <c r="W180" s="102" t="s">
        <v>529</v>
      </c>
      <c r="X180" s="102" t="s">
        <v>298</v>
      </c>
      <c r="Y180" s="102" t="s">
        <v>299</v>
      </c>
      <c r="AF180" s="230"/>
      <c r="AG180" s="230"/>
      <c r="AH180" s="230"/>
      <c r="AI180" s="230"/>
    </row>
    <row r="181">
      <c r="A181" s="102" t="s">
        <v>276</v>
      </c>
      <c r="B181" s="102" t="s">
        <v>1996</v>
      </c>
      <c r="C181" s="229" t="s">
        <v>1997</v>
      </c>
      <c r="D181" s="102" t="s">
        <v>279</v>
      </c>
      <c r="E181" s="102" t="s">
        <v>280</v>
      </c>
      <c r="F181" s="102" t="s">
        <v>281</v>
      </c>
      <c r="G181" s="102" t="s">
        <v>1987</v>
      </c>
      <c r="H181" s="102" t="s">
        <v>1988</v>
      </c>
      <c r="I181" s="102" t="s">
        <v>284</v>
      </c>
      <c r="J181" s="102" t="s">
        <v>63</v>
      </c>
      <c r="L181" s="229" t="s">
        <v>1989</v>
      </c>
      <c r="M181" s="229" t="s">
        <v>2535</v>
      </c>
      <c r="O181" s="230"/>
      <c r="S181" s="230"/>
      <c r="T181" s="102" t="s">
        <v>1991</v>
      </c>
      <c r="U181" s="102" t="s">
        <v>1992</v>
      </c>
      <c r="V181" s="102" t="s">
        <v>1085</v>
      </c>
      <c r="W181" s="102" t="s">
        <v>529</v>
      </c>
      <c r="X181" s="102" t="s">
        <v>298</v>
      </c>
      <c r="Y181" s="102" t="s">
        <v>299</v>
      </c>
      <c r="AF181" s="230"/>
      <c r="AG181" s="230"/>
      <c r="AH181" s="230"/>
      <c r="AI181" s="230"/>
    </row>
    <row r="182">
      <c r="A182" s="102" t="s">
        <v>276</v>
      </c>
      <c r="B182" s="102" t="s">
        <v>1998</v>
      </c>
      <c r="C182" s="229" t="s">
        <v>1999</v>
      </c>
      <c r="D182" s="102" t="s">
        <v>291</v>
      </c>
      <c r="E182" s="102" t="s">
        <v>280</v>
      </c>
      <c r="F182" s="102" t="s">
        <v>281</v>
      </c>
      <c r="G182" s="102" t="s">
        <v>1987</v>
      </c>
      <c r="H182" s="102" t="s">
        <v>1988</v>
      </c>
      <c r="I182" s="102" t="s">
        <v>284</v>
      </c>
      <c r="J182" s="102" t="s">
        <v>26</v>
      </c>
      <c r="L182" s="229" t="s">
        <v>1989</v>
      </c>
      <c r="M182" s="229" t="s">
        <v>1995</v>
      </c>
      <c r="O182" s="230"/>
      <c r="S182" s="230"/>
      <c r="T182" s="102" t="s">
        <v>1991</v>
      </c>
      <c r="U182" s="102" t="s">
        <v>1992</v>
      </c>
      <c r="V182" s="102" t="s">
        <v>1085</v>
      </c>
      <c r="W182" s="102" t="s">
        <v>529</v>
      </c>
      <c r="X182" s="102" t="s">
        <v>298</v>
      </c>
      <c r="Y182" s="102" t="s">
        <v>299</v>
      </c>
      <c r="AF182" s="230"/>
      <c r="AG182" s="230"/>
      <c r="AH182" s="230"/>
      <c r="AI182" s="230"/>
    </row>
    <row r="183">
      <c r="A183" s="102" t="s">
        <v>276</v>
      </c>
      <c r="B183" s="102" t="s">
        <v>2000</v>
      </c>
      <c r="C183" s="229" t="s">
        <v>2001</v>
      </c>
      <c r="D183" s="102" t="s">
        <v>291</v>
      </c>
      <c r="E183" s="102" t="s">
        <v>280</v>
      </c>
      <c r="F183" s="102" t="s">
        <v>281</v>
      </c>
      <c r="G183" s="102" t="s">
        <v>1987</v>
      </c>
      <c r="H183" s="102" t="s">
        <v>1988</v>
      </c>
      <c r="I183" s="102" t="s">
        <v>284</v>
      </c>
      <c r="J183" s="102" t="s">
        <v>26</v>
      </c>
      <c r="L183" s="229" t="s">
        <v>1989</v>
      </c>
      <c r="M183" s="229" t="s">
        <v>1995</v>
      </c>
      <c r="O183" s="230"/>
      <c r="S183" s="230"/>
      <c r="T183" s="102" t="s">
        <v>1991</v>
      </c>
      <c r="U183" s="102" t="s">
        <v>1992</v>
      </c>
      <c r="V183" s="102" t="s">
        <v>1085</v>
      </c>
      <c r="W183" s="102" t="s">
        <v>529</v>
      </c>
      <c r="X183" s="102" t="s">
        <v>298</v>
      </c>
      <c r="Y183" s="102" t="s">
        <v>299</v>
      </c>
      <c r="AF183" s="230"/>
      <c r="AG183" s="230"/>
      <c r="AH183" s="230"/>
      <c r="AI183" s="230"/>
    </row>
    <row r="184">
      <c r="A184" s="102" t="s">
        <v>276</v>
      </c>
      <c r="B184" s="102" t="s">
        <v>2002</v>
      </c>
      <c r="C184" s="229" t="s">
        <v>2003</v>
      </c>
      <c r="D184" s="102" t="s">
        <v>291</v>
      </c>
      <c r="E184" s="102" t="s">
        <v>280</v>
      </c>
      <c r="F184" s="102" t="s">
        <v>281</v>
      </c>
      <c r="G184" s="102" t="s">
        <v>1987</v>
      </c>
      <c r="H184" s="102" t="s">
        <v>1988</v>
      </c>
      <c r="I184" s="102" t="s">
        <v>284</v>
      </c>
      <c r="J184" s="102" t="s">
        <v>26</v>
      </c>
      <c r="L184" s="229" t="s">
        <v>1989</v>
      </c>
      <c r="M184" s="229" t="s">
        <v>1995</v>
      </c>
      <c r="O184" s="230"/>
      <c r="S184" s="230"/>
      <c r="T184" s="102" t="s">
        <v>1991</v>
      </c>
      <c r="U184" s="102" t="s">
        <v>1992</v>
      </c>
      <c r="V184" s="102" t="s">
        <v>1085</v>
      </c>
      <c r="W184" s="102" t="s">
        <v>529</v>
      </c>
      <c r="X184" s="102" t="s">
        <v>298</v>
      </c>
      <c r="Y184" s="102" t="s">
        <v>299</v>
      </c>
      <c r="AF184" s="230"/>
      <c r="AG184" s="230"/>
      <c r="AH184" s="230"/>
      <c r="AI184" s="230"/>
    </row>
    <row r="185">
      <c r="A185" s="102" t="s">
        <v>276</v>
      </c>
      <c r="B185" s="102" t="s">
        <v>2004</v>
      </c>
      <c r="C185" s="229" t="s">
        <v>2005</v>
      </c>
      <c r="D185" s="102" t="s">
        <v>291</v>
      </c>
      <c r="E185" s="102" t="s">
        <v>280</v>
      </c>
      <c r="F185" s="102" t="s">
        <v>281</v>
      </c>
      <c r="G185" s="102" t="s">
        <v>1987</v>
      </c>
      <c r="H185" s="102" t="s">
        <v>1988</v>
      </c>
      <c r="I185" s="102" t="s">
        <v>284</v>
      </c>
      <c r="J185" s="102" t="s">
        <v>26</v>
      </c>
      <c r="L185" s="229" t="s">
        <v>1989</v>
      </c>
      <c r="M185" s="229" t="s">
        <v>1995</v>
      </c>
      <c r="O185" s="230"/>
      <c r="S185" s="230"/>
      <c r="T185" s="102" t="s">
        <v>1991</v>
      </c>
      <c r="U185" s="102" t="s">
        <v>1992</v>
      </c>
      <c r="V185" s="102" t="s">
        <v>1085</v>
      </c>
      <c r="W185" s="102" t="s">
        <v>529</v>
      </c>
      <c r="X185" s="102" t="s">
        <v>298</v>
      </c>
      <c r="Y185" s="102" t="s">
        <v>299</v>
      </c>
      <c r="AF185" s="230"/>
      <c r="AG185" s="230"/>
      <c r="AH185" s="230"/>
      <c r="AI185" s="230"/>
    </row>
    <row r="186">
      <c r="A186" s="102" t="s">
        <v>276</v>
      </c>
      <c r="B186" s="102" t="s">
        <v>2006</v>
      </c>
      <c r="C186" s="229" t="s">
        <v>2007</v>
      </c>
      <c r="D186" s="102" t="s">
        <v>291</v>
      </c>
      <c r="E186" s="102" t="s">
        <v>280</v>
      </c>
      <c r="F186" s="102" t="s">
        <v>281</v>
      </c>
      <c r="G186" s="102" t="s">
        <v>1987</v>
      </c>
      <c r="H186" s="102" t="s">
        <v>1988</v>
      </c>
      <c r="I186" s="102" t="s">
        <v>284</v>
      </c>
      <c r="J186" s="102" t="s">
        <v>26</v>
      </c>
      <c r="L186" s="229" t="s">
        <v>1989</v>
      </c>
      <c r="M186" s="229" t="s">
        <v>1995</v>
      </c>
      <c r="O186" s="230"/>
      <c r="S186" s="230"/>
      <c r="T186" s="102" t="s">
        <v>1991</v>
      </c>
      <c r="U186" s="102" t="s">
        <v>1992</v>
      </c>
      <c r="V186" s="102" t="s">
        <v>1085</v>
      </c>
      <c r="W186" s="102" t="s">
        <v>529</v>
      </c>
      <c r="X186" s="102" t="s">
        <v>298</v>
      </c>
      <c r="Y186" s="102" t="s">
        <v>299</v>
      </c>
      <c r="AF186" s="230"/>
      <c r="AG186" s="230"/>
      <c r="AH186" s="230"/>
      <c r="AI186" s="230"/>
    </row>
    <row r="187">
      <c r="A187" s="102" t="s">
        <v>276</v>
      </c>
      <c r="B187" s="102" t="s">
        <v>2008</v>
      </c>
      <c r="C187" s="229" t="s">
        <v>2009</v>
      </c>
      <c r="D187" s="102" t="s">
        <v>291</v>
      </c>
      <c r="E187" s="102" t="s">
        <v>280</v>
      </c>
      <c r="F187" s="102" t="s">
        <v>281</v>
      </c>
      <c r="G187" s="102" t="s">
        <v>1987</v>
      </c>
      <c r="H187" s="102" t="s">
        <v>1988</v>
      </c>
      <c r="I187" s="102" t="s">
        <v>284</v>
      </c>
      <c r="J187" s="102" t="s">
        <v>26</v>
      </c>
      <c r="L187" s="229" t="s">
        <v>1989</v>
      </c>
      <c r="M187" s="229" t="s">
        <v>1995</v>
      </c>
      <c r="O187" s="230"/>
      <c r="S187" s="230"/>
      <c r="T187" s="102" t="s">
        <v>1991</v>
      </c>
      <c r="U187" s="102" t="s">
        <v>1992</v>
      </c>
      <c r="V187" s="102" t="s">
        <v>1085</v>
      </c>
      <c r="W187" s="102" t="s">
        <v>529</v>
      </c>
      <c r="X187" s="102" t="s">
        <v>298</v>
      </c>
      <c r="Y187" s="102" t="s">
        <v>299</v>
      </c>
      <c r="AF187" s="230"/>
      <c r="AG187" s="230"/>
      <c r="AH187" s="230"/>
      <c r="AI187" s="230"/>
    </row>
    <row r="188">
      <c r="A188" s="102" t="s">
        <v>276</v>
      </c>
      <c r="B188" s="102" t="s">
        <v>2010</v>
      </c>
      <c r="C188" s="229" t="s">
        <v>2011</v>
      </c>
      <c r="D188" s="102" t="s">
        <v>291</v>
      </c>
      <c r="E188" s="102" t="s">
        <v>280</v>
      </c>
      <c r="F188" s="102" t="s">
        <v>281</v>
      </c>
      <c r="G188" s="102" t="s">
        <v>1987</v>
      </c>
      <c r="H188" s="102" t="s">
        <v>1988</v>
      </c>
      <c r="I188" s="102" t="s">
        <v>284</v>
      </c>
      <c r="J188" s="102" t="s">
        <v>26</v>
      </c>
      <c r="L188" s="229" t="s">
        <v>1989</v>
      </c>
      <c r="M188" s="229" t="s">
        <v>1995</v>
      </c>
      <c r="O188" s="230"/>
      <c r="S188" s="230"/>
      <c r="T188" s="102" t="s">
        <v>1991</v>
      </c>
      <c r="U188" s="102" t="s">
        <v>1992</v>
      </c>
      <c r="V188" s="102" t="s">
        <v>1085</v>
      </c>
      <c r="W188" s="102" t="s">
        <v>529</v>
      </c>
      <c r="X188" s="102" t="s">
        <v>298</v>
      </c>
      <c r="Y188" s="102" t="s">
        <v>299</v>
      </c>
      <c r="AF188" s="230"/>
      <c r="AG188" s="230"/>
      <c r="AH188" s="230"/>
      <c r="AI188" s="230"/>
    </row>
    <row r="189">
      <c r="A189" s="102" t="s">
        <v>276</v>
      </c>
      <c r="B189" s="102" t="s">
        <v>2012</v>
      </c>
      <c r="C189" s="229" t="s">
        <v>2013</v>
      </c>
      <c r="D189" s="102" t="s">
        <v>291</v>
      </c>
      <c r="E189" s="102" t="s">
        <v>280</v>
      </c>
      <c r="F189" s="102" t="s">
        <v>281</v>
      </c>
      <c r="G189" s="102" t="s">
        <v>1987</v>
      </c>
      <c r="H189" s="102" t="s">
        <v>1988</v>
      </c>
      <c r="I189" s="102" t="s">
        <v>284</v>
      </c>
      <c r="J189" s="102" t="s">
        <v>26</v>
      </c>
      <c r="L189" s="229" t="s">
        <v>1989</v>
      </c>
      <c r="M189" s="229" t="s">
        <v>1995</v>
      </c>
      <c r="O189" s="230"/>
      <c r="S189" s="230"/>
      <c r="T189" s="102" t="s">
        <v>1991</v>
      </c>
      <c r="U189" s="102" t="s">
        <v>1992</v>
      </c>
      <c r="V189" s="102" t="s">
        <v>1085</v>
      </c>
      <c r="W189" s="102" t="s">
        <v>529</v>
      </c>
      <c r="X189" s="102" t="s">
        <v>298</v>
      </c>
      <c r="Y189" s="102" t="s">
        <v>299</v>
      </c>
      <c r="AF189" s="230"/>
      <c r="AG189" s="230"/>
      <c r="AH189" s="230"/>
      <c r="AI189" s="230"/>
    </row>
    <row r="190">
      <c r="A190" s="102" t="s">
        <v>310</v>
      </c>
      <c r="B190" s="102" t="s">
        <v>2014</v>
      </c>
      <c r="C190" s="229" t="s">
        <v>2015</v>
      </c>
      <c r="D190" s="102" t="s">
        <v>2016</v>
      </c>
      <c r="E190" s="102" t="s">
        <v>282</v>
      </c>
      <c r="F190" s="102" t="s">
        <v>283</v>
      </c>
      <c r="G190" s="102" t="s">
        <v>316</v>
      </c>
      <c r="H190" s="102" t="s">
        <v>317</v>
      </c>
      <c r="I190" s="102" t="s">
        <v>284</v>
      </c>
      <c r="J190" s="102" t="s">
        <v>34</v>
      </c>
      <c r="L190" s="229" t="s">
        <v>2017</v>
      </c>
      <c r="M190" s="229" t="s">
        <v>3002</v>
      </c>
      <c r="N190" s="229" t="s">
        <v>2019</v>
      </c>
      <c r="O190" s="102">
        <v>2.0</v>
      </c>
      <c r="P190" s="102" t="s">
        <v>481</v>
      </c>
      <c r="S190" s="230"/>
      <c r="T190" s="102" t="s">
        <v>1964</v>
      </c>
      <c r="U190" s="102" t="s">
        <v>1155</v>
      </c>
      <c r="AF190" s="230"/>
      <c r="AG190" s="230"/>
      <c r="AH190" s="230"/>
      <c r="AI190" s="230"/>
    </row>
    <row r="191">
      <c r="A191" s="102" t="s">
        <v>276</v>
      </c>
      <c r="B191" s="102" t="s">
        <v>2024</v>
      </c>
      <c r="C191" s="229" t="s">
        <v>2025</v>
      </c>
      <c r="D191" s="102" t="s">
        <v>347</v>
      </c>
      <c r="E191" s="102" t="s">
        <v>280</v>
      </c>
      <c r="F191" s="102" t="s">
        <v>281</v>
      </c>
      <c r="G191" s="102" t="s">
        <v>280</v>
      </c>
      <c r="H191" s="102" t="s">
        <v>281</v>
      </c>
      <c r="I191" s="102" t="s">
        <v>284</v>
      </c>
      <c r="J191" s="102" t="s">
        <v>63</v>
      </c>
      <c r="L191" s="229" t="s">
        <v>2026</v>
      </c>
      <c r="M191" s="229" t="s">
        <v>2536</v>
      </c>
      <c r="O191" s="230"/>
      <c r="S191" s="230"/>
      <c r="T191" s="102" t="s">
        <v>1991</v>
      </c>
      <c r="U191" s="102" t="s">
        <v>1992</v>
      </c>
      <c r="V191" s="102" t="s">
        <v>1085</v>
      </c>
      <c r="W191" s="102" t="s">
        <v>529</v>
      </c>
      <c r="X191" s="102" t="s">
        <v>298</v>
      </c>
      <c r="Y191" s="102" t="s">
        <v>299</v>
      </c>
      <c r="AF191" s="230"/>
      <c r="AG191" s="230"/>
      <c r="AH191" s="230"/>
      <c r="AI191" s="230"/>
    </row>
    <row r="192">
      <c r="A192" s="102" t="s">
        <v>276</v>
      </c>
      <c r="B192" s="102" t="s">
        <v>2028</v>
      </c>
      <c r="C192" s="229" t="s">
        <v>2029</v>
      </c>
      <c r="D192" s="102" t="s">
        <v>2030</v>
      </c>
      <c r="E192" s="102" t="s">
        <v>280</v>
      </c>
      <c r="F192" s="102" t="s">
        <v>281</v>
      </c>
      <c r="G192" s="102" t="s">
        <v>280</v>
      </c>
      <c r="H192" s="102" t="s">
        <v>281</v>
      </c>
      <c r="I192" s="102" t="s">
        <v>284</v>
      </c>
      <c r="J192" s="102" t="s">
        <v>26</v>
      </c>
      <c r="L192" s="229" t="s">
        <v>2026</v>
      </c>
      <c r="M192" s="229" t="s">
        <v>1995</v>
      </c>
      <c r="O192" s="230"/>
      <c r="S192" s="230"/>
      <c r="T192" s="102" t="s">
        <v>1991</v>
      </c>
      <c r="U192" s="102" t="s">
        <v>1992</v>
      </c>
      <c r="V192" s="102" t="s">
        <v>1085</v>
      </c>
      <c r="W192" s="102" t="s">
        <v>529</v>
      </c>
      <c r="X192" s="102" t="s">
        <v>298</v>
      </c>
      <c r="Y192" s="102" t="s">
        <v>299</v>
      </c>
      <c r="AF192" s="230"/>
      <c r="AG192" s="230"/>
      <c r="AH192" s="230"/>
      <c r="AI192" s="230"/>
    </row>
    <row r="193">
      <c r="A193" s="102" t="s">
        <v>310</v>
      </c>
      <c r="B193" s="102" t="s">
        <v>2031</v>
      </c>
      <c r="C193" s="229" t="s">
        <v>2032</v>
      </c>
      <c r="D193" s="102" t="s">
        <v>2033</v>
      </c>
      <c r="E193" s="102" t="s">
        <v>556</v>
      </c>
      <c r="F193" s="102" t="s">
        <v>557</v>
      </c>
      <c r="G193" s="102" t="s">
        <v>282</v>
      </c>
      <c r="H193" s="102" t="s">
        <v>283</v>
      </c>
      <c r="I193" s="102" t="s">
        <v>284</v>
      </c>
      <c r="J193" s="102" t="s">
        <v>454</v>
      </c>
      <c r="L193" s="229" t="s">
        <v>2034</v>
      </c>
      <c r="M193" s="229" t="s">
        <v>2931</v>
      </c>
      <c r="O193" s="102">
        <v>1.0</v>
      </c>
      <c r="S193" s="230"/>
      <c r="T193" s="102" t="s">
        <v>1991</v>
      </c>
      <c r="U193" s="102" t="s">
        <v>1992</v>
      </c>
      <c r="V193" s="102" t="s">
        <v>1085</v>
      </c>
      <c r="W193" s="102" t="s">
        <v>529</v>
      </c>
      <c r="X193" s="102" t="s">
        <v>298</v>
      </c>
      <c r="Y193" s="102" t="s">
        <v>299</v>
      </c>
      <c r="AF193" s="230"/>
      <c r="AG193" s="230"/>
      <c r="AH193" s="230"/>
      <c r="AI193" s="230"/>
    </row>
    <row r="194">
      <c r="A194" s="102" t="s">
        <v>310</v>
      </c>
      <c r="B194" s="102" t="s">
        <v>2537</v>
      </c>
      <c r="C194" s="229" t="s">
        <v>2538</v>
      </c>
      <c r="D194" s="102" t="s">
        <v>2539</v>
      </c>
      <c r="E194" s="102" t="s">
        <v>584</v>
      </c>
      <c r="F194" s="102" t="s">
        <v>585</v>
      </c>
      <c r="G194" s="102" t="s">
        <v>353</v>
      </c>
      <c r="H194" s="102" t="s">
        <v>354</v>
      </c>
      <c r="I194" s="102" t="s">
        <v>284</v>
      </c>
      <c r="J194" s="102" t="s">
        <v>454</v>
      </c>
      <c r="L194" s="229" t="s">
        <v>2540</v>
      </c>
      <c r="M194" s="229" t="s">
        <v>2998</v>
      </c>
      <c r="O194" s="102">
        <v>2.0</v>
      </c>
      <c r="S194" s="102">
        <v>14400.0</v>
      </c>
      <c r="T194" s="102" t="s">
        <v>2271</v>
      </c>
      <c r="U194" s="102" t="s">
        <v>2272</v>
      </c>
      <c r="V194" s="102" t="s">
        <v>2273</v>
      </c>
      <c r="W194" s="102" t="s">
        <v>2274</v>
      </c>
      <c r="AF194" s="230"/>
      <c r="AG194" s="230"/>
      <c r="AH194" s="230"/>
      <c r="AI194" s="230"/>
    </row>
    <row r="195">
      <c r="A195" s="102" t="s">
        <v>310</v>
      </c>
      <c r="B195" s="102" t="s">
        <v>2035</v>
      </c>
      <c r="C195" s="229" t="s">
        <v>2036</v>
      </c>
      <c r="D195" s="102" t="s">
        <v>2037</v>
      </c>
      <c r="E195" s="102" t="s">
        <v>556</v>
      </c>
      <c r="F195" s="102" t="s">
        <v>557</v>
      </c>
      <c r="G195" s="102" t="s">
        <v>353</v>
      </c>
      <c r="H195" s="102" t="s">
        <v>354</v>
      </c>
      <c r="I195" s="102" t="s">
        <v>284</v>
      </c>
      <c r="J195" s="102" t="s">
        <v>454</v>
      </c>
      <c r="L195" s="229" t="s">
        <v>2038</v>
      </c>
      <c r="M195" s="229" t="s">
        <v>2787</v>
      </c>
      <c r="N195" s="229" t="s">
        <v>1978</v>
      </c>
      <c r="O195" s="102">
        <v>5.0</v>
      </c>
      <c r="P195" s="102" t="s">
        <v>1855</v>
      </c>
      <c r="S195" s="102">
        <v>57600.0</v>
      </c>
      <c r="T195" s="102" t="s">
        <v>1259</v>
      </c>
      <c r="U195" s="102" t="s">
        <v>1203</v>
      </c>
      <c r="V195" s="102" t="s">
        <v>1204</v>
      </c>
      <c r="W195" s="102" t="s">
        <v>1205</v>
      </c>
      <c r="X195" s="102" t="s">
        <v>1205</v>
      </c>
      <c r="AF195" s="230"/>
      <c r="AG195" s="230"/>
      <c r="AH195" s="230"/>
      <c r="AI195" s="230"/>
    </row>
    <row r="196">
      <c r="A196" s="102" t="s">
        <v>310</v>
      </c>
      <c r="B196" s="102" t="s">
        <v>2039</v>
      </c>
      <c r="C196" s="229" t="s">
        <v>2040</v>
      </c>
      <c r="D196" s="102" t="s">
        <v>2041</v>
      </c>
      <c r="E196" s="102" t="s">
        <v>564</v>
      </c>
      <c r="F196" s="102" t="s">
        <v>565</v>
      </c>
      <c r="G196" s="102" t="s">
        <v>353</v>
      </c>
      <c r="H196" s="102" t="s">
        <v>354</v>
      </c>
      <c r="I196" s="102" t="s">
        <v>284</v>
      </c>
      <c r="J196" s="102" t="s">
        <v>454</v>
      </c>
      <c r="L196" s="229" t="s">
        <v>2038</v>
      </c>
      <c r="M196" s="229" t="s">
        <v>2787</v>
      </c>
      <c r="N196" s="229" t="s">
        <v>2042</v>
      </c>
      <c r="O196" s="102">
        <v>5.0</v>
      </c>
      <c r="P196" s="102" t="s">
        <v>1855</v>
      </c>
      <c r="S196" s="102">
        <v>57600.0</v>
      </c>
      <c r="T196" s="102" t="s">
        <v>1259</v>
      </c>
      <c r="U196" s="102" t="s">
        <v>1203</v>
      </c>
      <c r="V196" s="102" t="s">
        <v>1204</v>
      </c>
      <c r="W196" s="102" t="s">
        <v>1205</v>
      </c>
      <c r="X196" s="102" t="s">
        <v>1205</v>
      </c>
      <c r="AF196" s="230"/>
      <c r="AG196" s="230"/>
      <c r="AH196" s="230"/>
      <c r="AI196" s="230"/>
    </row>
    <row r="197">
      <c r="A197" s="102" t="s">
        <v>310</v>
      </c>
      <c r="B197" s="102" t="s">
        <v>2043</v>
      </c>
      <c r="C197" s="229" t="s">
        <v>2044</v>
      </c>
      <c r="D197" s="102" t="s">
        <v>2045</v>
      </c>
      <c r="E197" s="102" t="s">
        <v>564</v>
      </c>
      <c r="F197" s="102" t="s">
        <v>565</v>
      </c>
      <c r="G197" s="102" t="s">
        <v>353</v>
      </c>
      <c r="H197" s="102" t="s">
        <v>354</v>
      </c>
      <c r="I197" s="102" t="s">
        <v>284</v>
      </c>
      <c r="J197" s="102" t="s">
        <v>454</v>
      </c>
      <c r="L197" s="229" t="s">
        <v>2046</v>
      </c>
      <c r="M197" s="229" t="s">
        <v>2787</v>
      </c>
      <c r="N197" s="229" t="s">
        <v>1978</v>
      </c>
      <c r="O197" s="102">
        <v>5.0</v>
      </c>
      <c r="P197" s="102" t="s">
        <v>1855</v>
      </c>
      <c r="S197" s="102">
        <v>57600.0</v>
      </c>
      <c r="T197" s="102" t="s">
        <v>1259</v>
      </c>
      <c r="U197" s="102" t="s">
        <v>1203</v>
      </c>
      <c r="V197" s="102" t="s">
        <v>1204</v>
      </c>
      <c r="W197" s="102" t="s">
        <v>1205</v>
      </c>
      <c r="X197" s="102" t="s">
        <v>1205</v>
      </c>
      <c r="AF197" s="230"/>
      <c r="AG197" s="230"/>
      <c r="AH197" s="230"/>
      <c r="AI197" s="230"/>
    </row>
    <row r="198">
      <c r="A198" s="102" t="s">
        <v>310</v>
      </c>
      <c r="B198" s="102" t="s">
        <v>2047</v>
      </c>
      <c r="C198" s="229" t="s">
        <v>2048</v>
      </c>
      <c r="D198" s="102" t="s">
        <v>2049</v>
      </c>
      <c r="E198" s="102" t="s">
        <v>556</v>
      </c>
      <c r="F198" s="102" t="s">
        <v>557</v>
      </c>
      <c r="G198" s="102" t="s">
        <v>353</v>
      </c>
      <c r="H198" s="102" t="s">
        <v>354</v>
      </c>
      <c r="I198" s="102" t="s">
        <v>284</v>
      </c>
      <c r="J198" s="102" t="s">
        <v>454</v>
      </c>
      <c r="L198" s="229" t="s">
        <v>2046</v>
      </c>
      <c r="M198" s="229" t="s">
        <v>2787</v>
      </c>
      <c r="N198" s="229" t="s">
        <v>1978</v>
      </c>
      <c r="O198" s="102">
        <v>5.0</v>
      </c>
      <c r="P198" s="102" t="s">
        <v>1855</v>
      </c>
      <c r="S198" s="230"/>
      <c r="T198" s="102" t="s">
        <v>1259</v>
      </c>
      <c r="U198" s="102" t="s">
        <v>1203</v>
      </c>
      <c r="V198" s="102" t="s">
        <v>1204</v>
      </c>
      <c r="W198" s="102" t="s">
        <v>1205</v>
      </c>
      <c r="X198" s="102" t="s">
        <v>1205</v>
      </c>
      <c r="AF198" s="230"/>
      <c r="AG198" s="230"/>
      <c r="AH198" s="230"/>
      <c r="AI198" s="230"/>
    </row>
    <row r="199">
      <c r="A199" s="102" t="s">
        <v>310</v>
      </c>
      <c r="B199" s="102" t="s">
        <v>2050</v>
      </c>
      <c r="C199" s="229" t="s">
        <v>2051</v>
      </c>
      <c r="D199" s="102" t="s">
        <v>2052</v>
      </c>
      <c r="E199" s="102" t="s">
        <v>564</v>
      </c>
      <c r="F199" s="102" t="s">
        <v>565</v>
      </c>
      <c r="G199" s="102" t="s">
        <v>353</v>
      </c>
      <c r="H199" s="102" t="s">
        <v>354</v>
      </c>
      <c r="I199" s="102" t="s">
        <v>284</v>
      </c>
      <c r="J199" s="102" t="s">
        <v>454</v>
      </c>
      <c r="L199" s="229" t="s">
        <v>2053</v>
      </c>
      <c r="M199" s="229" t="s">
        <v>2787</v>
      </c>
      <c r="N199" s="229" t="s">
        <v>2054</v>
      </c>
      <c r="O199" s="102">
        <v>5.0</v>
      </c>
      <c r="P199" s="102" t="s">
        <v>1855</v>
      </c>
      <c r="S199" s="102">
        <v>57600.0</v>
      </c>
      <c r="T199" s="102" t="s">
        <v>1259</v>
      </c>
      <c r="U199" s="102" t="s">
        <v>1203</v>
      </c>
      <c r="V199" s="102" t="s">
        <v>1204</v>
      </c>
      <c r="W199" s="102" t="s">
        <v>1205</v>
      </c>
      <c r="X199" s="102" t="s">
        <v>1205</v>
      </c>
      <c r="AF199" s="230"/>
      <c r="AG199" s="230"/>
      <c r="AH199" s="230"/>
      <c r="AI199" s="230"/>
    </row>
    <row r="200">
      <c r="A200" s="102" t="s">
        <v>310</v>
      </c>
      <c r="B200" s="102" t="s">
        <v>2055</v>
      </c>
      <c r="C200" s="229" t="s">
        <v>2056</v>
      </c>
      <c r="D200" s="102" t="s">
        <v>2057</v>
      </c>
      <c r="E200" s="102" t="s">
        <v>556</v>
      </c>
      <c r="F200" s="102" t="s">
        <v>557</v>
      </c>
      <c r="G200" s="102" t="s">
        <v>353</v>
      </c>
      <c r="H200" s="102" t="s">
        <v>354</v>
      </c>
      <c r="I200" s="102" t="s">
        <v>284</v>
      </c>
      <c r="J200" s="102" t="s">
        <v>454</v>
      </c>
      <c r="L200" s="229" t="s">
        <v>2058</v>
      </c>
      <c r="M200" s="229" t="s">
        <v>2787</v>
      </c>
      <c r="N200" s="229" t="s">
        <v>1352</v>
      </c>
      <c r="O200" s="102">
        <v>5.0</v>
      </c>
      <c r="P200" s="102" t="s">
        <v>593</v>
      </c>
      <c r="Q200" s="102" t="s">
        <v>1855</v>
      </c>
      <c r="S200" s="102">
        <v>57600.0</v>
      </c>
      <c r="T200" s="102" t="s">
        <v>1259</v>
      </c>
      <c r="U200" s="102" t="s">
        <v>1203</v>
      </c>
      <c r="V200" s="102" t="s">
        <v>1204</v>
      </c>
      <c r="W200" s="102" t="s">
        <v>1205</v>
      </c>
      <c r="X200" s="102" t="s">
        <v>1205</v>
      </c>
      <c r="AF200" s="230"/>
      <c r="AG200" s="230"/>
      <c r="AH200" s="230"/>
      <c r="AI200" s="230"/>
    </row>
    <row r="201">
      <c r="A201" s="102" t="s">
        <v>630</v>
      </c>
      <c r="B201" s="102" t="s">
        <v>1253</v>
      </c>
      <c r="C201" s="229" t="s">
        <v>1254</v>
      </c>
      <c r="D201" s="102" t="s">
        <v>1255</v>
      </c>
      <c r="G201" s="102" t="s">
        <v>353</v>
      </c>
      <c r="H201" s="102" t="s">
        <v>354</v>
      </c>
      <c r="I201" s="102" t="s">
        <v>284</v>
      </c>
      <c r="J201" s="102" t="s">
        <v>63</v>
      </c>
      <c r="L201" s="229" t="s">
        <v>1256</v>
      </c>
      <c r="M201" s="229" t="s">
        <v>2787</v>
      </c>
      <c r="N201" s="229" t="s">
        <v>1257</v>
      </c>
      <c r="O201" s="230"/>
      <c r="S201" s="230"/>
      <c r="T201" s="102" t="s">
        <v>1258</v>
      </c>
      <c r="U201" s="102" t="s">
        <v>1259</v>
      </c>
      <c r="V201" s="102" t="s">
        <v>1203</v>
      </c>
      <c r="W201" s="102" t="s">
        <v>1204</v>
      </c>
      <c r="X201" s="102" t="s">
        <v>1260</v>
      </c>
      <c r="Y201" s="102" t="s">
        <v>1205</v>
      </c>
      <c r="Z201" s="102" t="s">
        <v>1205</v>
      </c>
      <c r="AF201" s="230"/>
      <c r="AG201" s="230"/>
      <c r="AH201" s="230"/>
      <c r="AI201" s="230"/>
    </row>
    <row r="202">
      <c r="A202" s="102" t="s">
        <v>310</v>
      </c>
      <c r="B202" s="102" t="s">
        <v>1266</v>
      </c>
      <c r="C202" s="229" t="s">
        <v>1267</v>
      </c>
      <c r="D202" s="102" t="s">
        <v>1268</v>
      </c>
      <c r="E202" s="102" t="s">
        <v>495</v>
      </c>
      <c r="F202" s="102" t="s">
        <v>496</v>
      </c>
      <c r="G202" s="102" t="s">
        <v>282</v>
      </c>
      <c r="H202" s="102" t="s">
        <v>283</v>
      </c>
      <c r="I202" s="102" t="s">
        <v>284</v>
      </c>
      <c r="J202" s="102" t="s">
        <v>454</v>
      </c>
      <c r="L202" s="229" t="s">
        <v>1269</v>
      </c>
      <c r="M202" s="229" t="s">
        <v>2921</v>
      </c>
      <c r="N202" s="229" t="s">
        <v>1170</v>
      </c>
      <c r="O202" s="102">
        <v>5.0</v>
      </c>
      <c r="S202" s="102">
        <v>7200.0</v>
      </c>
      <c r="T202" s="102" t="s">
        <v>299</v>
      </c>
      <c r="AF202" s="230"/>
      <c r="AG202" s="230"/>
      <c r="AH202" s="230"/>
      <c r="AI202" s="230"/>
    </row>
    <row r="203">
      <c r="A203" s="102" t="s">
        <v>310</v>
      </c>
      <c r="B203" s="102" t="s">
        <v>1271</v>
      </c>
      <c r="C203" s="229" t="s">
        <v>1272</v>
      </c>
      <c r="D203" s="102" t="s">
        <v>1273</v>
      </c>
      <c r="E203" s="102" t="s">
        <v>328</v>
      </c>
      <c r="F203" s="102" t="s">
        <v>329</v>
      </c>
      <c r="G203" s="102" t="s">
        <v>282</v>
      </c>
      <c r="H203" s="102" t="s">
        <v>283</v>
      </c>
      <c r="I203" s="102" t="s">
        <v>284</v>
      </c>
      <c r="J203" s="102" t="s">
        <v>454</v>
      </c>
      <c r="L203" s="229" t="s">
        <v>1274</v>
      </c>
      <c r="M203" s="229" t="s">
        <v>2931</v>
      </c>
      <c r="N203" s="229" t="s">
        <v>1275</v>
      </c>
      <c r="O203" s="102">
        <v>3.0</v>
      </c>
      <c r="S203" s="230"/>
      <c r="T203" s="102" t="s">
        <v>298</v>
      </c>
      <c r="U203" s="102" t="s">
        <v>299</v>
      </c>
      <c r="AF203" s="230"/>
      <c r="AG203" s="230"/>
      <c r="AH203" s="230"/>
      <c r="AI203" s="230"/>
    </row>
    <row r="204">
      <c r="A204" s="102" t="s">
        <v>310</v>
      </c>
      <c r="B204" s="102" t="s">
        <v>2064</v>
      </c>
      <c r="C204" s="229" t="s">
        <v>2065</v>
      </c>
      <c r="D204" s="102" t="s">
        <v>2066</v>
      </c>
      <c r="E204" s="102" t="s">
        <v>584</v>
      </c>
      <c r="F204" s="102" t="s">
        <v>585</v>
      </c>
      <c r="G204" s="102" t="s">
        <v>282</v>
      </c>
      <c r="H204" s="102" t="s">
        <v>283</v>
      </c>
      <c r="I204" s="102" t="s">
        <v>284</v>
      </c>
      <c r="J204" s="102" t="s">
        <v>678</v>
      </c>
      <c r="L204" s="229" t="s">
        <v>2067</v>
      </c>
      <c r="M204" s="229" t="s">
        <v>2837</v>
      </c>
      <c r="N204" s="229" t="s">
        <v>2069</v>
      </c>
      <c r="O204" s="102">
        <v>5.0</v>
      </c>
      <c r="S204" s="230"/>
      <c r="T204" s="102" t="s">
        <v>299</v>
      </c>
      <c r="AF204" s="230"/>
      <c r="AG204" s="230"/>
      <c r="AH204" s="230"/>
      <c r="AI204" s="230"/>
    </row>
    <row r="205">
      <c r="A205" s="102" t="s">
        <v>310</v>
      </c>
      <c r="B205" s="102" t="s">
        <v>2070</v>
      </c>
      <c r="C205" s="229" t="s">
        <v>2071</v>
      </c>
      <c r="D205" s="102" t="s">
        <v>2072</v>
      </c>
      <c r="E205" s="102" t="s">
        <v>495</v>
      </c>
      <c r="F205" s="102" t="s">
        <v>496</v>
      </c>
      <c r="G205" s="102" t="s">
        <v>282</v>
      </c>
      <c r="H205" s="102" t="s">
        <v>283</v>
      </c>
      <c r="I205" s="102" t="s">
        <v>284</v>
      </c>
      <c r="J205" s="102" t="s">
        <v>454</v>
      </c>
      <c r="L205" s="229" t="s">
        <v>2073</v>
      </c>
      <c r="M205" s="229" t="s">
        <v>2931</v>
      </c>
      <c r="O205" s="102">
        <v>1.0</v>
      </c>
      <c r="P205" s="102" t="s">
        <v>435</v>
      </c>
      <c r="S205" s="102">
        <v>3600.0</v>
      </c>
      <c r="T205" s="102" t="s">
        <v>1991</v>
      </c>
      <c r="U205" s="102" t="s">
        <v>1992</v>
      </c>
      <c r="V205" s="102" t="s">
        <v>1085</v>
      </c>
      <c r="W205" s="102" t="s">
        <v>529</v>
      </c>
      <c r="X205" s="102" t="s">
        <v>298</v>
      </c>
      <c r="Y205" s="102" t="s">
        <v>299</v>
      </c>
      <c r="AF205" s="230"/>
      <c r="AG205" s="230"/>
      <c r="AH205" s="230"/>
      <c r="AI205" s="230"/>
    </row>
    <row r="206">
      <c r="A206" s="102" t="s">
        <v>310</v>
      </c>
      <c r="B206" s="102" t="s">
        <v>2075</v>
      </c>
      <c r="C206" s="229" t="s">
        <v>2076</v>
      </c>
      <c r="D206" s="102" t="s">
        <v>2077</v>
      </c>
      <c r="E206" s="102" t="s">
        <v>495</v>
      </c>
      <c r="F206" s="102" t="s">
        <v>496</v>
      </c>
      <c r="G206" s="102" t="s">
        <v>282</v>
      </c>
      <c r="H206" s="102" t="s">
        <v>283</v>
      </c>
      <c r="I206" s="102" t="s">
        <v>284</v>
      </c>
      <c r="J206" s="102" t="s">
        <v>454</v>
      </c>
      <c r="L206" s="229" t="s">
        <v>2073</v>
      </c>
      <c r="M206" s="229" t="s">
        <v>2931</v>
      </c>
      <c r="O206" s="102">
        <v>1.0</v>
      </c>
      <c r="P206" s="102" t="s">
        <v>435</v>
      </c>
      <c r="S206" s="102">
        <v>7200.0</v>
      </c>
      <c r="T206" s="102" t="s">
        <v>1991</v>
      </c>
      <c r="U206" s="102" t="s">
        <v>1992</v>
      </c>
      <c r="V206" s="102" t="s">
        <v>1085</v>
      </c>
      <c r="W206" s="102" t="s">
        <v>529</v>
      </c>
      <c r="X206" s="102" t="s">
        <v>298</v>
      </c>
      <c r="Y206" s="102" t="s">
        <v>299</v>
      </c>
      <c r="AF206" s="230"/>
      <c r="AG206" s="230"/>
      <c r="AH206" s="230"/>
      <c r="AI206" s="230"/>
    </row>
    <row r="207">
      <c r="A207" s="102" t="s">
        <v>310</v>
      </c>
      <c r="B207" s="102" t="s">
        <v>2078</v>
      </c>
      <c r="C207" s="229" t="s">
        <v>2079</v>
      </c>
      <c r="D207" s="102" t="s">
        <v>2080</v>
      </c>
      <c r="E207" s="102" t="s">
        <v>495</v>
      </c>
      <c r="F207" s="102" t="s">
        <v>496</v>
      </c>
      <c r="G207" s="102" t="s">
        <v>282</v>
      </c>
      <c r="H207" s="102" t="s">
        <v>283</v>
      </c>
      <c r="I207" s="102" t="s">
        <v>284</v>
      </c>
      <c r="J207" s="102" t="s">
        <v>454</v>
      </c>
      <c r="L207" s="229" t="s">
        <v>2073</v>
      </c>
      <c r="M207" s="229" t="s">
        <v>2931</v>
      </c>
      <c r="O207" s="102">
        <v>2.0</v>
      </c>
      <c r="P207" s="102" t="s">
        <v>435</v>
      </c>
      <c r="S207" s="102">
        <v>10800.0</v>
      </c>
      <c r="T207" s="102" t="s">
        <v>1991</v>
      </c>
      <c r="U207" s="102" t="s">
        <v>1992</v>
      </c>
      <c r="V207" s="102" t="s">
        <v>1085</v>
      </c>
      <c r="W207" s="102" t="s">
        <v>529</v>
      </c>
      <c r="X207" s="102" t="s">
        <v>298</v>
      </c>
      <c r="Y207" s="102" t="s">
        <v>299</v>
      </c>
      <c r="AF207" s="230"/>
      <c r="AG207" s="230"/>
      <c r="AH207" s="230"/>
      <c r="AI207" s="230"/>
    </row>
    <row r="208">
      <c r="A208" s="102" t="s">
        <v>310</v>
      </c>
      <c r="B208" s="102" t="s">
        <v>2081</v>
      </c>
      <c r="C208" s="229" t="s">
        <v>2082</v>
      </c>
      <c r="D208" s="102" t="s">
        <v>2083</v>
      </c>
      <c r="E208" s="102" t="s">
        <v>513</v>
      </c>
      <c r="F208" s="102" t="s">
        <v>514</v>
      </c>
      <c r="G208" s="102" t="s">
        <v>282</v>
      </c>
      <c r="H208" s="102" t="s">
        <v>283</v>
      </c>
      <c r="I208" s="102" t="s">
        <v>284</v>
      </c>
      <c r="J208" s="102" t="s">
        <v>454</v>
      </c>
      <c r="L208" s="229" t="s">
        <v>2073</v>
      </c>
      <c r="M208" s="229" t="s">
        <v>2931</v>
      </c>
      <c r="O208" s="102">
        <v>1.0</v>
      </c>
      <c r="P208" s="102" t="s">
        <v>435</v>
      </c>
      <c r="S208" s="102">
        <v>7200.0</v>
      </c>
      <c r="T208" s="102" t="s">
        <v>1991</v>
      </c>
      <c r="U208" s="102" t="s">
        <v>1992</v>
      </c>
      <c r="V208" s="102" t="s">
        <v>1085</v>
      </c>
      <c r="W208" s="102" t="s">
        <v>529</v>
      </c>
      <c r="X208" s="102" t="s">
        <v>298</v>
      </c>
      <c r="Y208" s="102" t="s">
        <v>299</v>
      </c>
      <c r="AF208" s="230"/>
      <c r="AG208" s="230"/>
      <c r="AH208" s="230"/>
      <c r="AI208" s="230"/>
    </row>
    <row r="209">
      <c r="A209" s="102" t="s">
        <v>310</v>
      </c>
      <c r="B209" s="102" t="s">
        <v>2085</v>
      </c>
      <c r="C209" s="229" t="s">
        <v>2086</v>
      </c>
      <c r="D209" s="102" t="s">
        <v>2087</v>
      </c>
      <c r="E209" s="102" t="s">
        <v>513</v>
      </c>
      <c r="F209" s="102" t="s">
        <v>514</v>
      </c>
      <c r="G209" s="102" t="s">
        <v>282</v>
      </c>
      <c r="H209" s="102" t="s">
        <v>283</v>
      </c>
      <c r="I209" s="102" t="s">
        <v>284</v>
      </c>
      <c r="J209" s="102" t="s">
        <v>454</v>
      </c>
      <c r="L209" s="229" t="s">
        <v>2088</v>
      </c>
      <c r="M209" s="229" t="s">
        <v>3003</v>
      </c>
      <c r="N209" s="229" t="s">
        <v>2089</v>
      </c>
      <c r="O209" s="102">
        <v>1.0</v>
      </c>
      <c r="P209" s="102" t="s">
        <v>435</v>
      </c>
      <c r="S209" s="102">
        <v>7200.0</v>
      </c>
      <c r="T209" s="102" t="s">
        <v>1991</v>
      </c>
      <c r="U209" s="102" t="s">
        <v>1992</v>
      </c>
      <c r="V209" s="102" t="s">
        <v>1085</v>
      </c>
      <c r="W209" s="102" t="s">
        <v>529</v>
      </c>
      <c r="X209" s="102" t="s">
        <v>298</v>
      </c>
      <c r="Y209" s="102" t="s">
        <v>299</v>
      </c>
      <c r="AF209" s="230"/>
      <c r="AG209" s="230"/>
      <c r="AH209" s="230"/>
      <c r="AI209" s="230"/>
    </row>
    <row r="210">
      <c r="A210" s="102" t="s">
        <v>310</v>
      </c>
      <c r="B210" s="102" t="s">
        <v>2090</v>
      </c>
      <c r="C210" s="229" t="s">
        <v>2091</v>
      </c>
      <c r="D210" s="102" t="s">
        <v>2092</v>
      </c>
      <c r="E210" s="102" t="s">
        <v>513</v>
      </c>
      <c r="F210" s="102" t="s">
        <v>514</v>
      </c>
      <c r="G210" s="102" t="s">
        <v>282</v>
      </c>
      <c r="H210" s="102" t="s">
        <v>283</v>
      </c>
      <c r="I210" s="102" t="s">
        <v>284</v>
      </c>
      <c r="J210" s="102" t="s">
        <v>454</v>
      </c>
      <c r="L210" s="229" t="s">
        <v>2088</v>
      </c>
      <c r="M210" s="229" t="s">
        <v>2931</v>
      </c>
      <c r="O210" s="102">
        <v>1.0</v>
      </c>
      <c r="P210" s="102" t="s">
        <v>435</v>
      </c>
      <c r="S210" s="102">
        <v>7200.0</v>
      </c>
      <c r="T210" s="102" t="s">
        <v>1991</v>
      </c>
      <c r="U210" s="102" t="s">
        <v>1992</v>
      </c>
      <c r="V210" s="102" t="s">
        <v>1085</v>
      </c>
      <c r="W210" s="102" t="s">
        <v>529</v>
      </c>
      <c r="X210" s="102" t="s">
        <v>298</v>
      </c>
      <c r="Y210" s="102" t="s">
        <v>299</v>
      </c>
      <c r="AF210" s="230"/>
      <c r="AG210" s="230"/>
      <c r="AH210" s="230"/>
      <c r="AI210" s="230"/>
    </row>
    <row r="211">
      <c r="A211" s="102" t="s">
        <v>310</v>
      </c>
      <c r="B211" s="102" t="s">
        <v>2093</v>
      </c>
      <c r="C211" s="229" t="s">
        <v>2094</v>
      </c>
      <c r="D211" s="102" t="s">
        <v>2095</v>
      </c>
      <c r="E211" s="102" t="s">
        <v>513</v>
      </c>
      <c r="F211" s="102" t="s">
        <v>514</v>
      </c>
      <c r="G211" s="102" t="s">
        <v>282</v>
      </c>
      <c r="H211" s="102" t="s">
        <v>283</v>
      </c>
      <c r="I211" s="102" t="s">
        <v>284</v>
      </c>
      <c r="J211" s="102" t="s">
        <v>454</v>
      </c>
      <c r="L211" s="229" t="s">
        <v>2088</v>
      </c>
      <c r="M211" s="229" t="s">
        <v>2931</v>
      </c>
      <c r="N211" s="229" t="s">
        <v>2096</v>
      </c>
      <c r="O211" s="102">
        <v>2.0</v>
      </c>
      <c r="P211" s="102" t="s">
        <v>435</v>
      </c>
      <c r="S211" s="102">
        <v>14400.0</v>
      </c>
      <c r="T211" s="102" t="s">
        <v>1991</v>
      </c>
      <c r="U211" s="102" t="s">
        <v>1992</v>
      </c>
      <c r="V211" s="102" t="s">
        <v>1085</v>
      </c>
      <c r="W211" s="102" t="s">
        <v>529</v>
      </c>
      <c r="X211" s="102" t="s">
        <v>298</v>
      </c>
      <c r="Y211" s="102" t="s">
        <v>299</v>
      </c>
      <c r="AF211" s="230"/>
      <c r="AG211" s="230"/>
      <c r="AH211" s="230"/>
      <c r="AI211" s="230"/>
    </row>
    <row r="212">
      <c r="A212" s="102" t="s">
        <v>310</v>
      </c>
      <c r="B212" s="102" t="s">
        <v>2097</v>
      </c>
      <c r="C212" s="229" t="s">
        <v>2098</v>
      </c>
      <c r="D212" s="102" t="s">
        <v>2099</v>
      </c>
      <c r="E212" s="102" t="s">
        <v>556</v>
      </c>
      <c r="F212" s="102" t="s">
        <v>557</v>
      </c>
      <c r="G212" s="102" t="s">
        <v>282</v>
      </c>
      <c r="H212" s="102" t="s">
        <v>283</v>
      </c>
      <c r="I212" s="102" t="s">
        <v>648</v>
      </c>
      <c r="J212" s="102" t="s">
        <v>454</v>
      </c>
      <c r="L212" s="229" t="s">
        <v>1283</v>
      </c>
      <c r="M212" s="229" t="s">
        <v>3004</v>
      </c>
      <c r="N212" s="229" t="s">
        <v>1293</v>
      </c>
      <c r="O212" s="102">
        <v>3.0</v>
      </c>
      <c r="S212" s="102">
        <v>28800.0</v>
      </c>
      <c r="T212" s="102" t="s">
        <v>299</v>
      </c>
      <c r="AF212" s="230"/>
      <c r="AG212" s="230"/>
      <c r="AH212" s="230"/>
      <c r="AI212" s="230"/>
    </row>
    <row r="213">
      <c r="A213" s="102" t="s">
        <v>310</v>
      </c>
      <c r="B213" s="102" t="s">
        <v>1280</v>
      </c>
      <c r="C213" s="229" t="s">
        <v>1281</v>
      </c>
      <c r="D213" s="102" t="s">
        <v>1282</v>
      </c>
      <c r="E213" s="102" t="s">
        <v>513</v>
      </c>
      <c r="F213" s="102" t="s">
        <v>514</v>
      </c>
      <c r="G213" s="102" t="s">
        <v>282</v>
      </c>
      <c r="H213" s="102" t="s">
        <v>283</v>
      </c>
      <c r="I213" s="102" t="s">
        <v>648</v>
      </c>
      <c r="J213" s="102" t="s">
        <v>678</v>
      </c>
      <c r="L213" s="229" t="s">
        <v>1283</v>
      </c>
      <c r="M213" s="229" t="s">
        <v>3005</v>
      </c>
      <c r="N213" s="229" t="s">
        <v>1126</v>
      </c>
      <c r="O213" s="102">
        <v>3.0</v>
      </c>
      <c r="S213" s="102">
        <v>28800.0</v>
      </c>
      <c r="T213" s="102" t="s">
        <v>299</v>
      </c>
      <c r="AF213" s="230"/>
      <c r="AG213" s="230"/>
      <c r="AH213" s="230"/>
      <c r="AI213" s="230"/>
    </row>
    <row r="214">
      <c r="A214" s="102" t="s">
        <v>310</v>
      </c>
      <c r="B214" s="102" t="s">
        <v>2101</v>
      </c>
      <c r="C214" s="229" t="s">
        <v>2102</v>
      </c>
      <c r="D214" s="102" t="s">
        <v>2103</v>
      </c>
      <c r="E214" s="102" t="s">
        <v>556</v>
      </c>
      <c r="F214" s="102" t="s">
        <v>557</v>
      </c>
      <c r="G214" s="102" t="s">
        <v>282</v>
      </c>
      <c r="H214" s="102" t="s">
        <v>283</v>
      </c>
      <c r="I214" s="102" t="s">
        <v>284</v>
      </c>
      <c r="J214" s="102" t="s">
        <v>454</v>
      </c>
      <c r="L214" s="229" t="s">
        <v>1283</v>
      </c>
      <c r="M214" s="229" t="s">
        <v>3006</v>
      </c>
      <c r="N214" s="229" t="s">
        <v>1160</v>
      </c>
      <c r="O214" s="102">
        <v>5.0</v>
      </c>
      <c r="S214" s="230"/>
      <c r="T214" s="102" t="s">
        <v>299</v>
      </c>
      <c r="AF214" s="230"/>
      <c r="AG214" s="230"/>
      <c r="AH214" s="230"/>
      <c r="AI214" s="230"/>
    </row>
    <row r="215">
      <c r="A215" s="102" t="s">
        <v>310</v>
      </c>
      <c r="B215" s="102" t="s">
        <v>1284</v>
      </c>
      <c r="C215" s="229" t="s">
        <v>1285</v>
      </c>
      <c r="D215" s="102" t="s">
        <v>1286</v>
      </c>
      <c r="E215" s="102" t="s">
        <v>513</v>
      </c>
      <c r="F215" s="102" t="s">
        <v>514</v>
      </c>
      <c r="G215" s="102" t="s">
        <v>282</v>
      </c>
      <c r="H215" s="102" t="s">
        <v>283</v>
      </c>
      <c r="I215" s="102" t="s">
        <v>284</v>
      </c>
      <c r="J215" s="102" t="s">
        <v>678</v>
      </c>
      <c r="L215" s="229" t="s">
        <v>1283</v>
      </c>
      <c r="M215" s="229" t="s">
        <v>3007</v>
      </c>
      <c r="N215" s="229" t="s">
        <v>1126</v>
      </c>
      <c r="O215" s="102">
        <v>3.0</v>
      </c>
      <c r="S215" s="102">
        <v>28800.0</v>
      </c>
      <c r="T215" s="102" t="s">
        <v>299</v>
      </c>
      <c r="AF215" s="230"/>
      <c r="AG215" s="230"/>
      <c r="AH215" s="230"/>
      <c r="AI215" s="230"/>
    </row>
    <row r="216">
      <c r="A216" s="102" t="s">
        <v>310</v>
      </c>
      <c r="B216" s="102" t="s">
        <v>1287</v>
      </c>
      <c r="C216" s="229" t="s">
        <v>1288</v>
      </c>
      <c r="D216" s="102" t="s">
        <v>1289</v>
      </c>
      <c r="E216" s="102" t="s">
        <v>556</v>
      </c>
      <c r="F216" s="102" t="s">
        <v>557</v>
      </c>
      <c r="G216" s="102" t="s">
        <v>282</v>
      </c>
      <c r="H216" s="102" t="s">
        <v>283</v>
      </c>
      <c r="I216" s="102" t="s">
        <v>284</v>
      </c>
      <c r="J216" s="102" t="s">
        <v>454</v>
      </c>
      <c r="L216" s="229" t="s">
        <v>1283</v>
      </c>
      <c r="M216" s="229" t="s">
        <v>3008</v>
      </c>
      <c r="N216" s="229" t="s">
        <v>1126</v>
      </c>
      <c r="O216" s="102">
        <v>3.0</v>
      </c>
      <c r="S216" s="102">
        <v>28800.0</v>
      </c>
      <c r="T216" s="102" t="s">
        <v>299</v>
      </c>
      <c r="AF216" s="230"/>
      <c r="AG216" s="230"/>
      <c r="AH216" s="230"/>
      <c r="AI216" s="230"/>
    </row>
    <row r="217">
      <c r="A217" s="102" t="s">
        <v>310</v>
      </c>
      <c r="B217" s="102" t="s">
        <v>1290</v>
      </c>
      <c r="C217" s="229" t="s">
        <v>1291</v>
      </c>
      <c r="D217" s="102" t="s">
        <v>1292</v>
      </c>
      <c r="E217" s="102" t="s">
        <v>556</v>
      </c>
      <c r="F217" s="102" t="s">
        <v>557</v>
      </c>
      <c r="G217" s="102" t="s">
        <v>282</v>
      </c>
      <c r="H217" s="102" t="s">
        <v>283</v>
      </c>
      <c r="I217" s="102" t="s">
        <v>284</v>
      </c>
      <c r="J217" s="102" t="s">
        <v>454</v>
      </c>
      <c r="L217" s="229" t="s">
        <v>1283</v>
      </c>
      <c r="M217" s="229" t="s">
        <v>3009</v>
      </c>
      <c r="N217" s="229" t="s">
        <v>1293</v>
      </c>
      <c r="O217" s="102">
        <v>2.0</v>
      </c>
      <c r="S217" s="102">
        <v>14400.0</v>
      </c>
      <c r="T217" s="102" t="s">
        <v>299</v>
      </c>
      <c r="AF217" s="230"/>
      <c r="AG217" s="230"/>
      <c r="AH217" s="230"/>
      <c r="AI217" s="230"/>
    </row>
    <row r="218">
      <c r="A218" s="102" t="s">
        <v>310</v>
      </c>
      <c r="B218" s="102" t="s">
        <v>2104</v>
      </c>
      <c r="C218" s="229" t="s">
        <v>2105</v>
      </c>
      <c r="D218" s="102" t="s">
        <v>2106</v>
      </c>
      <c r="E218" s="102" t="s">
        <v>328</v>
      </c>
      <c r="F218" s="102" t="s">
        <v>329</v>
      </c>
      <c r="G218" s="102" t="s">
        <v>282</v>
      </c>
      <c r="H218" s="102" t="s">
        <v>283</v>
      </c>
      <c r="I218" s="102" t="s">
        <v>284</v>
      </c>
      <c r="J218" s="102" t="s">
        <v>454</v>
      </c>
      <c r="L218" s="229" t="s">
        <v>1283</v>
      </c>
      <c r="M218" s="229" t="s">
        <v>3010</v>
      </c>
      <c r="N218" s="229" t="s">
        <v>1139</v>
      </c>
      <c r="O218" s="102">
        <v>1.0</v>
      </c>
      <c r="S218" s="230"/>
      <c r="T218" s="102" t="s">
        <v>299</v>
      </c>
      <c r="AF218" s="230"/>
      <c r="AG218" s="230"/>
      <c r="AH218" s="230"/>
      <c r="AI218" s="230"/>
    </row>
    <row r="219">
      <c r="A219" s="102" t="s">
        <v>310</v>
      </c>
      <c r="B219" s="102" t="s">
        <v>2107</v>
      </c>
      <c r="C219" s="229" t="s">
        <v>2108</v>
      </c>
      <c r="D219" s="102" t="s">
        <v>2109</v>
      </c>
      <c r="E219" s="102" t="s">
        <v>328</v>
      </c>
      <c r="F219" s="102" t="s">
        <v>329</v>
      </c>
      <c r="G219" s="102" t="s">
        <v>282</v>
      </c>
      <c r="H219" s="102" t="s">
        <v>283</v>
      </c>
      <c r="I219" s="102" t="s">
        <v>284</v>
      </c>
      <c r="J219" s="102" t="s">
        <v>454</v>
      </c>
      <c r="L219" s="229" t="s">
        <v>1283</v>
      </c>
      <c r="M219" s="229" t="s">
        <v>3011</v>
      </c>
      <c r="N219" s="229" t="s">
        <v>1139</v>
      </c>
      <c r="O219" s="102">
        <v>1.0</v>
      </c>
      <c r="S219" s="230"/>
      <c r="T219" s="102" t="s">
        <v>299</v>
      </c>
      <c r="AF219" s="230"/>
      <c r="AG219" s="230"/>
      <c r="AH219" s="230"/>
      <c r="AI219" s="230"/>
    </row>
    <row r="220">
      <c r="A220" s="102" t="s">
        <v>310</v>
      </c>
      <c r="B220" s="102" t="s">
        <v>2110</v>
      </c>
      <c r="C220" s="229" t="s">
        <v>2111</v>
      </c>
      <c r="D220" s="102" t="s">
        <v>2112</v>
      </c>
      <c r="E220" s="102" t="s">
        <v>328</v>
      </c>
      <c r="F220" s="102" t="s">
        <v>329</v>
      </c>
      <c r="G220" s="102" t="s">
        <v>282</v>
      </c>
      <c r="H220" s="102" t="s">
        <v>283</v>
      </c>
      <c r="I220" s="102" t="s">
        <v>284</v>
      </c>
      <c r="J220" s="102" t="s">
        <v>678</v>
      </c>
      <c r="L220" s="229" t="s">
        <v>1283</v>
      </c>
      <c r="M220" s="229" t="s">
        <v>3011</v>
      </c>
      <c r="N220" s="229" t="s">
        <v>1139</v>
      </c>
      <c r="O220" s="102">
        <v>1.0</v>
      </c>
      <c r="S220" s="230"/>
      <c r="T220" s="102" t="s">
        <v>299</v>
      </c>
      <c r="AF220" s="230"/>
      <c r="AG220" s="230"/>
      <c r="AH220" s="230"/>
      <c r="AI220" s="230"/>
    </row>
    <row r="221">
      <c r="A221" s="102" t="s">
        <v>310</v>
      </c>
      <c r="B221" s="102" t="s">
        <v>2113</v>
      </c>
      <c r="C221" s="229" t="s">
        <v>2114</v>
      </c>
      <c r="D221" s="102" t="s">
        <v>2115</v>
      </c>
      <c r="E221" s="102" t="s">
        <v>513</v>
      </c>
      <c r="F221" s="102" t="s">
        <v>514</v>
      </c>
      <c r="G221" s="102" t="s">
        <v>282</v>
      </c>
      <c r="H221" s="102" t="s">
        <v>283</v>
      </c>
      <c r="I221" s="102" t="s">
        <v>648</v>
      </c>
      <c r="J221" s="102" t="s">
        <v>454</v>
      </c>
      <c r="L221" s="229" t="s">
        <v>2116</v>
      </c>
      <c r="M221" s="229" t="s">
        <v>2957</v>
      </c>
      <c r="N221" s="229" t="s">
        <v>1237</v>
      </c>
      <c r="O221" s="102">
        <v>3.0</v>
      </c>
      <c r="S221" s="102">
        <v>28800.0</v>
      </c>
      <c r="T221" s="102" t="s">
        <v>529</v>
      </c>
      <c r="U221" s="102" t="s">
        <v>298</v>
      </c>
      <c r="V221" s="102" t="s">
        <v>299</v>
      </c>
      <c r="AF221" s="230"/>
      <c r="AG221" s="230"/>
      <c r="AH221" s="230"/>
      <c r="AI221" s="230"/>
    </row>
    <row r="222">
      <c r="A222" s="102" t="s">
        <v>310</v>
      </c>
      <c r="B222" s="102" t="s">
        <v>2117</v>
      </c>
      <c r="C222" s="229" t="s">
        <v>2118</v>
      </c>
      <c r="D222" s="102" t="s">
        <v>2119</v>
      </c>
      <c r="E222" s="102" t="s">
        <v>513</v>
      </c>
      <c r="F222" s="102" t="s">
        <v>514</v>
      </c>
      <c r="G222" s="102" t="s">
        <v>282</v>
      </c>
      <c r="H222" s="102" t="s">
        <v>283</v>
      </c>
      <c r="I222" s="102" t="s">
        <v>648</v>
      </c>
      <c r="J222" s="102" t="s">
        <v>454</v>
      </c>
      <c r="L222" s="229" t="s">
        <v>2116</v>
      </c>
      <c r="M222" s="229" t="s">
        <v>2957</v>
      </c>
      <c r="N222" s="229" t="s">
        <v>1247</v>
      </c>
      <c r="O222" s="102">
        <v>3.0</v>
      </c>
      <c r="S222" s="102">
        <v>28800.0</v>
      </c>
      <c r="T222" s="102" t="s">
        <v>529</v>
      </c>
      <c r="U222" s="102" t="s">
        <v>298</v>
      </c>
      <c r="V222" s="102" t="s">
        <v>299</v>
      </c>
      <c r="AF222" s="230"/>
      <c r="AG222" s="230"/>
      <c r="AH222" s="230"/>
      <c r="AI222" s="230"/>
    </row>
    <row r="223">
      <c r="A223" s="102" t="s">
        <v>310</v>
      </c>
      <c r="B223" s="102" t="s">
        <v>2120</v>
      </c>
      <c r="C223" s="229" t="s">
        <v>2121</v>
      </c>
      <c r="D223" s="102" t="s">
        <v>2122</v>
      </c>
      <c r="E223" s="102" t="s">
        <v>564</v>
      </c>
      <c r="F223" s="102" t="s">
        <v>565</v>
      </c>
      <c r="G223" s="102" t="s">
        <v>282</v>
      </c>
      <c r="H223" s="102" t="s">
        <v>283</v>
      </c>
      <c r="I223" s="102" t="s">
        <v>284</v>
      </c>
      <c r="J223" s="102" t="s">
        <v>454</v>
      </c>
      <c r="L223" s="229" t="s">
        <v>2123</v>
      </c>
      <c r="M223" s="229" t="s">
        <v>2931</v>
      </c>
      <c r="N223" s="229" t="s">
        <v>1352</v>
      </c>
      <c r="O223" s="102">
        <v>5.0</v>
      </c>
      <c r="S223" s="102">
        <v>57600.0</v>
      </c>
      <c r="T223" s="102" t="s">
        <v>1085</v>
      </c>
      <c r="U223" s="102" t="s">
        <v>529</v>
      </c>
      <c r="V223" s="102" t="s">
        <v>298</v>
      </c>
      <c r="W223" s="102" t="s">
        <v>299</v>
      </c>
      <c r="AF223" s="230"/>
      <c r="AG223" s="230"/>
      <c r="AH223" s="230"/>
      <c r="AI223" s="230"/>
    </row>
    <row r="224">
      <c r="A224" s="102" t="s">
        <v>310</v>
      </c>
      <c r="B224" s="102" t="s">
        <v>1301</v>
      </c>
      <c r="C224" s="229" t="s">
        <v>1302</v>
      </c>
      <c r="D224" s="102" t="s">
        <v>1303</v>
      </c>
      <c r="E224" s="102" t="s">
        <v>495</v>
      </c>
      <c r="F224" s="102" t="s">
        <v>496</v>
      </c>
      <c r="G224" s="102" t="s">
        <v>282</v>
      </c>
      <c r="H224" s="102" t="s">
        <v>283</v>
      </c>
      <c r="I224" s="102" t="s">
        <v>284</v>
      </c>
      <c r="J224" s="102" t="s">
        <v>454</v>
      </c>
      <c r="L224" s="229" t="s">
        <v>1297</v>
      </c>
      <c r="M224" s="229" t="s">
        <v>2931</v>
      </c>
      <c r="N224" s="229" t="s">
        <v>1304</v>
      </c>
      <c r="O224" s="102">
        <v>8.0</v>
      </c>
      <c r="P224" s="102" t="s">
        <v>1305</v>
      </c>
      <c r="S224" s="102">
        <v>57600.0</v>
      </c>
      <c r="T224" s="102" t="s">
        <v>298</v>
      </c>
      <c r="U224" s="102" t="s">
        <v>299</v>
      </c>
      <c r="AF224" s="230"/>
      <c r="AG224" s="230"/>
      <c r="AH224" s="230"/>
      <c r="AI224" s="230"/>
    </row>
    <row r="225">
      <c r="A225" s="102" t="s">
        <v>310</v>
      </c>
      <c r="B225" s="102" t="s">
        <v>1306</v>
      </c>
      <c r="C225" s="229" t="s">
        <v>1307</v>
      </c>
      <c r="D225" s="102" t="s">
        <v>1308</v>
      </c>
      <c r="E225" s="102" t="s">
        <v>328</v>
      </c>
      <c r="F225" s="102" t="s">
        <v>329</v>
      </c>
      <c r="G225" s="102" t="s">
        <v>282</v>
      </c>
      <c r="H225" s="102" t="s">
        <v>283</v>
      </c>
      <c r="I225" s="102" t="s">
        <v>284</v>
      </c>
      <c r="J225" s="102" t="s">
        <v>454</v>
      </c>
      <c r="L225" s="229" t="s">
        <v>1297</v>
      </c>
      <c r="M225" s="229" t="s">
        <v>3012</v>
      </c>
      <c r="N225" s="229" t="s">
        <v>1304</v>
      </c>
      <c r="O225" s="102">
        <v>2.0</v>
      </c>
      <c r="S225" s="230"/>
      <c r="T225" s="102" t="s">
        <v>298</v>
      </c>
      <c r="U225" s="102" t="s">
        <v>299</v>
      </c>
      <c r="AF225" s="230"/>
      <c r="AG225" s="230"/>
      <c r="AH225" s="230"/>
      <c r="AI225" s="230"/>
    </row>
    <row r="226">
      <c r="A226" s="102" t="s">
        <v>310</v>
      </c>
      <c r="B226" s="102" t="s">
        <v>3013</v>
      </c>
      <c r="C226" s="229" t="s">
        <v>3014</v>
      </c>
      <c r="D226" s="102" t="s">
        <v>3015</v>
      </c>
      <c r="E226" s="102" t="s">
        <v>282</v>
      </c>
      <c r="F226" s="102" t="s">
        <v>283</v>
      </c>
      <c r="G226" s="102" t="s">
        <v>282</v>
      </c>
      <c r="H226" s="102" t="s">
        <v>283</v>
      </c>
      <c r="I226" s="102" t="s">
        <v>284</v>
      </c>
      <c r="J226" s="102" t="s">
        <v>63</v>
      </c>
      <c r="L226" s="229" t="s">
        <v>3016</v>
      </c>
      <c r="M226" s="229" t="s">
        <v>3017</v>
      </c>
      <c r="O226" s="102">
        <v>0.0</v>
      </c>
      <c r="S226" s="230"/>
      <c r="T226" s="102" t="s">
        <v>299</v>
      </c>
      <c r="AF226" s="230"/>
      <c r="AG226" s="230"/>
      <c r="AH226" s="230"/>
      <c r="AI226" s="230"/>
    </row>
    <row r="227">
      <c r="A227" s="102" t="s">
        <v>310</v>
      </c>
      <c r="B227" s="102" t="s">
        <v>2126</v>
      </c>
      <c r="C227" s="229" t="s">
        <v>2127</v>
      </c>
      <c r="D227" s="102" t="s">
        <v>2128</v>
      </c>
      <c r="E227" s="102" t="s">
        <v>556</v>
      </c>
      <c r="F227" s="102" t="s">
        <v>557</v>
      </c>
      <c r="G227" s="102" t="s">
        <v>282</v>
      </c>
      <c r="H227" s="102" t="s">
        <v>283</v>
      </c>
      <c r="I227" s="102" t="s">
        <v>648</v>
      </c>
      <c r="J227" s="102" t="s">
        <v>454</v>
      </c>
      <c r="L227" s="229" t="s">
        <v>1312</v>
      </c>
      <c r="M227" s="229" t="s">
        <v>2958</v>
      </c>
      <c r="N227" s="229" t="s">
        <v>1202</v>
      </c>
      <c r="O227" s="102">
        <v>5.0</v>
      </c>
      <c r="S227" s="102">
        <v>57600.0</v>
      </c>
      <c r="T227" s="102" t="s">
        <v>529</v>
      </c>
      <c r="U227" s="102" t="s">
        <v>298</v>
      </c>
      <c r="V227" s="102" t="s">
        <v>299</v>
      </c>
      <c r="AF227" s="230"/>
      <c r="AG227" s="230"/>
      <c r="AH227" s="230"/>
      <c r="AI227" s="230"/>
    </row>
    <row r="228">
      <c r="A228" s="102" t="s">
        <v>310</v>
      </c>
      <c r="B228" s="102" t="s">
        <v>1309</v>
      </c>
      <c r="C228" s="229" t="s">
        <v>1310</v>
      </c>
      <c r="D228" s="102" t="s">
        <v>1311</v>
      </c>
      <c r="E228" s="102" t="s">
        <v>556</v>
      </c>
      <c r="F228" s="102" t="s">
        <v>557</v>
      </c>
      <c r="G228" s="102" t="s">
        <v>282</v>
      </c>
      <c r="H228" s="102" t="s">
        <v>283</v>
      </c>
      <c r="I228" s="102" t="s">
        <v>284</v>
      </c>
      <c r="J228" s="102" t="s">
        <v>454</v>
      </c>
      <c r="L228" s="229" t="s">
        <v>1312</v>
      </c>
      <c r="M228" s="229" t="s">
        <v>2808</v>
      </c>
      <c r="N228" s="229" t="s">
        <v>1304</v>
      </c>
      <c r="O228" s="102">
        <v>3.0</v>
      </c>
      <c r="S228" s="102">
        <v>28800.0</v>
      </c>
      <c r="T228" s="102" t="s">
        <v>298</v>
      </c>
      <c r="U228" s="102" t="s">
        <v>299</v>
      </c>
      <c r="V228" s="230"/>
      <c r="AF228" s="230"/>
      <c r="AG228" s="230"/>
      <c r="AH228" s="230"/>
      <c r="AI228" s="230"/>
    </row>
    <row r="229">
      <c r="A229" s="102" t="s">
        <v>310</v>
      </c>
      <c r="B229" s="102" t="s">
        <v>1313</v>
      </c>
      <c r="C229" s="229" t="s">
        <v>1314</v>
      </c>
      <c r="D229" s="102" t="s">
        <v>1315</v>
      </c>
      <c r="E229" s="102" t="s">
        <v>556</v>
      </c>
      <c r="F229" s="102" t="s">
        <v>557</v>
      </c>
      <c r="G229" s="102" t="s">
        <v>282</v>
      </c>
      <c r="H229" s="102" t="s">
        <v>283</v>
      </c>
      <c r="I229" s="102" t="s">
        <v>284</v>
      </c>
      <c r="J229" s="102" t="s">
        <v>454</v>
      </c>
      <c r="L229" s="229" t="s">
        <v>1312</v>
      </c>
      <c r="M229" s="229" t="s">
        <v>2808</v>
      </c>
      <c r="N229" s="229" t="s">
        <v>1304</v>
      </c>
      <c r="O229" s="102">
        <v>3.0</v>
      </c>
      <c r="S229" s="102">
        <v>28800.0</v>
      </c>
      <c r="T229" s="102" t="s">
        <v>298</v>
      </c>
      <c r="U229" s="102" t="s">
        <v>299</v>
      </c>
      <c r="V229" s="230"/>
      <c r="AF229" s="230"/>
      <c r="AG229" s="230"/>
      <c r="AH229" s="230"/>
      <c r="AI229" s="230"/>
    </row>
    <row r="230">
      <c r="A230" s="102" t="s">
        <v>310</v>
      </c>
      <c r="B230" s="102" t="s">
        <v>1320</v>
      </c>
      <c r="C230" s="229" t="s">
        <v>1321</v>
      </c>
      <c r="D230" s="102" t="s">
        <v>1322</v>
      </c>
      <c r="E230" s="102" t="s">
        <v>328</v>
      </c>
      <c r="F230" s="102" t="s">
        <v>329</v>
      </c>
      <c r="G230" s="102" t="s">
        <v>282</v>
      </c>
      <c r="H230" s="102" t="s">
        <v>283</v>
      </c>
      <c r="I230" s="102" t="s">
        <v>284</v>
      </c>
      <c r="J230" s="102" t="s">
        <v>454</v>
      </c>
      <c r="L230" s="229" t="s">
        <v>1319</v>
      </c>
      <c r="M230" s="229" t="s">
        <v>2931</v>
      </c>
      <c r="N230" s="229" t="s">
        <v>1323</v>
      </c>
      <c r="O230" s="102">
        <v>5.0</v>
      </c>
      <c r="S230" s="230"/>
      <c r="T230" s="102" t="s">
        <v>298</v>
      </c>
      <c r="U230" s="102" t="s">
        <v>299</v>
      </c>
      <c r="V230" s="230"/>
      <c r="AF230" s="230"/>
      <c r="AG230" s="230"/>
      <c r="AH230" s="230"/>
      <c r="AI230" s="230"/>
    </row>
    <row r="231">
      <c r="A231" s="102" t="s">
        <v>310</v>
      </c>
      <c r="B231" s="102" t="s">
        <v>2133</v>
      </c>
      <c r="C231" s="229" t="s">
        <v>2134</v>
      </c>
      <c r="D231" s="102" t="s">
        <v>2135</v>
      </c>
      <c r="E231" s="102" t="s">
        <v>584</v>
      </c>
      <c r="F231" s="102" t="s">
        <v>585</v>
      </c>
      <c r="G231" s="102" t="s">
        <v>282</v>
      </c>
      <c r="H231" s="102" t="s">
        <v>283</v>
      </c>
      <c r="I231" s="102" t="s">
        <v>284</v>
      </c>
      <c r="J231" s="102" t="s">
        <v>454</v>
      </c>
      <c r="L231" s="229" t="s">
        <v>2136</v>
      </c>
      <c r="M231" s="229" t="s">
        <v>2931</v>
      </c>
      <c r="O231" s="102">
        <v>3.0</v>
      </c>
      <c r="P231" s="102" t="s">
        <v>593</v>
      </c>
      <c r="S231" s="102">
        <v>28800.0</v>
      </c>
      <c r="T231" s="102" t="s">
        <v>529</v>
      </c>
      <c r="U231" s="102" t="s">
        <v>298</v>
      </c>
      <c r="V231" s="102" t="s">
        <v>299</v>
      </c>
      <c r="AF231" s="230"/>
      <c r="AG231" s="230"/>
      <c r="AH231" s="230"/>
      <c r="AI231" s="230"/>
    </row>
    <row r="232">
      <c r="A232" s="102" t="s">
        <v>310</v>
      </c>
      <c r="B232" s="102" t="s">
        <v>2545</v>
      </c>
      <c r="C232" s="229" t="s">
        <v>2546</v>
      </c>
      <c r="D232" s="102" t="s">
        <v>2547</v>
      </c>
      <c r="E232" s="102" t="s">
        <v>328</v>
      </c>
      <c r="F232" s="102" t="s">
        <v>329</v>
      </c>
      <c r="G232" s="102" t="s">
        <v>282</v>
      </c>
      <c r="H232" s="102" t="s">
        <v>283</v>
      </c>
      <c r="I232" s="102" t="s">
        <v>284</v>
      </c>
      <c r="J232" s="102" t="s">
        <v>454</v>
      </c>
      <c r="L232" s="229" t="s">
        <v>1327</v>
      </c>
      <c r="M232" s="229" t="s">
        <v>2657</v>
      </c>
      <c r="N232" s="229" t="s">
        <v>2042</v>
      </c>
      <c r="O232" s="102">
        <v>3.0</v>
      </c>
      <c r="S232" s="230"/>
      <c r="T232" s="102" t="s">
        <v>1085</v>
      </c>
      <c r="U232" s="102" t="s">
        <v>529</v>
      </c>
      <c r="V232" s="102" t="s">
        <v>298</v>
      </c>
      <c r="W232" s="102" t="s">
        <v>299</v>
      </c>
      <c r="AF232" s="230"/>
      <c r="AG232" s="230"/>
      <c r="AH232" s="230"/>
      <c r="AI232" s="230"/>
    </row>
    <row r="233">
      <c r="A233" s="102" t="s">
        <v>310</v>
      </c>
      <c r="B233" s="102" t="s">
        <v>2548</v>
      </c>
      <c r="C233" s="229" t="s">
        <v>2549</v>
      </c>
      <c r="D233" s="102" t="s">
        <v>2550</v>
      </c>
      <c r="E233" s="102" t="s">
        <v>328</v>
      </c>
      <c r="F233" s="102" t="s">
        <v>329</v>
      </c>
      <c r="G233" s="102" t="s">
        <v>282</v>
      </c>
      <c r="H233" s="102" t="s">
        <v>283</v>
      </c>
      <c r="I233" s="102" t="s">
        <v>284</v>
      </c>
      <c r="J233" s="102" t="s">
        <v>454</v>
      </c>
      <c r="L233" s="229" t="s">
        <v>1327</v>
      </c>
      <c r="M233" s="229" t="s">
        <v>2931</v>
      </c>
      <c r="N233" s="229" t="s">
        <v>2042</v>
      </c>
      <c r="O233" s="102">
        <v>3.0</v>
      </c>
      <c r="S233" s="230"/>
      <c r="T233" s="102" t="s">
        <v>1085</v>
      </c>
      <c r="U233" s="102" t="s">
        <v>529</v>
      </c>
      <c r="V233" s="102" t="s">
        <v>298</v>
      </c>
      <c r="W233" s="102" t="s">
        <v>299</v>
      </c>
      <c r="AF233" s="230"/>
      <c r="AG233" s="230"/>
      <c r="AH233" s="230"/>
      <c r="AI233" s="230"/>
    </row>
    <row r="234">
      <c r="A234" s="102" t="s">
        <v>310</v>
      </c>
      <c r="B234" s="102" t="s">
        <v>2551</v>
      </c>
      <c r="C234" s="229" t="s">
        <v>2552</v>
      </c>
      <c r="D234" s="102" t="s">
        <v>2553</v>
      </c>
      <c r="E234" s="102" t="s">
        <v>328</v>
      </c>
      <c r="F234" s="102" t="s">
        <v>329</v>
      </c>
      <c r="G234" s="102" t="s">
        <v>282</v>
      </c>
      <c r="H234" s="102" t="s">
        <v>283</v>
      </c>
      <c r="I234" s="102" t="s">
        <v>284</v>
      </c>
      <c r="J234" s="102" t="s">
        <v>454</v>
      </c>
      <c r="L234" s="229" t="s">
        <v>1327</v>
      </c>
      <c r="M234" s="229" t="s">
        <v>2837</v>
      </c>
      <c r="N234" s="229" t="s">
        <v>2042</v>
      </c>
      <c r="O234" s="102">
        <v>3.0</v>
      </c>
      <c r="S234" s="230"/>
      <c r="T234" s="102" t="s">
        <v>1085</v>
      </c>
      <c r="U234" s="102" t="s">
        <v>529</v>
      </c>
      <c r="V234" s="102" t="s">
        <v>298</v>
      </c>
      <c r="W234" s="102" t="s">
        <v>299</v>
      </c>
      <c r="AF234" s="230"/>
      <c r="AG234" s="230"/>
      <c r="AH234" s="230"/>
      <c r="AI234" s="230"/>
    </row>
    <row r="235">
      <c r="A235" s="102" t="s">
        <v>310</v>
      </c>
      <c r="B235" s="102" t="s">
        <v>1324</v>
      </c>
      <c r="C235" s="229" t="s">
        <v>1325</v>
      </c>
      <c r="D235" s="102" t="s">
        <v>1326</v>
      </c>
      <c r="E235" s="102" t="s">
        <v>584</v>
      </c>
      <c r="F235" s="102" t="s">
        <v>585</v>
      </c>
      <c r="G235" s="102" t="s">
        <v>282</v>
      </c>
      <c r="H235" s="102" t="s">
        <v>283</v>
      </c>
      <c r="I235" s="102" t="s">
        <v>284</v>
      </c>
      <c r="J235" s="102" t="s">
        <v>454</v>
      </c>
      <c r="L235" s="229" t="s">
        <v>1327</v>
      </c>
      <c r="M235" s="229" t="s">
        <v>2931</v>
      </c>
      <c r="O235" s="102">
        <v>3.0</v>
      </c>
      <c r="S235" s="102">
        <v>28800.0</v>
      </c>
      <c r="T235" s="102" t="s">
        <v>529</v>
      </c>
      <c r="U235" s="102" t="s">
        <v>298</v>
      </c>
      <c r="V235" s="102" t="s">
        <v>299</v>
      </c>
      <c r="AF235" s="230"/>
      <c r="AG235" s="230"/>
      <c r="AH235" s="230"/>
      <c r="AI235" s="230"/>
    </row>
    <row r="236">
      <c r="A236" s="102" t="s">
        <v>310</v>
      </c>
      <c r="B236" s="102" t="s">
        <v>1336</v>
      </c>
      <c r="C236" s="229" t="s">
        <v>1337</v>
      </c>
      <c r="D236" s="102" t="s">
        <v>1338</v>
      </c>
      <c r="E236" s="102" t="s">
        <v>495</v>
      </c>
      <c r="F236" s="102" t="s">
        <v>496</v>
      </c>
      <c r="G236" s="102" t="s">
        <v>282</v>
      </c>
      <c r="H236" s="102" t="s">
        <v>283</v>
      </c>
      <c r="I236" s="102" t="s">
        <v>284</v>
      </c>
      <c r="J236" s="102" t="s">
        <v>454</v>
      </c>
      <c r="L236" s="229" t="s">
        <v>1331</v>
      </c>
      <c r="M236" s="229" t="s">
        <v>3018</v>
      </c>
      <c r="N236" s="229" t="s">
        <v>1252</v>
      </c>
      <c r="O236" s="102">
        <v>5.0</v>
      </c>
      <c r="S236" s="230"/>
      <c r="T236" s="102" t="s">
        <v>529</v>
      </c>
      <c r="U236" s="102" t="s">
        <v>298</v>
      </c>
      <c r="V236" s="102" t="s">
        <v>299</v>
      </c>
      <c r="AF236" s="230"/>
      <c r="AG236" s="230"/>
      <c r="AH236" s="230"/>
      <c r="AI236" s="230"/>
    </row>
    <row r="237">
      <c r="A237" s="102" t="s">
        <v>310</v>
      </c>
      <c r="B237" s="102" t="s">
        <v>2141</v>
      </c>
      <c r="C237" s="229" t="s">
        <v>2142</v>
      </c>
      <c r="D237" s="102" t="s">
        <v>2143</v>
      </c>
      <c r="E237" s="102" t="s">
        <v>584</v>
      </c>
      <c r="F237" s="102" t="s">
        <v>585</v>
      </c>
      <c r="G237" s="102" t="s">
        <v>282</v>
      </c>
      <c r="H237" s="102" t="s">
        <v>283</v>
      </c>
      <c r="I237" s="102" t="s">
        <v>284</v>
      </c>
      <c r="J237" s="102" t="s">
        <v>454</v>
      </c>
      <c r="L237" s="229" t="s">
        <v>1331</v>
      </c>
      <c r="M237" s="229" t="s">
        <v>2931</v>
      </c>
      <c r="O237" s="102">
        <v>5.0</v>
      </c>
      <c r="S237" s="102">
        <v>57600.0</v>
      </c>
      <c r="T237" s="102" t="s">
        <v>529</v>
      </c>
      <c r="U237" s="102" t="s">
        <v>298</v>
      </c>
      <c r="V237" s="102" t="s">
        <v>299</v>
      </c>
      <c r="AF237" s="230"/>
      <c r="AG237" s="230"/>
      <c r="AH237" s="230"/>
      <c r="AI237" s="230"/>
    </row>
    <row r="238">
      <c r="A238" s="102" t="s">
        <v>310</v>
      </c>
      <c r="B238" s="102" t="s">
        <v>1339</v>
      </c>
      <c r="C238" s="229" t="s">
        <v>1340</v>
      </c>
      <c r="D238" s="102" t="s">
        <v>1341</v>
      </c>
      <c r="E238" s="102" t="s">
        <v>513</v>
      </c>
      <c r="F238" s="102" t="s">
        <v>514</v>
      </c>
      <c r="G238" s="102" t="s">
        <v>282</v>
      </c>
      <c r="H238" s="102" t="s">
        <v>283</v>
      </c>
      <c r="I238" s="102" t="s">
        <v>284</v>
      </c>
      <c r="J238" s="102" t="s">
        <v>454</v>
      </c>
      <c r="L238" s="229" t="s">
        <v>1342</v>
      </c>
      <c r="M238" s="229" t="s">
        <v>2657</v>
      </c>
      <c r="N238" s="229" t="s">
        <v>1343</v>
      </c>
      <c r="O238" s="102">
        <v>5.0</v>
      </c>
      <c r="P238" s="102" t="s">
        <v>1344</v>
      </c>
      <c r="S238" s="102">
        <v>57600.0</v>
      </c>
      <c r="T238" s="102" t="s">
        <v>1085</v>
      </c>
      <c r="U238" s="102" t="s">
        <v>529</v>
      </c>
      <c r="V238" s="102" t="s">
        <v>298</v>
      </c>
      <c r="W238" s="102" t="s">
        <v>299</v>
      </c>
      <c r="AF238" s="230"/>
      <c r="AG238" s="230"/>
      <c r="AH238" s="230"/>
      <c r="AI238" s="230"/>
    </row>
    <row r="239">
      <c r="A239" s="102" t="s">
        <v>310</v>
      </c>
      <c r="B239" s="102" t="s">
        <v>1345</v>
      </c>
      <c r="C239" s="229" t="s">
        <v>1346</v>
      </c>
      <c r="D239" s="102" t="s">
        <v>1347</v>
      </c>
      <c r="E239" s="102" t="s">
        <v>513</v>
      </c>
      <c r="F239" s="102" t="s">
        <v>514</v>
      </c>
      <c r="G239" s="102" t="s">
        <v>282</v>
      </c>
      <c r="H239" s="102" t="s">
        <v>283</v>
      </c>
      <c r="I239" s="102" t="s">
        <v>284</v>
      </c>
      <c r="J239" s="102" t="s">
        <v>454</v>
      </c>
      <c r="L239" s="229" t="s">
        <v>1342</v>
      </c>
      <c r="M239" s="229" t="s">
        <v>2657</v>
      </c>
      <c r="N239" s="229" t="s">
        <v>1343</v>
      </c>
      <c r="O239" s="102">
        <v>3.0</v>
      </c>
      <c r="P239" s="102" t="s">
        <v>1348</v>
      </c>
      <c r="S239" s="102">
        <v>28800.0</v>
      </c>
      <c r="T239" s="102" t="s">
        <v>1085</v>
      </c>
      <c r="U239" s="102" t="s">
        <v>529</v>
      </c>
      <c r="V239" s="102" t="s">
        <v>298</v>
      </c>
      <c r="W239" s="102" t="s">
        <v>299</v>
      </c>
      <c r="AF239" s="230"/>
      <c r="AG239" s="230"/>
      <c r="AH239" s="230"/>
      <c r="AI239" s="230"/>
    </row>
    <row r="240">
      <c r="A240" s="102" t="s">
        <v>310</v>
      </c>
      <c r="B240" s="102" t="s">
        <v>1349</v>
      </c>
      <c r="C240" s="229" t="s">
        <v>1350</v>
      </c>
      <c r="D240" s="102" t="s">
        <v>1351</v>
      </c>
      <c r="E240" s="102" t="s">
        <v>556</v>
      </c>
      <c r="F240" s="102" t="s">
        <v>557</v>
      </c>
      <c r="G240" s="102" t="s">
        <v>282</v>
      </c>
      <c r="H240" s="102" t="s">
        <v>283</v>
      </c>
      <c r="I240" s="102" t="s">
        <v>284</v>
      </c>
      <c r="J240" s="102" t="s">
        <v>454</v>
      </c>
      <c r="L240" s="229" t="s">
        <v>1342</v>
      </c>
      <c r="M240" s="229" t="s">
        <v>2657</v>
      </c>
      <c r="N240" s="229" t="s">
        <v>1352</v>
      </c>
      <c r="O240" s="102">
        <v>2.0</v>
      </c>
      <c r="P240" s="102" t="s">
        <v>1348</v>
      </c>
      <c r="S240" s="230"/>
      <c r="T240" s="102" t="s">
        <v>1085</v>
      </c>
      <c r="U240" s="102" t="s">
        <v>529</v>
      </c>
      <c r="V240" s="102" t="s">
        <v>298</v>
      </c>
      <c r="W240" s="102" t="s">
        <v>299</v>
      </c>
      <c r="AF240" s="230"/>
      <c r="AG240" s="230"/>
      <c r="AH240" s="230"/>
      <c r="AI240" s="230"/>
    </row>
    <row r="241">
      <c r="A241" s="102" t="s">
        <v>310</v>
      </c>
      <c r="B241" s="102" t="s">
        <v>1353</v>
      </c>
      <c r="C241" s="229" t="s">
        <v>1354</v>
      </c>
      <c r="D241" s="102" t="s">
        <v>1355</v>
      </c>
      <c r="E241" s="102" t="s">
        <v>513</v>
      </c>
      <c r="F241" s="102" t="s">
        <v>514</v>
      </c>
      <c r="G241" s="102" t="s">
        <v>282</v>
      </c>
      <c r="H241" s="102" t="s">
        <v>283</v>
      </c>
      <c r="I241" s="102" t="s">
        <v>284</v>
      </c>
      <c r="J241" s="102" t="s">
        <v>454</v>
      </c>
      <c r="L241" s="229" t="s">
        <v>1342</v>
      </c>
      <c r="M241" s="229" t="s">
        <v>2837</v>
      </c>
      <c r="N241" s="229" t="s">
        <v>1356</v>
      </c>
      <c r="O241" s="102">
        <v>3.0</v>
      </c>
      <c r="P241" s="102" t="s">
        <v>1348</v>
      </c>
      <c r="S241" s="102">
        <v>28800.0</v>
      </c>
      <c r="T241" s="102" t="s">
        <v>1085</v>
      </c>
      <c r="U241" s="102" t="s">
        <v>529</v>
      </c>
      <c r="V241" s="102" t="s">
        <v>298</v>
      </c>
      <c r="W241" s="102" t="s">
        <v>299</v>
      </c>
      <c r="AF241" s="230"/>
      <c r="AG241" s="230"/>
      <c r="AH241" s="230"/>
      <c r="AI241" s="230"/>
    </row>
    <row r="242">
      <c r="A242" s="102" t="s">
        <v>310</v>
      </c>
      <c r="B242" s="102" t="s">
        <v>2556</v>
      </c>
      <c r="C242" s="229" t="s">
        <v>2557</v>
      </c>
      <c r="D242" s="102" t="s">
        <v>2558</v>
      </c>
      <c r="E242" s="102" t="s">
        <v>328</v>
      </c>
      <c r="F242" s="102" t="s">
        <v>329</v>
      </c>
      <c r="G242" s="102" t="s">
        <v>282</v>
      </c>
      <c r="H242" s="102" t="s">
        <v>283</v>
      </c>
      <c r="I242" s="102" t="s">
        <v>284</v>
      </c>
      <c r="J242" s="102" t="s">
        <v>454</v>
      </c>
      <c r="L242" s="229" t="s">
        <v>1342</v>
      </c>
      <c r="M242" s="229" t="s">
        <v>2837</v>
      </c>
      <c r="N242" s="229" t="s">
        <v>1202</v>
      </c>
      <c r="O242" s="102">
        <v>5.0</v>
      </c>
      <c r="S242" s="230"/>
      <c r="T242" s="102" t="s">
        <v>529</v>
      </c>
      <c r="U242" s="102" t="s">
        <v>298</v>
      </c>
      <c r="V242" s="102" t="s">
        <v>299</v>
      </c>
      <c r="AF242" s="230"/>
      <c r="AG242" s="230"/>
      <c r="AH242" s="230"/>
      <c r="AI242" s="230"/>
    </row>
    <row r="243">
      <c r="A243" s="102" t="s">
        <v>310</v>
      </c>
      <c r="B243" s="102" t="s">
        <v>3019</v>
      </c>
      <c r="C243" s="229" t="s">
        <v>3020</v>
      </c>
      <c r="D243" s="102" t="s">
        <v>3021</v>
      </c>
      <c r="E243" s="102" t="s">
        <v>556</v>
      </c>
      <c r="F243" s="102" t="s">
        <v>557</v>
      </c>
      <c r="G243" s="102" t="s">
        <v>282</v>
      </c>
      <c r="H243" s="102" t="s">
        <v>283</v>
      </c>
      <c r="I243" s="102" t="s">
        <v>284</v>
      </c>
      <c r="J243" s="102" t="s">
        <v>454</v>
      </c>
      <c r="L243" s="229" t="s">
        <v>2155</v>
      </c>
      <c r="M243" s="229" t="s">
        <v>2837</v>
      </c>
      <c r="N243" s="229" t="s">
        <v>1202</v>
      </c>
      <c r="O243" s="102">
        <v>5.0</v>
      </c>
      <c r="S243" s="230"/>
      <c r="T243" s="102" t="s">
        <v>529</v>
      </c>
      <c r="U243" s="102" t="s">
        <v>298</v>
      </c>
      <c r="V243" s="102" t="s">
        <v>299</v>
      </c>
      <c r="AF243" s="230"/>
      <c r="AG243" s="230"/>
      <c r="AH243" s="230"/>
      <c r="AI243" s="230"/>
    </row>
    <row r="244">
      <c r="A244" s="102" t="s">
        <v>310</v>
      </c>
      <c r="B244" s="102" t="s">
        <v>2559</v>
      </c>
      <c r="C244" s="229" t="s">
        <v>2560</v>
      </c>
      <c r="D244" s="102" t="s">
        <v>2561</v>
      </c>
      <c r="E244" s="102" t="s">
        <v>328</v>
      </c>
      <c r="F244" s="102" t="s">
        <v>329</v>
      </c>
      <c r="G244" s="102" t="s">
        <v>282</v>
      </c>
      <c r="H244" s="102" t="s">
        <v>283</v>
      </c>
      <c r="I244" s="102" t="s">
        <v>648</v>
      </c>
      <c r="J244" s="102" t="s">
        <v>454</v>
      </c>
      <c r="L244" s="229" t="s">
        <v>2562</v>
      </c>
      <c r="M244" s="229" t="s">
        <v>2657</v>
      </c>
      <c r="N244" s="229" t="s">
        <v>1202</v>
      </c>
      <c r="O244" s="102">
        <v>2.0</v>
      </c>
      <c r="P244" s="102" t="s">
        <v>473</v>
      </c>
      <c r="S244" s="230"/>
      <c r="T244" s="102" t="s">
        <v>529</v>
      </c>
      <c r="U244" s="102" t="s">
        <v>298</v>
      </c>
      <c r="V244" s="102" t="s">
        <v>299</v>
      </c>
      <c r="AF244" s="230"/>
      <c r="AG244" s="230"/>
      <c r="AH244" s="230"/>
      <c r="AI244" s="230"/>
    </row>
    <row r="245">
      <c r="A245" s="102" t="s">
        <v>310</v>
      </c>
      <c r="B245" s="102" t="s">
        <v>2156</v>
      </c>
      <c r="C245" s="229" t="s">
        <v>2157</v>
      </c>
      <c r="D245" s="102" t="s">
        <v>2158</v>
      </c>
      <c r="E245" s="102" t="s">
        <v>556</v>
      </c>
      <c r="F245" s="102" t="s">
        <v>557</v>
      </c>
      <c r="G245" s="102" t="s">
        <v>282</v>
      </c>
      <c r="H245" s="102" t="s">
        <v>283</v>
      </c>
      <c r="I245" s="102" t="s">
        <v>648</v>
      </c>
      <c r="J245" s="102" t="s">
        <v>454</v>
      </c>
      <c r="L245" s="229" t="s">
        <v>2159</v>
      </c>
      <c r="M245" s="229" t="s">
        <v>2931</v>
      </c>
      <c r="O245" s="102">
        <v>5.0</v>
      </c>
      <c r="P245" s="102" t="s">
        <v>593</v>
      </c>
      <c r="Q245" s="102" t="s">
        <v>435</v>
      </c>
      <c r="S245" s="102">
        <v>57600.0</v>
      </c>
      <c r="T245" s="102" t="s">
        <v>1991</v>
      </c>
      <c r="U245" s="102" t="s">
        <v>1992</v>
      </c>
      <c r="V245" s="102" t="s">
        <v>1085</v>
      </c>
      <c r="W245" s="102" t="s">
        <v>529</v>
      </c>
      <c r="X245" s="102" t="s">
        <v>298</v>
      </c>
      <c r="Y245" s="102" t="s">
        <v>299</v>
      </c>
      <c r="AF245" s="230"/>
      <c r="AG245" s="230"/>
      <c r="AH245" s="230"/>
      <c r="AI245" s="230"/>
    </row>
    <row r="246">
      <c r="A246" s="102" t="s">
        <v>310</v>
      </c>
      <c r="B246" s="102" t="s">
        <v>2161</v>
      </c>
      <c r="C246" s="229" t="s">
        <v>2162</v>
      </c>
      <c r="D246" s="102" t="s">
        <v>2163</v>
      </c>
      <c r="E246" s="102" t="s">
        <v>556</v>
      </c>
      <c r="F246" s="102" t="s">
        <v>557</v>
      </c>
      <c r="G246" s="102" t="s">
        <v>282</v>
      </c>
      <c r="H246" s="102" t="s">
        <v>283</v>
      </c>
      <c r="I246" s="102" t="s">
        <v>284</v>
      </c>
      <c r="J246" s="102" t="s">
        <v>454</v>
      </c>
      <c r="L246" s="229" t="s">
        <v>2164</v>
      </c>
      <c r="M246" s="229" t="s">
        <v>2931</v>
      </c>
      <c r="N246" s="229" t="s">
        <v>2165</v>
      </c>
      <c r="O246" s="102">
        <v>1.0</v>
      </c>
      <c r="P246" s="102" t="s">
        <v>435</v>
      </c>
      <c r="S246" s="102">
        <v>7200.0</v>
      </c>
      <c r="T246" s="102" t="s">
        <v>1991</v>
      </c>
      <c r="U246" s="102" t="s">
        <v>1992</v>
      </c>
      <c r="V246" s="102" t="s">
        <v>1085</v>
      </c>
      <c r="W246" s="102" t="s">
        <v>529</v>
      </c>
      <c r="X246" s="102" t="s">
        <v>298</v>
      </c>
      <c r="Y246" s="102" t="s">
        <v>299</v>
      </c>
      <c r="AF246" s="230"/>
      <c r="AG246" s="230"/>
      <c r="AH246" s="230"/>
      <c r="AI246" s="230"/>
    </row>
    <row r="247">
      <c r="A247" s="102" t="s">
        <v>310</v>
      </c>
      <c r="B247" s="102" t="s">
        <v>3022</v>
      </c>
      <c r="C247" s="229" t="s">
        <v>3023</v>
      </c>
      <c r="D247" s="102" t="s">
        <v>3024</v>
      </c>
      <c r="E247" s="102" t="s">
        <v>495</v>
      </c>
      <c r="F247" s="102" t="s">
        <v>496</v>
      </c>
      <c r="G247" s="102" t="s">
        <v>282</v>
      </c>
      <c r="H247" s="102" t="s">
        <v>283</v>
      </c>
      <c r="I247" s="102" t="s">
        <v>284</v>
      </c>
      <c r="J247" s="102" t="s">
        <v>26</v>
      </c>
      <c r="L247" s="229" t="s">
        <v>3025</v>
      </c>
      <c r="M247" s="229" t="s">
        <v>2688</v>
      </c>
      <c r="N247" s="229" t="s">
        <v>3026</v>
      </c>
      <c r="O247" s="102">
        <v>3.0</v>
      </c>
      <c r="P247" s="102" t="s">
        <v>473</v>
      </c>
      <c r="S247" s="102">
        <v>28800.0</v>
      </c>
      <c r="T247" s="102" t="s">
        <v>1085</v>
      </c>
      <c r="U247" s="102" t="s">
        <v>529</v>
      </c>
      <c r="V247" s="102" t="s">
        <v>298</v>
      </c>
      <c r="W247" s="102" t="s">
        <v>299</v>
      </c>
      <c r="AF247" s="230"/>
      <c r="AG247" s="230"/>
      <c r="AH247" s="230"/>
      <c r="AI247" s="230"/>
    </row>
    <row r="248">
      <c r="A248" s="102" t="s">
        <v>310</v>
      </c>
      <c r="B248" s="102" t="s">
        <v>3027</v>
      </c>
      <c r="C248" s="229" t="s">
        <v>3028</v>
      </c>
      <c r="D248" s="102" t="s">
        <v>3029</v>
      </c>
      <c r="E248" s="102" t="s">
        <v>328</v>
      </c>
      <c r="F248" s="102" t="s">
        <v>329</v>
      </c>
      <c r="G248" s="102" t="s">
        <v>282</v>
      </c>
      <c r="H248" s="102" t="s">
        <v>283</v>
      </c>
      <c r="I248" s="102" t="s">
        <v>284</v>
      </c>
      <c r="J248" s="102" t="s">
        <v>26</v>
      </c>
      <c r="L248" s="229" t="s">
        <v>3030</v>
      </c>
      <c r="M248" s="229" t="s">
        <v>2983</v>
      </c>
      <c r="N248" s="229" t="s">
        <v>1356</v>
      </c>
      <c r="O248" s="102">
        <v>5.0</v>
      </c>
      <c r="P248" s="102" t="s">
        <v>473</v>
      </c>
      <c r="S248" s="230"/>
      <c r="T248" s="102" t="s">
        <v>1085</v>
      </c>
      <c r="U248" s="102" t="s">
        <v>529</v>
      </c>
      <c r="V248" s="102" t="s">
        <v>298</v>
      </c>
      <c r="W248" s="102" t="s">
        <v>299</v>
      </c>
      <c r="AF248" s="230"/>
      <c r="AG248" s="230"/>
      <c r="AH248" s="230"/>
      <c r="AI248" s="230"/>
    </row>
    <row r="249">
      <c r="A249" s="102" t="s">
        <v>310</v>
      </c>
      <c r="B249" s="102" t="s">
        <v>2166</v>
      </c>
      <c r="C249" s="229" t="s">
        <v>2167</v>
      </c>
      <c r="D249" s="102" t="s">
        <v>2168</v>
      </c>
      <c r="E249" s="102" t="s">
        <v>495</v>
      </c>
      <c r="F249" s="102" t="s">
        <v>496</v>
      </c>
      <c r="G249" s="102" t="s">
        <v>282</v>
      </c>
      <c r="H249" s="102" t="s">
        <v>283</v>
      </c>
      <c r="I249" s="102" t="s">
        <v>284</v>
      </c>
      <c r="J249" s="102" t="s">
        <v>454</v>
      </c>
      <c r="L249" s="229" t="s">
        <v>2169</v>
      </c>
      <c r="M249" s="229" t="s">
        <v>2931</v>
      </c>
      <c r="O249" s="102">
        <v>2.0</v>
      </c>
      <c r="P249" s="102" t="s">
        <v>435</v>
      </c>
      <c r="S249" s="102">
        <v>7200.0</v>
      </c>
      <c r="T249" s="102" t="s">
        <v>1991</v>
      </c>
      <c r="U249" s="102" t="s">
        <v>1992</v>
      </c>
      <c r="V249" s="102" t="s">
        <v>1085</v>
      </c>
      <c r="W249" s="102" t="s">
        <v>529</v>
      </c>
      <c r="X249" s="102" t="s">
        <v>298</v>
      </c>
      <c r="Y249" s="102" t="s">
        <v>299</v>
      </c>
      <c r="AF249" s="230"/>
      <c r="AG249" s="230"/>
      <c r="AH249" s="230"/>
      <c r="AI249" s="230"/>
    </row>
    <row r="250">
      <c r="A250" s="102" t="s">
        <v>310</v>
      </c>
      <c r="B250" s="102" t="s">
        <v>3031</v>
      </c>
      <c r="C250" s="229" t="s">
        <v>3032</v>
      </c>
      <c r="D250" s="102" t="s">
        <v>3033</v>
      </c>
      <c r="E250" s="102" t="s">
        <v>495</v>
      </c>
      <c r="F250" s="102" t="s">
        <v>496</v>
      </c>
      <c r="G250" s="102" t="s">
        <v>353</v>
      </c>
      <c r="H250" s="102" t="s">
        <v>354</v>
      </c>
      <c r="I250" s="102" t="s">
        <v>284</v>
      </c>
      <c r="J250" s="102" t="s">
        <v>678</v>
      </c>
      <c r="L250" s="229" t="s">
        <v>3034</v>
      </c>
      <c r="M250" s="229" t="s">
        <v>2955</v>
      </c>
      <c r="O250" s="102">
        <v>3.0</v>
      </c>
      <c r="S250" s="102">
        <v>28800.0</v>
      </c>
      <c r="T250" s="102" t="s">
        <v>3035</v>
      </c>
      <c r="U250" s="102" t="s">
        <v>3036</v>
      </c>
      <c r="V250" s="102" t="s">
        <v>3037</v>
      </c>
      <c r="W250" s="102" t="s">
        <v>3038</v>
      </c>
      <c r="X250" s="102" t="s">
        <v>2956</v>
      </c>
      <c r="Y250" s="102" t="s">
        <v>1150</v>
      </c>
      <c r="AF250" s="230"/>
      <c r="AG250" s="230"/>
      <c r="AH250" s="230"/>
      <c r="AI250" s="230"/>
    </row>
    <row r="251">
      <c r="A251" s="102" t="s">
        <v>310</v>
      </c>
      <c r="B251" s="102" t="s">
        <v>3039</v>
      </c>
      <c r="C251" s="229" t="s">
        <v>3040</v>
      </c>
      <c r="D251" s="102" t="s">
        <v>3041</v>
      </c>
      <c r="E251" s="102" t="s">
        <v>584</v>
      </c>
      <c r="F251" s="102" t="s">
        <v>585</v>
      </c>
      <c r="G251" s="102" t="s">
        <v>353</v>
      </c>
      <c r="H251" s="102" t="s">
        <v>354</v>
      </c>
      <c r="I251" s="102" t="s">
        <v>284</v>
      </c>
      <c r="J251" s="102" t="s">
        <v>454</v>
      </c>
      <c r="L251" s="229" t="s">
        <v>3042</v>
      </c>
      <c r="M251" s="229" t="s">
        <v>2955</v>
      </c>
      <c r="O251" s="102">
        <v>5.0</v>
      </c>
      <c r="P251" s="102" t="s">
        <v>1855</v>
      </c>
      <c r="S251" s="102">
        <v>86400.0</v>
      </c>
      <c r="T251" s="102" t="s">
        <v>3043</v>
      </c>
      <c r="U251" s="102" t="s">
        <v>3035</v>
      </c>
      <c r="V251" s="102" t="s">
        <v>3036</v>
      </c>
      <c r="W251" s="102" t="s">
        <v>3037</v>
      </c>
      <c r="X251" s="102" t="s">
        <v>3038</v>
      </c>
      <c r="Y251" s="102" t="s">
        <v>2956</v>
      </c>
      <c r="Z251" s="102" t="s">
        <v>1150</v>
      </c>
      <c r="AF251" s="230"/>
      <c r="AG251" s="230"/>
      <c r="AH251" s="230"/>
      <c r="AI251" s="230"/>
    </row>
    <row r="252">
      <c r="A252" s="102" t="s">
        <v>310</v>
      </c>
      <c r="B252" s="102" t="s">
        <v>2563</v>
      </c>
      <c r="C252" s="229" t="s">
        <v>2564</v>
      </c>
      <c r="D252" s="102" t="s">
        <v>2565</v>
      </c>
      <c r="E252" s="102" t="s">
        <v>564</v>
      </c>
      <c r="F252" s="102" t="s">
        <v>565</v>
      </c>
      <c r="G252" s="102" t="s">
        <v>282</v>
      </c>
      <c r="H252" s="102" t="s">
        <v>283</v>
      </c>
      <c r="I252" s="102" t="s">
        <v>515</v>
      </c>
      <c r="J252" s="102" t="s">
        <v>454</v>
      </c>
      <c r="L252" s="229" t="s">
        <v>2566</v>
      </c>
      <c r="M252" s="229" t="s">
        <v>3044</v>
      </c>
      <c r="N252" s="229" t="s">
        <v>2165</v>
      </c>
      <c r="O252" s="102">
        <v>3.0</v>
      </c>
      <c r="S252" s="102">
        <v>28800.0</v>
      </c>
      <c r="T252" s="102" t="s">
        <v>2269</v>
      </c>
      <c r="U252" s="102" t="s">
        <v>2270</v>
      </c>
      <c r="V252" s="102" t="s">
        <v>2271</v>
      </c>
      <c r="W252" s="102" t="s">
        <v>2272</v>
      </c>
      <c r="X252" s="102" t="s">
        <v>2273</v>
      </c>
      <c r="Y252" s="102" t="s">
        <v>2274</v>
      </c>
      <c r="AF252" s="230"/>
      <c r="AG252" s="230"/>
      <c r="AH252" s="230"/>
      <c r="AI252" s="230"/>
    </row>
    <row r="253">
      <c r="A253" s="102" t="s">
        <v>310</v>
      </c>
      <c r="B253" s="102" t="s">
        <v>2567</v>
      </c>
      <c r="C253" s="229" t="s">
        <v>2568</v>
      </c>
      <c r="D253" s="102" t="s">
        <v>2569</v>
      </c>
      <c r="E253" s="102" t="s">
        <v>564</v>
      </c>
      <c r="F253" s="102" t="s">
        <v>565</v>
      </c>
      <c r="G253" s="102" t="s">
        <v>282</v>
      </c>
      <c r="H253" s="102" t="s">
        <v>283</v>
      </c>
      <c r="I253" s="102" t="s">
        <v>515</v>
      </c>
      <c r="J253" s="102" t="s">
        <v>454</v>
      </c>
      <c r="L253" s="229" t="s">
        <v>2566</v>
      </c>
      <c r="M253" s="229" t="s">
        <v>3045</v>
      </c>
      <c r="N253" s="229" t="s">
        <v>2570</v>
      </c>
      <c r="O253" s="102">
        <v>3.0</v>
      </c>
      <c r="S253" s="102">
        <v>28800.0</v>
      </c>
      <c r="T253" s="102" t="s">
        <v>2269</v>
      </c>
      <c r="U253" s="102" t="s">
        <v>2270</v>
      </c>
      <c r="V253" s="102" t="s">
        <v>2271</v>
      </c>
      <c r="W253" s="102" t="s">
        <v>2272</v>
      </c>
      <c r="X253" s="102" t="s">
        <v>2273</v>
      </c>
      <c r="Y253" s="102" t="s">
        <v>2274</v>
      </c>
      <c r="AF253" s="230"/>
      <c r="AG253" s="230"/>
      <c r="AH253" s="230"/>
      <c r="AI253" s="230"/>
    </row>
    <row r="254">
      <c r="A254" s="102" t="s">
        <v>310</v>
      </c>
      <c r="B254" s="102" t="s">
        <v>3046</v>
      </c>
      <c r="C254" s="229" t="s">
        <v>3047</v>
      </c>
      <c r="D254" s="102" t="s">
        <v>3048</v>
      </c>
      <c r="E254" s="102" t="s">
        <v>556</v>
      </c>
      <c r="F254" s="102" t="s">
        <v>557</v>
      </c>
      <c r="G254" s="102" t="s">
        <v>282</v>
      </c>
      <c r="H254" s="102" t="s">
        <v>283</v>
      </c>
      <c r="I254" s="102" t="s">
        <v>284</v>
      </c>
      <c r="J254" s="102" t="s">
        <v>26</v>
      </c>
      <c r="L254" s="229" t="s">
        <v>3049</v>
      </c>
      <c r="M254" s="229" t="s">
        <v>3050</v>
      </c>
      <c r="O254" s="102">
        <v>3.0</v>
      </c>
      <c r="P254" s="102" t="s">
        <v>504</v>
      </c>
      <c r="S254" s="230"/>
      <c r="T254" s="102" t="s">
        <v>3051</v>
      </c>
      <c r="U254" s="102" t="s">
        <v>1150</v>
      </c>
      <c r="V254" s="230"/>
      <c r="AF254" s="230"/>
      <c r="AG254" s="230"/>
      <c r="AH254" s="230"/>
      <c r="AI254" s="230"/>
    </row>
    <row r="255">
      <c r="A255" s="102" t="s">
        <v>310</v>
      </c>
      <c r="B255" s="102" t="s">
        <v>2571</v>
      </c>
      <c r="C255" s="229" t="s">
        <v>2572</v>
      </c>
      <c r="D255" s="102" t="s">
        <v>2573</v>
      </c>
      <c r="E255" s="102" t="s">
        <v>564</v>
      </c>
      <c r="F255" s="102" t="s">
        <v>565</v>
      </c>
      <c r="G255" s="102" t="s">
        <v>282</v>
      </c>
      <c r="H255" s="102" t="s">
        <v>283</v>
      </c>
      <c r="I255" s="102" t="s">
        <v>515</v>
      </c>
      <c r="J255" s="102" t="s">
        <v>454</v>
      </c>
      <c r="L255" s="229" t="s">
        <v>2574</v>
      </c>
      <c r="M255" s="229" t="s">
        <v>2998</v>
      </c>
      <c r="N255" s="229" t="s">
        <v>2575</v>
      </c>
      <c r="O255" s="102">
        <v>3.0</v>
      </c>
      <c r="S255" s="102">
        <v>28800.0</v>
      </c>
      <c r="T255" s="102" t="s">
        <v>2266</v>
      </c>
      <c r="U255" s="102" t="s">
        <v>2267</v>
      </c>
      <c r="V255" s="102" t="s">
        <v>2268</v>
      </c>
      <c r="W255" s="102" t="s">
        <v>2269</v>
      </c>
      <c r="X255" s="102" t="s">
        <v>2270</v>
      </c>
      <c r="Y255" s="102" t="s">
        <v>2271</v>
      </c>
      <c r="Z255" s="102" t="s">
        <v>2272</v>
      </c>
      <c r="AA255" s="102" t="s">
        <v>2273</v>
      </c>
      <c r="AB255" s="102" t="s">
        <v>2274</v>
      </c>
      <c r="AF255" s="230"/>
      <c r="AG255" s="230"/>
      <c r="AH255" s="230"/>
      <c r="AI255" s="230"/>
    </row>
    <row r="256">
      <c r="A256" s="102" t="s">
        <v>630</v>
      </c>
      <c r="B256" s="102" t="s">
        <v>2180</v>
      </c>
      <c r="C256" s="229" t="s">
        <v>2181</v>
      </c>
      <c r="D256" s="102" t="s">
        <v>2182</v>
      </c>
      <c r="G256" s="102" t="s">
        <v>304</v>
      </c>
      <c r="H256" s="102" t="s">
        <v>305</v>
      </c>
      <c r="I256" s="102" t="s">
        <v>284</v>
      </c>
      <c r="J256" s="102" t="s">
        <v>63</v>
      </c>
      <c r="L256" s="229" t="s">
        <v>2183</v>
      </c>
      <c r="M256" s="229" t="s">
        <v>3052</v>
      </c>
      <c r="O256" s="230"/>
      <c r="S256" s="230"/>
      <c r="T256" s="102" t="s">
        <v>2185</v>
      </c>
      <c r="U256" s="102" t="s">
        <v>2186</v>
      </c>
      <c r="V256" s="102" t="s">
        <v>2187</v>
      </c>
      <c r="W256" s="102" t="s">
        <v>2188</v>
      </c>
      <c r="X256" s="102" t="s">
        <v>2189</v>
      </c>
      <c r="AF256" s="230"/>
      <c r="AG256" s="230"/>
      <c r="AH256" s="230"/>
      <c r="AI256" s="230"/>
    </row>
    <row r="257">
      <c r="A257" s="102" t="s">
        <v>332</v>
      </c>
      <c r="B257" s="102" t="s">
        <v>3053</v>
      </c>
      <c r="C257" s="229" t="s">
        <v>3054</v>
      </c>
      <c r="D257" s="102" t="s">
        <v>3055</v>
      </c>
      <c r="E257" s="102" t="s">
        <v>495</v>
      </c>
      <c r="F257" s="102" t="s">
        <v>496</v>
      </c>
      <c r="G257" s="102" t="s">
        <v>304</v>
      </c>
      <c r="H257" s="102" t="s">
        <v>305</v>
      </c>
      <c r="I257" s="102" t="s">
        <v>284</v>
      </c>
      <c r="J257" s="102" t="s">
        <v>922</v>
      </c>
      <c r="L257" s="229" t="s">
        <v>3056</v>
      </c>
      <c r="M257" s="229" t="s">
        <v>3052</v>
      </c>
      <c r="O257" s="102">
        <v>2.0</v>
      </c>
      <c r="S257" s="230"/>
      <c r="T257" s="102" t="s">
        <v>2185</v>
      </c>
      <c r="U257" s="102" t="s">
        <v>2186</v>
      </c>
      <c r="V257" s="102" t="s">
        <v>2187</v>
      </c>
      <c r="W257" s="102" t="s">
        <v>2188</v>
      </c>
      <c r="X257" s="102" t="s">
        <v>2189</v>
      </c>
      <c r="AF257" s="230"/>
      <c r="AG257" s="230"/>
      <c r="AH257" s="230"/>
      <c r="AI257" s="230"/>
    </row>
    <row r="258">
      <c r="A258" s="102" t="s">
        <v>630</v>
      </c>
      <c r="B258" s="102" t="s">
        <v>2192</v>
      </c>
      <c r="C258" s="229" t="s">
        <v>2193</v>
      </c>
      <c r="D258" s="102" t="s">
        <v>2194</v>
      </c>
      <c r="G258" s="102" t="s">
        <v>304</v>
      </c>
      <c r="H258" s="102" t="s">
        <v>305</v>
      </c>
      <c r="I258" s="102" t="s">
        <v>284</v>
      </c>
      <c r="J258" s="102" t="s">
        <v>63</v>
      </c>
      <c r="L258" s="229" t="s">
        <v>2195</v>
      </c>
      <c r="M258" s="229" t="s">
        <v>3052</v>
      </c>
      <c r="O258" s="230"/>
      <c r="S258" s="230"/>
      <c r="T258" s="102" t="s">
        <v>2196</v>
      </c>
      <c r="U258" s="102" t="s">
        <v>2185</v>
      </c>
      <c r="V258" s="102" t="s">
        <v>2186</v>
      </c>
      <c r="W258" s="102" t="s">
        <v>2187</v>
      </c>
      <c r="X258" s="102" t="s">
        <v>2188</v>
      </c>
      <c r="Y258" s="102" t="s">
        <v>2189</v>
      </c>
      <c r="AF258" s="230"/>
      <c r="AG258" s="230"/>
      <c r="AH258" s="230"/>
      <c r="AI258" s="230"/>
    </row>
    <row r="259">
      <c r="A259" s="102" t="s">
        <v>630</v>
      </c>
      <c r="B259" s="102" t="s">
        <v>2197</v>
      </c>
      <c r="C259" s="229" t="s">
        <v>2198</v>
      </c>
      <c r="D259" s="102" t="s">
        <v>2199</v>
      </c>
      <c r="G259" s="102" t="s">
        <v>304</v>
      </c>
      <c r="H259" s="102" t="s">
        <v>305</v>
      </c>
      <c r="I259" s="102" t="s">
        <v>284</v>
      </c>
      <c r="J259" s="102" t="s">
        <v>63</v>
      </c>
      <c r="L259" s="229" t="s">
        <v>2200</v>
      </c>
      <c r="M259" s="229" t="s">
        <v>3052</v>
      </c>
      <c r="O259" s="230"/>
      <c r="S259" s="230"/>
      <c r="T259" s="102" t="s">
        <v>2196</v>
      </c>
      <c r="U259" s="102" t="s">
        <v>2185</v>
      </c>
      <c r="V259" s="102" t="s">
        <v>2186</v>
      </c>
      <c r="W259" s="102" t="s">
        <v>2187</v>
      </c>
      <c r="X259" s="102" t="s">
        <v>2188</v>
      </c>
      <c r="Y259" s="102" t="s">
        <v>2189</v>
      </c>
      <c r="AF259" s="230"/>
      <c r="AG259" s="230"/>
      <c r="AH259" s="230"/>
      <c r="AI259" s="230"/>
    </row>
    <row r="260">
      <c r="A260" s="102" t="s">
        <v>630</v>
      </c>
      <c r="B260" s="102" t="s">
        <v>2201</v>
      </c>
      <c r="C260" s="229" t="s">
        <v>2202</v>
      </c>
      <c r="D260" s="102" t="s">
        <v>2203</v>
      </c>
      <c r="G260" s="102" t="s">
        <v>304</v>
      </c>
      <c r="H260" s="102" t="s">
        <v>305</v>
      </c>
      <c r="I260" s="102" t="s">
        <v>284</v>
      </c>
      <c r="J260" s="102" t="s">
        <v>63</v>
      </c>
      <c r="L260" s="229" t="s">
        <v>2204</v>
      </c>
      <c r="M260" s="229" t="s">
        <v>3052</v>
      </c>
      <c r="O260" s="230"/>
      <c r="S260" s="230"/>
      <c r="T260" s="102" t="s">
        <v>2205</v>
      </c>
      <c r="U260" s="102" t="s">
        <v>2196</v>
      </c>
      <c r="V260" s="102" t="s">
        <v>2185</v>
      </c>
      <c r="W260" s="102" t="s">
        <v>2186</v>
      </c>
      <c r="X260" s="102" t="s">
        <v>2187</v>
      </c>
      <c r="Y260" s="102" t="s">
        <v>2188</v>
      </c>
      <c r="Z260" s="102" t="s">
        <v>2189</v>
      </c>
      <c r="AF260" s="230"/>
      <c r="AG260" s="230"/>
      <c r="AH260" s="230"/>
      <c r="AI260" s="230"/>
    </row>
    <row r="261">
      <c r="A261" s="102" t="s">
        <v>630</v>
      </c>
      <c r="B261" s="102" t="s">
        <v>2206</v>
      </c>
      <c r="C261" s="229" t="s">
        <v>2207</v>
      </c>
      <c r="D261" s="102" t="s">
        <v>2208</v>
      </c>
      <c r="G261" s="102" t="s">
        <v>304</v>
      </c>
      <c r="H261" s="102" t="s">
        <v>305</v>
      </c>
      <c r="I261" s="102" t="s">
        <v>284</v>
      </c>
      <c r="J261" s="102" t="s">
        <v>63</v>
      </c>
      <c r="L261" s="229" t="s">
        <v>2209</v>
      </c>
      <c r="M261" s="229" t="s">
        <v>3052</v>
      </c>
      <c r="O261" s="230"/>
      <c r="P261" s="102" t="s">
        <v>1808</v>
      </c>
      <c r="S261" s="230"/>
      <c r="T261" s="102" t="s">
        <v>2205</v>
      </c>
      <c r="U261" s="102" t="s">
        <v>2196</v>
      </c>
      <c r="V261" s="102" t="s">
        <v>2185</v>
      </c>
      <c r="W261" s="102" t="s">
        <v>2186</v>
      </c>
      <c r="X261" s="102" t="s">
        <v>2187</v>
      </c>
      <c r="Y261" s="102" t="s">
        <v>2188</v>
      </c>
      <c r="Z261" s="102" t="s">
        <v>2189</v>
      </c>
      <c r="AF261" s="230"/>
      <c r="AG261" s="230"/>
      <c r="AH261" s="230"/>
      <c r="AI261" s="230"/>
    </row>
    <row r="262">
      <c r="A262" s="102" t="s">
        <v>630</v>
      </c>
      <c r="B262" s="102" t="s">
        <v>1357</v>
      </c>
      <c r="C262" s="229" t="s">
        <v>1358</v>
      </c>
      <c r="D262" s="102" t="s">
        <v>1359</v>
      </c>
      <c r="G262" s="102" t="s">
        <v>314</v>
      </c>
      <c r="H262" s="102" t="s">
        <v>315</v>
      </c>
      <c r="I262" s="102" t="s">
        <v>284</v>
      </c>
      <c r="J262" s="102" t="s">
        <v>63</v>
      </c>
      <c r="L262" s="229" t="s">
        <v>1360</v>
      </c>
      <c r="M262" s="229" t="s">
        <v>3057</v>
      </c>
      <c r="O262" s="230"/>
      <c r="S262" s="230"/>
      <c r="T262" s="102" t="s">
        <v>1362</v>
      </c>
      <c r="U262" s="102" t="s">
        <v>1363</v>
      </c>
      <c r="V262" s="102" t="s">
        <v>1364</v>
      </c>
      <c r="W262" s="102" t="s">
        <v>1365</v>
      </c>
      <c r="X262" s="102" t="s">
        <v>1366</v>
      </c>
      <c r="Y262" s="102" t="s">
        <v>1367</v>
      </c>
      <c r="Z262" s="102" t="s">
        <v>1368</v>
      </c>
      <c r="AA262" s="102" t="s">
        <v>1369</v>
      </c>
      <c r="AB262" s="102" t="s">
        <v>1370</v>
      </c>
      <c r="AC262" s="102" t="s">
        <v>1150</v>
      </c>
      <c r="AF262" s="230"/>
      <c r="AG262" s="230"/>
      <c r="AH262" s="230"/>
      <c r="AI262" s="230"/>
    </row>
    <row r="263">
      <c r="O263" s="230"/>
      <c r="S263" s="230"/>
      <c r="T263" s="230"/>
      <c r="U263" s="230"/>
      <c r="V263" s="230"/>
      <c r="AF263" s="230"/>
      <c r="AG263" s="230"/>
      <c r="AH263" s="230"/>
      <c r="AI263" s="230"/>
    </row>
    <row r="264">
      <c r="O264" s="230"/>
      <c r="S264" s="230"/>
      <c r="T264" s="230"/>
      <c r="U264" s="230"/>
      <c r="V264" s="230"/>
      <c r="AF264" s="230"/>
      <c r="AG264" s="230"/>
      <c r="AH264" s="230"/>
      <c r="AI264" s="230"/>
    </row>
    <row r="265">
      <c r="O265" s="230"/>
      <c r="S265" s="230"/>
      <c r="T265" s="230"/>
      <c r="U265" s="230"/>
      <c r="V265" s="230"/>
      <c r="AF265" s="230"/>
      <c r="AG265" s="230"/>
      <c r="AH265" s="230"/>
      <c r="AI265" s="230"/>
    </row>
    <row r="266">
      <c r="O266" s="230"/>
      <c r="S266" s="230"/>
      <c r="T266" s="230"/>
      <c r="U266" s="230"/>
      <c r="V266" s="230"/>
      <c r="AF266" s="230"/>
      <c r="AG266" s="230"/>
      <c r="AH266" s="230"/>
      <c r="AI266" s="230"/>
    </row>
    <row r="267">
      <c r="O267" s="230"/>
      <c r="S267" s="230"/>
      <c r="T267" s="230"/>
      <c r="U267" s="230"/>
      <c r="V267" s="230"/>
      <c r="AC267" s="230"/>
      <c r="AD267" s="230"/>
      <c r="AE267" s="230"/>
      <c r="AF267" s="230"/>
      <c r="AG267" s="230"/>
      <c r="AH267" s="230"/>
      <c r="AI267" s="230"/>
    </row>
    <row r="268">
      <c r="O268" s="230"/>
      <c r="S268" s="230"/>
      <c r="T268" s="230"/>
      <c r="U268" s="230"/>
      <c r="V268" s="230"/>
      <c r="AC268" s="230"/>
      <c r="AD268" s="230"/>
      <c r="AE268" s="230"/>
      <c r="AF268" s="230"/>
      <c r="AG268" s="230"/>
      <c r="AH268" s="230"/>
      <c r="AI268" s="230"/>
    </row>
    <row r="269">
      <c r="O269" s="230"/>
      <c r="S269" s="230"/>
      <c r="T269" s="230"/>
      <c r="U269" s="230"/>
      <c r="V269" s="230"/>
      <c r="AC269" s="230"/>
      <c r="AD269" s="230"/>
      <c r="AE269" s="230"/>
      <c r="AF269" s="230"/>
      <c r="AG269" s="230"/>
      <c r="AH269" s="230"/>
      <c r="AI269" s="230"/>
    </row>
    <row r="270">
      <c r="O270" s="230"/>
      <c r="S270" s="230"/>
      <c r="T270" s="230"/>
      <c r="U270" s="230"/>
      <c r="V270" s="230"/>
      <c r="AC270" s="230"/>
      <c r="AD270" s="230"/>
      <c r="AE270" s="230"/>
      <c r="AF270" s="230"/>
      <c r="AG270" s="230"/>
      <c r="AH270" s="230"/>
      <c r="AI270" s="230"/>
    </row>
    <row r="271">
      <c r="O271" s="230"/>
      <c r="S271" s="230"/>
      <c r="T271" s="230"/>
      <c r="U271" s="230"/>
      <c r="V271" s="230"/>
      <c r="AC271" s="230"/>
      <c r="AD271" s="230"/>
      <c r="AE271" s="230"/>
      <c r="AF271" s="230"/>
      <c r="AG271" s="230"/>
      <c r="AH271" s="230"/>
      <c r="AI271" s="230"/>
    </row>
    <row r="272">
      <c r="O272" s="230"/>
      <c r="S272" s="230"/>
      <c r="T272" s="230"/>
      <c r="U272" s="230"/>
      <c r="V272" s="230"/>
      <c r="AC272" s="230"/>
      <c r="AD272" s="230"/>
      <c r="AE272" s="230"/>
      <c r="AF272" s="230"/>
      <c r="AG272" s="230"/>
      <c r="AH272" s="230"/>
      <c r="AI272" s="230"/>
    </row>
    <row r="273">
      <c r="O273" s="230"/>
      <c r="S273" s="230"/>
      <c r="T273" s="230"/>
      <c r="U273" s="230"/>
      <c r="V273" s="230"/>
      <c r="AC273" s="230"/>
      <c r="AD273" s="230"/>
      <c r="AE273" s="230"/>
      <c r="AF273" s="230"/>
      <c r="AG273" s="230"/>
      <c r="AH273" s="230"/>
      <c r="AI273" s="230"/>
    </row>
    <row r="274">
      <c r="O274" s="230"/>
      <c r="S274" s="230"/>
      <c r="T274" s="230"/>
      <c r="U274" s="230"/>
      <c r="V274" s="230"/>
      <c r="AC274" s="230"/>
      <c r="AD274" s="230"/>
      <c r="AE274" s="230"/>
      <c r="AF274" s="230"/>
      <c r="AG274" s="230"/>
      <c r="AH274" s="230"/>
      <c r="AI274" s="230"/>
    </row>
    <row r="275">
      <c r="O275" s="230"/>
      <c r="S275" s="230"/>
      <c r="T275" s="230"/>
      <c r="U275" s="230"/>
      <c r="V275" s="230"/>
      <c r="AC275" s="230"/>
      <c r="AD275" s="230"/>
      <c r="AE275" s="230"/>
      <c r="AF275" s="230"/>
      <c r="AG275" s="230"/>
      <c r="AH275" s="230"/>
      <c r="AI275" s="230"/>
    </row>
    <row r="276">
      <c r="O276" s="230"/>
      <c r="S276" s="230"/>
      <c r="T276" s="230"/>
      <c r="U276" s="230"/>
      <c r="V276" s="230"/>
      <c r="AC276" s="230"/>
      <c r="AD276" s="230"/>
      <c r="AE276" s="230"/>
      <c r="AF276" s="230"/>
      <c r="AG276" s="230"/>
      <c r="AH276" s="230"/>
      <c r="AI276" s="230"/>
    </row>
    <row r="277">
      <c r="O277" s="230"/>
      <c r="S277" s="230"/>
      <c r="T277" s="230"/>
      <c r="U277" s="230"/>
      <c r="V277" s="230"/>
      <c r="AC277" s="230"/>
      <c r="AD277" s="230"/>
      <c r="AE277" s="230"/>
      <c r="AF277" s="230"/>
      <c r="AG277" s="230"/>
      <c r="AH277" s="230"/>
      <c r="AI277" s="230"/>
    </row>
    <row r="278">
      <c r="O278" s="230"/>
      <c r="S278" s="230"/>
      <c r="T278" s="230"/>
      <c r="U278" s="230"/>
      <c r="V278" s="230"/>
      <c r="AC278" s="230"/>
      <c r="AD278" s="230"/>
      <c r="AE278" s="230"/>
      <c r="AF278" s="230"/>
      <c r="AG278" s="230"/>
      <c r="AH278" s="230"/>
      <c r="AI278" s="230"/>
    </row>
    <row r="279">
      <c r="O279" s="230"/>
      <c r="S279" s="230"/>
      <c r="T279" s="230"/>
      <c r="U279" s="230"/>
      <c r="V279" s="230"/>
      <c r="AC279" s="230"/>
      <c r="AD279" s="230"/>
      <c r="AE279" s="230"/>
      <c r="AF279" s="230"/>
      <c r="AG279" s="230"/>
      <c r="AH279" s="230"/>
      <c r="AI279" s="230"/>
    </row>
    <row r="280">
      <c r="O280" s="230"/>
      <c r="S280" s="230"/>
      <c r="T280" s="230"/>
      <c r="U280" s="230"/>
      <c r="V280" s="230"/>
      <c r="AC280" s="230"/>
      <c r="AD280" s="230"/>
      <c r="AE280" s="230"/>
      <c r="AF280" s="230"/>
      <c r="AG280" s="230"/>
      <c r="AH280" s="230"/>
      <c r="AI280" s="230"/>
    </row>
    <row r="281">
      <c r="O281" s="230"/>
      <c r="S281" s="230"/>
      <c r="T281" s="230"/>
      <c r="U281" s="230"/>
      <c r="V281" s="230"/>
      <c r="AC281" s="230"/>
      <c r="AD281" s="230"/>
      <c r="AE281" s="230"/>
      <c r="AF281" s="230"/>
      <c r="AG281" s="230"/>
      <c r="AH281" s="230"/>
      <c r="AI281" s="230"/>
    </row>
    <row r="282">
      <c r="O282" s="230"/>
      <c r="S282" s="230"/>
      <c r="T282" s="230"/>
      <c r="U282" s="230"/>
      <c r="V282" s="230"/>
      <c r="AC282" s="230"/>
      <c r="AD282" s="230"/>
      <c r="AE282" s="230"/>
      <c r="AF282" s="230"/>
      <c r="AG282" s="230"/>
      <c r="AH282" s="230"/>
      <c r="AI282" s="230"/>
    </row>
    <row r="283">
      <c r="O283" s="230"/>
      <c r="S283" s="230"/>
      <c r="T283" s="230"/>
      <c r="U283" s="230"/>
      <c r="V283" s="230"/>
      <c r="AC283" s="230"/>
      <c r="AD283" s="230"/>
      <c r="AE283" s="230"/>
      <c r="AF283" s="230"/>
      <c r="AG283" s="230"/>
      <c r="AH283" s="230"/>
      <c r="AI283" s="230"/>
    </row>
    <row r="284">
      <c r="O284" s="230"/>
      <c r="S284" s="230"/>
      <c r="T284" s="230"/>
      <c r="U284" s="230"/>
      <c r="V284" s="230"/>
      <c r="AC284" s="230"/>
      <c r="AD284" s="230"/>
      <c r="AE284" s="230"/>
      <c r="AF284" s="230"/>
      <c r="AG284" s="230"/>
      <c r="AH284" s="230"/>
      <c r="AI284" s="230"/>
    </row>
    <row r="285">
      <c r="O285" s="230"/>
      <c r="S285" s="230"/>
      <c r="T285" s="230"/>
      <c r="U285" s="230"/>
      <c r="V285" s="230"/>
      <c r="AC285" s="230"/>
      <c r="AD285" s="230"/>
      <c r="AE285" s="230"/>
      <c r="AF285" s="230"/>
      <c r="AG285" s="230"/>
      <c r="AH285" s="230"/>
      <c r="AI285" s="230"/>
    </row>
    <row r="286">
      <c r="O286" s="230"/>
      <c r="S286" s="230"/>
      <c r="T286" s="230"/>
      <c r="U286" s="230"/>
      <c r="V286" s="230"/>
      <c r="AC286" s="230"/>
      <c r="AD286" s="230"/>
      <c r="AE286" s="230"/>
      <c r="AF286" s="230"/>
      <c r="AG286" s="230"/>
      <c r="AH286" s="230"/>
      <c r="AI286" s="230"/>
    </row>
    <row r="287">
      <c r="O287" s="230"/>
      <c r="S287" s="230"/>
      <c r="T287" s="230"/>
      <c r="U287" s="230"/>
      <c r="V287" s="230"/>
      <c r="AC287" s="230"/>
      <c r="AD287" s="230"/>
      <c r="AE287" s="230"/>
      <c r="AF287" s="230"/>
      <c r="AG287" s="230"/>
      <c r="AH287" s="230"/>
      <c r="AI287" s="230"/>
    </row>
    <row r="288">
      <c r="O288" s="230"/>
      <c r="S288" s="230"/>
      <c r="T288" s="230"/>
      <c r="U288" s="230"/>
      <c r="V288" s="230"/>
      <c r="AC288" s="230"/>
      <c r="AD288" s="230"/>
      <c r="AE288" s="230"/>
      <c r="AF288" s="230"/>
      <c r="AG288" s="230"/>
      <c r="AH288" s="230"/>
      <c r="AI288" s="230"/>
    </row>
    <row r="289">
      <c r="O289" s="230"/>
      <c r="S289" s="230"/>
      <c r="T289" s="230"/>
      <c r="U289" s="230"/>
      <c r="V289" s="230"/>
      <c r="AC289" s="230"/>
      <c r="AD289" s="230"/>
      <c r="AE289" s="230"/>
      <c r="AF289" s="230"/>
      <c r="AG289" s="230"/>
      <c r="AH289" s="230"/>
      <c r="AI289" s="230"/>
    </row>
    <row r="290">
      <c r="O290" s="230"/>
      <c r="S290" s="230"/>
      <c r="T290" s="230"/>
      <c r="U290" s="230"/>
      <c r="V290" s="230"/>
      <c r="AC290" s="230"/>
      <c r="AD290" s="230"/>
      <c r="AE290" s="230"/>
      <c r="AF290" s="230"/>
      <c r="AG290" s="230"/>
      <c r="AH290" s="230"/>
      <c r="AI290" s="230"/>
    </row>
    <row r="291">
      <c r="O291" s="230"/>
      <c r="S291" s="230"/>
      <c r="T291" s="230"/>
      <c r="U291" s="230"/>
      <c r="V291" s="230"/>
      <c r="AC291" s="230"/>
      <c r="AD291" s="230"/>
      <c r="AE291" s="230"/>
      <c r="AF291" s="230"/>
      <c r="AG291" s="230"/>
      <c r="AH291" s="230"/>
      <c r="AI291" s="230"/>
    </row>
    <row r="292">
      <c r="O292" s="230"/>
      <c r="S292" s="230"/>
      <c r="T292" s="230"/>
      <c r="U292" s="230"/>
      <c r="V292" s="230"/>
      <c r="AC292" s="230"/>
      <c r="AD292" s="230"/>
      <c r="AE292" s="230"/>
      <c r="AF292" s="230"/>
      <c r="AG292" s="230"/>
      <c r="AH292" s="230"/>
      <c r="AI292" s="230"/>
    </row>
    <row r="293">
      <c r="O293" s="230"/>
      <c r="S293" s="230"/>
      <c r="T293" s="230"/>
      <c r="U293" s="230"/>
      <c r="V293" s="230"/>
      <c r="AC293" s="230"/>
      <c r="AD293" s="230"/>
      <c r="AE293" s="230"/>
      <c r="AF293" s="230"/>
      <c r="AG293" s="230"/>
      <c r="AH293" s="230"/>
      <c r="AI293" s="230"/>
    </row>
    <row r="294">
      <c r="O294" s="230"/>
      <c r="S294" s="230"/>
      <c r="T294" s="230"/>
      <c r="U294" s="230"/>
      <c r="V294" s="230"/>
      <c r="AC294" s="230"/>
      <c r="AD294" s="230"/>
      <c r="AE294" s="230"/>
      <c r="AF294" s="230"/>
      <c r="AG294" s="230"/>
      <c r="AH294" s="230"/>
      <c r="AI294" s="230"/>
    </row>
    <row r="295">
      <c r="O295" s="230"/>
      <c r="S295" s="230"/>
      <c r="T295" s="230"/>
      <c r="U295" s="230"/>
      <c r="V295" s="230"/>
      <c r="AC295" s="230"/>
      <c r="AD295" s="230"/>
      <c r="AE295" s="230"/>
      <c r="AF295" s="230"/>
      <c r="AG295" s="230"/>
      <c r="AH295" s="230"/>
      <c r="AI295" s="230"/>
    </row>
    <row r="296">
      <c r="O296" s="230"/>
      <c r="S296" s="230"/>
      <c r="T296" s="230"/>
      <c r="U296" s="230"/>
      <c r="V296" s="230"/>
      <c r="AC296" s="230"/>
      <c r="AD296" s="230"/>
      <c r="AE296" s="230"/>
      <c r="AF296" s="230"/>
      <c r="AG296" s="230"/>
      <c r="AH296" s="230"/>
      <c r="AI296" s="230"/>
    </row>
    <row r="297">
      <c r="O297" s="230"/>
      <c r="S297" s="230"/>
      <c r="T297" s="230"/>
      <c r="U297" s="230"/>
      <c r="V297" s="230"/>
      <c r="AC297" s="230"/>
      <c r="AD297" s="230"/>
      <c r="AE297" s="230"/>
      <c r="AF297" s="230"/>
      <c r="AG297" s="230"/>
      <c r="AH297" s="230"/>
      <c r="AI297" s="230"/>
    </row>
    <row r="298">
      <c r="O298" s="230"/>
      <c r="S298" s="230"/>
      <c r="T298" s="230"/>
      <c r="U298" s="230"/>
      <c r="V298" s="230"/>
      <c r="AC298" s="230"/>
      <c r="AD298" s="230"/>
      <c r="AE298" s="230"/>
      <c r="AF298" s="230"/>
      <c r="AG298" s="230"/>
      <c r="AH298" s="230"/>
      <c r="AI298" s="230"/>
    </row>
    <row r="299">
      <c r="O299" s="230"/>
      <c r="S299" s="230"/>
      <c r="T299" s="230"/>
      <c r="U299" s="230"/>
      <c r="V299" s="230"/>
      <c r="AC299" s="230"/>
      <c r="AD299" s="230"/>
      <c r="AE299" s="230"/>
      <c r="AF299" s="230"/>
      <c r="AG299" s="230"/>
      <c r="AH299" s="230"/>
      <c r="AI299" s="230"/>
    </row>
    <row r="300">
      <c r="O300" s="230"/>
      <c r="S300" s="230"/>
      <c r="T300" s="230"/>
      <c r="U300" s="230"/>
      <c r="V300" s="230"/>
      <c r="AC300" s="230"/>
      <c r="AD300" s="230"/>
      <c r="AE300" s="230"/>
      <c r="AF300" s="230"/>
      <c r="AG300" s="230"/>
      <c r="AH300" s="230"/>
      <c r="AI300" s="230"/>
    </row>
    <row r="301">
      <c r="O301" s="230"/>
      <c r="S301" s="230"/>
      <c r="T301" s="230"/>
      <c r="U301" s="230"/>
      <c r="V301" s="230"/>
      <c r="AC301" s="230"/>
      <c r="AD301" s="230"/>
      <c r="AE301" s="230"/>
      <c r="AF301" s="230"/>
      <c r="AG301" s="230"/>
      <c r="AH301" s="230"/>
      <c r="AI301" s="230"/>
    </row>
    <row r="302">
      <c r="O302" s="230"/>
      <c r="S302" s="230"/>
      <c r="T302" s="230"/>
      <c r="U302" s="230"/>
      <c r="V302" s="230"/>
      <c r="AC302" s="230"/>
      <c r="AD302" s="230"/>
      <c r="AE302" s="230"/>
      <c r="AF302" s="230"/>
      <c r="AG302" s="230"/>
      <c r="AH302" s="230"/>
      <c r="AI302" s="230"/>
    </row>
    <row r="303">
      <c r="O303" s="230"/>
      <c r="S303" s="230"/>
      <c r="T303" s="230"/>
      <c r="U303" s="230"/>
      <c r="V303" s="230"/>
      <c r="AC303" s="230"/>
      <c r="AD303" s="230"/>
      <c r="AE303" s="230"/>
      <c r="AF303" s="230"/>
      <c r="AG303" s="230"/>
      <c r="AH303" s="230"/>
      <c r="AI303" s="230"/>
    </row>
    <row r="304">
      <c r="O304" s="230"/>
      <c r="S304" s="230"/>
      <c r="T304" s="230"/>
      <c r="U304" s="230"/>
      <c r="V304" s="230"/>
      <c r="AC304" s="230"/>
      <c r="AD304" s="230"/>
      <c r="AE304" s="230"/>
      <c r="AF304" s="230"/>
      <c r="AG304" s="230"/>
      <c r="AH304" s="230"/>
      <c r="AI304" s="230"/>
    </row>
    <row r="305">
      <c r="O305" s="230"/>
      <c r="S305" s="230"/>
      <c r="T305" s="230"/>
      <c r="U305" s="230"/>
      <c r="V305" s="230"/>
      <c r="AC305" s="230"/>
      <c r="AD305" s="230"/>
      <c r="AE305" s="230"/>
      <c r="AF305" s="230"/>
      <c r="AG305" s="230"/>
      <c r="AH305" s="230"/>
      <c r="AI305" s="230"/>
    </row>
    <row r="306">
      <c r="O306" s="230"/>
      <c r="S306" s="230"/>
      <c r="T306" s="230"/>
      <c r="U306" s="230"/>
      <c r="V306" s="230"/>
      <c r="AC306" s="230"/>
      <c r="AD306" s="230"/>
      <c r="AE306" s="230"/>
      <c r="AF306" s="230"/>
      <c r="AG306" s="230"/>
      <c r="AH306" s="230"/>
      <c r="AI306" s="230"/>
    </row>
    <row r="307">
      <c r="O307" s="230"/>
      <c r="S307" s="230"/>
      <c r="T307" s="230"/>
      <c r="U307" s="230"/>
      <c r="V307" s="230"/>
      <c r="AC307" s="230"/>
      <c r="AD307" s="230"/>
      <c r="AE307" s="230"/>
      <c r="AF307" s="230"/>
      <c r="AG307" s="230"/>
      <c r="AH307" s="230"/>
      <c r="AI307" s="230"/>
    </row>
    <row r="308">
      <c r="O308" s="230"/>
      <c r="S308" s="230"/>
      <c r="T308" s="230"/>
      <c r="U308" s="230"/>
      <c r="V308" s="230"/>
      <c r="AC308" s="230"/>
      <c r="AD308" s="230"/>
      <c r="AE308" s="230"/>
      <c r="AF308" s="230"/>
      <c r="AG308" s="230"/>
      <c r="AH308" s="230"/>
      <c r="AI308" s="230"/>
    </row>
    <row r="309">
      <c r="O309" s="230"/>
      <c r="S309" s="230"/>
      <c r="T309" s="230"/>
      <c r="U309" s="230"/>
      <c r="V309" s="230"/>
      <c r="AC309" s="230"/>
      <c r="AD309" s="230"/>
      <c r="AE309" s="230"/>
      <c r="AF309" s="230"/>
      <c r="AG309" s="230"/>
      <c r="AH309" s="230"/>
      <c r="AI309" s="230"/>
    </row>
    <row r="310">
      <c r="O310" s="230"/>
      <c r="S310" s="230"/>
      <c r="T310" s="230"/>
      <c r="U310" s="230"/>
      <c r="V310" s="230"/>
      <c r="AC310" s="230"/>
      <c r="AD310" s="230"/>
      <c r="AE310" s="230"/>
      <c r="AF310" s="230"/>
      <c r="AG310" s="230"/>
      <c r="AH310" s="230"/>
      <c r="AI310" s="230"/>
    </row>
    <row r="311">
      <c r="O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  <c r="AI311" s="230"/>
    </row>
    <row r="312">
      <c r="O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  <c r="AI312" s="230"/>
    </row>
    <row r="313">
      <c r="O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  <c r="AI313" s="230"/>
    </row>
    <row r="314">
      <c r="O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  <c r="AI314" s="230"/>
    </row>
    <row r="315">
      <c r="O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  <c r="AI315" s="230"/>
    </row>
    <row r="316">
      <c r="O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  <c r="AI316" s="230"/>
    </row>
    <row r="317">
      <c r="O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  <c r="AI317" s="230"/>
    </row>
    <row r="318">
      <c r="O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  <c r="AI318" s="230"/>
    </row>
    <row r="319">
      <c r="O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  <c r="AI319" s="230"/>
    </row>
    <row r="320">
      <c r="O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  <c r="AI320" s="230"/>
    </row>
    <row r="321">
      <c r="O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</row>
    <row r="322">
      <c r="O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</row>
    <row r="323">
      <c r="O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  <c r="AI323" s="230"/>
    </row>
    <row r="324">
      <c r="O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</row>
    <row r="325">
      <c r="O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  <c r="AI325" s="230"/>
    </row>
    <row r="326">
      <c r="O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  <c r="AI326" s="230"/>
    </row>
    <row r="327">
      <c r="O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  <c r="AI327" s="230"/>
    </row>
    <row r="328">
      <c r="O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</row>
    <row r="329">
      <c r="O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</row>
    <row r="330">
      <c r="O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  <c r="AI330" s="230"/>
    </row>
    <row r="331">
      <c r="O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</row>
    <row r="332">
      <c r="O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  <c r="AI332" s="230"/>
    </row>
    <row r="333">
      <c r="O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  <c r="AI333" s="230"/>
    </row>
    <row r="334">
      <c r="O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  <c r="AI334" s="230"/>
    </row>
    <row r="335">
      <c r="O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  <c r="AI335" s="230"/>
    </row>
    <row r="336">
      <c r="O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  <c r="AI336" s="230"/>
    </row>
    <row r="337">
      <c r="O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  <c r="AI337" s="230"/>
    </row>
    <row r="338">
      <c r="O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</row>
    <row r="339">
      <c r="O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  <c r="AI339" s="230"/>
    </row>
    <row r="340">
      <c r="O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  <c r="AI340" s="230"/>
    </row>
    <row r="341">
      <c r="O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  <c r="AI341" s="230"/>
    </row>
    <row r="342">
      <c r="O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  <c r="AI342" s="230"/>
    </row>
    <row r="343">
      <c r="O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  <c r="AI343" s="230"/>
    </row>
    <row r="344">
      <c r="O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</row>
    <row r="345">
      <c r="O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</row>
    <row r="346">
      <c r="O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</row>
    <row r="347">
      <c r="O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</row>
    <row r="348">
      <c r="O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</row>
    <row r="349">
      <c r="O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</row>
    <row r="350">
      <c r="O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</row>
    <row r="351">
      <c r="O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</row>
    <row r="352">
      <c r="O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</row>
    <row r="353">
      <c r="O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</row>
    <row r="354">
      <c r="O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  <c r="AI354" s="230"/>
    </row>
    <row r="355">
      <c r="O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  <c r="AI355" s="230"/>
    </row>
    <row r="356">
      <c r="O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  <c r="AI356" s="230"/>
    </row>
    <row r="357">
      <c r="O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  <c r="AI357" s="230"/>
    </row>
    <row r="358">
      <c r="O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  <c r="AI358" s="230"/>
    </row>
    <row r="359">
      <c r="O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  <c r="AI359" s="230"/>
    </row>
    <row r="360">
      <c r="O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  <c r="AI360" s="230"/>
    </row>
    <row r="361">
      <c r="O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</row>
    <row r="362">
      <c r="O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  <c r="AI362" s="230"/>
    </row>
    <row r="363">
      <c r="O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  <c r="AI363" s="230"/>
    </row>
    <row r="364">
      <c r="O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  <c r="AI364" s="230"/>
    </row>
    <row r="365">
      <c r="O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  <c r="AI365" s="230"/>
    </row>
    <row r="366">
      <c r="O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  <c r="AI366" s="230"/>
    </row>
    <row r="367">
      <c r="O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  <c r="AI367" s="230"/>
    </row>
    <row r="368">
      <c r="O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  <c r="AI368" s="230"/>
    </row>
    <row r="369">
      <c r="O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  <c r="AI369" s="230"/>
    </row>
    <row r="370">
      <c r="O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</row>
    <row r="371">
      <c r="O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  <c r="AI371" s="230"/>
    </row>
    <row r="372">
      <c r="O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  <c r="AI372" s="230"/>
    </row>
    <row r="373">
      <c r="O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  <c r="AI373" s="230"/>
    </row>
    <row r="374">
      <c r="O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  <c r="AI374" s="230"/>
    </row>
    <row r="375">
      <c r="O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</row>
    <row r="376">
      <c r="O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  <c r="AI376" s="230"/>
    </row>
    <row r="377">
      <c r="O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  <c r="AI377" s="230"/>
    </row>
    <row r="378">
      <c r="O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  <c r="AI378" s="230"/>
    </row>
    <row r="379">
      <c r="O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  <c r="AI379" s="230"/>
    </row>
    <row r="380">
      <c r="O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  <c r="AI380" s="230"/>
    </row>
    <row r="381">
      <c r="O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</row>
    <row r="382">
      <c r="O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  <c r="AI382" s="230"/>
    </row>
    <row r="383">
      <c r="O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</row>
    <row r="384">
      <c r="O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  <c r="AI384" s="230"/>
    </row>
    <row r="385">
      <c r="O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  <c r="AI385" s="230"/>
    </row>
    <row r="386">
      <c r="O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  <c r="AI386" s="230"/>
    </row>
    <row r="387">
      <c r="O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  <c r="AI387" s="230"/>
    </row>
    <row r="388">
      <c r="O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  <c r="AI388" s="230"/>
    </row>
    <row r="389">
      <c r="O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  <c r="AI389" s="230"/>
    </row>
    <row r="390">
      <c r="O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  <c r="AI390" s="230"/>
    </row>
    <row r="391">
      <c r="O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  <c r="AI391" s="230"/>
    </row>
    <row r="392">
      <c r="O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  <c r="AI392" s="230"/>
    </row>
    <row r="393">
      <c r="O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  <c r="AI393" s="230"/>
    </row>
    <row r="394">
      <c r="O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  <c r="AI394" s="230"/>
    </row>
    <row r="395">
      <c r="O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  <c r="AI395" s="230"/>
    </row>
    <row r="396">
      <c r="O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  <c r="AI396" s="230"/>
    </row>
    <row r="397">
      <c r="O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</row>
    <row r="398">
      <c r="O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  <c r="AI398" s="230"/>
    </row>
    <row r="399">
      <c r="O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  <c r="AI399" s="230"/>
    </row>
    <row r="400">
      <c r="O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  <c r="AI400" s="230"/>
    </row>
    <row r="401">
      <c r="O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  <c r="AI401" s="230"/>
    </row>
    <row r="402">
      <c r="O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  <c r="AI402" s="230"/>
    </row>
    <row r="403">
      <c r="O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  <c r="AI403" s="230"/>
    </row>
    <row r="404">
      <c r="O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  <c r="AI404" s="230"/>
    </row>
    <row r="405">
      <c r="O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  <c r="AI405" s="230"/>
    </row>
    <row r="406">
      <c r="O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  <c r="AI406" s="230"/>
    </row>
    <row r="407">
      <c r="O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  <c r="AI407" s="230"/>
    </row>
    <row r="408">
      <c r="O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  <c r="AI408" s="230"/>
    </row>
    <row r="409">
      <c r="O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  <c r="AI409" s="230"/>
    </row>
    <row r="410">
      <c r="O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  <c r="AI410" s="230"/>
    </row>
    <row r="411">
      <c r="O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  <c r="AI411" s="230"/>
    </row>
    <row r="412">
      <c r="O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  <c r="AI412" s="230"/>
    </row>
    <row r="413">
      <c r="O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  <c r="AI413" s="230"/>
    </row>
    <row r="414">
      <c r="O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  <c r="AI414" s="230"/>
    </row>
    <row r="415">
      <c r="O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  <c r="AI415" s="230"/>
    </row>
    <row r="416">
      <c r="O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  <c r="AI416" s="230"/>
    </row>
    <row r="417">
      <c r="O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  <c r="AI417" s="230"/>
    </row>
    <row r="418">
      <c r="O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  <c r="AI418" s="230"/>
    </row>
    <row r="419">
      <c r="O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</row>
    <row r="420">
      <c r="O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  <c r="AI420" s="230"/>
    </row>
    <row r="421">
      <c r="O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  <c r="AI421" s="230"/>
    </row>
    <row r="422">
      <c r="O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</row>
    <row r="423">
      <c r="O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  <c r="AI423" s="230"/>
    </row>
    <row r="424">
      <c r="O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  <c r="AI424" s="230"/>
    </row>
    <row r="425">
      <c r="O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  <c r="AI425" s="230"/>
    </row>
    <row r="426">
      <c r="O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  <c r="AI426" s="230"/>
    </row>
    <row r="427">
      <c r="O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</row>
    <row r="428">
      <c r="O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</row>
    <row r="429">
      <c r="O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  <c r="AI429" s="230"/>
    </row>
    <row r="430">
      <c r="O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  <c r="AI430" s="230"/>
    </row>
    <row r="431">
      <c r="O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  <c r="AI431" s="230"/>
    </row>
    <row r="432">
      <c r="O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  <c r="AI432" s="230"/>
    </row>
    <row r="433">
      <c r="O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</row>
    <row r="434">
      <c r="O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</row>
    <row r="435">
      <c r="O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  <c r="AI435" s="230"/>
    </row>
    <row r="436">
      <c r="O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  <c r="AI436" s="230"/>
    </row>
    <row r="437">
      <c r="O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</row>
    <row r="438">
      <c r="O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  <c r="AI438" s="230"/>
    </row>
    <row r="439">
      <c r="O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  <c r="AI439" s="230"/>
    </row>
    <row r="440">
      <c r="O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  <c r="AI440" s="230"/>
    </row>
    <row r="441">
      <c r="O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</row>
    <row r="442">
      <c r="O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  <c r="AI442" s="230"/>
    </row>
    <row r="443">
      <c r="O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  <c r="AI443" s="230"/>
    </row>
    <row r="444">
      <c r="O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  <c r="AI444" s="230"/>
    </row>
    <row r="445">
      <c r="O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  <c r="AI445" s="230"/>
    </row>
    <row r="446">
      <c r="O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  <c r="AI446" s="230"/>
    </row>
    <row r="447">
      <c r="O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  <c r="AI447" s="230"/>
    </row>
    <row r="448">
      <c r="O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  <c r="AI448" s="230"/>
    </row>
    <row r="449">
      <c r="O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  <c r="AI449" s="230"/>
    </row>
    <row r="450">
      <c r="O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  <c r="AI450" s="230"/>
    </row>
    <row r="451">
      <c r="O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  <c r="AI451" s="230"/>
    </row>
    <row r="452">
      <c r="O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  <c r="AI452" s="230"/>
    </row>
    <row r="453">
      <c r="O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  <c r="AI453" s="230"/>
    </row>
    <row r="454">
      <c r="O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  <c r="AI454" s="230"/>
    </row>
    <row r="455">
      <c r="O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  <c r="AI455" s="230"/>
    </row>
    <row r="456">
      <c r="O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  <c r="AI456" s="230"/>
    </row>
    <row r="457">
      <c r="O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  <c r="AI457" s="230"/>
    </row>
    <row r="458">
      <c r="O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  <c r="AI458" s="230"/>
    </row>
    <row r="459">
      <c r="O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  <c r="AI459" s="230"/>
    </row>
    <row r="460">
      <c r="O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  <c r="AI460" s="230"/>
    </row>
    <row r="461">
      <c r="O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  <c r="AI461" s="230"/>
    </row>
    <row r="462">
      <c r="O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  <c r="AI462" s="230"/>
    </row>
    <row r="463">
      <c r="O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</row>
    <row r="464">
      <c r="O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  <c r="AI464" s="230"/>
    </row>
    <row r="465">
      <c r="O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  <c r="AI465" s="230"/>
    </row>
    <row r="466">
      <c r="O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  <c r="AI466" s="230"/>
    </row>
    <row r="467">
      <c r="O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  <c r="AI467" s="230"/>
    </row>
    <row r="468">
      <c r="O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  <c r="AI468" s="230"/>
    </row>
    <row r="469">
      <c r="O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  <c r="AI469" s="230"/>
    </row>
    <row r="470">
      <c r="O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  <c r="AI470" s="230"/>
    </row>
    <row r="471">
      <c r="O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  <c r="AI471" s="230"/>
    </row>
    <row r="472">
      <c r="O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  <c r="AI472" s="230"/>
    </row>
    <row r="473">
      <c r="O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  <c r="AI473" s="230"/>
    </row>
    <row r="474">
      <c r="O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  <c r="AI474" s="230"/>
    </row>
    <row r="475">
      <c r="O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  <c r="AI475" s="230"/>
    </row>
    <row r="476">
      <c r="O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  <c r="AI476" s="230"/>
    </row>
    <row r="477">
      <c r="O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  <c r="AI477" s="230"/>
    </row>
    <row r="478">
      <c r="O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  <c r="AI478" s="230"/>
    </row>
    <row r="479">
      <c r="O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  <c r="AI479" s="230"/>
    </row>
    <row r="480">
      <c r="O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  <c r="AI480" s="230"/>
    </row>
    <row r="481">
      <c r="O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  <c r="AI481" s="230"/>
    </row>
    <row r="482">
      <c r="O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  <c r="AI482" s="230"/>
    </row>
    <row r="483">
      <c r="O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  <c r="AI483" s="230"/>
    </row>
    <row r="484">
      <c r="O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  <c r="AI484" s="230"/>
    </row>
    <row r="485">
      <c r="O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</row>
    <row r="486">
      <c r="O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  <c r="AI486" s="230"/>
    </row>
    <row r="487">
      <c r="O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  <c r="AI487" s="230"/>
    </row>
    <row r="488">
      <c r="O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  <c r="AI488" s="230"/>
    </row>
    <row r="489">
      <c r="O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</row>
    <row r="490">
      <c r="O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  <c r="AI490" s="230"/>
    </row>
    <row r="491">
      <c r="O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</row>
    <row r="492">
      <c r="O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</row>
    <row r="493">
      <c r="O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  <c r="AI493" s="230"/>
    </row>
    <row r="494">
      <c r="O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  <c r="AI494" s="230"/>
    </row>
    <row r="495">
      <c r="O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  <c r="AI495" s="230"/>
    </row>
    <row r="496">
      <c r="O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  <c r="AI496" s="230"/>
    </row>
    <row r="497">
      <c r="O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  <c r="AI497" s="230"/>
    </row>
    <row r="498">
      <c r="O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  <c r="AI498" s="230"/>
    </row>
    <row r="499">
      <c r="O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  <c r="AI499" s="230"/>
    </row>
    <row r="500">
      <c r="O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  <c r="AI500" s="230"/>
    </row>
    <row r="501">
      <c r="O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  <c r="AI501" s="230"/>
    </row>
    <row r="502">
      <c r="O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  <c r="AI502" s="230"/>
    </row>
    <row r="503">
      <c r="O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  <c r="AI503" s="230"/>
    </row>
    <row r="504">
      <c r="O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  <c r="AI504" s="230"/>
    </row>
    <row r="505">
      <c r="O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  <c r="AI505" s="230"/>
    </row>
    <row r="506">
      <c r="O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  <c r="AI506" s="230"/>
    </row>
    <row r="507">
      <c r="O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</row>
    <row r="508">
      <c r="O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  <c r="AI508" s="230"/>
    </row>
    <row r="509">
      <c r="O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  <c r="AI509" s="230"/>
    </row>
    <row r="510">
      <c r="O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  <c r="AI510" s="230"/>
    </row>
    <row r="511">
      <c r="O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  <c r="AI511" s="230"/>
    </row>
    <row r="512">
      <c r="O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  <c r="AI512" s="230"/>
    </row>
    <row r="513">
      <c r="O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  <c r="AI513" s="230"/>
    </row>
    <row r="514">
      <c r="O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  <c r="AI514" s="230"/>
    </row>
    <row r="515">
      <c r="O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  <c r="AI515" s="230"/>
    </row>
    <row r="516">
      <c r="O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  <c r="AI516" s="230"/>
    </row>
    <row r="517">
      <c r="O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  <c r="AI517" s="230"/>
    </row>
    <row r="518">
      <c r="O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  <c r="AI518" s="230"/>
    </row>
    <row r="519">
      <c r="O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  <c r="AI519" s="230"/>
    </row>
    <row r="520">
      <c r="O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</row>
    <row r="521">
      <c r="O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</row>
    <row r="522">
      <c r="O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</row>
    <row r="523">
      <c r="O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</row>
    <row r="524">
      <c r="O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</row>
    <row r="525">
      <c r="O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</row>
    <row r="526">
      <c r="O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</row>
    <row r="527">
      <c r="O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</row>
    <row r="528">
      <c r="O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  <c r="AI528" s="230"/>
    </row>
    <row r="529">
      <c r="O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</row>
    <row r="530">
      <c r="O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  <c r="AI530" s="230"/>
    </row>
    <row r="531">
      <c r="O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  <c r="AI531" s="230"/>
    </row>
    <row r="532">
      <c r="O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  <c r="AI532" s="230"/>
    </row>
    <row r="533">
      <c r="O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  <c r="AI533" s="230"/>
    </row>
    <row r="534">
      <c r="O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  <c r="AI534" s="230"/>
    </row>
    <row r="535">
      <c r="O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  <c r="AI535" s="230"/>
    </row>
    <row r="536">
      <c r="O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  <c r="AI536" s="230"/>
    </row>
    <row r="537">
      <c r="O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  <c r="AI537" s="230"/>
    </row>
    <row r="538">
      <c r="O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  <c r="AI538" s="230"/>
    </row>
    <row r="539">
      <c r="O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  <c r="AI539" s="230"/>
    </row>
    <row r="540">
      <c r="O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  <c r="AI540" s="230"/>
    </row>
    <row r="541">
      <c r="O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  <c r="AI541" s="230"/>
    </row>
    <row r="542">
      <c r="O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  <c r="AI542" s="230"/>
    </row>
    <row r="543">
      <c r="O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  <c r="AI543" s="230"/>
    </row>
    <row r="544">
      <c r="O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</row>
    <row r="545">
      <c r="O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  <c r="AI545" s="230"/>
    </row>
    <row r="546">
      <c r="O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  <c r="AI546" s="230"/>
    </row>
    <row r="547">
      <c r="O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</row>
    <row r="548">
      <c r="O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  <c r="AI548" s="230"/>
    </row>
    <row r="549">
      <c r="O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  <c r="AI549" s="230"/>
    </row>
    <row r="550">
      <c r="O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  <c r="AI550" s="230"/>
    </row>
    <row r="551">
      <c r="O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</row>
    <row r="552">
      <c r="O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  <c r="AI552" s="230"/>
    </row>
    <row r="553">
      <c r="O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  <c r="AI553" s="230"/>
    </row>
    <row r="554">
      <c r="O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  <c r="AI554" s="230"/>
    </row>
    <row r="555">
      <c r="O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  <c r="AI555" s="230"/>
    </row>
    <row r="556">
      <c r="O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  <c r="AI556" s="230"/>
    </row>
    <row r="557">
      <c r="O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  <c r="AI557" s="230"/>
    </row>
    <row r="558">
      <c r="O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  <c r="AI558" s="230"/>
    </row>
    <row r="559">
      <c r="O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  <c r="AI559" s="230"/>
    </row>
    <row r="560">
      <c r="O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  <c r="AI560" s="230"/>
    </row>
    <row r="561">
      <c r="O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  <c r="AI561" s="230"/>
    </row>
    <row r="562">
      <c r="O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  <c r="AI562" s="230"/>
    </row>
    <row r="563">
      <c r="O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  <c r="AI563" s="230"/>
    </row>
    <row r="564">
      <c r="O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  <c r="AI564" s="230"/>
    </row>
    <row r="565">
      <c r="O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  <c r="AI565" s="230"/>
    </row>
    <row r="566">
      <c r="O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  <c r="AI566" s="230"/>
    </row>
    <row r="567">
      <c r="O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  <c r="AI567" s="230"/>
    </row>
    <row r="568">
      <c r="O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  <c r="AI568" s="230"/>
    </row>
    <row r="569">
      <c r="O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  <c r="AI569" s="230"/>
    </row>
    <row r="570">
      <c r="O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</row>
    <row r="571">
      <c r="O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</row>
    <row r="572">
      <c r="O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</row>
    <row r="573">
      <c r="O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</row>
    <row r="574">
      <c r="O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  <c r="AI574" s="230"/>
    </row>
    <row r="575">
      <c r="O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  <c r="AI575" s="230"/>
    </row>
    <row r="576">
      <c r="O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  <c r="AI576" s="230"/>
    </row>
    <row r="577">
      <c r="O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  <c r="AI577" s="230"/>
    </row>
    <row r="578">
      <c r="O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  <c r="AI578" s="230"/>
    </row>
    <row r="579">
      <c r="O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  <c r="AI579" s="230"/>
    </row>
    <row r="580">
      <c r="O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  <c r="AI580" s="230"/>
    </row>
    <row r="581">
      <c r="O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  <c r="AI581" s="230"/>
    </row>
    <row r="582">
      <c r="O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  <c r="AI582" s="230"/>
    </row>
    <row r="583">
      <c r="O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  <c r="AI583" s="230"/>
    </row>
    <row r="584">
      <c r="O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  <c r="AI584" s="230"/>
    </row>
    <row r="585">
      <c r="O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  <c r="AI585" s="230"/>
    </row>
    <row r="586">
      <c r="O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  <c r="AI586" s="230"/>
    </row>
    <row r="587">
      <c r="O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  <c r="AI587" s="230"/>
    </row>
    <row r="588">
      <c r="O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  <c r="AI588" s="230"/>
    </row>
    <row r="589">
      <c r="O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  <c r="AI589" s="230"/>
    </row>
    <row r="590">
      <c r="O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  <c r="AI590" s="230"/>
    </row>
    <row r="591">
      <c r="O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  <c r="AI591" s="230"/>
    </row>
    <row r="592">
      <c r="O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  <c r="AI592" s="230"/>
    </row>
    <row r="593">
      <c r="O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  <c r="AI593" s="230"/>
    </row>
    <row r="594">
      <c r="O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  <c r="AI594" s="230"/>
    </row>
    <row r="595">
      <c r="O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</row>
    <row r="596">
      <c r="O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  <c r="AI596" s="230"/>
    </row>
    <row r="597">
      <c r="O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  <c r="AI597" s="230"/>
    </row>
    <row r="598">
      <c r="O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  <c r="AI598" s="230"/>
    </row>
    <row r="599">
      <c r="O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  <c r="AI599" s="230"/>
    </row>
    <row r="600">
      <c r="O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  <c r="AI600" s="230"/>
    </row>
    <row r="601">
      <c r="O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  <c r="AI601" s="230"/>
    </row>
    <row r="602">
      <c r="O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  <c r="AI602" s="230"/>
    </row>
    <row r="603">
      <c r="O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  <c r="AI603" s="230"/>
    </row>
    <row r="604">
      <c r="O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  <c r="AI604" s="230"/>
    </row>
    <row r="605">
      <c r="O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  <c r="AI605" s="230"/>
    </row>
    <row r="606">
      <c r="O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  <c r="AI606" s="230"/>
    </row>
    <row r="607">
      <c r="O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  <c r="AI607" s="230"/>
    </row>
    <row r="608">
      <c r="O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  <c r="AI608" s="230"/>
    </row>
    <row r="609">
      <c r="O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  <c r="AI609" s="230"/>
    </row>
    <row r="610">
      <c r="O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  <c r="AI610" s="230"/>
    </row>
    <row r="611">
      <c r="O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  <c r="AI611" s="230"/>
    </row>
    <row r="612">
      <c r="O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  <c r="AI612" s="230"/>
    </row>
    <row r="613">
      <c r="O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  <c r="AI613" s="230"/>
    </row>
    <row r="614">
      <c r="O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  <c r="AI614" s="230"/>
    </row>
    <row r="615">
      <c r="O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  <c r="AI615" s="230"/>
    </row>
    <row r="616">
      <c r="O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  <c r="AI616" s="230"/>
    </row>
    <row r="617">
      <c r="O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</row>
    <row r="618">
      <c r="O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</row>
    <row r="619">
      <c r="O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  <c r="AI619" s="230"/>
    </row>
    <row r="620">
      <c r="O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</row>
    <row r="621">
      <c r="O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  <c r="AI621" s="230"/>
    </row>
    <row r="622">
      <c r="O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  <c r="AI622" s="230"/>
    </row>
    <row r="623">
      <c r="O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  <c r="AI623" s="230"/>
    </row>
    <row r="624">
      <c r="O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</row>
    <row r="625">
      <c r="O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  <c r="AI625" s="230"/>
    </row>
    <row r="626">
      <c r="O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  <c r="AI626" s="230"/>
    </row>
    <row r="627">
      <c r="O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  <c r="AI627" s="230"/>
    </row>
    <row r="628">
      <c r="O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  <c r="AI628" s="230"/>
    </row>
    <row r="629">
      <c r="O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  <c r="AI629" s="230"/>
    </row>
    <row r="630">
      <c r="O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  <c r="AI630" s="230"/>
    </row>
    <row r="631">
      <c r="O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  <c r="AI631" s="230"/>
    </row>
    <row r="632">
      <c r="O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  <c r="AI632" s="230"/>
    </row>
    <row r="633">
      <c r="O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  <c r="AI633" s="230"/>
    </row>
    <row r="634">
      <c r="O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  <c r="AI634" s="230"/>
    </row>
    <row r="635">
      <c r="O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  <c r="AI635" s="230"/>
    </row>
    <row r="636">
      <c r="O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  <c r="AI636" s="230"/>
    </row>
    <row r="637">
      <c r="O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  <c r="AI637" s="230"/>
    </row>
    <row r="638">
      <c r="O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  <c r="AI638" s="230"/>
    </row>
    <row r="639">
      <c r="O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</row>
    <row r="640">
      <c r="O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  <c r="AI640" s="230"/>
    </row>
    <row r="641">
      <c r="O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  <c r="AI641" s="230"/>
    </row>
    <row r="642">
      <c r="O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  <c r="AI642" s="230"/>
    </row>
    <row r="643">
      <c r="O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  <c r="AI643" s="230"/>
    </row>
    <row r="644">
      <c r="O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  <c r="AI644" s="230"/>
    </row>
    <row r="645">
      <c r="O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  <c r="AI645" s="230"/>
    </row>
    <row r="646">
      <c r="O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  <c r="AI646" s="230"/>
    </row>
    <row r="647">
      <c r="O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  <c r="AI647" s="230"/>
    </row>
    <row r="648">
      <c r="O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  <c r="AI648" s="230"/>
    </row>
    <row r="649">
      <c r="O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  <c r="AI649" s="230"/>
    </row>
    <row r="650">
      <c r="O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  <c r="AI650" s="230"/>
    </row>
    <row r="651">
      <c r="O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  <c r="AI651" s="230"/>
    </row>
    <row r="652">
      <c r="O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  <c r="AI652" s="230"/>
    </row>
    <row r="653">
      <c r="O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  <c r="AI653" s="230"/>
    </row>
    <row r="654">
      <c r="O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  <c r="AI654" s="230"/>
    </row>
    <row r="655">
      <c r="O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  <c r="AI655" s="230"/>
    </row>
    <row r="656">
      <c r="O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  <c r="AI656" s="230"/>
    </row>
    <row r="657">
      <c r="O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  <c r="AI657" s="230"/>
    </row>
    <row r="658">
      <c r="O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  <c r="AI658" s="230"/>
    </row>
    <row r="659">
      <c r="O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  <c r="AI659" s="230"/>
    </row>
    <row r="660">
      <c r="O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  <c r="AI660" s="230"/>
    </row>
    <row r="661">
      <c r="O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</row>
    <row r="662">
      <c r="O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  <c r="AI662" s="230"/>
    </row>
    <row r="663">
      <c r="O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  <c r="AI663" s="230"/>
    </row>
    <row r="664">
      <c r="O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  <c r="AI664" s="230"/>
    </row>
    <row r="665">
      <c r="O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  <c r="AI665" s="230"/>
    </row>
    <row r="666">
      <c r="O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  <c r="AI666" s="230"/>
    </row>
    <row r="667">
      <c r="O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  <c r="AI667" s="230"/>
    </row>
    <row r="668">
      <c r="O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  <c r="AI668" s="230"/>
    </row>
    <row r="669">
      <c r="O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  <c r="AI669" s="230"/>
    </row>
    <row r="670">
      <c r="O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  <c r="AI670" s="230"/>
    </row>
    <row r="671">
      <c r="O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  <c r="AI671" s="230"/>
    </row>
    <row r="672">
      <c r="O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  <c r="AI672" s="230"/>
    </row>
    <row r="673">
      <c r="O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  <c r="AI673" s="230"/>
    </row>
    <row r="674">
      <c r="O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  <c r="AI674" s="230"/>
    </row>
    <row r="675">
      <c r="O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  <c r="AI675" s="230"/>
    </row>
    <row r="676">
      <c r="O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  <c r="AI676" s="230"/>
    </row>
    <row r="677">
      <c r="O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  <c r="AI677" s="230"/>
    </row>
    <row r="678">
      <c r="O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  <c r="AI678" s="230"/>
    </row>
    <row r="679">
      <c r="O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  <c r="AI679" s="230"/>
    </row>
    <row r="680">
      <c r="O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  <c r="AI680" s="230"/>
    </row>
    <row r="681">
      <c r="O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  <c r="AI681" s="230"/>
    </row>
    <row r="682">
      <c r="O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  <c r="AI682" s="230"/>
    </row>
    <row r="683">
      <c r="O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</row>
    <row r="684">
      <c r="O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  <c r="AI684" s="230"/>
    </row>
    <row r="685">
      <c r="O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  <c r="AI685" s="230"/>
    </row>
    <row r="686">
      <c r="O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  <c r="AI686" s="230"/>
    </row>
    <row r="687">
      <c r="O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  <c r="AI687" s="230"/>
    </row>
    <row r="688">
      <c r="O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  <c r="AI688" s="230"/>
    </row>
    <row r="689">
      <c r="O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  <c r="AI689" s="230"/>
    </row>
    <row r="690">
      <c r="O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  <c r="AI690" s="230"/>
    </row>
    <row r="691">
      <c r="O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  <c r="AI691" s="230"/>
    </row>
    <row r="692">
      <c r="O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  <c r="AI692" s="230"/>
    </row>
    <row r="693">
      <c r="O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  <c r="AI693" s="230"/>
    </row>
    <row r="694">
      <c r="O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  <c r="AI694" s="230"/>
    </row>
    <row r="695">
      <c r="O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  <c r="AI695" s="230"/>
    </row>
    <row r="696">
      <c r="O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  <c r="AI696" s="230"/>
    </row>
    <row r="697">
      <c r="O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  <c r="AI697" s="230"/>
    </row>
    <row r="698">
      <c r="O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  <c r="AI698" s="230"/>
    </row>
    <row r="699">
      <c r="O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  <c r="AI699" s="230"/>
    </row>
    <row r="700">
      <c r="O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  <c r="AI700" s="230"/>
    </row>
    <row r="701">
      <c r="O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  <c r="AI701" s="230"/>
    </row>
    <row r="702">
      <c r="O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  <c r="AI702" s="230"/>
    </row>
    <row r="703">
      <c r="O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  <c r="AI703" s="230"/>
    </row>
    <row r="704">
      <c r="O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  <c r="AI704" s="230"/>
    </row>
    <row r="705">
      <c r="O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  <c r="AI705" s="230"/>
    </row>
    <row r="706">
      <c r="O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  <c r="AI706" s="230"/>
    </row>
    <row r="707">
      <c r="O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  <c r="AI707" s="230"/>
    </row>
    <row r="708">
      <c r="O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  <c r="AI708" s="230"/>
    </row>
    <row r="709">
      <c r="O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  <c r="AI709" s="230"/>
    </row>
    <row r="710">
      <c r="O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  <c r="AI710" s="230"/>
    </row>
    <row r="711">
      <c r="O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  <c r="AI711" s="230"/>
    </row>
    <row r="712">
      <c r="O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  <c r="AI712" s="230"/>
    </row>
    <row r="713">
      <c r="O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  <c r="AI713" s="230"/>
    </row>
    <row r="714">
      <c r="O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  <c r="AI714" s="230"/>
    </row>
    <row r="715">
      <c r="O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  <c r="AI715" s="230"/>
    </row>
    <row r="716">
      <c r="O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  <c r="AI716" s="230"/>
    </row>
    <row r="717">
      <c r="O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  <c r="AI717" s="230"/>
    </row>
    <row r="718">
      <c r="O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  <c r="AI718" s="230"/>
    </row>
    <row r="719">
      <c r="O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  <c r="AI719" s="230"/>
    </row>
    <row r="720">
      <c r="O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  <c r="AI720" s="230"/>
    </row>
    <row r="721">
      <c r="O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  <c r="AI721" s="230"/>
    </row>
    <row r="722">
      <c r="O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  <c r="AI722" s="230"/>
    </row>
    <row r="723">
      <c r="O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  <c r="AI723" s="230"/>
    </row>
    <row r="724">
      <c r="O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  <c r="AI724" s="230"/>
    </row>
    <row r="725">
      <c r="O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  <c r="AI725" s="230"/>
    </row>
    <row r="726">
      <c r="O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  <c r="AI726" s="230"/>
    </row>
    <row r="727">
      <c r="O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  <c r="AI727" s="230"/>
    </row>
    <row r="728">
      <c r="O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  <c r="AI728" s="230"/>
    </row>
    <row r="729">
      <c r="O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  <c r="AI729" s="230"/>
    </row>
    <row r="730">
      <c r="O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  <c r="AI730" s="230"/>
    </row>
    <row r="731">
      <c r="O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  <c r="AI731" s="230"/>
    </row>
    <row r="732">
      <c r="O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  <c r="AI732" s="230"/>
    </row>
    <row r="733">
      <c r="O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</row>
    <row r="734">
      <c r="O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</row>
    <row r="735">
      <c r="O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</row>
    <row r="736">
      <c r="O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</row>
    <row r="737">
      <c r="O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</row>
    <row r="738">
      <c r="O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</row>
    <row r="739">
      <c r="O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</row>
    <row r="740">
      <c r="O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</row>
    <row r="741">
      <c r="O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</row>
    <row r="742">
      <c r="O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</row>
    <row r="743">
      <c r="O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</row>
    <row r="744">
      <c r="O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</row>
    <row r="745">
      <c r="O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</row>
    <row r="746">
      <c r="O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</row>
    <row r="747">
      <c r="O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</row>
    <row r="748">
      <c r="O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</row>
    <row r="749">
      <c r="O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  <c r="AI749" s="230"/>
    </row>
    <row r="750">
      <c r="O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  <c r="AI750" s="230"/>
    </row>
    <row r="751">
      <c r="O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  <c r="AI751" s="230"/>
    </row>
    <row r="752">
      <c r="O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  <c r="AI752" s="230"/>
    </row>
    <row r="753">
      <c r="O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  <c r="AI753" s="230"/>
    </row>
    <row r="754">
      <c r="O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  <c r="AI754" s="230"/>
    </row>
    <row r="755">
      <c r="O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  <c r="AI755" s="230"/>
    </row>
    <row r="756">
      <c r="O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  <c r="AI756" s="230"/>
    </row>
    <row r="757">
      <c r="O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  <c r="AI757" s="230"/>
    </row>
    <row r="758">
      <c r="O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  <c r="AI758" s="230"/>
    </row>
    <row r="759">
      <c r="O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  <c r="AI759" s="230"/>
    </row>
    <row r="760">
      <c r="O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  <c r="AI760" s="230"/>
    </row>
    <row r="761">
      <c r="O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  <c r="AI761" s="230"/>
    </row>
    <row r="762">
      <c r="O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  <c r="AI762" s="230"/>
    </row>
    <row r="763">
      <c r="O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  <c r="AI763" s="230"/>
    </row>
    <row r="764">
      <c r="O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  <c r="AI764" s="230"/>
    </row>
    <row r="765">
      <c r="O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  <c r="AI765" s="230"/>
    </row>
    <row r="766">
      <c r="O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  <c r="AI766" s="230"/>
    </row>
    <row r="767">
      <c r="O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  <c r="AI767" s="230"/>
    </row>
    <row r="768">
      <c r="O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  <c r="AI768" s="230"/>
    </row>
    <row r="769">
      <c r="O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  <c r="AI769" s="230"/>
    </row>
    <row r="770">
      <c r="O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  <c r="AI770" s="230"/>
    </row>
    <row r="771">
      <c r="O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  <c r="AI771" s="230"/>
    </row>
    <row r="772">
      <c r="O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  <c r="AI772" s="230"/>
    </row>
    <row r="773">
      <c r="O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  <c r="AI773" s="230"/>
    </row>
    <row r="774">
      <c r="O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  <c r="AI774" s="230"/>
    </row>
    <row r="775">
      <c r="O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  <c r="AI775" s="230"/>
    </row>
    <row r="776">
      <c r="O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  <c r="AI776" s="230"/>
    </row>
    <row r="777">
      <c r="O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  <c r="AI777" s="230"/>
    </row>
    <row r="778">
      <c r="O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  <c r="AI778" s="230"/>
    </row>
    <row r="779">
      <c r="O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  <c r="AI779" s="230"/>
    </row>
    <row r="780">
      <c r="O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  <c r="AI780" s="230"/>
    </row>
    <row r="781">
      <c r="O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  <c r="AI781" s="230"/>
    </row>
    <row r="782">
      <c r="O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  <c r="AI782" s="230"/>
    </row>
    <row r="783">
      <c r="O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</row>
    <row r="784">
      <c r="O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  <c r="AI784" s="230"/>
    </row>
    <row r="785">
      <c r="O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  <c r="AI785" s="230"/>
    </row>
    <row r="786">
      <c r="O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  <c r="AI786" s="230"/>
    </row>
    <row r="787">
      <c r="O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  <c r="AI787" s="230"/>
    </row>
    <row r="788">
      <c r="O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  <c r="AI788" s="230"/>
    </row>
    <row r="789">
      <c r="O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  <c r="AI789" s="230"/>
    </row>
    <row r="790">
      <c r="O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  <c r="AI790" s="230"/>
    </row>
    <row r="791">
      <c r="O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</row>
    <row r="792">
      <c r="O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  <c r="AI792" s="230"/>
    </row>
    <row r="793">
      <c r="O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  <c r="AI793" s="230"/>
    </row>
    <row r="794">
      <c r="O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  <c r="AI794" s="230"/>
    </row>
    <row r="795">
      <c r="O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  <c r="AI795" s="230"/>
    </row>
    <row r="796">
      <c r="O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  <c r="AI796" s="230"/>
    </row>
    <row r="797">
      <c r="O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  <c r="AI797" s="230"/>
    </row>
    <row r="798">
      <c r="O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  <c r="AI798" s="230"/>
    </row>
    <row r="799">
      <c r="O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  <c r="AI799" s="230"/>
    </row>
    <row r="800">
      <c r="O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  <c r="AI800" s="230"/>
    </row>
    <row r="801">
      <c r="O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  <c r="AI801" s="230"/>
    </row>
    <row r="802">
      <c r="O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  <c r="AI802" s="230"/>
    </row>
    <row r="803">
      <c r="O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  <c r="AI803" s="230"/>
    </row>
    <row r="804">
      <c r="O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  <c r="AI804" s="230"/>
    </row>
    <row r="805">
      <c r="O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  <c r="AI805" s="230"/>
    </row>
    <row r="806">
      <c r="O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  <c r="AI806" s="230"/>
    </row>
    <row r="807">
      <c r="O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  <c r="AI807" s="230"/>
    </row>
    <row r="808">
      <c r="O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  <c r="AI808" s="230"/>
    </row>
    <row r="809">
      <c r="O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  <c r="AI809" s="230"/>
    </row>
    <row r="810">
      <c r="O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  <c r="AI810" s="230"/>
    </row>
    <row r="811">
      <c r="O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  <c r="AI811" s="230"/>
    </row>
    <row r="812">
      <c r="O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  <c r="AI812" s="230"/>
    </row>
    <row r="813">
      <c r="O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  <c r="AI813" s="230"/>
    </row>
    <row r="814">
      <c r="O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  <c r="AI814" s="230"/>
    </row>
    <row r="815">
      <c r="O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  <c r="AI815" s="230"/>
    </row>
    <row r="816">
      <c r="O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  <c r="AI816" s="230"/>
    </row>
    <row r="817">
      <c r="O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  <c r="AI817" s="230"/>
    </row>
    <row r="818">
      <c r="O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  <c r="AI818" s="230"/>
    </row>
    <row r="819">
      <c r="O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  <c r="AI819" s="230"/>
    </row>
    <row r="820">
      <c r="O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  <c r="AI820" s="230"/>
    </row>
    <row r="821">
      <c r="O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  <c r="AI821" s="230"/>
    </row>
    <row r="822">
      <c r="O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  <c r="AI822" s="230"/>
    </row>
    <row r="823">
      <c r="O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  <c r="AI823" s="230"/>
    </row>
    <row r="824">
      <c r="O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  <c r="AI824" s="230"/>
    </row>
    <row r="825">
      <c r="O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  <c r="AI825" s="230"/>
    </row>
    <row r="826">
      <c r="O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  <c r="AI826" s="230"/>
    </row>
    <row r="827">
      <c r="O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  <c r="AI827" s="230"/>
    </row>
    <row r="828">
      <c r="O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  <c r="AI828" s="230"/>
    </row>
    <row r="829">
      <c r="O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  <c r="AI829" s="230"/>
    </row>
    <row r="830">
      <c r="O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  <c r="AI830" s="230"/>
    </row>
    <row r="831">
      <c r="O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</row>
    <row r="832">
      <c r="O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  <c r="AI832" s="230"/>
    </row>
    <row r="833">
      <c r="O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  <c r="AI833" s="230"/>
    </row>
    <row r="834">
      <c r="O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  <c r="AI834" s="230"/>
    </row>
    <row r="835">
      <c r="O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  <c r="AI835" s="230"/>
    </row>
    <row r="836">
      <c r="O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  <c r="AI836" s="230"/>
    </row>
    <row r="837">
      <c r="O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  <c r="AI837" s="230"/>
    </row>
    <row r="838">
      <c r="O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  <c r="AI838" s="230"/>
    </row>
    <row r="839">
      <c r="O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  <c r="AI839" s="230"/>
    </row>
    <row r="840">
      <c r="O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  <c r="AI840" s="230"/>
    </row>
    <row r="841">
      <c r="O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  <c r="AI841" s="230"/>
    </row>
    <row r="842">
      <c r="O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  <c r="AI842" s="230"/>
    </row>
    <row r="843">
      <c r="O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  <c r="AI843" s="230"/>
    </row>
    <row r="844">
      <c r="O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  <c r="AI844" s="230"/>
    </row>
    <row r="845">
      <c r="O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  <c r="AI845" s="230"/>
    </row>
    <row r="846">
      <c r="O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  <c r="AI846" s="230"/>
    </row>
    <row r="847">
      <c r="O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  <c r="AI847" s="230"/>
    </row>
    <row r="848">
      <c r="O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  <c r="AI848" s="230"/>
    </row>
    <row r="849">
      <c r="O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  <c r="AI849" s="230"/>
    </row>
    <row r="850">
      <c r="O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  <c r="AI850" s="230"/>
    </row>
    <row r="851">
      <c r="O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  <c r="AI851" s="230"/>
    </row>
    <row r="852">
      <c r="O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  <c r="AI852" s="230"/>
    </row>
    <row r="853">
      <c r="O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  <c r="AI853" s="230"/>
    </row>
    <row r="854">
      <c r="O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  <c r="AI854" s="230"/>
    </row>
    <row r="855">
      <c r="O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  <c r="AI855" s="230"/>
    </row>
    <row r="856">
      <c r="O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  <c r="AI856" s="230"/>
    </row>
    <row r="857">
      <c r="O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  <c r="AI857" s="230"/>
    </row>
    <row r="858">
      <c r="O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  <c r="AI858" s="230"/>
    </row>
    <row r="859">
      <c r="O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  <c r="AI859" s="230"/>
    </row>
    <row r="860">
      <c r="O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  <c r="AI860" s="230"/>
    </row>
    <row r="861">
      <c r="O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  <c r="AI861" s="230"/>
    </row>
    <row r="862">
      <c r="O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  <c r="AI862" s="230"/>
    </row>
    <row r="863">
      <c r="O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  <c r="AI863" s="230"/>
    </row>
    <row r="864">
      <c r="O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  <c r="AI864" s="230"/>
    </row>
    <row r="865">
      <c r="O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  <c r="AI865" s="230"/>
    </row>
    <row r="866">
      <c r="O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  <c r="AI866" s="230"/>
    </row>
    <row r="867">
      <c r="O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  <c r="AI867" s="230"/>
    </row>
    <row r="868">
      <c r="O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  <c r="AI868" s="230"/>
    </row>
    <row r="869">
      <c r="O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  <c r="AI869" s="230"/>
    </row>
    <row r="870">
      <c r="O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  <c r="AI870" s="230"/>
    </row>
    <row r="871">
      <c r="O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  <c r="AI871" s="230"/>
    </row>
    <row r="872">
      <c r="O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  <c r="AI872" s="230"/>
    </row>
    <row r="873">
      <c r="O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  <c r="AI873" s="230"/>
    </row>
    <row r="874">
      <c r="O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  <c r="AI874" s="230"/>
    </row>
    <row r="875">
      <c r="O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  <c r="AI875" s="230"/>
    </row>
    <row r="876">
      <c r="O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  <c r="AI876" s="230"/>
    </row>
    <row r="877">
      <c r="O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  <c r="AI877" s="230"/>
    </row>
    <row r="878">
      <c r="O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  <c r="AI878" s="230"/>
    </row>
    <row r="879">
      <c r="O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  <c r="AI879" s="230"/>
    </row>
    <row r="880">
      <c r="O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  <c r="AI880" s="230"/>
    </row>
    <row r="881">
      <c r="O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  <c r="AI881" s="230"/>
    </row>
    <row r="882">
      <c r="O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  <c r="AI882" s="230"/>
    </row>
    <row r="883">
      <c r="O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  <c r="AI883" s="230"/>
    </row>
    <row r="884">
      <c r="O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  <c r="AI884" s="230"/>
    </row>
    <row r="885">
      <c r="O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  <c r="AI885" s="230"/>
    </row>
    <row r="886">
      <c r="O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  <c r="AI886" s="230"/>
    </row>
    <row r="887">
      <c r="O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  <c r="AI887" s="230"/>
    </row>
    <row r="888">
      <c r="O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  <c r="AI888" s="230"/>
    </row>
    <row r="889">
      <c r="O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  <c r="AI889" s="230"/>
    </row>
    <row r="890">
      <c r="O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  <c r="AI890" s="230"/>
    </row>
    <row r="891">
      <c r="O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  <c r="AI891" s="230"/>
    </row>
    <row r="892">
      <c r="O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  <c r="AI892" s="230"/>
    </row>
    <row r="893">
      <c r="O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  <c r="AI893" s="230"/>
    </row>
    <row r="894">
      <c r="O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  <c r="AI894" s="230"/>
    </row>
    <row r="895">
      <c r="O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  <c r="AI895" s="230"/>
    </row>
    <row r="896">
      <c r="O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  <c r="AI896" s="230"/>
    </row>
    <row r="897">
      <c r="O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  <c r="AI897" s="230"/>
    </row>
    <row r="898">
      <c r="O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  <c r="AI898" s="230"/>
    </row>
    <row r="899">
      <c r="O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  <c r="AI899" s="230"/>
    </row>
    <row r="900">
      <c r="O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  <c r="AI900" s="230"/>
    </row>
    <row r="901">
      <c r="O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  <c r="AI901" s="230"/>
    </row>
    <row r="902">
      <c r="O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  <c r="AI902" s="230"/>
    </row>
    <row r="903">
      <c r="O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  <c r="AI903" s="230"/>
    </row>
    <row r="904">
      <c r="O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  <c r="AI904" s="230"/>
    </row>
    <row r="905">
      <c r="O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  <c r="AI905" s="230"/>
    </row>
    <row r="906">
      <c r="O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  <c r="AI906" s="230"/>
    </row>
    <row r="907">
      <c r="O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  <c r="AI907" s="230"/>
    </row>
    <row r="908">
      <c r="O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  <c r="AI908" s="230"/>
    </row>
    <row r="909">
      <c r="O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  <c r="AI909" s="230"/>
    </row>
    <row r="910">
      <c r="O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  <c r="AI910" s="230"/>
    </row>
    <row r="911">
      <c r="O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  <c r="AI911" s="230"/>
    </row>
    <row r="912">
      <c r="O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  <c r="AI912" s="230"/>
    </row>
    <row r="913">
      <c r="O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  <c r="AI913" s="230"/>
    </row>
    <row r="914">
      <c r="O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  <c r="AI914" s="230"/>
    </row>
    <row r="915">
      <c r="O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  <c r="AI915" s="230"/>
    </row>
    <row r="916">
      <c r="O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  <c r="AI916" s="230"/>
    </row>
    <row r="917">
      <c r="O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  <c r="AI917" s="230"/>
    </row>
    <row r="918">
      <c r="O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  <c r="AI918" s="230"/>
    </row>
    <row r="919">
      <c r="O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  <c r="AI919" s="230"/>
    </row>
    <row r="920">
      <c r="O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  <c r="AI920" s="230"/>
    </row>
    <row r="921">
      <c r="O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  <c r="AI921" s="230"/>
    </row>
    <row r="922">
      <c r="O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  <c r="AI922" s="230"/>
    </row>
    <row r="923">
      <c r="O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</row>
    <row r="924">
      <c r="O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  <c r="AI924" s="230"/>
    </row>
    <row r="925">
      <c r="O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  <c r="AI925" s="230"/>
    </row>
    <row r="926">
      <c r="O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  <c r="AI926" s="230"/>
    </row>
    <row r="927">
      <c r="O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  <c r="AI927" s="230"/>
    </row>
    <row r="928">
      <c r="O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  <c r="AI928" s="230"/>
    </row>
    <row r="929">
      <c r="O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  <c r="AI929" s="230"/>
    </row>
    <row r="930">
      <c r="O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  <c r="AI930" s="230"/>
    </row>
    <row r="931">
      <c r="O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  <c r="AI931" s="230"/>
    </row>
    <row r="932">
      <c r="O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  <c r="AI932" s="230"/>
    </row>
    <row r="933">
      <c r="O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</row>
    <row r="934">
      <c r="O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</row>
    <row r="935">
      <c r="O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</row>
    <row r="936">
      <c r="O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</row>
    <row r="937">
      <c r="O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</row>
    <row r="938">
      <c r="O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</row>
    <row r="939">
      <c r="O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</row>
    <row r="940">
      <c r="O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</row>
    <row r="941">
      <c r="O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</row>
    <row r="942">
      <c r="O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</row>
    <row r="943">
      <c r="O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</row>
    <row r="944">
      <c r="O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</row>
    <row r="945">
      <c r="O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</row>
    <row r="946">
      <c r="O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</row>
    <row r="947">
      <c r="O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</row>
    <row r="948">
      <c r="O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  <c r="AI948" s="230"/>
    </row>
    <row r="949">
      <c r="O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  <c r="AI949" s="230"/>
    </row>
    <row r="950">
      <c r="O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  <c r="AI950" s="230"/>
    </row>
    <row r="951">
      <c r="O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  <c r="AI951" s="230"/>
    </row>
    <row r="952">
      <c r="O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  <c r="AI952" s="230"/>
    </row>
    <row r="953">
      <c r="O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  <c r="AI953" s="230"/>
    </row>
    <row r="954">
      <c r="O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  <c r="AI954" s="230"/>
    </row>
    <row r="955">
      <c r="O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  <c r="AI955" s="230"/>
    </row>
    <row r="956">
      <c r="O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  <c r="AI956" s="230"/>
    </row>
    <row r="957">
      <c r="O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  <c r="AI957" s="230"/>
    </row>
    <row r="958">
      <c r="O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  <c r="AI958" s="230"/>
    </row>
    <row r="959">
      <c r="O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  <c r="AI959" s="230"/>
    </row>
    <row r="960">
      <c r="O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  <c r="AI960" s="230"/>
    </row>
    <row r="961">
      <c r="O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  <c r="AI961" s="230"/>
    </row>
    <row r="962">
      <c r="O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  <c r="AI962" s="230"/>
    </row>
    <row r="963">
      <c r="O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  <c r="AI963" s="230"/>
    </row>
    <row r="964">
      <c r="O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  <c r="AI964" s="230"/>
    </row>
    <row r="965">
      <c r="O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  <c r="AI965" s="230"/>
    </row>
    <row r="966">
      <c r="O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  <c r="AI966" s="230"/>
    </row>
    <row r="967">
      <c r="O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  <c r="AI967" s="230"/>
    </row>
    <row r="968">
      <c r="O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  <c r="AI968" s="230"/>
    </row>
    <row r="969">
      <c r="O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  <c r="AI969" s="230"/>
    </row>
    <row r="970">
      <c r="O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  <c r="AI970" s="230"/>
    </row>
    <row r="971">
      <c r="O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  <c r="AI971" s="230"/>
    </row>
    <row r="972">
      <c r="O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  <c r="AI972" s="230"/>
    </row>
    <row r="973">
      <c r="O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  <c r="AI973" s="230"/>
    </row>
    <row r="974">
      <c r="O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  <c r="AI974" s="230"/>
    </row>
    <row r="975">
      <c r="O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  <c r="AI975" s="230"/>
    </row>
    <row r="976">
      <c r="O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  <c r="AI976" s="230"/>
    </row>
    <row r="977">
      <c r="O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  <c r="AI977" s="230"/>
    </row>
    <row r="978">
      <c r="O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  <c r="AI978" s="230"/>
    </row>
    <row r="979">
      <c r="O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  <c r="AI979" s="230"/>
    </row>
    <row r="980">
      <c r="O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  <c r="AI980" s="230"/>
    </row>
    <row r="981">
      <c r="O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  <c r="AI981" s="230"/>
    </row>
    <row r="982">
      <c r="O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  <c r="AI982" s="230"/>
    </row>
    <row r="983">
      <c r="O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  <c r="AI983" s="230"/>
    </row>
    <row r="984">
      <c r="O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  <c r="AI984" s="230"/>
    </row>
    <row r="985">
      <c r="O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  <c r="AI985" s="230"/>
    </row>
    <row r="986">
      <c r="O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  <c r="AI986" s="230"/>
    </row>
    <row r="987">
      <c r="O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  <c r="AI987" s="230"/>
    </row>
    <row r="988">
      <c r="O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  <c r="AI988" s="230"/>
    </row>
    <row r="989">
      <c r="O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  <c r="AI989" s="230"/>
    </row>
    <row r="990">
      <c r="O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  <c r="AI990" s="230"/>
    </row>
    <row r="991">
      <c r="O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  <c r="AI991" s="230"/>
    </row>
    <row r="992">
      <c r="O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  <c r="AI992" s="230"/>
    </row>
    <row r="993">
      <c r="O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  <c r="AI993" s="230"/>
    </row>
    <row r="994">
      <c r="O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  <c r="AI994" s="230"/>
    </row>
    <row r="995">
      <c r="O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  <c r="AI995" s="230"/>
    </row>
    <row r="996">
      <c r="O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  <c r="AI996" s="230"/>
    </row>
    <row r="997">
      <c r="O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  <c r="AI997" s="230"/>
    </row>
    <row r="998">
      <c r="O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  <c r="AI998" s="230"/>
    </row>
    <row r="999">
      <c r="O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  <c r="AI999" s="230"/>
    </row>
    <row r="1000">
      <c r="O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  <c r="AI1000" s="230"/>
    </row>
    <row r="1001">
      <c r="O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  <c r="AI1001" s="230"/>
    </row>
    <row r="1002">
      <c r="O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  <c r="AI1002" s="230"/>
    </row>
    <row r="1003">
      <c r="O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  <c r="AI1003" s="230"/>
    </row>
    <row r="1004">
      <c r="O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  <c r="AI1004" s="230"/>
    </row>
    <row r="1005">
      <c r="O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  <c r="AI1005" s="230"/>
    </row>
    <row r="1006">
      <c r="O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  <c r="AI1006" s="230"/>
    </row>
    <row r="1007">
      <c r="O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  <c r="AI1007" s="230"/>
    </row>
    <row r="1008">
      <c r="O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  <c r="AI1008" s="230"/>
    </row>
    <row r="1009">
      <c r="O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  <c r="AI1009" s="230"/>
    </row>
    <row r="1010">
      <c r="O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  <c r="AI1010" s="230"/>
    </row>
    <row r="1011">
      <c r="O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  <c r="AI1011" s="230"/>
    </row>
    <row r="1012">
      <c r="O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  <c r="AI1012" s="230"/>
    </row>
    <row r="1013">
      <c r="O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  <c r="AI1013" s="230"/>
    </row>
    <row r="1014">
      <c r="O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  <c r="AI1014" s="230"/>
    </row>
    <row r="1015">
      <c r="O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  <c r="AI1015" s="230"/>
    </row>
    <row r="1016">
      <c r="O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  <c r="AI1016" s="230"/>
    </row>
    <row r="1017">
      <c r="O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  <c r="AI1017" s="230"/>
    </row>
    <row r="1018">
      <c r="O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  <c r="AI1018" s="230"/>
    </row>
    <row r="1019">
      <c r="O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  <c r="AI1019" s="230"/>
    </row>
    <row r="1020">
      <c r="O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  <c r="AI1020" s="230"/>
    </row>
    <row r="1021">
      <c r="O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  <c r="AI1021" s="230"/>
    </row>
    <row r="1022">
      <c r="O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  <c r="AI1022" s="230"/>
    </row>
    <row r="1023">
      <c r="O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  <c r="AI1023" s="230"/>
    </row>
    <row r="1024">
      <c r="O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  <c r="AI1024" s="230"/>
    </row>
    <row r="1025">
      <c r="O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  <c r="AI1025" s="230"/>
    </row>
    <row r="1026">
      <c r="O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  <c r="AI1026" s="230"/>
    </row>
    <row r="1027">
      <c r="O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  <c r="AI1027" s="230"/>
    </row>
    <row r="1028">
      <c r="O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  <c r="AI1028" s="230"/>
    </row>
    <row r="1029">
      <c r="O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  <c r="AI1029" s="230"/>
    </row>
    <row r="1030">
      <c r="O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  <c r="AI1030" s="230"/>
    </row>
    <row r="1031">
      <c r="O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  <c r="AI1031" s="230"/>
    </row>
    <row r="1032">
      <c r="O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  <c r="AI1032" s="230"/>
    </row>
    <row r="1033">
      <c r="O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  <c r="AI1033" s="230"/>
    </row>
    <row r="1034">
      <c r="O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  <c r="AI1034" s="230"/>
    </row>
    <row r="1035">
      <c r="O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  <c r="AI1035" s="230"/>
    </row>
    <row r="1036">
      <c r="O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  <c r="AI1036" s="230"/>
    </row>
    <row r="1037">
      <c r="O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  <c r="AI1037" s="230"/>
    </row>
    <row r="1038">
      <c r="O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  <c r="AI1038" s="230"/>
    </row>
    <row r="1039">
      <c r="O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  <c r="AI1039" s="230"/>
    </row>
    <row r="1040">
      <c r="O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  <c r="AI1040" s="230"/>
    </row>
    <row r="1041">
      <c r="O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  <c r="AI1041" s="230"/>
    </row>
    <row r="1042">
      <c r="O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  <c r="AI1042" s="230"/>
    </row>
    <row r="1043">
      <c r="O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  <c r="AI1043" s="230"/>
    </row>
    <row r="1044">
      <c r="O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  <c r="AI1044" s="230"/>
    </row>
    <row r="1045">
      <c r="O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  <c r="AI1045" s="230"/>
    </row>
    <row r="1046">
      <c r="O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  <c r="AI1046" s="230"/>
    </row>
    <row r="1047">
      <c r="O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  <c r="AI1047" s="230"/>
    </row>
    <row r="1048">
      <c r="O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  <c r="AI1048" s="230"/>
    </row>
    <row r="1049">
      <c r="O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  <c r="AI1049" s="230"/>
    </row>
    <row r="1050">
      <c r="O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  <c r="AI1050" s="230"/>
    </row>
    <row r="1051">
      <c r="O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  <c r="AI1051" s="230"/>
    </row>
    <row r="1052">
      <c r="O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  <c r="AI1052" s="230"/>
    </row>
    <row r="1053">
      <c r="O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  <c r="AI1053" s="230"/>
    </row>
    <row r="1054">
      <c r="O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  <c r="AI1054" s="230"/>
    </row>
    <row r="1055">
      <c r="O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  <c r="AI1055" s="230"/>
    </row>
    <row r="1056">
      <c r="O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  <c r="AI1056" s="230"/>
    </row>
    <row r="1057">
      <c r="O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  <c r="AI1057" s="230"/>
    </row>
    <row r="1058">
      <c r="O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  <c r="AI1058" s="230"/>
    </row>
    <row r="1059">
      <c r="O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  <c r="AI1059" s="230"/>
    </row>
    <row r="1060">
      <c r="O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  <c r="AI1060" s="230"/>
    </row>
    <row r="1061">
      <c r="O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  <c r="AI1061" s="230"/>
    </row>
    <row r="1062">
      <c r="O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  <c r="AI1062" s="230"/>
    </row>
    <row r="1063">
      <c r="O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  <c r="AI1063" s="230"/>
    </row>
    <row r="1064">
      <c r="O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  <c r="AI1064" s="230"/>
    </row>
    <row r="1065">
      <c r="O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  <c r="AI1065" s="230"/>
    </row>
    <row r="1066">
      <c r="O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  <c r="AI1066" s="230"/>
    </row>
    <row r="1067">
      <c r="O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  <c r="AI1067" s="230"/>
    </row>
    <row r="1068">
      <c r="O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  <c r="AI1068" s="230"/>
    </row>
    <row r="1069">
      <c r="O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  <c r="AI1069" s="230"/>
    </row>
    <row r="1070">
      <c r="O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  <c r="AI1070" s="230"/>
    </row>
    <row r="1071">
      <c r="O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  <c r="AI1071" s="230"/>
    </row>
    <row r="1072">
      <c r="O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  <c r="AI1072" s="230"/>
    </row>
    <row r="1073">
      <c r="O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  <c r="AI1073" s="230"/>
    </row>
    <row r="1074">
      <c r="O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  <c r="AI1074" s="230"/>
    </row>
    <row r="1075">
      <c r="O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  <c r="AI1075" s="230"/>
    </row>
    <row r="1076">
      <c r="O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  <c r="AI1076" s="230"/>
    </row>
    <row r="1077">
      <c r="O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  <c r="AI1077" s="230"/>
    </row>
    <row r="1078">
      <c r="O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  <c r="AI1078" s="230"/>
    </row>
    <row r="1079">
      <c r="O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  <c r="AI1079" s="230"/>
    </row>
    <row r="1080">
      <c r="O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  <c r="AI1080" s="230"/>
    </row>
    <row r="1081">
      <c r="O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  <c r="AI1081" s="230"/>
    </row>
    <row r="1082">
      <c r="O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  <c r="AI1082" s="230"/>
    </row>
    <row r="1083">
      <c r="O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  <c r="AI1083" s="230"/>
    </row>
    <row r="1084">
      <c r="O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  <c r="AI1084" s="230"/>
    </row>
    <row r="1085">
      <c r="O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  <c r="AI1085" s="230"/>
    </row>
    <row r="1086">
      <c r="O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  <c r="AI1086" s="230"/>
    </row>
    <row r="1087">
      <c r="O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  <c r="AI1087" s="230"/>
    </row>
    <row r="1088">
      <c r="O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  <c r="AI1088" s="230"/>
    </row>
    <row r="1089">
      <c r="O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  <c r="AI1089" s="230"/>
    </row>
    <row r="1090">
      <c r="O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  <c r="AI1090" s="230"/>
    </row>
    <row r="1091">
      <c r="O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  <c r="AI1091" s="230"/>
    </row>
    <row r="1092">
      <c r="O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  <c r="AI1092" s="230"/>
    </row>
    <row r="1093">
      <c r="O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  <c r="AI1093" s="230"/>
    </row>
    <row r="1094">
      <c r="O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  <c r="AI1094" s="230"/>
    </row>
    <row r="1095">
      <c r="O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  <c r="AI1095" s="230"/>
    </row>
    <row r="1096">
      <c r="O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  <c r="AI1096" s="230"/>
    </row>
    <row r="1097">
      <c r="O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  <c r="AI1097" s="230"/>
    </row>
    <row r="1098">
      <c r="O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  <c r="AI1098" s="230"/>
    </row>
    <row r="1099">
      <c r="O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  <c r="AI1099" s="230"/>
    </row>
    <row r="1100">
      <c r="O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  <c r="AI1100" s="230"/>
    </row>
    <row r="1101">
      <c r="O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  <c r="AI1101" s="230"/>
    </row>
    <row r="1102">
      <c r="O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  <c r="AI1102" s="230"/>
    </row>
    <row r="1103">
      <c r="O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  <c r="AI1103" s="230"/>
    </row>
    <row r="1104">
      <c r="O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  <c r="AI1104" s="230"/>
    </row>
    <row r="1105">
      <c r="O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  <c r="AI1105" s="230"/>
    </row>
    <row r="1106">
      <c r="O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  <c r="AI1106" s="230"/>
    </row>
    <row r="1107">
      <c r="O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  <c r="AI1107" s="230"/>
    </row>
    <row r="1108">
      <c r="O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  <c r="AI1108" s="230"/>
    </row>
    <row r="1109">
      <c r="O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  <c r="AI1109" s="230"/>
    </row>
    <row r="1110">
      <c r="O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  <c r="AI1110" s="230"/>
    </row>
    <row r="1111">
      <c r="O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  <c r="AI1111" s="230"/>
    </row>
    <row r="1112">
      <c r="O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  <c r="AI1112" s="230"/>
    </row>
    <row r="1113">
      <c r="O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  <c r="AI1113" s="230"/>
    </row>
    <row r="1114">
      <c r="O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  <c r="AI1114" s="230"/>
    </row>
    <row r="1115">
      <c r="O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  <c r="AI1115" s="230"/>
    </row>
    <row r="1116">
      <c r="O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  <c r="AI1116" s="230"/>
    </row>
    <row r="1117">
      <c r="O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  <c r="AI1117" s="230"/>
    </row>
    <row r="1118">
      <c r="O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  <c r="AI1118" s="230"/>
    </row>
    <row r="1119">
      <c r="O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  <c r="AI1119" s="230"/>
    </row>
    <row r="1120">
      <c r="O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  <c r="AI1120" s="230"/>
    </row>
    <row r="1121">
      <c r="O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  <c r="AI1121" s="230"/>
    </row>
    <row r="1122">
      <c r="O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  <c r="AI1122" s="230"/>
    </row>
    <row r="1123">
      <c r="O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  <c r="AI1123" s="230"/>
    </row>
    <row r="1124">
      <c r="O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  <c r="AI1124" s="230"/>
    </row>
    <row r="1125">
      <c r="O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  <c r="AI1125" s="230"/>
    </row>
    <row r="1126">
      <c r="O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  <c r="AI1126" s="230"/>
    </row>
    <row r="1127">
      <c r="O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  <c r="AI1127" s="230"/>
    </row>
    <row r="1128">
      <c r="O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  <c r="AI1128" s="230"/>
    </row>
    <row r="1129">
      <c r="O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  <c r="AI1129" s="230"/>
    </row>
    <row r="1130">
      <c r="O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  <c r="AI1130" s="230"/>
    </row>
    <row r="1131">
      <c r="O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  <c r="AI1131" s="230"/>
    </row>
    <row r="1132">
      <c r="O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  <c r="AI1132" s="230"/>
    </row>
    <row r="1133">
      <c r="O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  <c r="AI1133" s="230"/>
    </row>
    <row r="1134">
      <c r="O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  <c r="AI1134" s="230"/>
    </row>
    <row r="1135">
      <c r="O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  <c r="AI1135" s="230"/>
    </row>
    <row r="1136">
      <c r="O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  <c r="AI1136" s="230"/>
    </row>
    <row r="1137">
      <c r="O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  <c r="AI1137" s="230"/>
    </row>
    <row r="1138">
      <c r="O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  <c r="AI1138" s="230"/>
    </row>
    <row r="1139">
      <c r="O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  <c r="AI1139" s="230"/>
    </row>
    <row r="1140">
      <c r="O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  <c r="AI1140" s="230"/>
    </row>
    <row r="1141">
      <c r="O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  <c r="AI1141" s="230"/>
    </row>
    <row r="1142">
      <c r="O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  <c r="AI1142" s="230"/>
    </row>
    <row r="1143">
      <c r="O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  <c r="AI1143" s="230"/>
    </row>
    <row r="1144">
      <c r="O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  <c r="AI1144" s="230"/>
    </row>
    <row r="1145">
      <c r="O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  <c r="AI1145" s="230"/>
    </row>
    <row r="1146">
      <c r="O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  <c r="AI1146" s="230"/>
    </row>
    <row r="1147">
      <c r="O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  <c r="AI1147" s="230"/>
    </row>
    <row r="1148">
      <c r="O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  <c r="AI1148" s="230"/>
    </row>
    <row r="1149">
      <c r="O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  <c r="AI1149" s="230"/>
    </row>
    <row r="1150">
      <c r="O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  <c r="AI1150" s="230"/>
    </row>
    <row r="1151">
      <c r="O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  <c r="AI1151" s="230"/>
    </row>
    <row r="1152">
      <c r="O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  <c r="AI1152" s="230"/>
    </row>
    <row r="1153">
      <c r="O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  <c r="AI1153" s="230"/>
    </row>
    <row r="1154">
      <c r="O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  <c r="AI1154" s="230"/>
    </row>
    <row r="1155">
      <c r="O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  <c r="AI1155" s="230"/>
    </row>
    <row r="1156">
      <c r="O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  <c r="AI1156" s="230"/>
    </row>
    <row r="1157">
      <c r="O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  <c r="AI1157" s="230"/>
    </row>
    <row r="1158">
      <c r="O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  <c r="AI1158" s="230"/>
    </row>
    <row r="1159">
      <c r="O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  <c r="AI1159" s="230"/>
    </row>
    <row r="1160">
      <c r="O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  <c r="AI1160" s="230"/>
    </row>
    <row r="1161">
      <c r="O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  <c r="AI1161" s="230"/>
    </row>
    <row r="1162">
      <c r="O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  <c r="AI1162" s="230"/>
    </row>
    <row r="1163">
      <c r="O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  <c r="AI1163" s="230"/>
    </row>
    <row r="1164">
      <c r="O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  <c r="AI1164" s="230"/>
    </row>
    <row r="1165">
      <c r="O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  <c r="AI1165" s="230"/>
    </row>
    <row r="1166">
      <c r="O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  <c r="AI1166" s="230"/>
    </row>
    <row r="1167">
      <c r="O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  <c r="AI1167" s="230"/>
    </row>
    <row r="1168">
      <c r="O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  <c r="AI1168" s="230"/>
    </row>
    <row r="1169">
      <c r="O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  <c r="AI1169" s="230"/>
    </row>
    <row r="1170">
      <c r="O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  <c r="AI1170" s="230"/>
    </row>
    <row r="1171">
      <c r="O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  <c r="AI1171" s="230"/>
    </row>
    <row r="1172">
      <c r="O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  <c r="AI1172" s="230"/>
    </row>
    <row r="1173">
      <c r="O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  <c r="AI1173" s="230"/>
    </row>
    <row r="1174">
      <c r="O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  <c r="AI1174" s="230"/>
    </row>
    <row r="1175">
      <c r="O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  <c r="AI1175" s="230"/>
    </row>
    <row r="1176">
      <c r="O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  <c r="AI1176" s="230"/>
    </row>
    <row r="1177">
      <c r="O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  <c r="AI1177" s="230"/>
    </row>
    <row r="1178">
      <c r="O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  <c r="AI1178" s="230"/>
    </row>
    <row r="1179">
      <c r="O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  <c r="AI1179" s="230"/>
    </row>
    <row r="1180">
      <c r="O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  <c r="AI1180" s="230"/>
    </row>
    <row r="1181">
      <c r="O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  <c r="AI1181" s="230"/>
    </row>
    <row r="1182">
      <c r="O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  <c r="AI1182" s="230"/>
    </row>
    <row r="1183">
      <c r="O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  <c r="AI1183" s="230"/>
    </row>
    <row r="1184">
      <c r="O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  <c r="AI1184" s="230"/>
    </row>
    <row r="1185">
      <c r="O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  <c r="AI1185" s="230"/>
    </row>
    <row r="1186">
      <c r="O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  <c r="AI1186" s="230"/>
    </row>
    <row r="1187">
      <c r="O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  <c r="AI1187" s="230"/>
    </row>
    <row r="1188">
      <c r="O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  <c r="AI1188" s="230"/>
    </row>
    <row r="1189">
      <c r="O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  <c r="AI1189" s="230"/>
    </row>
    <row r="1190">
      <c r="O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  <c r="AI1190" s="230"/>
    </row>
    <row r="1191">
      <c r="O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  <c r="AI1191" s="230"/>
    </row>
    <row r="1192">
      <c r="O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  <c r="AI1192" s="230"/>
    </row>
    <row r="1193">
      <c r="O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  <c r="AI1193" s="230"/>
    </row>
    <row r="1194">
      <c r="O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  <c r="AI1194" s="230"/>
    </row>
    <row r="1195">
      <c r="O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  <c r="AI1195" s="230"/>
    </row>
    <row r="1196">
      <c r="O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  <c r="AI1196" s="230"/>
    </row>
    <row r="1197">
      <c r="O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  <c r="AI1197" s="230"/>
    </row>
    <row r="1198">
      <c r="O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  <c r="AI1198" s="230"/>
    </row>
    <row r="1199">
      <c r="O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  <c r="AI1199" s="230"/>
    </row>
    <row r="1200">
      <c r="O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  <c r="AI1200" s="230"/>
    </row>
    <row r="1201">
      <c r="O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  <c r="AI1201" s="230"/>
    </row>
    <row r="1202">
      <c r="O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  <c r="AI1202" s="230"/>
    </row>
    <row r="1203">
      <c r="O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  <c r="AI1203" s="230"/>
    </row>
    <row r="1204">
      <c r="O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  <c r="AI1204" s="230"/>
    </row>
    <row r="1205">
      <c r="O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  <c r="AI1205" s="230"/>
    </row>
    <row r="1206">
      <c r="O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  <c r="AI1206" s="230"/>
    </row>
    <row r="1207">
      <c r="O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  <c r="AI1207" s="230"/>
    </row>
    <row r="1208">
      <c r="O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  <c r="AI1208" s="230"/>
    </row>
    <row r="1209">
      <c r="O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  <c r="AI1209" s="230"/>
    </row>
    <row r="1210">
      <c r="O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  <c r="AI1210" s="230"/>
    </row>
    <row r="1211">
      <c r="O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  <c r="AI1211" s="230"/>
    </row>
    <row r="1212">
      <c r="O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  <c r="AI1212" s="230"/>
    </row>
    <row r="1213">
      <c r="O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  <c r="AI1213" s="230"/>
    </row>
    <row r="1214">
      <c r="O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  <c r="AI1214" s="230"/>
    </row>
    <row r="1215">
      <c r="O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  <c r="AI1215" s="230"/>
    </row>
    <row r="1216">
      <c r="O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  <c r="AI1216" s="230"/>
    </row>
    <row r="1217">
      <c r="O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  <c r="AI1217" s="230"/>
    </row>
    <row r="1218">
      <c r="O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  <c r="AI1218" s="230"/>
    </row>
    <row r="1219">
      <c r="O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  <c r="AI1219" s="230"/>
    </row>
    <row r="1220">
      <c r="O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  <c r="AI1220" s="230"/>
    </row>
    <row r="1221">
      <c r="O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  <c r="AI1221" s="230"/>
    </row>
    <row r="1222">
      <c r="O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  <c r="AI1222" s="230"/>
    </row>
    <row r="1223">
      <c r="O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  <c r="AI1223" s="230"/>
    </row>
    <row r="1224">
      <c r="O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  <c r="AI1224" s="230"/>
    </row>
    <row r="1225">
      <c r="O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  <c r="AI1225" s="230"/>
    </row>
    <row r="1226">
      <c r="O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  <c r="AI1226" s="230"/>
    </row>
    <row r="1227">
      <c r="O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  <c r="AI1227" s="230"/>
    </row>
    <row r="1228">
      <c r="O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  <c r="AI1228" s="230"/>
    </row>
    <row r="1229">
      <c r="O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  <c r="AI1229" s="230"/>
    </row>
    <row r="1230">
      <c r="O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  <c r="AI1230" s="230"/>
    </row>
    <row r="1231">
      <c r="O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  <c r="AI1231" s="230"/>
    </row>
    <row r="1232">
      <c r="O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  <c r="AI1232" s="230"/>
    </row>
    <row r="1233">
      <c r="O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  <c r="AI1233" s="230"/>
    </row>
    <row r="1234">
      <c r="O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  <c r="AI1234" s="230"/>
    </row>
    <row r="1235">
      <c r="O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  <c r="AI1235" s="230"/>
    </row>
    <row r="1236">
      <c r="O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  <c r="AI1236" s="230"/>
    </row>
    <row r="1237">
      <c r="O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  <c r="AI1237" s="230"/>
    </row>
    <row r="1238">
      <c r="O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  <c r="AI1238" s="230"/>
    </row>
    <row r="1239">
      <c r="O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  <c r="AI1239" s="230"/>
    </row>
    <row r="1240">
      <c r="O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  <c r="AI1240" s="230"/>
    </row>
    <row r="1241">
      <c r="O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  <c r="AI1241" s="230"/>
    </row>
    <row r="1242">
      <c r="O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  <c r="AI1242" s="230"/>
    </row>
    <row r="1243">
      <c r="O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  <c r="AI1243" s="230"/>
    </row>
    <row r="1244">
      <c r="O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  <c r="AI1244" s="230"/>
    </row>
    <row r="1245">
      <c r="O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  <c r="AI1245" s="230"/>
    </row>
    <row r="1246">
      <c r="O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  <c r="AI1246" s="230"/>
    </row>
    <row r="1247">
      <c r="O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  <c r="AI1247" s="230"/>
    </row>
    <row r="1248">
      <c r="O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  <c r="AI1248" s="230"/>
    </row>
    <row r="1249">
      <c r="O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  <c r="AI1249" s="230"/>
    </row>
    <row r="1250">
      <c r="O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  <c r="AI1250" s="230"/>
    </row>
    <row r="1251">
      <c r="O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  <c r="AI1251" s="230"/>
    </row>
    <row r="1252">
      <c r="O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  <c r="AI1252" s="230"/>
    </row>
    <row r="1253">
      <c r="O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  <c r="AI1253" s="230"/>
    </row>
    <row r="1254">
      <c r="O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  <c r="AI1254" s="230"/>
    </row>
    <row r="1255">
      <c r="O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  <c r="AI1255" s="230"/>
    </row>
    <row r="1256">
      <c r="O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  <c r="AI1256" s="230"/>
    </row>
    <row r="1257">
      <c r="O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  <c r="AI1257" s="230"/>
    </row>
    <row r="1258">
      <c r="O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  <c r="AI1258" s="230"/>
    </row>
    <row r="1259">
      <c r="O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  <c r="AI1259" s="230"/>
    </row>
    <row r="1260">
      <c r="O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  <c r="AI1260" s="230"/>
    </row>
    <row r="1261">
      <c r="O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  <c r="AI1261" s="230"/>
    </row>
    <row r="1262">
      <c r="O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  <c r="AI1262" s="230"/>
    </row>
    <row r="1263">
      <c r="O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  <c r="AI1263" s="230"/>
    </row>
    <row r="1264">
      <c r="O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  <c r="AI1264" s="230"/>
    </row>
    <row r="1265">
      <c r="O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  <c r="AI1265" s="230"/>
    </row>
    <row r="1266">
      <c r="O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  <c r="AI1266" s="230"/>
    </row>
    <row r="1267">
      <c r="O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  <c r="AI1267" s="230"/>
    </row>
    <row r="1268">
      <c r="O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  <c r="AI1268" s="230"/>
    </row>
    <row r="1269">
      <c r="O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  <c r="AI1269" s="230"/>
    </row>
    <row r="1270">
      <c r="O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  <c r="AI1270" s="230"/>
    </row>
    <row r="1271">
      <c r="O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  <c r="AI1271" s="230"/>
    </row>
    <row r="1272">
      <c r="O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  <c r="AI1272" s="230"/>
    </row>
    <row r="1273">
      <c r="O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  <c r="AI1273" s="230"/>
    </row>
    <row r="1274">
      <c r="O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  <c r="AI1274" s="230"/>
    </row>
    <row r="1275">
      <c r="O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  <c r="AI1275" s="230"/>
    </row>
    <row r="1276">
      <c r="O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  <c r="AI1276" s="230"/>
    </row>
    <row r="1277">
      <c r="O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  <c r="AI1277" s="230"/>
    </row>
    <row r="1278">
      <c r="O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  <c r="AI1278" s="230"/>
    </row>
    <row r="1279">
      <c r="O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  <c r="AI1279" s="230"/>
    </row>
    <row r="1280">
      <c r="O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  <c r="AI1280" s="230"/>
    </row>
    <row r="1281">
      <c r="O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  <c r="AI1281" s="230"/>
    </row>
    <row r="1282">
      <c r="O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  <c r="AI1282" s="230"/>
    </row>
    <row r="1283">
      <c r="O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  <c r="AI1283" s="230"/>
    </row>
    <row r="1284">
      <c r="O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  <c r="AI1284" s="230"/>
    </row>
    <row r="1285">
      <c r="O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  <c r="AI1285" s="230"/>
    </row>
    <row r="1286">
      <c r="O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  <c r="AI1286" s="230"/>
    </row>
    <row r="1287">
      <c r="O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  <c r="AI1287" s="230"/>
    </row>
    <row r="1288">
      <c r="O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  <c r="AI1288" s="230"/>
    </row>
    <row r="1289">
      <c r="O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  <c r="AI1289" s="230"/>
    </row>
    <row r="1290">
      <c r="O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  <c r="AI1290" s="230"/>
    </row>
    <row r="1291">
      <c r="O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  <c r="AI1291" s="230"/>
    </row>
    <row r="1292">
      <c r="O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  <c r="AI1292" s="230"/>
    </row>
    <row r="1293">
      <c r="O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  <c r="AI1293" s="230"/>
    </row>
    <row r="1294">
      <c r="O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  <c r="AI1294" s="230"/>
    </row>
    <row r="1295">
      <c r="O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  <c r="AI1295" s="230"/>
    </row>
    <row r="1296">
      <c r="O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  <c r="AI1296" s="230"/>
    </row>
    <row r="1297">
      <c r="O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  <c r="AI1297" s="230"/>
    </row>
    <row r="1298">
      <c r="O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  <c r="AI1298" s="230"/>
    </row>
    <row r="1299">
      <c r="O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  <c r="AI1299" s="230"/>
    </row>
    <row r="1300">
      <c r="O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  <c r="AI1300" s="230"/>
    </row>
    <row r="1301">
      <c r="O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  <c r="AI1301" s="230"/>
    </row>
    <row r="1302">
      <c r="O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  <c r="AI1302" s="230"/>
    </row>
    <row r="1303">
      <c r="O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  <c r="AI1303" s="230"/>
    </row>
    <row r="1304">
      <c r="O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  <c r="AI1304" s="230"/>
    </row>
    <row r="1305">
      <c r="O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  <c r="AI1305" s="230"/>
    </row>
    <row r="1306">
      <c r="O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  <c r="AI1306" s="230"/>
    </row>
    <row r="1307">
      <c r="O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  <c r="AI1307" s="230"/>
    </row>
    <row r="1308">
      <c r="O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  <c r="AI1308" s="230"/>
    </row>
    <row r="1309">
      <c r="O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  <c r="AI1309" s="230"/>
    </row>
    <row r="1310">
      <c r="O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  <c r="AI1310" s="230"/>
    </row>
    <row r="1311">
      <c r="O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  <c r="AI1311" s="230"/>
    </row>
    <row r="1312">
      <c r="O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  <c r="AI1312" s="230"/>
    </row>
    <row r="1313">
      <c r="O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  <c r="AI1313" s="230"/>
    </row>
    <row r="1314">
      <c r="O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  <c r="AI1314" s="230"/>
    </row>
    <row r="1315">
      <c r="O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  <c r="AI1315" s="230"/>
    </row>
    <row r="1316">
      <c r="O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  <c r="AI1316" s="230"/>
    </row>
    <row r="1317">
      <c r="O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  <c r="AI1317" s="230"/>
    </row>
    <row r="1318">
      <c r="O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  <c r="AI1318" s="230"/>
    </row>
    <row r="1319">
      <c r="O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  <c r="AI1319" s="230"/>
    </row>
    <row r="1320">
      <c r="O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  <c r="AI1320" s="230"/>
    </row>
    <row r="1321">
      <c r="O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  <c r="AI1321" s="230"/>
    </row>
    <row r="1322">
      <c r="O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  <c r="AI1322" s="230"/>
    </row>
    <row r="1323">
      <c r="O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  <c r="AI1323" s="230"/>
    </row>
    <row r="1324">
      <c r="O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  <c r="AI1324" s="230"/>
    </row>
    <row r="1325">
      <c r="O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  <c r="AI1325" s="230"/>
    </row>
    <row r="1326">
      <c r="O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  <c r="AI1326" s="230"/>
    </row>
    <row r="1327">
      <c r="O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  <c r="AI1327" s="230"/>
    </row>
    <row r="1328">
      <c r="O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  <c r="AI1328" s="230"/>
    </row>
    <row r="1329">
      <c r="O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  <c r="AI1329" s="230"/>
    </row>
    <row r="1330">
      <c r="O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  <c r="AI1330" s="230"/>
    </row>
    <row r="1331">
      <c r="O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  <c r="AI1331" s="230"/>
    </row>
    <row r="1332">
      <c r="O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  <c r="AI1332" s="230"/>
    </row>
    <row r="1333">
      <c r="O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  <c r="AI1333" s="230"/>
    </row>
    <row r="1334">
      <c r="O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  <c r="AI1334" s="230"/>
    </row>
    <row r="1335">
      <c r="O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  <c r="AI1335" s="230"/>
    </row>
    <row r="1336">
      <c r="O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  <c r="AI1336" s="230"/>
    </row>
    <row r="1337">
      <c r="O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  <c r="AI1337" s="230"/>
    </row>
    <row r="1338">
      <c r="O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  <c r="AI1338" s="230"/>
    </row>
    <row r="1339">
      <c r="O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  <c r="AI1339" s="230"/>
    </row>
    <row r="1340">
      <c r="O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  <c r="AI1340" s="230"/>
    </row>
    <row r="1341">
      <c r="O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  <c r="AI1341" s="230"/>
    </row>
    <row r="1342">
      <c r="O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  <c r="AI1342" s="230"/>
    </row>
    <row r="1343">
      <c r="O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  <c r="AI1343" s="230"/>
    </row>
    <row r="1344">
      <c r="O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  <c r="AI1344" s="230"/>
    </row>
    <row r="1345">
      <c r="O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  <c r="AI1345" s="230"/>
    </row>
    <row r="1346">
      <c r="O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  <c r="AI1346" s="230"/>
    </row>
    <row r="1347">
      <c r="O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  <c r="AI1347" s="230"/>
    </row>
    <row r="1348">
      <c r="O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  <c r="AI1348" s="230"/>
    </row>
    <row r="1349">
      <c r="O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  <c r="AI1349" s="230"/>
    </row>
    <row r="1350">
      <c r="O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  <c r="AI1350" s="230"/>
    </row>
    <row r="1351">
      <c r="O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  <c r="AI1351" s="230"/>
    </row>
    <row r="1352">
      <c r="O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  <c r="AI1352" s="230"/>
    </row>
    <row r="1353">
      <c r="O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  <c r="AI1353" s="230"/>
    </row>
    <row r="1354">
      <c r="O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  <c r="AI1354" s="230"/>
    </row>
    <row r="1355">
      <c r="O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  <c r="AI1355" s="230"/>
    </row>
    <row r="1356">
      <c r="O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  <c r="AI1356" s="230"/>
    </row>
    <row r="1357">
      <c r="O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  <c r="AI1357" s="230"/>
    </row>
    <row r="1358">
      <c r="O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  <c r="AI1358" s="230"/>
    </row>
    <row r="1359">
      <c r="O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  <c r="AI1359" s="230"/>
    </row>
    <row r="1360">
      <c r="O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  <c r="AI1360" s="230"/>
    </row>
    <row r="1361">
      <c r="O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  <c r="AI1361" s="230"/>
    </row>
    <row r="1362">
      <c r="O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  <c r="AI1362" s="230"/>
    </row>
    <row r="1363">
      <c r="O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  <c r="AI1363" s="230"/>
    </row>
    <row r="1364">
      <c r="O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  <c r="AI1364" s="230"/>
    </row>
    <row r="1365">
      <c r="O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  <c r="AI1365" s="230"/>
    </row>
    <row r="1366">
      <c r="O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  <c r="AI1366" s="230"/>
    </row>
    <row r="1367">
      <c r="O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  <c r="AI1367" s="230"/>
    </row>
    <row r="1368">
      <c r="O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  <c r="AI1368" s="230"/>
    </row>
    <row r="1369">
      <c r="O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  <c r="AI1369" s="230"/>
    </row>
    <row r="1370">
      <c r="O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  <c r="AI1370" s="230"/>
    </row>
    <row r="1371">
      <c r="O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  <c r="AI1371" s="230"/>
    </row>
    <row r="1372">
      <c r="O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  <c r="AI1372" s="230"/>
    </row>
    <row r="1373">
      <c r="O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  <c r="AI1373" s="230"/>
    </row>
    <row r="1374">
      <c r="O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  <c r="AI1374" s="230"/>
    </row>
    <row r="1375">
      <c r="O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  <c r="AI1375" s="230"/>
    </row>
    <row r="1376">
      <c r="O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  <c r="AI1376" s="230"/>
    </row>
    <row r="1377">
      <c r="O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  <c r="AI1377" s="230"/>
    </row>
    <row r="1378">
      <c r="O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  <c r="AI1378" s="230"/>
    </row>
    <row r="1379">
      <c r="O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  <c r="AI1379" s="230"/>
    </row>
    <row r="1380">
      <c r="O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  <c r="AI1380" s="230"/>
    </row>
    <row r="1381">
      <c r="O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  <c r="AI1381" s="230"/>
    </row>
    <row r="1382">
      <c r="O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  <c r="AI1382" s="230"/>
    </row>
    <row r="1383">
      <c r="O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  <c r="AI1383" s="230"/>
    </row>
    <row r="1384">
      <c r="O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  <c r="AI1384" s="230"/>
    </row>
    <row r="1385">
      <c r="O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  <c r="AI1385" s="230"/>
    </row>
    <row r="1386">
      <c r="O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  <c r="AI1386" s="230"/>
    </row>
    <row r="1387">
      <c r="O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  <c r="AI1387" s="230"/>
    </row>
    <row r="1388">
      <c r="O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  <c r="AI1388" s="230"/>
    </row>
    <row r="1389">
      <c r="O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  <c r="AI1389" s="230"/>
    </row>
    <row r="1390">
      <c r="O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  <c r="AI1390" s="230"/>
    </row>
    <row r="1391">
      <c r="O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  <c r="AI1391" s="230"/>
    </row>
    <row r="1392">
      <c r="O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  <c r="AI1392" s="230"/>
    </row>
    <row r="1393">
      <c r="O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  <c r="AI1393" s="230"/>
    </row>
    <row r="1394">
      <c r="O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  <c r="AI1394" s="230"/>
    </row>
    <row r="1395">
      <c r="O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  <c r="AI1395" s="230"/>
    </row>
    <row r="1396">
      <c r="O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  <c r="AI1396" s="230"/>
    </row>
    <row r="1397">
      <c r="O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  <c r="AI1397" s="230"/>
    </row>
    <row r="1398">
      <c r="O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  <c r="AI1398" s="230"/>
    </row>
    <row r="1399">
      <c r="O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  <c r="AI1399" s="230"/>
    </row>
    <row r="1400">
      <c r="O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  <c r="AI1400" s="230"/>
    </row>
    <row r="1401">
      <c r="O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  <c r="AI1401" s="230"/>
    </row>
    <row r="1402">
      <c r="O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  <c r="AI1402" s="230"/>
    </row>
    <row r="1403">
      <c r="O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  <c r="AI1403" s="230"/>
    </row>
    <row r="1404">
      <c r="O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  <c r="AI1404" s="230"/>
    </row>
    <row r="1405">
      <c r="O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  <c r="AI1405" s="230"/>
    </row>
    <row r="1406">
      <c r="O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  <c r="AI1406" s="230"/>
    </row>
    <row r="1407">
      <c r="O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  <c r="AI1407" s="230"/>
    </row>
    <row r="1408">
      <c r="O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  <c r="AI1408" s="230"/>
    </row>
    <row r="1409">
      <c r="O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  <c r="AI1409" s="230"/>
    </row>
    <row r="1410">
      <c r="O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  <c r="AI1410" s="230"/>
    </row>
    <row r="1411">
      <c r="O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  <c r="AI1411" s="230"/>
    </row>
    <row r="1412">
      <c r="O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  <c r="AI1412" s="230"/>
    </row>
    <row r="1413">
      <c r="O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  <c r="AI1413" s="230"/>
    </row>
    <row r="1414">
      <c r="O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  <c r="AI1414" s="230"/>
    </row>
    <row r="1415">
      <c r="O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  <c r="AI1415" s="230"/>
    </row>
    <row r="1416">
      <c r="O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  <c r="AI1416" s="230"/>
    </row>
    <row r="1417">
      <c r="O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  <c r="AI1417" s="230"/>
    </row>
    <row r="1418">
      <c r="O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  <c r="AI1418" s="230"/>
    </row>
    <row r="1419">
      <c r="O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  <c r="AI1419" s="230"/>
    </row>
    <row r="1420">
      <c r="O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  <c r="AI1420" s="230"/>
    </row>
    <row r="1421">
      <c r="O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  <c r="AI1421" s="230"/>
    </row>
    <row r="1422">
      <c r="O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  <c r="AI1422" s="230"/>
    </row>
    <row r="1423">
      <c r="O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  <c r="AI1423" s="230"/>
    </row>
    <row r="1424">
      <c r="O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  <c r="AI1424" s="230"/>
    </row>
    <row r="1425">
      <c r="O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  <c r="AI1425" s="230"/>
    </row>
    <row r="1426">
      <c r="O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  <c r="AI1426" s="230"/>
    </row>
    <row r="1427">
      <c r="O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  <c r="AI1427" s="230"/>
    </row>
    <row r="1428">
      <c r="O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  <c r="AI1428" s="230"/>
    </row>
    <row r="1429">
      <c r="O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  <c r="AI1429" s="230"/>
    </row>
    <row r="1430">
      <c r="O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  <c r="AI1430" s="230"/>
    </row>
    <row r="1431">
      <c r="O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  <c r="AI1431" s="230"/>
    </row>
    <row r="1432">
      <c r="O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  <c r="AI1432" s="230"/>
    </row>
    <row r="1433">
      <c r="O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  <c r="AI1433" s="230"/>
    </row>
    <row r="1434">
      <c r="O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  <c r="AI1434" s="230"/>
    </row>
    <row r="1435">
      <c r="O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  <c r="AI1435" s="230"/>
    </row>
    <row r="1436">
      <c r="O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  <c r="AI1436" s="230"/>
    </row>
    <row r="1437">
      <c r="O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  <c r="AI1437" s="230"/>
    </row>
    <row r="1438">
      <c r="O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  <c r="AI1438" s="230"/>
    </row>
    <row r="1439">
      <c r="O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  <c r="AI1439" s="230"/>
    </row>
    <row r="1440">
      <c r="O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  <c r="AI1440" s="230"/>
    </row>
    <row r="1441">
      <c r="O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  <c r="AI1441" s="230"/>
    </row>
    <row r="1442">
      <c r="O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  <c r="AI1442" s="230"/>
    </row>
    <row r="1443">
      <c r="O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  <c r="AI1443" s="230"/>
    </row>
    <row r="1444">
      <c r="O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  <c r="AI1444" s="230"/>
    </row>
    <row r="1445">
      <c r="O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  <c r="AI1445" s="230"/>
    </row>
    <row r="1446">
      <c r="O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  <c r="AI1446" s="230"/>
    </row>
    <row r="1447">
      <c r="O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  <c r="AI1447" s="230"/>
    </row>
    <row r="1448">
      <c r="O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  <c r="AI1448" s="230"/>
    </row>
    <row r="1449">
      <c r="O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  <c r="AI1449" s="230"/>
    </row>
    <row r="1450">
      <c r="O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  <c r="AI1450" s="230"/>
    </row>
    <row r="1451">
      <c r="O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  <c r="AI1451" s="230"/>
    </row>
    <row r="1452">
      <c r="O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  <c r="AI1452" s="230"/>
    </row>
    <row r="1453">
      <c r="O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  <c r="AI1453" s="230"/>
    </row>
    <row r="1454">
      <c r="O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  <c r="AI1454" s="230"/>
    </row>
    <row r="1455">
      <c r="O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  <c r="AI1455" s="230"/>
    </row>
    <row r="1456">
      <c r="O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  <c r="AI1456" s="230"/>
    </row>
    <row r="1457">
      <c r="O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  <c r="AI1457" s="230"/>
    </row>
    <row r="1458">
      <c r="O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  <c r="AI1458" s="230"/>
    </row>
    <row r="1459">
      <c r="O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  <c r="AI1459" s="230"/>
    </row>
    <row r="1460">
      <c r="O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  <c r="AI1460" s="230"/>
    </row>
    <row r="1461">
      <c r="O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  <c r="AI1461" s="230"/>
    </row>
    <row r="1462">
      <c r="O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  <c r="AI1462" s="230"/>
    </row>
    <row r="1463">
      <c r="O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  <c r="AI1463" s="230"/>
    </row>
    <row r="1464">
      <c r="O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  <c r="AI1464" s="230"/>
    </row>
    <row r="1465">
      <c r="O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  <c r="AI1465" s="230"/>
    </row>
    <row r="1466">
      <c r="O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  <c r="AI1466" s="230"/>
    </row>
    <row r="1467">
      <c r="O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  <c r="AI1467" s="230"/>
    </row>
    <row r="1468">
      <c r="O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  <c r="AI1468" s="230"/>
    </row>
    <row r="1469">
      <c r="O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  <c r="AI1469" s="230"/>
    </row>
    <row r="1470">
      <c r="O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  <c r="AI1470" s="230"/>
    </row>
    <row r="1471">
      <c r="O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  <c r="AI1471" s="230"/>
    </row>
    <row r="1472">
      <c r="O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  <c r="AI1472" s="230"/>
    </row>
    <row r="1473">
      <c r="O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  <c r="AI1473" s="230"/>
    </row>
    <row r="1474">
      <c r="O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  <c r="AI1474" s="230"/>
    </row>
    <row r="1475">
      <c r="O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  <c r="AI1475" s="230"/>
    </row>
    <row r="1476">
      <c r="O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  <c r="AI1476" s="230"/>
    </row>
    <row r="1477">
      <c r="O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  <c r="AI1477" s="230"/>
    </row>
    <row r="1478">
      <c r="O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  <c r="AI1478" s="230"/>
    </row>
    <row r="1479">
      <c r="O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  <c r="AI1479" s="230"/>
    </row>
    <row r="1480">
      <c r="O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  <c r="AI1480" s="230"/>
    </row>
    <row r="1481">
      <c r="O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  <c r="AI1481" s="230"/>
    </row>
    <row r="1482">
      <c r="O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  <c r="AI1482" s="230"/>
    </row>
    <row r="1483">
      <c r="O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  <c r="AI1483" s="230"/>
    </row>
    <row r="1484">
      <c r="O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  <c r="AI1484" s="230"/>
    </row>
    <row r="1485">
      <c r="O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  <c r="AI1485" s="230"/>
    </row>
    <row r="1486">
      <c r="O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  <c r="AI1486" s="230"/>
    </row>
    <row r="1487">
      <c r="O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  <c r="AI1487" s="230"/>
    </row>
    <row r="1488">
      <c r="O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  <c r="AI1488" s="230"/>
    </row>
    <row r="1489">
      <c r="O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  <c r="AI1489" s="230"/>
    </row>
    <row r="1490">
      <c r="O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  <c r="AI1490" s="230"/>
    </row>
    <row r="1491">
      <c r="O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  <c r="AI1491" s="230"/>
    </row>
    <row r="1492">
      <c r="O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  <c r="AI1492" s="230"/>
    </row>
    <row r="1493">
      <c r="O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  <c r="AI1493" s="230"/>
    </row>
    <row r="1494">
      <c r="O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  <c r="AI1494" s="230"/>
    </row>
    <row r="1495">
      <c r="O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  <c r="AI1495" s="230"/>
    </row>
    <row r="1496">
      <c r="O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  <c r="AI1496" s="230"/>
    </row>
    <row r="1497">
      <c r="O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  <c r="AI1497" s="230"/>
    </row>
    <row r="1498">
      <c r="O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  <c r="AI1498" s="230"/>
    </row>
    <row r="1499">
      <c r="O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  <c r="AI1499" s="230"/>
    </row>
    <row r="1500">
      <c r="O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  <c r="AI1500" s="230"/>
    </row>
    <row r="1501">
      <c r="O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  <c r="AI1501" s="230"/>
    </row>
    <row r="1502">
      <c r="O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  <c r="AI1502" s="230"/>
    </row>
    <row r="1503">
      <c r="O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  <c r="AI1503" s="230"/>
    </row>
    <row r="1504">
      <c r="O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  <c r="AI1504" s="230"/>
    </row>
    <row r="1505">
      <c r="O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  <c r="AI1505" s="230"/>
    </row>
    <row r="1506">
      <c r="O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  <c r="AI1506" s="230"/>
    </row>
    <row r="1507">
      <c r="O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  <c r="AI1507" s="230"/>
    </row>
    <row r="1508">
      <c r="O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  <c r="AI1508" s="230"/>
    </row>
    <row r="1509">
      <c r="O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  <c r="AI1509" s="230"/>
    </row>
    <row r="1510">
      <c r="O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  <c r="AI1510" s="230"/>
    </row>
    <row r="1511">
      <c r="O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  <c r="AI1511" s="230"/>
    </row>
    <row r="1512">
      <c r="O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  <c r="AI1512" s="230"/>
    </row>
    <row r="1513">
      <c r="O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  <c r="AI1513" s="230"/>
    </row>
    <row r="1514">
      <c r="O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  <c r="AI1514" s="230"/>
    </row>
    <row r="1515">
      <c r="O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  <c r="AI1515" s="230"/>
    </row>
    <row r="1516">
      <c r="O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  <c r="AI1516" s="230"/>
    </row>
    <row r="1517">
      <c r="O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  <c r="AI1517" s="230"/>
    </row>
    <row r="1518">
      <c r="O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  <c r="AI1518" s="230"/>
    </row>
    <row r="1519">
      <c r="O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  <c r="AI1519" s="230"/>
    </row>
    <row r="1520">
      <c r="O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  <c r="AI1520" s="230"/>
    </row>
    <row r="1521">
      <c r="O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  <c r="AI1521" s="230"/>
    </row>
    <row r="1522">
      <c r="O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  <c r="AI1522" s="230"/>
    </row>
    <row r="1523">
      <c r="O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  <c r="AI1523" s="230"/>
    </row>
    <row r="1524">
      <c r="O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  <c r="AI1524" s="230"/>
    </row>
    <row r="1525">
      <c r="O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  <c r="AI1525" s="230"/>
    </row>
    <row r="1526">
      <c r="O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  <c r="AI1526" s="230"/>
    </row>
    <row r="1527">
      <c r="O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  <c r="AI1527" s="230"/>
    </row>
    <row r="1528">
      <c r="O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  <c r="AI1528" s="230"/>
    </row>
    <row r="1529">
      <c r="O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  <c r="AI1529" s="230"/>
    </row>
    <row r="1530">
      <c r="O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  <c r="AI1530" s="230"/>
    </row>
    <row r="1531">
      <c r="O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  <c r="AI1531" s="230"/>
    </row>
    <row r="1532">
      <c r="O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  <c r="AI1532" s="230"/>
    </row>
    <row r="1533">
      <c r="O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  <c r="AI1533" s="230"/>
    </row>
    <row r="1534">
      <c r="O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  <c r="AI1534" s="230"/>
    </row>
    <row r="1535">
      <c r="O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  <c r="AI1535" s="230"/>
    </row>
    <row r="1536">
      <c r="O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  <c r="AI1536" s="230"/>
    </row>
    <row r="1537">
      <c r="O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  <c r="AI1537" s="230"/>
    </row>
    <row r="1538">
      <c r="O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  <c r="AI1538" s="230"/>
    </row>
    <row r="1539">
      <c r="O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  <c r="AI1539" s="230"/>
    </row>
    <row r="1540">
      <c r="O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  <c r="AI1540" s="230"/>
    </row>
    <row r="1541">
      <c r="O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  <c r="AI1541" s="230"/>
    </row>
    <row r="1542">
      <c r="O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  <c r="AI1542" s="230"/>
    </row>
    <row r="1543">
      <c r="O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  <c r="AI1543" s="230"/>
    </row>
    <row r="1544">
      <c r="O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  <c r="AI1544" s="230"/>
    </row>
    <row r="1545">
      <c r="O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  <c r="AI1545" s="230"/>
    </row>
    <row r="1546">
      <c r="O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  <c r="AI1546" s="230"/>
    </row>
    <row r="1547">
      <c r="O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  <c r="AI1547" s="230"/>
    </row>
    <row r="1548">
      <c r="O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  <c r="AI1548" s="230"/>
    </row>
    <row r="1549">
      <c r="O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  <c r="AI1549" s="230"/>
    </row>
    <row r="1550">
      <c r="O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  <c r="AI1550" s="230"/>
    </row>
    <row r="1551">
      <c r="O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  <c r="AI1551" s="230"/>
    </row>
    <row r="1552">
      <c r="O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  <c r="AI1552" s="230"/>
    </row>
    <row r="1553">
      <c r="O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  <c r="AI1553" s="230"/>
    </row>
    <row r="1554">
      <c r="O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  <c r="AI1554" s="230"/>
    </row>
    <row r="1555">
      <c r="O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  <c r="AI1555" s="230"/>
    </row>
    <row r="1556">
      <c r="O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  <c r="AI1556" s="230"/>
    </row>
    <row r="1557">
      <c r="O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  <c r="AI1557" s="230"/>
    </row>
    <row r="1558">
      <c r="O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  <c r="AI1558" s="230"/>
    </row>
    <row r="1559">
      <c r="O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  <c r="AI1559" s="230"/>
    </row>
    <row r="1560">
      <c r="O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  <c r="AI1560" s="230"/>
    </row>
    <row r="1561">
      <c r="O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  <c r="AI1561" s="230"/>
    </row>
    <row r="1562">
      <c r="O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  <c r="AI1562" s="230"/>
    </row>
    <row r="1563">
      <c r="O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  <c r="AI1563" s="230"/>
    </row>
    <row r="1564">
      <c r="O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  <c r="AI1564" s="230"/>
    </row>
    <row r="1565">
      <c r="O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  <c r="AI1565" s="230"/>
    </row>
    <row r="1566">
      <c r="O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  <c r="AI1566" s="230"/>
    </row>
    <row r="1567">
      <c r="O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  <c r="AI1567" s="230"/>
    </row>
    <row r="1568">
      <c r="O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  <c r="AI1568" s="230"/>
    </row>
    <row r="1569">
      <c r="O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  <c r="AI1569" s="230"/>
    </row>
    <row r="1570">
      <c r="O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  <c r="AI1570" s="230"/>
    </row>
    <row r="1571">
      <c r="O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  <c r="AI1571" s="230"/>
    </row>
    <row r="1572">
      <c r="O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  <c r="AI1572" s="230"/>
    </row>
    <row r="1573">
      <c r="O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  <c r="AI1573" s="230"/>
    </row>
    <row r="1574">
      <c r="O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  <c r="AI1574" s="230"/>
    </row>
    <row r="1575">
      <c r="O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  <c r="AI1575" s="230"/>
    </row>
    <row r="1576">
      <c r="O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  <c r="AI1576" s="230"/>
    </row>
    <row r="1577">
      <c r="O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  <c r="AI1577" s="230"/>
    </row>
    <row r="1578">
      <c r="O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  <c r="AI1578" s="230"/>
    </row>
    <row r="1579">
      <c r="O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  <c r="AI1579" s="230"/>
    </row>
    <row r="1580">
      <c r="O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  <c r="AI1580" s="230"/>
    </row>
    <row r="1581">
      <c r="O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  <c r="AI1581" s="230"/>
    </row>
    <row r="1582">
      <c r="O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  <c r="AI1582" s="230"/>
    </row>
    <row r="1583">
      <c r="O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  <c r="AI1583" s="230"/>
    </row>
    <row r="1584">
      <c r="O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  <c r="AI1584" s="230"/>
    </row>
    <row r="1585">
      <c r="O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  <c r="AI1585" s="230"/>
    </row>
    <row r="1586">
      <c r="O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  <c r="AI1586" s="230"/>
    </row>
    <row r="1587">
      <c r="O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  <c r="AI1587" s="230"/>
    </row>
    <row r="1588">
      <c r="O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  <c r="AI1588" s="230"/>
    </row>
    <row r="1589">
      <c r="O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  <c r="AI1589" s="230"/>
    </row>
    <row r="1590">
      <c r="O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  <c r="AI1590" s="230"/>
    </row>
    <row r="1591">
      <c r="O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  <c r="AI1591" s="230"/>
    </row>
    <row r="1592">
      <c r="O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  <c r="AI1592" s="230"/>
    </row>
    <row r="1593">
      <c r="O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  <c r="AI1593" s="230"/>
    </row>
    <row r="1594">
      <c r="O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  <c r="AI1594" s="230"/>
    </row>
    <row r="1595">
      <c r="O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  <c r="AI1595" s="230"/>
    </row>
    <row r="1596">
      <c r="O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  <c r="AI1596" s="230"/>
    </row>
    <row r="1597">
      <c r="O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  <c r="AI1597" s="230"/>
    </row>
    <row r="1598">
      <c r="O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  <c r="AI1598" s="230"/>
    </row>
    <row r="1599">
      <c r="O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  <c r="AI1599" s="230"/>
    </row>
    <row r="1600">
      <c r="O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  <c r="AI1600" s="230"/>
    </row>
    <row r="1601">
      <c r="O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  <c r="AI1601" s="230"/>
    </row>
    <row r="1602">
      <c r="O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  <c r="AI1602" s="230"/>
    </row>
    <row r="1603">
      <c r="O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  <c r="AI1603" s="230"/>
    </row>
    <row r="1604">
      <c r="O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  <c r="AI1604" s="230"/>
    </row>
    <row r="1605">
      <c r="O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  <c r="AI1605" s="230"/>
    </row>
    <row r="1606">
      <c r="O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  <c r="AI1606" s="230"/>
    </row>
    <row r="1607">
      <c r="O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  <c r="AI1607" s="230"/>
    </row>
    <row r="1608">
      <c r="O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  <c r="AI1608" s="230"/>
    </row>
    <row r="1609">
      <c r="O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  <c r="AI1609" s="230"/>
    </row>
    <row r="1610">
      <c r="O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  <c r="AI1610" s="230"/>
    </row>
    <row r="1611">
      <c r="O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  <c r="AI1611" s="230"/>
    </row>
    <row r="1612">
      <c r="O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  <c r="AI1612" s="230"/>
    </row>
    <row r="1613">
      <c r="O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  <c r="AI1613" s="230"/>
    </row>
    <row r="1614">
      <c r="O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  <c r="AI1614" s="230"/>
    </row>
    <row r="1615">
      <c r="O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  <c r="AI1615" s="230"/>
    </row>
    <row r="1616">
      <c r="O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  <c r="AI1616" s="230"/>
    </row>
    <row r="1617">
      <c r="O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  <c r="AI1617" s="230"/>
    </row>
    <row r="1618">
      <c r="O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  <c r="AI1618" s="230"/>
    </row>
    <row r="1619">
      <c r="O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  <c r="AI1619" s="230"/>
    </row>
    <row r="1620">
      <c r="O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  <c r="AI1620" s="230"/>
    </row>
    <row r="1621">
      <c r="O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  <c r="AI1621" s="230"/>
    </row>
    <row r="1622">
      <c r="O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  <c r="AI1622" s="230"/>
    </row>
    <row r="1623">
      <c r="O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  <c r="AI1623" s="230"/>
    </row>
    <row r="1624">
      <c r="O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  <c r="AI1624" s="230"/>
    </row>
    <row r="1625">
      <c r="O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  <c r="AI1625" s="230"/>
    </row>
    <row r="1626">
      <c r="O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  <c r="AI1626" s="230"/>
    </row>
    <row r="1627">
      <c r="O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  <c r="AI1627" s="230"/>
    </row>
    <row r="1628">
      <c r="O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  <c r="AI1628" s="230"/>
    </row>
    <row r="1629">
      <c r="O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  <c r="AI1629" s="230"/>
    </row>
    <row r="1630">
      <c r="O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  <c r="AI1630" s="230"/>
    </row>
    <row r="1631">
      <c r="O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  <c r="AI1631" s="230"/>
    </row>
    <row r="1632">
      <c r="O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  <c r="AI1632" s="230"/>
    </row>
    <row r="1633">
      <c r="O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  <c r="AI1633" s="230"/>
    </row>
    <row r="1634">
      <c r="O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  <c r="AI1634" s="230"/>
    </row>
    <row r="1635">
      <c r="O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  <c r="AI1635" s="230"/>
    </row>
    <row r="1636">
      <c r="O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  <c r="AI1636" s="230"/>
    </row>
    <row r="1637">
      <c r="O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  <c r="AI1637" s="230"/>
    </row>
    <row r="1638">
      <c r="O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  <c r="AI1638" s="230"/>
    </row>
    <row r="1639">
      <c r="O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  <c r="AI1639" s="230"/>
    </row>
    <row r="1640">
      <c r="O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  <c r="AI1640" s="230"/>
    </row>
    <row r="1641">
      <c r="O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  <c r="AI1641" s="230"/>
    </row>
    <row r="1642">
      <c r="O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  <c r="AI1642" s="230"/>
    </row>
    <row r="1643">
      <c r="O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  <c r="AI1643" s="230"/>
    </row>
    <row r="1644">
      <c r="O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  <c r="AI1644" s="230"/>
    </row>
    <row r="1645">
      <c r="O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  <c r="AI1645" s="230"/>
    </row>
    <row r="1646">
      <c r="O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  <c r="AI1646" s="230"/>
    </row>
    <row r="1647">
      <c r="O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  <c r="AI1647" s="230"/>
    </row>
    <row r="1648">
      <c r="O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  <c r="AI1648" s="230"/>
    </row>
    <row r="1649">
      <c r="O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  <c r="AI1649" s="230"/>
    </row>
    <row r="1650">
      <c r="O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  <c r="AI1650" s="230"/>
    </row>
    <row r="1651">
      <c r="O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  <c r="AI1651" s="230"/>
    </row>
    <row r="1652">
      <c r="O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  <c r="AI1652" s="230"/>
    </row>
    <row r="1653">
      <c r="O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  <c r="AI1653" s="230"/>
    </row>
    <row r="1654">
      <c r="O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  <c r="AI1654" s="230"/>
    </row>
    <row r="1655">
      <c r="O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  <c r="AI1655" s="230"/>
    </row>
    <row r="1656">
      <c r="O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  <c r="AI1656" s="230"/>
    </row>
    <row r="1657">
      <c r="O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  <c r="AI1657" s="230"/>
    </row>
    <row r="1658">
      <c r="O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  <c r="AI1658" s="230"/>
    </row>
    <row r="1659">
      <c r="O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  <c r="AI1659" s="230"/>
    </row>
    <row r="1660">
      <c r="O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  <c r="AI1660" s="230"/>
    </row>
    <row r="1661">
      <c r="O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  <c r="AI1661" s="230"/>
    </row>
    <row r="1662">
      <c r="O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  <c r="AI1662" s="230"/>
    </row>
    <row r="1663">
      <c r="O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  <c r="AI1663" s="230"/>
    </row>
    <row r="1664">
      <c r="O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  <c r="AI1664" s="230"/>
    </row>
    <row r="1665">
      <c r="O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  <c r="AI1665" s="230"/>
    </row>
    <row r="1666">
      <c r="O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  <c r="AI1666" s="230"/>
    </row>
    <row r="1667">
      <c r="O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  <c r="AI1667" s="230"/>
    </row>
    <row r="1668">
      <c r="O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  <c r="AI1668" s="230"/>
    </row>
    <row r="1669">
      <c r="O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  <c r="AI1669" s="230"/>
    </row>
    <row r="1670">
      <c r="O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  <c r="AI1670" s="230"/>
    </row>
    <row r="1671">
      <c r="O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  <c r="AI1671" s="230"/>
    </row>
    <row r="1672">
      <c r="O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  <c r="AI1672" s="230"/>
    </row>
    <row r="1673">
      <c r="O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  <c r="AI1673" s="230"/>
    </row>
    <row r="1674">
      <c r="O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  <c r="AI1674" s="230"/>
    </row>
    <row r="1675">
      <c r="O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  <c r="AI1675" s="230"/>
    </row>
    <row r="1676">
      <c r="O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  <c r="AI1676" s="230"/>
    </row>
    <row r="1677">
      <c r="O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  <c r="AI1677" s="230"/>
    </row>
    <row r="1678">
      <c r="O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  <c r="AI1678" s="230"/>
    </row>
    <row r="1679">
      <c r="O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  <c r="AI1679" s="230"/>
    </row>
    <row r="1680">
      <c r="O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  <c r="AI1680" s="230"/>
    </row>
    <row r="1681">
      <c r="O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  <c r="AI1681" s="230"/>
    </row>
    <row r="1682">
      <c r="O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  <c r="AI1682" s="230"/>
    </row>
    <row r="1683">
      <c r="O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  <c r="AI1683" s="230"/>
    </row>
    <row r="1684">
      <c r="O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  <c r="AI1684" s="230"/>
    </row>
    <row r="1685">
      <c r="O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  <c r="AI1685" s="230"/>
    </row>
    <row r="1686">
      <c r="O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  <c r="AI1686" s="230"/>
    </row>
    <row r="1687">
      <c r="O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  <c r="AI1687" s="230"/>
    </row>
    <row r="1688">
      <c r="O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  <c r="AI1688" s="230"/>
    </row>
    <row r="1689">
      <c r="O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  <c r="AI1689" s="230"/>
    </row>
    <row r="1690">
      <c r="O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  <c r="AI1690" s="230"/>
    </row>
    <row r="1691">
      <c r="O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  <c r="AI1691" s="230"/>
    </row>
    <row r="1692">
      <c r="O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  <c r="AI1692" s="230"/>
    </row>
    <row r="1693">
      <c r="O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  <c r="AI1693" s="230"/>
    </row>
    <row r="1694">
      <c r="O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  <c r="AI1694" s="230"/>
    </row>
    <row r="1695">
      <c r="O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  <c r="AI1695" s="230"/>
    </row>
    <row r="1696">
      <c r="O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  <c r="AI1696" s="230"/>
    </row>
    <row r="1697">
      <c r="O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  <c r="AI1697" s="230"/>
    </row>
    <row r="1698">
      <c r="O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  <c r="AI1698" s="230"/>
    </row>
    <row r="1699">
      <c r="O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  <c r="AI1699" s="230"/>
    </row>
    <row r="1700">
      <c r="O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  <c r="AI1700" s="230"/>
    </row>
    <row r="1701">
      <c r="O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  <c r="AI1701" s="230"/>
    </row>
    <row r="1702">
      <c r="O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  <c r="AI1702" s="230"/>
    </row>
    <row r="1703">
      <c r="O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  <c r="AI1703" s="230"/>
    </row>
    <row r="1704">
      <c r="O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  <c r="AI1704" s="230"/>
    </row>
    <row r="1705">
      <c r="O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  <c r="AI1705" s="230"/>
    </row>
    <row r="1706">
      <c r="O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  <c r="AI1706" s="230"/>
    </row>
    <row r="1707">
      <c r="O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  <c r="AI1707" s="230"/>
    </row>
    <row r="1708">
      <c r="O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  <c r="AI1708" s="230"/>
    </row>
    <row r="1709">
      <c r="O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  <c r="AI1709" s="230"/>
    </row>
    <row r="1710">
      <c r="O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  <c r="AI1710" s="230"/>
    </row>
    <row r="1711">
      <c r="O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  <c r="AI1711" s="230"/>
    </row>
    <row r="1712">
      <c r="O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  <c r="AI1712" s="230"/>
    </row>
    <row r="1713">
      <c r="O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  <c r="AI1713" s="230"/>
    </row>
    <row r="1714">
      <c r="O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  <c r="AI1714" s="230"/>
    </row>
    <row r="1715">
      <c r="O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  <c r="AI1715" s="230"/>
    </row>
    <row r="1716">
      <c r="O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  <c r="AI1716" s="230"/>
    </row>
    <row r="1717">
      <c r="O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  <c r="AI1717" s="230"/>
    </row>
    <row r="1718">
      <c r="O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  <c r="AI1718" s="230"/>
    </row>
    <row r="1719">
      <c r="O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  <c r="AI1719" s="230"/>
    </row>
    <row r="1720">
      <c r="O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  <c r="AI1720" s="230"/>
    </row>
    <row r="1721">
      <c r="O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  <c r="AI1721" s="230"/>
    </row>
    <row r="1722">
      <c r="O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  <c r="AI1722" s="230"/>
    </row>
    <row r="1723">
      <c r="O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  <c r="AI1723" s="230"/>
    </row>
    <row r="1724">
      <c r="O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  <c r="AI1724" s="230"/>
    </row>
    <row r="1725">
      <c r="O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  <c r="AI1725" s="230"/>
    </row>
    <row r="1726">
      <c r="O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  <c r="AI1726" s="230"/>
    </row>
    <row r="1727">
      <c r="O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  <c r="AI1727" s="230"/>
    </row>
    <row r="1728">
      <c r="O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  <c r="AI1728" s="230"/>
    </row>
    <row r="1729">
      <c r="O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  <c r="AI1729" s="230"/>
    </row>
    <row r="1730">
      <c r="O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  <c r="AI1730" s="230"/>
    </row>
    <row r="1731">
      <c r="O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  <c r="AI1731" s="230"/>
    </row>
    <row r="1732">
      <c r="O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  <c r="AI1732" s="230"/>
    </row>
    <row r="1733">
      <c r="O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  <c r="AI1733" s="230"/>
    </row>
    <row r="1734">
      <c r="O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  <c r="AI1734" s="230"/>
    </row>
    <row r="1735">
      <c r="O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  <c r="AI1735" s="230"/>
    </row>
    <row r="1736">
      <c r="O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  <c r="AI1736" s="230"/>
    </row>
    <row r="1737">
      <c r="O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  <c r="AI1737" s="230"/>
    </row>
    <row r="1738">
      <c r="O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  <c r="AI1738" s="230"/>
    </row>
    <row r="1739">
      <c r="O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  <c r="AI1739" s="230"/>
    </row>
    <row r="1740">
      <c r="O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  <c r="AI1740" s="230"/>
    </row>
    <row r="1741">
      <c r="O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  <c r="AI1741" s="230"/>
    </row>
    <row r="1742">
      <c r="O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  <c r="AI1742" s="230"/>
    </row>
    <row r="1743">
      <c r="O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  <c r="AI1743" s="230"/>
    </row>
    <row r="1744">
      <c r="O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  <c r="AI1744" s="230"/>
    </row>
    <row r="1745">
      <c r="O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  <c r="AI1745" s="230"/>
    </row>
    <row r="1746">
      <c r="O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  <c r="AI1746" s="230"/>
    </row>
    <row r="1747">
      <c r="O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  <c r="AI1747" s="230"/>
    </row>
    <row r="1748">
      <c r="O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  <c r="AI1748" s="230"/>
    </row>
    <row r="1749">
      <c r="O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  <c r="AI1749" s="230"/>
    </row>
    <row r="1750">
      <c r="O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  <c r="AI1750" s="230"/>
    </row>
    <row r="1751">
      <c r="O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  <c r="AI1751" s="230"/>
    </row>
    <row r="1752">
      <c r="O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  <c r="AI1752" s="230"/>
    </row>
    <row r="1753">
      <c r="O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  <c r="AI1753" s="230"/>
    </row>
    <row r="1754">
      <c r="O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  <c r="AI1754" s="230"/>
    </row>
    <row r="1755">
      <c r="O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  <c r="AI1755" s="230"/>
    </row>
    <row r="1756">
      <c r="O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  <c r="AI1756" s="230"/>
    </row>
    <row r="1757">
      <c r="O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  <c r="AI1757" s="230"/>
    </row>
    <row r="1758">
      <c r="O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  <c r="AI1758" s="230"/>
    </row>
    <row r="1759">
      <c r="O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  <c r="AI1759" s="230"/>
    </row>
    <row r="1760">
      <c r="O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  <c r="AI1760" s="230"/>
    </row>
    <row r="1761">
      <c r="O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  <c r="AI1761" s="230"/>
    </row>
    <row r="1762">
      <c r="O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  <c r="AI1762" s="230"/>
    </row>
    <row r="1763">
      <c r="O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  <c r="AI1763" s="230"/>
    </row>
    <row r="1764">
      <c r="O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  <c r="AI1764" s="230"/>
    </row>
    <row r="1765">
      <c r="O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  <c r="AI1765" s="230"/>
    </row>
    <row r="1766">
      <c r="O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  <c r="AI1766" s="230"/>
    </row>
    <row r="1767">
      <c r="O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  <c r="AI1767" s="230"/>
    </row>
    <row r="1768">
      <c r="O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  <c r="AI1768" s="230"/>
    </row>
    <row r="1769">
      <c r="O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  <c r="AI1769" s="230"/>
    </row>
    <row r="1770">
      <c r="O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  <c r="AI1770" s="230"/>
    </row>
    <row r="1771">
      <c r="O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  <c r="AI1771" s="230"/>
    </row>
    <row r="1772">
      <c r="O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  <c r="AI1772" s="230"/>
    </row>
    <row r="1773">
      <c r="O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  <c r="AI1773" s="230"/>
    </row>
    <row r="1774">
      <c r="O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  <c r="AI1774" s="230"/>
    </row>
    <row r="1775">
      <c r="O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  <c r="AI1775" s="230"/>
    </row>
    <row r="1776">
      <c r="O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  <c r="AI1776" s="230"/>
    </row>
    <row r="1777">
      <c r="O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  <c r="AI1777" s="230"/>
    </row>
    <row r="1778">
      <c r="O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  <c r="AI1778" s="230"/>
    </row>
    <row r="1779">
      <c r="O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  <c r="AI1779" s="230"/>
    </row>
    <row r="1780">
      <c r="O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  <c r="AI1780" s="230"/>
    </row>
    <row r="1781">
      <c r="O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  <c r="AI1781" s="230"/>
    </row>
    <row r="1782">
      <c r="O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  <c r="AI1782" s="230"/>
    </row>
    <row r="1783">
      <c r="O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  <c r="AI1783" s="230"/>
    </row>
    <row r="1784">
      <c r="O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  <c r="AI1784" s="230"/>
    </row>
    <row r="1785">
      <c r="O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  <c r="AI1785" s="230"/>
    </row>
    <row r="1786">
      <c r="O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  <c r="AI1786" s="230"/>
    </row>
    <row r="1787">
      <c r="O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  <c r="AI1787" s="230"/>
    </row>
    <row r="1788">
      <c r="O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  <c r="AI1788" s="230"/>
    </row>
    <row r="1789">
      <c r="O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  <c r="AI1789" s="230"/>
    </row>
    <row r="1790">
      <c r="O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  <c r="AI1790" s="230"/>
    </row>
    <row r="1791">
      <c r="O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  <c r="AI1791" s="230"/>
    </row>
    <row r="1792">
      <c r="O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  <c r="AI1792" s="230"/>
    </row>
    <row r="1793">
      <c r="O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  <c r="AI1793" s="230"/>
    </row>
    <row r="1794">
      <c r="O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  <c r="AI1794" s="230"/>
    </row>
    <row r="1795">
      <c r="O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  <c r="AI1795" s="230"/>
    </row>
    <row r="1796">
      <c r="O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  <c r="AI1796" s="230"/>
    </row>
    <row r="1797">
      <c r="O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  <c r="AI1797" s="230"/>
    </row>
    <row r="1798">
      <c r="O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  <c r="AI1798" s="230"/>
    </row>
    <row r="1799">
      <c r="O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  <c r="AI1799" s="230"/>
    </row>
    <row r="1800">
      <c r="O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  <c r="AI1800" s="230"/>
    </row>
    <row r="1801">
      <c r="O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  <c r="AI1801" s="230"/>
    </row>
    <row r="1802">
      <c r="O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  <c r="AI1802" s="230"/>
    </row>
    <row r="1803">
      <c r="O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  <c r="AI1803" s="230"/>
    </row>
    <row r="1804">
      <c r="O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  <c r="AI1804" s="230"/>
    </row>
    <row r="1805">
      <c r="O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  <c r="AI1805" s="230"/>
    </row>
    <row r="1806">
      <c r="O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  <c r="AI1806" s="230"/>
    </row>
    <row r="1807">
      <c r="O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  <c r="AI1807" s="230"/>
    </row>
    <row r="1808">
      <c r="O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  <c r="AI1808" s="230"/>
    </row>
    <row r="1809">
      <c r="O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  <c r="AI1809" s="230"/>
    </row>
    <row r="1810">
      <c r="O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  <c r="AI1810" s="230"/>
    </row>
    <row r="1811">
      <c r="O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  <c r="AI1811" s="230"/>
    </row>
    <row r="1812">
      <c r="O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  <c r="AI1812" s="230"/>
    </row>
    <row r="1813">
      <c r="O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  <c r="AI1813" s="230"/>
    </row>
    <row r="1814">
      <c r="O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  <c r="AI1814" s="230"/>
    </row>
    <row r="1815">
      <c r="O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  <c r="AI1815" s="230"/>
    </row>
    <row r="1816">
      <c r="O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  <c r="AI1816" s="230"/>
    </row>
    <row r="1817">
      <c r="O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  <c r="AI1817" s="230"/>
    </row>
    <row r="1818">
      <c r="O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  <c r="AI1818" s="230"/>
    </row>
    <row r="1819">
      <c r="O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  <c r="AI1819" s="230"/>
    </row>
    <row r="1820">
      <c r="O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  <c r="AI1820" s="230"/>
    </row>
    <row r="1821">
      <c r="O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  <c r="AI1821" s="230"/>
    </row>
    <row r="1822">
      <c r="O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  <c r="AI1822" s="230"/>
    </row>
    <row r="1823">
      <c r="O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  <c r="AI1823" s="230"/>
    </row>
    <row r="1824">
      <c r="O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  <c r="AI1824" s="230"/>
    </row>
    <row r="1825">
      <c r="O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  <c r="AI1825" s="230"/>
    </row>
    <row r="1826">
      <c r="O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  <c r="AI1826" s="230"/>
    </row>
    <row r="1827">
      <c r="O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  <c r="AI1827" s="230"/>
    </row>
    <row r="1828">
      <c r="O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  <c r="AI1828" s="230"/>
    </row>
    <row r="1829">
      <c r="O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  <c r="AI1829" s="230"/>
    </row>
    <row r="1830">
      <c r="O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  <c r="AI1830" s="230"/>
    </row>
    <row r="1831">
      <c r="O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  <c r="AI1831" s="230"/>
    </row>
    <row r="1832">
      <c r="O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  <c r="AI1832" s="230"/>
    </row>
    <row r="1833">
      <c r="O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  <c r="AI1833" s="230"/>
    </row>
    <row r="1834">
      <c r="O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  <c r="AI1834" s="230"/>
    </row>
    <row r="1835">
      <c r="O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  <c r="AI1835" s="230"/>
    </row>
    <row r="1836">
      <c r="O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  <c r="AI1836" s="230"/>
    </row>
    <row r="1837">
      <c r="O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  <c r="AI1837" s="230"/>
    </row>
    <row r="1838">
      <c r="O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  <c r="AI1838" s="230"/>
    </row>
    <row r="1839">
      <c r="O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  <c r="AI1839" s="230"/>
    </row>
    <row r="1840">
      <c r="O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  <c r="AI1840" s="230"/>
    </row>
    <row r="1841">
      <c r="O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  <c r="AI1841" s="230"/>
    </row>
    <row r="1842">
      <c r="O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  <c r="AI1842" s="230"/>
    </row>
    <row r="1843">
      <c r="O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  <c r="AI1843" s="230"/>
    </row>
    <row r="1844">
      <c r="O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  <c r="AI1844" s="230"/>
    </row>
    <row r="1845">
      <c r="O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  <c r="AI1845" s="230"/>
    </row>
    <row r="1846">
      <c r="O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  <c r="AI1846" s="230"/>
    </row>
    <row r="1847">
      <c r="O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  <c r="AI1847" s="230"/>
    </row>
    <row r="1848">
      <c r="O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  <c r="AI1848" s="230"/>
    </row>
    <row r="1849">
      <c r="O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  <c r="AI1849" s="230"/>
    </row>
    <row r="1850">
      <c r="O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  <c r="AI1850" s="230"/>
    </row>
    <row r="1851">
      <c r="O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  <c r="AI1851" s="230"/>
    </row>
    <row r="1852">
      <c r="O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  <c r="AI1852" s="230"/>
    </row>
    <row r="1853">
      <c r="O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  <c r="AI1853" s="230"/>
    </row>
    <row r="1854">
      <c r="O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  <c r="AI1854" s="230"/>
    </row>
    <row r="1855">
      <c r="O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  <c r="AI1855" s="230"/>
    </row>
    <row r="1856">
      <c r="O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  <c r="AI1856" s="230"/>
    </row>
    <row r="1857">
      <c r="O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  <c r="AI1857" s="230"/>
    </row>
    <row r="1858">
      <c r="O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  <c r="AI1858" s="230"/>
    </row>
    <row r="1859">
      <c r="O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  <c r="AI1859" s="230"/>
    </row>
    <row r="1860">
      <c r="O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  <c r="AI1860" s="230"/>
    </row>
    <row r="1861">
      <c r="O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  <c r="AI1861" s="230"/>
    </row>
    <row r="1862">
      <c r="O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  <c r="AI1862" s="230"/>
    </row>
    <row r="1863">
      <c r="O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  <c r="AI1863" s="230"/>
    </row>
    <row r="1864">
      <c r="O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  <c r="AI1864" s="230"/>
    </row>
    <row r="1865">
      <c r="O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  <c r="AI1865" s="230"/>
    </row>
    <row r="1866">
      <c r="O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  <c r="AI1866" s="230"/>
    </row>
    <row r="1867">
      <c r="O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  <c r="AI1867" s="230"/>
    </row>
    <row r="1868">
      <c r="O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  <c r="AI1868" s="230"/>
    </row>
    <row r="1869">
      <c r="O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  <c r="AI1869" s="230"/>
    </row>
    <row r="1870">
      <c r="O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  <c r="AI1870" s="230"/>
    </row>
    <row r="1871">
      <c r="O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  <c r="AI1871" s="230"/>
    </row>
    <row r="1872">
      <c r="O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  <c r="AI1872" s="230"/>
    </row>
    <row r="1873">
      <c r="O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  <c r="AI1873" s="230"/>
    </row>
    <row r="1874">
      <c r="O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  <c r="AI1874" s="230"/>
    </row>
    <row r="1875">
      <c r="O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  <c r="AI1875" s="230"/>
    </row>
    <row r="1876">
      <c r="O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  <c r="AI1876" s="230"/>
    </row>
    <row r="1877">
      <c r="O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  <c r="AI1877" s="230"/>
    </row>
    <row r="1878">
      <c r="O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  <c r="AI1878" s="230"/>
    </row>
    <row r="1879">
      <c r="O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  <c r="AI1879" s="230"/>
    </row>
    <row r="1880">
      <c r="O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  <c r="AI1880" s="230"/>
    </row>
    <row r="1881">
      <c r="O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  <c r="AI1881" s="230"/>
    </row>
    <row r="1882">
      <c r="O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  <c r="AI1882" s="230"/>
    </row>
    <row r="1883">
      <c r="O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  <c r="AI1883" s="230"/>
    </row>
    <row r="1884">
      <c r="O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  <c r="AI1884" s="230"/>
    </row>
    <row r="1885">
      <c r="O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  <c r="AI1885" s="230"/>
    </row>
    <row r="1886">
      <c r="O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  <c r="AI1886" s="230"/>
    </row>
    <row r="1887">
      <c r="O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  <c r="AI1887" s="230"/>
    </row>
    <row r="1888">
      <c r="O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  <c r="AI1888" s="230"/>
    </row>
    <row r="1889">
      <c r="O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  <c r="AI1889" s="230"/>
    </row>
    <row r="1890">
      <c r="O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  <c r="AI1890" s="230"/>
    </row>
    <row r="1891">
      <c r="O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  <c r="AI1891" s="230"/>
    </row>
    <row r="1892">
      <c r="O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  <c r="AI1892" s="230"/>
    </row>
    <row r="1893">
      <c r="O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  <c r="AI1893" s="230"/>
    </row>
    <row r="1894">
      <c r="O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  <c r="AI1894" s="230"/>
    </row>
    <row r="1895">
      <c r="O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  <c r="AI1895" s="230"/>
    </row>
    <row r="1896">
      <c r="O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  <c r="AI1896" s="230"/>
    </row>
    <row r="1897">
      <c r="O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  <c r="AI1897" s="230"/>
    </row>
    <row r="1898">
      <c r="O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  <c r="AI1898" s="230"/>
    </row>
    <row r="1899">
      <c r="O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  <c r="AI1899" s="230"/>
    </row>
    <row r="1900">
      <c r="O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  <c r="AI1900" s="230"/>
    </row>
    <row r="1901">
      <c r="O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  <c r="AI1901" s="230"/>
    </row>
    <row r="1902">
      <c r="O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  <c r="AI1902" s="230"/>
    </row>
    <row r="1903">
      <c r="O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  <c r="AI1903" s="230"/>
    </row>
    <row r="1904">
      <c r="O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  <c r="AI1904" s="230"/>
    </row>
    <row r="1905">
      <c r="O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  <c r="AI1905" s="230"/>
    </row>
    <row r="1906">
      <c r="O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  <c r="AI1906" s="230"/>
    </row>
    <row r="1907">
      <c r="O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  <c r="AI1907" s="230"/>
    </row>
    <row r="1908">
      <c r="O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  <c r="AI1908" s="230"/>
    </row>
    <row r="1909">
      <c r="O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  <c r="AI1909" s="230"/>
    </row>
    <row r="1910">
      <c r="O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  <c r="AI1910" s="230"/>
    </row>
    <row r="1911">
      <c r="O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  <c r="AI1911" s="230"/>
    </row>
    <row r="1912">
      <c r="O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  <c r="AI1912" s="230"/>
    </row>
    <row r="1913">
      <c r="O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  <c r="AI1913" s="230"/>
    </row>
    <row r="1914">
      <c r="O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  <c r="AI1914" s="230"/>
    </row>
    <row r="1915">
      <c r="O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  <c r="AI1915" s="230"/>
    </row>
    <row r="1916">
      <c r="O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  <c r="AI1916" s="230"/>
    </row>
    <row r="1917">
      <c r="O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  <c r="AI1917" s="230"/>
    </row>
    <row r="1918">
      <c r="O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  <c r="AI1918" s="230"/>
    </row>
    <row r="1919">
      <c r="O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  <c r="AI1919" s="230"/>
    </row>
    <row r="1920">
      <c r="O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  <c r="AI1920" s="230"/>
    </row>
    <row r="1921">
      <c r="O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  <c r="AI1921" s="230"/>
    </row>
    <row r="1922">
      <c r="O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  <c r="AI1922" s="230"/>
    </row>
    <row r="1923">
      <c r="O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  <c r="AI1923" s="230"/>
    </row>
    <row r="1924">
      <c r="O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  <c r="AI1924" s="230"/>
    </row>
    <row r="1925">
      <c r="O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  <c r="AI1925" s="230"/>
    </row>
    <row r="1926">
      <c r="O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  <c r="AI1926" s="230"/>
    </row>
    <row r="1927">
      <c r="O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  <c r="AI1927" s="230"/>
    </row>
    <row r="1928">
      <c r="O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  <c r="AI1928" s="230"/>
    </row>
    <row r="1929">
      <c r="O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  <c r="AI1929" s="230"/>
    </row>
    <row r="1930">
      <c r="O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  <c r="AI1930" s="230"/>
    </row>
    <row r="1931">
      <c r="O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  <c r="AI1931" s="230"/>
    </row>
    <row r="1932">
      <c r="O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  <c r="AI1932" s="230"/>
    </row>
    <row r="1933">
      <c r="O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  <c r="AI1933" s="230"/>
    </row>
    <row r="1934">
      <c r="O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  <c r="AI1934" s="230"/>
    </row>
    <row r="1935">
      <c r="O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  <c r="AI1935" s="230"/>
    </row>
    <row r="1936">
      <c r="O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  <c r="AI1936" s="230"/>
    </row>
    <row r="1937">
      <c r="O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  <c r="AI1937" s="230"/>
    </row>
    <row r="1938">
      <c r="O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  <c r="AI1938" s="230"/>
    </row>
    <row r="1939">
      <c r="O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  <c r="AI1939" s="230"/>
    </row>
    <row r="1940">
      <c r="O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  <c r="AI1940" s="230"/>
    </row>
    <row r="1941">
      <c r="O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  <c r="AI1941" s="230"/>
    </row>
    <row r="1942">
      <c r="O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  <c r="AI1942" s="230"/>
    </row>
    <row r="1943">
      <c r="O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  <c r="AI1943" s="230"/>
    </row>
    <row r="1944">
      <c r="O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  <c r="AI1944" s="230"/>
    </row>
    <row r="1945">
      <c r="O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  <c r="AI1945" s="230"/>
    </row>
    <row r="1946">
      <c r="O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  <c r="AI1946" s="230"/>
    </row>
    <row r="1947">
      <c r="O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  <c r="AI1947" s="230"/>
    </row>
    <row r="1948">
      <c r="O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  <c r="AI1948" s="230"/>
    </row>
    <row r="1949">
      <c r="O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  <c r="AI1949" s="230"/>
    </row>
    <row r="1950">
      <c r="O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  <c r="AI1950" s="230"/>
    </row>
    <row r="1951">
      <c r="O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  <c r="AI1951" s="230"/>
    </row>
    <row r="1952">
      <c r="O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  <c r="AI1952" s="230"/>
    </row>
    <row r="1953">
      <c r="O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  <c r="AI1953" s="230"/>
    </row>
    <row r="1954">
      <c r="O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  <c r="AI1954" s="230"/>
    </row>
    <row r="1955">
      <c r="O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  <c r="AI1955" s="230"/>
    </row>
    <row r="1956">
      <c r="O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  <c r="AI1956" s="230"/>
    </row>
    <row r="1957">
      <c r="O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  <c r="AI1957" s="230"/>
    </row>
    <row r="1958">
      <c r="O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  <c r="AI1958" s="230"/>
    </row>
    <row r="1959">
      <c r="O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  <c r="AI1959" s="230"/>
    </row>
    <row r="1960">
      <c r="O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  <c r="AI1960" s="230"/>
    </row>
    <row r="1961">
      <c r="O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  <c r="AI1961" s="230"/>
    </row>
    <row r="1962">
      <c r="O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  <c r="AI1962" s="230"/>
    </row>
    <row r="1963">
      <c r="O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  <c r="AI1963" s="230"/>
    </row>
    <row r="1964">
      <c r="O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  <c r="AI1964" s="230"/>
    </row>
    <row r="1965">
      <c r="O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  <c r="AI1965" s="230"/>
    </row>
    <row r="1966">
      <c r="O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  <c r="AI1966" s="230"/>
    </row>
    <row r="1967">
      <c r="O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  <c r="AI1967" s="230"/>
    </row>
    <row r="1968">
      <c r="O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  <c r="AI1968" s="230"/>
    </row>
    <row r="1969">
      <c r="O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  <c r="AI1969" s="230"/>
    </row>
    <row r="1970">
      <c r="O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  <c r="AI1970" s="230"/>
    </row>
    <row r="1971">
      <c r="O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  <c r="AI1971" s="230"/>
    </row>
    <row r="1972">
      <c r="O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  <c r="AI1972" s="230"/>
    </row>
    <row r="1973">
      <c r="O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  <c r="AI1973" s="230"/>
    </row>
    <row r="1974">
      <c r="O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  <c r="AI1974" s="230"/>
    </row>
    <row r="1975">
      <c r="O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  <c r="AI1975" s="230"/>
    </row>
    <row r="1976">
      <c r="O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  <c r="AI1976" s="230"/>
    </row>
    <row r="1977">
      <c r="O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  <c r="AI1977" s="230"/>
    </row>
    <row r="1978">
      <c r="O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  <c r="AI1978" s="230"/>
    </row>
    <row r="1979">
      <c r="O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  <c r="AI1979" s="230"/>
    </row>
    <row r="1980">
      <c r="O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  <c r="AI1980" s="230"/>
    </row>
    <row r="1981">
      <c r="O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  <c r="AI1981" s="230"/>
    </row>
    <row r="1982">
      <c r="O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  <c r="AI1982" s="230"/>
    </row>
    <row r="1983">
      <c r="O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  <c r="AI1983" s="230"/>
    </row>
    <row r="1984">
      <c r="O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  <c r="AI1984" s="230"/>
    </row>
    <row r="1985">
      <c r="O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  <c r="AI1985" s="230"/>
    </row>
    <row r="1986">
      <c r="O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  <c r="AI1986" s="230"/>
    </row>
    <row r="1987">
      <c r="O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  <c r="AI1987" s="230"/>
    </row>
    <row r="1988">
      <c r="O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  <c r="AI1988" s="230"/>
    </row>
    <row r="1989">
      <c r="O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  <c r="AI1989" s="230"/>
    </row>
    <row r="1990">
      <c r="O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  <c r="AI1990" s="230"/>
    </row>
    <row r="1991">
      <c r="O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  <c r="AI1991" s="230"/>
    </row>
    <row r="1992">
      <c r="O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  <c r="AI1992" s="230"/>
    </row>
    <row r="1993">
      <c r="O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  <c r="AI1993" s="230"/>
    </row>
    <row r="1994">
      <c r="O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  <c r="AI1994" s="230"/>
    </row>
    <row r="1995">
      <c r="O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  <c r="AI1995" s="230"/>
    </row>
    <row r="1996">
      <c r="O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  <c r="AI1996" s="230"/>
    </row>
    <row r="1997">
      <c r="O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  <c r="AI1997" s="230"/>
    </row>
    <row r="1998">
      <c r="O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  <c r="AI1998" s="230"/>
    </row>
    <row r="1999">
      <c r="O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  <c r="AI1999" s="230"/>
    </row>
    <row r="2000">
      <c r="O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  <c r="AI2000" s="230"/>
    </row>
    <row r="2001">
      <c r="O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  <c r="AI2001" s="230"/>
    </row>
    <row r="2002">
      <c r="O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  <c r="AI2002" s="230"/>
    </row>
    <row r="2003">
      <c r="O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  <c r="AI2003" s="230"/>
    </row>
    <row r="2004">
      <c r="O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  <c r="AI2004" s="230"/>
    </row>
  </sheetData>
  <autoFilter ref="$A$1:$BM$2004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  <col customWidth="1" min="9" max="9" width="17.13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130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21.0</v>
      </c>
      <c r="C3" s="219">
        <v>444.5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2.0</v>
      </c>
      <c r="D6" s="212"/>
      <c r="E6" s="212"/>
      <c r="F6" s="221" t="s">
        <v>2577</v>
      </c>
    </row>
    <row r="7" ht="22.5" customHeight="1">
      <c r="A7" s="218" t="s">
        <v>255</v>
      </c>
      <c r="B7" s="216">
        <f>SUM('Sprint 22'!O:O)</f>
        <v>378</v>
      </c>
      <c r="C7" s="212">
        <f>ROUND(SUM('Sprint 22'!R:R)/3600,2)</f>
        <v>716</v>
      </c>
      <c r="D7" s="216">
        <f>SUMIF('Sprint 22'!J:J, "Done", 'Sprint 22'!O:O)</f>
        <v>97</v>
      </c>
      <c r="E7" s="212">
        <f>ROUND(SUMIF('Sprint 22'!J:J, "Done", 'Sprint 22'!R:R)/3600,2)</f>
        <v>225</v>
      </c>
      <c r="F7" s="217"/>
      <c r="I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22'!R:R, ('Sprint 22'!Q:Q = ""mid-sprint"")))/3600,0),2)"),0.0)</f>
        <v>0</v>
      </c>
      <c r="D9" s="212">
        <f>IFERROR(__xludf.DUMMYFUNCTION("IFERROR(SUM(FILTER('Sprint 22'!O:O, (('Sprint 22'!J:J = ""Done"")) * ('Sprint 22'!Q:Q = ""mid-sprint""))),0)"),0.0)</f>
        <v>0</v>
      </c>
      <c r="E9" s="212">
        <f>IFERROR(__xludf.DUMMYFUNCTION("ROUND(IFERROR(SUM(FILTER('Sprint 22'!R:R, (('Sprint 22'!J:J = ""Done"")) * ('Sprint 22'!P:P = ""mid-sprint"")))/3600,0),2)"),0.0)</f>
        <v>0</v>
      </c>
      <c r="F9" s="225" t="s">
        <v>257</v>
      </c>
    </row>
    <row r="10" ht="22.5" customHeight="1">
      <c r="A10" s="218" t="s">
        <v>258</v>
      </c>
      <c r="B10" s="212">
        <f>IFERROR(__xludf.DUMMYFUNCTION("ROUND(IFERROR(SUM(FILTER('Sprint 22'!R:R, ('Sprint 22'!Q:Q = ""change-request"")))/3600,0),2)"),0.0)</f>
        <v>0</v>
      </c>
      <c r="D10" s="212">
        <f>IFERROR(__xludf.DUMMYFUNCTION("IFERROR(SUM(FILTER('Sprint 22'!O:O, (('Sprint 22'!J:J = ""Done"")) * ('Sprint 22'!Q:Q = ""change-request""))),0)"),0.0)</f>
        <v>0</v>
      </c>
      <c r="E10" s="212">
        <f>IFERROR(__xludf.DUMMYFUNCTION("ROUND(IFERROR(SUM(FILTER('Sprint 22'!R:R, (('Sprint 22'!J:J = ""Done"")) * ('Sprint 22'!Q:Q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22'!O:O, ('Sprint 22'!E:E = ""Aek:Atiphat Nanthachitvanich""))),0)"),18.0)</f>
        <v>18</v>
      </c>
      <c r="C12" s="223">
        <f>IFERROR(__xludf.DUMMYFUNCTION("ROUND(IFERROR(SUM(FILTER('Sprint 22'!R:R, ('Sprint 22'!E:E = ""Aek:Atiphat Nanthachitvanich"")))/3600,0),2)"),52.0)</f>
        <v>52</v>
      </c>
      <c r="D12" s="216">
        <f>IFERROR(__xludf.DUMMYFUNCTION("IFERROR(SUM(FILTER('Sprint 22'!O:O, (('Sprint 22'!J:J = ""Done"")) * ('Sprint 22'!E:E = ""Aek:Atiphat Nanthachitvanich""))),0)"),18.0)</f>
        <v>18</v>
      </c>
      <c r="E12" s="223">
        <f>IFERROR(__xludf.DUMMYFUNCTION("ROUND(IFERROR(SUM(FILTER('Sprint 22'!R:R, (('Sprint 22'!J:J = ""Done"")) * ('Sprint 22'!E:E = ""Aek:Atiphat Nanthachitvanich"")))/3600,0),2)"),52.0)</f>
        <v>52</v>
      </c>
      <c r="F12" s="224"/>
    </row>
    <row r="13" ht="22.5" customHeight="1">
      <c r="A13" s="218" t="s">
        <v>32</v>
      </c>
      <c r="B13" s="216">
        <f>IFERROR(__xludf.DUMMYFUNCTION("IFERROR(SUM(FILTER('Sprint 22'!O:O, ('Sprint 22'!E:E = ""A:Phongthorn""))),0)"),54.0)</f>
        <v>54</v>
      </c>
      <c r="C13" s="223">
        <f>IFERROR(__xludf.DUMMYFUNCTION("ROUND(IFERROR(SUM(FILTER('Sprint 22'!R:R, ('Sprint 22'!E:E = ""A:Phongthorn"")))/3600,0),2)"),158.0)</f>
        <v>158</v>
      </c>
      <c r="D13" s="216">
        <f>IFERROR(__xludf.DUMMYFUNCTION("IFERROR(SUM(FILTER('Sprint 22'!O:O, (('Sprint 22'!J:J = ""Done"")) * ('Sprint 22'!E:E = ""A:Phongthorn""))),0)"),12.0)</f>
        <v>12</v>
      </c>
      <c r="E13" s="223">
        <f>IFERROR(__xludf.DUMMYFUNCTION("ROUND(IFERROR(SUM(FILTER('Sprint 22'!R:R, (('Sprint 22'!J:J = ""Done"")) * ('Sprint 22'!E:E = ""A:Phongthorn"")))/3600,0),2)"),24.0)</f>
        <v>24</v>
      </c>
      <c r="F13" s="224"/>
    </row>
    <row r="14" ht="22.5" customHeight="1">
      <c r="A14" s="218" t="s">
        <v>72</v>
      </c>
      <c r="B14" s="216">
        <f>IFERROR(__xludf.DUMMYFUNCTION("IFERROR(SUM(FILTER('Sprint 22'!O:O, ('Sprint 22'!E:E = ""Aom: Pornsawan Polnyiem""))),0)"),8.0)</f>
        <v>8</v>
      </c>
      <c r="C14" s="223">
        <f>IFERROR(__xludf.DUMMYFUNCTION("ROUND(IFERROR(SUM(FILTER('Sprint 22'!R:R, ('Sprint 22'!E:E = ""Aom: Pornsawan Polnyiem"")))/3600,0),2)"),16.0)</f>
        <v>16</v>
      </c>
      <c r="D14" s="216">
        <f>IFERROR(__xludf.DUMMYFUNCTION("IFERROR(SUM(FILTER('Sprint 22'!O:O, (('Sprint 22'!J:J = ""Done"")) * ('Sprint 22'!E:E = ""Aom: Pornsawan Polnyiem""))),0)"),8.0)</f>
        <v>8</v>
      </c>
      <c r="E14" s="223">
        <f>IFERROR(__xludf.DUMMYFUNCTION("ROUND(IFERROR(SUM(FILTER('Sprint 22'!R:R, (('Sprint 22'!J:J = ""Done"")) * ('Sprint 22'!E:E = ""Aom: Pornsawan Polnyiem"")))/3600,0),2)"),16.0)</f>
        <v>16</v>
      </c>
      <c r="F14" s="224"/>
    </row>
    <row r="15" ht="22.5" customHeight="1">
      <c r="A15" s="218" t="s">
        <v>24</v>
      </c>
      <c r="B15" s="216">
        <f>IFERROR(__xludf.DUMMYFUNCTION("IFERROR(SUM(FILTER('Sprint 22'!O:O, ('Sprint 22'!E:E = ""Zan : Isarapong Bulan""))),0)"),13.0)</f>
        <v>13</v>
      </c>
      <c r="C15" s="223">
        <f>IFERROR(__xludf.DUMMYFUNCTION("ROUND(IFERROR(SUM(FILTER('Sprint 22'!R:R, ('Sprint 22'!E:E = ""Zan : Isarapong Bulan"")))/3600,0),2)"),0.0)</f>
        <v>0</v>
      </c>
      <c r="D15" s="216">
        <f>IFERROR(__xludf.DUMMYFUNCTION("IFERROR(SUM(FILTER('Sprint 22'!O:O, (('Sprint 22'!J:J = ""Done"")) * ('Sprint 22'!E:E = ""Zan : Isarapong Bulan""))),0)"),5.0)</f>
        <v>5</v>
      </c>
      <c r="E15" s="223">
        <f>IFERROR(__xludf.DUMMYFUNCTION("ROUND(IFERROR(SUM(FILTER('Sprint 22'!R:R, (('Sprint 22'!J:J = ""Done"")) * ('Sprint 22'!E:E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22'!O:O, ('Sprint 22'!E:E = ""Mai:Sateta Abvanawong""))),0)"),56.0)</f>
        <v>56</v>
      </c>
      <c r="C16" s="223">
        <f>IFERROR(__xludf.DUMMYFUNCTION("ROUND(IFERROR(SUM(FILTER('Sprint 22'!R:R, ('Sprint 22'!E:E = ""Mai:Sateta Abvanawong"")))/3600,0),2)"),118.0)</f>
        <v>118</v>
      </c>
      <c r="D16" s="216">
        <f>IFERROR(__xludf.DUMMYFUNCTION("IFERROR(SUM(FILTER('Sprint 22'!O:O, (('Sprint 22'!J:J = ""Done"")) * ('Sprint 22'!E:E = ""Mai:Sateta Abvanawong""))),0)"),2.0)</f>
        <v>2</v>
      </c>
      <c r="E16" s="223">
        <f>IFERROR(__xludf.DUMMYFUNCTION("ROUND(IFERROR(SUM(FILTER('Sprint 22'!R:R, (('Sprint 22'!J:J = ""Done"")) * ('Sprint 22'!E:E = ""Mai:Sateta Abvanawong""))),0)/3600,2)"),4.0)</f>
        <v>4</v>
      </c>
      <c r="F16" s="224"/>
    </row>
    <row r="17" ht="22.5" customHeight="1">
      <c r="A17" s="218" t="s">
        <v>74</v>
      </c>
      <c r="B17" s="216">
        <f>IFERROR(__xludf.DUMMYFUNCTION("IFERROR(SUM(FILTER('Sprint 22'!O:O, ('Sprint 22'!E:E = ""Mac: Jarupong Pawichpongkul""))),0)"),56.0)</f>
        <v>56</v>
      </c>
      <c r="C17" s="223">
        <f>IFERROR(__xludf.DUMMYFUNCTION("ROUND(IFERROR(SUM(FILTER('Sprint 22'!R:R, ('Sprint 22'!E:E = ""Mac: Jarupong Pawichpongkul"")))/3600,0),2)"),143.0)</f>
        <v>143</v>
      </c>
      <c r="D17" s="216">
        <f>IFERROR(__xludf.DUMMYFUNCTION("IFERROR(SUM(FILTER('Sprint 22'!O:O, (('Sprint 22'!J:J = ""Done"")) * ('Sprint 22'!E:E = ""Mac: Jarupong Pawichpongkul""))),0)"),3.0)</f>
        <v>3</v>
      </c>
      <c r="E17" s="223">
        <f>IFERROR(__xludf.DUMMYFUNCTION("ROUND(IFERROR(SUM(FILTER('Sprint 22'!R:R, (('Sprint 22'!J:J = ""Done"")) * ('Sprint 22'!E:E = ""Mac: Jarupong Pawichpongkul"")))/3600,0),2)"),6.0)</f>
        <v>6</v>
      </c>
      <c r="F17" s="224"/>
    </row>
    <row r="18" ht="22.5" customHeight="1">
      <c r="A18" s="218" t="s">
        <v>75</v>
      </c>
      <c r="B18" s="216">
        <f>IFERROR(__xludf.DUMMYFUNCTION("IFERROR(SUM(FILTER('Sprint 22'!O:O, ('Sprint 22'!E:E = ""Moss : Kittapath Sangvikukit""))),0)"),55.0)</f>
        <v>55</v>
      </c>
      <c r="C18" s="223">
        <f>IFERROR(__xludf.DUMMYFUNCTION("ROUND(IFERROR(SUM(FILTER('Sprint 22'!R:R, ('Sprint 22'!E:E = ""Moss : Kittapath Sangvikukit"")))/3600,0),2)"),116.0)</f>
        <v>116</v>
      </c>
      <c r="D18" s="216">
        <f>IFERROR(__xludf.DUMMYFUNCTION("IFERROR(SUM(FILTER('Sprint 22'!O:O, (('Sprint 22'!J:J = ""Done"")) * ('Sprint 22'!E:E = ""Moss : Kittapath Sangvikukit""))),0)"),22.0)</f>
        <v>22</v>
      </c>
      <c r="E18" s="223">
        <f>IFERROR(__xludf.DUMMYFUNCTION("ROUND(IFERROR(SUM(FILTER('Sprint 22'!R:R, (('Sprint 22'!J:J = ""Done"")) * ('Sprint 22'!E:E = ""Moss : Kittapath Sangvikukit"")))/3600,0),2)"),66.0)</f>
        <v>66</v>
      </c>
      <c r="F18" s="224"/>
    </row>
    <row r="19" ht="22.5" customHeight="1">
      <c r="A19" s="218" t="s">
        <v>28</v>
      </c>
      <c r="B19" s="216">
        <f>IFERROR(__xludf.DUMMYFUNCTION("IFERROR(SUM(FILTER('Sprint 22'!O:O, ('Sprint 22'!E:E = ""Jack: Warin Kesorn""))),0)"),14.0)</f>
        <v>14</v>
      </c>
      <c r="C19" s="223">
        <f>IFERROR(__xludf.DUMMYFUNCTION("ROUND(IFERROR(SUM(FILTER('Sprint 22'!R:R, ('Sprint 22'!E:E = ""Jack: Warin Kesorn"")))/3600,0),2)"),0.0)</f>
        <v>0</v>
      </c>
      <c r="D19" s="216">
        <f>IFERROR(__xludf.DUMMYFUNCTION("IFERROR(SUM(FILTER('Sprint 22'!O:O, (('Sprint 22'!J:J = ""Done"")) * ('Sprint 22'!E:E = ""Jack: Warin Kesorn""))),0)"),6.0)</f>
        <v>6</v>
      </c>
      <c r="E19" s="223">
        <f>IFERROR(__xludf.DUMMYFUNCTION("ROUND(IFERROR(SUM(FILTER('Sprint 22'!R:R, (('Sprint 22'!J:J = ""Done"")) * ('Sprint 22'!E:E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22'!O:O, ('Sprint 22'!E:E = ""Nim : muthita munmueang""))),0)"),54.0)</f>
        <v>54</v>
      </c>
      <c r="C20" s="223">
        <f>IFERROR(__xludf.DUMMYFUNCTION("ROUND(IFERROR(SUM(FILTER('Sprint 22'!R:R, ('Sprint 22'!E:E = ""Nim : muthita munmueang"")))/3600,0),2)"),113.0)</f>
        <v>113</v>
      </c>
      <c r="D20" s="216">
        <f>IFERROR(__xludf.DUMMYFUNCTION("IFERROR(SUM(FILTER('Sprint 22'!O:O, (('Sprint 22'!J:J = ""Done"")) * ('Sprint 22'!E:E = ""Nim : muthita munmueang""))),0)"),18.0)</f>
        <v>18</v>
      </c>
      <c r="E20" s="223">
        <f>IFERROR(__xludf.DUMMYFUNCTION("ROUND(IFERROR(SUM(FILTER('Sprint 22'!R:R, (('Sprint 22'!J:J = ""Done"")) * ('Sprint 22'!E:E = ""Nim : muthita munmueang"")))/3600,0),2)"),57.0)</f>
        <v>57</v>
      </c>
      <c r="F20" s="224"/>
    </row>
    <row r="21" ht="22.5" customHeight="1">
      <c r="A21" s="221" t="s">
        <v>77</v>
      </c>
      <c r="B21" s="224">
        <f>IFERROR(__xludf.DUMMYFUNCTION("IFERROR(SUM(FILTER('Sprint 22'!O:O, ('Sprint 22'!E:E = ""Arm:Worawat Chotipongchoawalit""))),0)"),50.0)</f>
        <v>50</v>
      </c>
      <c r="C21" s="223">
        <f>IFERROR(__xludf.DUMMYFUNCTION("ROUND(IFERROR(SUM(FILTER('Sprint 22'!R:R, ('Sprint 22'!E:E = ""Arm:Worawat Chotipongchoawalit"")))/3600,0),2)"),0.0)</f>
        <v>0</v>
      </c>
      <c r="D21" s="216">
        <f>IFERROR(__xludf.DUMMYFUNCTION("IFERROR(SUM(FILTER('Sprint 22'!O:O, (('Sprint 22'!J:J = ""Done"")) * ('Sprint 22'!E:E = ""Arm:Worawat Chotipongchoawalit""))),0)"),3.0)</f>
        <v>3</v>
      </c>
      <c r="E21" s="223">
        <f>IFERROR(__xludf.DUMMYFUNCTION("ROUND(IFERROR(SUM(FILTER('Sprint 22'!R:R, (('Sprint 22'!J:J = ""Done"")) * ('Sprint 22'!E:E = ""Arm:Worawat Chotipongchoawalit"")))/3600,0),2)"),0.0)</f>
        <v>0</v>
      </c>
      <c r="F21" s="224"/>
    </row>
    <row r="22">
      <c r="C22" s="125"/>
    </row>
    <row r="23">
      <c r="C23" s="125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37" t="s">
        <v>2212</v>
      </c>
      <c r="J25" s="238" t="s">
        <v>2213</v>
      </c>
      <c r="K25" s="235"/>
    </row>
    <row r="26" ht="20.25" customHeight="1">
      <c r="A26" s="239" t="s">
        <v>2214</v>
      </c>
      <c r="B26" s="240" t="s">
        <v>30</v>
      </c>
      <c r="C26" s="240" t="s">
        <v>24</v>
      </c>
      <c r="D26" s="240" t="s">
        <v>72</v>
      </c>
      <c r="E26" s="240" t="s">
        <v>28</v>
      </c>
      <c r="F26" s="240" t="s">
        <v>32</v>
      </c>
      <c r="G26" s="240" t="s">
        <v>74</v>
      </c>
      <c r="H26" s="240" t="s">
        <v>73</v>
      </c>
      <c r="I26" s="240" t="s">
        <v>77</v>
      </c>
      <c r="J26" s="240" t="s">
        <v>75</v>
      </c>
      <c r="K26" s="240" t="s">
        <v>76</v>
      </c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>
      <c r="A27" s="101"/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>
      <c r="A28" s="101"/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ht="32.25" customHeight="1">
      <c r="A29" s="101"/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ht="22.5" customHeight="1">
      <c r="A30" s="101"/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>
      <c r="A31" s="101"/>
      <c r="B31" s="101"/>
      <c r="C31" s="99"/>
      <c r="D31" s="99"/>
      <c r="E31" s="99"/>
      <c r="F31" s="99"/>
      <c r="G31" s="99"/>
      <c r="H31" s="99"/>
      <c r="I31" s="99"/>
      <c r="J31" s="99"/>
      <c r="K31" s="99"/>
    </row>
    <row r="32" ht="21.0" customHeight="1">
      <c r="A32" s="101"/>
      <c r="B32" s="101"/>
      <c r="C32" s="99"/>
      <c r="D32" s="99"/>
      <c r="E32" s="99"/>
      <c r="F32" s="101"/>
      <c r="G32" s="99"/>
      <c r="H32" s="99"/>
      <c r="I32" s="99"/>
      <c r="J32" s="99"/>
      <c r="K32" s="99"/>
    </row>
    <row r="33">
      <c r="C33" s="125"/>
    </row>
    <row r="34">
      <c r="C34" s="125"/>
    </row>
    <row r="35">
      <c r="C35" s="125"/>
    </row>
    <row r="36">
      <c r="C36" s="125"/>
    </row>
    <row r="37">
      <c r="C37" s="125"/>
    </row>
    <row r="38">
      <c r="C38" s="125"/>
    </row>
    <row r="39">
      <c r="C39" s="125"/>
    </row>
    <row r="40">
      <c r="C40" s="125"/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</sheetData>
  <mergeCells count="3">
    <mergeCell ref="B25:E25"/>
    <mergeCell ref="F25:H25"/>
    <mergeCell ref="J25:K2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4" max="4" width="91.0"/>
    <col customWidth="1" min="15" max="15" width="18.13"/>
    <col customWidth="1" min="19" max="39" width="17.5"/>
    <col customWidth="1" min="40" max="40" width="21.38"/>
    <col customWidth="1" min="41" max="43" width="17.5"/>
    <col customWidth="1" min="44" max="44" width="21.25"/>
    <col customWidth="1" min="45" max="45" width="17.5"/>
    <col customWidth="1" min="46" max="46" width="21.25"/>
    <col customWidth="1" min="47" max="47" width="20.13"/>
    <col customWidth="1" min="48" max="48" width="21.25"/>
    <col customWidth="1" min="49" max="49" width="20.13"/>
    <col customWidth="1" min="50" max="50" width="21.25"/>
    <col customWidth="1" min="51" max="51" width="20.13"/>
    <col customWidth="1" min="53" max="53" width="17.5"/>
    <col customWidth="1" min="54" max="54" width="21.25"/>
    <col customWidth="1" min="55" max="55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275</v>
      </c>
      <c r="S1" s="102" t="s">
        <v>70</v>
      </c>
      <c r="T1" s="102" t="s">
        <v>70</v>
      </c>
      <c r="U1" s="102" t="s">
        <v>70</v>
      </c>
      <c r="V1" s="102" t="s">
        <v>70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Q1" s="102"/>
      <c r="AR1" s="102"/>
      <c r="BL1" s="88"/>
      <c r="BM1" s="88"/>
    </row>
    <row r="2">
      <c r="A2" s="102" t="s">
        <v>276</v>
      </c>
      <c r="B2" s="102" t="s">
        <v>2714</v>
      </c>
      <c r="C2" s="229" t="s">
        <v>2715</v>
      </c>
      <c r="D2" s="102" t="s">
        <v>279</v>
      </c>
      <c r="E2" s="102" t="s">
        <v>280</v>
      </c>
      <c r="F2" s="102" t="s">
        <v>281</v>
      </c>
      <c r="G2" s="102" t="s">
        <v>1987</v>
      </c>
      <c r="H2" s="102" t="s">
        <v>1988</v>
      </c>
      <c r="I2" s="102" t="s">
        <v>284</v>
      </c>
      <c r="J2" s="102" t="s">
        <v>63</v>
      </c>
      <c r="L2" s="229" t="s">
        <v>2716</v>
      </c>
      <c r="M2" s="229" t="s">
        <v>2716</v>
      </c>
      <c r="O2" s="230"/>
      <c r="R2" s="230"/>
      <c r="S2" s="102" t="s">
        <v>298</v>
      </c>
      <c r="T2" s="102" t="s">
        <v>299</v>
      </c>
    </row>
    <row r="3">
      <c r="A3" s="102" t="s">
        <v>276</v>
      </c>
      <c r="B3" s="102" t="s">
        <v>2718</v>
      </c>
      <c r="C3" s="229" t="s">
        <v>2719</v>
      </c>
      <c r="D3" s="102" t="s">
        <v>291</v>
      </c>
      <c r="E3" s="102" t="s">
        <v>280</v>
      </c>
      <c r="F3" s="102" t="s">
        <v>281</v>
      </c>
      <c r="G3" s="102" t="s">
        <v>1987</v>
      </c>
      <c r="H3" s="102" t="s">
        <v>1988</v>
      </c>
      <c r="I3" s="102" t="s">
        <v>284</v>
      </c>
      <c r="J3" s="102" t="s">
        <v>34</v>
      </c>
      <c r="L3" s="229" t="s">
        <v>2716</v>
      </c>
      <c r="M3" s="229" t="s">
        <v>3058</v>
      </c>
      <c r="O3" s="230"/>
      <c r="R3" s="230"/>
      <c r="S3" s="102" t="s">
        <v>298</v>
      </c>
      <c r="T3" s="102" t="s">
        <v>299</v>
      </c>
    </row>
    <row r="4">
      <c r="A4" s="102" t="s">
        <v>276</v>
      </c>
      <c r="B4" s="102" t="s">
        <v>2721</v>
      </c>
      <c r="C4" s="229" t="s">
        <v>2722</v>
      </c>
      <c r="D4" s="102" t="s">
        <v>279</v>
      </c>
      <c r="E4" s="102" t="s">
        <v>280</v>
      </c>
      <c r="F4" s="102" t="s">
        <v>281</v>
      </c>
      <c r="G4" s="102" t="s">
        <v>1987</v>
      </c>
      <c r="H4" s="102" t="s">
        <v>1988</v>
      </c>
      <c r="I4" s="102" t="s">
        <v>284</v>
      </c>
      <c r="J4" s="102" t="s">
        <v>63</v>
      </c>
      <c r="L4" s="229" t="s">
        <v>2716</v>
      </c>
      <c r="M4" s="229" t="s">
        <v>2716</v>
      </c>
      <c r="O4" s="230"/>
      <c r="R4" s="230"/>
      <c r="S4" s="102" t="s">
        <v>298</v>
      </c>
      <c r="T4" s="102" t="s">
        <v>299</v>
      </c>
    </row>
    <row r="5">
      <c r="A5" s="102" t="s">
        <v>276</v>
      </c>
      <c r="B5" s="102" t="s">
        <v>2724</v>
      </c>
      <c r="C5" s="229" t="s">
        <v>2725</v>
      </c>
      <c r="D5" s="102" t="s">
        <v>291</v>
      </c>
      <c r="E5" s="102" t="s">
        <v>280</v>
      </c>
      <c r="F5" s="102" t="s">
        <v>281</v>
      </c>
      <c r="G5" s="102" t="s">
        <v>1987</v>
      </c>
      <c r="H5" s="102" t="s">
        <v>1988</v>
      </c>
      <c r="I5" s="102" t="s">
        <v>284</v>
      </c>
      <c r="J5" s="102" t="s">
        <v>63</v>
      </c>
      <c r="L5" s="229" t="s">
        <v>2716</v>
      </c>
      <c r="M5" s="229" t="s">
        <v>2716</v>
      </c>
      <c r="O5" s="230"/>
      <c r="R5" s="230"/>
      <c r="S5" s="102" t="s">
        <v>298</v>
      </c>
      <c r="T5" s="102" t="s">
        <v>299</v>
      </c>
    </row>
    <row r="6">
      <c r="A6" s="102" t="s">
        <v>276</v>
      </c>
      <c r="B6" s="102" t="s">
        <v>2727</v>
      </c>
      <c r="C6" s="229" t="s">
        <v>2728</v>
      </c>
      <c r="D6" s="102" t="s">
        <v>279</v>
      </c>
      <c r="E6" s="102" t="s">
        <v>280</v>
      </c>
      <c r="F6" s="102" t="s">
        <v>281</v>
      </c>
      <c r="G6" s="102" t="s">
        <v>1987</v>
      </c>
      <c r="H6" s="102" t="s">
        <v>1988</v>
      </c>
      <c r="I6" s="102" t="s">
        <v>284</v>
      </c>
      <c r="J6" s="102" t="s">
        <v>63</v>
      </c>
      <c r="L6" s="229" t="s">
        <v>2716</v>
      </c>
      <c r="M6" s="229" t="s">
        <v>2716</v>
      </c>
      <c r="O6" s="230"/>
      <c r="R6" s="230"/>
      <c r="S6" s="102" t="s">
        <v>529</v>
      </c>
      <c r="T6" s="102" t="s">
        <v>298</v>
      </c>
      <c r="U6" s="102" t="s">
        <v>299</v>
      </c>
    </row>
    <row r="7">
      <c r="A7" s="102" t="s">
        <v>276</v>
      </c>
      <c r="B7" s="102" t="s">
        <v>2730</v>
      </c>
      <c r="C7" s="229" t="s">
        <v>2731</v>
      </c>
      <c r="D7" s="102" t="s">
        <v>291</v>
      </c>
      <c r="E7" s="102" t="s">
        <v>280</v>
      </c>
      <c r="F7" s="102" t="s">
        <v>281</v>
      </c>
      <c r="G7" s="102" t="s">
        <v>1987</v>
      </c>
      <c r="H7" s="102" t="s">
        <v>1988</v>
      </c>
      <c r="I7" s="102" t="s">
        <v>284</v>
      </c>
      <c r="J7" s="102" t="s">
        <v>34</v>
      </c>
      <c r="L7" s="229" t="s">
        <v>2716</v>
      </c>
      <c r="M7" s="229" t="s">
        <v>3058</v>
      </c>
      <c r="O7" s="230"/>
      <c r="R7" s="230"/>
      <c r="S7" s="102" t="s">
        <v>529</v>
      </c>
      <c r="T7" s="102" t="s">
        <v>298</v>
      </c>
      <c r="U7" s="102" t="s">
        <v>299</v>
      </c>
    </row>
    <row r="8">
      <c r="A8" s="102" t="s">
        <v>276</v>
      </c>
      <c r="B8" s="102" t="s">
        <v>2733</v>
      </c>
      <c r="C8" s="229" t="s">
        <v>2734</v>
      </c>
      <c r="D8" s="102" t="s">
        <v>279</v>
      </c>
      <c r="E8" s="102" t="s">
        <v>280</v>
      </c>
      <c r="F8" s="102" t="s">
        <v>281</v>
      </c>
      <c r="G8" s="102" t="s">
        <v>1987</v>
      </c>
      <c r="H8" s="102" t="s">
        <v>1988</v>
      </c>
      <c r="I8" s="102" t="s">
        <v>284</v>
      </c>
      <c r="J8" s="102" t="s">
        <v>63</v>
      </c>
      <c r="L8" s="229" t="s">
        <v>2735</v>
      </c>
      <c r="M8" s="229" t="s">
        <v>2735</v>
      </c>
      <c r="O8" s="230"/>
      <c r="R8" s="230"/>
      <c r="S8" s="102" t="s">
        <v>529</v>
      </c>
      <c r="T8" s="102" t="s">
        <v>298</v>
      </c>
      <c r="U8" s="102" t="s">
        <v>299</v>
      </c>
    </row>
    <row r="9">
      <c r="A9" s="102" t="s">
        <v>276</v>
      </c>
      <c r="B9" s="102" t="s">
        <v>2737</v>
      </c>
      <c r="C9" s="229" t="s">
        <v>2738</v>
      </c>
      <c r="D9" s="102" t="s">
        <v>291</v>
      </c>
      <c r="E9" s="102" t="s">
        <v>280</v>
      </c>
      <c r="F9" s="102" t="s">
        <v>281</v>
      </c>
      <c r="G9" s="102" t="s">
        <v>1987</v>
      </c>
      <c r="H9" s="102" t="s">
        <v>1988</v>
      </c>
      <c r="I9" s="102" t="s">
        <v>284</v>
      </c>
      <c r="J9" s="102" t="s">
        <v>26</v>
      </c>
      <c r="L9" s="229" t="s">
        <v>2735</v>
      </c>
      <c r="M9" s="229" t="s">
        <v>2739</v>
      </c>
      <c r="O9" s="230"/>
      <c r="R9" s="230"/>
      <c r="S9" s="102" t="s">
        <v>529</v>
      </c>
      <c r="T9" s="102" t="s">
        <v>298</v>
      </c>
      <c r="U9" s="102" t="s">
        <v>299</v>
      </c>
    </row>
    <row r="10">
      <c r="A10" s="102" t="s">
        <v>276</v>
      </c>
      <c r="B10" s="102" t="s">
        <v>2740</v>
      </c>
      <c r="C10" s="229" t="s">
        <v>2741</v>
      </c>
      <c r="D10" s="102" t="s">
        <v>279</v>
      </c>
      <c r="E10" s="102" t="s">
        <v>280</v>
      </c>
      <c r="F10" s="102" t="s">
        <v>281</v>
      </c>
      <c r="G10" s="102" t="s">
        <v>1987</v>
      </c>
      <c r="H10" s="102" t="s">
        <v>1988</v>
      </c>
      <c r="I10" s="102" t="s">
        <v>284</v>
      </c>
      <c r="J10" s="102" t="s">
        <v>63</v>
      </c>
      <c r="L10" s="229" t="s">
        <v>2742</v>
      </c>
      <c r="M10" s="229" t="s">
        <v>2742</v>
      </c>
      <c r="O10" s="230"/>
      <c r="R10" s="230"/>
      <c r="S10" s="102" t="s">
        <v>298</v>
      </c>
      <c r="T10" s="102" t="s">
        <v>299</v>
      </c>
    </row>
    <row r="11">
      <c r="A11" s="102" t="s">
        <v>276</v>
      </c>
      <c r="B11" s="102" t="s">
        <v>2744</v>
      </c>
      <c r="C11" s="229" t="s">
        <v>2745</v>
      </c>
      <c r="D11" s="102" t="s">
        <v>291</v>
      </c>
      <c r="E11" s="102" t="s">
        <v>280</v>
      </c>
      <c r="F11" s="102" t="s">
        <v>281</v>
      </c>
      <c r="G11" s="102" t="s">
        <v>1987</v>
      </c>
      <c r="H11" s="102" t="s">
        <v>1988</v>
      </c>
      <c r="I11" s="102" t="s">
        <v>284</v>
      </c>
      <c r="J11" s="102" t="s">
        <v>26</v>
      </c>
      <c r="L11" s="229" t="s">
        <v>2742</v>
      </c>
      <c r="M11" s="229" t="s">
        <v>2746</v>
      </c>
      <c r="O11" s="230"/>
      <c r="R11" s="230"/>
      <c r="S11" s="102" t="s">
        <v>298</v>
      </c>
      <c r="T11" s="102" t="s">
        <v>299</v>
      </c>
    </row>
    <row r="12">
      <c r="A12" s="102" t="s">
        <v>276</v>
      </c>
      <c r="B12" s="102" t="s">
        <v>3059</v>
      </c>
      <c r="C12" s="229" t="s">
        <v>3060</v>
      </c>
      <c r="D12" s="102" t="s">
        <v>3061</v>
      </c>
      <c r="E12" s="102" t="s">
        <v>521</v>
      </c>
      <c r="F12" s="102" t="s">
        <v>522</v>
      </c>
      <c r="G12" s="102" t="s">
        <v>521</v>
      </c>
      <c r="H12" s="102" t="s">
        <v>522</v>
      </c>
      <c r="I12" s="102" t="s">
        <v>284</v>
      </c>
      <c r="J12" s="102" t="s">
        <v>26</v>
      </c>
      <c r="L12" s="229" t="s">
        <v>3062</v>
      </c>
      <c r="M12" s="229" t="s">
        <v>3063</v>
      </c>
      <c r="O12" s="230"/>
      <c r="R12" s="230"/>
      <c r="S12" s="102" t="s">
        <v>1085</v>
      </c>
      <c r="T12" s="102" t="s">
        <v>529</v>
      </c>
      <c r="U12" s="102" t="s">
        <v>298</v>
      </c>
    </row>
    <row r="13">
      <c r="A13" s="102" t="s">
        <v>332</v>
      </c>
      <c r="B13" s="102" t="s">
        <v>2782</v>
      </c>
      <c r="C13" s="229" t="s">
        <v>2783</v>
      </c>
      <c r="D13" s="102" t="s">
        <v>2784</v>
      </c>
      <c r="E13" s="102" t="s">
        <v>328</v>
      </c>
      <c r="F13" s="102" t="s">
        <v>329</v>
      </c>
      <c r="G13" s="102" t="s">
        <v>280</v>
      </c>
      <c r="H13" s="102" t="s">
        <v>281</v>
      </c>
      <c r="I13" s="102" t="s">
        <v>284</v>
      </c>
      <c r="J13" s="102" t="s">
        <v>336</v>
      </c>
      <c r="L13" s="229" t="s">
        <v>2785</v>
      </c>
      <c r="M13" s="229" t="s">
        <v>2786</v>
      </c>
      <c r="O13" s="230"/>
      <c r="R13" s="230"/>
      <c r="S13" s="102" t="s">
        <v>298</v>
      </c>
      <c r="T13" s="102" t="s">
        <v>299</v>
      </c>
    </row>
    <row r="14">
      <c r="A14" s="102" t="s">
        <v>310</v>
      </c>
      <c r="B14" s="102" t="s">
        <v>1902</v>
      </c>
      <c r="C14" s="229" t="s">
        <v>1903</v>
      </c>
      <c r="D14" s="102" t="s">
        <v>1904</v>
      </c>
      <c r="E14" s="102" t="s">
        <v>556</v>
      </c>
      <c r="F14" s="102" t="s">
        <v>557</v>
      </c>
      <c r="G14" s="102" t="s">
        <v>353</v>
      </c>
      <c r="H14" s="102" t="s">
        <v>354</v>
      </c>
      <c r="I14" s="102" t="s">
        <v>284</v>
      </c>
      <c r="J14" s="102" t="s">
        <v>678</v>
      </c>
      <c r="L14" s="229" t="s">
        <v>1905</v>
      </c>
      <c r="M14" s="229" t="s">
        <v>2787</v>
      </c>
      <c r="N14" s="229" t="s">
        <v>1323</v>
      </c>
      <c r="O14" s="230"/>
      <c r="R14" s="230"/>
      <c r="S14" s="102" t="s">
        <v>1204</v>
      </c>
      <c r="T14" s="102" t="s">
        <v>1205</v>
      </c>
      <c r="U14" s="102" t="s">
        <v>1058</v>
      </c>
    </row>
    <row r="15">
      <c r="A15" s="102" t="s">
        <v>310</v>
      </c>
      <c r="B15" s="102" t="s">
        <v>2435</v>
      </c>
      <c r="C15" s="229" t="s">
        <v>2436</v>
      </c>
      <c r="D15" s="102" t="s">
        <v>2437</v>
      </c>
      <c r="E15" s="102" t="s">
        <v>564</v>
      </c>
      <c r="F15" s="102" t="s">
        <v>565</v>
      </c>
      <c r="G15" s="102" t="s">
        <v>353</v>
      </c>
      <c r="H15" s="102" t="s">
        <v>354</v>
      </c>
      <c r="I15" s="102" t="s">
        <v>284</v>
      </c>
      <c r="J15" s="102" t="s">
        <v>678</v>
      </c>
      <c r="L15" s="229" t="s">
        <v>2438</v>
      </c>
      <c r="M15" s="229" t="s">
        <v>2787</v>
      </c>
      <c r="N15" s="229" t="s">
        <v>1323</v>
      </c>
      <c r="O15" s="102">
        <v>2.0</v>
      </c>
      <c r="R15" s="102">
        <v>10800.0</v>
      </c>
      <c r="S15" s="102" t="s">
        <v>1204</v>
      </c>
      <c r="T15" s="102" t="s">
        <v>1205</v>
      </c>
      <c r="U15" s="102" t="s">
        <v>1058</v>
      </c>
    </row>
    <row r="16">
      <c r="A16" s="102" t="s">
        <v>276</v>
      </c>
      <c r="B16" s="102" t="s">
        <v>3064</v>
      </c>
      <c r="C16" s="229" t="s">
        <v>3065</v>
      </c>
      <c r="D16" s="102" t="s">
        <v>390</v>
      </c>
      <c r="G16" s="102" t="s">
        <v>391</v>
      </c>
      <c r="H16" s="102" t="s">
        <v>392</v>
      </c>
      <c r="I16" s="102" t="s">
        <v>284</v>
      </c>
      <c r="J16" s="102" t="s">
        <v>26</v>
      </c>
      <c r="L16" s="229" t="s">
        <v>3066</v>
      </c>
      <c r="M16" s="229" t="s">
        <v>3067</v>
      </c>
      <c r="O16" s="230"/>
      <c r="R16" s="230"/>
      <c r="S16" s="102" t="s">
        <v>2272</v>
      </c>
      <c r="T16" s="102" t="s">
        <v>2273</v>
      </c>
    </row>
    <row r="17">
      <c r="A17" s="102" t="s">
        <v>276</v>
      </c>
      <c r="B17" s="102" t="s">
        <v>3068</v>
      </c>
      <c r="C17" s="229" t="s">
        <v>3069</v>
      </c>
      <c r="D17" s="102" t="s">
        <v>398</v>
      </c>
      <c r="G17" s="102" t="s">
        <v>391</v>
      </c>
      <c r="H17" s="102" t="s">
        <v>392</v>
      </c>
      <c r="I17" s="102" t="s">
        <v>284</v>
      </c>
      <c r="J17" s="102" t="s">
        <v>26</v>
      </c>
      <c r="L17" s="229" t="s">
        <v>3070</v>
      </c>
      <c r="M17" s="229" t="s">
        <v>3071</v>
      </c>
      <c r="O17" s="230"/>
      <c r="R17" s="230"/>
      <c r="S17" s="102" t="s">
        <v>2272</v>
      </c>
      <c r="T17" s="102" t="s">
        <v>2273</v>
      </c>
    </row>
    <row r="18">
      <c r="A18" s="102" t="s">
        <v>276</v>
      </c>
      <c r="B18" s="102" t="s">
        <v>3072</v>
      </c>
      <c r="C18" s="229" t="s">
        <v>3073</v>
      </c>
      <c r="D18" s="102" t="s">
        <v>390</v>
      </c>
      <c r="E18" s="102" t="s">
        <v>391</v>
      </c>
      <c r="F18" s="102" t="s">
        <v>392</v>
      </c>
      <c r="G18" s="102" t="s">
        <v>391</v>
      </c>
      <c r="H18" s="102" t="s">
        <v>392</v>
      </c>
      <c r="I18" s="102" t="s">
        <v>284</v>
      </c>
      <c r="J18" s="102" t="s">
        <v>26</v>
      </c>
      <c r="L18" s="229" t="s">
        <v>3074</v>
      </c>
      <c r="M18" s="229" t="s">
        <v>3075</v>
      </c>
      <c r="O18" s="230"/>
      <c r="R18" s="230"/>
      <c r="S18" s="102" t="s">
        <v>2272</v>
      </c>
      <c r="T18" s="102" t="s">
        <v>2273</v>
      </c>
    </row>
    <row r="19">
      <c r="A19" s="102" t="s">
        <v>276</v>
      </c>
      <c r="B19" s="102" t="s">
        <v>3076</v>
      </c>
      <c r="C19" s="229" t="s">
        <v>3077</v>
      </c>
      <c r="D19" s="102" t="s">
        <v>398</v>
      </c>
      <c r="E19" s="102" t="s">
        <v>391</v>
      </c>
      <c r="F19" s="102" t="s">
        <v>392</v>
      </c>
      <c r="G19" s="102" t="s">
        <v>391</v>
      </c>
      <c r="H19" s="102" t="s">
        <v>392</v>
      </c>
      <c r="I19" s="102" t="s">
        <v>284</v>
      </c>
      <c r="J19" s="102" t="s">
        <v>26</v>
      </c>
      <c r="L19" s="229" t="s">
        <v>3078</v>
      </c>
      <c r="M19" s="229" t="s">
        <v>3079</v>
      </c>
      <c r="O19" s="230"/>
      <c r="R19" s="230"/>
      <c r="S19" s="102" t="s">
        <v>2272</v>
      </c>
      <c r="T19" s="102" t="s">
        <v>2273</v>
      </c>
    </row>
    <row r="20">
      <c r="A20" s="102" t="s">
        <v>310</v>
      </c>
      <c r="B20" s="102" t="s">
        <v>2799</v>
      </c>
      <c r="C20" s="229" t="s">
        <v>2800</v>
      </c>
      <c r="D20" s="102" t="s">
        <v>2801</v>
      </c>
      <c r="E20" s="102" t="s">
        <v>513</v>
      </c>
      <c r="F20" s="102" t="s">
        <v>514</v>
      </c>
      <c r="G20" s="102" t="s">
        <v>314</v>
      </c>
      <c r="H20" s="102" t="s">
        <v>315</v>
      </c>
      <c r="I20" s="102" t="s">
        <v>284</v>
      </c>
      <c r="J20" s="102" t="s">
        <v>26</v>
      </c>
      <c r="L20" s="229" t="s">
        <v>2802</v>
      </c>
      <c r="M20" s="229" t="s">
        <v>2803</v>
      </c>
      <c r="N20" s="229" t="s">
        <v>1304</v>
      </c>
      <c r="O20" s="102">
        <v>3.0</v>
      </c>
      <c r="R20" s="102">
        <v>28800.0</v>
      </c>
      <c r="S20" s="102" t="s">
        <v>298</v>
      </c>
      <c r="T20" s="102" t="s">
        <v>299</v>
      </c>
    </row>
    <row r="21">
      <c r="A21" s="102" t="s">
        <v>310</v>
      </c>
      <c r="B21" s="102" t="s">
        <v>2804</v>
      </c>
      <c r="C21" s="229" t="s">
        <v>2805</v>
      </c>
      <c r="D21" s="102" t="s">
        <v>2806</v>
      </c>
      <c r="E21" s="102" t="s">
        <v>495</v>
      </c>
      <c r="F21" s="102" t="s">
        <v>496</v>
      </c>
      <c r="G21" s="102" t="s">
        <v>304</v>
      </c>
      <c r="H21" s="102" t="s">
        <v>305</v>
      </c>
      <c r="I21" s="102" t="s">
        <v>284</v>
      </c>
      <c r="J21" s="102" t="s">
        <v>26</v>
      </c>
      <c r="L21" s="229" t="s">
        <v>2807</v>
      </c>
      <c r="M21" s="229" t="s">
        <v>2808</v>
      </c>
      <c r="N21" s="229" t="s">
        <v>1304</v>
      </c>
      <c r="O21" s="102">
        <v>1.0</v>
      </c>
      <c r="P21" s="102" t="s">
        <v>1305</v>
      </c>
      <c r="Q21" s="102" t="s">
        <v>593</v>
      </c>
      <c r="R21" s="102">
        <v>7200.0</v>
      </c>
      <c r="S21" s="102" t="s">
        <v>298</v>
      </c>
      <c r="T21" s="102" t="s">
        <v>299</v>
      </c>
    </row>
    <row r="22">
      <c r="A22" s="102" t="s">
        <v>310</v>
      </c>
      <c r="B22" s="102" t="s">
        <v>3080</v>
      </c>
      <c r="C22" s="229" t="s">
        <v>3081</v>
      </c>
      <c r="D22" s="102" t="s">
        <v>3082</v>
      </c>
      <c r="E22" s="102" t="s">
        <v>314</v>
      </c>
      <c r="F22" s="102" t="s">
        <v>315</v>
      </c>
      <c r="G22" s="102" t="s">
        <v>314</v>
      </c>
      <c r="H22" s="102" t="s">
        <v>315</v>
      </c>
      <c r="I22" s="102" t="s">
        <v>284</v>
      </c>
      <c r="J22" s="102" t="s">
        <v>26</v>
      </c>
      <c r="L22" s="229" t="s">
        <v>3083</v>
      </c>
      <c r="M22" s="229" t="s">
        <v>3084</v>
      </c>
      <c r="O22" s="102">
        <v>3.0</v>
      </c>
      <c r="R22" s="102">
        <v>28800.0</v>
      </c>
      <c r="S22" s="102" t="s">
        <v>2457</v>
      </c>
    </row>
    <row r="23">
      <c r="A23" s="102" t="s">
        <v>310</v>
      </c>
      <c r="B23" s="102" t="s">
        <v>3085</v>
      </c>
      <c r="C23" s="229" t="s">
        <v>3086</v>
      </c>
      <c r="D23" s="102" t="s">
        <v>3087</v>
      </c>
      <c r="E23" s="102" t="s">
        <v>314</v>
      </c>
      <c r="F23" s="102" t="s">
        <v>315</v>
      </c>
      <c r="G23" s="102" t="s">
        <v>314</v>
      </c>
      <c r="H23" s="102" t="s">
        <v>315</v>
      </c>
      <c r="I23" s="102" t="s">
        <v>284</v>
      </c>
      <c r="J23" s="102" t="s">
        <v>26</v>
      </c>
      <c r="L23" s="229" t="s">
        <v>3083</v>
      </c>
      <c r="M23" s="229" t="s">
        <v>3084</v>
      </c>
      <c r="O23" s="102">
        <v>3.0</v>
      </c>
      <c r="R23" s="102">
        <v>28800.0</v>
      </c>
      <c r="S23" s="102" t="s">
        <v>2457</v>
      </c>
    </row>
    <row r="24">
      <c r="A24" s="102" t="s">
        <v>310</v>
      </c>
      <c r="B24" s="102" t="s">
        <v>2810</v>
      </c>
      <c r="C24" s="229" t="s">
        <v>2811</v>
      </c>
      <c r="D24" s="102" t="s">
        <v>2812</v>
      </c>
      <c r="E24" s="102" t="s">
        <v>353</v>
      </c>
      <c r="F24" s="102" t="s">
        <v>354</v>
      </c>
      <c r="G24" s="102" t="s">
        <v>353</v>
      </c>
      <c r="H24" s="102" t="s">
        <v>354</v>
      </c>
      <c r="I24" s="102" t="s">
        <v>284</v>
      </c>
      <c r="J24" s="102" t="s">
        <v>26</v>
      </c>
      <c r="L24" s="229" t="s">
        <v>2813</v>
      </c>
      <c r="M24" s="229" t="s">
        <v>2814</v>
      </c>
      <c r="O24" s="102">
        <v>5.0</v>
      </c>
      <c r="R24" s="230"/>
      <c r="S24" s="102" t="s">
        <v>2815</v>
      </c>
      <c r="T24" s="102" t="s">
        <v>2816</v>
      </c>
    </row>
    <row r="25">
      <c r="A25" s="102" t="s">
        <v>310</v>
      </c>
      <c r="B25" s="102" t="s">
        <v>3088</v>
      </c>
      <c r="C25" s="229" t="s">
        <v>3089</v>
      </c>
      <c r="D25" s="102" t="s">
        <v>3090</v>
      </c>
      <c r="E25" s="102" t="s">
        <v>304</v>
      </c>
      <c r="F25" s="102" t="s">
        <v>305</v>
      </c>
      <c r="G25" s="102" t="s">
        <v>304</v>
      </c>
      <c r="H25" s="102" t="s">
        <v>305</v>
      </c>
      <c r="I25" s="102" t="s">
        <v>284</v>
      </c>
      <c r="J25" s="102" t="s">
        <v>26</v>
      </c>
      <c r="L25" s="229" t="s">
        <v>3091</v>
      </c>
      <c r="M25" s="229" t="s">
        <v>2438</v>
      </c>
      <c r="N25" s="229" t="s">
        <v>1304</v>
      </c>
      <c r="O25" s="102">
        <v>1.0</v>
      </c>
      <c r="P25" s="102" t="s">
        <v>27</v>
      </c>
      <c r="Q25" s="102" t="s">
        <v>593</v>
      </c>
      <c r="R25" s="230"/>
      <c r="S25" s="102" t="s">
        <v>298</v>
      </c>
    </row>
    <row r="26">
      <c r="A26" s="102" t="s">
        <v>310</v>
      </c>
      <c r="B26" s="102" t="s">
        <v>2823</v>
      </c>
      <c r="C26" s="229" t="s">
        <v>2824</v>
      </c>
      <c r="D26" s="102" t="s">
        <v>2825</v>
      </c>
      <c r="E26" s="102" t="s">
        <v>513</v>
      </c>
      <c r="F26" s="102" t="s">
        <v>514</v>
      </c>
      <c r="G26" s="102" t="s">
        <v>353</v>
      </c>
      <c r="H26" s="102" t="s">
        <v>354</v>
      </c>
      <c r="I26" s="102" t="s">
        <v>284</v>
      </c>
      <c r="J26" s="102" t="s">
        <v>678</v>
      </c>
      <c r="L26" s="229" t="s">
        <v>2826</v>
      </c>
      <c r="M26" s="229" t="s">
        <v>3092</v>
      </c>
      <c r="N26" s="229" t="s">
        <v>1304</v>
      </c>
      <c r="O26" s="102">
        <v>5.0</v>
      </c>
      <c r="R26" s="102">
        <v>57600.0</v>
      </c>
      <c r="S26" s="102" t="s">
        <v>2457</v>
      </c>
      <c r="T26" s="102" t="s">
        <v>1155</v>
      </c>
    </row>
    <row r="27">
      <c r="A27" s="102" t="s">
        <v>332</v>
      </c>
      <c r="B27" s="102" t="s">
        <v>3093</v>
      </c>
      <c r="C27" s="229" t="s">
        <v>3094</v>
      </c>
      <c r="D27" s="102" t="s">
        <v>3095</v>
      </c>
      <c r="E27" s="102" t="s">
        <v>513</v>
      </c>
      <c r="F27" s="102" t="s">
        <v>514</v>
      </c>
      <c r="G27" s="102" t="s">
        <v>280</v>
      </c>
      <c r="H27" s="102" t="s">
        <v>281</v>
      </c>
      <c r="I27" s="102" t="s">
        <v>284</v>
      </c>
      <c r="J27" s="102" t="s">
        <v>336</v>
      </c>
      <c r="L27" s="229" t="s">
        <v>3096</v>
      </c>
      <c r="M27" s="229" t="s">
        <v>3097</v>
      </c>
      <c r="O27" s="230"/>
      <c r="R27" s="230"/>
      <c r="S27" s="102" t="s">
        <v>529</v>
      </c>
      <c r="T27" s="102" t="s">
        <v>298</v>
      </c>
    </row>
    <row r="28">
      <c r="A28" s="102" t="s">
        <v>310</v>
      </c>
      <c r="B28" s="102" t="s">
        <v>2828</v>
      </c>
      <c r="C28" s="229" t="s">
        <v>2829</v>
      </c>
      <c r="D28" s="102" t="s">
        <v>2830</v>
      </c>
      <c r="E28" s="102" t="s">
        <v>584</v>
      </c>
      <c r="F28" s="102" t="s">
        <v>585</v>
      </c>
      <c r="G28" s="102" t="s">
        <v>353</v>
      </c>
      <c r="H28" s="102" t="s">
        <v>354</v>
      </c>
      <c r="I28" s="102" t="s">
        <v>284</v>
      </c>
      <c r="J28" s="102" t="s">
        <v>678</v>
      </c>
      <c r="L28" s="229" t="s">
        <v>2831</v>
      </c>
      <c r="M28" s="229" t="s">
        <v>2832</v>
      </c>
      <c r="O28" s="102">
        <v>1.0</v>
      </c>
      <c r="R28" s="230"/>
      <c r="S28" s="102" t="s">
        <v>2272</v>
      </c>
      <c r="T28" s="102" t="s">
        <v>2273</v>
      </c>
      <c r="U28" s="102" t="s">
        <v>2274</v>
      </c>
    </row>
    <row r="29">
      <c r="A29" s="102" t="s">
        <v>310</v>
      </c>
      <c r="B29" s="102" t="s">
        <v>2833</v>
      </c>
      <c r="C29" s="229" t="s">
        <v>2834</v>
      </c>
      <c r="D29" s="102" t="s">
        <v>2835</v>
      </c>
      <c r="E29" s="102" t="s">
        <v>556</v>
      </c>
      <c r="F29" s="102" t="s">
        <v>557</v>
      </c>
      <c r="G29" s="102" t="s">
        <v>282</v>
      </c>
      <c r="H29" s="102" t="s">
        <v>283</v>
      </c>
      <c r="I29" s="102" t="s">
        <v>284</v>
      </c>
      <c r="J29" s="102" t="s">
        <v>454</v>
      </c>
      <c r="L29" s="229" t="s">
        <v>2836</v>
      </c>
      <c r="M29" s="229" t="s">
        <v>2931</v>
      </c>
      <c r="O29" s="102">
        <v>3.0</v>
      </c>
      <c r="R29" s="230"/>
      <c r="S29" s="102" t="s">
        <v>529</v>
      </c>
      <c r="T29" s="102" t="s">
        <v>298</v>
      </c>
      <c r="U29" s="102" t="s">
        <v>299</v>
      </c>
    </row>
    <row r="30">
      <c r="A30" s="102" t="s">
        <v>310</v>
      </c>
      <c r="B30" s="102" t="s">
        <v>3098</v>
      </c>
      <c r="C30" s="229" t="s">
        <v>3099</v>
      </c>
      <c r="D30" s="102" t="s">
        <v>3100</v>
      </c>
      <c r="E30" s="102" t="s">
        <v>564</v>
      </c>
      <c r="F30" s="102" t="s">
        <v>565</v>
      </c>
      <c r="G30" s="102" t="s">
        <v>353</v>
      </c>
      <c r="H30" s="102" t="s">
        <v>354</v>
      </c>
      <c r="I30" s="102" t="s">
        <v>284</v>
      </c>
      <c r="J30" s="102" t="s">
        <v>26</v>
      </c>
      <c r="L30" s="229" t="s">
        <v>3101</v>
      </c>
      <c r="M30" s="229" t="s">
        <v>3102</v>
      </c>
      <c r="N30" s="229" t="s">
        <v>1202</v>
      </c>
      <c r="O30" s="102">
        <v>3.0</v>
      </c>
      <c r="R30" s="102">
        <v>21600.0</v>
      </c>
      <c r="S30" s="102" t="s">
        <v>2272</v>
      </c>
      <c r="T30" s="102" t="s">
        <v>2273</v>
      </c>
    </row>
    <row r="31">
      <c r="A31" s="102" t="s">
        <v>310</v>
      </c>
      <c r="B31" s="102" t="s">
        <v>3103</v>
      </c>
      <c r="C31" s="229" t="s">
        <v>3104</v>
      </c>
      <c r="D31" s="102" t="s">
        <v>3105</v>
      </c>
      <c r="E31" s="102" t="s">
        <v>584</v>
      </c>
      <c r="F31" s="102" t="s">
        <v>585</v>
      </c>
      <c r="G31" s="102" t="s">
        <v>353</v>
      </c>
      <c r="H31" s="102" t="s">
        <v>354</v>
      </c>
      <c r="I31" s="102" t="s">
        <v>284</v>
      </c>
      <c r="J31" s="102" t="s">
        <v>26</v>
      </c>
      <c r="L31" s="229" t="s">
        <v>3101</v>
      </c>
      <c r="M31" s="229" t="s">
        <v>3102</v>
      </c>
      <c r="O31" s="102">
        <v>5.0</v>
      </c>
      <c r="R31" s="230"/>
      <c r="S31" s="102" t="s">
        <v>2272</v>
      </c>
      <c r="T31" s="102" t="s">
        <v>2273</v>
      </c>
    </row>
    <row r="32">
      <c r="A32" s="102" t="s">
        <v>310</v>
      </c>
      <c r="B32" s="102" t="s">
        <v>2838</v>
      </c>
      <c r="C32" s="229" t="s">
        <v>2839</v>
      </c>
      <c r="D32" s="102" t="s">
        <v>2840</v>
      </c>
      <c r="E32" s="102" t="s">
        <v>495</v>
      </c>
      <c r="F32" s="102" t="s">
        <v>496</v>
      </c>
      <c r="G32" s="102" t="s">
        <v>304</v>
      </c>
      <c r="H32" s="102" t="s">
        <v>305</v>
      </c>
      <c r="I32" s="102" t="s">
        <v>284</v>
      </c>
      <c r="J32" s="102" t="s">
        <v>454</v>
      </c>
      <c r="L32" s="229" t="s">
        <v>2841</v>
      </c>
      <c r="M32" s="229" t="s">
        <v>3106</v>
      </c>
      <c r="N32" s="229" t="s">
        <v>1304</v>
      </c>
      <c r="O32" s="102">
        <v>1.0</v>
      </c>
      <c r="P32" s="102" t="s">
        <v>331</v>
      </c>
      <c r="R32" s="102">
        <v>7200.0</v>
      </c>
      <c r="S32" s="102" t="s">
        <v>298</v>
      </c>
      <c r="T32" s="102" t="s">
        <v>299</v>
      </c>
    </row>
    <row r="33">
      <c r="A33" s="102" t="s">
        <v>276</v>
      </c>
      <c r="B33" s="102" t="s">
        <v>2849</v>
      </c>
      <c r="C33" s="229" t="s">
        <v>2850</v>
      </c>
      <c r="D33" s="102" t="s">
        <v>2851</v>
      </c>
      <c r="E33" s="102" t="s">
        <v>495</v>
      </c>
      <c r="F33" s="102" t="s">
        <v>496</v>
      </c>
      <c r="G33" s="102" t="s">
        <v>304</v>
      </c>
      <c r="H33" s="102" t="s">
        <v>305</v>
      </c>
      <c r="I33" s="102" t="s">
        <v>284</v>
      </c>
      <c r="J33" s="102" t="s">
        <v>355</v>
      </c>
      <c r="L33" s="229" t="s">
        <v>2852</v>
      </c>
      <c r="M33" s="229" t="s">
        <v>3107</v>
      </c>
      <c r="O33" s="230"/>
      <c r="R33" s="230"/>
      <c r="S33" s="102" t="s">
        <v>298</v>
      </c>
      <c r="T33" s="102" t="s">
        <v>299</v>
      </c>
    </row>
    <row r="34">
      <c r="A34" s="102" t="s">
        <v>276</v>
      </c>
      <c r="B34" s="102" t="s">
        <v>2854</v>
      </c>
      <c r="C34" s="229" t="s">
        <v>2855</v>
      </c>
      <c r="D34" s="102" t="s">
        <v>2856</v>
      </c>
      <c r="E34" s="102" t="s">
        <v>495</v>
      </c>
      <c r="F34" s="102" t="s">
        <v>496</v>
      </c>
      <c r="G34" s="102" t="s">
        <v>304</v>
      </c>
      <c r="H34" s="102" t="s">
        <v>305</v>
      </c>
      <c r="I34" s="102" t="s">
        <v>284</v>
      </c>
      <c r="J34" s="102" t="s">
        <v>355</v>
      </c>
      <c r="L34" s="229" t="s">
        <v>2852</v>
      </c>
      <c r="M34" s="229" t="s">
        <v>3108</v>
      </c>
      <c r="O34" s="230"/>
      <c r="R34" s="230"/>
      <c r="S34" s="102" t="s">
        <v>298</v>
      </c>
      <c r="T34" s="102" t="s">
        <v>299</v>
      </c>
    </row>
    <row r="35">
      <c r="A35" s="102" t="s">
        <v>276</v>
      </c>
      <c r="B35" s="102" t="s">
        <v>2857</v>
      </c>
      <c r="C35" s="229" t="s">
        <v>2858</v>
      </c>
      <c r="D35" s="102" t="s">
        <v>2859</v>
      </c>
      <c r="E35" s="102" t="s">
        <v>495</v>
      </c>
      <c r="F35" s="102" t="s">
        <v>496</v>
      </c>
      <c r="G35" s="102" t="s">
        <v>304</v>
      </c>
      <c r="H35" s="102" t="s">
        <v>305</v>
      </c>
      <c r="I35" s="102" t="s">
        <v>284</v>
      </c>
      <c r="J35" s="102" t="s">
        <v>355</v>
      </c>
      <c r="L35" s="229" t="s">
        <v>2860</v>
      </c>
      <c r="M35" s="229" t="s">
        <v>3109</v>
      </c>
      <c r="O35" s="230"/>
      <c r="P35" s="102" t="s">
        <v>331</v>
      </c>
      <c r="R35" s="230"/>
      <c r="S35" s="102" t="s">
        <v>298</v>
      </c>
      <c r="T35" s="102" t="s">
        <v>299</v>
      </c>
    </row>
    <row r="36">
      <c r="A36" s="102" t="s">
        <v>276</v>
      </c>
      <c r="B36" s="102" t="s">
        <v>2861</v>
      </c>
      <c r="C36" s="229" t="s">
        <v>2862</v>
      </c>
      <c r="D36" s="102" t="s">
        <v>2863</v>
      </c>
      <c r="E36" s="102" t="s">
        <v>495</v>
      </c>
      <c r="F36" s="102" t="s">
        <v>496</v>
      </c>
      <c r="G36" s="102" t="s">
        <v>304</v>
      </c>
      <c r="H36" s="102" t="s">
        <v>305</v>
      </c>
      <c r="I36" s="102" t="s">
        <v>284</v>
      </c>
      <c r="J36" s="102" t="s">
        <v>355</v>
      </c>
      <c r="L36" s="229" t="s">
        <v>2860</v>
      </c>
      <c r="M36" s="229" t="s">
        <v>3109</v>
      </c>
      <c r="O36" s="230"/>
      <c r="R36" s="230"/>
      <c r="S36" s="102" t="s">
        <v>298</v>
      </c>
      <c r="T36" s="102" t="s">
        <v>299</v>
      </c>
    </row>
    <row r="37">
      <c r="A37" s="102" t="s">
        <v>276</v>
      </c>
      <c r="B37" s="102" t="s">
        <v>2864</v>
      </c>
      <c r="C37" s="229" t="s">
        <v>2865</v>
      </c>
      <c r="D37" s="102" t="s">
        <v>2866</v>
      </c>
      <c r="E37" s="102" t="s">
        <v>495</v>
      </c>
      <c r="F37" s="102" t="s">
        <v>496</v>
      </c>
      <c r="G37" s="102" t="s">
        <v>304</v>
      </c>
      <c r="H37" s="102" t="s">
        <v>305</v>
      </c>
      <c r="I37" s="102" t="s">
        <v>284</v>
      </c>
      <c r="J37" s="102" t="s">
        <v>355</v>
      </c>
      <c r="L37" s="229" t="s">
        <v>2860</v>
      </c>
      <c r="M37" s="229" t="s">
        <v>3108</v>
      </c>
      <c r="O37" s="230"/>
      <c r="R37" s="230"/>
      <c r="S37" s="102" t="s">
        <v>298</v>
      </c>
      <c r="T37" s="102" t="s">
        <v>299</v>
      </c>
    </row>
    <row r="38">
      <c r="A38" s="102" t="s">
        <v>276</v>
      </c>
      <c r="B38" s="102" t="s">
        <v>2868</v>
      </c>
      <c r="C38" s="229" t="s">
        <v>2869</v>
      </c>
      <c r="D38" s="102" t="s">
        <v>2870</v>
      </c>
      <c r="E38" s="102" t="s">
        <v>495</v>
      </c>
      <c r="F38" s="102" t="s">
        <v>496</v>
      </c>
      <c r="G38" s="102" t="s">
        <v>304</v>
      </c>
      <c r="H38" s="102" t="s">
        <v>305</v>
      </c>
      <c r="I38" s="102" t="s">
        <v>284</v>
      </c>
      <c r="J38" s="102" t="s">
        <v>355</v>
      </c>
      <c r="L38" s="229" t="s">
        <v>2871</v>
      </c>
      <c r="M38" s="229" t="s">
        <v>3107</v>
      </c>
      <c r="O38" s="230"/>
      <c r="P38" s="102" t="s">
        <v>331</v>
      </c>
      <c r="R38" s="230"/>
      <c r="S38" s="102" t="s">
        <v>298</v>
      </c>
      <c r="T38" s="102" t="s">
        <v>299</v>
      </c>
    </row>
    <row r="39">
      <c r="A39" s="102" t="s">
        <v>310</v>
      </c>
      <c r="B39" s="102" t="s">
        <v>2872</v>
      </c>
      <c r="C39" s="229" t="s">
        <v>2873</v>
      </c>
      <c r="D39" s="102" t="s">
        <v>2874</v>
      </c>
      <c r="E39" s="102" t="s">
        <v>495</v>
      </c>
      <c r="F39" s="102" t="s">
        <v>496</v>
      </c>
      <c r="G39" s="102" t="s">
        <v>304</v>
      </c>
      <c r="H39" s="102" t="s">
        <v>305</v>
      </c>
      <c r="I39" s="102" t="s">
        <v>284</v>
      </c>
      <c r="J39" s="102" t="s">
        <v>454</v>
      </c>
      <c r="L39" s="229" t="s">
        <v>2875</v>
      </c>
      <c r="M39" s="229" t="s">
        <v>3106</v>
      </c>
      <c r="N39" s="229" t="s">
        <v>1304</v>
      </c>
      <c r="O39" s="102">
        <v>8.0</v>
      </c>
      <c r="P39" s="102" t="s">
        <v>331</v>
      </c>
      <c r="R39" s="102">
        <v>57600.0</v>
      </c>
      <c r="S39" s="102" t="s">
        <v>298</v>
      </c>
      <c r="T39" s="102" t="s">
        <v>299</v>
      </c>
    </row>
    <row r="40">
      <c r="A40" s="102" t="s">
        <v>310</v>
      </c>
      <c r="B40" s="102" t="s">
        <v>3110</v>
      </c>
      <c r="C40" s="229" t="s">
        <v>3111</v>
      </c>
      <c r="D40" s="102" t="s">
        <v>3112</v>
      </c>
      <c r="E40" s="102" t="s">
        <v>495</v>
      </c>
      <c r="F40" s="102" t="s">
        <v>496</v>
      </c>
      <c r="G40" s="102" t="s">
        <v>282</v>
      </c>
      <c r="H40" s="102" t="s">
        <v>283</v>
      </c>
      <c r="I40" s="102" t="s">
        <v>284</v>
      </c>
      <c r="J40" s="102" t="s">
        <v>26</v>
      </c>
      <c r="L40" s="229" t="s">
        <v>3113</v>
      </c>
      <c r="M40" s="229" t="s">
        <v>3114</v>
      </c>
      <c r="N40" s="229" t="s">
        <v>1237</v>
      </c>
      <c r="O40" s="102">
        <v>3.0</v>
      </c>
      <c r="P40" s="102" t="s">
        <v>593</v>
      </c>
      <c r="R40" s="102">
        <v>28800.0</v>
      </c>
      <c r="S40" s="102" t="s">
        <v>529</v>
      </c>
      <c r="T40" s="102" t="s">
        <v>298</v>
      </c>
    </row>
    <row r="41">
      <c r="A41" s="102" t="s">
        <v>310</v>
      </c>
      <c r="B41" s="102" t="s">
        <v>1908</v>
      </c>
      <c r="C41" s="229" t="s">
        <v>1909</v>
      </c>
      <c r="D41" s="102" t="s">
        <v>1910</v>
      </c>
      <c r="E41" s="102" t="s">
        <v>584</v>
      </c>
      <c r="F41" s="102" t="s">
        <v>585</v>
      </c>
      <c r="G41" s="102" t="s">
        <v>282</v>
      </c>
      <c r="H41" s="102" t="s">
        <v>283</v>
      </c>
      <c r="I41" s="102" t="s">
        <v>284</v>
      </c>
      <c r="J41" s="102" t="s">
        <v>678</v>
      </c>
      <c r="L41" s="229" t="s">
        <v>1911</v>
      </c>
      <c r="M41" s="229" t="s">
        <v>3106</v>
      </c>
      <c r="N41" s="229" t="s">
        <v>1304</v>
      </c>
      <c r="O41" s="102">
        <v>3.0</v>
      </c>
      <c r="P41" s="102" t="s">
        <v>331</v>
      </c>
      <c r="R41" s="230"/>
      <c r="S41" s="102" t="s">
        <v>298</v>
      </c>
      <c r="T41" s="102" t="s">
        <v>299</v>
      </c>
    </row>
    <row r="42">
      <c r="A42" s="102" t="s">
        <v>310</v>
      </c>
      <c r="B42" s="102" t="s">
        <v>2881</v>
      </c>
      <c r="C42" s="229" t="s">
        <v>2882</v>
      </c>
      <c r="D42" s="102" t="s">
        <v>2883</v>
      </c>
      <c r="E42" s="102" t="s">
        <v>584</v>
      </c>
      <c r="F42" s="102" t="s">
        <v>585</v>
      </c>
      <c r="G42" s="102" t="s">
        <v>353</v>
      </c>
      <c r="H42" s="102" t="s">
        <v>354</v>
      </c>
      <c r="I42" s="102" t="s">
        <v>284</v>
      </c>
      <c r="J42" s="102" t="s">
        <v>2509</v>
      </c>
      <c r="L42" s="229" t="s">
        <v>2884</v>
      </c>
      <c r="M42" s="229" t="s">
        <v>2832</v>
      </c>
      <c r="O42" s="102">
        <v>2.0</v>
      </c>
      <c r="R42" s="102">
        <v>14400.0</v>
      </c>
      <c r="S42" s="102" t="s">
        <v>2272</v>
      </c>
      <c r="T42" s="102" t="s">
        <v>2273</v>
      </c>
      <c r="U42" s="102" t="s">
        <v>2274</v>
      </c>
    </row>
    <row r="43">
      <c r="A43" s="102" t="s">
        <v>310</v>
      </c>
      <c r="B43" s="102" t="s">
        <v>2892</v>
      </c>
      <c r="C43" s="229" t="s">
        <v>2893</v>
      </c>
      <c r="D43" s="102" t="s">
        <v>2894</v>
      </c>
      <c r="E43" s="102" t="s">
        <v>304</v>
      </c>
      <c r="F43" s="102" t="s">
        <v>305</v>
      </c>
      <c r="G43" s="102" t="s">
        <v>282</v>
      </c>
      <c r="H43" s="102" t="s">
        <v>283</v>
      </c>
      <c r="I43" s="102" t="s">
        <v>284</v>
      </c>
      <c r="J43" s="102" t="s">
        <v>34</v>
      </c>
      <c r="L43" s="229" t="s">
        <v>2895</v>
      </c>
      <c r="M43" s="229" t="s">
        <v>3115</v>
      </c>
      <c r="O43" s="102">
        <v>8.0</v>
      </c>
      <c r="P43" s="102" t="s">
        <v>593</v>
      </c>
      <c r="R43" s="230"/>
      <c r="S43" s="102" t="s">
        <v>298</v>
      </c>
      <c r="T43" s="102" t="s">
        <v>299</v>
      </c>
    </row>
    <row r="44">
      <c r="A44" s="102" t="s">
        <v>310</v>
      </c>
      <c r="B44" s="102" t="s">
        <v>3116</v>
      </c>
      <c r="C44" s="229" t="s">
        <v>3117</v>
      </c>
      <c r="D44" s="102" t="s">
        <v>3118</v>
      </c>
      <c r="E44" s="102" t="s">
        <v>314</v>
      </c>
      <c r="F44" s="102" t="s">
        <v>315</v>
      </c>
      <c r="G44" s="102" t="s">
        <v>314</v>
      </c>
      <c r="H44" s="102" t="s">
        <v>315</v>
      </c>
      <c r="I44" s="102" t="s">
        <v>284</v>
      </c>
      <c r="J44" s="102" t="s">
        <v>26</v>
      </c>
      <c r="L44" s="229" t="s">
        <v>3119</v>
      </c>
      <c r="M44" s="229" t="s">
        <v>3120</v>
      </c>
      <c r="O44" s="102">
        <v>2.0</v>
      </c>
      <c r="R44" s="102">
        <v>14400.0</v>
      </c>
      <c r="S44" s="102" t="s">
        <v>529</v>
      </c>
      <c r="T44" s="102" t="s">
        <v>298</v>
      </c>
    </row>
    <row r="45">
      <c r="A45" s="102" t="s">
        <v>310</v>
      </c>
      <c r="B45" s="102" t="s">
        <v>2897</v>
      </c>
      <c r="C45" s="229" t="s">
        <v>2898</v>
      </c>
      <c r="D45" s="102" t="s">
        <v>2899</v>
      </c>
      <c r="E45" s="102" t="s">
        <v>584</v>
      </c>
      <c r="F45" s="102" t="s">
        <v>585</v>
      </c>
      <c r="G45" s="102" t="s">
        <v>282</v>
      </c>
      <c r="H45" s="102" t="s">
        <v>283</v>
      </c>
      <c r="I45" s="102" t="s">
        <v>284</v>
      </c>
      <c r="J45" s="102" t="s">
        <v>454</v>
      </c>
      <c r="L45" s="229" t="s">
        <v>2900</v>
      </c>
      <c r="M45" s="229" t="s">
        <v>2931</v>
      </c>
      <c r="O45" s="102">
        <v>3.0</v>
      </c>
      <c r="R45" s="102">
        <v>28800.0</v>
      </c>
      <c r="S45" s="102" t="s">
        <v>529</v>
      </c>
      <c r="T45" s="102" t="s">
        <v>298</v>
      </c>
      <c r="U45" s="102" t="s">
        <v>299</v>
      </c>
    </row>
    <row r="46">
      <c r="A46" s="102" t="s">
        <v>310</v>
      </c>
      <c r="B46" s="102" t="s">
        <v>1933</v>
      </c>
      <c r="C46" s="229" t="s">
        <v>1934</v>
      </c>
      <c r="D46" s="102" t="s">
        <v>1935</v>
      </c>
      <c r="E46" s="102" t="s">
        <v>564</v>
      </c>
      <c r="F46" s="102" t="s">
        <v>565</v>
      </c>
      <c r="G46" s="102" t="s">
        <v>353</v>
      </c>
      <c r="H46" s="102" t="s">
        <v>354</v>
      </c>
      <c r="I46" s="102" t="s">
        <v>284</v>
      </c>
      <c r="J46" s="102" t="s">
        <v>678</v>
      </c>
      <c r="L46" s="229" t="s">
        <v>1936</v>
      </c>
      <c r="M46" s="229" t="s">
        <v>2787</v>
      </c>
      <c r="N46" s="229" t="s">
        <v>1275</v>
      </c>
      <c r="O46" s="102">
        <v>3.0</v>
      </c>
      <c r="R46" s="230"/>
      <c r="S46" s="102" t="s">
        <v>1204</v>
      </c>
      <c r="T46" s="102" t="s">
        <v>1205</v>
      </c>
      <c r="U46" s="102" t="s">
        <v>1058</v>
      </c>
    </row>
    <row r="47">
      <c r="A47" s="102" t="s">
        <v>310</v>
      </c>
      <c r="B47" s="102" t="s">
        <v>2916</v>
      </c>
      <c r="C47" s="229" t="s">
        <v>2917</v>
      </c>
      <c r="D47" s="102" t="s">
        <v>2918</v>
      </c>
      <c r="E47" s="102" t="s">
        <v>564</v>
      </c>
      <c r="F47" s="102" t="s">
        <v>565</v>
      </c>
      <c r="G47" s="102" t="s">
        <v>353</v>
      </c>
      <c r="H47" s="102" t="s">
        <v>354</v>
      </c>
      <c r="I47" s="102" t="s">
        <v>284</v>
      </c>
      <c r="J47" s="102" t="s">
        <v>678</v>
      </c>
      <c r="L47" s="229" t="s">
        <v>2919</v>
      </c>
      <c r="M47" s="229" t="s">
        <v>2787</v>
      </c>
      <c r="N47" s="229" t="s">
        <v>2798</v>
      </c>
      <c r="O47" s="102">
        <v>3.0</v>
      </c>
      <c r="R47" s="102">
        <v>21600.0</v>
      </c>
      <c r="S47" s="102" t="s">
        <v>1204</v>
      </c>
      <c r="T47" s="102" t="s">
        <v>1205</v>
      </c>
      <c r="U47" s="102" t="s">
        <v>1058</v>
      </c>
    </row>
    <row r="48">
      <c r="A48" s="102" t="s">
        <v>310</v>
      </c>
      <c r="B48" s="102" t="s">
        <v>1937</v>
      </c>
      <c r="C48" s="229" t="s">
        <v>1938</v>
      </c>
      <c r="D48" s="102" t="s">
        <v>1939</v>
      </c>
      <c r="E48" s="102" t="s">
        <v>564</v>
      </c>
      <c r="F48" s="102" t="s">
        <v>565</v>
      </c>
      <c r="G48" s="102" t="s">
        <v>353</v>
      </c>
      <c r="H48" s="102" t="s">
        <v>354</v>
      </c>
      <c r="I48" s="102" t="s">
        <v>284</v>
      </c>
      <c r="J48" s="102" t="s">
        <v>454</v>
      </c>
      <c r="L48" s="229" t="s">
        <v>1940</v>
      </c>
      <c r="M48" s="229" t="s">
        <v>2787</v>
      </c>
      <c r="N48" s="229" t="s">
        <v>1941</v>
      </c>
      <c r="O48" s="102">
        <v>3.0</v>
      </c>
      <c r="R48" s="102">
        <v>28800.0</v>
      </c>
      <c r="S48" s="102" t="s">
        <v>1203</v>
      </c>
      <c r="T48" s="102" t="s">
        <v>1204</v>
      </c>
      <c r="U48" s="102" t="s">
        <v>1205</v>
      </c>
      <c r="V48" s="102" t="s">
        <v>1058</v>
      </c>
    </row>
    <row r="49">
      <c r="A49" s="102" t="s">
        <v>310</v>
      </c>
      <c r="B49" s="102" t="s">
        <v>3121</v>
      </c>
      <c r="C49" s="229" t="s">
        <v>3122</v>
      </c>
      <c r="D49" s="102" t="s">
        <v>3123</v>
      </c>
      <c r="E49" s="102" t="s">
        <v>304</v>
      </c>
      <c r="F49" s="102" t="s">
        <v>305</v>
      </c>
      <c r="G49" s="102" t="s">
        <v>282</v>
      </c>
      <c r="H49" s="102" t="s">
        <v>283</v>
      </c>
      <c r="I49" s="102" t="s">
        <v>284</v>
      </c>
      <c r="J49" s="102" t="s">
        <v>26</v>
      </c>
      <c r="L49" s="229" t="s">
        <v>3124</v>
      </c>
      <c r="M49" s="229" t="s">
        <v>3125</v>
      </c>
      <c r="O49" s="102">
        <v>5.0</v>
      </c>
      <c r="P49" s="102" t="s">
        <v>593</v>
      </c>
      <c r="R49" s="230"/>
      <c r="S49" s="102" t="s">
        <v>298</v>
      </c>
    </row>
    <row r="50">
      <c r="A50" s="102" t="s">
        <v>310</v>
      </c>
      <c r="B50" s="102" t="s">
        <v>2922</v>
      </c>
      <c r="C50" s="229" t="s">
        <v>2923</v>
      </c>
      <c r="D50" s="102" t="s">
        <v>2924</v>
      </c>
      <c r="E50" s="102" t="s">
        <v>556</v>
      </c>
      <c r="F50" s="102" t="s">
        <v>557</v>
      </c>
      <c r="G50" s="102" t="s">
        <v>282</v>
      </c>
      <c r="H50" s="102" t="s">
        <v>283</v>
      </c>
      <c r="I50" s="102" t="s">
        <v>284</v>
      </c>
      <c r="J50" s="102" t="s">
        <v>454</v>
      </c>
      <c r="L50" s="229" t="s">
        <v>2925</v>
      </c>
      <c r="M50" s="229" t="s">
        <v>3106</v>
      </c>
      <c r="N50" s="229" t="s">
        <v>1304</v>
      </c>
      <c r="O50" s="102">
        <v>3.0</v>
      </c>
      <c r="P50" s="102" t="s">
        <v>435</v>
      </c>
      <c r="R50" s="102">
        <v>28800.0</v>
      </c>
      <c r="S50" s="102" t="s">
        <v>298</v>
      </c>
      <c r="T50" s="102" t="s">
        <v>299</v>
      </c>
    </row>
    <row r="51">
      <c r="A51" s="102" t="s">
        <v>332</v>
      </c>
      <c r="B51" s="102" t="s">
        <v>2926</v>
      </c>
      <c r="C51" s="229" t="s">
        <v>2927</v>
      </c>
      <c r="D51" s="102" t="s">
        <v>2928</v>
      </c>
      <c r="E51" s="102" t="s">
        <v>328</v>
      </c>
      <c r="F51" s="102" t="s">
        <v>329</v>
      </c>
      <c r="G51" s="102" t="s">
        <v>280</v>
      </c>
      <c r="H51" s="102" t="s">
        <v>281</v>
      </c>
      <c r="I51" s="102" t="s">
        <v>284</v>
      </c>
      <c r="J51" s="102" t="s">
        <v>3126</v>
      </c>
      <c r="L51" s="229" t="s">
        <v>2929</v>
      </c>
      <c r="M51" s="229" t="s">
        <v>3127</v>
      </c>
      <c r="O51" s="230"/>
      <c r="R51" s="230"/>
      <c r="S51" s="102" t="s">
        <v>298</v>
      </c>
      <c r="T51" s="102" t="s">
        <v>299</v>
      </c>
    </row>
    <row r="52">
      <c r="A52" s="102" t="s">
        <v>310</v>
      </c>
      <c r="B52" s="102" t="s">
        <v>1942</v>
      </c>
      <c r="C52" s="229" t="s">
        <v>1943</v>
      </c>
      <c r="D52" s="102" t="s">
        <v>1944</v>
      </c>
      <c r="E52" s="102" t="s">
        <v>584</v>
      </c>
      <c r="F52" s="102" t="s">
        <v>585</v>
      </c>
      <c r="G52" s="102" t="s">
        <v>282</v>
      </c>
      <c r="H52" s="102" t="s">
        <v>283</v>
      </c>
      <c r="I52" s="102" t="s">
        <v>284</v>
      </c>
      <c r="J52" s="102" t="s">
        <v>454</v>
      </c>
      <c r="L52" s="229" t="s">
        <v>1945</v>
      </c>
      <c r="M52" s="229" t="s">
        <v>2931</v>
      </c>
      <c r="O52" s="102">
        <v>3.0</v>
      </c>
      <c r="R52" s="230"/>
      <c r="S52" s="102" t="s">
        <v>298</v>
      </c>
      <c r="T52" s="102" t="s">
        <v>299</v>
      </c>
    </row>
    <row r="53">
      <c r="A53" s="102" t="s">
        <v>310</v>
      </c>
      <c r="B53" s="102" t="s">
        <v>2452</v>
      </c>
      <c r="C53" s="229" t="s">
        <v>2453</v>
      </c>
      <c r="D53" s="102" t="s">
        <v>2454</v>
      </c>
      <c r="E53" s="102" t="s">
        <v>353</v>
      </c>
      <c r="F53" s="102" t="s">
        <v>354</v>
      </c>
      <c r="G53" s="102" t="s">
        <v>314</v>
      </c>
      <c r="H53" s="102" t="s">
        <v>315</v>
      </c>
      <c r="I53" s="102" t="s">
        <v>648</v>
      </c>
      <c r="J53" s="102" t="s">
        <v>34</v>
      </c>
      <c r="L53" s="229" t="s">
        <v>2455</v>
      </c>
      <c r="M53" s="229" t="s">
        <v>3128</v>
      </c>
      <c r="O53" s="102">
        <v>8.0</v>
      </c>
      <c r="R53" s="230"/>
      <c r="S53" s="102" t="s">
        <v>1964</v>
      </c>
      <c r="T53" s="102" t="s">
        <v>2457</v>
      </c>
      <c r="U53" s="102" t="s">
        <v>1155</v>
      </c>
    </row>
    <row r="54">
      <c r="A54" s="102" t="s">
        <v>310</v>
      </c>
      <c r="B54" s="102" t="s">
        <v>3129</v>
      </c>
      <c r="C54" s="229" t="s">
        <v>3130</v>
      </c>
      <c r="D54" s="102" t="s">
        <v>3131</v>
      </c>
      <c r="E54" s="102" t="s">
        <v>314</v>
      </c>
      <c r="F54" s="102" t="s">
        <v>315</v>
      </c>
      <c r="G54" s="102" t="s">
        <v>314</v>
      </c>
      <c r="H54" s="102" t="s">
        <v>315</v>
      </c>
      <c r="I54" s="102" t="s">
        <v>284</v>
      </c>
      <c r="J54" s="102" t="s">
        <v>26</v>
      </c>
      <c r="L54" s="229" t="s">
        <v>3132</v>
      </c>
      <c r="M54" s="229" t="s">
        <v>3133</v>
      </c>
      <c r="O54" s="102">
        <v>5.0</v>
      </c>
      <c r="R54" s="102">
        <v>57600.0</v>
      </c>
      <c r="S54" s="102" t="s">
        <v>1964</v>
      </c>
      <c r="T54" s="102" t="s">
        <v>2457</v>
      </c>
    </row>
    <row r="55">
      <c r="A55" s="102" t="s">
        <v>310</v>
      </c>
      <c r="B55" s="102" t="s">
        <v>3134</v>
      </c>
      <c r="C55" s="229" t="s">
        <v>3135</v>
      </c>
      <c r="D55" s="102" t="s">
        <v>3136</v>
      </c>
      <c r="E55" s="102" t="s">
        <v>314</v>
      </c>
      <c r="F55" s="102" t="s">
        <v>315</v>
      </c>
      <c r="G55" s="102" t="s">
        <v>314</v>
      </c>
      <c r="H55" s="102" t="s">
        <v>315</v>
      </c>
      <c r="I55" s="102" t="s">
        <v>284</v>
      </c>
      <c r="J55" s="102" t="s">
        <v>26</v>
      </c>
      <c r="L55" s="229" t="s">
        <v>3137</v>
      </c>
      <c r="M55" s="229" t="s">
        <v>3133</v>
      </c>
      <c r="O55" s="102">
        <v>5.0</v>
      </c>
      <c r="R55" s="102">
        <v>57600.0</v>
      </c>
      <c r="S55" s="102" t="s">
        <v>1964</v>
      </c>
      <c r="T55" s="102" t="s">
        <v>2457</v>
      </c>
    </row>
    <row r="56">
      <c r="A56" s="102" t="s">
        <v>630</v>
      </c>
      <c r="B56" s="102" t="s">
        <v>1198</v>
      </c>
      <c r="C56" s="229" t="s">
        <v>1199</v>
      </c>
      <c r="D56" s="102" t="s">
        <v>1200</v>
      </c>
      <c r="G56" s="102" t="s">
        <v>353</v>
      </c>
      <c r="H56" s="102" t="s">
        <v>354</v>
      </c>
      <c r="I56" s="102" t="s">
        <v>284</v>
      </c>
      <c r="J56" s="102" t="s">
        <v>63</v>
      </c>
      <c r="L56" s="229" t="s">
        <v>1201</v>
      </c>
      <c r="M56" s="229" t="s">
        <v>2957</v>
      </c>
      <c r="N56" s="229" t="s">
        <v>1202</v>
      </c>
      <c r="O56" s="230"/>
      <c r="R56" s="230"/>
      <c r="S56" s="102" t="s">
        <v>1203</v>
      </c>
      <c r="T56" s="102" t="s">
        <v>1204</v>
      </c>
      <c r="U56" s="102" t="s">
        <v>1205</v>
      </c>
      <c r="V56" s="102" t="s">
        <v>1058</v>
      </c>
    </row>
    <row r="57">
      <c r="A57" s="102" t="s">
        <v>310</v>
      </c>
      <c r="B57" s="102" t="s">
        <v>1947</v>
      </c>
      <c r="C57" s="229" t="s">
        <v>1948</v>
      </c>
      <c r="D57" s="102" t="s">
        <v>1949</v>
      </c>
      <c r="E57" s="102" t="s">
        <v>556</v>
      </c>
      <c r="F57" s="102" t="s">
        <v>557</v>
      </c>
      <c r="G57" s="102" t="s">
        <v>282</v>
      </c>
      <c r="H57" s="102" t="s">
        <v>283</v>
      </c>
      <c r="I57" s="102" t="s">
        <v>648</v>
      </c>
      <c r="J57" s="102" t="s">
        <v>454</v>
      </c>
      <c r="L57" s="229" t="s">
        <v>1950</v>
      </c>
      <c r="M57" s="229" t="s">
        <v>2958</v>
      </c>
      <c r="N57" s="229" t="s">
        <v>1202</v>
      </c>
      <c r="O57" s="102">
        <v>5.0</v>
      </c>
      <c r="R57" s="102">
        <v>57600.0</v>
      </c>
      <c r="S57" s="102" t="s">
        <v>529</v>
      </c>
      <c r="T57" s="102" t="s">
        <v>298</v>
      </c>
      <c r="U57" s="102" t="s">
        <v>299</v>
      </c>
    </row>
    <row r="58">
      <c r="A58" s="102" t="s">
        <v>276</v>
      </c>
      <c r="B58" s="102" t="s">
        <v>2458</v>
      </c>
      <c r="C58" s="229" t="s">
        <v>2459</v>
      </c>
      <c r="D58" s="102" t="s">
        <v>2460</v>
      </c>
      <c r="E58" s="102" t="s">
        <v>584</v>
      </c>
      <c r="F58" s="102" t="s">
        <v>585</v>
      </c>
      <c r="G58" s="102" t="s">
        <v>584</v>
      </c>
      <c r="H58" s="102" t="s">
        <v>585</v>
      </c>
      <c r="I58" s="102" t="s">
        <v>284</v>
      </c>
      <c r="J58" s="102" t="s">
        <v>26</v>
      </c>
      <c r="L58" s="229" t="s">
        <v>2461</v>
      </c>
      <c r="M58" s="229" t="s">
        <v>2462</v>
      </c>
      <c r="O58" s="230"/>
      <c r="R58" s="230"/>
      <c r="S58" s="102" t="s">
        <v>2271</v>
      </c>
      <c r="T58" s="102" t="s">
        <v>2272</v>
      </c>
      <c r="U58" s="102" t="s">
        <v>2273</v>
      </c>
      <c r="V58" s="102" t="s">
        <v>2274</v>
      </c>
    </row>
    <row r="59">
      <c r="A59" s="102" t="s">
        <v>276</v>
      </c>
      <c r="B59" s="102" t="s">
        <v>2463</v>
      </c>
      <c r="C59" s="229" t="s">
        <v>2464</v>
      </c>
      <c r="D59" s="102" t="s">
        <v>2465</v>
      </c>
      <c r="E59" s="102" t="s">
        <v>584</v>
      </c>
      <c r="F59" s="102" t="s">
        <v>585</v>
      </c>
      <c r="G59" s="102" t="s">
        <v>584</v>
      </c>
      <c r="H59" s="102" t="s">
        <v>585</v>
      </c>
      <c r="I59" s="102" t="s">
        <v>284</v>
      </c>
      <c r="J59" s="102" t="s">
        <v>26</v>
      </c>
      <c r="L59" s="229" t="s">
        <v>2461</v>
      </c>
      <c r="M59" s="229" t="s">
        <v>2466</v>
      </c>
      <c r="O59" s="230"/>
      <c r="R59" s="102">
        <v>28800.0</v>
      </c>
      <c r="S59" s="102" t="s">
        <v>2271</v>
      </c>
      <c r="T59" s="102" t="s">
        <v>2272</v>
      </c>
      <c r="U59" s="102" t="s">
        <v>2273</v>
      </c>
      <c r="V59" s="102" t="s">
        <v>2274</v>
      </c>
    </row>
    <row r="60">
      <c r="A60" s="102" t="s">
        <v>276</v>
      </c>
      <c r="B60" s="102" t="s">
        <v>2467</v>
      </c>
      <c r="C60" s="229" t="s">
        <v>2468</v>
      </c>
      <c r="D60" s="102" t="s">
        <v>2469</v>
      </c>
      <c r="E60" s="102" t="s">
        <v>584</v>
      </c>
      <c r="F60" s="102" t="s">
        <v>585</v>
      </c>
      <c r="G60" s="102" t="s">
        <v>584</v>
      </c>
      <c r="H60" s="102" t="s">
        <v>585</v>
      </c>
      <c r="I60" s="102" t="s">
        <v>284</v>
      </c>
      <c r="J60" s="102" t="s">
        <v>26</v>
      </c>
      <c r="L60" s="229" t="s">
        <v>2470</v>
      </c>
      <c r="M60" s="229" t="s">
        <v>2466</v>
      </c>
      <c r="O60" s="230"/>
      <c r="R60" s="102">
        <v>14400.0</v>
      </c>
      <c r="S60" s="102" t="s">
        <v>2271</v>
      </c>
      <c r="T60" s="102" t="s">
        <v>2272</v>
      </c>
      <c r="U60" s="102" t="s">
        <v>2273</v>
      </c>
      <c r="V60" s="102" t="s">
        <v>2274</v>
      </c>
    </row>
    <row r="61">
      <c r="A61" s="102" t="s">
        <v>276</v>
      </c>
      <c r="B61" s="102" t="s">
        <v>2471</v>
      </c>
      <c r="C61" s="229" t="s">
        <v>2472</v>
      </c>
      <c r="D61" s="102" t="s">
        <v>2473</v>
      </c>
      <c r="E61" s="102" t="s">
        <v>584</v>
      </c>
      <c r="F61" s="102" t="s">
        <v>585</v>
      </c>
      <c r="G61" s="102" t="s">
        <v>584</v>
      </c>
      <c r="H61" s="102" t="s">
        <v>585</v>
      </c>
      <c r="I61" s="102" t="s">
        <v>284</v>
      </c>
      <c r="J61" s="102" t="s">
        <v>26</v>
      </c>
      <c r="L61" s="229" t="s">
        <v>2474</v>
      </c>
      <c r="M61" s="229" t="s">
        <v>2466</v>
      </c>
      <c r="O61" s="230"/>
      <c r="R61" s="102">
        <v>43200.0</v>
      </c>
      <c r="S61" s="102" t="s">
        <v>2271</v>
      </c>
      <c r="T61" s="102" t="s">
        <v>2272</v>
      </c>
      <c r="U61" s="102" t="s">
        <v>2273</v>
      </c>
      <c r="V61" s="102" t="s">
        <v>2274</v>
      </c>
    </row>
    <row r="62">
      <c r="A62" s="102" t="s">
        <v>310</v>
      </c>
      <c r="B62" s="102" t="s">
        <v>1951</v>
      </c>
      <c r="C62" s="229" t="s">
        <v>1952</v>
      </c>
      <c r="D62" s="102" t="s">
        <v>1953</v>
      </c>
      <c r="E62" s="102" t="s">
        <v>564</v>
      </c>
      <c r="F62" s="102" t="s">
        <v>565</v>
      </c>
      <c r="G62" s="102" t="s">
        <v>353</v>
      </c>
      <c r="H62" s="102" t="s">
        <v>354</v>
      </c>
      <c r="I62" s="102" t="s">
        <v>284</v>
      </c>
      <c r="J62" s="102" t="s">
        <v>454</v>
      </c>
      <c r="L62" s="229" t="s">
        <v>1954</v>
      </c>
      <c r="M62" s="229" t="s">
        <v>2787</v>
      </c>
      <c r="N62" s="229" t="s">
        <v>1955</v>
      </c>
      <c r="O62" s="102">
        <v>5.0</v>
      </c>
      <c r="P62" s="102" t="s">
        <v>1855</v>
      </c>
      <c r="R62" s="102">
        <v>43200.0</v>
      </c>
      <c r="S62" s="102" t="s">
        <v>1203</v>
      </c>
      <c r="T62" s="102" t="s">
        <v>1204</v>
      </c>
      <c r="U62" s="102" t="s">
        <v>1205</v>
      </c>
      <c r="V62" s="102" t="s">
        <v>1058</v>
      </c>
    </row>
    <row r="63">
      <c r="A63" s="102" t="s">
        <v>310</v>
      </c>
      <c r="B63" s="102" t="s">
        <v>3138</v>
      </c>
      <c r="C63" s="229" t="s">
        <v>3139</v>
      </c>
      <c r="D63" s="102" t="s">
        <v>3140</v>
      </c>
      <c r="E63" s="102" t="s">
        <v>282</v>
      </c>
      <c r="F63" s="102" t="s">
        <v>283</v>
      </c>
      <c r="G63" s="102" t="s">
        <v>282</v>
      </c>
      <c r="H63" s="102" t="s">
        <v>283</v>
      </c>
      <c r="I63" s="102" t="s">
        <v>284</v>
      </c>
      <c r="J63" s="102" t="s">
        <v>26</v>
      </c>
      <c r="L63" s="229" t="s">
        <v>3141</v>
      </c>
      <c r="M63" s="229" t="s">
        <v>3142</v>
      </c>
      <c r="O63" s="102">
        <v>8.0</v>
      </c>
      <c r="R63" s="102">
        <v>57600.0</v>
      </c>
      <c r="S63" s="102" t="s">
        <v>298</v>
      </c>
    </row>
    <row r="64">
      <c r="A64" s="102" t="s">
        <v>276</v>
      </c>
      <c r="B64" s="102" t="s">
        <v>2475</v>
      </c>
      <c r="C64" s="229" t="s">
        <v>2476</v>
      </c>
      <c r="D64" s="102" t="s">
        <v>347</v>
      </c>
      <c r="E64" s="102" t="s">
        <v>280</v>
      </c>
      <c r="F64" s="102" t="s">
        <v>281</v>
      </c>
      <c r="G64" s="102" t="s">
        <v>1987</v>
      </c>
      <c r="H64" s="102" t="s">
        <v>1988</v>
      </c>
      <c r="I64" s="102" t="s">
        <v>284</v>
      </c>
      <c r="J64" s="102" t="s">
        <v>63</v>
      </c>
      <c r="L64" s="229" t="s">
        <v>2477</v>
      </c>
      <c r="M64" s="229" t="s">
        <v>2477</v>
      </c>
      <c r="O64" s="230"/>
      <c r="R64" s="230"/>
      <c r="S64" s="102" t="s">
        <v>1085</v>
      </c>
      <c r="T64" s="102" t="s">
        <v>529</v>
      </c>
      <c r="U64" s="102" t="s">
        <v>298</v>
      </c>
      <c r="V64" s="102" t="s">
        <v>299</v>
      </c>
    </row>
    <row r="65">
      <c r="A65" s="102" t="s">
        <v>276</v>
      </c>
      <c r="B65" s="102" t="s">
        <v>2479</v>
      </c>
      <c r="C65" s="229" t="s">
        <v>2480</v>
      </c>
      <c r="D65" s="102" t="s">
        <v>2030</v>
      </c>
      <c r="E65" s="102" t="s">
        <v>280</v>
      </c>
      <c r="F65" s="102" t="s">
        <v>281</v>
      </c>
      <c r="G65" s="102" t="s">
        <v>1987</v>
      </c>
      <c r="H65" s="102" t="s">
        <v>1988</v>
      </c>
      <c r="I65" s="102" t="s">
        <v>284</v>
      </c>
      <c r="J65" s="102" t="s">
        <v>34</v>
      </c>
      <c r="L65" s="229" t="s">
        <v>2477</v>
      </c>
      <c r="M65" s="229" t="s">
        <v>2971</v>
      </c>
      <c r="O65" s="230"/>
      <c r="R65" s="230"/>
      <c r="S65" s="102" t="s">
        <v>1085</v>
      </c>
      <c r="T65" s="102" t="s">
        <v>529</v>
      </c>
      <c r="U65" s="102" t="s">
        <v>298</v>
      </c>
      <c r="V65" s="102" t="s">
        <v>299</v>
      </c>
    </row>
    <row r="66">
      <c r="A66" s="102" t="s">
        <v>310</v>
      </c>
      <c r="B66" s="102" t="s">
        <v>3143</v>
      </c>
      <c r="C66" s="229" t="s">
        <v>3144</v>
      </c>
      <c r="D66" s="102" t="s">
        <v>3145</v>
      </c>
      <c r="E66" s="102" t="s">
        <v>556</v>
      </c>
      <c r="F66" s="102" t="s">
        <v>557</v>
      </c>
      <c r="G66" s="102" t="s">
        <v>304</v>
      </c>
      <c r="H66" s="102" t="s">
        <v>305</v>
      </c>
      <c r="I66" s="102" t="s">
        <v>284</v>
      </c>
      <c r="J66" s="102" t="s">
        <v>26</v>
      </c>
      <c r="L66" s="229" t="s">
        <v>3146</v>
      </c>
      <c r="M66" s="229" t="s">
        <v>3147</v>
      </c>
      <c r="O66" s="102">
        <v>2.0</v>
      </c>
      <c r="P66" s="102" t="s">
        <v>331</v>
      </c>
      <c r="R66" s="102">
        <v>14400.0</v>
      </c>
      <c r="S66" s="102" t="s">
        <v>529</v>
      </c>
      <c r="T66" s="102" t="s">
        <v>298</v>
      </c>
    </row>
    <row r="67">
      <c r="A67" s="102" t="s">
        <v>276</v>
      </c>
      <c r="B67" s="102" t="s">
        <v>3148</v>
      </c>
      <c r="C67" s="229" t="s">
        <v>3149</v>
      </c>
      <c r="D67" s="102" t="s">
        <v>279</v>
      </c>
      <c r="E67" s="102" t="s">
        <v>280</v>
      </c>
      <c r="F67" s="102" t="s">
        <v>281</v>
      </c>
      <c r="G67" s="102" t="s">
        <v>1987</v>
      </c>
      <c r="H67" s="102" t="s">
        <v>1988</v>
      </c>
      <c r="I67" s="102" t="s">
        <v>284</v>
      </c>
      <c r="J67" s="102" t="s">
        <v>26</v>
      </c>
      <c r="L67" s="229" t="s">
        <v>2980</v>
      </c>
      <c r="M67" s="229" t="s">
        <v>3150</v>
      </c>
      <c r="O67" s="230"/>
      <c r="R67" s="230"/>
      <c r="S67" s="102" t="s">
        <v>1085</v>
      </c>
      <c r="T67" s="102" t="s">
        <v>529</v>
      </c>
      <c r="U67" s="102" t="s">
        <v>298</v>
      </c>
    </row>
    <row r="68">
      <c r="A68" s="102" t="s">
        <v>276</v>
      </c>
      <c r="B68" s="102" t="s">
        <v>3151</v>
      </c>
      <c r="C68" s="229" t="s">
        <v>3152</v>
      </c>
      <c r="D68" s="102" t="s">
        <v>279</v>
      </c>
      <c r="E68" s="102" t="s">
        <v>280</v>
      </c>
      <c r="F68" s="102" t="s">
        <v>281</v>
      </c>
      <c r="G68" s="102" t="s">
        <v>1987</v>
      </c>
      <c r="H68" s="102" t="s">
        <v>1988</v>
      </c>
      <c r="I68" s="102" t="s">
        <v>284</v>
      </c>
      <c r="J68" s="102" t="s">
        <v>26</v>
      </c>
      <c r="L68" s="229" t="s">
        <v>2980</v>
      </c>
      <c r="M68" s="229" t="s">
        <v>3153</v>
      </c>
      <c r="O68" s="230"/>
      <c r="R68" s="230"/>
      <c r="S68" s="102" t="s">
        <v>1085</v>
      </c>
      <c r="T68" s="102" t="s">
        <v>529</v>
      </c>
      <c r="U68" s="102" t="s">
        <v>298</v>
      </c>
    </row>
    <row r="69">
      <c r="A69" s="102" t="s">
        <v>276</v>
      </c>
      <c r="B69" s="102" t="s">
        <v>3154</v>
      </c>
      <c r="C69" s="229" t="s">
        <v>3155</v>
      </c>
      <c r="D69" s="102" t="s">
        <v>279</v>
      </c>
      <c r="E69" s="102" t="s">
        <v>280</v>
      </c>
      <c r="F69" s="102" t="s">
        <v>281</v>
      </c>
      <c r="G69" s="102" t="s">
        <v>1987</v>
      </c>
      <c r="H69" s="102" t="s">
        <v>1988</v>
      </c>
      <c r="I69" s="102" t="s">
        <v>284</v>
      </c>
      <c r="J69" s="102" t="s">
        <v>26</v>
      </c>
      <c r="L69" s="229" t="s">
        <v>2980</v>
      </c>
      <c r="M69" s="229" t="s">
        <v>3156</v>
      </c>
      <c r="O69" s="230"/>
      <c r="R69" s="230"/>
      <c r="S69" s="102" t="s">
        <v>1085</v>
      </c>
      <c r="T69" s="102" t="s">
        <v>529</v>
      </c>
      <c r="U69" s="102" t="s">
        <v>298</v>
      </c>
    </row>
    <row r="70">
      <c r="A70" s="102" t="s">
        <v>276</v>
      </c>
      <c r="B70" s="102" t="s">
        <v>3157</v>
      </c>
      <c r="C70" s="229" t="s">
        <v>3158</v>
      </c>
      <c r="D70" s="102" t="s">
        <v>279</v>
      </c>
      <c r="E70" s="102" t="s">
        <v>521</v>
      </c>
      <c r="F70" s="102" t="s">
        <v>522</v>
      </c>
      <c r="G70" s="102" t="s">
        <v>1987</v>
      </c>
      <c r="H70" s="102" t="s">
        <v>1988</v>
      </c>
      <c r="I70" s="102" t="s">
        <v>284</v>
      </c>
      <c r="J70" s="102" t="s">
        <v>26</v>
      </c>
      <c r="L70" s="229" t="s">
        <v>2980</v>
      </c>
      <c r="M70" s="229" t="s">
        <v>3063</v>
      </c>
      <c r="O70" s="230"/>
      <c r="R70" s="230"/>
      <c r="S70" s="102" t="s">
        <v>1085</v>
      </c>
      <c r="T70" s="102" t="s">
        <v>529</v>
      </c>
      <c r="U70" s="102" t="s">
        <v>298</v>
      </c>
    </row>
    <row r="71">
      <c r="A71" s="102" t="s">
        <v>276</v>
      </c>
      <c r="B71" s="102" t="s">
        <v>3159</v>
      </c>
      <c r="C71" s="229" t="s">
        <v>3160</v>
      </c>
      <c r="D71" s="102" t="s">
        <v>279</v>
      </c>
      <c r="E71" s="102" t="s">
        <v>521</v>
      </c>
      <c r="F71" s="102" t="s">
        <v>522</v>
      </c>
      <c r="G71" s="102" t="s">
        <v>1987</v>
      </c>
      <c r="H71" s="102" t="s">
        <v>1988</v>
      </c>
      <c r="I71" s="102" t="s">
        <v>284</v>
      </c>
      <c r="J71" s="102" t="s">
        <v>26</v>
      </c>
      <c r="L71" s="229" t="s">
        <v>2980</v>
      </c>
      <c r="M71" s="229" t="s">
        <v>3161</v>
      </c>
      <c r="O71" s="230"/>
      <c r="R71" s="230"/>
      <c r="S71" s="102" t="s">
        <v>1085</v>
      </c>
      <c r="T71" s="102" t="s">
        <v>529</v>
      </c>
      <c r="U71" s="102" t="s">
        <v>298</v>
      </c>
    </row>
    <row r="72">
      <c r="A72" s="102" t="s">
        <v>276</v>
      </c>
      <c r="B72" s="102" t="s">
        <v>2978</v>
      </c>
      <c r="C72" s="229" t="s">
        <v>2979</v>
      </c>
      <c r="D72" s="102" t="s">
        <v>279</v>
      </c>
      <c r="E72" s="102" t="s">
        <v>280</v>
      </c>
      <c r="F72" s="102" t="s">
        <v>281</v>
      </c>
      <c r="G72" s="102" t="s">
        <v>1987</v>
      </c>
      <c r="H72" s="102" t="s">
        <v>1988</v>
      </c>
      <c r="I72" s="102" t="s">
        <v>284</v>
      </c>
      <c r="J72" s="102" t="s">
        <v>355</v>
      </c>
      <c r="L72" s="229" t="s">
        <v>2980</v>
      </c>
      <c r="M72" s="229" t="s">
        <v>3162</v>
      </c>
      <c r="O72" s="230"/>
      <c r="R72" s="230"/>
      <c r="S72" s="102" t="s">
        <v>1085</v>
      </c>
      <c r="T72" s="102" t="s">
        <v>529</v>
      </c>
      <c r="U72" s="102" t="s">
        <v>298</v>
      </c>
      <c r="V72" s="102" t="s">
        <v>299</v>
      </c>
    </row>
    <row r="73">
      <c r="A73" s="102" t="s">
        <v>276</v>
      </c>
      <c r="B73" s="102" t="s">
        <v>2981</v>
      </c>
      <c r="C73" s="229" t="s">
        <v>2982</v>
      </c>
      <c r="D73" s="102" t="s">
        <v>279</v>
      </c>
      <c r="E73" s="102" t="s">
        <v>280</v>
      </c>
      <c r="F73" s="102" t="s">
        <v>281</v>
      </c>
      <c r="G73" s="102" t="s">
        <v>1987</v>
      </c>
      <c r="H73" s="102" t="s">
        <v>1988</v>
      </c>
      <c r="I73" s="102" t="s">
        <v>284</v>
      </c>
      <c r="J73" s="102" t="s">
        <v>34</v>
      </c>
      <c r="L73" s="229" t="s">
        <v>2980</v>
      </c>
      <c r="M73" s="229" t="s">
        <v>3163</v>
      </c>
      <c r="O73" s="230"/>
      <c r="R73" s="230"/>
      <c r="S73" s="102" t="s">
        <v>1085</v>
      </c>
      <c r="T73" s="102" t="s">
        <v>529</v>
      </c>
      <c r="U73" s="102" t="s">
        <v>298</v>
      </c>
      <c r="V73" s="102" t="s">
        <v>299</v>
      </c>
    </row>
    <row r="74">
      <c r="A74" s="102" t="s">
        <v>276</v>
      </c>
      <c r="B74" s="102" t="s">
        <v>3164</v>
      </c>
      <c r="C74" s="229" t="s">
        <v>3165</v>
      </c>
      <c r="D74" s="102" t="s">
        <v>279</v>
      </c>
      <c r="E74" s="102" t="s">
        <v>280</v>
      </c>
      <c r="F74" s="102" t="s">
        <v>281</v>
      </c>
      <c r="G74" s="102" t="s">
        <v>1987</v>
      </c>
      <c r="H74" s="102" t="s">
        <v>1988</v>
      </c>
      <c r="I74" s="102" t="s">
        <v>284</v>
      </c>
      <c r="J74" s="102" t="s">
        <v>26</v>
      </c>
      <c r="L74" s="229" t="s">
        <v>2980</v>
      </c>
      <c r="M74" s="229" t="s">
        <v>3166</v>
      </c>
      <c r="O74" s="230"/>
      <c r="R74" s="230"/>
      <c r="S74" s="102" t="s">
        <v>1085</v>
      </c>
      <c r="T74" s="102" t="s">
        <v>529</v>
      </c>
      <c r="U74" s="102" t="s">
        <v>298</v>
      </c>
    </row>
    <row r="75">
      <c r="A75" s="102" t="s">
        <v>276</v>
      </c>
      <c r="B75" s="102" t="s">
        <v>3167</v>
      </c>
      <c r="C75" s="229" t="s">
        <v>3168</v>
      </c>
      <c r="D75" s="102" t="s">
        <v>291</v>
      </c>
      <c r="E75" s="102" t="s">
        <v>280</v>
      </c>
      <c r="F75" s="102" t="s">
        <v>281</v>
      </c>
      <c r="G75" s="102" t="s">
        <v>1987</v>
      </c>
      <c r="H75" s="102" t="s">
        <v>1988</v>
      </c>
      <c r="I75" s="102" t="s">
        <v>284</v>
      </c>
      <c r="J75" s="102" t="s">
        <v>26</v>
      </c>
      <c r="L75" s="229" t="s">
        <v>2980</v>
      </c>
      <c r="M75" s="229" t="s">
        <v>3169</v>
      </c>
      <c r="O75" s="230"/>
      <c r="R75" s="230"/>
      <c r="S75" s="102" t="s">
        <v>1085</v>
      </c>
      <c r="T75" s="102" t="s">
        <v>529</v>
      </c>
      <c r="U75" s="102" t="s">
        <v>298</v>
      </c>
    </row>
    <row r="76">
      <c r="A76" s="102" t="s">
        <v>276</v>
      </c>
      <c r="B76" s="102" t="s">
        <v>3170</v>
      </c>
      <c r="C76" s="229" t="s">
        <v>3171</v>
      </c>
      <c r="D76" s="102" t="s">
        <v>291</v>
      </c>
      <c r="E76" s="102" t="s">
        <v>280</v>
      </c>
      <c r="F76" s="102" t="s">
        <v>281</v>
      </c>
      <c r="G76" s="102" t="s">
        <v>1987</v>
      </c>
      <c r="H76" s="102" t="s">
        <v>1988</v>
      </c>
      <c r="I76" s="102" t="s">
        <v>284</v>
      </c>
      <c r="J76" s="102" t="s">
        <v>26</v>
      </c>
      <c r="L76" s="229" t="s">
        <v>2980</v>
      </c>
      <c r="M76" s="229" t="s">
        <v>3172</v>
      </c>
      <c r="O76" s="230"/>
      <c r="R76" s="230"/>
      <c r="S76" s="102" t="s">
        <v>1085</v>
      </c>
      <c r="T76" s="102" t="s">
        <v>529</v>
      </c>
      <c r="U76" s="102" t="s">
        <v>298</v>
      </c>
    </row>
    <row r="77">
      <c r="A77" s="102" t="s">
        <v>276</v>
      </c>
      <c r="B77" s="102" t="s">
        <v>3173</v>
      </c>
      <c r="C77" s="229" t="s">
        <v>3174</v>
      </c>
      <c r="D77" s="102" t="s">
        <v>291</v>
      </c>
      <c r="E77" s="102" t="s">
        <v>280</v>
      </c>
      <c r="F77" s="102" t="s">
        <v>281</v>
      </c>
      <c r="G77" s="102" t="s">
        <v>1987</v>
      </c>
      <c r="H77" s="102" t="s">
        <v>1988</v>
      </c>
      <c r="I77" s="102" t="s">
        <v>284</v>
      </c>
      <c r="J77" s="102" t="s">
        <v>26</v>
      </c>
      <c r="L77" s="229" t="s">
        <v>2980</v>
      </c>
      <c r="M77" s="229" t="s">
        <v>3169</v>
      </c>
      <c r="O77" s="230"/>
      <c r="R77" s="230"/>
      <c r="S77" s="102" t="s">
        <v>1085</v>
      </c>
      <c r="T77" s="102" t="s">
        <v>529</v>
      </c>
      <c r="U77" s="102" t="s">
        <v>298</v>
      </c>
    </row>
    <row r="78">
      <c r="A78" s="102" t="s">
        <v>276</v>
      </c>
      <c r="B78" s="102" t="s">
        <v>3175</v>
      </c>
      <c r="C78" s="229" t="s">
        <v>3176</v>
      </c>
      <c r="D78" s="102" t="s">
        <v>291</v>
      </c>
      <c r="E78" s="102" t="s">
        <v>521</v>
      </c>
      <c r="F78" s="102" t="s">
        <v>522</v>
      </c>
      <c r="G78" s="102" t="s">
        <v>1987</v>
      </c>
      <c r="H78" s="102" t="s">
        <v>1988</v>
      </c>
      <c r="I78" s="102" t="s">
        <v>284</v>
      </c>
      <c r="J78" s="102" t="s">
        <v>26</v>
      </c>
      <c r="L78" s="229" t="s">
        <v>2980</v>
      </c>
      <c r="M78" s="229" t="s">
        <v>3169</v>
      </c>
      <c r="O78" s="230"/>
      <c r="R78" s="230"/>
      <c r="S78" s="102" t="s">
        <v>1085</v>
      </c>
      <c r="T78" s="102" t="s">
        <v>529</v>
      </c>
      <c r="U78" s="102" t="s">
        <v>298</v>
      </c>
    </row>
    <row r="79">
      <c r="A79" s="102" t="s">
        <v>276</v>
      </c>
      <c r="B79" s="102" t="s">
        <v>2984</v>
      </c>
      <c r="C79" s="229" t="s">
        <v>2985</v>
      </c>
      <c r="D79" s="102" t="s">
        <v>291</v>
      </c>
      <c r="E79" s="102" t="s">
        <v>280</v>
      </c>
      <c r="F79" s="102" t="s">
        <v>281</v>
      </c>
      <c r="G79" s="102" t="s">
        <v>1987</v>
      </c>
      <c r="H79" s="102" t="s">
        <v>1988</v>
      </c>
      <c r="I79" s="102" t="s">
        <v>284</v>
      </c>
      <c r="J79" s="102" t="s">
        <v>26</v>
      </c>
      <c r="L79" s="229" t="s">
        <v>2980</v>
      </c>
      <c r="M79" s="229" t="s">
        <v>2986</v>
      </c>
      <c r="O79" s="230"/>
      <c r="R79" s="230"/>
      <c r="S79" s="102" t="s">
        <v>1085</v>
      </c>
      <c r="T79" s="102" t="s">
        <v>529</v>
      </c>
      <c r="U79" s="102" t="s">
        <v>298</v>
      </c>
      <c r="V79" s="102" t="s">
        <v>299</v>
      </c>
    </row>
    <row r="80">
      <c r="A80" s="102" t="s">
        <v>276</v>
      </c>
      <c r="B80" s="102" t="s">
        <v>3177</v>
      </c>
      <c r="C80" s="229" t="s">
        <v>3178</v>
      </c>
      <c r="D80" s="102" t="s">
        <v>291</v>
      </c>
      <c r="E80" s="102" t="s">
        <v>521</v>
      </c>
      <c r="F80" s="102" t="s">
        <v>522</v>
      </c>
      <c r="G80" s="102" t="s">
        <v>1987</v>
      </c>
      <c r="H80" s="102" t="s">
        <v>1988</v>
      </c>
      <c r="I80" s="102" t="s">
        <v>284</v>
      </c>
      <c r="J80" s="102" t="s">
        <v>26</v>
      </c>
      <c r="L80" s="229" t="s">
        <v>2980</v>
      </c>
      <c r="M80" s="229" t="s">
        <v>3169</v>
      </c>
      <c r="O80" s="230"/>
      <c r="R80" s="230"/>
      <c r="S80" s="102" t="s">
        <v>1085</v>
      </c>
      <c r="T80" s="102" t="s">
        <v>529</v>
      </c>
      <c r="U80" s="102" t="s">
        <v>298</v>
      </c>
    </row>
    <row r="81">
      <c r="A81" s="102" t="s">
        <v>276</v>
      </c>
      <c r="B81" s="102" t="s">
        <v>2987</v>
      </c>
      <c r="C81" s="229" t="s">
        <v>2988</v>
      </c>
      <c r="D81" s="102" t="s">
        <v>291</v>
      </c>
      <c r="E81" s="102" t="s">
        <v>280</v>
      </c>
      <c r="F81" s="102" t="s">
        <v>281</v>
      </c>
      <c r="G81" s="102" t="s">
        <v>1987</v>
      </c>
      <c r="H81" s="102" t="s">
        <v>1988</v>
      </c>
      <c r="I81" s="102" t="s">
        <v>284</v>
      </c>
      <c r="J81" s="102" t="s">
        <v>26</v>
      </c>
      <c r="L81" s="229" t="s">
        <v>2980</v>
      </c>
      <c r="M81" s="229" t="s">
        <v>2986</v>
      </c>
      <c r="O81" s="230"/>
      <c r="R81" s="230"/>
      <c r="S81" s="102" t="s">
        <v>1085</v>
      </c>
      <c r="T81" s="102" t="s">
        <v>529</v>
      </c>
      <c r="U81" s="102" t="s">
        <v>298</v>
      </c>
      <c r="V81" s="102" t="s">
        <v>299</v>
      </c>
    </row>
    <row r="82">
      <c r="A82" s="102" t="s">
        <v>276</v>
      </c>
      <c r="B82" s="102" t="s">
        <v>3179</v>
      </c>
      <c r="C82" s="229" t="s">
        <v>3180</v>
      </c>
      <c r="D82" s="102" t="s">
        <v>291</v>
      </c>
      <c r="E82" s="102" t="s">
        <v>280</v>
      </c>
      <c r="F82" s="102" t="s">
        <v>281</v>
      </c>
      <c r="G82" s="102" t="s">
        <v>1987</v>
      </c>
      <c r="H82" s="102" t="s">
        <v>1988</v>
      </c>
      <c r="I82" s="102" t="s">
        <v>284</v>
      </c>
      <c r="J82" s="102" t="s">
        <v>26</v>
      </c>
      <c r="L82" s="229" t="s">
        <v>2980</v>
      </c>
      <c r="M82" s="229" t="s">
        <v>3169</v>
      </c>
      <c r="O82" s="230"/>
      <c r="R82" s="230"/>
      <c r="S82" s="102" t="s">
        <v>1085</v>
      </c>
      <c r="T82" s="102" t="s">
        <v>529</v>
      </c>
      <c r="U82" s="102" t="s">
        <v>298</v>
      </c>
    </row>
    <row r="83">
      <c r="A83" s="102" t="s">
        <v>276</v>
      </c>
      <c r="B83" s="102" t="s">
        <v>2488</v>
      </c>
      <c r="C83" s="229" t="s">
        <v>2489</v>
      </c>
      <c r="D83" s="102" t="s">
        <v>347</v>
      </c>
      <c r="G83" s="102" t="s">
        <v>1987</v>
      </c>
      <c r="H83" s="102" t="s">
        <v>1988</v>
      </c>
      <c r="I83" s="102" t="s">
        <v>284</v>
      </c>
      <c r="J83" s="102" t="s">
        <v>63</v>
      </c>
      <c r="L83" s="229" t="s">
        <v>2490</v>
      </c>
      <c r="M83" s="229" t="s">
        <v>2477</v>
      </c>
      <c r="O83" s="230"/>
      <c r="R83" s="230"/>
      <c r="S83" s="102" t="s">
        <v>1085</v>
      </c>
      <c r="T83" s="102" t="s">
        <v>529</v>
      </c>
      <c r="U83" s="102" t="s">
        <v>298</v>
      </c>
      <c r="V83" s="102" t="s">
        <v>299</v>
      </c>
    </row>
    <row r="84">
      <c r="A84" s="102" t="s">
        <v>276</v>
      </c>
      <c r="B84" s="102" t="s">
        <v>2492</v>
      </c>
      <c r="C84" s="229" t="s">
        <v>2493</v>
      </c>
      <c r="D84" s="102" t="s">
        <v>2030</v>
      </c>
      <c r="E84" s="102" t="s">
        <v>2494</v>
      </c>
      <c r="F84" s="102" t="s">
        <v>2495</v>
      </c>
      <c r="G84" s="102" t="s">
        <v>1987</v>
      </c>
      <c r="H84" s="102" t="s">
        <v>1988</v>
      </c>
      <c r="I84" s="102" t="s">
        <v>284</v>
      </c>
      <c r="J84" s="102" t="s">
        <v>34</v>
      </c>
      <c r="L84" s="229" t="s">
        <v>2490</v>
      </c>
      <c r="M84" s="229" t="s">
        <v>2477</v>
      </c>
      <c r="O84" s="230"/>
      <c r="R84" s="230"/>
      <c r="S84" s="102" t="s">
        <v>1085</v>
      </c>
      <c r="T84" s="102" t="s">
        <v>529</v>
      </c>
      <c r="U84" s="102" t="s">
        <v>298</v>
      </c>
      <c r="V84" s="102" t="s">
        <v>299</v>
      </c>
    </row>
    <row r="85">
      <c r="A85" s="102" t="s">
        <v>276</v>
      </c>
      <c r="B85" s="102" t="s">
        <v>2497</v>
      </c>
      <c r="C85" s="229" t="s">
        <v>2498</v>
      </c>
      <c r="D85" s="102" t="s">
        <v>347</v>
      </c>
      <c r="G85" s="102" t="s">
        <v>1987</v>
      </c>
      <c r="H85" s="102" t="s">
        <v>1988</v>
      </c>
      <c r="I85" s="102" t="s">
        <v>284</v>
      </c>
      <c r="J85" s="102" t="s">
        <v>63</v>
      </c>
      <c r="L85" s="229" t="s">
        <v>2490</v>
      </c>
      <c r="M85" s="229" t="s">
        <v>2989</v>
      </c>
      <c r="O85" s="230"/>
      <c r="R85" s="230"/>
      <c r="S85" s="102" t="s">
        <v>1085</v>
      </c>
      <c r="T85" s="102" t="s">
        <v>529</v>
      </c>
      <c r="U85" s="102" t="s">
        <v>298</v>
      </c>
      <c r="V85" s="102" t="s">
        <v>299</v>
      </c>
    </row>
    <row r="86">
      <c r="A86" s="102" t="s">
        <v>276</v>
      </c>
      <c r="B86" s="102" t="s">
        <v>2500</v>
      </c>
      <c r="C86" s="229" t="s">
        <v>2501</v>
      </c>
      <c r="D86" s="102" t="s">
        <v>2030</v>
      </c>
      <c r="E86" s="102" t="s">
        <v>2494</v>
      </c>
      <c r="F86" s="102" t="s">
        <v>2495</v>
      </c>
      <c r="G86" s="102" t="s">
        <v>1987</v>
      </c>
      <c r="H86" s="102" t="s">
        <v>1988</v>
      </c>
      <c r="I86" s="102" t="s">
        <v>284</v>
      </c>
      <c r="J86" s="102" t="s">
        <v>34</v>
      </c>
      <c r="L86" s="229" t="s">
        <v>2490</v>
      </c>
      <c r="M86" s="229" t="s">
        <v>2989</v>
      </c>
      <c r="O86" s="230"/>
      <c r="R86" s="230"/>
      <c r="S86" s="102" t="s">
        <v>1085</v>
      </c>
      <c r="T86" s="102" t="s">
        <v>529</v>
      </c>
      <c r="U86" s="102" t="s">
        <v>298</v>
      </c>
      <c r="V86" s="102" t="s">
        <v>299</v>
      </c>
    </row>
    <row r="87">
      <c r="A87" s="102" t="s">
        <v>310</v>
      </c>
      <c r="B87" s="102" t="s">
        <v>2990</v>
      </c>
      <c r="C87" s="229" t="s">
        <v>2991</v>
      </c>
      <c r="D87" s="102" t="s">
        <v>2992</v>
      </c>
      <c r="E87" s="102" t="s">
        <v>513</v>
      </c>
      <c r="F87" s="102" t="s">
        <v>514</v>
      </c>
      <c r="G87" s="102" t="s">
        <v>282</v>
      </c>
      <c r="H87" s="102" t="s">
        <v>283</v>
      </c>
      <c r="I87" s="102" t="s">
        <v>284</v>
      </c>
      <c r="J87" s="102" t="s">
        <v>454</v>
      </c>
      <c r="L87" s="229" t="s">
        <v>2993</v>
      </c>
      <c r="M87" s="229" t="s">
        <v>3106</v>
      </c>
      <c r="N87" s="229" t="s">
        <v>1304</v>
      </c>
      <c r="O87" s="102">
        <v>2.0</v>
      </c>
      <c r="P87" s="102" t="s">
        <v>434</v>
      </c>
      <c r="R87" s="102">
        <v>14400.0</v>
      </c>
      <c r="S87" s="102" t="s">
        <v>298</v>
      </c>
      <c r="T87" s="102" t="s">
        <v>299</v>
      </c>
    </row>
    <row r="88">
      <c r="A88" s="102" t="s">
        <v>276</v>
      </c>
      <c r="B88" s="102" t="s">
        <v>3181</v>
      </c>
      <c r="C88" s="229" t="s">
        <v>3182</v>
      </c>
      <c r="D88" s="102" t="s">
        <v>279</v>
      </c>
      <c r="E88" s="102" t="s">
        <v>280</v>
      </c>
      <c r="F88" s="102" t="s">
        <v>281</v>
      </c>
      <c r="G88" s="102" t="s">
        <v>1987</v>
      </c>
      <c r="H88" s="102" t="s">
        <v>1988</v>
      </c>
      <c r="I88" s="102" t="s">
        <v>284</v>
      </c>
      <c r="J88" s="102" t="s">
        <v>26</v>
      </c>
      <c r="L88" s="229" t="s">
        <v>3183</v>
      </c>
      <c r="M88" s="229" t="s">
        <v>3184</v>
      </c>
      <c r="O88" s="230"/>
      <c r="R88" s="230"/>
      <c r="S88" s="102" t="s">
        <v>1085</v>
      </c>
      <c r="T88" s="102" t="s">
        <v>529</v>
      </c>
      <c r="U88" s="102" t="s">
        <v>298</v>
      </c>
    </row>
    <row r="89">
      <c r="A89" s="102" t="s">
        <v>276</v>
      </c>
      <c r="B89" s="102" t="s">
        <v>3185</v>
      </c>
      <c r="C89" s="229" t="s">
        <v>3186</v>
      </c>
      <c r="D89" s="102" t="s">
        <v>291</v>
      </c>
      <c r="E89" s="102" t="s">
        <v>280</v>
      </c>
      <c r="F89" s="102" t="s">
        <v>281</v>
      </c>
      <c r="G89" s="102" t="s">
        <v>1987</v>
      </c>
      <c r="H89" s="102" t="s">
        <v>1988</v>
      </c>
      <c r="I89" s="102" t="s">
        <v>284</v>
      </c>
      <c r="J89" s="102" t="s">
        <v>26</v>
      </c>
      <c r="L89" s="229" t="s">
        <v>3183</v>
      </c>
      <c r="M89" s="229" t="s">
        <v>3187</v>
      </c>
      <c r="O89" s="230"/>
      <c r="R89" s="230"/>
      <c r="S89" s="102" t="s">
        <v>1085</v>
      </c>
      <c r="T89" s="102" t="s">
        <v>529</v>
      </c>
      <c r="U89" s="102" t="s">
        <v>298</v>
      </c>
    </row>
    <row r="90">
      <c r="A90" s="102" t="s">
        <v>310</v>
      </c>
      <c r="B90" s="102" t="s">
        <v>3188</v>
      </c>
      <c r="C90" s="229" t="s">
        <v>3189</v>
      </c>
      <c r="D90" s="102" t="s">
        <v>3190</v>
      </c>
      <c r="E90" s="102" t="s">
        <v>584</v>
      </c>
      <c r="F90" s="102" t="s">
        <v>585</v>
      </c>
      <c r="G90" s="102" t="s">
        <v>353</v>
      </c>
      <c r="H90" s="102" t="s">
        <v>354</v>
      </c>
      <c r="I90" s="102" t="s">
        <v>284</v>
      </c>
      <c r="J90" s="102" t="s">
        <v>26</v>
      </c>
      <c r="L90" s="229" t="s">
        <v>3191</v>
      </c>
      <c r="M90" s="229" t="s">
        <v>2832</v>
      </c>
      <c r="O90" s="102">
        <v>1.0</v>
      </c>
      <c r="R90" s="102">
        <v>3600.0</v>
      </c>
      <c r="S90" s="102" t="s">
        <v>2271</v>
      </c>
      <c r="T90" s="102" t="s">
        <v>2272</v>
      </c>
      <c r="U90" s="102" t="s">
        <v>2273</v>
      </c>
    </row>
    <row r="91">
      <c r="A91" s="102" t="s">
        <v>310</v>
      </c>
      <c r="B91" s="102" t="s">
        <v>1965</v>
      </c>
      <c r="C91" s="229" t="s">
        <v>1966</v>
      </c>
      <c r="D91" s="102" t="s">
        <v>1967</v>
      </c>
      <c r="E91" s="102" t="s">
        <v>584</v>
      </c>
      <c r="F91" s="102" t="s">
        <v>585</v>
      </c>
      <c r="G91" s="102" t="s">
        <v>282</v>
      </c>
      <c r="H91" s="102" t="s">
        <v>283</v>
      </c>
      <c r="I91" s="102" t="s">
        <v>284</v>
      </c>
      <c r="J91" s="102" t="s">
        <v>454</v>
      </c>
      <c r="L91" s="229" t="s">
        <v>1968</v>
      </c>
      <c r="M91" s="229" t="s">
        <v>2931</v>
      </c>
      <c r="O91" s="102">
        <v>3.0</v>
      </c>
      <c r="R91" s="102">
        <v>28800.0</v>
      </c>
      <c r="S91" s="102" t="s">
        <v>529</v>
      </c>
      <c r="T91" s="102" t="s">
        <v>298</v>
      </c>
      <c r="U91" s="102" t="s">
        <v>299</v>
      </c>
    </row>
    <row r="92">
      <c r="A92" s="102" t="s">
        <v>310</v>
      </c>
      <c r="B92" s="102" t="s">
        <v>2504</v>
      </c>
      <c r="C92" s="229" t="s">
        <v>2505</v>
      </c>
      <c r="D92" s="102" t="s">
        <v>2506</v>
      </c>
      <c r="E92" s="102" t="s">
        <v>556</v>
      </c>
      <c r="F92" s="102" t="s">
        <v>557</v>
      </c>
      <c r="G92" s="102" t="s">
        <v>282</v>
      </c>
      <c r="H92" s="102" t="s">
        <v>283</v>
      </c>
      <c r="I92" s="102" t="s">
        <v>284</v>
      </c>
      <c r="J92" s="102" t="s">
        <v>454</v>
      </c>
      <c r="L92" s="229" t="s">
        <v>2507</v>
      </c>
      <c r="M92" s="229" t="s">
        <v>2931</v>
      </c>
      <c r="N92" s="229" t="s">
        <v>1202</v>
      </c>
      <c r="O92" s="102">
        <v>3.0</v>
      </c>
      <c r="R92" s="102">
        <v>28800.0</v>
      </c>
      <c r="S92" s="102" t="s">
        <v>529</v>
      </c>
      <c r="T92" s="102" t="s">
        <v>298</v>
      </c>
      <c r="U92" s="102" t="s">
        <v>299</v>
      </c>
    </row>
    <row r="93">
      <c r="A93" s="102" t="s">
        <v>310</v>
      </c>
      <c r="B93" s="102" t="s">
        <v>2511</v>
      </c>
      <c r="C93" s="229" t="s">
        <v>2512</v>
      </c>
      <c r="D93" s="102" t="s">
        <v>2513</v>
      </c>
      <c r="E93" s="102" t="s">
        <v>584</v>
      </c>
      <c r="F93" s="102" t="s">
        <v>585</v>
      </c>
      <c r="G93" s="102" t="s">
        <v>353</v>
      </c>
      <c r="H93" s="102" t="s">
        <v>354</v>
      </c>
      <c r="I93" s="102" t="s">
        <v>284</v>
      </c>
      <c r="J93" s="102" t="s">
        <v>454</v>
      </c>
      <c r="L93" s="229" t="s">
        <v>2514</v>
      </c>
      <c r="M93" s="229" t="s">
        <v>2998</v>
      </c>
      <c r="N93" s="229" t="s">
        <v>2515</v>
      </c>
      <c r="O93" s="102">
        <v>8.0</v>
      </c>
      <c r="R93" s="230"/>
      <c r="S93" s="102" t="s">
        <v>2271</v>
      </c>
      <c r="T93" s="102" t="s">
        <v>2272</v>
      </c>
      <c r="U93" s="102" t="s">
        <v>2273</v>
      </c>
      <c r="V93" s="102" t="s">
        <v>2274</v>
      </c>
    </row>
    <row r="94">
      <c r="A94" s="102" t="s">
        <v>310</v>
      </c>
      <c r="B94" s="102" t="s">
        <v>1230</v>
      </c>
      <c r="C94" s="229" t="s">
        <v>1231</v>
      </c>
      <c r="D94" s="102" t="s">
        <v>1232</v>
      </c>
      <c r="E94" s="102" t="s">
        <v>513</v>
      </c>
      <c r="F94" s="102" t="s">
        <v>514</v>
      </c>
      <c r="G94" s="102" t="s">
        <v>282</v>
      </c>
      <c r="H94" s="102" t="s">
        <v>283</v>
      </c>
      <c r="I94" s="102" t="s">
        <v>648</v>
      </c>
      <c r="J94" s="102" t="s">
        <v>454</v>
      </c>
      <c r="L94" s="229" t="s">
        <v>1233</v>
      </c>
      <c r="M94" s="229" t="s">
        <v>2957</v>
      </c>
      <c r="N94" s="229" t="s">
        <v>1202</v>
      </c>
      <c r="O94" s="102">
        <v>5.0</v>
      </c>
      <c r="R94" s="102">
        <v>86400.0</v>
      </c>
      <c r="S94" s="102" t="s">
        <v>529</v>
      </c>
      <c r="T94" s="102" t="s">
        <v>298</v>
      </c>
      <c r="U94" s="102" t="s">
        <v>299</v>
      </c>
    </row>
    <row r="95">
      <c r="A95" s="102" t="s">
        <v>310</v>
      </c>
      <c r="B95" s="102" t="s">
        <v>1234</v>
      </c>
      <c r="C95" s="229" t="s">
        <v>1235</v>
      </c>
      <c r="D95" s="102" t="s">
        <v>1236</v>
      </c>
      <c r="E95" s="102" t="s">
        <v>513</v>
      </c>
      <c r="F95" s="102" t="s">
        <v>514</v>
      </c>
      <c r="G95" s="102" t="s">
        <v>282</v>
      </c>
      <c r="H95" s="102" t="s">
        <v>283</v>
      </c>
      <c r="I95" s="102" t="s">
        <v>648</v>
      </c>
      <c r="J95" s="102" t="s">
        <v>454</v>
      </c>
      <c r="L95" s="229" t="s">
        <v>1233</v>
      </c>
      <c r="M95" s="229" t="s">
        <v>2931</v>
      </c>
      <c r="N95" s="229" t="s">
        <v>1237</v>
      </c>
      <c r="O95" s="102">
        <v>8.0</v>
      </c>
      <c r="R95" s="102">
        <v>115200.0</v>
      </c>
      <c r="S95" s="102" t="s">
        <v>529</v>
      </c>
      <c r="T95" s="102" t="s">
        <v>298</v>
      </c>
      <c r="U95" s="102" t="s">
        <v>299</v>
      </c>
    </row>
    <row r="96">
      <c r="A96" s="102" t="s">
        <v>310</v>
      </c>
      <c r="B96" s="102" t="s">
        <v>1238</v>
      </c>
      <c r="C96" s="229" t="s">
        <v>1239</v>
      </c>
      <c r="D96" s="102" t="s">
        <v>1240</v>
      </c>
      <c r="E96" s="102" t="s">
        <v>564</v>
      </c>
      <c r="F96" s="102" t="s">
        <v>565</v>
      </c>
      <c r="G96" s="102" t="s">
        <v>282</v>
      </c>
      <c r="H96" s="102" t="s">
        <v>283</v>
      </c>
      <c r="I96" s="102" t="s">
        <v>284</v>
      </c>
      <c r="J96" s="102" t="s">
        <v>454</v>
      </c>
      <c r="L96" s="229" t="s">
        <v>1241</v>
      </c>
      <c r="M96" s="229" t="s">
        <v>2931</v>
      </c>
      <c r="N96" s="229" t="s">
        <v>1242</v>
      </c>
      <c r="O96" s="102">
        <v>8.0</v>
      </c>
      <c r="R96" s="102">
        <v>72000.0</v>
      </c>
      <c r="S96" s="102" t="s">
        <v>529</v>
      </c>
      <c r="T96" s="102" t="s">
        <v>298</v>
      </c>
      <c r="U96" s="102" t="s">
        <v>299</v>
      </c>
    </row>
    <row r="97">
      <c r="A97" s="102" t="s">
        <v>310</v>
      </c>
      <c r="B97" s="102" t="s">
        <v>1243</v>
      </c>
      <c r="C97" s="229" t="s">
        <v>1244</v>
      </c>
      <c r="D97" s="102" t="s">
        <v>1245</v>
      </c>
      <c r="E97" s="102" t="s">
        <v>328</v>
      </c>
      <c r="F97" s="102" t="s">
        <v>329</v>
      </c>
      <c r="G97" s="102" t="s">
        <v>282</v>
      </c>
      <c r="H97" s="102" t="s">
        <v>283</v>
      </c>
      <c r="I97" s="102" t="s">
        <v>284</v>
      </c>
      <c r="J97" s="102" t="s">
        <v>454</v>
      </c>
      <c r="L97" s="229" t="s">
        <v>1246</v>
      </c>
      <c r="M97" s="229" t="s">
        <v>2931</v>
      </c>
      <c r="N97" s="229" t="s">
        <v>1247</v>
      </c>
      <c r="O97" s="102">
        <v>8.0</v>
      </c>
      <c r="R97" s="230"/>
      <c r="S97" s="102" t="s">
        <v>529</v>
      </c>
      <c r="T97" s="102" t="s">
        <v>298</v>
      </c>
      <c r="U97" s="102" t="s">
        <v>299</v>
      </c>
    </row>
    <row r="98">
      <c r="A98" s="102" t="s">
        <v>310</v>
      </c>
      <c r="B98" s="102" t="s">
        <v>1248</v>
      </c>
      <c r="C98" s="229" t="s">
        <v>1249</v>
      </c>
      <c r="D98" s="102" t="s">
        <v>1250</v>
      </c>
      <c r="E98" s="102" t="s">
        <v>328</v>
      </c>
      <c r="F98" s="102" t="s">
        <v>329</v>
      </c>
      <c r="G98" s="102" t="s">
        <v>282</v>
      </c>
      <c r="H98" s="102" t="s">
        <v>283</v>
      </c>
      <c r="I98" s="102" t="s">
        <v>284</v>
      </c>
      <c r="J98" s="102" t="s">
        <v>454</v>
      </c>
      <c r="L98" s="229" t="s">
        <v>1251</v>
      </c>
      <c r="M98" s="229" t="s">
        <v>3001</v>
      </c>
      <c r="N98" s="229" t="s">
        <v>1252</v>
      </c>
      <c r="O98" s="102">
        <v>8.0</v>
      </c>
      <c r="R98" s="230"/>
      <c r="S98" s="102" t="s">
        <v>529</v>
      </c>
      <c r="T98" s="102" t="s">
        <v>298</v>
      </c>
      <c r="U98" s="102" t="s">
        <v>299</v>
      </c>
      <c r="AC98" s="231"/>
    </row>
    <row r="99">
      <c r="A99" s="102" t="s">
        <v>276</v>
      </c>
      <c r="B99" s="102" t="s">
        <v>1985</v>
      </c>
      <c r="C99" s="229" t="s">
        <v>1986</v>
      </c>
      <c r="D99" s="102" t="s">
        <v>279</v>
      </c>
      <c r="E99" s="102" t="s">
        <v>280</v>
      </c>
      <c r="F99" s="102" t="s">
        <v>281</v>
      </c>
      <c r="G99" s="102" t="s">
        <v>1987</v>
      </c>
      <c r="H99" s="102" t="s">
        <v>1988</v>
      </c>
      <c r="I99" s="102" t="s">
        <v>284</v>
      </c>
      <c r="J99" s="102" t="s">
        <v>63</v>
      </c>
      <c r="L99" s="229" t="s">
        <v>1989</v>
      </c>
      <c r="M99" s="229" t="s">
        <v>2517</v>
      </c>
      <c r="O99" s="230"/>
      <c r="R99" s="230"/>
      <c r="S99" s="102" t="s">
        <v>1991</v>
      </c>
      <c r="T99" s="102" t="s">
        <v>1992</v>
      </c>
      <c r="U99" s="102" t="s">
        <v>1085</v>
      </c>
      <c r="V99" s="102" t="s">
        <v>529</v>
      </c>
      <c r="W99" s="102" t="s">
        <v>298</v>
      </c>
      <c r="X99" s="102" t="s">
        <v>299</v>
      </c>
    </row>
    <row r="100">
      <c r="A100" s="102" t="s">
        <v>276</v>
      </c>
      <c r="B100" s="102" t="s">
        <v>1993</v>
      </c>
      <c r="C100" s="229" t="s">
        <v>1994</v>
      </c>
      <c r="D100" s="102" t="s">
        <v>291</v>
      </c>
      <c r="E100" s="102" t="s">
        <v>280</v>
      </c>
      <c r="F100" s="102" t="s">
        <v>281</v>
      </c>
      <c r="G100" s="102" t="s">
        <v>1987</v>
      </c>
      <c r="H100" s="102" t="s">
        <v>1988</v>
      </c>
      <c r="I100" s="102" t="s">
        <v>284</v>
      </c>
      <c r="J100" s="102" t="s">
        <v>26</v>
      </c>
      <c r="L100" s="229" t="s">
        <v>1989</v>
      </c>
      <c r="M100" s="229" t="s">
        <v>1995</v>
      </c>
      <c r="O100" s="230"/>
      <c r="R100" s="230"/>
      <c r="S100" s="102" t="s">
        <v>1991</v>
      </c>
      <c r="T100" s="102" t="s">
        <v>1992</v>
      </c>
      <c r="U100" s="102" t="s">
        <v>1085</v>
      </c>
      <c r="V100" s="102" t="s">
        <v>529</v>
      </c>
      <c r="W100" s="102" t="s">
        <v>298</v>
      </c>
      <c r="X100" s="102" t="s">
        <v>299</v>
      </c>
    </row>
    <row r="101">
      <c r="A101" s="102" t="s">
        <v>276</v>
      </c>
      <c r="B101" s="102" t="s">
        <v>2518</v>
      </c>
      <c r="C101" s="229" t="s">
        <v>2519</v>
      </c>
      <c r="D101" s="102" t="s">
        <v>279</v>
      </c>
      <c r="E101" s="102" t="s">
        <v>280</v>
      </c>
      <c r="F101" s="102" t="s">
        <v>281</v>
      </c>
      <c r="G101" s="102" t="s">
        <v>1987</v>
      </c>
      <c r="H101" s="102" t="s">
        <v>1988</v>
      </c>
      <c r="I101" s="102" t="s">
        <v>284</v>
      </c>
      <c r="J101" s="102" t="s">
        <v>63</v>
      </c>
      <c r="L101" s="229" t="s">
        <v>1989</v>
      </c>
      <c r="M101" s="229" t="s">
        <v>2520</v>
      </c>
      <c r="O101" s="230"/>
      <c r="R101" s="230"/>
      <c r="S101" s="102" t="s">
        <v>1991</v>
      </c>
      <c r="T101" s="102" t="s">
        <v>1992</v>
      </c>
      <c r="U101" s="102" t="s">
        <v>1085</v>
      </c>
      <c r="V101" s="102" t="s">
        <v>529</v>
      </c>
      <c r="W101" s="102" t="s">
        <v>298</v>
      </c>
      <c r="X101" s="102" t="s">
        <v>299</v>
      </c>
    </row>
    <row r="102">
      <c r="A102" s="102" t="s">
        <v>276</v>
      </c>
      <c r="B102" s="102" t="s">
        <v>2521</v>
      </c>
      <c r="C102" s="229" t="s">
        <v>2522</v>
      </c>
      <c r="D102" s="102" t="s">
        <v>279</v>
      </c>
      <c r="E102" s="102" t="s">
        <v>280</v>
      </c>
      <c r="F102" s="102" t="s">
        <v>281</v>
      </c>
      <c r="G102" s="102" t="s">
        <v>1987</v>
      </c>
      <c r="H102" s="102" t="s">
        <v>1988</v>
      </c>
      <c r="I102" s="102" t="s">
        <v>284</v>
      </c>
      <c r="J102" s="102" t="s">
        <v>63</v>
      </c>
      <c r="L102" s="229" t="s">
        <v>1989</v>
      </c>
      <c r="M102" s="229" t="s">
        <v>2523</v>
      </c>
      <c r="O102" s="230"/>
      <c r="R102" s="230"/>
      <c r="S102" s="102" t="s">
        <v>1991</v>
      </c>
      <c r="T102" s="102" t="s">
        <v>1992</v>
      </c>
      <c r="U102" s="102" t="s">
        <v>1085</v>
      </c>
      <c r="V102" s="102" t="s">
        <v>529</v>
      </c>
      <c r="W102" s="102" t="s">
        <v>298</v>
      </c>
      <c r="X102" s="102" t="s">
        <v>299</v>
      </c>
    </row>
    <row r="103">
      <c r="A103" s="102" t="s">
        <v>276</v>
      </c>
      <c r="B103" s="102" t="s">
        <v>2524</v>
      </c>
      <c r="C103" s="229" t="s">
        <v>2525</v>
      </c>
      <c r="D103" s="102" t="s">
        <v>279</v>
      </c>
      <c r="E103" s="102" t="s">
        <v>280</v>
      </c>
      <c r="F103" s="102" t="s">
        <v>281</v>
      </c>
      <c r="G103" s="102" t="s">
        <v>1987</v>
      </c>
      <c r="H103" s="102" t="s">
        <v>1988</v>
      </c>
      <c r="I103" s="102" t="s">
        <v>284</v>
      </c>
      <c r="J103" s="102" t="s">
        <v>63</v>
      </c>
      <c r="L103" s="229" t="s">
        <v>1989</v>
      </c>
      <c r="M103" s="229" t="s">
        <v>2526</v>
      </c>
      <c r="O103" s="230"/>
      <c r="R103" s="230"/>
      <c r="S103" s="102" t="s">
        <v>1991</v>
      </c>
      <c r="T103" s="102" t="s">
        <v>1992</v>
      </c>
      <c r="U103" s="102" t="s">
        <v>1085</v>
      </c>
      <c r="V103" s="102" t="s">
        <v>529</v>
      </c>
      <c r="W103" s="102" t="s">
        <v>298</v>
      </c>
      <c r="X103" s="102" t="s">
        <v>299</v>
      </c>
    </row>
    <row r="104">
      <c r="A104" s="102" t="s">
        <v>276</v>
      </c>
      <c r="B104" s="102" t="s">
        <v>2527</v>
      </c>
      <c r="C104" s="229" t="s">
        <v>2528</v>
      </c>
      <c r="D104" s="102" t="s">
        <v>279</v>
      </c>
      <c r="E104" s="102" t="s">
        <v>280</v>
      </c>
      <c r="F104" s="102" t="s">
        <v>281</v>
      </c>
      <c r="G104" s="102" t="s">
        <v>1987</v>
      </c>
      <c r="H104" s="102" t="s">
        <v>1988</v>
      </c>
      <c r="I104" s="102" t="s">
        <v>284</v>
      </c>
      <c r="J104" s="102" t="s">
        <v>63</v>
      </c>
      <c r="L104" s="229" t="s">
        <v>1989</v>
      </c>
      <c r="M104" s="229" t="s">
        <v>2526</v>
      </c>
      <c r="O104" s="230"/>
      <c r="R104" s="230"/>
      <c r="S104" s="102" t="s">
        <v>1991</v>
      </c>
      <c r="T104" s="102" t="s">
        <v>1992</v>
      </c>
      <c r="U104" s="102" t="s">
        <v>1085</v>
      </c>
      <c r="V104" s="102" t="s">
        <v>529</v>
      </c>
      <c r="W104" s="102" t="s">
        <v>298</v>
      </c>
      <c r="X104" s="102" t="s">
        <v>299</v>
      </c>
    </row>
    <row r="105">
      <c r="A105" s="102" t="s">
        <v>276</v>
      </c>
      <c r="B105" s="102" t="s">
        <v>2529</v>
      </c>
      <c r="C105" s="229" t="s">
        <v>2530</v>
      </c>
      <c r="D105" s="102" t="s">
        <v>279</v>
      </c>
      <c r="E105" s="102" t="s">
        <v>280</v>
      </c>
      <c r="F105" s="102" t="s">
        <v>281</v>
      </c>
      <c r="G105" s="102" t="s">
        <v>1987</v>
      </c>
      <c r="H105" s="102" t="s">
        <v>1988</v>
      </c>
      <c r="I105" s="102" t="s">
        <v>284</v>
      </c>
      <c r="J105" s="102" t="s">
        <v>63</v>
      </c>
      <c r="L105" s="229" t="s">
        <v>1989</v>
      </c>
      <c r="M105" s="229" t="s">
        <v>2526</v>
      </c>
      <c r="O105" s="230"/>
      <c r="R105" s="230"/>
      <c r="S105" s="102" t="s">
        <v>1991</v>
      </c>
      <c r="T105" s="102" t="s">
        <v>1992</v>
      </c>
      <c r="U105" s="102" t="s">
        <v>1085</v>
      </c>
      <c r="V105" s="102" t="s">
        <v>529</v>
      </c>
      <c r="W105" s="102" t="s">
        <v>298</v>
      </c>
      <c r="X105" s="102" t="s">
        <v>299</v>
      </c>
    </row>
    <row r="106">
      <c r="A106" s="102" t="s">
        <v>276</v>
      </c>
      <c r="B106" s="102" t="s">
        <v>2531</v>
      </c>
      <c r="C106" s="229" t="s">
        <v>2532</v>
      </c>
      <c r="D106" s="102" t="s">
        <v>279</v>
      </c>
      <c r="E106" s="102" t="s">
        <v>280</v>
      </c>
      <c r="F106" s="102" t="s">
        <v>281</v>
      </c>
      <c r="G106" s="102" t="s">
        <v>1987</v>
      </c>
      <c r="H106" s="102" t="s">
        <v>1988</v>
      </c>
      <c r="I106" s="102" t="s">
        <v>284</v>
      </c>
      <c r="J106" s="102" t="s">
        <v>63</v>
      </c>
      <c r="L106" s="229" t="s">
        <v>1989</v>
      </c>
      <c r="M106" s="229" t="s">
        <v>2526</v>
      </c>
      <c r="O106" s="230"/>
      <c r="R106" s="230"/>
      <c r="S106" s="102" t="s">
        <v>1991</v>
      </c>
      <c r="T106" s="102" t="s">
        <v>1992</v>
      </c>
      <c r="U106" s="102" t="s">
        <v>1085</v>
      </c>
      <c r="V106" s="102" t="s">
        <v>529</v>
      </c>
      <c r="W106" s="102" t="s">
        <v>298</v>
      </c>
      <c r="X106" s="102" t="s">
        <v>299</v>
      </c>
    </row>
    <row r="107">
      <c r="A107" s="102" t="s">
        <v>276</v>
      </c>
      <c r="B107" s="102" t="s">
        <v>2533</v>
      </c>
      <c r="C107" s="229" t="s">
        <v>2534</v>
      </c>
      <c r="D107" s="102" t="s">
        <v>279</v>
      </c>
      <c r="E107" s="102" t="s">
        <v>280</v>
      </c>
      <c r="F107" s="102" t="s">
        <v>281</v>
      </c>
      <c r="G107" s="102" t="s">
        <v>1987</v>
      </c>
      <c r="H107" s="102" t="s">
        <v>1988</v>
      </c>
      <c r="I107" s="102" t="s">
        <v>284</v>
      </c>
      <c r="J107" s="102" t="s">
        <v>63</v>
      </c>
      <c r="L107" s="229" t="s">
        <v>1989</v>
      </c>
      <c r="M107" s="229" t="s">
        <v>2523</v>
      </c>
      <c r="O107" s="230"/>
      <c r="R107" s="230"/>
      <c r="S107" s="102" t="s">
        <v>1991</v>
      </c>
      <c r="T107" s="102" t="s">
        <v>1992</v>
      </c>
      <c r="U107" s="102" t="s">
        <v>1085</v>
      </c>
      <c r="V107" s="102" t="s">
        <v>529</v>
      </c>
      <c r="W107" s="102" t="s">
        <v>298</v>
      </c>
      <c r="X107" s="102" t="s">
        <v>299</v>
      </c>
    </row>
    <row r="108">
      <c r="A108" s="102" t="s">
        <v>276</v>
      </c>
      <c r="B108" s="102" t="s">
        <v>1996</v>
      </c>
      <c r="C108" s="229" t="s">
        <v>1997</v>
      </c>
      <c r="D108" s="102" t="s">
        <v>279</v>
      </c>
      <c r="E108" s="102" t="s">
        <v>280</v>
      </c>
      <c r="F108" s="102" t="s">
        <v>281</v>
      </c>
      <c r="G108" s="102" t="s">
        <v>1987</v>
      </c>
      <c r="H108" s="102" t="s">
        <v>1988</v>
      </c>
      <c r="I108" s="102" t="s">
        <v>284</v>
      </c>
      <c r="J108" s="102" t="s">
        <v>63</v>
      </c>
      <c r="L108" s="229" t="s">
        <v>1989</v>
      </c>
      <c r="M108" s="229" t="s">
        <v>2535</v>
      </c>
      <c r="O108" s="230"/>
      <c r="R108" s="230"/>
      <c r="S108" s="102" t="s">
        <v>1991</v>
      </c>
      <c r="T108" s="102" t="s">
        <v>1992</v>
      </c>
      <c r="U108" s="102" t="s">
        <v>1085</v>
      </c>
      <c r="V108" s="102" t="s">
        <v>529</v>
      </c>
      <c r="W108" s="102" t="s">
        <v>298</v>
      </c>
      <c r="X108" s="102" t="s">
        <v>299</v>
      </c>
    </row>
    <row r="109">
      <c r="A109" s="102" t="s">
        <v>276</v>
      </c>
      <c r="B109" s="102" t="s">
        <v>1998</v>
      </c>
      <c r="C109" s="229" t="s">
        <v>1999</v>
      </c>
      <c r="D109" s="102" t="s">
        <v>291</v>
      </c>
      <c r="E109" s="102" t="s">
        <v>280</v>
      </c>
      <c r="F109" s="102" t="s">
        <v>281</v>
      </c>
      <c r="G109" s="102" t="s">
        <v>1987</v>
      </c>
      <c r="H109" s="102" t="s">
        <v>1988</v>
      </c>
      <c r="I109" s="102" t="s">
        <v>284</v>
      </c>
      <c r="J109" s="102" t="s">
        <v>26</v>
      </c>
      <c r="L109" s="229" t="s">
        <v>1989</v>
      </c>
      <c r="M109" s="229" t="s">
        <v>1995</v>
      </c>
      <c r="O109" s="230"/>
      <c r="R109" s="230"/>
      <c r="S109" s="102" t="s">
        <v>1991</v>
      </c>
      <c r="T109" s="102" t="s">
        <v>1992</v>
      </c>
      <c r="U109" s="102" t="s">
        <v>1085</v>
      </c>
      <c r="V109" s="102" t="s">
        <v>529</v>
      </c>
      <c r="W109" s="102" t="s">
        <v>298</v>
      </c>
      <c r="X109" s="102" t="s">
        <v>299</v>
      </c>
    </row>
    <row r="110">
      <c r="A110" s="102" t="s">
        <v>276</v>
      </c>
      <c r="B110" s="102" t="s">
        <v>2000</v>
      </c>
      <c r="C110" s="229" t="s">
        <v>2001</v>
      </c>
      <c r="D110" s="102" t="s">
        <v>291</v>
      </c>
      <c r="E110" s="102" t="s">
        <v>280</v>
      </c>
      <c r="F110" s="102" t="s">
        <v>281</v>
      </c>
      <c r="G110" s="102" t="s">
        <v>1987</v>
      </c>
      <c r="H110" s="102" t="s">
        <v>1988</v>
      </c>
      <c r="I110" s="102" t="s">
        <v>284</v>
      </c>
      <c r="J110" s="102" t="s">
        <v>26</v>
      </c>
      <c r="L110" s="229" t="s">
        <v>1989</v>
      </c>
      <c r="M110" s="229" t="s">
        <v>1995</v>
      </c>
      <c r="O110" s="230"/>
      <c r="R110" s="230"/>
      <c r="S110" s="102" t="s">
        <v>1991</v>
      </c>
      <c r="T110" s="102" t="s">
        <v>1992</v>
      </c>
      <c r="U110" s="102" t="s">
        <v>1085</v>
      </c>
      <c r="V110" s="102" t="s">
        <v>529</v>
      </c>
      <c r="W110" s="102" t="s">
        <v>298</v>
      </c>
      <c r="X110" s="102" t="s">
        <v>299</v>
      </c>
    </row>
    <row r="111">
      <c r="A111" s="102" t="s">
        <v>276</v>
      </c>
      <c r="B111" s="102" t="s">
        <v>2002</v>
      </c>
      <c r="C111" s="229" t="s">
        <v>2003</v>
      </c>
      <c r="D111" s="102" t="s">
        <v>291</v>
      </c>
      <c r="E111" s="102" t="s">
        <v>280</v>
      </c>
      <c r="F111" s="102" t="s">
        <v>281</v>
      </c>
      <c r="G111" s="102" t="s">
        <v>1987</v>
      </c>
      <c r="H111" s="102" t="s">
        <v>1988</v>
      </c>
      <c r="I111" s="102" t="s">
        <v>284</v>
      </c>
      <c r="J111" s="102" t="s">
        <v>26</v>
      </c>
      <c r="L111" s="229" t="s">
        <v>1989</v>
      </c>
      <c r="M111" s="229" t="s">
        <v>1995</v>
      </c>
      <c r="O111" s="230"/>
      <c r="R111" s="230"/>
      <c r="S111" s="102" t="s">
        <v>1991</v>
      </c>
      <c r="T111" s="102" t="s">
        <v>1992</v>
      </c>
      <c r="U111" s="102" t="s">
        <v>1085</v>
      </c>
      <c r="V111" s="102" t="s">
        <v>529</v>
      </c>
      <c r="W111" s="102" t="s">
        <v>298</v>
      </c>
      <c r="X111" s="102" t="s">
        <v>299</v>
      </c>
    </row>
    <row r="112">
      <c r="A112" s="102" t="s">
        <v>276</v>
      </c>
      <c r="B112" s="102" t="s">
        <v>2004</v>
      </c>
      <c r="C112" s="229" t="s">
        <v>2005</v>
      </c>
      <c r="D112" s="102" t="s">
        <v>291</v>
      </c>
      <c r="E112" s="102" t="s">
        <v>280</v>
      </c>
      <c r="F112" s="102" t="s">
        <v>281</v>
      </c>
      <c r="G112" s="102" t="s">
        <v>1987</v>
      </c>
      <c r="H112" s="102" t="s">
        <v>1988</v>
      </c>
      <c r="I112" s="102" t="s">
        <v>284</v>
      </c>
      <c r="J112" s="102" t="s">
        <v>26</v>
      </c>
      <c r="L112" s="229" t="s">
        <v>1989</v>
      </c>
      <c r="M112" s="229" t="s">
        <v>1995</v>
      </c>
      <c r="O112" s="230"/>
      <c r="R112" s="230"/>
      <c r="S112" s="102" t="s">
        <v>1991</v>
      </c>
      <c r="T112" s="102" t="s">
        <v>1992</v>
      </c>
      <c r="U112" s="102" t="s">
        <v>1085</v>
      </c>
      <c r="V112" s="102" t="s">
        <v>529</v>
      </c>
      <c r="W112" s="102" t="s">
        <v>298</v>
      </c>
      <c r="X112" s="102" t="s">
        <v>299</v>
      </c>
    </row>
    <row r="113">
      <c r="A113" s="102" t="s">
        <v>276</v>
      </c>
      <c r="B113" s="102" t="s">
        <v>2006</v>
      </c>
      <c r="C113" s="229" t="s">
        <v>2007</v>
      </c>
      <c r="D113" s="102" t="s">
        <v>291</v>
      </c>
      <c r="E113" s="102" t="s">
        <v>280</v>
      </c>
      <c r="F113" s="102" t="s">
        <v>281</v>
      </c>
      <c r="G113" s="102" t="s">
        <v>1987</v>
      </c>
      <c r="H113" s="102" t="s">
        <v>1988</v>
      </c>
      <c r="I113" s="102" t="s">
        <v>284</v>
      </c>
      <c r="J113" s="102" t="s">
        <v>26</v>
      </c>
      <c r="L113" s="229" t="s">
        <v>1989</v>
      </c>
      <c r="M113" s="229" t="s">
        <v>1995</v>
      </c>
      <c r="O113" s="230"/>
      <c r="R113" s="230"/>
      <c r="S113" s="102" t="s">
        <v>1991</v>
      </c>
      <c r="T113" s="102" t="s">
        <v>1992</v>
      </c>
      <c r="U113" s="102" t="s">
        <v>1085</v>
      </c>
      <c r="V113" s="102" t="s">
        <v>529</v>
      </c>
      <c r="W113" s="102" t="s">
        <v>298</v>
      </c>
      <c r="X113" s="102" t="s">
        <v>299</v>
      </c>
    </row>
    <row r="114">
      <c r="A114" s="102" t="s">
        <v>276</v>
      </c>
      <c r="B114" s="102" t="s">
        <v>2008</v>
      </c>
      <c r="C114" s="229" t="s">
        <v>2009</v>
      </c>
      <c r="D114" s="102" t="s">
        <v>291</v>
      </c>
      <c r="E114" s="102" t="s">
        <v>280</v>
      </c>
      <c r="F114" s="102" t="s">
        <v>281</v>
      </c>
      <c r="G114" s="102" t="s">
        <v>1987</v>
      </c>
      <c r="H114" s="102" t="s">
        <v>1988</v>
      </c>
      <c r="I114" s="102" t="s">
        <v>284</v>
      </c>
      <c r="J114" s="102" t="s">
        <v>26</v>
      </c>
      <c r="L114" s="229" t="s">
        <v>1989</v>
      </c>
      <c r="M114" s="229" t="s">
        <v>1995</v>
      </c>
      <c r="O114" s="230"/>
      <c r="R114" s="230"/>
      <c r="S114" s="102" t="s">
        <v>1991</v>
      </c>
      <c r="T114" s="102" t="s">
        <v>1992</v>
      </c>
      <c r="U114" s="102" t="s">
        <v>1085</v>
      </c>
      <c r="V114" s="102" t="s">
        <v>529</v>
      </c>
      <c r="W114" s="102" t="s">
        <v>298</v>
      </c>
      <c r="X114" s="102" t="s">
        <v>299</v>
      </c>
    </row>
    <row r="115">
      <c r="A115" s="102" t="s">
        <v>276</v>
      </c>
      <c r="B115" s="102" t="s">
        <v>2010</v>
      </c>
      <c r="C115" s="229" t="s">
        <v>2011</v>
      </c>
      <c r="D115" s="102" t="s">
        <v>291</v>
      </c>
      <c r="E115" s="102" t="s">
        <v>280</v>
      </c>
      <c r="F115" s="102" t="s">
        <v>281</v>
      </c>
      <c r="G115" s="102" t="s">
        <v>1987</v>
      </c>
      <c r="H115" s="102" t="s">
        <v>1988</v>
      </c>
      <c r="I115" s="102" t="s">
        <v>284</v>
      </c>
      <c r="J115" s="102" t="s">
        <v>26</v>
      </c>
      <c r="L115" s="229" t="s">
        <v>1989</v>
      </c>
      <c r="M115" s="229" t="s">
        <v>1995</v>
      </c>
      <c r="O115" s="230"/>
      <c r="R115" s="230"/>
      <c r="S115" s="102" t="s">
        <v>1991</v>
      </c>
      <c r="T115" s="102" t="s">
        <v>1992</v>
      </c>
      <c r="U115" s="102" t="s">
        <v>1085</v>
      </c>
      <c r="V115" s="102" t="s">
        <v>529</v>
      </c>
      <c r="W115" s="102" t="s">
        <v>298</v>
      </c>
      <c r="X115" s="102" t="s">
        <v>299</v>
      </c>
      <c r="AQ115" s="102"/>
    </row>
    <row r="116">
      <c r="A116" s="102" t="s">
        <v>276</v>
      </c>
      <c r="B116" s="102" t="s">
        <v>2012</v>
      </c>
      <c r="C116" s="229" t="s">
        <v>2013</v>
      </c>
      <c r="D116" s="102" t="s">
        <v>291</v>
      </c>
      <c r="E116" s="102" t="s">
        <v>280</v>
      </c>
      <c r="F116" s="102" t="s">
        <v>281</v>
      </c>
      <c r="G116" s="102" t="s">
        <v>1987</v>
      </c>
      <c r="H116" s="102" t="s">
        <v>1988</v>
      </c>
      <c r="I116" s="102" t="s">
        <v>284</v>
      </c>
      <c r="J116" s="102" t="s">
        <v>26</v>
      </c>
      <c r="L116" s="229" t="s">
        <v>1989</v>
      </c>
      <c r="M116" s="229" t="s">
        <v>1995</v>
      </c>
      <c r="O116" s="230"/>
      <c r="R116" s="230"/>
      <c r="S116" s="102" t="s">
        <v>1991</v>
      </c>
      <c r="T116" s="102" t="s">
        <v>1992</v>
      </c>
      <c r="U116" s="102" t="s">
        <v>1085</v>
      </c>
      <c r="V116" s="102" t="s">
        <v>529</v>
      </c>
      <c r="W116" s="102" t="s">
        <v>298</v>
      </c>
      <c r="X116" s="102" t="s">
        <v>299</v>
      </c>
      <c r="AQ116" s="102"/>
    </row>
    <row r="117">
      <c r="A117" s="102" t="s">
        <v>276</v>
      </c>
      <c r="B117" s="102" t="s">
        <v>2024</v>
      </c>
      <c r="C117" s="229" t="s">
        <v>2025</v>
      </c>
      <c r="D117" s="102" t="s">
        <v>347</v>
      </c>
      <c r="E117" s="102" t="s">
        <v>280</v>
      </c>
      <c r="F117" s="102" t="s">
        <v>281</v>
      </c>
      <c r="G117" s="102" t="s">
        <v>280</v>
      </c>
      <c r="H117" s="102" t="s">
        <v>281</v>
      </c>
      <c r="I117" s="102" t="s">
        <v>284</v>
      </c>
      <c r="J117" s="102" t="s">
        <v>63</v>
      </c>
      <c r="L117" s="229" t="s">
        <v>2026</v>
      </c>
      <c r="M117" s="229" t="s">
        <v>2536</v>
      </c>
      <c r="O117" s="230"/>
      <c r="R117" s="230"/>
      <c r="S117" s="102" t="s">
        <v>1991</v>
      </c>
      <c r="T117" s="102" t="s">
        <v>1992</v>
      </c>
      <c r="U117" s="102" t="s">
        <v>1085</v>
      </c>
      <c r="V117" s="102" t="s">
        <v>529</v>
      </c>
      <c r="W117" s="102" t="s">
        <v>298</v>
      </c>
      <c r="X117" s="102" t="s">
        <v>299</v>
      </c>
      <c r="AQ117" s="102"/>
    </row>
    <row r="118">
      <c r="A118" s="102" t="s">
        <v>276</v>
      </c>
      <c r="B118" s="102" t="s">
        <v>2028</v>
      </c>
      <c r="C118" s="229" t="s">
        <v>2029</v>
      </c>
      <c r="D118" s="102" t="s">
        <v>2030</v>
      </c>
      <c r="E118" s="102" t="s">
        <v>280</v>
      </c>
      <c r="F118" s="102" t="s">
        <v>281</v>
      </c>
      <c r="G118" s="102" t="s">
        <v>280</v>
      </c>
      <c r="H118" s="102" t="s">
        <v>281</v>
      </c>
      <c r="I118" s="102" t="s">
        <v>284</v>
      </c>
      <c r="J118" s="102" t="s">
        <v>26</v>
      </c>
      <c r="L118" s="229" t="s">
        <v>2026</v>
      </c>
      <c r="M118" s="229" t="s">
        <v>1995</v>
      </c>
      <c r="O118" s="230"/>
      <c r="R118" s="230"/>
      <c r="S118" s="102" t="s">
        <v>1991</v>
      </c>
      <c r="T118" s="102" t="s">
        <v>1992</v>
      </c>
      <c r="U118" s="102" t="s">
        <v>1085</v>
      </c>
      <c r="V118" s="102" t="s">
        <v>529</v>
      </c>
      <c r="W118" s="102" t="s">
        <v>298</v>
      </c>
      <c r="X118" s="102" t="s">
        <v>299</v>
      </c>
      <c r="AQ118" s="102"/>
    </row>
    <row r="119">
      <c r="A119" s="102" t="s">
        <v>310</v>
      </c>
      <c r="B119" s="102" t="s">
        <v>2031</v>
      </c>
      <c r="C119" s="229" t="s">
        <v>2032</v>
      </c>
      <c r="D119" s="102" t="s">
        <v>2033</v>
      </c>
      <c r="E119" s="102" t="s">
        <v>556</v>
      </c>
      <c r="F119" s="102" t="s">
        <v>557</v>
      </c>
      <c r="G119" s="102" t="s">
        <v>282</v>
      </c>
      <c r="H119" s="102" t="s">
        <v>283</v>
      </c>
      <c r="I119" s="102" t="s">
        <v>284</v>
      </c>
      <c r="J119" s="102" t="s">
        <v>454</v>
      </c>
      <c r="L119" s="229" t="s">
        <v>2034</v>
      </c>
      <c r="M119" s="229" t="s">
        <v>2931</v>
      </c>
      <c r="O119" s="102">
        <v>1.0</v>
      </c>
      <c r="R119" s="230"/>
      <c r="S119" s="102" t="s">
        <v>1991</v>
      </c>
      <c r="T119" s="102" t="s">
        <v>1992</v>
      </c>
      <c r="U119" s="102" t="s">
        <v>1085</v>
      </c>
      <c r="V119" s="102" t="s">
        <v>529</v>
      </c>
      <c r="W119" s="102" t="s">
        <v>298</v>
      </c>
      <c r="X119" s="102" t="s">
        <v>299</v>
      </c>
      <c r="AQ119" s="102"/>
    </row>
    <row r="120">
      <c r="A120" s="102" t="s">
        <v>310</v>
      </c>
      <c r="B120" s="102" t="s">
        <v>3192</v>
      </c>
      <c r="C120" s="229" t="s">
        <v>3193</v>
      </c>
      <c r="D120" s="102" t="s">
        <v>3194</v>
      </c>
      <c r="E120" s="102" t="s">
        <v>584</v>
      </c>
      <c r="F120" s="102" t="s">
        <v>585</v>
      </c>
      <c r="G120" s="102" t="s">
        <v>353</v>
      </c>
      <c r="H120" s="102" t="s">
        <v>354</v>
      </c>
      <c r="I120" s="102" t="s">
        <v>284</v>
      </c>
      <c r="J120" s="102" t="s">
        <v>26</v>
      </c>
      <c r="L120" s="229" t="s">
        <v>3195</v>
      </c>
      <c r="M120" s="229" t="s">
        <v>3196</v>
      </c>
      <c r="O120" s="102">
        <v>2.0</v>
      </c>
      <c r="P120" s="102" t="s">
        <v>3197</v>
      </c>
      <c r="Q120" s="102" t="s">
        <v>593</v>
      </c>
      <c r="R120" s="102">
        <v>14400.0</v>
      </c>
      <c r="S120" s="102" t="s">
        <v>2270</v>
      </c>
      <c r="T120" s="102" t="s">
        <v>2271</v>
      </c>
      <c r="U120" s="102" t="s">
        <v>2272</v>
      </c>
      <c r="V120" s="102" t="s">
        <v>2273</v>
      </c>
    </row>
    <row r="121">
      <c r="A121" s="102" t="s">
        <v>310</v>
      </c>
      <c r="B121" s="102" t="s">
        <v>3198</v>
      </c>
      <c r="C121" s="229" t="s">
        <v>3199</v>
      </c>
      <c r="D121" s="102" t="s">
        <v>3200</v>
      </c>
      <c r="E121" s="102" t="s">
        <v>584</v>
      </c>
      <c r="F121" s="102" t="s">
        <v>585</v>
      </c>
      <c r="G121" s="102" t="s">
        <v>353</v>
      </c>
      <c r="H121" s="102" t="s">
        <v>354</v>
      </c>
      <c r="I121" s="102" t="s">
        <v>284</v>
      </c>
      <c r="J121" s="102" t="s">
        <v>26</v>
      </c>
      <c r="L121" s="229" t="s">
        <v>3201</v>
      </c>
      <c r="M121" s="229" t="s">
        <v>3196</v>
      </c>
      <c r="O121" s="102">
        <v>2.0</v>
      </c>
      <c r="P121" s="102" t="s">
        <v>3197</v>
      </c>
      <c r="Q121" s="102" t="s">
        <v>593</v>
      </c>
      <c r="R121" s="102">
        <v>14400.0</v>
      </c>
      <c r="S121" s="102" t="s">
        <v>2270</v>
      </c>
      <c r="T121" s="102" t="s">
        <v>2271</v>
      </c>
      <c r="U121" s="102" t="s">
        <v>2272</v>
      </c>
      <c r="V121" s="102" t="s">
        <v>2273</v>
      </c>
      <c r="AP121" s="102"/>
      <c r="AQ121" s="102"/>
      <c r="AR121" s="102"/>
    </row>
    <row r="122">
      <c r="A122" s="102" t="s">
        <v>310</v>
      </c>
      <c r="B122" s="102" t="s">
        <v>2537</v>
      </c>
      <c r="C122" s="229" t="s">
        <v>2538</v>
      </c>
      <c r="D122" s="102" t="s">
        <v>2539</v>
      </c>
      <c r="E122" s="102" t="s">
        <v>584</v>
      </c>
      <c r="F122" s="102" t="s">
        <v>585</v>
      </c>
      <c r="G122" s="102" t="s">
        <v>353</v>
      </c>
      <c r="H122" s="102" t="s">
        <v>354</v>
      </c>
      <c r="I122" s="102" t="s">
        <v>284</v>
      </c>
      <c r="J122" s="102" t="s">
        <v>454</v>
      </c>
      <c r="L122" s="229" t="s">
        <v>2540</v>
      </c>
      <c r="M122" s="229" t="s">
        <v>2998</v>
      </c>
      <c r="O122" s="102">
        <v>2.0</v>
      </c>
      <c r="R122" s="102">
        <v>14400.0</v>
      </c>
      <c r="S122" s="102" t="s">
        <v>2271</v>
      </c>
      <c r="T122" s="102" t="s">
        <v>2272</v>
      </c>
      <c r="U122" s="102" t="s">
        <v>2273</v>
      </c>
      <c r="V122" s="102" t="s">
        <v>2274</v>
      </c>
      <c r="AP122" s="102"/>
      <c r="AQ122" s="102"/>
      <c r="AR122" s="102"/>
    </row>
    <row r="123">
      <c r="A123" s="102" t="s">
        <v>310</v>
      </c>
      <c r="B123" s="102" t="s">
        <v>2035</v>
      </c>
      <c r="C123" s="229" t="s">
        <v>2036</v>
      </c>
      <c r="D123" s="102" t="s">
        <v>2037</v>
      </c>
      <c r="E123" s="102" t="s">
        <v>556</v>
      </c>
      <c r="F123" s="102" t="s">
        <v>557</v>
      </c>
      <c r="G123" s="102" t="s">
        <v>353</v>
      </c>
      <c r="H123" s="102" t="s">
        <v>354</v>
      </c>
      <c r="I123" s="102" t="s">
        <v>284</v>
      </c>
      <c r="J123" s="102" t="s">
        <v>454</v>
      </c>
      <c r="L123" s="229" t="s">
        <v>2038</v>
      </c>
      <c r="M123" s="229" t="s">
        <v>2787</v>
      </c>
      <c r="N123" s="229" t="s">
        <v>1978</v>
      </c>
      <c r="O123" s="102">
        <v>5.0</v>
      </c>
      <c r="P123" s="102" t="s">
        <v>1855</v>
      </c>
      <c r="R123" s="102">
        <v>57600.0</v>
      </c>
      <c r="S123" s="102" t="s">
        <v>1259</v>
      </c>
      <c r="T123" s="102" t="s">
        <v>1203</v>
      </c>
      <c r="U123" s="102" t="s">
        <v>1204</v>
      </c>
      <c r="V123" s="102" t="s">
        <v>1205</v>
      </c>
      <c r="W123" s="102" t="s">
        <v>1058</v>
      </c>
    </row>
    <row r="124">
      <c r="A124" s="102" t="s">
        <v>310</v>
      </c>
      <c r="B124" s="102" t="s">
        <v>2039</v>
      </c>
      <c r="C124" s="229" t="s">
        <v>2040</v>
      </c>
      <c r="D124" s="102" t="s">
        <v>2041</v>
      </c>
      <c r="E124" s="102" t="s">
        <v>564</v>
      </c>
      <c r="F124" s="102" t="s">
        <v>565</v>
      </c>
      <c r="G124" s="102" t="s">
        <v>353</v>
      </c>
      <c r="H124" s="102" t="s">
        <v>354</v>
      </c>
      <c r="I124" s="102" t="s">
        <v>284</v>
      </c>
      <c r="J124" s="102" t="s">
        <v>454</v>
      </c>
      <c r="L124" s="229" t="s">
        <v>2038</v>
      </c>
      <c r="M124" s="229" t="s">
        <v>2787</v>
      </c>
      <c r="N124" s="229" t="s">
        <v>2042</v>
      </c>
      <c r="O124" s="102">
        <v>5.0</v>
      </c>
      <c r="P124" s="102" t="s">
        <v>1855</v>
      </c>
      <c r="R124" s="102">
        <v>57600.0</v>
      </c>
      <c r="S124" s="102" t="s">
        <v>1259</v>
      </c>
      <c r="T124" s="102" t="s">
        <v>1203</v>
      </c>
      <c r="U124" s="102" t="s">
        <v>1204</v>
      </c>
      <c r="V124" s="102" t="s">
        <v>1205</v>
      </c>
      <c r="W124" s="102" t="s">
        <v>1058</v>
      </c>
      <c r="AP124" s="102"/>
      <c r="AQ124" s="102"/>
    </row>
    <row r="125">
      <c r="A125" s="102" t="s">
        <v>310</v>
      </c>
      <c r="B125" s="102" t="s">
        <v>2043</v>
      </c>
      <c r="C125" s="229" t="s">
        <v>2044</v>
      </c>
      <c r="D125" s="102" t="s">
        <v>2045</v>
      </c>
      <c r="E125" s="102" t="s">
        <v>564</v>
      </c>
      <c r="F125" s="102" t="s">
        <v>565</v>
      </c>
      <c r="G125" s="102" t="s">
        <v>353</v>
      </c>
      <c r="H125" s="102" t="s">
        <v>354</v>
      </c>
      <c r="I125" s="102" t="s">
        <v>284</v>
      </c>
      <c r="J125" s="102" t="s">
        <v>454</v>
      </c>
      <c r="L125" s="229" t="s">
        <v>2046</v>
      </c>
      <c r="M125" s="229" t="s">
        <v>2787</v>
      </c>
      <c r="N125" s="229" t="s">
        <v>1978</v>
      </c>
      <c r="O125" s="102">
        <v>5.0</v>
      </c>
      <c r="P125" s="102" t="s">
        <v>1855</v>
      </c>
      <c r="R125" s="102">
        <v>57600.0</v>
      </c>
      <c r="S125" s="102" t="s">
        <v>1259</v>
      </c>
      <c r="T125" s="102" t="s">
        <v>1203</v>
      </c>
      <c r="U125" s="102" t="s">
        <v>1204</v>
      </c>
      <c r="V125" s="102" t="s">
        <v>1205</v>
      </c>
      <c r="W125" s="102" t="s">
        <v>1058</v>
      </c>
      <c r="AP125" s="102"/>
      <c r="AQ125" s="102"/>
    </row>
    <row r="126">
      <c r="A126" s="102" t="s">
        <v>310</v>
      </c>
      <c r="B126" s="102" t="s">
        <v>2047</v>
      </c>
      <c r="C126" s="229" t="s">
        <v>2048</v>
      </c>
      <c r="D126" s="102" t="s">
        <v>2049</v>
      </c>
      <c r="E126" s="102" t="s">
        <v>556</v>
      </c>
      <c r="F126" s="102" t="s">
        <v>557</v>
      </c>
      <c r="G126" s="102" t="s">
        <v>353</v>
      </c>
      <c r="H126" s="102" t="s">
        <v>354</v>
      </c>
      <c r="I126" s="102" t="s">
        <v>284</v>
      </c>
      <c r="J126" s="102" t="s">
        <v>454</v>
      </c>
      <c r="L126" s="229" t="s">
        <v>2046</v>
      </c>
      <c r="M126" s="229" t="s">
        <v>2787</v>
      </c>
      <c r="N126" s="229" t="s">
        <v>1978</v>
      </c>
      <c r="O126" s="102">
        <v>5.0</v>
      </c>
      <c r="P126" s="102" t="s">
        <v>1855</v>
      </c>
      <c r="R126" s="230"/>
      <c r="S126" s="102" t="s">
        <v>1259</v>
      </c>
      <c r="T126" s="102" t="s">
        <v>1203</v>
      </c>
      <c r="U126" s="102" t="s">
        <v>1204</v>
      </c>
      <c r="V126" s="102" t="s">
        <v>1205</v>
      </c>
      <c r="W126" s="102" t="s">
        <v>1058</v>
      </c>
      <c r="AP126" s="102"/>
      <c r="AQ126" s="102"/>
    </row>
    <row r="127">
      <c r="A127" s="102" t="s">
        <v>310</v>
      </c>
      <c r="B127" s="102" t="s">
        <v>2050</v>
      </c>
      <c r="C127" s="229" t="s">
        <v>2051</v>
      </c>
      <c r="D127" s="102" t="s">
        <v>2052</v>
      </c>
      <c r="E127" s="102" t="s">
        <v>564</v>
      </c>
      <c r="F127" s="102" t="s">
        <v>565</v>
      </c>
      <c r="G127" s="102" t="s">
        <v>353</v>
      </c>
      <c r="H127" s="102" t="s">
        <v>354</v>
      </c>
      <c r="I127" s="102" t="s">
        <v>284</v>
      </c>
      <c r="J127" s="102" t="s">
        <v>454</v>
      </c>
      <c r="L127" s="229" t="s">
        <v>2053</v>
      </c>
      <c r="M127" s="229" t="s">
        <v>2787</v>
      </c>
      <c r="N127" s="229" t="s">
        <v>2054</v>
      </c>
      <c r="O127" s="102">
        <v>5.0</v>
      </c>
      <c r="P127" s="102" t="s">
        <v>1855</v>
      </c>
      <c r="R127" s="102">
        <v>57600.0</v>
      </c>
      <c r="S127" s="102" t="s">
        <v>1259</v>
      </c>
      <c r="T127" s="102" t="s">
        <v>1203</v>
      </c>
      <c r="U127" s="102" t="s">
        <v>1204</v>
      </c>
      <c r="V127" s="102" t="s">
        <v>1205</v>
      </c>
      <c r="W127" s="102" t="s">
        <v>1058</v>
      </c>
      <c r="AP127" s="102"/>
      <c r="AQ127" s="102"/>
    </row>
    <row r="128">
      <c r="A128" s="102" t="s">
        <v>310</v>
      </c>
      <c r="B128" s="102" t="s">
        <v>2055</v>
      </c>
      <c r="C128" s="229" t="s">
        <v>2056</v>
      </c>
      <c r="D128" s="102" t="s">
        <v>2057</v>
      </c>
      <c r="E128" s="102" t="s">
        <v>556</v>
      </c>
      <c r="F128" s="102" t="s">
        <v>557</v>
      </c>
      <c r="G128" s="102" t="s">
        <v>353</v>
      </c>
      <c r="H128" s="102" t="s">
        <v>354</v>
      </c>
      <c r="I128" s="102" t="s">
        <v>284</v>
      </c>
      <c r="J128" s="102" t="s">
        <v>454</v>
      </c>
      <c r="L128" s="229" t="s">
        <v>2058</v>
      </c>
      <c r="M128" s="229" t="s">
        <v>2787</v>
      </c>
      <c r="N128" s="229" t="s">
        <v>1352</v>
      </c>
      <c r="O128" s="102">
        <v>5.0</v>
      </c>
      <c r="P128" s="102" t="s">
        <v>593</v>
      </c>
      <c r="Q128" s="102" t="s">
        <v>1855</v>
      </c>
      <c r="R128" s="102">
        <v>57600.0</v>
      </c>
      <c r="S128" s="102" t="s">
        <v>1259</v>
      </c>
      <c r="T128" s="102" t="s">
        <v>1203</v>
      </c>
      <c r="U128" s="102" t="s">
        <v>1204</v>
      </c>
      <c r="V128" s="102" t="s">
        <v>1205</v>
      </c>
      <c r="W128" s="102" t="s">
        <v>1058</v>
      </c>
      <c r="AP128" s="102"/>
      <c r="AQ128" s="102"/>
    </row>
    <row r="129">
      <c r="A129" s="102" t="s">
        <v>630</v>
      </c>
      <c r="B129" s="102" t="s">
        <v>1253</v>
      </c>
      <c r="C129" s="229" t="s">
        <v>1254</v>
      </c>
      <c r="D129" s="102" t="s">
        <v>1255</v>
      </c>
      <c r="G129" s="102" t="s">
        <v>353</v>
      </c>
      <c r="H129" s="102" t="s">
        <v>354</v>
      </c>
      <c r="I129" s="102" t="s">
        <v>284</v>
      </c>
      <c r="J129" s="102" t="s">
        <v>63</v>
      </c>
      <c r="L129" s="229" t="s">
        <v>1256</v>
      </c>
      <c r="M129" s="229" t="s">
        <v>2787</v>
      </c>
      <c r="N129" s="229" t="s">
        <v>1257</v>
      </c>
      <c r="O129" s="230"/>
      <c r="R129" s="230"/>
      <c r="S129" s="102" t="s">
        <v>1258</v>
      </c>
      <c r="T129" s="102" t="s">
        <v>1259</v>
      </c>
      <c r="U129" s="102" t="s">
        <v>1203</v>
      </c>
      <c r="V129" s="102" t="s">
        <v>1204</v>
      </c>
      <c r="W129" s="102" t="s">
        <v>1260</v>
      </c>
      <c r="X129" s="102" t="s">
        <v>1205</v>
      </c>
      <c r="Y129" s="102" t="s">
        <v>1058</v>
      </c>
      <c r="AP129" s="102"/>
      <c r="AQ129" s="102"/>
    </row>
    <row r="130">
      <c r="A130" s="102" t="s">
        <v>310</v>
      </c>
      <c r="B130" s="102" t="s">
        <v>3202</v>
      </c>
      <c r="C130" s="229" t="s">
        <v>3203</v>
      </c>
      <c r="D130" s="102" t="s">
        <v>3204</v>
      </c>
      <c r="E130" s="102" t="s">
        <v>584</v>
      </c>
      <c r="F130" s="102" t="s">
        <v>585</v>
      </c>
      <c r="G130" s="102" t="s">
        <v>353</v>
      </c>
      <c r="H130" s="102" t="s">
        <v>354</v>
      </c>
      <c r="I130" s="102" t="s">
        <v>284</v>
      </c>
      <c r="J130" s="102" t="s">
        <v>26</v>
      </c>
      <c r="L130" s="229" t="s">
        <v>3205</v>
      </c>
      <c r="M130" s="229" t="s">
        <v>3206</v>
      </c>
      <c r="O130" s="102">
        <v>8.0</v>
      </c>
      <c r="P130" s="102" t="s">
        <v>593</v>
      </c>
      <c r="R130" s="102">
        <v>86400.0</v>
      </c>
      <c r="S130" s="102" t="s">
        <v>2269</v>
      </c>
      <c r="T130" s="102" t="s">
        <v>2270</v>
      </c>
      <c r="U130" s="102" t="s">
        <v>2271</v>
      </c>
      <c r="V130" s="102" t="s">
        <v>2272</v>
      </c>
      <c r="W130" s="102" t="s">
        <v>2273</v>
      </c>
      <c r="AP130" s="102"/>
      <c r="AQ130" s="102"/>
      <c r="AR130" s="102"/>
    </row>
    <row r="131">
      <c r="A131" s="102" t="s">
        <v>310</v>
      </c>
      <c r="B131" s="102" t="s">
        <v>3207</v>
      </c>
      <c r="C131" s="229" t="s">
        <v>3208</v>
      </c>
      <c r="D131" s="102" t="s">
        <v>3209</v>
      </c>
      <c r="E131" s="102" t="s">
        <v>495</v>
      </c>
      <c r="F131" s="102" t="s">
        <v>496</v>
      </c>
      <c r="G131" s="102" t="s">
        <v>353</v>
      </c>
      <c r="H131" s="102" t="s">
        <v>354</v>
      </c>
      <c r="I131" s="102" t="s">
        <v>284</v>
      </c>
      <c r="J131" s="102" t="s">
        <v>26</v>
      </c>
      <c r="L131" s="229" t="s">
        <v>3210</v>
      </c>
      <c r="M131" s="229" t="s">
        <v>3211</v>
      </c>
      <c r="O131" s="102">
        <v>5.0</v>
      </c>
      <c r="P131" s="102" t="s">
        <v>3197</v>
      </c>
      <c r="Q131" s="102" t="s">
        <v>593</v>
      </c>
      <c r="R131" s="102">
        <v>57600.0</v>
      </c>
      <c r="S131" s="102" t="s">
        <v>2269</v>
      </c>
      <c r="T131" s="102" t="s">
        <v>2270</v>
      </c>
      <c r="U131" s="102" t="s">
        <v>2271</v>
      </c>
      <c r="V131" s="102" t="s">
        <v>2272</v>
      </c>
      <c r="W131" s="102" t="s">
        <v>2273</v>
      </c>
      <c r="AP131" s="102"/>
      <c r="AQ131" s="102"/>
      <c r="AR131" s="102"/>
    </row>
    <row r="132">
      <c r="A132" s="102" t="s">
        <v>310</v>
      </c>
      <c r="B132" s="102" t="s">
        <v>1271</v>
      </c>
      <c r="C132" s="229" t="s">
        <v>1272</v>
      </c>
      <c r="D132" s="102" t="s">
        <v>1273</v>
      </c>
      <c r="E132" s="102" t="s">
        <v>328</v>
      </c>
      <c r="F132" s="102" t="s">
        <v>329</v>
      </c>
      <c r="G132" s="102" t="s">
        <v>282</v>
      </c>
      <c r="H132" s="102" t="s">
        <v>283</v>
      </c>
      <c r="I132" s="102" t="s">
        <v>284</v>
      </c>
      <c r="J132" s="102" t="s">
        <v>454</v>
      </c>
      <c r="L132" s="229" t="s">
        <v>1274</v>
      </c>
      <c r="M132" s="229" t="s">
        <v>2931</v>
      </c>
      <c r="N132" s="229" t="s">
        <v>1275</v>
      </c>
      <c r="O132" s="102">
        <v>3.0</v>
      </c>
      <c r="R132" s="230"/>
      <c r="S132" s="102" t="s">
        <v>298</v>
      </c>
      <c r="T132" s="102" t="s">
        <v>299</v>
      </c>
      <c r="AP132" s="102"/>
      <c r="AQ132" s="102"/>
      <c r="AR132" s="102"/>
    </row>
    <row r="133">
      <c r="A133" s="102" t="s">
        <v>310</v>
      </c>
      <c r="B133" s="102" t="s">
        <v>3212</v>
      </c>
      <c r="C133" s="229" t="s">
        <v>3213</v>
      </c>
      <c r="D133" s="102" t="s">
        <v>3214</v>
      </c>
      <c r="E133" s="102" t="s">
        <v>495</v>
      </c>
      <c r="F133" s="102" t="s">
        <v>496</v>
      </c>
      <c r="G133" s="102" t="s">
        <v>282</v>
      </c>
      <c r="H133" s="102" t="s">
        <v>283</v>
      </c>
      <c r="I133" s="102" t="s">
        <v>284</v>
      </c>
      <c r="J133" s="102" t="s">
        <v>26</v>
      </c>
      <c r="L133" s="229" t="s">
        <v>2067</v>
      </c>
      <c r="M133" s="229" t="s">
        <v>3184</v>
      </c>
      <c r="N133" s="229" t="s">
        <v>2054</v>
      </c>
      <c r="O133" s="102">
        <v>5.0</v>
      </c>
      <c r="R133" s="102">
        <v>57600.0</v>
      </c>
      <c r="S133" s="102" t="s">
        <v>1085</v>
      </c>
      <c r="T133" s="102" t="s">
        <v>529</v>
      </c>
      <c r="U133" s="102" t="s">
        <v>298</v>
      </c>
    </row>
    <row r="134">
      <c r="A134" s="102" t="s">
        <v>310</v>
      </c>
      <c r="B134" s="102" t="s">
        <v>2070</v>
      </c>
      <c r="C134" s="229" t="s">
        <v>2071</v>
      </c>
      <c r="D134" s="102" t="s">
        <v>2072</v>
      </c>
      <c r="E134" s="102" t="s">
        <v>495</v>
      </c>
      <c r="F134" s="102" t="s">
        <v>496</v>
      </c>
      <c r="G134" s="102" t="s">
        <v>282</v>
      </c>
      <c r="H134" s="102" t="s">
        <v>283</v>
      </c>
      <c r="I134" s="102" t="s">
        <v>284</v>
      </c>
      <c r="J134" s="102" t="s">
        <v>454</v>
      </c>
      <c r="L134" s="229" t="s">
        <v>2073</v>
      </c>
      <c r="M134" s="229" t="s">
        <v>2931</v>
      </c>
      <c r="O134" s="102">
        <v>1.0</v>
      </c>
      <c r="P134" s="102" t="s">
        <v>435</v>
      </c>
      <c r="R134" s="102">
        <v>3600.0</v>
      </c>
      <c r="S134" s="102" t="s">
        <v>1991</v>
      </c>
      <c r="T134" s="102" t="s">
        <v>1992</v>
      </c>
      <c r="U134" s="102" t="s">
        <v>1085</v>
      </c>
      <c r="V134" s="102" t="s">
        <v>529</v>
      </c>
      <c r="W134" s="102" t="s">
        <v>298</v>
      </c>
      <c r="X134" s="102" t="s">
        <v>299</v>
      </c>
    </row>
    <row r="135">
      <c r="A135" s="102" t="s">
        <v>310</v>
      </c>
      <c r="B135" s="102" t="s">
        <v>2075</v>
      </c>
      <c r="C135" s="229" t="s">
        <v>2076</v>
      </c>
      <c r="D135" s="102" t="s">
        <v>2077</v>
      </c>
      <c r="E135" s="102" t="s">
        <v>495</v>
      </c>
      <c r="F135" s="102" t="s">
        <v>496</v>
      </c>
      <c r="G135" s="102" t="s">
        <v>282</v>
      </c>
      <c r="H135" s="102" t="s">
        <v>283</v>
      </c>
      <c r="I135" s="102" t="s">
        <v>284</v>
      </c>
      <c r="J135" s="102" t="s">
        <v>454</v>
      </c>
      <c r="L135" s="229" t="s">
        <v>2073</v>
      </c>
      <c r="M135" s="229" t="s">
        <v>2931</v>
      </c>
      <c r="O135" s="102">
        <v>1.0</v>
      </c>
      <c r="P135" s="102" t="s">
        <v>435</v>
      </c>
      <c r="R135" s="102">
        <v>7200.0</v>
      </c>
      <c r="S135" s="102" t="s">
        <v>1991</v>
      </c>
      <c r="T135" s="102" t="s">
        <v>1992</v>
      </c>
      <c r="U135" s="102" t="s">
        <v>1085</v>
      </c>
      <c r="V135" s="102" t="s">
        <v>529</v>
      </c>
      <c r="W135" s="102" t="s">
        <v>298</v>
      </c>
      <c r="X135" s="102" t="s">
        <v>299</v>
      </c>
    </row>
    <row r="136">
      <c r="A136" s="102" t="s">
        <v>310</v>
      </c>
      <c r="B136" s="102" t="s">
        <v>2078</v>
      </c>
      <c r="C136" s="229" t="s">
        <v>2079</v>
      </c>
      <c r="D136" s="102" t="s">
        <v>2080</v>
      </c>
      <c r="E136" s="102" t="s">
        <v>495</v>
      </c>
      <c r="F136" s="102" t="s">
        <v>496</v>
      </c>
      <c r="G136" s="102" t="s">
        <v>282</v>
      </c>
      <c r="H136" s="102" t="s">
        <v>283</v>
      </c>
      <c r="I136" s="102" t="s">
        <v>284</v>
      </c>
      <c r="J136" s="102" t="s">
        <v>454</v>
      </c>
      <c r="L136" s="229" t="s">
        <v>2073</v>
      </c>
      <c r="M136" s="229" t="s">
        <v>2931</v>
      </c>
      <c r="O136" s="102">
        <v>2.0</v>
      </c>
      <c r="P136" s="102" t="s">
        <v>435</v>
      </c>
      <c r="R136" s="102">
        <v>10800.0</v>
      </c>
      <c r="S136" s="102" t="s">
        <v>1991</v>
      </c>
      <c r="T136" s="102" t="s">
        <v>1992</v>
      </c>
      <c r="U136" s="102" t="s">
        <v>1085</v>
      </c>
      <c r="V136" s="102" t="s">
        <v>529</v>
      </c>
      <c r="W136" s="102" t="s">
        <v>298</v>
      </c>
      <c r="X136" s="102" t="s">
        <v>299</v>
      </c>
    </row>
    <row r="137">
      <c r="A137" s="102" t="s">
        <v>310</v>
      </c>
      <c r="B137" s="102" t="s">
        <v>2081</v>
      </c>
      <c r="C137" s="229" t="s">
        <v>2082</v>
      </c>
      <c r="D137" s="102" t="s">
        <v>2083</v>
      </c>
      <c r="E137" s="102" t="s">
        <v>513</v>
      </c>
      <c r="F137" s="102" t="s">
        <v>514</v>
      </c>
      <c r="G137" s="102" t="s">
        <v>282</v>
      </c>
      <c r="H137" s="102" t="s">
        <v>283</v>
      </c>
      <c r="I137" s="102" t="s">
        <v>284</v>
      </c>
      <c r="J137" s="102" t="s">
        <v>454</v>
      </c>
      <c r="L137" s="229" t="s">
        <v>2073</v>
      </c>
      <c r="M137" s="229" t="s">
        <v>2931</v>
      </c>
      <c r="O137" s="102">
        <v>1.0</v>
      </c>
      <c r="P137" s="102" t="s">
        <v>435</v>
      </c>
      <c r="R137" s="102">
        <v>7200.0</v>
      </c>
      <c r="S137" s="102" t="s">
        <v>1991</v>
      </c>
      <c r="T137" s="102" t="s">
        <v>1992</v>
      </c>
      <c r="U137" s="102" t="s">
        <v>1085</v>
      </c>
      <c r="V137" s="102" t="s">
        <v>529</v>
      </c>
      <c r="W137" s="102" t="s">
        <v>298</v>
      </c>
      <c r="X137" s="102" t="s">
        <v>299</v>
      </c>
    </row>
    <row r="138">
      <c r="A138" s="102" t="s">
        <v>310</v>
      </c>
      <c r="B138" s="102" t="s">
        <v>2085</v>
      </c>
      <c r="C138" s="229" t="s">
        <v>2086</v>
      </c>
      <c r="D138" s="102" t="s">
        <v>2087</v>
      </c>
      <c r="E138" s="102" t="s">
        <v>513</v>
      </c>
      <c r="F138" s="102" t="s">
        <v>514</v>
      </c>
      <c r="G138" s="102" t="s">
        <v>282</v>
      </c>
      <c r="H138" s="102" t="s">
        <v>283</v>
      </c>
      <c r="I138" s="102" t="s">
        <v>284</v>
      </c>
      <c r="J138" s="102" t="s">
        <v>454</v>
      </c>
      <c r="L138" s="229" t="s">
        <v>2088</v>
      </c>
      <c r="M138" s="229" t="s">
        <v>3003</v>
      </c>
      <c r="N138" s="229" t="s">
        <v>2089</v>
      </c>
      <c r="O138" s="102">
        <v>1.0</v>
      </c>
      <c r="P138" s="102" t="s">
        <v>435</v>
      </c>
      <c r="R138" s="102">
        <v>7200.0</v>
      </c>
      <c r="S138" s="102" t="s">
        <v>1991</v>
      </c>
      <c r="T138" s="102" t="s">
        <v>1992</v>
      </c>
      <c r="U138" s="102" t="s">
        <v>1085</v>
      </c>
      <c r="V138" s="102" t="s">
        <v>529</v>
      </c>
      <c r="W138" s="102" t="s">
        <v>298</v>
      </c>
      <c r="X138" s="102" t="s">
        <v>299</v>
      </c>
    </row>
    <row r="139">
      <c r="A139" s="102" t="s">
        <v>310</v>
      </c>
      <c r="B139" s="102" t="s">
        <v>2090</v>
      </c>
      <c r="C139" s="229" t="s">
        <v>2091</v>
      </c>
      <c r="D139" s="102" t="s">
        <v>2092</v>
      </c>
      <c r="E139" s="102" t="s">
        <v>513</v>
      </c>
      <c r="F139" s="102" t="s">
        <v>514</v>
      </c>
      <c r="G139" s="102" t="s">
        <v>282</v>
      </c>
      <c r="H139" s="102" t="s">
        <v>283</v>
      </c>
      <c r="I139" s="102" t="s">
        <v>284</v>
      </c>
      <c r="J139" s="102" t="s">
        <v>454</v>
      </c>
      <c r="L139" s="229" t="s">
        <v>2088</v>
      </c>
      <c r="M139" s="229" t="s">
        <v>2931</v>
      </c>
      <c r="O139" s="102">
        <v>1.0</v>
      </c>
      <c r="P139" s="102" t="s">
        <v>435</v>
      </c>
      <c r="R139" s="102">
        <v>7200.0</v>
      </c>
      <c r="S139" s="102" t="s">
        <v>1991</v>
      </c>
      <c r="T139" s="102" t="s">
        <v>1992</v>
      </c>
      <c r="U139" s="102" t="s">
        <v>1085</v>
      </c>
      <c r="V139" s="102" t="s">
        <v>529</v>
      </c>
      <c r="W139" s="102" t="s">
        <v>298</v>
      </c>
      <c r="X139" s="102" t="s">
        <v>299</v>
      </c>
    </row>
    <row r="140">
      <c r="A140" s="102" t="s">
        <v>310</v>
      </c>
      <c r="B140" s="102" t="s">
        <v>2093</v>
      </c>
      <c r="C140" s="229" t="s">
        <v>2094</v>
      </c>
      <c r="D140" s="102" t="s">
        <v>2095</v>
      </c>
      <c r="E140" s="102" t="s">
        <v>513</v>
      </c>
      <c r="F140" s="102" t="s">
        <v>514</v>
      </c>
      <c r="G140" s="102" t="s">
        <v>282</v>
      </c>
      <c r="H140" s="102" t="s">
        <v>283</v>
      </c>
      <c r="I140" s="102" t="s">
        <v>284</v>
      </c>
      <c r="J140" s="102" t="s">
        <v>454</v>
      </c>
      <c r="L140" s="229" t="s">
        <v>2088</v>
      </c>
      <c r="M140" s="229" t="s">
        <v>2931</v>
      </c>
      <c r="N140" s="229" t="s">
        <v>2096</v>
      </c>
      <c r="O140" s="102">
        <v>2.0</v>
      </c>
      <c r="P140" s="102" t="s">
        <v>435</v>
      </c>
      <c r="R140" s="102">
        <v>14400.0</v>
      </c>
      <c r="S140" s="102" t="s">
        <v>1991</v>
      </c>
      <c r="T140" s="102" t="s">
        <v>1992</v>
      </c>
      <c r="U140" s="102" t="s">
        <v>1085</v>
      </c>
      <c r="V140" s="102" t="s">
        <v>529</v>
      </c>
      <c r="W140" s="102" t="s">
        <v>298</v>
      </c>
      <c r="X140" s="102" t="s">
        <v>299</v>
      </c>
    </row>
    <row r="141">
      <c r="A141" s="102" t="s">
        <v>310</v>
      </c>
      <c r="B141" s="102" t="s">
        <v>2113</v>
      </c>
      <c r="C141" s="229" t="s">
        <v>2114</v>
      </c>
      <c r="D141" s="102" t="s">
        <v>2115</v>
      </c>
      <c r="E141" s="102" t="s">
        <v>513</v>
      </c>
      <c r="F141" s="102" t="s">
        <v>514</v>
      </c>
      <c r="G141" s="102" t="s">
        <v>282</v>
      </c>
      <c r="H141" s="102" t="s">
        <v>283</v>
      </c>
      <c r="I141" s="102" t="s">
        <v>648</v>
      </c>
      <c r="J141" s="102" t="s">
        <v>454</v>
      </c>
      <c r="L141" s="229" t="s">
        <v>2116</v>
      </c>
      <c r="M141" s="229" t="s">
        <v>2957</v>
      </c>
      <c r="N141" s="229" t="s">
        <v>1237</v>
      </c>
      <c r="O141" s="102">
        <v>3.0</v>
      </c>
      <c r="R141" s="102">
        <v>28800.0</v>
      </c>
      <c r="S141" s="102" t="s">
        <v>529</v>
      </c>
      <c r="T141" s="102" t="s">
        <v>298</v>
      </c>
      <c r="U141" s="102" t="s">
        <v>299</v>
      </c>
    </row>
    <row r="142">
      <c r="A142" s="102" t="s">
        <v>310</v>
      </c>
      <c r="B142" s="102" t="s">
        <v>2117</v>
      </c>
      <c r="C142" s="229" t="s">
        <v>2118</v>
      </c>
      <c r="D142" s="102" t="s">
        <v>2119</v>
      </c>
      <c r="E142" s="102" t="s">
        <v>513</v>
      </c>
      <c r="F142" s="102" t="s">
        <v>514</v>
      </c>
      <c r="G142" s="102" t="s">
        <v>282</v>
      </c>
      <c r="H142" s="102" t="s">
        <v>283</v>
      </c>
      <c r="I142" s="102" t="s">
        <v>648</v>
      </c>
      <c r="J142" s="102" t="s">
        <v>454</v>
      </c>
      <c r="L142" s="229" t="s">
        <v>2116</v>
      </c>
      <c r="M142" s="229" t="s">
        <v>2957</v>
      </c>
      <c r="N142" s="229" t="s">
        <v>1247</v>
      </c>
      <c r="O142" s="102">
        <v>3.0</v>
      </c>
      <c r="R142" s="102">
        <v>28800.0</v>
      </c>
      <c r="S142" s="102" t="s">
        <v>529</v>
      </c>
      <c r="T142" s="102" t="s">
        <v>298</v>
      </c>
      <c r="U142" s="102" t="s">
        <v>299</v>
      </c>
    </row>
    <row r="143">
      <c r="A143" s="102" t="s">
        <v>310</v>
      </c>
      <c r="B143" s="102" t="s">
        <v>2120</v>
      </c>
      <c r="C143" s="229" t="s">
        <v>2121</v>
      </c>
      <c r="D143" s="102" t="s">
        <v>2122</v>
      </c>
      <c r="E143" s="102" t="s">
        <v>564</v>
      </c>
      <c r="F143" s="102" t="s">
        <v>565</v>
      </c>
      <c r="G143" s="102" t="s">
        <v>282</v>
      </c>
      <c r="H143" s="102" t="s">
        <v>283</v>
      </c>
      <c r="I143" s="102" t="s">
        <v>284</v>
      </c>
      <c r="J143" s="102" t="s">
        <v>454</v>
      </c>
      <c r="L143" s="229" t="s">
        <v>2123</v>
      </c>
      <c r="M143" s="229" t="s">
        <v>2931</v>
      </c>
      <c r="N143" s="229" t="s">
        <v>1352</v>
      </c>
      <c r="O143" s="102">
        <v>5.0</v>
      </c>
      <c r="R143" s="102">
        <v>57600.0</v>
      </c>
      <c r="S143" s="102" t="s">
        <v>1085</v>
      </c>
      <c r="T143" s="102" t="s">
        <v>529</v>
      </c>
      <c r="U143" s="102" t="s">
        <v>298</v>
      </c>
      <c r="V143" s="102" t="s">
        <v>299</v>
      </c>
    </row>
    <row r="144">
      <c r="A144" s="102" t="s">
        <v>310</v>
      </c>
      <c r="B144" s="102" t="s">
        <v>1301</v>
      </c>
      <c r="C144" s="229" t="s">
        <v>1302</v>
      </c>
      <c r="D144" s="102" t="s">
        <v>1303</v>
      </c>
      <c r="E144" s="102" t="s">
        <v>495</v>
      </c>
      <c r="F144" s="102" t="s">
        <v>496</v>
      </c>
      <c r="G144" s="102" t="s">
        <v>282</v>
      </c>
      <c r="H144" s="102" t="s">
        <v>283</v>
      </c>
      <c r="I144" s="102" t="s">
        <v>284</v>
      </c>
      <c r="J144" s="102" t="s">
        <v>454</v>
      </c>
      <c r="L144" s="229" t="s">
        <v>1297</v>
      </c>
      <c r="M144" s="229" t="s">
        <v>2931</v>
      </c>
      <c r="N144" s="229" t="s">
        <v>1304</v>
      </c>
      <c r="O144" s="102">
        <v>8.0</v>
      </c>
      <c r="P144" s="102" t="s">
        <v>1305</v>
      </c>
      <c r="R144" s="102">
        <v>57600.0</v>
      </c>
      <c r="S144" s="102" t="s">
        <v>298</v>
      </c>
      <c r="T144" s="102" t="s">
        <v>299</v>
      </c>
    </row>
    <row r="145">
      <c r="A145" s="102" t="s">
        <v>310</v>
      </c>
      <c r="B145" s="102" t="s">
        <v>1306</v>
      </c>
      <c r="C145" s="229" t="s">
        <v>1307</v>
      </c>
      <c r="D145" s="102" t="s">
        <v>1308</v>
      </c>
      <c r="E145" s="102" t="s">
        <v>328</v>
      </c>
      <c r="F145" s="102" t="s">
        <v>329</v>
      </c>
      <c r="G145" s="102" t="s">
        <v>282</v>
      </c>
      <c r="H145" s="102" t="s">
        <v>283</v>
      </c>
      <c r="I145" s="102" t="s">
        <v>284</v>
      </c>
      <c r="J145" s="102" t="s">
        <v>454</v>
      </c>
      <c r="L145" s="229" t="s">
        <v>1297</v>
      </c>
      <c r="M145" s="229" t="s">
        <v>3012</v>
      </c>
      <c r="N145" s="229" t="s">
        <v>1304</v>
      </c>
      <c r="O145" s="102">
        <v>2.0</v>
      </c>
      <c r="R145" s="230"/>
      <c r="S145" s="102" t="s">
        <v>298</v>
      </c>
      <c r="T145" s="102" t="s">
        <v>299</v>
      </c>
    </row>
    <row r="146">
      <c r="A146" s="102" t="s">
        <v>310</v>
      </c>
      <c r="B146" s="102" t="s">
        <v>2126</v>
      </c>
      <c r="C146" s="229" t="s">
        <v>2127</v>
      </c>
      <c r="D146" s="102" t="s">
        <v>2128</v>
      </c>
      <c r="E146" s="102" t="s">
        <v>556</v>
      </c>
      <c r="F146" s="102" t="s">
        <v>557</v>
      </c>
      <c r="G146" s="102" t="s">
        <v>282</v>
      </c>
      <c r="H146" s="102" t="s">
        <v>283</v>
      </c>
      <c r="I146" s="102" t="s">
        <v>648</v>
      </c>
      <c r="J146" s="102" t="s">
        <v>454</v>
      </c>
      <c r="L146" s="229" t="s">
        <v>1312</v>
      </c>
      <c r="M146" s="229" t="s">
        <v>2958</v>
      </c>
      <c r="N146" s="229" t="s">
        <v>1202</v>
      </c>
      <c r="O146" s="102">
        <v>5.0</v>
      </c>
      <c r="R146" s="102">
        <v>57600.0</v>
      </c>
      <c r="S146" s="102" t="s">
        <v>529</v>
      </c>
      <c r="T146" s="102" t="s">
        <v>298</v>
      </c>
      <c r="U146" s="102" t="s">
        <v>299</v>
      </c>
    </row>
    <row r="147">
      <c r="A147" s="102" t="s">
        <v>310</v>
      </c>
      <c r="B147" s="102" t="s">
        <v>1309</v>
      </c>
      <c r="C147" s="229" t="s">
        <v>1310</v>
      </c>
      <c r="D147" s="102" t="s">
        <v>1311</v>
      </c>
      <c r="E147" s="102" t="s">
        <v>556</v>
      </c>
      <c r="F147" s="102" t="s">
        <v>557</v>
      </c>
      <c r="G147" s="102" t="s">
        <v>282</v>
      </c>
      <c r="H147" s="102" t="s">
        <v>283</v>
      </c>
      <c r="I147" s="102" t="s">
        <v>284</v>
      </c>
      <c r="J147" s="102" t="s">
        <v>454</v>
      </c>
      <c r="L147" s="229" t="s">
        <v>1312</v>
      </c>
      <c r="M147" s="229" t="s">
        <v>2808</v>
      </c>
      <c r="N147" s="229" t="s">
        <v>1304</v>
      </c>
      <c r="O147" s="102">
        <v>3.0</v>
      </c>
      <c r="R147" s="102">
        <v>28800.0</v>
      </c>
      <c r="S147" s="102" t="s">
        <v>298</v>
      </c>
      <c r="T147" s="102" t="s">
        <v>299</v>
      </c>
    </row>
    <row r="148">
      <c r="A148" s="102" t="s">
        <v>310</v>
      </c>
      <c r="B148" s="102" t="s">
        <v>1313</v>
      </c>
      <c r="C148" s="229" t="s">
        <v>1314</v>
      </c>
      <c r="D148" s="102" t="s">
        <v>1315</v>
      </c>
      <c r="E148" s="102" t="s">
        <v>556</v>
      </c>
      <c r="F148" s="102" t="s">
        <v>557</v>
      </c>
      <c r="G148" s="102" t="s">
        <v>282</v>
      </c>
      <c r="H148" s="102" t="s">
        <v>283</v>
      </c>
      <c r="I148" s="102" t="s">
        <v>284</v>
      </c>
      <c r="J148" s="102" t="s">
        <v>454</v>
      </c>
      <c r="L148" s="229" t="s">
        <v>1312</v>
      </c>
      <c r="M148" s="229" t="s">
        <v>2808</v>
      </c>
      <c r="N148" s="229" t="s">
        <v>1304</v>
      </c>
      <c r="O148" s="102">
        <v>3.0</v>
      </c>
      <c r="R148" s="102">
        <v>28800.0</v>
      </c>
      <c r="S148" s="102" t="s">
        <v>298</v>
      </c>
      <c r="T148" s="102" t="s">
        <v>299</v>
      </c>
    </row>
    <row r="149">
      <c r="A149" s="102" t="s">
        <v>310</v>
      </c>
      <c r="B149" s="102" t="s">
        <v>1320</v>
      </c>
      <c r="C149" s="229" t="s">
        <v>1321</v>
      </c>
      <c r="D149" s="102" t="s">
        <v>1322</v>
      </c>
      <c r="E149" s="102" t="s">
        <v>328</v>
      </c>
      <c r="F149" s="102" t="s">
        <v>329</v>
      </c>
      <c r="G149" s="102" t="s">
        <v>282</v>
      </c>
      <c r="H149" s="102" t="s">
        <v>283</v>
      </c>
      <c r="I149" s="102" t="s">
        <v>284</v>
      </c>
      <c r="J149" s="102" t="s">
        <v>454</v>
      </c>
      <c r="L149" s="229" t="s">
        <v>1319</v>
      </c>
      <c r="M149" s="229" t="s">
        <v>2931</v>
      </c>
      <c r="N149" s="229" t="s">
        <v>1323</v>
      </c>
      <c r="O149" s="102">
        <v>5.0</v>
      </c>
      <c r="R149" s="230"/>
      <c r="S149" s="102" t="s">
        <v>298</v>
      </c>
      <c r="T149" s="102" t="s">
        <v>299</v>
      </c>
    </row>
    <row r="150">
      <c r="A150" s="102" t="s">
        <v>310</v>
      </c>
      <c r="B150" s="102" t="s">
        <v>2133</v>
      </c>
      <c r="C150" s="229" t="s">
        <v>2134</v>
      </c>
      <c r="D150" s="102" t="s">
        <v>2135</v>
      </c>
      <c r="E150" s="102" t="s">
        <v>584</v>
      </c>
      <c r="F150" s="102" t="s">
        <v>585</v>
      </c>
      <c r="G150" s="102" t="s">
        <v>282</v>
      </c>
      <c r="H150" s="102" t="s">
        <v>283</v>
      </c>
      <c r="I150" s="102" t="s">
        <v>284</v>
      </c>
      <c r="J150" s="102" t="s">
        <v>454</v>
      </c>
      <c r="L150" s="229" t="s">
        <v>2136</v>
      </c>
      <c r="M150" s="229" t="s">
        <v>2931</v>
      </c>
      <c r="O150" s="102">
        <v>3.0</v>
      </c>
      <c r="P150" s="102" t="s">
        <v>593</v>
      </c>
      <c r="R150" s="102">
        <v>28800.0</v>
      </c>
      <c r="S150" s="102" t="s">
        <v>529</v>
      </c>
      <c r="T150" s="102" t="s">
        <v>298</v>
      </c>
      <c r="U150" s="102" t="s">
        <v>299</v>
      </c>
    </row>
    <row r="151">
      <c r="A151" s="102" t="s">
        <v>310</v>
      </c>
      <c r="B151" s="102" t="s">
        <v>2545</v>
      </c>
      <c r="C151" s="229" t="s">
        <v>2546</v>
      </c>
      <c r="D151" s="102" t="s">
        <v>2547</v>
      </c>
      <c r="E151" s="102" t="s">
        <v>328</v>
      </c>
      <c r="F151" s="102" t="s">
        <v>329</v>
      </c>
      <c r="G151" s="102" t="s">
        <v>282</v>
      </c>
      <c r="H151" s="102" t="s">
        <v>283</v>
      </c>
      <c r="I151" s="102" t="s">
        <v>284</v>
      </c>
      <c r="J151" s="102" t="s">
        <v>454</v>
      </c>
      <c r="L151" s="229" t="s">
        <v>1327</v>
      </c>
      <c r="M151" s="229" t="s">
        <v>2931</v>
      </c>
      <c r="N151" s="229" t="s">
        <v>2042</v>
      </c>
      <c r="O151" s="102">
        <v>3.0</v>
      </c>
      <c r="R151" s="230"/>
      <c r="S151" s="102" t="s">
        <v>1085</v>
      </c>
      <c r="T151" s="102" t="s">
        <v>529</v>
      </c>
      <c r="U151" s="102" t="s">
        <v>298</v>
      </c>
      <c r="V151" s="102" t="s">
        <v>299</v>
      </c>
    </row>
    <row r="152">
      <c r="A152" s="102" t="s">
        <v>310</v>
      </c>
      <c r="B152" s="102" t="s">
        <v>2548</v>
      </c>
      <c r="C152" s="229" t="s">
        <v>2549</v>
      </c>
      <c r="D152" s="102" t="s">
        <v>2550</v>
      </c>
      <c r="E152" s="102" t="s">
        <v>328</v>
      </c>
      <c r="F152" s="102" t="s">
        <v>329</v>
      </c>
      <c r="G152" s="102" t="s">
        <v>282</v>
      </c>
      <c r="H152" s="102" t="s">
        <v>283</v>
      </c>
      <c r="I152" s="102" t="s">
        <v>284</v>
      </c>
      <c r="J152" s="102" t="s">
        <v>454</v>
      </c>
      <c r="L152" s="229" t="s">
        <v>1327</v>
      </c>
      <c r="M152" s="229" t="s">
        <v>2931</v>
      </c>
      <c r="N152" s="229" t="s">
        <v>2042</v>
      </c>
      <c r="O152" s="102">
        <v>3.0</v>
      </c>
      <c r="R152" s="230"/>
      <c r="S152" s="102" t="s">
        <v>1085</v>
      </c>
      <c r="T152" s="102" t="s">
        <v>529</v>
      </c>
      <c r="U152" s="102" t="s">
        <v>298</v>
      </c>
      <c r="V152" s="102" t="s">
        <v>299</v>
      </c>
    </row>
    <row r="153">
      <c r="A153" s="102" t="s">
        <v>310</v>
      </c>
      <c r="B153" s="102" t="s">
        <v>2551</v>
      </c>
      <c r="C153" s="229" t="s">
        <v>2552</v>
      </c>
      <c r="D153" s="102" t="s">
        <v>2553</v>
      </c>
      <c r="E153" s="102" t="s">
        <v>328</v>
      </c>
      <c r="F153" s="102" t="s">
        <v>329</v>
      </c>
      <c r="G153" s="102" t="s">
        <v>282</v>
      </c>
      <c r="H153" s="102" t="s">
        <v>283</v>
      </c>
      <c r="I153" s="102" t="s">
        <v>284</v>
      </c>
      <c r="J153" s="102" t="s">
        <v>454</v>
      </c>
      <c r="L153" s="229" t="s">
        <v>1327</v>
      </c>
      <c r="M153" s="229" t="s">
        <v>2931</v>
      </c>
      <c r="N153" s="229" t="s">
        <v>2042</v>
      </c>
      <c r="O153" s="102">
        <v>3.0</v>
      </c>
      <c r="R153" s="230"/>
      <c r="S153" s="102" t="s">
        <v>1085</v>
      </c>
      <c r="T153" s="102" t="s">
        <v>529</v>
      </c>
      <c r="U153" s="102" t="s">
        <v>298</v>
      </c>
      <c r="V153" s="102" t="s">
        <v>299</v>
      </c>
    </row>
    <row r="154">
      <c r="A154" s="102" t="s">
        <v>310</v>
      </c>
      <c r="B154" s="102" t="s">
        <v>1324</v>
      </c>
      <c r="C154" s="229" t="s">
        <v>1325</v>
      </c>
      <c r="D154" s="102" t="s">
        <v>1326</v>
      </c>
      <c r="E154" s="102" t="s">
        <v>584</v>
      </c>
      <c r="F154" s="102" t="s">
        <v>585</v>
      </c>
      <c r="G154" s="102" t="s">
        <v>282</v>
      </c>
      <c r="H154" s="102" t="s">
        <v>283</v>
      </c>
      <c r="I154" s="102" t="s">
        <v>284</v>
      </c>
      <c r="J154" s="102" t="s">
        <v>454</v>
      </c>
      <c r="L154" s="229" t="s">
        <v>1327</v>
      </c>
      <c r="M154" s="229" t="s">
        <v>2931</v>
      </c>
      <c r="O154" s="102">
        <v>3.0</v>
      </c>
      <c r="R154" s="102">
        <v>28800.0</v>
      </c>
      <c r="S154" s="102" t="s">
        <v>529</v>
      </c>
      <c r="T154" s="102" t="s">
        <v>298</v>
      </c>
      <c r="U154" s="102" t="s">
        <v>299</v>
      </c>
    </row>
    <row r="155">
      <c r="A155" s="102" t="s">
        <v>310</v>
      </c>
      <c r="B155" s="102" t="s">
        <v>1336</v>
      </c>
      <c r="C155" s="229" t="s">
        <v>1337</v>
      </c>
      <c r="D155" s="102" t="s">
        <v>1338</v>
      </c>
      <c r="E155" s="102" t="s">
        <v>495</v>
      </c>
      <c r="F155" s="102" t="s">
        <v>496</v>
      </c>
      <c r="G155" s="102" t="s">
        <v>282</v>
      </c>
      <c r="H155" s="102" t="s">
        <v>283</v>
      </c>
      <c r="I155" s="102" t="s">
        <v>284</v>
      </c>
      <c r="J155" s="102" t="s">
        <v>454</v>
      </c>
      <c r="L155" s="229" t="s">
        <v>1331</v>
      </c>
      <c r="M155" s="229" t="s">
        <v>2931</v>
      </c>
      <c r="N155" s="229" t="s">
        <v>1252</v>
      </c>
      <c r="O155" s="102">
        <v>5.0</v>
      </c>
      <c r="R155" s="230"/>
      <c r="S155" s="102" t="s">
        <v>529</v>
      </c>
      <c r="T155" s="102" t="s">
        <v>298</v>
      </c>
      <c r="U155" s="102" t="s">
        <v>299</v>
      </c>
    </row>
    <row r="156">
      <c r="A156" s="102" t="s">
        <v>310</v>
      </c>
      <c r="B156" s="102" t="s">
        <v>2141</v>
      </c>
      <c r="C156" s="229" t="s">
        <v>2142</v>
      </c>
      <c r="D156" s="102" t="s">
        <v>2143</v>
      </c>
      <c r="E156" s="102" t="s">
        <v>584</v>
      </c>
      <c r="F156" s="102" t="s">
        <v>585</v>
      </c>
      <c r="G156" s="102" t="s">
        <v>282</v>
      </c>
      <c r="H156" s="102" t="s">
        <v>283</v>
      </c>
      <c r="I156" s="102" t="s">
        <v>284</v>
      </c>
      <c r="J156" s="102" t="s">
        <v>454</v>
      </c>
      <c r="L156" s="229" t="s">
        <v>1331</v>
      </c>
      <c r="M156" s="229" t="s">
        <v>2931</v>
      </c>
      <c r="O156" s="102">
        <v>5.0</v>
      </c>
      <c r="R156" s="102">
        <v>57600.0</v>
      </c>
      <c r="S156" s="102" t="s">
        <v>529</v>
      </c>
      <c r="T156" s="102" t="s">
        <v>298</v>
      </c>
      <c r="U156" s="102" t="s">
        <v>299</v>
      </c>
    </row>
    <row r="157">
      <c r="A157" s="102" t="s">
        <v>310</v>
      </c>
      <c r="B157" s="102" t="s">
        <v>1339</v>
      </c>
      <c r="C157" s="229" t="s">
        <v>1340</v>
      </c>
      <c r="D157" s="102" t="s">
        <v>1341</v>
      </c>
      <c r="E157" s="102" t="s">
        <v>513</v>
      </c>
      <c r="F157" s="102" t="s">
        <v>514</v>
      </c>
      <c r="G157" s="102" t="s">
        <v>282</v>
      </c>
      <c r="H157" s="102" t="s">
        <v>283</v>
      </c>
      <c r="I157" s="102" t="s">
        <v>284</v>
      </c>
      <c r="J157" s="102" t="s">
        <v>454</v>
      </c>
      <c r="L157" s="229" t="s">
        <v>1342</v>
      </c>
      <c r="M157" s="229" t="s">
        <v>3215</v>
      </c>
      <c r="N157" s="229" t="s">
        <v>1343</v>
      </c>
      <c r="O157" s="102">
        <v>5.0</v>
      </c>
      <c r="P157" s="102" t="s">
        <v>1344</v>
      </c>
      <c r="R157" s="102">
        <v>57600.0</v>
      </c>
      <c r="S157" s="102" t="s">
        <v>1085</v>
      </c>
      <c r="T157" s="102" t="s">
        <v>529</v>
      </c>
      <c r="U157" s="102" t="s">
        <v>298</v>
      </c>
      <c r="V157" s="102" t="s">
        <v>299</v>
      </c>
    </row>
    <row r="158">
      <c r="A158" s="102" t="s">
        <v>310</v>
      </c>
      <c r="B158" s="102" t="s">
        <v>1345</v>
      </c>
      <c r="C158" s="229" t="s">
        <v>1346</v>
      </c>
      <c r="D158" s="102" t="s">
        <v>1347</v>
      </c>
      <c r="E158" s="102" t="s">
        <v>513</v>
      </c>
      <c r="F158" s="102" t="s">
        <v>514</v>
      </c>
      <c r="G158" s="102" t="s">
        <v>282</v>
      </c>
      <c r="H158" s="102" t="s">
        <v>283</v>
      </c>
      <c r="I158" s="102" t="s">
        <v>284</v>
      </c>
      <c r="J158" s="102" t="s">
        <v>454</v>
      </c>
      <c r="L158" s="229" t="s">
        <v>1342</v>
      </c>
      <c r="M158" s="229" t="s">
        <v>3215</v>
      </c>
      <c r="N158" s="229" t="s">
        <v>1343</v>
      </c>
      <c r="O158" s="102">
        <v>3.0</v>
      </c>
      <c r="P158" s="102" t="s">
        <v>1348</v>
      </c>
      <c r="R158" s="102">
        <v>28800.0</v>
      </c>
      <c r="S158" s="102" t="s">
        <v>1085</v>
      </c>
      <c r="T158" s="102" t="s">
        <v>529</v>
      </c>
      <c r="U158" s="102" t="s">
        <v>298</v>
      </c>
      <c r="V158" s="102" t="s">
        <v>299</v>
      </c>
    </row>
    <row r="159">
      <c r="A159" s="102" t="s">
        <v>310</v>
      </c>
      <c r="B159" s="102" t="s">
        <v>1349</v>
      </c>
      <c r="C159" s="229" t="s">
        <v>1350</v>
      </c>
      <c r="D159" s="102" t="s">
        <v>1351</v>
      </c>
      <c r="E159" s="102" t="s">
        <v>556</v>
      </c>
      <c r="F159" s="102" t="s">
        <v>557</v>
      </c>
      <c r="G159" s="102" t="s">
        <v>282</v>
      </c>
      <c r="H159" s="102" t="s">
        <v>283</v>
      </c>
      <c r="I159" s="102" t="s">
        <v>284</v>
      </c>
      <c r="J159" s="102" t="s">
        <v>454</v>
      </c>
      <c r="L159" s="229" t="s">
        <v>1342</v>
      </c>
      <c r="M159" s="229" t="s">
        <v>3215</v>
      </c>
      <c r="N159" s="229" t="s">
        <v>1352</v>
      </c>
      <c r="O159" s="102">
        <v>2.0</v>
      </c>
      <c r="P159" s="102" t="s">
        <v>1348</v>
      </c>
      <c r="R159" s="230"/>
      <c r="S159" s="102" t="s">
        <v>1085</v>
      </c>
      <c r="T159" s="102" t="s">
        <v>529</v>
      </c>
      <c r="U159" s="102" t="s">
        <v>298</v>
      </c>
      <c r="V159" s="102" t="s">
        <v>299</v>
      </c>
    </row>
    <row r="160">
      <c r="A160" s="102" t="s">
        <v>310</v>
      </c>
      <c r="B160" s="102" t="s">
        <v>1353</v>
      </c>
      <c r="C160" s="229" t="s">
        <v>1354</v>
      </c>
      <c r="D160" s="102" t="s">
        <v>1355</v>
      </c>
      <c r="E160" s="102" t="s">
        <v>513</v>
      </c>
      <c r="F160" s="102" t="s">
        <v>514</v>
      </c>
      <c r="G160" s="102" t="s">
        <v>282</v>
      </c>
      <c r="H160" s="102" t="s">
        <v>283</v>
      </c>
      <c r="I160" s="102" t="s">
        <v>284</v>
      </c>
      <c r="J160" s="102" t="s">
        <v>454</v>
      </c>
      <c r="L160" s="229" t="s">
        <v>1342</v>
      </c>
      <c r="M160" s="229" t="s">
        <v>3215</v>
      </c>
      <c r="N160" s="229" t="s">
        <v>1356</v>
      </c>
      <c r="O160" s="102">
        <v>3.0</v>
      </c>
      <c r="P160" s="102" t="s">
        <v>1348</v>
      </c>
      <c r="R160" s="102">
        <v>28800.0</v>
      </c>
      <c r="S160" s="102" t="s">
        <v>1085</v>
      </c>
      <c r="T160" s="102" t="s">
        <v>529</v>
      </c>
      <c r="U160" s="102" t="s">
        <v>298</v>
      </c>
      <c r="V160" s="102" t="s">
        <v>299</v>
      </c>
    </row>
    <row r="161">
      <c r="A161" s="102" t="s">
        <v>310</v>
      </c>
      <c r="B161" s="102" t="s">
        <v>2556</v>
      </c>
      <c r="C161" s="229" t="s">
        <v>2557</v>
      </c>
      <c r="D161" s="102" t="s">
        <v>2558</v>
      </c>
      <c r="E161" s="102" t="s">
        <v>328</v>
      </c>
      <c r="F161" s="102" t="s">
        <v>329</v>
      </c>
      <c r="G161" s="102" t="s">
        <v>282</v>
      </c>
      <c r="H161" s="102" t="s">
        <v>283</v>
      </c>
      <c r="I161" s="102" t="s">
        <v>284</v>
      </c>
      <c r="J161" s="102" t="s">
        <v>454</v>
      </c>
      <c r="L161" s="229" t="s">
        <v>1342</v>
      </c>
      <c r="M161" s="229" t="s">
        <v>2931</v>
      </c>
      <c r="N161" s="229" t="s">
        <v>1202</v>
      </c>
      <c r="O161" s="102">
        <v>5.0</v>
      </c>
      <c r="R161" s="230"/>
      <c r="S161" s="102" t="s">
        <v>529</v>
      </c>
      <c r="T161" s="102" t="s">
        <v>298</v>
      </c>
      <c r="U161" s="102" t="s">
        <v>299</v>
      </c>
    </row>
    <row r="162">
      <c r="A162" s="102" t="s">
        <v>310</v>
      </c>
      <c r="B162" s="102" t="s">
        <v>3216</v>
      </c>
      <c r="C162" s="229" t="s">
        <v>3217</v>
      </c>
      <c r="D162" s="102" t="s">
        <v>3218</v>
      </c>
      <c r="E162" s="102" t="s">
        <v>513</v>
      </c>
      <c r="F162" s="102" t="s">
        <v>514</v>
      </c>
      <c r="G162" s="102" t="s">
        <v>282</v>
      </c>
      <c r="H162" s="102" t="s">
        <v>283</v>
      </c>
      <c r="I162" s="102" t="s">
        <v>284</v>
      </c>
      <c r="J162" s="102" t="s">
        <v>26</v>
      </c>
      <c r="L162" s="229" t="s">
        <v>3219</v>
      </c>
      <c r="M162" s="229" t="s">
        <v>3150</v>
      </c>
      <c r="O162" s="102">
        <v>3.0</v>
      </c>
      <c r="R162" s="230"/>
      <c r="S162" s="102" t="s">
        <v>1085</v>
      </c>
      <c r="T162" s="102" t="s">
        <v>529</v>
      </c>
      <c r="U162" s="102" t="s">
        <v>298</v>
      </c>
      <c r="AF162" s="230"/>
      <c r="AG162" s="230"/>
      <c r="AH162" s="230"/>
      <c r="AI162" s="230"/>
    </row>
    <row r="163">
      <c r="A163" s="102" t="s">
        <v>310</v>
      </c>
      <c r="B163" s="102" t="s">
        <v>3220</v>
      </c>
      <c r="C163" s="229" t="s">
        <v>3221</v>
      </c>
      <c r="D163" s="102" t="s">
        <v>3222</v>
      </c>
      <c r="E163" s="102" t="s">
        <v>513</v>
      </c>
      <c r="F163" s="102" t="s">
        <v>514</v>
      </c>
      <c r="G163" s="102" t="s">
        <v>282</v>
      </c>
      <c r="H163" s="102" t="s">
        <v>283</v>
      </c>
      <c r="I163" s="102" t="s">
        <v>284</v>
      </c>
      <c r="J163" s="102" t="s">
        <v>26</v>
      </c>
      <c r="L163" s="229" t="s">
        <v>3223</v>
      </c>
      <c r="M163" s="229" t="s">
        <v>3150</v>
      </c>
      <c r="N163" s="229" t="s">
        <v>2054</v>
      </c>
      <c r="O163" s="102">
        <v>3.0</v>
      </c>
      <c r="P163" s="102" t="s">
        <v>473</v>
      </c>
      <c r="R163" s="102">
        <v>28800.0</v>
      </c>
      <c r="S163" s="102" t="s">
        <v>1085</v>
      </c>
      <c r="T163" s="102" t="s">
        <v>529</v>
      </c>
      <c r="U163" s="102" t="s">
        <v>298</v>
      </c>
      <c r="AF163" s="230"/>
      <c r="AG163" s="230"/>
      <c r="AH163" s="230"/>
      <c r="AI163" s="230"/>
    </row>
    <row r="164">
      <c r="A164" s="102" t="s">
        <v>310</v>
      </c>
      <c r="B164" s="102" t="s">
        <v>3224</v>
      </c>
      <c r="C164" s="229" t="s">
        <v>3225</v>
      </c>
      <c r="D164" s="102" t="s">
        <v>3226</v>
      </c>
      <c r="E164" s="102" t="s">
        <v>328</v>
      </c>
      <c r="F164" s="102" t="s">
        <v>329</v>
      </c>
      <c r="G164" s="102" t="s">
        <v>282</v>
      </c>
      <c r="H164" s="102" t="s">
        <v>283</v>
      </c>
      <c r="I164" s="102" t="s">
        <v>284</v>
      </c>
      <c r="J164" s="102" t="s">
        <v>26</v>
      </c>
      <c r="L164" s="229" t="s">
        <v>3223</v>
      </c>
      <c r="M164" s="229" t="s">
        <v>3227</v>
      </c>
      <c r="N164" s="229" t="s">
        <v>2042</v>
      </c>
      <c r="O164" s="102">
        <v>3.0</v>
      </c>
      <c r="R164" s="230"/>
      <c r="S164" s="102" t="s">
        <v>1085</v>
      </c>
      <c r="T164" s="102" t="s">
        <v>529</v>
      </c>
      <c r="U164" s="102" t="s">
        <v>298</v>
      </c>
      <c r="AF164" s="230"/>
      <c r="AG164" s="230"/>
      <c r="AH164" s="230"/>
      <c r="AI164" s="230"/>
    </row>
    <row r="165">
      <c r="A165" s="102" t="s">
        <v>310</v>
      </c>
      <c r="B165" s="102" t="s">
        <v>3228</v>
      </c>
      <c r="C165" s="229" t="s">
        <v>3229</v>
      </c>
      <c r="D165" s="102" t="s">
        <v>3230</v>
      </c>
      <c r="E165" s="102" t="s">
        <v>513</v>
      </c>
      <c r="F165" s="102" t="s">
        <v>514</v>
      </c>
      <c r="G165" s="102" t="s">
        <v>282</v>
      </c>
      <c r="H165" s="102" t="s">
        <v>283</v>
      </c>
      <c r="I165" s="102" t="s">
        <v>284</v>
      </c>
      <c r="J165" s="102" t="s">
        <v>26</v>
      </c>
      <c r="L165" s="229" t="s">
        <v>3223</v>
      </c>
      <c r="M165" s="229" t="s">
        <v>3156</v>
      </c>
      <c r="N165" s="229" t="s">
        <v>1352</v>
      </c>
      <c r="O165" s="102">
        <v>3.0</v>
      </c>
      <c r="P165" s="102" t="s">
        <v>473</v>
      </c>
      <c r="R165" s="102">
        <v>28800.0</v>
      </c>
      <c r="S165" s="102" t="s">
        <v>1085</v>
      </c>
      <c r="T165" s="102" t="s">
        <v>529</v>
      </c>
      <c r="U165" s="102" t="s">
        <v>298</v>
      </c>
      <c r="AF165" s="230"/>
      <c r="AG165" s="230"/>
      <c r="AH165" s="230"/>
      <c r="AI165" s="230"/>
    </row>
    <row r="166">
      <c r="A166" s="102" t="s">
        <v>310</v>
      </c>
      <c r="B166" s="102" t="s">
        <v>3019</v>
      </c>
      <c r="C166" s="229" t="s">
        <v>3020</v>
      </c>
      <c r="D166" s="102" t="s">
        <v>3021</v>
      </c>
      <c r="E166" s="102" t="s">
        <v>556</v>
      </c>
      <c r="F166" s="102" t="s">
        <v>557</v>
      </c>
      <c r="G166" s="102" t="s">
        <v>282</v>
      </c>
      <c r="H166" s="102" t="s">
        <v>283</v>
      </c>
      <c r="I166" s="102" t="s">
        <v>284</v>
      </c>
      <c r="J166" s="102" t="s">
        <v>454</v>
      </c>
      <c r="L166" s="229" t="s">
        <v>2155</v>
      </c>
      <c r="M166" s="229" t="s">
        <v>2931</v>
      </c>
      <c r="N166" s="229" t="s">
        <v>1202</v>
      </c>
      <c r="O166" s="102">
        <v>5.0</v>
      </c>
      <c r="R166" s="230"/>
      <c r="S166" s="102" t="s">
        <v>529</v>
      </c>
      <c r="T166" s="102" t="s">
        <v>298</v>
      </c>
      <c r="U166" s="102" t="s">
        <v>299</v>
      </c>
      <c r="AF166" s="230"/>
      <c r="AG166" s="230"/>
      <c r="AH166" s="230"/>
      <c r="AI166" s="230"/>
    </row>
    <row r="167">
      <c r="A167" s="102" t="s">
        <v>310</v>
      </c>
      <c r="B167" s="102" t="s">
        <v>2559</v>
      </c>
      <c r="C167" s="229" t="s">
        <v>2560</v>
      </c>
      <c r="D167" s="102" t="s">
        <v>2561</v>
      </c>
      <c r="E167" s="102" t="s">
        <v>328</v>
      </c>
      <c r="F167" s="102" t="s">
        <v>329</v>
      </c>
      <c r="G167" s="102" t="s">
        <v>282</v>
      </c>
      <c r="H167" s="102" t="s">
        <v>283</v>
      </c>
      <c r="I167" s="102" t="s">
        <v>648</v>
      </c>
      <c r="J167" s="102" t="s">
        <v>454</v>
      </c>
      <c r="L167" s="229" t="s">
        <v>2562</v>
      </c>
      <c r="M167" s="229" t="s">
        <v>2931</v>
      </c>
      <c r="N167" s="229" t="s">
        <v>1202</v>
      </c>
      <c r="O167" s="102">
        <v>2.0</v>
      </c>
      <c r="P167" s="102" t="s">
        <v>473</v>
      </c>
      <c r="R167" s="230"/>
      <c r="S167" s="102" t="s">
        <v>529</v>
      </c>
      <c r="T167" s="102" t="s">
        <v>298</v>
      </c>
      <c r="U167" s="102" t="s">
        <v>299</v>
      </c>
      <c r="AF167" s="230"/>
      <c r="AG167" s="230"/>
      <c r="AH167" s="230"/>
      <c r="AI167" s="230"/>
    </row>
    <row r="168">
      <c r="A168" s="102" t="s">
        <v>310</v>
      </c>
      <c r="B168" s="102" t="s">
        <v>2156</v>
      </c>
      <c r="C168" s="229" t="s">
        <v>2157</v>
      </c>
      <c r="D168" s="102" t="s">
        <v>2158</v>
      </c>
      <c r="E168" s="102" t="s">
        <v>556</v>
      </c>
      <c r="F168" s="102" t="s">
        <v>557</v>
      </c>
      <c r="G168" s="102" t="s">
        <v>282</v>
      </c>
      <c r="H168" s="102" t="s">
        <v>283</v>
      </c>
      <c r="I168" s="102" t="s">
        <v>648</v>
      </c>
      <c r="J168" s="102" t="s">
        <v>454</v>
      </c>
      <c r="L168" s="229" t="s">
        <v>2159</v>
      </c>
      <c r="M168" s="229" t="s">
        <v>2931</v>
      </c>
      <c r="O168" s="102">
        <v>5.0</v>
      </c>
      <c r="P168" s="102" t="s">
        <v>593</v>
      </c>
      <c r="Q168" s="102" t="s">
        <v>435</v>
      </c>
      <c r="R168" s="102">
        <v>57600.0</v>
      </c>
      <c r="S168" s="102" t="s">
        <v>1991</v>
      </c>
      <c r="T168" s="102" t="s">
        <v>1992</v>
      </c>
      <c r="U168" s="102" t="s">
        <v>1085</v>
      </c>
      <c r="V168" s="102" t="s">
        <v>529</v>
      </c>
      <c r="W168" s="102" t="s">
        <v>298</v>
      </c>
      <c r="X168" s="102" t="s">
        <v>299</v>
      </c>
      <c r="AF168" s="230"/>
      <c r="AG168" s="230"/>
      <c r="AH168" s="230"/>
      <c r="AI168" s="230"/>
    </row>
    <row r="169">
      <c r="A169" s="102" t="s">
        <v>310</v>
      </c>
      <c r="B169" s="102" t="s">
        <v>2161</v>
      </c>
      <c r="C169" s="229" t="s">
        <v>2162</v>
      </c>
      <c r="D169" s="102" t="s">
        <v>2163</v>
      </c>
      <c r="E169" s="102" t="s">
        <v>556</v>
      </c>
      <c r="F169" s="102" t="s">
        <v>557</v>
      </c>
      <c r="G169" s="102" t="s">
        <v>282</v>
      </c>
      <c r="H169" s="102" t="s">
        <v>283</v>
      </c>
      <c r="I169" s="102" t="s">
        <v>284</v>
      </c>
      <c r="J169" s="102" t="s">
        <v>454</v>
      </c>
      <c r="L169" s="229" t="s">
        <v>2164</v>
      </c>
      <c r="M169" s="229" t="s">
        <v>2931</v>
      </c>
      <c r="N169" s="229" t="s">
        <v>2165</v>
      </c>
      <c r="O169" s="102">
        <v>1.0</v>
      </c>
      <c r="P169" s="102" t="s">
        <v>435</v>
      </c>
      <c r="R169" s="102">
        <v>7200.0</v>
      </c>
      <c r="S169" s="102" t="s">
        <v>1991</v>
      </c>
      <c r="T169" s="102" t="s">
        <v>1992</v>
      </c>
      <c r="U169" s="102" t="s">
        <v>1085</v>
      </c>
      <c r="V169" s="102" t="s">
        <v>529</v>
      </c>
      <c r="W169" s="102" t="s">
        <v>298</v>
      </c>
      <c r="X169" s="102" t="s">
        <v>299</v>
      </c>
      <c r="AF169" s="230"/>
      <c r="AG169" s="230"/>
      <c r="AH169" s="230"/>
      <c r="AI169" s="230"/>
    </row>
    <row r="170">
      <c r="A170" s="102" t="s">
        <v>310</v>
      </c>
      <c r="B170" s="102" t="s">
        <v>3231</v>
      </c>
      <c r="C170" s="229" t="s">
        <v>3232</v>
      </c>
      <c r="D170" s="102" t="s">
        <v>3233</v>
      </c>
      <c r="E170" s="102" t="s">
        <v>495</v>
      </c>
      <c r="F170" s="102" t="s">
        <v>496</v>
      </c>
      <c r="G170" s="102" t="s">
        <v>282</v>
      </c>
      <c r="H170" s="102" t="s">
        <v>283</v>
      </c>
      <c r="I170" s="102" t="s">
        <v>284</v>
      </c>
      <c r="J170" s="102" t="s">
        <v>26</v>
      </c>
      <c r="L170" s="229" t="s">
        <v>3234</v>
      </c>
      <c r="M170" s="229" t="s">
        <v>3235</v>
      </c>
      <c r="N170" s="229" t="s">
        <v>1352</v>
      </c>
      <c r="O170" s="102">
        <v>3.0</v>
      </c>
      <c r="P170" s="102" t="s">
        <v>473</v>
      </c>
      <c r="R170" s="102">
        <v>28800.0</v>
      </c>
      <c r="S170" s="102" t="s">
        <v>1085</v>
      </c>
      <c r="T170" s="102" t="s">
        <v>529</v>
      </c>
      <c r="U170" s="102" t="s">
        <v>298</v>
      </c>
      <c r="AF170" s="230"/>
      <c r="AG170" s="230"/>
      <c r="AH170" s="230"/>
      <c r="AI170" s="230"/>
    </row>
    <row r="171">
      <c r="A171" s="102" t="s">
        <v>310</v>
      </c>
      <c r="B171" s="102" t="s">
        <v>3236</v>
      </c>
      <c r="C171" s="229" t="s">
        <v>3237</v>
      </c>
      <c r="D171" s="102" t="s">
        <v>3238</v>
      </c>
      <c r="E171" s="102" t="s">
        <v>495</v>
      </c>
      <c r="F171" s="102" t="s">
        <v>496</v>
      </c>
      <c r="G171" s="102" t="s">
        <v>282</v>
      </c>
      <c r="H171" s="102" t="s">
        <v>283</v>
      </c>
      <c r="I171" s="102" t="s">
        <v>284</v>
      </c>
      <c r="J171" s="102" t="s">
        <v>26</v>
      </c>
      <c r="L171" s="229" t="s">
        <v>3234</v>
      </c>
      <c r="M171" s="229" t="s">
        <v>3239</v>
      </c>
      <c r="N171" s="229" t="s">
        <v>1352</v>
      </c>
      <c r="O171" s="102">
        <v>5.0</v>
      </c>
      <c r="P171" s="102" t="s">
        <v>473</v>
      </c>
      <c r="R171" s="102">
        <v>57600.0</v>
      </c>
      <c r="S171" s="102" t="s">
        <v>1085</v>
      </c>
      <c r="T171" s="102" t="s">
        <v>529</v>
      </c>
      <c r="U171" s="102" t="s">
        <v>298</v>
      </c>
      <c r="AF171" s="230"/>
      <c r="AG171" s="230"/>
      <c r="AH171" s="230"/>
      <c r="AI171" s="230"/>
    </row>
    <row r="172">
      <c r="A172" s="102" t="s">
        <v>310</v>
      </c>
      <c r="B172" s="102" t="s">
        <v>3022</v>
      </c>
      <c r="C172" s="229" t="s">
        <v>3023</v>
      </c>
      <c r="D172" s="102" t="s">
        <v>3024</v>
      </c>
      <c r="E172" s="102" t="s">
        <v>495</v>
      </c>
      <c r="F172" s="102" t="s">
        <v>496</v>
      </c>
      <c r="G172" s="102" t="s">
        <v>282</v>
      </c>
      <c r="H172" s="102" t="s">
        <v>283</v>
      </c>
      <c r="I172" s="102" t="s">
        <v>284</v>
      </c>
      <c r="J172" s="102" t="s">
        <v>454</v>
      </c>
      <c r="L172" s="229" t="s">
        <v>3025</v>
      </c>
      <c r="M172" s="229" t="s">
        <v>3127</v>
      </c>
      <c r="N172" s="229" t="s">
        <v>3026</v>
      </c>
      <c r="O172" s="102">
        <v>3.0</v>
      </c>
      <c r="P172" s="102" t="s">
        <v>473</v>
      </c>
      <c r="R172" s="102">
        <v>28800.0</v>
      </c>
      <c r="S172" s="102" t="s">
        <v>1085</v>
      </c>
      <c r="T172" s="102" t="s">
        <v>529</v>
      </c>
      <c r="U172" s="102" t="s">
        <v>298</v>
      </c>
      <c r="V172" s="102" t="s">
        <v>299</v>
      </c>
      <c r="AF172" s="230"/>
      <c r="AG172" s="230"/>
      <c r="AH172" s="230"/>
      <c r="AI172" s="230"/>
    </row>
    <row r="173">
      <c r="A173" s="102" t="s">
        <v>310</v>
      </c>
      <c r="B173" s="102" t="s">
        <v>3027</v>
      </c>
      <c r="C173" s="229" t="s">
        <v>3028</v>
      </c>
      <c r="D173" s="102" t="s">
        <v>3029</v>
      </c>
      <c r="E173" s="102" t="s">
        <v>328</v>
      </c>
      <c r="F173" s="102" t="s">
        <v>329</v>
      </c>
      <c r="G173" s="102" t="s">
        <v>282</v>
      </c>
      <c r="H173" s="102" t="s">
        <v>283</v>
      </c>
      <c r="I173" s="102" t="s">
        <v>284</v>
      </c>
      <c r="J173" s="102" t="s">
        <v>454</v>
      </c>
      <c r="L173" s="229" t="s">
        <v>3030</v>
      </c>
      <c r="M173" s="229" t="s">
        <v>2931</v>
      </c>
      <c r="N173" s="229" t="s">
        <v>1356</v>
      </c>
      <c r="O173" s="102">
        <v>5.0</v>
      </c>
      <c r="P173" s="102" t="s">
        <v>473</v>
      </c>
      <c r="R173" s="230"/>
      <c r="S173" s="102" t="s">
        <v>1085</v>
      </c>
      <c r="T173" s="102" t="s">
        <v>529</v>
      </c>
      <c r="U173" s="102" t="s">
        <v>298</v>
      </c>
      <c r="V173" s="102" t="s">
        <v>299</v>
      </c>
      <c r="AF173" s="230"/>
      <c r="AG173" s="230"/>
      <c r="AH173" s="230"/>
      <c r="AI173" s="230"/>
    </row>
    <row r="174">
      <c r="A174" s="102" t="s">
        <v>310</v>
      </c>
      <c r="B174" s="102" t="s">
        <v>2166</v>
      </c>
      <c r="C174" s="229" t="s">
        <v>2167</v>
      </c>
      <c r="D174" s="102" t="s">
        <v>2168</v>
      </c>
      <c r="E174" s="102" t="s">
        <v>495</v>
      </c>
      <c r="F174" s="102" t="s">
        <v>496</v>
      </c>
      <c r="G174" s="102" t="s">
        <v>282</v>
      </c>
      <c r="H174" s="102" t="s">
        <v>283</v>
      </c>
      <c r="I174" s="102" t="s">
        <v>284</v>
      </c>
      <c r="J174" s="102" t="s">
        <v>454</v>
      </c>
      <c r="L174" s="229" t="s">
        <v>2169</v>
      </c>
      <c r="M174" s="229" t="s">
        <v>2931</v>
      </c>
      <c r="O174" s="102">
        <v>2.0</v>
      </c>
      <c r="P174" s="102" t="s">
        <v>435</v>
      </c>
      <c r="R174" s="102">
        <v>7200.0</v>
      </c>
      <c r="S174" s="102" t="s">
        <v>1991</v>
      </c>
      <c r="T174" s="102" t="s">
        <v>1992</v>
      </c>
      <c r="U174" s="102" t="s">
        <v>1085</v>
      </c>
      <c r="V174" s="102" t="s">
        <v>529</v>
      </c>
      <c r="W174" s="102" t="s">
        <v>298</v>
      </c>
      <c r="X174" s="102" t="s">
        <v>299</v>
      </c>
      <c r="AF174" s="230"/>
      <c r="AG174" s="230"/>
      <c r="AH174" s="230"/>
      <c r="AI174" s="230"/>
    </row>
    <row r="175">
      <c r="A175" s="102" t="s">
        <v>310</v>
      </c>
      <c r="B175" s="102" t="s">
        <v>2563</v>
      </c>
      <c r="C175" s="229" t="s">
        <v>2564</v>
      </c>
      <c r="D175" s="102" t="s">
        <v>2565</v>
      </c>
      <c r="E175" s="102" t="s">
        <v>564</v>
      </c>
      <c r="F175" s="102" t="s">
        <v>565</v>
      </c>
      <c r="G175" s="102" t="s">
        <v>282</v>
      </c>
      <c r="H175" s="102" t="s">
        <v>283</v>
      </c>
      <c r="I175" s="102" t="s">
        <v>515</v>
      </c>
      <c r="J175" s="102" t="s">
        <v>454</v>
      </c>
      <c r="L175" s="229" t="s">
        <v>2566</v>
      </c>
      <c r="M175" s="229" t="s">
        <v>3044</v>
      </c>
      <c r="N175" s="229" t="s">
        <v>2165</v>
      </c>
      <c r="O175" s="102">
        <v>3.0</v>
      </c>
      <c r="R175" s="102">
        <v>28800.0</v>
      </c>
      <c r="S175" s="102" t="s">
        <v>2269</v>
      </c>
      <c r="T175" s="102" t="s">
        <v>2270</v>
      </c>
      <c r="U175" s="102" t="s">
        <v>2271</v>
      </c>
      <c r="V175" s="102" t="s">
        <v>2272</v>
      </c>
      <c r="W175" s="102" t="s">
        <v>2273</v>
      </c>
      <c r="X175" s="102" t="s">
        <v>2274</v>
      </c>
      <c r="AF175" s="230"/>
      <c r="AG175" s="230"/>
      <c r="AH175" s="230"/>
      <c r="AI175" s="230"/>
    </row>
    <row r="176">
      <c r="A176" s="102" t="s">
        <v>310</v>
      </c>
      <c r="B176" s="102" t="s">
        <v>2567</v>
      </c>
      <c r="C176" s="229" t="s">
        <v>2568</v>
      </c>
      <c r="D176" s="102" t="s">
        <v>2569</v>
      </c>
      <c r="E176" s="102" t="s">
        <v>564</v>
      </c>
      <c r="F176" s="102" t="s">
        <v>565</v>
      </c>
      <c r="G176" s="102" t="s">
        <v>282</v>
      </c>
      <c r="H176" s="102" t="s">
        <v>283</v>
      </c>
      <c r="I176" s="102" t="s">
        <v>515</v>
      </c>
      <c r="J176" s="102" t="s">
        <v>454</v>
      </c>
      <c r="L176" s="229" t="s">
        <v>2566</v>
      </c>
      <c r="M176" s="229" t="s">
        <v>3044</v>
      </c>
      <c r="N176" s="229" t="s">
        <v>2570</v>
      </c>
      <c r="O176" s="102">
        <v>3.0</v>
      </c>
      <c r="R176" s="102">
        <v>28800.0</v>
      </c>
      <c r="S176" s="102" t="s">
        <v>2269</v>
      </c>
      <c r="T176" s="102" t="s">
        <v>2270</v>
      </c>
      <c r="U176" s="102" t="s">
        <v>2271</v>
      </c>
      <c r="V176" s="102" t="s">
        <v>2272</v>
      </c>
      <c r="W176" s="102" t="s">
        <v>2273</v>
      </c>
      <c r="X176" s="102" t="s">
        <v>2274</v>
      </c>
      <c r="AF176" s="230"/>
      <c r="AG176" s="230"/>
      <c r="AH176" s="230"/>
      <c r="AI176" s="230"/>
    </row>
    <row r="177">
      <c r="A177" s="102" t="s">
        <v>310</v>
      </c>
      <c r="B177" s="102" t="s">
        <v>2571</v>
      </c>
      <c r="C177" s="229" t="s">
        <v>2572</v>
      </c>
      <c r="D177" s="102" t="s">
        <v>2573</v>
      </c>
      <c r="E177" s="102" t="s">
        <v>564</v>
      </c>
      <c r="F177" s="102" t="s">
        <v>565</v>
      </c>
      <c r="G177" s="102" t="s">
        <v>282</v>
      </c>
      <c r="H177" s="102" t="s">
        <v>283</v>
      </c>
      <c r="I177" s="102" t="s">
        <v>515</v>
      </c>
      <c r="J177" s="102" t="s">
        <v>454</v>
      </c>
      <c r="L177" s="229" t="s">
        <v>2574</v>
      </c>
      <c r="M177" s="229" t="s">
        <v>2998</v>
      </c>
      <c r="N177" s="229" t="s">
        <v>2575</v>
      </c>
      <c r="O177" s="102">
        <v>3.0</v>
      </c>
      <c r="R177" s="102">
        <v>28800.0</v>
      </c>
      <c r="S177" s="102" t="s">
        <v>2266</v>
      </c>
      <c r="T177" s="102" t="s">
        <v>2267</v>
      </c>
      <c r="U177" s="102" t="s">
        <v>2268</v>
      </c>
      <c r="V177" s="102" t="s">
        <v>2269</v>
      </c>
      <c r="W177" s="102" t="s">
        <v>2270</v>
      </c>
      <c r="X177" s="102" t="s">
        <v>2271</v>
      </c>
      <c r="Y177" s="102" t="s">
        <v>2272</v>
      </c>
      <c r="Z177" s="102" t="s">
        <v>2273</v>
      </c>
      <c r="AA177" s="102" t="s">
        <v>2274</v>
      </c>
      <c r="AF177" s="230"/>
      <c r="AG177" s="230"/>
      <c r="AH177" s="230"/>
      <c r="AI177" s="230"/>
    </row>
    <row r="178">
      <c r="A178" s="102" t="s">
        <v>630</v>
      </c>
      <c r="B178" s="102" t="s">
        <v>2180</v>
      </c>
      <c r="C178" s="229" t="s">
        <v>2181</v>
      </c>
      <c r="D178" s="102" t="s">
        <v>2182</v>
      </c>
      <c r="G178" s="102" t="s">
        <v>304</v>
      </c>
      <c r="H178" s="102" t="s">
        <v>305</v>
      </c>
      <c r="I178" s="102" t="s">
        <v>284</v>
      </c>
      <c r="J178" s="102" t="s">
        <v>63</v>
      </c>
      <c r="L178" s="229" t="s">
        <v>2183</v>
      </c>
      <c r="M178" s="229" t="s">
        <v>3052</v>
      </c>
      <c r="O178" s="230"/>
      <c r="R178" s="230"/>
      <c r="S178" s="102" t="s">
        <v>2185</v>
      </c>
      <c r="T178" s="102" t="s">
        <v>2186</v>
      </c>
      <c r="U178" s="102" t="s">
        <v>2187</v>
      </c>
      <c r="V178" s="102" t="s">
        <v>2188</v>
      </c>
      <c r="W178" s="102" t="s">
        <v>3240</v>
      </c>
      <c r="AF178" s="230"/>
      <c r="AG178" s="230"/>
      <c r="AH178" s="230"/>
      <c r="AI178" s="230"/>
    </row>
    <row r="179">
      <c r="A179" s="102" t="s">
        <v>332</v>
      </c>
      <c r="B179" s="102" t="s">
        <v>3053</v>
      </c>
      <c r="C179" s="229" t="s">
        <v>3054</v>
      </c>
      <c r="D179" s="102" t="s">
        <v>3055</v>
      </c>
      <c r="E179" s="102" t="s">
        <v>495</v>
      </c>
      <c r="F179" s="102" t="s">
        <v>496</v>
      </c>
      <c r="G179" s="102" t="s">
        <v>304</v>
      </c>
      <c r="H179" s="102" t="s">
        <v>305</v>
      </c>
      <c r="I179" s="102" t="s">
        <v>284</v>
      </c>
      <c r="J179" s="102" t="s">
        <v>922</v>
      </c>
      <c r="L179" s="229" t="s">
        <v>3056</v>
      </c>
      <c r="M179" s="229" t="s">
        <v>3052</v>
      </c>
      <c r="O179" s="102">
        <v>2.0</v>
      </c>
      <c r="R179" s="230"/>
      <c r="S179" s="102" t="s">
        <v>2185</v>
      </c>
      <c r="T179" s="102" t="s">
        <v>2186</v>
      </c>
      <c r="U179" s="102" t="s">
        <v>2187</v>
      </c>
      <c r="V179" s="102" t="s">
        <v>2188</v>
      </c>
      <c r="W179" s="102" t="s">
        <v>3240</v>
      </c>
      <c r="AF179" s="230"/>
      <c r="AG179" s="230"/>
      <c r="AH179" s="230"/>
      <c r="AI179" s="230"/>
    </row>
    <row r="180">
      <c r="A180" s="102" t="s">
        <v>1465</v>
      </c>
      <c r="B180" s="102" t="s">
        <v>3241</v>
      </c>
      <c r="C180" s="229" t="s">
        <v>3242</v>
      </c>
      <c r="D180" s="102" t="s">
        <v>3243</v>
      </c>
      <c r="G180" s="102" t="s">
        <v>521</v>
      </c>
      <c r="H180" s="102" t="s">
        <v>522</v>
      </c>
      <c r="I180" s="102" t="s">
        <v>284</v>
      </c>
      <c r="J180" s="102" t="s">
        <v>63</v>
      </c>
      <c r="L180" s="229" t="s">
        <v>3244</v>
      </c>
      <c r="M180" s="229" t="s">
        <v>3052</v>
      </c>
      <c r="O180" s="230"/>
      <c r="R180" s="230"/>
      <c r="S180" s="102" t="s">
        <v>2196</v>
      </c>
      <c r="T180" s="102" t="s">
        <v>2185</v>
      </c>
      <c r="U180" s="102" t="s">
        <v>2186</v>
      </c>
      <c r="V180" s="102" t="s">
        <v>2187</v>
      </c>
      <c r="W180" s="102" t="s">
        <v>2188</v>
      </c>
      <c r="X180" s="102" t="s">
        <v>3240</v>
      </c>
      <c r="AF180" s="230"/>
      <c r="AG180" s="230"/>
      <c r="AH180" s="230"/>
      <c r="AI180" s="230"/>
    </row>
    <row r="181">
      <c r="A181" s="102" t="s">
        <v>630</v>
      </c>
      <c r="B181" s="102" t="s">
        <v>2192</v>
      </c>
      <c r="C181" s="229" t="s">
        <v>2193</v>
      </c>
      <c r="D181" s="102" t="s">
        <v>2194</v>
      </c>
      <c r="G181" s="102" t="s">
        <v>304</v>
      </c>
      <c r="H181" s="102" t="s">
        <v>305</v>
      </c>
      <c r="I181" s="102" t="s">
        <v>284</v>
      </c>
      <c r="J181" s="102" t="s">
        <v>63</v>
      </c>
      <c r="L181" s="229" t="s">
        <v>2195</v>
      </c>
      <c r="M181" s="229" t="s">
        <v>3052</v>
      </c>
      <c r="O181" s="230"/>
      <c r="R181" s="230"/>
      <c r="S181" s="102" t="s">
        <v>2196</v>
      </c>
      <c r="T181" s="102" t="s">
        <v>2185</v>
      </c>
      <c r="U181" s="102" t="s">
        <v>2186</v>
      </c>
      <c r="V181" s="102" t="s">
        <v>2187</v>
      </c>
      <c r="W181" s="102" t="s">
        <v>2188</v>
      </c>
      <c r="X181" s="102" t="s">
        <v>3240</v>
      </c>
      <c r="AF181" s="230"/>
      <c r="AG181" s="230"/>
      <c r="AH181" s="230"/>
      <c r="AI181" s="230"/>
    </row>
    <row r="182">
      <c r="A182" s="102" t="s">
        <v>630</v>
      </c>
      <c r="B182" s="102" t="s">
        <v>2197</v>
      </c>
      <c r="C182" s="229" t="s">
        <v>2198</v>
      </c>
      <c r="D182" s="102" t="s">
        <v>2199</v>
      </c>
      <c r="G182" s="102" t="s">
        <v>304</v>
      </c>
      <c r="H182" s="102" t="s">
        <v>305</v>
      </c>
      <c r="I182" s="102" t="s">
        <v>284</v>
      </c>
      <c r="J182" s="102" t="s">
        <v>63</v>
      </c>
      <c r="L182" s="229" t="s">
        <v>2200</v>
      </c>
      <c r="M182" s="229" t="s">
        <v>3052</v>
      </c>
      <c r="O182" s="230"/>
      <c r="R182" s="230"/>
      <c r="S182" s="102" t="s">
        <v>2196</v>
      </c>
      <c r="T182" s="102" t="s">
        <v>2185</v>
      </c>
      <c r="U182" s="102" t="s">
        <v>2186</v>
      </c>
      <c r="V182" s="102" t="s">
        <v>2187</v>
      </c>
      <c r="W182" s="102" t="s">
        <v>2188</v>
      </c>
      <c r="X182" s="102" t="s">
        <v>3240</v>
      </c>
      <c r="AF182" s="230"/>
      <c r="AG182" s="230"/>
      <c r="AH182" s="230"/>
      <c r="AI182" s="230"/>
    </row>
    <row r="183">
      <c r="A183" s="102" t="s">
        <v>630</v>
      </c>
      <c r="B183" s="102" t="s">
        <v>2201</v>
      </c>
      <c r="C183" s="229" t="s">
        <v>2202</v>
      </c>
      <c r="D183" s="102" t="s">
        <v>2203</v>
      </c>
      <c r="G183" s="102" t="s">
        <v>304</v>
      </c>
      <c r="H183" s="102" t="s">
        <v>305</v>
      </c>
      <c r="I183" s="102" t="s">
        <v>284</v>
      </c>
      <c r="J183" s="102" t="s">
        <v>63</v>
      </c>
      <c r="L183" s="229" t="s">
        <v>2204</v>
      </c>
      <c r="M183" s="229" t="s">
        <v>3052</v>
      </c>
      <c r="O183" s="230"/>
      <c r="R183" s="230"/>
      <c r="S183" s="102" t="s">
        <v>2205</v>
      </c>
      <c r="T183" s="102" t="s">
        <v>2196</v>
      </c>
      <c r="U183" s="102" t="s">
        <v>2185</v>
      </c>
      <c r="V183" s="102" t="s">
        <v>2186</v>
      </c>
      <c r="W183" s="102" t="s">
        <v>2187</v>
      </c>
      <c r="X183" s="102" t="s">
        <v>2188</v>
      </c>
      <c r="Y183" s="102" t="s">
        <v>3240</v>
      </c>
      <c r="AF183" s="230"/>
      <c r="AG183" s="230"/>
      <c r="AH183" s="230"/>
      <c r="AI183" s="230"/>
    </row>
    <row r="184">
      <c r="A184" s="102" t="s">
        <v>630</v>
      </c>
      <c r="B184" s="102" t="s">
        <v>2206</v>
      </c>
      <c r="C184" s="229" t="s">
        <v>2207</v>
      </c>
      <c r="D184" s="102" t="s">
        <v>2208</v>
      </c>
      <c r="G184" s="102" t="s">
        <v>304</v>
      </c>
      <c r="H184" s="102" t="s">
        <v>305</v>
      </c>
      <c r="I184" s="102" t="s">
        <v>284</v>
      </c>
      <c r="J184" s="102" t="s">
        <v>63</v>
      </c>
      <c r="L184" s="229" t="s">
        <v>2209</v>
      </c>
      <c r="M184" s="229" t="s">
        <v>3052</v>
      </c>
      <c r="O184" s="230"/>
      <c r="P184" s="102" t="s">
        <v>1808</v>
      </c>
      <c r="R184" s="230"/>
      <c r="S184" s="102" t="s">
        <v>2205</v>
      </c>
      <c r="T184" s="102" t="s">
        <v>2196</v>
      </c>
      <c r="U184" s="102" t="s">
        <v>2185</v>
      </c>
      <c r="V184" s="102" t="s">
        <v>2186</v>
      </c>
      <c r="W184" s="102" t="s">
        <v>2187</v>
      </c>
      <c r="X184" s="102" t="s">
        <v>2188</v>
      </c>
      <c r="Y184" s="102" t="s">
        <v>3240</v>
      </c>
      <c r="AF184" s="230"/>
      <c r="AG184" s="230"/>
      <c r="AH184" s="230"/>
      <c r="AI184" s="230"/>
    </row>
    <row r="185">
      <c r="O185" s="230"/>
      <c r="R185" s="230"/>
      <c r="AF185" s="230"/>
      <c r="AG185" s="230"/>
      <c r="AH185" s="230"/>
      <c r="AI185" s="230"/>
    </row>
    <row r="186">
      <c r="O186" s="230"/>
      <c r="R186" s="230"/>
      <c r="AF186" s="230"/>
      <c r="AG186" s="230"/>
      <c r="AH186" s="230"/>
      <c r="AI186" s="230"/>
    </row>
    <row r="187">
      <c r="O187" s="230"/>
      <c r="R187" s="230"/>
      <c r="AF187" s="230"/>
      <c r="AG187" s="230"/>
      <c r="AH187" s="230"/>
      <c r="AI187" s="230"/>
    </row>
    <row r="188">
      <c r="O188" s="230"/>
      <c r="R188" s="230"/>
      <c r="AF188" s="230"/>
      <c r="AG188" s="230"/>
      <c r="AH188" s="230"/>
      <c r="AI188" s="230"/>
    </row>
    <row r="189">
      <c r="O189" s="230"/>
      <c r="R189" s="230"/>
      <c r="AF189" s="230"/>
      <c r="AG189" s="230"/>
      <c r="AH189" s="230"/>
      <c r="AI189" s="230"/>
    </row>
    <row r="190">
      <c r="O190" s="230"/>
      <c r="R190" s="230"/>
      <c r="AF190" s="230"/>
      <c r="AG190" s="230"/>
      <c r="AH190" s="230"/>
      <c r="AI190" s="230"/>
    </row>
    <row r="191">
      <c r="O191" s="230"/>
      <c r="R191" s="230"/>
      <c r="AF191" s="230"/>
      <c r="AG191" s="230"/>
      <c r="AH191" s="230"/>
      <c r="AI191" s="230"/>
    </row>
    <row r="192">
      <c r="O192" s="230"/>
      <c r="R192" s="230"/>
      <c r="AF192" s="230"/>
      <c r="AG192" s="230"/>
      <c r="AH192" s="230"/>
      <c r="AI192" s="230"/>
    </row>
    <row r="193">
      <c r="O193" s="230"/>
      <c r="R193" s="230"/>
      <c r="AF193" s="230"/>
      <c r="AG193" s="230"/>
      <c r="AH193" s="230"/>
      <c r="AI193" s="230"/>
    </row>
    <row r="194">
      <c r="O194" s="230"/>
      <c r="R194" s="230"/>
      <c r="AF194" s="230"/>
      <c r="AG194" s="230"/>
      <c r="AH194" s="230"/>
      <c r="AI194" s="230"/>
    </row>
    <row r="195">
      <c r="O195" s="230"/>
      <c r="R195" s="230"/>
      <c r="AF195" s="230"/>
      <c r="AG195" s="230"/>
      <c r="AH195" s="230"/>
      <c r="AI195" s="230"/>
    </row>
    <row r="196">
      <c r="O196" s="230"/>
      <c r="R196" s="230"/>
      <c r="AF196" s="230"/>
      <c r="AG196" s="230"/>
      <c r="AH196" s="230"/>
      <c r="AI196" s="230"/>
    </row>
    <row r="197">
      <c r="O197" s="230"/>
      <c r="R197" s="230"/>
      <c r="AF197" s="230"/>
      <c r="AG197" s="230"/>
      <c r="AH197" s="230"/>
      <c r="AI197" s="230"/>
    </row>
    <row r="198">
      <c r="O198" s="230"/>
      <c r="R198" s="230"/>
      <c r="AF198" s="230"/>
      <c r="AG198" s="230"/>
      <c r="AH198" s="230"/>
      <c r="AI198" s="230"/>
    </row>
    <row r="199">
      <c r="O199" s="230"/>
      <c r="R199" s="230"/>
      <c r="AF199" s="230"/>
      <c r="AG199" s="230"/>
      <c r="AH199" s="230"/>
      <c r="AI199" s="230"/>
    </row>
    <row r="200">
      <c r="O200" s="230"/>
      <c r="R200" s="230"/>
      <c r="AF200" s="230"/>
      <c r="AG200" s="230"/>
      <c r="AH200" s="230"/>
      <c r="AI200" s="230"/>
    </row>
    <row r="201">
      <c r="O201" s="230"/>
      <c r="R201" s="230"/>
      <c r="AF201" s="230"/>
      <c r="AG201" s="230"/>
      <c r="AH201" s="230"/>
      <c r="AI201" s="230"/>
    </row>
    <row r="202">
      <c r="O202" s="230"/>
      <c r="R202" s="230"/>
      <c r="AF202" s="230"/>
      <c r="AG202" s="230"/>
      <c r="AH202" s="230"/>
      <c r="AI202" s="230"/>
    </row>
    <row r="203">
      <c r="O203" s="230"/>
      <c r="R203" s="230"/>
      <c r="AF203" s="230"/>
      <c r="AG203" s="230"/>
      <c r="AH203" s="230"/>
      <c r="AI203" s="230"/>
    </row>
    <row r="204">
      <c r="O204" s="230"/>
      <c r="R204" s="230"/>
      <c r="AF204" s="230"/>
      <c r="AG204" s="230"/>
      <c r="AH204" s="230"/>
      <c r="AI204" s="230"/>
    </row>
    <row r="205">
      <c r="O205" s="230"/>
      <c r="R205" s="230"/>
      <c r="AF205" s="230"/>
      <c r="AG205" s="230"/>
      <c r="AH205" s="230"/>
      <c r="AI205" s="230"/>
    </row>
    <row r="206">
      <c r="O206" s="230"/>
      <c r="R206" s="230"/>
      <c r="AF206" s="230"/>
      <c r="AG206" s="230"/>
      <c r="AH206" s="230"/>
      <c r="AI206" s="230"/>
    </row>
    <row r="207">
      <c r="O207" s="230"/>
      <c r="R207" s="230"/>
      <c r="AF207" s="230"/>
      <c r="AG207" s="230"/>
      <c r="AH207" s="230"/>
      <c r="AI207" s="230"/>
    </row>
    <row r="208">
      <c r="O208" s="230"/>
      <c r="R208" s="230"/>
      <c r="AF208" s="230"/>
      <c r="AG208" s="230"/>
      <c r="AH208" s="230"/>
      <c r="AI208" s="230"/>
    </row>
    <row r="209">
      <c r="O209" s="230"/>
      <c r="R209" s="230"/>
      <c r="AF209" s="230"/>
      <c r="AG209" s="230"/>
      <c r="AH209" s="230"/>
      <c r="AI209" s="230"/>
    </row>
    <row r="210">
      <c r="O210" s="230"/>
      <c r="R210" s="230"/>
      <c r="AF210" s="230"/>
      <c r="AG210" s="230"/>
      <c r="AH210" s="230"/>
      <c r="AI210" s="230"/>
    </row>
    <row r="211">
      <c r="O211" s="230"/>
      <c r="R211" s="230"/>
      <c r="AF211" s="230"/>
      <c r="AG211" s="230"/>
      <c r="AH211" s="230"/>
      <c r="AI211" s="230"/>
    </row>
    <row r="212">
      <c r="O212" s="230"/>
      <c r="R212" s="230"/>
      <c r="AF212" s="230"/>
      <c r="AG212" s="230"/>
      <c r="AH212" s="230"/>
      <c r="AI212" s="230"/>
    </row>
    <row r="213">
      <c r="O213" s="230"/>
      <c r="R213" s="230"/>
      <c r="AF213" s="230"/>
      <c r="AG213" s="230"/>
      <c r="AH213" s="230"/>
      <c r="AI213" s="230"/>
    </row>
    <row r="214">
      <c r="O214" s="230"/>
      <c r="R214" s="230"/>
      <c r="AF214" s="230"/>
      <c r="AG214" s="230"/>
      <c r="AH214" s="230"/>
      <c r="AI214" s="230"/>
    </row>
    <row r="215">
      <c r="O215" s="230"/>
      <c r="R215" s="230"/>
      <c r="AF215" s="230"/>
      <c r="AG215" s="230"/>
      <c r="AH215" s="230"/>
      <c r="AI215" s="230"/>
    </row>
    <row r="216">
      <c r="O216" s="230"/>
      <c r="R216" s="230"/>
      <c r="AF216" s="230"/>
      <c r="AG216" s="230"/>
      <c r="AH216" s="230"/>
      <c r="AI216" s="230"/>
    </row>
    <row r="217">
      <c r="O217" s="230"/>
      <c r="R217" s="230"/>
      <c r="AF217" s="230"/>
      <c r="AG217" s="230"/>
      <c r="AH217" s="230"/>
      <c r="AI217" s="230"/>
    </row>
    <row r="218">
      <c r="O218" s="230"/>
      <c r="R218" s="230"/>
      <c r="AF218" s="230"/>
      <c r="AG218" s="230"/>
      <c r="AH218" s="230"/>
      <c r="AI218" s="230"/>
    </row>
    <row r="219">
      <c r="O219" s="230"/>
      <c r="R219" s="230"/>
      <c r="AF219" s="230"/>
      <c r="AG219" s="230"/>
      <c r="AH219" s="230"/>
      <c r="AI219" s="230"/>
    </row>
    <row r="220">
      <c r="O220" s="230"/>
      <c r="R220" s="230"/>
      <c r="AF220" s="230"/>
      <c r="AG220" s="230"/>
      <c r="AH220" s="230"/>
      <c r="AI220" s="230"/>
    </row>
    <row r="221">
      <c r="O221" s="230"/>
      <c r="R221" s="230"/>
      <c r="AF221" s="230"/>
      <c r="AG221" s="230"/>
      <c r="AH221" s="230"/>
      <c r="AI221" s="230"/>
    </row>
    <row r="222">
      <c r="O222" s="230"/>
      <c r="R222" s="230"/>
      <c r="AF222" s="230"/>
      <c r="AG222" s="230"/>
      <c r="AH222" s="230"/>
      <c r="AI222" s="230"/>
    </row>
    <row r="223">
      <c r="O223" s="230"/>
      <c r="R223" s="230"/>
      <c r="AF223" s="230"/>
      <c r="AG223" s="230"/>
      <c r="AH223" s="230"/>
      <c r="AI223" s="230"/>
    </row>
    <row r="224">
      <c r="O224" s="230"/>
      <c r="R224" s="230"/>
      <c r="AF224" s="230"/>
      <c r="AG224" s="230"/>
      <c r="AH224" s="230"/>
      <c r="AI224" s="230"/>
    </row>
    <row r="225">
      <c r="O225" s="230"/>
      <c r="R225" s="230"/>
      <c r="AF225" s="230"/>
      <c r="AG225" s="230"/>
      <c r="AH225" s="230"/>
      <c r="AI225" s="230"/>
    </row>
    <row r="226">
      <c r="O226" s="230"/>
      <c r="R226" s="230"/>
      <c r="AF226" s="230"/>
      <c r="AG226" s="230"/>
      <c r="AH226" s="230"/>
      <c r="AI226" s="230"/>
    </row>
    <row r="227">
      <c r="O227" s="230"/>
      <c r="R227" s="230"/>
      <c r="S227" s="230"/>
      <c r="T227" s="230"/>
      <c r="U227" s="230"/>
      <c r="V227" s="230"/>
      <c r="AF227" s="230"/>
      <c r="AG227" s="230"/>
      <c r="AH227" s="230"/>
      <c r="AI227" s="230"/>
    </row>
    <row r="228">
      <c r="O228" s="230"/>
      <c r="R228" s="230"/>
      <c r="S228" s="230"/>
      <c r="T228" s="230"/>
      <c r="U228" s="230"/>
      <c r="V228" s="230"/>
      <c r="AF228" s="230"/>
      <c r="AG228" s="230"/>
      <c r="AH228" s="230"/>
      <c r="AI228" s="230"/>
    </row>
    <row r="229">
      <c r="O229" s="230"/>
      <c r="R229" s="230"/>
      <c r="S229" s="230"/>
      <c r="T229" s="230"/>
      <c r="U229" s="230"/>
      <c r="V229" s="230"/>
      <c r="AF229" s="230"/>
      <c r="AG229" s="230"/>
      <c r="AH229" s="230"/>
      <c r="AI229" s="230"/>
    </row>
    <row r="230">
      <c r="O230" s="230"/>
      <c r="R230" s="230"/>
      <c r="S230" s="230"/>
      <c r="T230" s="230"/>
      <c r="U230" s="230"/>
      <c r="V230" s="230"/>
      <c r="AF230" s="230"/>
      <c r="AG230" s="230"/>
      <c r="AH230" s="230"/>
      <c r="AI230" s="230"/>
    </row>
    <row r="231">
      <c r="O231" s="230"/>
      <c r="R231" s="230"/>
      <c r="S231" s="230"/>
      <c r="T231" s="230"/>
      <c r="U231" s="230"/>
      <c r="V231" s="230"/>
      <c r="AF231" s="230"/>
      <c r="AG231" s="230"/>
      <c r="AH231" s="230"/>
      <c r="AI231" s="230"/>
    </row>
    <row r="232">
      <c r="O232" s="230"/>
      <c r="R232" s="230"/>
      <c r="S232" s="230"/>
      <c r="T232" s="230"/>
      <c r="U232" s="230"/>
      <c r="V232" s="230"/>
      <c r="AF232" s="230"/>
      <c r="AG232" s="230"/>
      <c r="AH232" s="230"/>
      <c r="AI232" s="230"/>
    </row>
    <row r="233">
      <c r="O233" s="230"/>
      <c r="R233" s="230"/>
      <c r="S233" s="230"/>
      <c r="T233" s="230"/>
      <c r="U233" s="230"/>
      <c r="V233" s="230"/>
      <c r="AF233" s="230"/>
      <c r="AG233" s="230"/>
      <c r="AH233" s="230"/>
      <c r="AI233" s="230"/>
    </row>
    <row r="234">
      <c r="O234" s="230"/>
      <c r="R234" s="230"/>
      <c r="S234" s="230"/>
      <c r="T234" s="230"/>
      <c r="U234" s="230"/>
      <c r="V234" s="230"/>
      <c r="AF234" s="230"/>
      <c r="AG234" s="230"/>
      <c r="AH234" s="230"/>
      <c r="AI234" s="230"/>
    </row>
    <row r="235">
      <c r="O235" s="230"/>
      <c r="R235" s="230"/>
      <c r="S235" s="230"/>
      <c r="T235" s="230"/>
      <c r="U235" s="230"/>
      <c r="V235" s="230"/>
      <c r="AF235" s="230"/>
      <c r="AG235" s="230"/>
      <c r="AH235" s="230"/>
      <c r="AI235" s="230"/>
    </row>
    <row r="236">
      <c r="O236" s="230"/>
      <c r="R236" s="230"/>
      <c r="S236" s="230"/>
      <c r="T236" s="230"/>
      <c r="U236" s="230"/>
      <c r="V236" s="230"/>
      <c r="AF236" s="230"/>
      <c r="AG236" s="230"/>
      <c r="AH236" s="230"/>
      <c r="AI236" s="230"/>
    </row>
    <row r="237">
      <c r="O237" s="230"/>
      <c r="R237" s="230"/>
      <c r="S237" s="230"/>
      <c r="T237" s="230"/>
      <c r="U237" s="230"/>
      <c r="V237" s="230"/>
      <c r="AF237" s="230"/>
      <c r="AG237" s="230"/>
      <c r="AH237" s="230"/>
      <c r="AI237" s="230"/>
    </row>
    <row r="238">
      <c r="O238" s="230"/>
      <c r="R238" s="230"/>
      <c r="S238" s="230"/>
      <c r="T238" s="230"/>
      <c r="U238" s="230"/>
      <c r="V238" s="230"/>
      <c r="AF238" s="230"/>
      <c r="AG238" s="230"/>
      <c r="AH238" s="230"/>
      <c r="AI238" s="230"/>
    </row>
    <row r="239">
      <c r="O239" s="230"/>
      <c r="R239" s="230"/>
      <c r="S239" s="230"/>
      <c r="T239" s="230"/>
      <c r="U239" s="230"/>
      <c r="V239" s="230"/>
      <c r="AF239" s="230"/>
      <c r="AG239" s="230"/>
      <c r="AH239" s="230"/>
      <c r="AI239" s="230"/>
    </row>
    <row r="240">
      <c r="O240" s="230"/>
      <c r="R240" s="230"/>
      <c r="S240" s="230"/>
      <c r="T240" s="230"/>
      <c r="U240" s="230"/>
      <c r="V240" s="230"/>
      <c r="AF240" s="230"/>
      <c r="AG240" s="230"/>
      <c r="AH240" s="230"/>
      <c r="AI240" s="230"/>
    </row>
    <row r="241">
      <c r="O241" s="230"/>
      <c r="R241" s="230"/>
      <c r="S241" s="230"/>
      <c r="T241" s="230"/>
      <c r="U241" s="230"/>
      <c r="V241" s="230"/>
      <c r="AF241" s="230"/>
      <c r="AG241" s="230"/>
      <c r="AH241" s="230"/>
      <c r="AI241" s="230"/>
    </row>
    <row r="242">
      <c r="O242" s="230"/>
      <c r="R242" s="230"/>
      <c r="S242" s="230"/>
      <c r="T242" s="230"/>
      <c r="U242" s="230"/>
      <c r="V242" s="230"/>
      <c r="AF242" s="230"/>
      <c r="AG242" s="230"/>
      <c r="AH242" s="230"/>
      <c r="AI242" s="230"/>
    </row>
    <row r="243">
      <c r="O243" s="230"/>
      <c r="R243" s="230"/>
      <c r="S243" s="230"/>
      <c r="T243" s="230"/>
      <c r="U243" s="230"/>
      <c r="V243" s="230"/>
      <c r="AF243" s="230"/>
      <c r="AG243" s="230"/>
      <c r="AH243" s="230"/>
      <c r="AI243" s="230"/>
    </row>
    <row r="244">
      <c r="O244" s="230"/>
      <c r="R244" s="230"/>
      <c r="S244" s="230"/>
      <c r="T244" s="230"/>
      <c r="U244" s="230"/>
      <c r="V244" s="230"/>
      <c r="AF244" s="230"/>
      <c r="AG244" s="230"/>
      <c r="AH244" s="230"/>
      <c r="AI244" s="230"/>
    </row>
    <row r="245">
      <c r="O245" s="230"/>
      <c r="R245" s="230"/>
      <c r="S245" s="230"/>
      <c r="T245" s="230"/>
      <c r="U245" s="230"/>
      <c r="V245" s="230"/>
      <c r="AF245" s="230"/>
      <c r="AG245" s="230"/>
      <c r="AH245" s="230"/>
      <c r="AI245" s="230"/>
    </row>
    <row r="246">
      <c r="O246" s="230"/>
      <c r="R246" s="230"/>
      <c r="S246" s="230"/>
      <c r="T246" s="230"/>
      <c r="U246" s="230"/>
      <c r="V246" s="230"/>
      <c r="AF246" s="230"/>
      <c r="AG246" s="230"/>
      <c r="AH246" s="230"/>
      <c r="AI246" s="230"/>
    </row>
    <row r="247">
      <c r="O247" s="230"/>
      <c r="R247" s="230"/>
      <c r="S247" s="230"/>
      <c r="T247" s="230"/>
      <c r="U247" s="230"/>
      <c r="V247" s="230"/>
      <c r="AF247" s="230"/>
      <c r="AG247" s="230"/>
      <c r="AH247" s="230"/>
      <c r="AI247" s="230"/>
    </row>
    <row r="248">
      <c r="O248" s="230"/>
      <c r="R248" s="230"/>
      <c r="S248" s="230"/>
      <c r="T248" s="230"/>
      <c r="U248" s="230"/>
      <c r="V248" s="230"/>
      <c r="AF248" s="230"/>
      <c r="AG248" s="230"/>
      <c r="AH248" s="230"/>
      <c r="AI248" s="230"/>
    </row>
    <row r="249">
      <c r="O249" s="230"/>
      <c r="R249" s="230"/>
      <c r="S249" s="230"/>
      <c r="T249" s="230"/>
      <c r="U249" s="230"/>
      <c r="V249" s="230"/>
      <c r="AF249" s="230"/>
      <c r="AG249" s="230"/>
      <c r="AH249" s="230"/>
      <c r="AI249" s="230"/>
    </row>
    <row r="250">
      <c r="O250" s="230"/>
      <c r="R250" s="230"/>
      <c r="S250" s="230"/>
      <c r="T250" s="230"/>
      <c r="U250" s="230"/>
      <c r="V250" s="230"/>
      <c r="AF250" s="230"/>
      <c r="AG250" s="230"/>
      <c r="AH250" s="230"/>
      <c r="AI250" s="230"/>
    </row>
    <row r="251">
      <c r="O251" s="230"/>
      <c r="R251" s="230"/>
      <c r="S251" s="230"/>
      <c r="T251" s="230"/>
      <c r="U251" s="230"/>
      <c r="V251" s="230"/>
      <c r="AF251" s="230"/>
      <c r="AG251" s="230"/>
      <c r="AH251" s="230"/>
      <c r="AI251" s="230"/>
    </row>
    <row r="252">
      <c r="O252" s="230"/>
      <c r="R252" s="230"/>
      <c r="S252" s="230"/>
      <c r="T252" s="230"/>
      <c r="U252" s="230"/>
      <c r="V252" s="230"/>
      <c r="AF252" s="230"/>
      <c r="AG252" s="230"/>
      <c r="AH252" s="230"/>
      <c r="AI252" s="230"/>
    </row>
    <row r="253">
      <c r="O253" s="230"/>
      <c r="R253" s="230"/>
      <c r="S253" s="230"/>
      <c r="T253" s="230"/>
      <c r="U253" s="230"/>
      <c r="V253" s="230"/>
      <c r="AF253" s="230"/>
      <c r="AG253" s="230"/>
      <c r="AH253" s="230"/>
      <c r="AI253" s="230"/>
    </row>
    <row r="254">
      <c r="O254" s="230"/>
      <c r="R254" s="230"/>
      <c r="S254" s="230"/>
      <c r="T254" s="230"/>
      <c r="U254" s="230"/>
      <c r="V254" s="230"/>
      <c r="AF254" s="230"/>
      <c r="AG254" s="230"/>
      <c r="AH254" s="230"/>
      <c r="AI254" s="230"/>
    </row>
    <row r="255">
      <c r="O255" s="230"/>
      <c r="R255" s="230"/>
      <c r="S255" s="230"/>
      <c r="T255" s="230"/>
      <c r="U255" s="230"/>
      <c r="V255" s="230"/>
      <c r="AF255" s="230"/>
      <c r="AG255" s="230"/>
      <c r="AH255" s="230"/>
      <c r="AI255" s="230"/>
    </row>
    <row r="256">
      <c r="O256" s="230"/>
      <c r="R256" s="230"/>
      <c r="S256" s="230"/>
      <c r="T256" s="230"/>
      <c r="U256" s="230"/>
      <c r="V256" s="230"/>
      <c r="AF256" s="230"/>
      <c r="AG256" s="230"/>
      <c r="AH256" s="230"/>
      <c r="AI256" s="230"/>
    </row>
    <row r="257">
      <c r="O257" s="230"/>
      <c r="R257" s="230"/>
      <c r="S257" s="230"/>
      <c r="T257" s="230"/>
      <c r="U257" s="230"/>
      <c r="V257" s="230"/>
      <c r="AF257" s="230"/>
      <c r="AG257" s="230"/>
      <c r="AH257" s="230"/>
      <c r="AI257" s="230"/>
    </row>
    <row r="258">
      <c r="O258" s="230"/>
      <c r="R258" s="230"/>
      <c r="S258" s="230"/>
      <c r="T258" s="230"/>
      <c r="U258" s="230"/>
      <c r="V258" s="230"/>
      <c r="AF258" s="230"/>
      <c r="AG258" s="230"/>
      <c r="AH258" s="230"/>
      <c r="AI258" s="230"/>
    </row>
    <row r="259">
      <c r="O259" s="230"/>
      <c r="R259" s="230"/>
      <c r="S259" s="230"/>
      <c r="T259" s="230"/>
      <c r="U259" s="230"/>
      <c r="V259" s="230"/>
      <c r="AF259" s="230"/>
      <c r="AG259" s="230"/>
      <c r="AH259" s="230"/>
      <c r="AI259" s="230"/>
    </row>
    <row r="260">
      <c r="O260" s="230"/>
      <c r="R260" s="230"/>
      <c r="S260" s="230"/>
      <c r="T260" s="230"/>
      <c r="U260" s="230"/>
      <c r="V260" s="230"/>
      <c r="AF260" s="230"/>
      <c r="AG260" s="230"/>
      <c r="AH260" s="230"/>
      <c r="AI260" s="230"/>
    </row>
    <row r="261">
      <c r="O261" s="230"/>
      <c r="R261" s="230"/>
      <c r="S261" s="230"/>
      <c r="T261" s="230"/>
      <c r="U261" s="230"/>
      <c r="V261" s="230"/>
      <c r="AF261" s="230"/>
      <c r="AG261" s="230"/>
      <c r="AH261" s="230"/>
      <c r="AI261" s="230"/>
    </row>
    <row r="262">
      <c r="O262" s="230"/>
      <c r="R262" s="230"/>
      <c r="S262" s="230"/>
      <c r="T262" s="230"/>
      <c r="U262" s="230"/>
      <c r="V262" s="230"/>
      <c r="AF262" s="230"/>
      <c r="AG262" s="230"/>
      <c r="AH262" s="230"/>
      <c r="AI262" s="230"/>
    </row>
    <row r="263">
      <c r="O263" s="230"/>
      <c r="R263" s="230"/>
      <c r="S263" s="230"/>
      <c r="T263" s="230"/>
      <c r="U263" s="230"/>
      <c r="V263" s="230"/>
      <c r="AF263" s="230"/>
      <c r="AG263" s="230"/>
      <c r="AH263" s="230"/>
      <c r="AI263" s="230"/>
    </row>
    <row r="264">
      <c r="O264" s="230"/>
      <c r="R264" s="230"/>
      <c r="S264" s="230"/>
      <c r="T264" s="230"/>
      <c r="U264" s="230"/>
      <c r="V264" s="230"/>
      <c r="AF264" s="230"/>
      <c r="AG264" s="230"/>
      <c r="AH264" s="230"/>
      <c r="AI264" s="230"/>
    </row>
    <row r="265">
      <c r="O265" s="230"/>
      <c r="R265" s="230"/>
      <c r="S265" s="230"/>
      <c r="T265" s="230"/>
      <c r="U265" s="230"/>
      <c r="V265" s="230"/>
      <c r="AF265" s="230"/>
      <c r="AG265" s="230"/>
      <c r="AH265" s="230"/>
      <c r="AI265" s="230"/>
    </row>
    <row r="266">
      <c r="O266" s="230"/>
      <c r="R266" s="230"/>
      <c r="S266" s="230"/>
      <c r="T266" s="230"/>
      <c r="U266" s="230"/>
      <c r="V266" s="230"/>
      <c r="AF266" s="230"/>
      <c r="AG266" s="230"/>
      <c r="AH266" s="230"/>
      <c r="AI266" s="230"/>
    </row>
    <row r="267">
      <c r="O267" s="230"/>
      <c r="R267" s="230"/>
      <c r="S267" s="230"/>
      <c r="T267" s="230"/>
      <c r="U267" s="230"/>
      <c r="V267" s="230"/>
      <c r="AC267" s="230"/>
      <c r="AD267" s="230"/>
      <c r="AE267" s="230"/>
      <c r="AF267" s="230"/>
      <c r="AG267" s="230"/>
      <c r="AH267" s="230"/>
      <c r="AI267" s="230"/>
    </row>
    <row r="268">
      <c r="O268" s="230"/>
      <c r="R268" s="230"/>
      <c r="S268" s="230"/>
      <c r="T268" s="230"/>
      <c r="U268" s="230"/>
      <c r="V268" s="230"/>
      <c r="AC268" s="230"/>
      <c r="AD268" s="230"/>
      <c r="AE268" s="230"/>
      <c r="AF268" s="230"/>
      <c r="AG268" s="230"/>
      <c r="AH268" s="230"/>
      <c r="AI268" s="230"/>
    </row>
    <row r="269">
      <c r="O269" s="230"/>
      <c r="R269" s="230"/>
      <c r="S269" s="230"/>
      <c r="T269" s="230"/>
      <c r="U269" s="230"/>
      <c r="V269" s="230"/>
      <c r="AC269" s="230"/>
      <c r="AD269" s="230"/>
      <c r="AE269" s="230"/>
      <c r="AF269" s="230"/>
      <c r="AG269" s="230"/>
      <c r="AH269" s="230"/>
      <c r="AI269" s="230"/>
    </row>
    <row r="270">
      <c r="O270" s="230"/>
      <c r="R270" s="230"/>
      <c r="S270" s="230"/>
      <c r="T270" s="230"/>
      <c r="U270" s="230"/>
      <c r="V270" s="230"/>
      <c r="AC270" s="230"/>
      <c r="AD270" s="230"/>
      <c r="AE270" s="230"/>
      <c r="AF270" s="230"/>
      <c r="AG270" s="230"/>
      <c r="AH270" s="230"/>
      <c r="AI270" s="230"/>
    </row>
    <row r="271">
      <c r="O271" s="230"/>
      <c r="R271" s="230"/>
      <c r="S271" s="230"/>
      <c r="T271" s="230"/>
      <c r="U271" s="230"/>
      <c r="V271" s="230"/>
      <c r="AC271" s="230"/>
      <c r="AD271" s="230"/>
      <c r="AE271" s="230"/>
      <c r="AF271" s="230"/>
      <c r="AG271" s="230"/>
      <c r="AH271" s="230"/>
      <c r="AI271" s="230"/>
    </row>
    <row r="272">
      <c r="O272" s="230"/>
      <c r="R272" s="230"/>
      <c r="S272" s="230"/>
      <c r="T272" s="230"/>
      <c r="U272" s="230"/>
      <c r="V272" s="230"/>
      <c r="AC272" s="230"/>
      <c r="AD272" s="230"/>
      <c r="AE272" s="230"/>
      <c r="AF272" s="230"/>
      <c r="AG272" s="230"/>
      <c r="AH272" s="230"/>
      <c r="AI272" s="230"/>
    </row>
    <row r="273">
      <c r="O273" s="230"/>
      <c r="R273" s="230"/>
      <c r="S273" s="230"/>
      <c r="T273" s="230"/>
      <c r="U273" s="230"/>
      <c r="V273" s="230"/>
      <c r="AC273" s="230"/>
      <c r="AD273" s="230"/>
      <c r="AE273" s="230"/>
      <c r="AF273" s="230"/>
      <c r="AG273" s="230"/>
      <c r="AH273" s="230"/>
      <c r="AI273" s="230"/>
    </row>
    <row r="274">
      <c r="O274" s="230"/>
      <c r="R274" s="230"/>
      <c r="S274" s="230"/>
      <c r="T274" s="230"/>
      <c r="U274" s="230"/>
      <c r="V274" s="230"/>
      <c r="AC274" s="230"/>
      <c r="AD274" s="230"/>
      <c r="AE274" s="230"/>
      <c r="AF274" s="230"/>
      <c r="AG274" s="230"/>
      <c r="AH274" s="230"/>
      <c r="AI274" s="230"/>
    </row>
    <row r="275">
      <c r="O275" s="230"/>
      <c r="R275" s="230"/>
      <c r="S275" s="230"/>
      <c r="T275" s="230"/>
      <c r="U275" s="230"/>
      <c r="V275" s="230"/>
      <c r="AC275" s="230"/>
      <c r="AD275" s="230"/>
      <c r="AE275" s="230"/>
      <c r="AF275" s="230"/>
      <c r="AG275" s="230"/>
      <c r="AH275" s="230"/>
      <c r="AI275" s="230"/>
    </row>
    <row r="276">
      <c r="O276" s="230"/>
      <c r="R276" s="230"/>
      <c r="S276" s="230"/>
      <c r="T276" s="230"/>
      <c r="U276" s="230"/>
      <c r="V276" s="230"/>
      <c r="AC276" s="230"/>
      <c r="AD276" s="230"/>
      <c r="AE276" s="230"/>
      <c r="AF276" s="230"/>
      <c r="AG276" s="230"/>
      <c r="AH276" s="230"/>
      <c r="AI276" s="230"/>
    </row>
    <row r="277">
      <c r="O277" s="230"/>
      <c r="R277" s="230"/>
      <c r="S277" s="230"/>
      <c r="T277" s="230"/>
      <c r="U277" s="230"/>
      <c r="V277" s="230"/>
      <c r="AC277" s="230"/>
      <c r="AD277" s="230"/>
      <c r="AE277" s="230"/>
      <c r="AF277" s="230"/>
      <c r="AG277" s="230"/>
      <c r="AH277" s="230"/>
      <c r="AI277" s="230"/>
    </row>
    <row r="278">
      <c r="O278" s="230"/>
      <c r="R278" s="230"/>
      <c r="S278" s="230"/>
      <c r="T278" s="230"/>
      <c r="U278" s="230"/>
      <c r="V278" s="230"/>
      <c r="AC278" s="230"/>
      <c r="AD278" s="230"/>
      <c r="AE278" s="230"/>
      <c r="AF278" s="230"/>
      <c r="AG278" s="230"/>
      <c r="AH278" s="230"/>
      <c r="AI278" s="230"/>
    </row>
    <row r="279">
      <c r="O279" s="230"/>
      <c r="R279" s="230"/>
      <c r="S279" s="230"/>
      <c r="T279" s="230"/>
      <c r="U279" s="230"/>
      <c r="V279" s="230"/>
      <c r="AC279" s="230"/>
      <c r="AD279" s="230"/>
      <c r="AE279" s="230"/>
      <c r="AF279" s="230"/>
      <c r="AG279" s="230"/>
      <c r="AH279" s="230"/>
      <c r="AI279" s="230"/>
    </row>
    <row r="280">
      <c r="O280" s="230"/>
      <c r="R280" s="230"/>
      <c r="S280" s="230"/>
      <c r="T280" s="230"/>
      <c r="U280" s="230"/>
      <c r="V280" s="230"/>
      <c r="AC280" s="230"/>
      <c r="AD280" s="230"/>
      <c r="AE280" s="230"/>
      <c r="AF280" s="230"/>
      <c r="AG280" s="230"/>
      <c r="AH280" s="230"/>
      <c r="AI280" s="230"/>
    </row>
    <row r="281">
      <c r="O281" s="230"/>
      <c r="R281" s="230"/>
      <c r="S281" s="230"/>
      <c r="T281" s="230"/>
      <c r="U281" s="230"/>
      <c r="V281" s="230"/>
      <c r="AC281" s="230"/>
      <c r="AD281" s="230"/>
      <c r="AE281" s="230"/>
      <c r="AF281" s="230"/>
      <c r="AG281" s="230"/>
      <c r="AH281" s="230"/>
      <c r="AI281" s="230"/>
    </row>
    <row r="282">
      <c r="O282" s="230"/>
      <c r="R282" s="230"/>
      <c r="S282" s="230"/>
      <c r="T282" s="230"/>
      <c r="U282" s="230"/>
      <c r="V282" s="230"/>
      <c r="AC282" s="230"/>
      <c r="AD282" s="230"/>
      <c r="AE282" s="230"/>
      <c r="AF282" s="230"/>
      <c r="AG282" s="230"/>
      <c r="AH282" s="230"/>
      <c r="AI282" s="230"/>
    </row>
    <row r="283">
      <c r="O283" s="230"/>
      <c r="R283" s="230"/>
      <c r="S283" s="230"/>
      <c r="T283" s="230"/>
      <c r="U283" s="230"/>
      <c r="V283" s="230"/>
      <c r="AC283" s="230"/>
      <c r="AD283" s="230"/>
      <c r="AE283" s="230"/>
      <c r="AF283" s="230"/>
      <c r="AG283" s="230"/>
      <c r="AH283" s="230"/>
      <c r="AI283" s="230"/>
    </row>
    <row r="284">
      <c r="O284" s="230"/>
      <c r="R284" s="230"/>
      <c r="S284" s="230"/>
      <c r="T284" s="230"/>
      <c r="U284" s="230"/>
      <c r="V284" s="230"/>
      <c r="AC284" s="230"/>
      <c r="AD284" s="230"/>
      <c r="AE284" s="230"/>
      <c r="AF284" s="230"/>
      <c r="AG284" s="230"/>
      <c r="AH284" s="230"/>
      <c r="AI284" s="230"/>
    </row>
    <row r="285">
      <c r="O285" s="230"/>
      <c r="R285" s="230"/>
      <c r="S285" s="230"/>
      <c r="T285" s="230"/>
      <c r="U285" s="230"/>
      <c r="V285" s="230"/>
      <c r="AC285" s="230"/>
      <c r="AD285" s="230"/>
      <c r="AE285" s="230"/>
      <c r="AF285" s="230"/>
      <c r="AG285" s="230"/>
      <c r="AH285" s="230"/>
      <c r="AI285" s="230"/>
    </row>
    <row r="286">
      <c r="O286" s="230"/>
      <c r="R286" s="230"/>
      <c r="S286" s="230"/>
      <c r="T286" s="230"/>
      <c r="U286" s="230"/>
      <c r="V286" s="230"/>
      <c r="AC286" s="230"/>
      <c r="AD286" s="230"/>
      <c r="AE286" s="230"/>
      <c r="AF286" s="230"/>
      <c r="AG286" s="230"/>
      <c r="AH286" s="230"/>
      <c r="AI286" s="230"/>
    </row>
    <row r="287">
      <c r="O287" s="230"/>
      <c r="R287" s="230"/>
      <c r="S287" s="230"/>
      <c r="T287" s="230"/>
      <c r="U287" s="230"/>
      <c r="V287" s="230"/>
      <c r="AC287" s="230"/>
      <c r="AD287" s="230"/>
      <c r="AE287" s="230"/>
      <c r="AF287" s="230"/>
      <c r="AG287" s="230"/>
      <c r="AH287" s="230"/>
      <c r="AI287" s="230"/>
    </row>
    <row r="288">
      <c r="O288" s="230"/>
      <c r="R288" s="230"/>
      <c r="S288" s="230"/>
      <c r="T288" s="230"/>
      <c r="U288" s="230"/>
      <c r="V288" s="230"/>
      <c r="AC288" s="230"/>
      <c r="AD288" s="230"/>
      <c r="AE288" s="230"/>
      <c r="AF288" s="230"/>
      <c r="AG288" s="230"/>
      <c r="AH288" s="230"/>
      <c r="AI288" s="230"/>
    </row>
    <row r="289">
      <c r="O289" s="230"/>
      <c r="R289" s="230"/>
      <c r="S289" s="230"/>
      <c r="T289" s="230"/>
      <c r="U289" s="230"/>
      <c r="V289" s="230"/>
      <c r="AC289" s="230"/>
      <c r="AD289" s="230"/>
      <c r="AE289" s="230"/>
      <c r="AF289" s="230"/>
      <c r="AG289" s="230"/>
      <c r="AH289" s="230"/>
      <c r="AI289" s="230"/>
    </row>
    <row r="290">
      <c r="O290" s="230"/>
      <c r="R290" s="230"/>
      <c r="S290" s="230"/>
      <c r="T290" s="230"/>
      <c r="U290" s="230"/>
      <c r="V290" s="230"/>
      <c r="AC290" s="230"/>
      <c r="AD290" s="230"/>
      <c r="AE290" s="230"/>
      <c r="AF290" s="230"/>
      <c r="AG290" s="230"/>
      <c r="AH290" s="230"/>
      <c r="AI290" s="230"/>
    </row>
    <row r="291">
      <c r="O291" s="230"/>
      <c r="R291" s="230"/>
      <c r="S291" s="230"/>
      <c r="T291" s="230"/>
      <c r="U291" s="230"/>
      <c r="V291" s="230"/>
      <c r="AC291" s="230"/>
      <c r="AD291" s="230"/>
      <c r="AE291" s="230"/>
      <c r="AF291" s="230"/>
      <c r="AG291" s="230"/>
      <c r="AH291" s="230"/>
      <c r="AI291" s="230"/>
    </row>
    <row r="292">
      <c r="O292" s="230"/>
      <c r="R292" s="230"/>
      <c r="S292" s="230"/>
      <c r="T292" s="230"/>
      <c r="U292" s="230"/>
      <c r="V292" s="230"/>
      <c r="AC292" s="230"/>
      <c r="AD292" s="230"/>
      <c r="AE292" s="230"/>
      <c r="AF292" s="230"/>
      <c r="AG292" s="230"/>
      <c r="AH292" s="230"/>
      <c r="AI292" s="230"/>
    </row>
    <row r="293">
      <c r="O293" s="230"/>
      <c r="R293" s="230"/>
      <c r="S293" s="230"/>
      <c r="T293" s="230"/>
      <c r="U293" s="230"/>
      <c r="V293" s="230"/>
      <c r="AC293" s="230"/>
      <c r="AD293" s="230"/>
      <c r="AE293" s="230"/>
      <c r="AF293" s="230"/>
      <c r="AG293" s="230"/>
      <c r="AH293" s="230"/>
      <c r="AI293" s="230"/>
    </row>
    <row r="294">
      <c r="O294" s="230"/>
      <c r="R294" s="230"/>
      <c r="S294" s="230"/>
      <c r="T294" s="230"/>
      <c r="U294" s="230"/>
      <c r="V294" s="230"/>
      <c r="AC294" s="230"/>
      <c r="AD294" s="230"/>
      <c r="AE294" s="230"/>
      <c r="AF294" s="230"/>
      <c r="AG294" s="230"/>
      <c r="AH294" s="230"/>
      <c r="AI294" s="230"/>
    </row>
    <row r="295">
      <c r="O295" s="230"/>
      <c r="R295" s="230"/>
      <c r="S295" s="230"/>
      <c r="T295" s="230"/>
      <c r="U295" s="230"/>
      <c r="V295" s="230"/>
      <c r="AC295" s="230"/>
      <c r="AD295" s="230"/>
      <c r="AE295" s="230"/>
      <c r="AF295" s="230"/>
      <c r="AG295" s="230"/>
      <c r="AH295" s="230"/>
      <c r="AI295" s="230"/>
    </row>
    <row r="296">
      <c r="O296" s="230"/>
      <c r="R296" s="230"/>
      <c r="S296" s="230"/>
      <c r="T296" s="230"/>
      <c r="U296" s="230"/>
      <c r="V296" s="230"/>
      <c r="AC296" s="230"/>
      <c r="AD296" s="230"/>
      <c r="AE296" s="230"/>
      <c r="AF296" s="230"/>
      <c r="AG296" s="230"/>
      <c r="AH296" s="230"/>
      <c r="AI296" s="230"/>
    </row>
    <row r="297">
      <c r="O297" s="230"/>
      <c r="R297" s="230"/>
      <c r="S297" s="230"/>
      <c r="T297" s="230"/>
      <c r="U297" s="230"/>
      <c r="V297" s="230"/>
      <c r="AC297" s="230"/>
      <c r="AD297" s="230"/>
      <c r="AE297" s="230"/>
      <c r="AF297" s="230"/>
      <c r="AG297" s="230"/>
      <c r="AH297" s="230"/>
      <c r="AI297" s="230"/>
    </row>
    <row r="298">
      <c r="O298" s="230"/>
      <c r="R298" s="230"/>
      <c r="S298" s="230"/>
      <c r="T298" s="230"/>
      <c r="U298" s="230"/>
      <c r="V298" s="230"/>
      <c r="AC298" s="230"/>
      <c r="AD298" s="230"/>
      <c r="AE298" s="230"/>
      <c r="AF298" s="230"/>
      <c r="AG298" s="230"/>
      <c r="AH298" s="230"/>
      <c r="AI298" s="230"/>
    </row>
    <row r="299">
      <c r="O299" s="230"/>
      <c r="R299" s="230"/>
      <c r="S299" s="230"/>
      <c r="T299" s="230"/>
      <c r="U299" s="230"/>
      <c r="V299" s="230"/>
      <c r="AC299" s="230"/>
      <c r="AD299" s="230"/>
      <c r="AE299" s="230"/>
      <c r="AF299" s="230"/>
      <c r="AG299" s="230"/>
      <c r="AH299" s="230"/>
      <c r="AI299" s="230"/>
    </row>
    <row r="300">
      <c r="O300" s="230"/>
      <c r="R300" s="230"/>
      <c r="S300" s="230"/>
      <c r="T300" s="230"/>
      <c r="U300" s="230"/>
      <c r="V300" s="230"/>
      <c r="AC300" s="230"/>
      <c r="AD300" s="230"/>
      <c r="AE300" s="230"/>
      <c r="AF300" s="230"/>
      <c r="AG300" s="230"/>
      <c r="AH300" s="230"/>
      <c r="AI300" s="230"/>
    </row>
    <row r="301">
      <c r="O301" s="230"/>
      <c r="R301" s="230"/>
      <c r="S301" s="230"/>
      <c r="T301" s="230"/>
      <c r="U301" s="230"/>
      <c r="V301" s="230"/>
      <c r="AC301" s="230"/>
      <c r="AD301" s="230"/>
      <c r="AE301" s="230"/>
      <c r="AF301" s="230"/>
      <c r="AG301" s="230"/>
      <c r="AH301" s="230"/>
      <c r="AI301" s="230"/>
    </row>
    <row r="302">
      <c r="O302" s="230"/>
      <c r="R302" s="230"/>
      <c r="S302" s="230"/>
      <c r="T302" s="230"/>
      <c r="U302" s="230"/>
      <c r="V302" s="230"/>
      <c r="AC302" s="230"/>
      <c r="AD302" s="230"/>
      <c r="AE302" s="230"/>
      <c r="AF302" s="230"/>
      <c r="AG302" s="230"/>
      <c r="AH302" s="230"/>
      <c r="AI302" s="230"/>
    </row>
    <row r="303">
      <c r="O303" s="230"/>
      <c r="R303" s="230"/>
      <c r="S303" s="230"/>
      <c r="T303" s="230"/>
      <c r="U303" s="230"/>
      <c r="V303" s="230"/>
      <c r="AC303" s="230"/>
      <c r="AD303" s="230"/>
      <c r="AE303" s="230"/>
      <c r="AF303" s="230"/>
      <c r="AG303" s="230"/>
      <c r="AH303" s="230"/>
      <c r="AI303" s="230"/>
    </row>
    <row r="304">
      <c r="O304" s="230"/>
      <c r="R304" s="230"/>
      <c r="S304" s="230"/>
      <c r="T304" s="230"/>
      <c r="U304" s="230"/>
      <c r="V304" s="230"/>
      <c r="AC304" s="230"/>
      <c r="AD304" s="230"/>
      <c r="AE304" s="230"/>
      <c r="AF304" s="230"/>
      <c r="AG304" s="230"/>
      <c r="AH304" s="230"/>
      <c r="AI304" s="230"/>
    </row>
    <row r="305">
      <c r="O305" s="230"/>
      <c r="R305" s="230"/>
      <c r="S305" s="230"/>
      <c r="T305" s="230"/>
      <c r="U305" s="230"/>
      <c r="V305" s="230"/>
      <c r="AC305" s="230"/>
      <c r="AD305" s="230"/>
      <c r="AE305" s="230"/>
      <c r="AF305" s="230"/>
      <c r="AG305" s="230"/>
      <c r="AH305" s="230"/>
      <c r="AI305" s="230"/>
    </row>
    <row r="306">
      <c r="O306" s="230"/>
      <c r="R306" s="230"/>
      <c r="S306" s="230"/>
      <c r="T306" s="230"/>
      <c r="U306" s="230"/>
      <c r="V306" s="230"/>
      <c r="AC306" s="230"/>
      <c r="AD306" s="230"/>
      <c r="AE306" s="230"/>
      <c r="AF306" s="230"/>
      <c r="AG306" s="230"/>
      <c r="AH306" s="230"/>
      <c r="AI306" s="230"/>
    </row>
    <row r="307">
      <c r="O307" s="230"/>
      <c r="R307" s="230"/>
      <c r="S307" s="230"/>
      <c r="T307" s="230"/>
      <c r="U307" s="230"/>
      <c r="V307" s="230"/>
      <c r="AC307" s="230"/>
      <c r="AD307" s="230"/>
      <c r="AE307" s="230"/>
      <c r="AF307" s="230"/>
      <c r="AG307" s="230"/>
      <c r="AH307" s="230"/>
      <c r="AI307" s="230"/>
    </row>
    <row r="308">
      <c r="O308" s="230"/>
      <c r="R308" s="230"/>
      <c r="S308" s="230"/>
      <c r="T308" s="230"/>
      <c r="U308" s="230"/>
      <c r="V308" s="230"/>
      <c r="AC308" s="230"/>
      <c r="AD308" s="230"/>
      <c r="AE308" s="230"/>
      <c r="AF308" s="230"/>
      <c r="AG308" s="230"/>
      <c r="AH308" s="230"/>
      <c r="AI308" s="230"/>
    </row>
    <row r="309">
      <c r="O309" s="230"/>
      <c r="R309" s="230"/>
      <c r="S309" s="230"/>
      <c r="T309" s="230"/>
      <c r="U309" s="230"/>
      <c r="V309" s="230"/>
      <c r="AC309" s="230"/>
      <c r="AD309" s="230"/>
      <c r="AE309" s="230"/>
      <c r="AF309" s="230"/>
      <c r="AG309" s="230"/>
      <c r="AH309" s="230"/>
      <c r="AI309" s="230"/>
    </row>
    <row r="310">
      <c r="O310" s="230"/>
      <c r="R310" s="230"/>
      <c r="S310" s="230"/>
      <c r="T310" s="230"/>
      <c r="U310" s="230"/>
      <c r="V310" s="230"/>
      <c r="AC310" s="230"/>
      <c r="AD310" s="230"/>
      <c r="AE310" s="230"/>
      <c r="AF310" s="230"/>
      <c r="AG310" s="230"/>
      <c r="AH310" s="230"/>
      <c r="AI310" s="230"/>
    </row>
    <row r="311">
      <c r="O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  <c r="AI311" s="230"/>
    </row>
    <row r="312">
      <c r="O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  <c r="AI312" s="230"/>
    </row>
    <row r="313">
      <c r="O313" s="230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  <c r="AI313" s="230"/>
    </row>
    <row r="314">
      <c r="O314" s="230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  <c r="AI314" s="230"/>
    </row>
    <row r="315">
      <c r="O315" s="230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  <c r="AI315" s="230"/>
    </row>
    <row r="316">
      <c r="O316" s="230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  <c r="AI316" s="230"/>
    </row>
    <row r="317">
      <c r="O317" s="230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  <c r="AI317" s="230"/>
    </row>
    <row r="318">
      <c r="O318" s="230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  <c r="AI318" s="230"/>
    </row>
    <row r="319">
      <c r="O319" s="230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  <c r="AI319" s="230"/>
    </row>
    <row r="320">
      <c r="O320" s="230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  <c r="AI320" s="230"/>
    </row>
    <row r="321">
      <c r="O321" s="230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</row>
    <row r="322">
      <c r="O322" s="230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</row>
    <row r="323">
      <c r="O323" s="230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  <c r="AI323" s="230"/>
    </row>
    <row r="324">
      <c r="O324" s="230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</row>
    <row r="325">
      <c r="O325" s="230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  <c r="AI325" s="230"/>
    </row>
    <row r="326">
      <c r="O326" s="230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  <c r="AI326" s="230"/>
    </row>
    <row r="327">
      <c r="O327" s="230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  <c r="AI327" s="230"/>
    </row>
    <row r="328">
      <c r="O328" s="230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</row>
    <row r="329">
      <c r="O329" s="230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</row>
    <row r="330">
      <c r="O330" s="230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  <c r="AI330" s="230"/>
    </row>
    <row r="331">
      <c r="O331" s="230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</row>
    <row r="332">
      <c r="O332" s="230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  <c r="AI332" s="230"/>
    </row>
    <row r="333">
      <c r="O333" s="230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  <c r="AI333" s="230"/>
    </row>
    <row r="334">
      <c r="O334" s="230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  <c r="AI334" s="230"/>
    </row>
    <row r="335">
      <c r="O335" s="230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  <c r="AI335" s="230"/>
    </row>
    <row r="336">
      <c r="O336" s="230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  <c r="AI336" s="230"/>
    </row>
    <row r="337">
      <c r="O337" s="230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  <c r="AI337" s="230"/>
    </row>
    <row r="338">
      <c r="O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</row>
    <row r="339">
      <c r="O339" s="230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  <c r="AI339" s="230"/>
    </row>
    <row r="340">
      <c r="O340" s="230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  <c r="AI340" s="230"/>
    </row>
    <row r="341">
      <c r="O341" s="230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  <c r="AI341" s="230"/>
    </row>
    <row r="342">
      <c r="O342" s="230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  <c r="AI342" s="230"/>
    </row>
    <row r="343">
      <c r="O343" s="230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  <c r="AI343" s="230"/>
    </row>
    <row r="344">
      <c r="O344" s="230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</row>
    <row r="345">
      <c r="O345" s="230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</row>
    <row r="346">
      <c r="O346" s="230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</row>
    <row r="347">
      <c r="O347" s="230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</row>
    <row r="348">
      <c r="O348" s="230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</row>
    <row r="349">
      <c r="O349" s="230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</row>
    <row r="350">
      <c r="O350" s="230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</row>
    <row r="351">
      <c r="O351" s="230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</row>
    <row r="352">
      <c r="O352" s="230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</row>
    <row r="353">
      <c r="O353" s="230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</row>
    <row r="354">
      <c r="O354" s="230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  <c r="AI354" s="230"/>
    </row>
    <row r="355">
      <c r="O355" s="230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  <c r="AI355" s="230"/>
    </row>
    <row r="356">
      <c r="O356" s="230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  <c r="AI356" s="230"/>
    </row>
    <row r="357">
      <c r="O357" s="230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  <c r="AI357" s="230"/>
    </row>
    <row r="358">
      <c r="O358" s="230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  <c r="AI358" s="230"/>
    </row>
    <row r="359">
      <c r="O359" s="230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  <c r="AI359" s="230"/>
    </row>
    <row r="360">
      <c r="O360" s="230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  <c r="AI360" s="230"/>
    </row>
    <row r="361">
      <c r="O361" s="230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</row>
    <row r="362">
      <c r="O362" s="230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  <c r="AI362" s="230"/>
    </row>
    <row r="363">
      <c r="O363" s="230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  <c r="AI363" s="230"/>
    </row>
    <row r="364">
      <c r="O364" s="230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  <c r="AI364" s="230"/>
    </row>
    <row r="365">
      <c r="O365" s="230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  <c r="AI365" s="230"/>
    </row>
    <row r="366">
      <c r="O366" s="230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  <c r="AI366" s="230"/>
    </row>
    <row r="367">
      <c r="O367" s="230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  <c r="AI367" s="230"/>
    </row>
    <row r="368">
      <c r="O368" s="230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  <c r="AI368" s="230"/>
    </row>
    <row r="369">
      <c r="O369" s="230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  <c r="AI369" s="230"/>
    </row>
    <row r="370">
      <c r="O370" s="230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</row>
    <row r="371">
      <c r="O371" s="230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  <c r="AI371" s="230"/>
    </row>
    <row r="372">
      <c r="O372" s="230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  <c r="AI372" s="230"/>
    </row>
    <row r="373">
      <c r="O373" s="230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  <c r="AI373" s="230"/>
    </row>
    <row r="374">
      <c r="O374" s="230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  <c r="AI374" s="230"/>
    </row>
    <row r="375">
      <c r="O375" s="230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</row>
    <row r="376">
      <c r="O376" s="230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  <c r="AI376" s="230"/>
    </row>
    <row r="377">
      <c r="O377" s="230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  <c r="AI377" s="230"/>
    </row>
    <row r="378">
      <c r="O378" s="230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  <c r="AI378" s="230"/>
    </row>
    <row r="379">
      <c r="O379" s="230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  <c r="AI379" s="230"/>
    </row>
    <row r="380">
      <c r="O380" s="230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  <c r="AI380" s="230"/>
    </row>
    <row r="381">
      <c r="O381" s="230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</row>
    <row r="382">
      <c r="O382" s="230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  <c r="AI382" s="230"/>
    </row>
    <row r="383">
      <c r="O383" s="230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</row>
    <row r="384">
      <c r="O384" s="230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  <c r="AI384" s="230"/>
    </row>
    <row r="385">
      <c r="O385" s="230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  <c r="AI385" s="230"/>
    </row>
    <row r="386">
      <c r="O386" s="230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  <c r="AI386" s="230"/>
    </row>
    <row r="387">
      <c r="O387" s="230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  <c r="AI387" s="230"/>
    </row>
    <row r="388">
      <c r="O388" s="230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  <c r="AI388" s="230"/>
    </row>
    <row r="389">
      <c r="O389" s="230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  <c r="AI389" s="230"/>
    </row>
    <row r="390">
      <c r="O390" s="230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  <c r="AI390" s="230"/>
    </row>
    <row r="391">
      <c r="O391" s="230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  <c r="AI391" s="230"/>
    </row>
    <row r="392">
      <c r="O392" s="230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  <c r="AI392" s="230"/>
    </row>
    <row r="393">
      <c r="O393" s="230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  <c r="AI393" s="230"/>
    </row>
    <row r="394">
      <c r="O394" s="230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  <c r="AI394" s="230"/>
    </row>
    <row r="395">
      <c r="O395" s="230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  <c r="AI395" s="230"/>
    </row>
    <row r="396">
      <c r="O396" s="230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  <c r="AI396" s="230"/>
    </row>
    <row r="397">
      <c r="O397" s="230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</row>
    <row r="398">
      <c r="O398" s="230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  <c r="AI398" s="230"/>
    </row>
    <row r="399">
      <c r="O399" s="230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  <c r="AI399" s="230"/>
    </row>
    <row r="400">
      <c r="O400" s="230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  <c r="AI400" s="230"/>
    </row>
    <row r="401">
      <c r="O401" s="230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  <c r="AI401" s="230"/>
    </row>
    <row r="402">
      <c r="O402" s="230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  <c r="AI402" s="230"/>
    </row>
    <row r="403">
      <c r="O403" s="230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  <c r="AI403" s="230"/>
    </row>
    <row r="404">
      <c r="O404" s="230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  <c r="AI404" s="230"/>
    </row>
    <row r="405">
      <c r="O405" s="230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  <c r="AI405" s="230"/>
    </row>
    <row r="406">
      <c r="O406" s="230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  <c r="AI406" s="230"/>
    </row>
    <row r="407">
      <c r="O407" s="230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  <c r="AI407" s="230"/>
    </row>
    <row r="408">
      <c r="O408" s="230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  <c r="AI408" s="230"/>
    </row>
    <row r="409">
      <c r="O409" s="230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  <c r="AI409" s="230"/>
    </row>
    <row r="410">
      <c r="O410" s="230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  <c r="AI410" s="230"/>
    </row>
    <row r="411">
      <c r="O411" s="230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  <c r="AI411" s="230"/>
    </row>
    <row r="412">
      <c r="O412" s="230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  <c r="AI412" s="230"/>
    </row>
    <row r="413">
      <c r="O413" s="230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  <c r="AI413" s="230"/>
    </row>
    <row r="414">
      <c r="O414" s="230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  <c r="AI414" s="230"/>
    </row>
    <row r="415">
      <c r="O415" s="230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  <c r="AI415" s="230"/>
    </row>
    <row r="416">
      <c r="O416" s="230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  <c r="AI416" s="230"/>
    </row>
    <row r="417">
      <c r="O417" s="230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  <c r="AI417" s="230"/>
    </row>
    <row r="418">
      <c r="O418" s="230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  <c r="AI418" s="230"/>
    </row>
    <row r="419">
      <c r="O419" s="230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</row>
    <row r="420">
      <c r="O420" s="230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  <c r="AI420" s="230"/>
    </row>
    <row r="421">
      <c r="O421" s="230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  <c r="AI421" s="230"/>
    </row>
    <row r="422">
      <c r="O422" s="230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</row>
    <row r="423">
      <c r="O423" s="230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  <c r="AI423" s="230"/>
    </row>
    <row r="424">
      <c r="O424" s="230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  <c r="AI424" s="230"/>
    </row>
    <row r="425">
      <c r="O425" s="230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  <c r="AI425" s="230"/>
    </row>
    <row r="426">
      <c r="O426" s="230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  <c r="AI426" s="230"/>
    </row>
    <row r="427">
      <c r="O427" s="230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</row>
    <row r="428">
      <c r="O428" s="230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</row>
    <row r="429">
      <c r="O429" s="230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  <c r="AI429" s="230"/>
    </row>
    <row r="430">
      <c r="O430" s="230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  <c r="AI430" s="230"/>
    </row>
    <row r="431">
      <c r="O431" s="230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  <c r="AI431" s="230"/>
    </row>
    <row r="432">
      <c r="O432" s="230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  <c r="AI432" s="230"/>
    </row>
    <row r="433">
      <c r="O433" s="230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</row>
    <row r="434">
      <c r="O434" s="230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</row>
    <row r="435">
      <c r="O435" s="230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  <c r="AI435" s="230"/>
    </row>
    <row r="436">
      <c r="O436" s="230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  <c r="AI436" s="230"/>
    </row>
    <row r="437">
      <c r="O437" s="230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</row>
    <row r="438">
      <c r="O438" s="230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  <c r="AI438" s="230"/>
    </row>
    <row r="439">
      <c r="O439" s="230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  <c r="AI439" s="230"/>
    </row>
    <row r="440">
      <c r="O440" s="230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  <c r="AI440" s="230"/>
    </row>
    <row r="441">
      <c r="O441" s="230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</row>
    <row r="442">
      <c r="O442" s="230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  <c r="AI442" s="230"/>
    </row>
    <row r="443">
      <c r="O443" s="230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  <c r="AI443" s="230"/>
    </row>
    <row r="444">
      <c r="O444" s="230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  <c r="AI444" s="230"/>
    </row>
    <row r="445">
      <c r="O445" s="230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  <c r="AI445" s="230"/>
    </row>
    <row r="446">
      <c r="O446" s="230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  <c r="AI446" s="230"/>
    </row>
    <row r="447">
      <c r="O447" s="230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  <c r="AI447" s="230"/>
    </row>
    <row r="448">
      <c r="O448" s="230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  <c r="AI448" s="230"/>
    </row>
    <row r="449">
      <c r="O449" s="230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  <c r="AI449" s="230"/>
    </row>
    <row r="450">
      <c r="O450" s="230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  <c r="AI450" s="230"/>
    </row>
    <row r="451">
      <c r="O451" s="230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  <c r="AI451" s="230"/>
    </row>
    <row r="452">
      <c r="O452" s="230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  <c r="AI452" s="230"/>
    </row>
    <row r="453">
      <c r="O453" s="230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  <c r="AI453" s="230"/>
    </row>
    <row r="454">
      <c r="O454" s="230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  <c r="AI454" s="230"/>
    </row>
    <row r="455">
      <c r="O455" s="230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  <c r="AI455" s="230"/>
    </row>
    <row r="456">
      <c r="O456" s="230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  <c r="AI456" s="230"/>
    </row>
    <row r="457">
      <c r="O457" s="230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  <c r="AI457" s="230"/>
    </row>
    <row r="458">
      <c r="O458" s="230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  <c r="AI458" s="230"/>
    </row>
    <row r="459">
      <c r="O459" s="230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  <c r="AI459" s="230"/>
    </row>
    <row r="460">
      <c r="O460" s="230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  <c r="AI460" s="230"/>
    </row>
    <row r="461">
      <c r="O461" s="230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  <c r="AI461" s="230"/>
    </row>
    <row r="462">
      <c r="O462" s="230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  <c r="AI462" s="230"/>
    </row>
    <row r="463">
      <c r="O463" s="230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</row>
    <row r="464">
      <c r="O464" s="230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  <c r="AI464" s="230"/>
    </row>
    <row r="465">
      <c r="O465" s="230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  <c r="AI465" s="230"/>
    </row>
    <row r="466">
      <c r="O466" s="230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  <c r="AI466" s="230"/>
    </row>
    <row r="467">
      <c r="O467" s="230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  <c r="AI467" s="230"/>
    </row>
    <row r="468">
      <c r="O468" s="230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  <c r="AI468" s="230"/>
    </row>
    <row r="469">
      <c r="O469" s="230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  <c r="AI469" s="230"/>
    </row>
    <row r="470">
      <c r="O470" s="230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  <c r="AI470" s="230"/>
    </row>
    <row r="471">
      <c r="O471" s="230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  <c r="AI471" s="230"/>
    </row>
    <row r="472">
      <c r="O472" s="230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  <c r="AI472" s="230"/>
    </row>
    <row r="473">
      <c r="O473" s="230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  <c r="AI473" s="230"/>
    </row>
    <row r="474">
      <c r="O474" s="230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  <c r="AI474" s="230"/>
    </row>
    <row r="475">
      <c r="O475" s="230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  <c r="AI475" s="230"/>
    </row>
    <row r="476">
      <c r="O476" s="230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  <c r="AI476" s="230"/>
    </row>
    <row r="477">
      <c r="O477" s="230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  <c r="AI477" s="230"/>
    </row>
    <row r="478">
      <c r="O478" s="230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  <c r="AI478" s="230"/>
    </row>
    <row r="479">
      <c r="O479" s="230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  <c r="AI479" s="230"/>
    </row>
    <row r="480">
      <c r="O480" s="230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  <c r="AI480" s="230"/>
    </row>
    <row r="481">
      <c r="O481" s="230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  <c r="AI481" s="230"/>
    </row>
    <row r="482">
      <c r="O482" s="230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  <c r="AI482" s="230"/>
    </row>
    <row r="483">
      <c r="O483" s="230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  <c r="AI483" s="230"/>
    </row>
    <row r="484">
      <c r="O484" s="230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  <c r="AI484" s="230"/>
    </row>
    <row r="485">
      <c r="O485" s="230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</row>
    <row r="486">
      <c r="O486" s="230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  <c r="AI486" s="230"/>
    </row>
    <row r="487">
      <c r="O487" s="230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  <c r="AI487" s="230"/>
    </row>
    <row r="488">
      <c r="O488" s="230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  <c r="AI488" s="230"/>
    </row>
    <row r="489">
      <c r="O489" s="230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</row>
    <row r="490">
      <c r="O490" s="230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  <c r="AI490" s="230"/>
    </row>
    <row r="491">
      <c r="O491" s="230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</row>
    <row r="492">
      <c r="O492" s="230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</row>
    <row r="493">
      <c r="O493" s="230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  <c r="AI493" s="230"/>
    </row>
    <row r="494">
      <c r="O494" s="230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  <c r="AI494" s="230"/>
    </row>
    <row r="495">
      <c r="O495" s="230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  <c r="AI495" s="230"/>
    </row>
    <row r="496">
      <c r="O496" s="230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  <c r="AI496" s="230"/>
    </row>
    <row r="497">
      <c r="O497" s="230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  <c r="AI497" s="230"/>
    </row>
    <row r="498">
      <c r="O498" s="230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  <c r="AI498" s="230"/>
    </row>
    <row r="499">
      <c r="O499" s="230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  <c r="AI499" s="230"/>
    </row>
    <row r="500">
      <c r="O500" s="230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  <c r="AI500" s="230"/>
    </row>
    <row r="501">
      <c r="O501" s="230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  <c r="AI501" s="230"/>
    </row>
    <row r="502">
      <c r="O502" s="230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  <c r="AI502" s="230"/>
    </row>
    <row r="503">
      <c r="O503" s="230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  <c r="AI503" s="230"/>
    </row>
    <row r="504">
      <c r="O504" s="230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  <c r="AI504" s="230"/>
    </row>
    <row r="505">
      <c r="O505" s="230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  <c r="AI505" s="230"/>
    </row>
    <row r="506">
      <c r="O506" s="230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  <c r="AI506" s="230"/>
    </row>
    <row r="507">
      <c r="O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</row>
    <row r="508">
      <c r="O508" s="230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  <c r="AI508" s="230"/>
    </row>
    <row r="509">
      <c r="O509" s="230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  <c r="AI509" s="230"/>
    </row>
    <row r="510">
      <c r="O510" s="230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  <c r="AI510" s="230"/>
    </row>
    <row r="511">
      <c r="O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  <c r="AI511" s="230"/>
    </row>
    <row r="512">
      <c r="O512" s="230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  <c r="AI512" s="230"/>
    </row>
    <row r="513">
      <c r="O513" s="230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  <c r="AI513" s="230"/>
    </row>
    <row r="514">
      <c r="O514" s="230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  <c r="AI514" s="230"/>
    </row>
    <row r="515">
      <c r="O515" s="230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  <c r="AI515" s="230"/>
    </row>
    <row r="516">
      <c r="O516" s="230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  <c r="AI516" s="230"/>
    </row>
    <row r="517">
      <c r="O517" s="230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  <c r="AI517" s="230"/>
    </row>
    <row r="518">
      <c r="O518" s="230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  <c r="AI518" s="230"/>
    </row>
    <row r="519">
      <c r="O519" s="230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  <c r="AI519" s="230"/>
    </row>
    <row r="520">
      <c r="O520" s="230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</row>
    <row r="521">
      <c r="O521" s="230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</row>
    <row r="522">
      <c r="O522" s="230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</row>
    <row r="523">
      <c r="O523" s="230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</row>
    <row r="524">
      <c r="O524" s="230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</row>
    <row r="525">
      <c r="O525" s="230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</row>
    <row r="526">
      <c r="O526" s="230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</row>
    <row r="527">
      <c r="O527" s="230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</row>
    <row r="528">
      <c r="O528" s="230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  <c r="AI528" s="230"/>
    </row>
    <row r="529">
      <c r="O529" s="230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</row>
    <row r="530">
      <c r="O530" s="230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  <c r="AI530" s="230"/>
    </row>
    <row r="531">
      <c r="O531" s="230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  <c r="AI531" s="230"/>
    </row>
    <row r="532">
      <c r="O532" s="230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  <c r="AI532" s="230"/>
    </row>
    <row r="533">
      <c r="O533" s="230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  <c r="AI533" s="230"/>
    </row>
    <row r="534">
      <c r="O534" s="230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  <c r="AI534" s="230"/>
    </row>
    <row r="535">
      <c r="O535" s="230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  <c r="AI535" s="230"/>
    </row>
    <row r="536">
      <c r="O536" s="230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  <c r="AI536" s="230"/>
    </row>
    <row r="537">
      <c r="O537" s="230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  <c r="AI537" s="230"/>
    </row>
    <row r="538">
      <c r="O538" s="230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  <c r="AI538" s="230"/>
    </row>
    <row r="539">
      <c r="O539" s="230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  <c r="AI539" s="230"/>
    </row>
    <row r="540">
      <c r="O540" s="230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  <c r="AI540" s="230"/>
    </row>
    <row r="541">
      <c r="O541" s="230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  <c r="AI541" s="230"/>
    </row>
    <row r="542">
      <c r="O542" s="230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  <c r="AI542" s="230"/>
    </row>
    <row r="543">
      <c r="O543" s="230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  <c r="AI543" s="230"/>
    </row>
    <row r="544">
      <c r="O544" s="230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</row>
    <row r="545">
      <c r="O545" s="230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  <c r="AI545" s="230"/>
    </row>
    <row r="546">
      <c r="O546" s="230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  <c r="AI546" s="230"/>
    </row>
    <row r="547">
      <c r="O547" s="230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</row>
    <row r="548">
      <c r="O548" s="230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  <c r="AI548" s="230"/>
    </row>
    <row r="549">
      <c r="O549" s="230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  <c r="AI549" s="230"/>
    </row>
    <row r="550">
      <c r="O550" s="230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  <c r="AI550" s="230"/>
    </row>
    <row r="551">
      <c r="O551" s="230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</row>
    <row r="552">
      <c r="O552" s="230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  <c r="AI552" s="230"/>
    </row>
    <row r="553">
      <c r="O553" s="230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  <c r="AI553" s="230"/>
    </row>
    <row r="554">
      <c r="O554" s="230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  <c r="AI554" s="230"/>
    </row>
    <row r="555">
      <c r="O555" s="230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  <c r="AI555" s="230"/>
    </row>
    <row r="556">
      <c r="O556" s="230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  <c r="AI556" s="230"/>
    </row>
    <row r="557">
      <c r="O557" s="230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  <c r="AI557" s="230"/>
    </row>
    <row r="558">
      <c r="O558" s="230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  <c r="AI558" s="230"/>
    </row>
    <row r="559">
      <c r="O559" s="230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  <c r="AI559" s="230"/>
    </row>
    <row r="560">
      <c r="O560" s="230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  <c r="AI560" s="230"/>
    </row>
    <row r="561">
      <c r="O561" s="230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  <c r="AI561" s="230"/>
    </row>
    <row r="562">
      <c r="O562" s="230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  <c r="AI562" s="230"/>
    </row>
    <row r="563">
      <c r="O563" s="230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  <c r="AI563" s="230"/>
    </row>
    <row r="564">
      <c r="O564" s="230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  <c r="AI564" s="230"/>
    </row>
    <row r="565">
      <c r="O565" s="230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  <c r="AI565" s="230"/>
    </row>
    <row r="566">
      <c r="O566" s="230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  <c r="AI566" s="230"/>
    </row>
    <row r="567">
      <c r="O567" s="230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  <c r="AI567" s="230"/>
    </row>
    <row r="568">
      <c r="O568" s="230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  <c r="AI568" s="230"/>
    </row>
    <row r="569">
      <c r="O569" s="230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  <c r="AI569" s="230"/>
    </row>
    <row r="570">
      <c r="O570" s="230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</row>
    <row r="571">
      <c r="O571" s="230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</row>
    <row r="572">
      <c r="O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</row>
    <row r="573">
      <c r="O573" s="230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</row>
    <row r="574">
      <c r="O574" s="230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  <c r="AI574" s="230"/>
    </row>
    <row r="575">
      <c r="O575" s="230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  <c r="AI575" s="230"/>
    </row>
    <row r="576">
      <c r="O576" s="230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  <c r="AI576" s="230"/>
    </row>
    <row r="577">
      <c r="O577" s="230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  <c r="AI577" s="230"/>
    </row>
    <row r="578">
      <c r="O578" s="230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  <c r="AI578" s="230"/>
    </row>
    <row r="579">
      <c r="O579" s="230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  <c r="AI579" s="230"/>
    </row>
    <row r="580">
      <c r="O580" s="230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  <c r="AI580" s="230"/>
    </row>
    <row r="581">
      <c r="O581" s="230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  <c r="AI581" s="230"/>
    </row>
    <row r="582">
      <c r="O582" s="230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  <c r="AI582" s="230"/>
    </row>
    <row r="583">
      <c r="O583" s="230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  <c r="AI583" s="230"/>
    </row>
    <row r="584">
      <c r="O584" s="230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  <c r="AI584" s="230"/>
    </row>
    <row r="585">
      <c r="O585" s="230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  <c r="AI585" s="230"/>
    </row>
    <row r="586">
      <c r="O586" s="230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  <c r="AI586" s="230"/>
    </row>
    <row r="587">
      <c r="O587" s="230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  <c r="AI587" s="230"/>
    </row>
    <row r="588">
      <c r="O588" s="230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  <c r="AI588" s="230"/>
    </row>
    <row r="589">
      <c r="O589" s="230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  <c r="AI589" s="230"/>
    </row>
    <row r="590">
      <c r="O590" s="230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  <c r="AI590" s="230"/>
    </row>
    <row r="591">
      <c r="O591" s="230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  <c r="AI591" s="230"/>
    </row>
    <row r="592">
      <c r="O592" s="230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  <c r="AI592" s="230"/>
    </row>
    <row r="593">
      <c r="O593" s="230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  <c r="AI593" s="230"/>
    </row>
    <row r="594">
      <c r="O594" s="230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  <c r="AI594" s="230"/>
    </row>
    <row r="595">
      <c r="O595" s="230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</row>
    <row r="596">
      <c r="O596" s="230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  <c r="AI596" s="230"/>
    </row>
    <row r="597">
      <c r="O597" s="230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  <c r="AI597" s="230"/>
    </row>
    <row r="598">
      <c r="O598" s="230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  <c r="AI598" s="230"/>
    </row>
    <row r="599">
      <c r="O599" s="230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  <c r="AI599" s="230"/>
    </row>
    <row r="600">
      <c r="O600" s="230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  <c r="AI600" s="230"/>
    </row>
    <row r="601">
      <c r="O601" s="230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  <c r="AI601" s="230"/>
    </row>
    <row r="602">
      <c r="O602" s="230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  <c r="AI602" s="230"/>
    </row>
    <row r="603">
      <c r="O603" s="230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  <c r="AI603" s="230"/>
    </row>
    <row r="604">
      <c r="O604" s="230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  <c r="AI604" s="230"/>
    </row>
    <row r="605">
      <c r="O605" s="230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  <c r="AI605" s="230"/>
    </row>
    <row r="606">
      <c r="O606" s="230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  <c r="AI606" s="230"/>
    </row>
    <row r="607">
      <c r="O607" s="230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  <c r="AI607" s="230"/>
    </row>
    <row r="608">
      <c r="O608" s="230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  <c r="AI608" s="230"/>
    </row>
    <row r="609">
      <c r="O609" s="230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  <c r="AI609" s="230"/>
    </row>
    <row r="610">
      <c r="O610" s="230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  <c r="AI610" s="230"/>
    </row>
    <row r="611">
      <c r="O611" s="230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  <c r="AI611" s="230"/>
    </row>
    <row r="612">
      <c r="O612" s="230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  <c r="AI612" s="230"/>
    </row>
    <row r="613">
      <c r="O613" s="230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  <c r="AI613" s="230"/>
    </row>
    <row r="614">
      <c r="O614" s="230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  <c r="AI614" s="230"/>
    </row>
    <row r="615">
      <c r="O615" s="230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  <c r="AI615" s="230"/>
    </row>
    <row r="616">
      <c r="O616" s="230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  <c r="AI616" s="230"/>
    </row>
    <row r="617">
      <c r="O617" s="230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</row>
    <row r="618">
      <c r="O618" s="230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</row>
    <row r="619">
      <c r="O619" s="230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  <c r="AI619" s="230"/>
    </row>
    <row r="620">
      <c r="O620" s="230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</row>
    <row r="621">
      <c r="O621" s="230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  <c r="AI621" s="230"/>
    </row>
    <row r="622">
      <c r="O622" s="230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  <c r="AI622" s="230"/>
    </row>
    <row r="623">
      <c r="O623" s="230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  <c r="AI623" s="230"/>
    </row>
    <row r="624">
      <c r="O624" s="230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</row>
    <row r="625">
      <c r="O625" s="230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  <c r="AI625" s="230"/>
    </row>
    <row r="626">
      <c r="O626" s="230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  <c r="AI626" s="230"/>
    </row>
    <row r="627">
      <c r="O627" s="230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  <c r="AI627" s="230"/>
    </row>
    <row r="628">
      <c r="O628" s="230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  <c r="AI628" s="230"/>
    </row>
    <row r="629">
      <c r="O629" s="230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  <c r="AI629" s="230"/>
    </row>
    <row r="630">
      <c r="O630" s="230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  <c r="AI630" s="230"/>
    </row>
    <row r="631">
      <c r="O631" s="230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  <c r="AI631" s="230"/>
    </row>
    <row r="632">
      <c r="O632" s="230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  <c r="AI632" s="230"/>
    </row>
    <row r="633">
      <c r="O633" s="230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  <c r="AI633" s="230"/>
    </row>
    <row r="634">
      <c r="O634" s="230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  <c r="AI634" s="230"/>
    </row>
    <row r="635">
      <c r="O635" s="230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  <c r="AI635" s="230"/>
    </row>
    <row r="636">
      <c r="O636" s="230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  <c r="AI636" s="230"/>
    </row>
    <row r="637">
      <c r="O637" s="230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  <c r="AI637" s="230"/>
    </row>
    <row r="638">
      <c r="O638" s="230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  <c r="AI638" s="230"/>
    </row>
    <row r="639">
      <c r="O639" s="230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</row>
    <row r="640">
      <c r="O640" s="230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  <c r="AI640" s="230"/>
    </row>
    <row r="641">
      <c r="O641" s="230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  <c r="AI641" s="230"/>
    </row>
    <row r="642">
      <c r="O642" s="230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  <c r="AI642" s="230"/>
    </row>
    <row r="643">
      <c r="O643" s="230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  <c r="AI643" s="230"/>
    </row>
    <row r="644">
      <c r="O644" s="230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  <c r="AI644" s="230"/>
    </row>
    <row r="645">
      <c r="O645" s="230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  <c r="AI645" s="230"/>
    </row>
    <row r="646">
      <c r="O646" s="230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  <c r="AI646" s="230"/>
    </row>
    <row r="647">
      <c r="O647" s="230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  <c r="AI647" s="230"/>
    </row>
    <row r="648">
      <c r="O648" s="230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  <c r="AI648" s="230"/>
    </row>
    <row r="649">
      <c r="O649" s="230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  <c r="AI649" s="230"/>
    </row>
    <row r="650">
      <c r="O650" s="230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  <c r="AI650" s="230"/>
    </row>
    <row r="651">
      <c r="O651" s="230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  <c r="AI651" s="230"/>
    </row>
    <row r="652">
      <c r="O652" s="230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  <c r="AI652" s="230"/>
    </row>
    <row r="653">
      <c r="O653" s="230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  <c r="AI653" s="230"/>
    </row>
    <row r="654">
      <c r="O654" s="230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  <c r="AI654" s="230"/>
    </row>
    <row r="655">
      <c r="O655" s="230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  <c r="AI655" s="230"/>
    </row>
    <row r="656">
      <c r="O656" s="230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  <c r="AI656" s="230"/>
    </row>
    <row r="657">
      <c r="O657" s="230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  <c r="AI657" s="230"/>
    </row>
    <row r="658">
      <c r="O658" s="230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  <c r="AI658" s="230"/>
    </row>
    <row r="659">
      <c r="O659" s="230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  <c r="AI659" s="230"/>
    </row>
    <row r="660">
      <c r="O660" s="230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  <c r="AI660" s="230"/>
    </row>
    <row r="661">
      <c r="O661" s="230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</row>
    <row r="662">
      <c r="O662" s="230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  <c r="AI662" s="230"/>
    </row>
    <row r="663">
      <c r="O663" s="230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  <c r="AI663" s="230"/>
    </row>
    <row r="664">
      <c r="O664" s="230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  <c r="AI664" s="230"/>
    </row>
    <row r="665">
      <c r="O665" s="230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  <c r="AI665" s="230"/>
    </row>
    <row r="666">
      <c r="O666" s="230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  <c r="AI666" s="230"/>
    </row>
    <row r="667">
      <c r="O667" s="230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  <c r="AI667" s="230"/>
    </row>
    <row r="668">
      <c r="O668" s="230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  <c r="AI668" s="230"/>
    </row>
    <row r="669">
      <c r="O669" s="230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  <c r="AI669" s="230"/>
    </row>
    <row r="670">
      <c r="O670" s="230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  <c r="AI670" s="230"/>
    </row>
    <row r="671">
      <c r="O671" s="230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  <c r="AI671" s="230"/>
    </row>
    <row r="672">
      <c r="O672" s="230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  <c r="AI672" s="230"/>
    </row>
    <row r="673">
      <c r="O673" s="230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  <c r="AI673" s="230"/>
    </row>
    <row r="674">
      <c r="O674" s="230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  <c r="AI674" s="230"/>
    </row>
    <row r="675">
      <c r="O675" s="230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  <c r="AI675" s="230"/>
    </row>
    <row r="676">
      <c r="O676" s="230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  <c r="AI676" s="230"/>
    </row>
    <row r="677">
      <c r="O677" s="230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  <c r="AI677" s="230"/>
    </row>
    <row r="678">
      <c r="O678" s="230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  <c r="AI678" s="230"/>
    </row>
    <row r="679">
      <c r="O679" s="230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  <c r="AI679" s="230"/>
    </row>
    <row r="680">
      <c r="O680" s="230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  <c r="AI680" s="230"/>
    </row>
    <row r="681">
      <c r="O681" s="230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  <c r="AI681" s="230"/>
    </row>
    <row r="682">
      <c r="O682" s="230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  <c r="AI682" s="230"/>
    </row>
    <row r="683">
      <c r="O683" s="230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</row>
    <row r="684">
      <c r="O684" s="230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  <c r="AI684" s="230"/>
    </row>
    <row r="685">
      <c r="O685" s="230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  <c r="AI685" s="230"/>
    </row>
    <row r="686">
      <c r="O686" s="230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  <c r="AI686" s="230"/>
    </row>
    <row r="687">
      <c r="O687" s="230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  <c r="AI687" s="230"/>
    </row>
    <row r="688">
      <c r="O688" s="230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  <c r="AI688" s="230"/>
    </row>
    <row r="689">
      <c r="O689" s="230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  <c r="AI689" s="230"/>
    </row>
    <row r="690">
      <c r="O690" s="230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  <c r="AI690" s="230"/>
    </row>
    <row r="691">
      <c r="O691" s="230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  <c r="AI691" s="230"/>
    </row>
    <row r="692">
      <c r="O692" s="230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  <c r="AI692" s="230"/>
    </row>
    <row r="693">
      <c r="O693" s="230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  <c r="AI693" s="230"/>
    </row>
    <row r="694">
      <c r="O694" s="230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  <c r="AI694" s="230"/>
    </row>
    <row r="695">
      <c r="O695" s="230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  <c r="AI695" s="230"/>
    </row>
    <row r="696">
      <c r="O696" s="230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  <c r="AI696" s="230"/>
    </row>
    <row r="697">
      <c r="O697" s="230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  <c r="AI697" s="230"/>
    </row>
    <row r="698">
      <c r="O698" s="230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  <c r="AI698" s="230"/>
    </row>
    <row r="699">
      <c r="O699" s="230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  <c r="AI699" s="230"/>
    </row>
    <row r="700">
      <c r="O700" s="230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  <c r="AI700" s="230"/>
    </row>
    <row r="701">
      <c r="O701" s="230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  <c r="AI701" s="230"/>
    </row>
    <row r="702">
      <c r="O702" s="230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  <c r="AI702" s="230"/>
    </row>
    <row r="703">
      <c r="O703" s="230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  <c r="AI703" s="230"/>
    </row>
    <row r="704">
      <c r="O704" s="230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  <c r="AI704" s="230"/>
    </row>
    <row r="705">
      <c r="O705" s="230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  <c r="AI705" s="230"/>
    </row>
    <row r="706">
      <c r="O706" s="230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  <c r="AI706" s="230"/>
    </row>
    <row r="707">
      <c r="O707" s="230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  <c r="AI707" s="230"/>
    </row>
    <row r="708">
      <c r="O708" s="230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  <c r="AI708" s="230"/>
    </row>
    <row r="709">
      <c r="O709" s="230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  <c r="AI709" s="230"/>
    </row>
    <row r="710">
      <c r="O710" s="230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  <c r="AI710" s="230"/>
    </row>
    <row r="711">
      <c r="O711" s="230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  <c r="AI711" s="230"/>
    </row>
    <row r="712">
      <c r="O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  <c r="AI712" s="230"/>
    </row>
    <row r="713">
      <c r="O713" s="230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  <c r="AI713" s="230"/>
    </row>
    <row r="714">
      <c r="O714" s="230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  <c r="AI714" s="230"/>
    </row>
    <row r="715">
      <c r="O715" s="230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  <c r="AI715" s="230"/>
    </row>
    <row r="716">
      <c r="O716" s="230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  <c r="AI716" s="230"/>
    </row>
    <row r="717">
      <c r="O717" s="230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  <c r="AI717" s="230"/>
    </row>
    <row r="718">
      <c r="O718" s="230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  <c r="AI718" s="230"/>
    </row>
    <row r="719">
      <c r="O719" s="230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  <c r="AI719" s="230"/>
    </row>
    <row r="720">
      <c r="O720" s="230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  <c r="AI720" s="230"/>
    </row>
    <row r="721">
      <c r="O721" s="230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  <c r="AI721" s="230"/>
    </row>
    <row r="722">
      <c r="O722" s="230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  <c r="AI722" s="230"/>
    </row>
    <row r="723">
      <c r="O723" s="230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  <c r="AI723" s="230"/>
    </row>
    <row r="724">
      <c r="O724" s="230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  <c r="AI724" s="230"/>
    </row>
    <row r="725">
      <c r="O725" s="230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  <c r="AI725" s="230"/>
    </row>
    <row r="726">
      <c r="O726" s="230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  <c r="AI726" s="230"/>
    </row>
    <row r="727">
      <c r="O727" s="230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  <c r="AI727" s="230"/>
    </row>
    <row r="728">
      <c r="O728" s="230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  <c r="AI728" s="230"/>
    </row>
    <row r="729">
      <c r="O729" s="230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  <c r="AI729" s="230"/>
    </row>
    <row r="730">
      <c r="O730" s="230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  <c r="AI730" s="230"/>
    </row>
    <row r="731">
      <c r="O731" s="230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  <c r="AI731" s="230"/>
    </row>
    <row r="732">
      <c r="O732" s="230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  <c r="AI732" s="230"/>
    </row>
    <row r="733">
      <c r="O733" s="230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</row>
    <row r="734">
      <c r="O734" s="230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</row>
    <row r="735">
      <c r="O735" s="230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</row>
    <row r="736">
      <c r="O736" s="230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</row>
    <row r="737">
      <c r="O737" s="230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</row>
    <row r="738">
      <c r="O738" s="230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</row>
    <row r="739">
      <c r="O739" s="230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</row>
    <row r="740">
      <c r="O740" s="230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</row>
    <row r="741">
      <c r="O741" s="230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</row>
    <row r="742">
      <c r="O742" s="230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</row>
    <row r="743">
      <c r="O743" s="230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</row>
    <row r="744">
      <c r="O744" s="230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</row>
    <row r="745">
      <c r="O745" s="230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</row>
    <row r="746">
      <c r="O746" s="230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</row>
    <row r="747">
      <c r="O747" s="230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</row>
    <row r="748">
      <c r="O748" s="230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</row>
    <row r="749">
      <c r="O749" s="230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  <c r="AI749" s="230"/>
    </row>
    <row r="750">
      <c r="O750" s="230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  <c r="AI750" s="230"/>
    </row>
    <row r="751">
      <c r="O751" s="230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  <c r="AI751" s="230"/>
    </row>
    <row r="752">
      <c r="O752" s="230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  <c r="AI752" s="230"/>
    </row>
    <row r="753">
      <c r="O753" s="230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  <c r="AI753" s="230"/>
    </row>
    <row r="754">
      <c r="O754" s="230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  <c r="AI754" s="230"/>
    </row>
    <row r="755">
      <c r="O755" s="230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  <c r="AI755" s="230"/>
    </row>
    <row r="756">
      <c r="O756" s="230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  <c r="AI756" s="230"/>
    </row>
    <row r="757">
      <c r="O757" s="230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  <c r="AI757" s="230"/>
    </row>
    <row r="758">
      <c r="O758" s="230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  <c r="AI758" s="230"/>
    </row>
    <row r="759">
      <c r="O759" s="230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  <c r="AI759" s="230"/>
    </row>
    <row r="760">
      <c r="O760" s="230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  <c r="AI760" s="230"/>
    </row>
    <row r="761">
      <c r="O761" s="230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  <c r="AI761" s="230"/>
    </row>
    <row r="762">
      <c r="O762" s="230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  <c r="AI762" s="230"/>
    </row>
    <row r="763">
      <c r="O763" s="230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  <c r="AI763" s="230"/>
    </row>
    <row r="764">
      <c r="O764" s="230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  <c r="AI764" s="230"/>
    </row>
    <row r="765">
      <c r="O765" s="230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  <c r="AI765" s="230"/>
    </row>
    <row r="766">
      <c r="O766" s="230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  <c r="AI766" s="230"/>
    </row>
    <row r="767">
      <c r="O767" s="230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  <c r="AI767" s="230"/>
    </row>
    <row r="768">
      <c r="O768" s="230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  <c r="AI768" s="230"/>
    </row>
    <row r="769">
      <c r="O769" s="230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  <c r="AI769" s="230"/>
    </row>
    <row r="770">
      <c r="O770" s="230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  <c r="AI770" s="230"/>
    </row>
    <row r="771">
      <c r="O771" s="230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  <c r="AI771" s="230"/>
    </row>
    <row r="772">
      <c r="O772" s="230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  <c r="AI772" s="230"/>
    </row>
    <row r="773">
      <c r="O773" s="230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  <c r="AI773" s="230"/>
    </row>
    <row r="774">
      <c r="O774" s="230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  <c r="AI774" s="230"/>
    </row>
    <row r="775">
      <c r="O775" s="230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  <c r="AI775" s="230"/>
    </row>
    <row r="776">
      <c r="O776" s="230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  <c r="AI776" s="230"/>
    </row>
    <row r="777">
      <c r="O777" s="230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  <c r="AI777" s="230"/>
    </row>
    <row r="778">
      <c r="O778" s="230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  <c r="AI778" s="230"/>
    </row>
    <row r="779">
      <c r="O779" s="230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  <c r="AI779" s="230"/>
    </row>
    <row r="780">
      <c r="O780" s="230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  <c r="AI780" s="230"/>
    </row>
    <row r="781">
      <c r="O781" s="230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  <c r="AI781" s="230"/>
    </row>
    <row r="782">
      <c r="O782" s="230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  <c r="AI782" s="230"/>
    </row>
    <row r="783">
      <c r="O783" s="230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</row>
    <row r="784">
      <c r="O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  <c r="AI784" s="230"/>
    </row>
    <row r="785">
      <c r="O785" s="230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  <c r="AI785" s="230"/>
    </row>
    <row r="786">
      <c r="O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  <c r="AI786" s="230"/>
    </row>
    <row r="787">
      <c r="O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  <c r="AI787" s="230"/>
    </row>
    <row r="788">
      <c r="O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  <c r="AI788" s="230"/>
    </row>
    <row r="789">
      <c r="O789" s="230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  <c r="AI789" s="230"/>
    </row>
    <row r="790">
      <c r="O790" s="230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  <c r="AI790" s="230"/>
    </row>
    <row r="791">
      <c r="O791" s="230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</row>
    <row r="792">
      <c r="O792" s="230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  <c r="AI792" s="230"/>
    </row>
    <row r="793">
      <c r="O793" s="230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  <c r="AI793" s="230"/>
    </row>
    <row r="794">
      <c r="O794" s="230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  <c r="AI794" s="230"/>
    </row>
    <row r="795">
      <c r="O795" s="230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  <c r="AI795" s="230"/>
    </row>
    <row r="796">
      <c r="O796" s="230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  <c r="AI796" s="230"/>
    </row>
    <row r="797">
      <c r="O797" s="230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  <c r="AI797" s="230"/>
    </row>
    <row r="798">
      <c r="O798" s="230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  <c r="AI798" s="230"/>
    </row>
    <row r="799">
      <c r="O799" s="230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  <c r="AI799" s="230"/>
    </row>
    <row r="800">
      <c r="O800" s="230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  <c r="AI800" s="230"/>
    </row>
    <row r="801">
      <c r="O801" s="230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  <c r="AI801" s="230"/>
    </row>
    <row r="802">
      <c r="O802" s="230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  <c r="AI802" s="230"/>
    </row>
    <row r="803">
      <c r="O803" s="230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  <c r="AI803" s="230"/>
    </row>
    <row r="804">
      <c r="O804" s="230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  <c r="AI804" s="230"/>
    </row>
    <row r="805">
      <c r="O805" s="230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  <c r="AI805" s="230"/>
    </row>
    <row r="806">
      <c r="O806" s="230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  <c r="AI806" s="230"/>
    </row>
    <row r="807">
      <c r="O807" s="230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  <c r="AI807" s="230"/>
    </row>
    <row r="808">
      <c r="O808" s="230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  <c r="AI808" s="230"/>
    </row>
    <row r="809">
      <c r="O809" s="230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  <c r="AI809" s="230"/>
    </row>
    <row r="810">
      <c r="O810" s="230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  <c r="AI810" s="230"/>
    </row>
    <row r="811">
      <c r="O811" s="230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  <c r="AI811" s="230"/>
    </row>
    <row r="812">
      <c r="O812" s="230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  <c r="AI812" s="230"/>
    </row>
    <row r="813">
      <c r="O813" s="230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  <c r="AI813" s="230"/>
    </row>
    <row r="814">
      <c r="O814" s="230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  <c r="AI814" s="230"/>
    </row>
    <row r="815">
      <c r="O815" s="230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  <c r="AI815" s="230"/>
    </row>
    <row r="816">
      <c r="O816" s="230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  <c r="AI816" s="230"/>
    </row>
    <row r="817">
      <c r="O817" s="230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  <c r="AI817" s="230"/>
    </row>
    <row r="818">
      <c r="O818" s="230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  <c r="AI818" s="230"/>
    </row>
    <row r="819">
      <c r="O819" s="230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  <c r="AI819" s="230"/>
    </row>
    <row r="820">
      <c r="O820" s="230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  <c r="AI820" s="230"/>
    </row>
    <row r="821">
      <c r="O821" s="230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  <c r="AI821" s="230"/>
    </row>
    <row r="822">
      <c r="O822" s="230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  <c r="AI822" s="230"/>
    </row>
    <row r="823">
      <c r="O823" s="230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  <c r="AI823" s="230"/>
    </row>
    <row r="824">
      <c r="O824" s="230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  <c r="AI824" s="230"/>
    </row>
    <row r="825">
      <c r="O825" s="230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  <c r="AI825" s="230"/>
    </row>
    <row r="826">
      <c r="O826" s="230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  <c r="AI826" s="230"/>
    </row>
    <row r="827">
      <c r="O827" s="230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  <c r="AI827" s="230"/>
    </row>
    <row r="828">
      <c r="O828" s="230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  <c r="AI828" s="230"/>
    </row>
    <row r="829">
      <c r="O829" s="230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  <c r="AI829" s="230"/>
    </row>
    <row r="830">
      <c r="O830" s="230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  <c r="AI830" s="230"/>
    </row>
    <row r="831">
      <c r="O831" s="230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</row>
    <row r="832">
      <c r="O832" s="230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  <c r="AI832" s="230"/>
    </row>
    <row r="833">
      <c r="O833" s="230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  <c r="AI833" s="230"/>
    </row>
    <row r="834">
      <c r="O834" s="230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  <c r="AI834" s="230"/>
    </row>
    <row r="835">
      <c r="O835" s="230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  <c r="AI835" s="230"/>
    </row>
    <row r="836">
      <c r="O836" s="230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  <c r="AI836" s="230"/>
    </row>
    <row r="837">
      <c r="O837" s="230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  <c r="AI837" s="230"/>
    </row>
    <row r="838">
      <c r="O838" s="230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  <c r="AI838" s="230"/>
    </row>
    <row r="839">
      <c r="O839" s="230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  <c r="AI839" s="230"/>
    </row>
    <row r="840">
      <c r="O840" s="230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  <c r="AI840" s="230"/>
    </row>
    <row r="841">
      <c r="O841" s="230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  <c r="AI841" s="230"/>
    </row>
    <row r="842">
      <c r="O842" s="230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  <c r="AI842" s="230"/>
    </row>
    <row r="843">
      <c r="O843" s="230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  <c r="AI843" s="230"/>
    </row>
    <row r="844">
      <c r="O844" s="230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  <c r="AI844" s="230"/>
    </row>
    <row r="845">
      <c r="O845" s="230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  <c r="AI845" s="230"/>
    </row>
    <row r="846">
      <c r="O846" s="230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  <c r="AI846" s="230"/>
    </row>
    <row r="847">
      <c r="O847" s="230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  <c r="AI847" s="230"/>
    </row>
    <row r="848">
      <c r="O848" s="230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  <c r="AI848" s="230"/>
    </row>
    <row r="849">
      <c r="O849" s="230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  <c r="AI849" s="230"/>
    </row>
    <row r="850">
      <c r="O850" s="230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  <c r="AI850" s="230"/>
    </row>
    <row r="851">
      <c r="O851" s="230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  <c r="AI851" s="230"/>
    </row>
    <row r="852">
      <c r="O852" s="230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  <c r="AI852" s="230"/>
    </row>
    <row r="853">
      <c r="O853" s="230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  <c r="AI853" s="230"/>
    </row>
    <row r="854">
      <c r="O854" s="230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  <c r="AI854" s="230"/>
    </row>
    <row r="855">
      <c r="O855" s="230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  <c r="AI855" s="230"/>
    </row>
    <row r="856">
      <c r="O856" s="230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  <c r="AI856" s="230"/>
    </row>
    <row r="857">
      <c r="O857" s="230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  <c r="AI857" s="230"/>
    </row>
    <row r="858">
      <c r="O858" s="230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  <c r="AI858" s="230"/>
    </row>
    <row r="859">
      <c r="O859" s="230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  <c r="AI859" s="230"/>
    </row>
    <row r="860">
      <c r="O860" s="230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  <c r="AI860" s="230"/>
    </row>
    <row r="861">
      <c r="O861" s="230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  <c r="AI861" s="230"/>
    </row>
    <row r="862">
      <c r="O862" s="230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  <c r="AI862" s="230"/>
    </row>
    <row r="863">
      <c r="O863" s="230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  <c r="AI863" s="230"/>
    </row>
    <row r="864">
      <c r="O864" s="230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  <c r="AI864" s="230"/>
    </row>
    <row r="865">
      <c r="O865" s="230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  <c r="AI865" s="230"/>
    </row>
    <row r="866">
      <c r="O866" s="230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  <c r="AI866" s="230"/>
    </row>
    <row r="867">
      <c r="O867" s="230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  <c r="AI867" s="230"/>
    </row>
    <row r="868">
      <c r="O868" s="230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  <c r="AI868" s="230"/>
    </row>
    <row r="869">
      <c r="O869" s="230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  <c r="AI869" s="230"/>
    </row>
    <row r="870">
      <c r="O870" s="230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  <c r="AI870" s="230"/>
    </row>
    <row r="871">
      <c r="O871" s="230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  <c r="AI871" s="230"/>
    </row>
    <row r="872">
      <c r="O872" s="230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  <c r="AI872" s="230"/>
    </row>
    <row r="873">
      <c r="O873" s="230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  <c r="AI873" s="230"/>
    </row>
    <row r="874">
      <c r="O874" s="230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  <c r="AI874" s="230"/>
    </row>
    <row r="875">
      <c r="O875" s="230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  <c r="AI875" s="230"/>
    </row>
    <row r="876">
      <c r="O876" s="230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  <c r="AI876" s="230"/>
    </row>
    <row r="877">
      <c r="O877" s="230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  <c r="AI877" s="230"/>
    </row>
    <row r="878">
      <c r="O878" s="230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  <c r="AI878" s="230"/>
    </row>
    <row r="879">
      <c r="O879" s="230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  <c r="AI879" s="230"/>
    </row>
    <row r="880">
      <c r="O880" s="230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  <c r="AI880" s="230"/>
    </row>
    <row r="881">
      <c r="O881" s="230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  <c r="AI881" s="230"/>
    </row>
    <row r="882">
      <c r="O882" s="230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  <c r="AI882" s="230"/>
    </row>
    <row r="883">
      <c r="O883" s="230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  <c r="AI883" s="230"/>
    </row>
    <row r="884">
      <c r="O884" s="230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  <c r="AI884" s="230"/>
    </row>
    <row r="885">
      <c r="O885" s="230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  <c r="AI885" s="230"/>
    </row>
    <row r="886">
      <c r="O886" s="230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  <c r="AI886" s="230"/>
    </row>
    <row r="887">
      <c r="O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  <c r="AI887" s="230"/>
    </row>
    <row r="888">
      <c r="O888" s="230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  <c r="AI888" s="230"/>
    </row>
    <row r="889">
      <c r="O889" s="230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  <c r="AI889" s="230"/>
    </row>
    <row r="890">
      <c r="O890" s="230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  <c r="AI890" s="230"/>
    </row>
    <row r="891">
      <c r="O891" s="230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  <c r="AI891" s="230"/>
    </row>
    <row r="892">
      <c r="O892" s="230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  <c r="AI892" s="230"/>
    </row>
    <row r="893">
      <c r="O893" s="230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  <c r="AI893" s="230"/>
    </row>
    <row r="894">
      <c r="O894" s="230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  <c r="AI894" s="230"/>
    </row>
    <row r="895">
      <c r="O895" s="230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  <c r="AI895" s="230"/>
    </row>
    <row r="896">
      <c r="O896" s="230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  <c r="AI896" s="230"/>
    </row>
    <row r="897">
      <c r="O897" s="230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  <c r="AI897" s="230"/>
    </row>
    <row r="898">
      <c r="O898" s="230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  <c r="AI898" s="230"/>
    </row>
    <row r="899">
      <c r="O899" s="230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  <c r="AI899" s="230"/>
    </row>
    <row r="900">
      <c r="O900" s="230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  <c r="AI900" s="230"/>
    </row>
    <row r="901">
      <c r="O901" s="230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  <c r="AI901" s="230"/>
    </row>
    <row r="902">
      <c r="O902" s="230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  <c r="AI902" s="230"/>
    </row>
    <row r="903">
      <c r="O903" s="230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  <c r="AI903" s="230"/>
    </row>
    <row r="904">
      <c r="O904" s="230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  <c r="AI904" s="230"/>
    </row>
    <row r="905">
      <c r="O905" s="230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  <c r="AI905" s="230"/>
    </row>
    <row r="906">
      <c r="O906" s="230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  <c r="AI906" s="230"/>
    </row>
    <row r="907">
      <c r="O907" s="230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  <c r="AI907" s="230"/>
    </row>
    <row r="908">
      <c r="O908" s="230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  <c r="AI908" s="230"/>
    </row>
    <row r="909">
      <c r="O909" s="230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  <c r="AI909" s="230"/>
    </row>
    <row r="910">
      <c r="O910" s="230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  <c r="AI910" s="230"/>
    </row>
    <row r="911">
      <c r="O911" s="230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  <c r="AI911" s="230"/>
    </row>
    <row r="912">
      <c r="O912" s="230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  <c r="AI912" s="230"/>
    </row>
    <row r="913">
      <c r="O913" s="230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  <c r="AI913" s="230"/>
    </row>
    <row r="914">
      <c r="O914" s="230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  <c r="AI914" s="230"/>
    </row>
    <row r="915">
      <c r="O915" s="230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  <c r="AI915" s="230"/>
    </row>
    <row r="916">
      <c r="O916" s="230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  <c r="AI916" s="230"/>
    </row>
    <row r="917">
      <c r="O917" s="230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  <c r="AI917" s="230"/>
    </row>
    <row r="918">
      <c r="O918" s="230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  <c r="AI918" s="230"/>
    </row>
    <row r="919">
      <c r="O919" s="230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  <c r="AI919" s="230"/>
    </row>
    <row r="920">
      <c r="O920" s="230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  <c r="AI920" s="230"/>
    </row>
    <row r="921">
      <c r="O921" s="230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  <c r="AI921" s="230"/>
    </row>
    <row r="922">
      <c r="O922" s="230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  <c r="AI922" s="230"/>
    </row>
    <row r="923">
      <c r="O923" s="230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</row>
    <row r="924">
      <c r="O924" s="230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  <c r="AI924" s="230"/>
    </row>
    <row r="925">
      <c r="O925" s="230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  <c r="AI925" s="230"/>
    </row>
    <row r="926">
      <c r="O926" s="230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  <c r="AI926" s="230"/>
    </row>
    <row r="927">
      <c r="O927" s="230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  <c r="AI927" s="230"/>
    </row>
    <row r="928">
      <c r="O928" s="230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  <c r="AI928" s="230"/>
    </row>
    <row r="929">
      <c r="O929" s="230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  <c r="AI929" s="230"/>
    </row>
    <row r="930">
      <c r="O930" s="230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  <c r="AI930" s="230"/>
    </row>
    <row r="931">
      <c r="O931" s="230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  <c r="AI931" s="230"/>
    </row>
    <row r="932">
      <c r="O932" s="230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  <c r="AI932" s="230"/>
    </row>
    <row r="933">
      <c r="O933" s="230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</row>
    <row r="934">
      <c r="O934" s="230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</row>
    <row r="935">
      <c r="O935" s="230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</row>
    <row r="936">
      <c r="O936" s="230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</row>
    <row r="937">
      <c r="O937" s="230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</row>
    <row r="938">
      <c r="O938" s="230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</row>
    <row r="939">
      <c r="O939" s="230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</row>
    <row r="940">
      <c r="O940" s="230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</row>
    <row r="941">
      <c r="O941" s="230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</row>
    <row r="942">
      <c r="O942" s="230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</row>
    <row r="943">
      <c r="O943" s="230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</row>
    <row r="944">
      <c r="O944" s="230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</row>
    <row r="945">
      <c r="O945" s="230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</row>
    <row r="946">
      <c r="O946" s="230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</row>
    <row r="947">
      <c r="O947" s="230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</row>
    <row r="948">
      <c r="O948" s="230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  <c r="AI948" s="230"/>
    </row>
    <row r="949">
      <c r="O949" s="230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  <c r="AI949" s="230"/>
    </row>
    <row r="950">
      <c r="O950" s="230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  <c r="AI950" s="230"/>
    </row>
    <row r="951">
      <c r="O951" s="230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  <c r="AI951" s="230"/>
    </row>
    <row r="952">
      <c r="O952" s="230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  <c r="AI952" s="230"/>
    </row>
    <row r="953">
      <c r="O953" s="230"/>
      <c r="R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  <c r="AI953" s="230"/>
    </row>
    <row r="954">
      <c r="O954" s="230"/>
      <c r="R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  <c r="AI954" s="230"/>
    </row>
    <row r="955">
      <c r="O955" s="230"/>
      <c r="R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  <c r="AI955" s="230"/>
    </row>
    <row r="956">
      <c r="O956" s="230"/>
      <c r="R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  <c r="AI956" s="230"/>
    </row>
    <row r="957">
      <c r="O957" s="230"/>
      <c r="R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  <c r="AI957" s="230"/>
    </row>
    <row r="958">
      <c r="O958" s="230"/>
      <c r="R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  <c r="AI958" s="230"/>
    </row>
    <row r="959">
      <c r="O959" s="230"/>
      <c r="R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  <c r="AI959" s="230"/>
    </row>
    <row r="960">
      <c r="O960" s="230"/>
      <c r="R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  <c r="AI960" s="230"/>
    </row>
    <row r="961">
      <c r="O961" s="230"/>
      <c r="R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  <c r="AI961" s="230"/>
    </row>
    <row r="962">
      <c r="O962" s="230"/>
      <c r="R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  <c r="AI962" s="230"/>
    </row>
    <row r="963">
      <c r="O963" s="230"/>
      <c r="R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  <c r="AI963" s="230"/>
    </row>
    <row r="964">
      <c r="O964" s="230"/>
      <c r="R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  <c r="AI964" s="230"/>
    </row>
    <row r="965">
      <c r="O965" s="230"/>
      <c r="R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  <c r="AI965" s="230"/>
    </row>
    <row r="966">
      <c r="O966" s="230"/>
      <c r="R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  <c r="AI966" s="230"/>
    </row>
    <row r="967">
      <c r="O967" s="230"/>
      <c r="R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  <c r="AI967" s="230"/>
    </row>
    <row r="968">
      <c r="O968" s="230"/>
      <c r="R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  <c r="AI968" s="230"/>
    </row>
    <row r="969">
      <c r="O969" s="230"/>
      <c r="R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  <c r="AI969" s="230"/>
    </row>
    <row r="970">
      <c r="O970" s="230"/>
      <c r="R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  <c r="AI970" s="230"/>
    </row>
    <row r="971">
      <c r="O971" s="230"/>
      <c r="R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  <c r="AI971" s="230"/>
    </row>
    <row r="972">
      <c r="O972" s="230"/>
      <c r="R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  <c r="AI972" s="230"/>
    </row>
    <row r="973">
      <c r="O973" s="230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  <c r="AI973" s="230"/>
    </row>
    <row r="974">
      <c r="O974" s="230"/>
      <c r="R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  <c r="AI974" s="230"/>
    </row>
    <row r="975">
      <c r="O975" s="230"/>
      <c r="R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  <c r="AI975" s="230"/>
    </row>
    <row r="976">
      <c r="O976" s="230"/>
      <c r="R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  <c r="AI976" s="230"/>
    </row>
    <row r="977">
      <c r="O977" s="230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  <c r="AI977" s="230"/>
    </row>
    <row r="978">
      <c r="O978" s="230"/>
      <c r="R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  <c r="AI978" s="230"/>
    </row>
    <row r="979">
      <c r="O979" s="230"/>
      <c r="R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  <c r="AI979" s="230"/>
    </row>
    <row r="980">
      <c r="O980" s="230"/>
      <c r="R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  <c r="AI980" s="230"/>
    </row>
    <row r="981">
      <c r="O981" s="230"/>
      <c r="R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  <c r="AI981" s="230"/>
    </row>
    <row r="982">
      <c r="O982" s="230"/>
      <c r="R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  <c r="AI982" s="230"/>
    </row>
    <row r="983">
      <c r="O983" s="230"/>
      <c r="R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  <c r="AI983" s="230"/>
    </row>
    <row r="984">
      <c r="O984" s="230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  <c r="AI984" s="230"/>
    </row>
    <row r="985">
      <c r="O985" s="230"/>
      <c r="R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  <c r="AI985" s="230"/>
    </row>
    <row r="986">
      <c r="O986" s="230"/>
      <c r="R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  <c r="AI986" s="230"/>
    </row>
    <row r="987">
      <c r="O987" s="230"/>
      <c r="R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  <c r="AI987" s="230"/>
    </row>
    <row r="988">
      <c r="O988" s="230"/>
      <c r="R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  <c r="AI988" s="230"/>
    </row>
    <row r="989">
      <c r="O989" s="230"/>
      <c r="R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  <c r="AI989" s="230"/>
    </row>
    <row r="990">
      <c r="O990" s="230"/>
      <c r="R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  <c r="AI990" s="230"/>
    </row>
    <row r="991">
      <c r="O991" s="230"/>
      <c r="R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  <c r="AI991" s="230"/>
    </row>
    <row r="992">
      <c r="O992" s="230"/>
      <c r="R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  <c r="AI992" s="230"/>
    </row>
    <row r="993">
      <c r="O993" s="230"/>
      <c r="R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  <c r="AI993" s="230"/>
    </row>
    <row r="994">
      <c r="O994" s="230"/>
      <c r="R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  <c r="AI994" s="230"/>
    </row>
    <row r="995">
      <c r="O995" s="230"/>
      <c r="R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  <c r="AI995" s="230"/>
    </row>
    <row r="996">
      <c r="O996" s="230"/>
      <c r="R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  <c r="AI996" s="230"/>
    </row>
    <row r="997">
      <c r="O997" s="230"/>
      <c r="R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  <c r="AI997" s="230"/>
    </row>
    <row r="998">
      <c r="O998" s="230"/>
      <c r="R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  <c r="AI998" s="230"/>
    </row>
    <row r="999">
      <c r="O999" s="230"/>
      <c r="R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  <c r="AI999" s="230"/>
    </row>
    <row r="1000">
      <c r="O1000" s="230"/>
      <c r="R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  <c r="AI1000" s="230"/>
    </row>
    <row r="1001">
      <c r="O1001" s="230"/>
      <c r="R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  <c r="AI1001" s="230"/>
    </row>
    <row r="1002">
      <c r="O1002" s="230"/>
      <c r="R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  <c r="AI1002" s="230"/>
    </row>
    <row r="1003">
      <c r="O1003" s="230"/>
      <c r="R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  <c r="AI1003" s="230"/>
    </row>
    <row r="1004">
      <c r="O1004" s="230"/>
      <c r="R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  <c r="AI1004" s="230"/>
    </row>
    <row r="1005">
      <c r="O1005" s="230"/>
      <c r="R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  <c r="AI1005" s="230"/>
    </row>
    <row r="1006">
      <c r="O1006" s="230"/>
      <c r="R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  <c r="AI1006" s="230"/>
    </row>
    <row r="1007">
      <c r="O1007" s="230"/>
      <c r="R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  <c r="AI1007" s="230"/>
    </row>
    <row r="1008">
      <c r="O1008" s="230"/>
      <c r="R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  <c r="AI1008" s="230"/>
    </row>
    <row r="1009">
      <c r="O1009" s="230"/>
      <c r="R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  <c r="AI1009" s="230"/>
    </row>
    <row r="1010">
      <c r="O1010" s="230"/>
      <c r="R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  <c r="AI1010" s="230"/>
    </row>
    <row r="1011">
      <c r="O1011" s="230"/>
      <c r="R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  <c r="AI1011" s="230"/>
    </row>
    <row r="1012">
      <c r="O1012" s="230"/>
      <c r="R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  <c r="AI1012" s="230"/>
    </row>
    <row r="1013">
      <c r="O1013" s="230"/>
      <c r="R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  <c r="AI1013" s="230"/>
    </row>
    <row r="1014">
      <c r="O1014" s="230"/>
      <c r="R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  <c r="AI1014" s="230"/>
    </row>
    <row r="1015">
      <c r="O1015" s="230"/>
      <c r="R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  <c r="AI1015" s="230"/>
    </row>
    <row r="1016">
      <c r="O1016" s="230"/>
      <c r="R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  <c r="AI1016" s="230"/>
    </row>
    <row r="1017">
      <c r="O1017" s="230"/>
      <c r="R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  <c r="AI1017" s="230"/>
    </row>
    <row r="1018">
      <c r="O1018" s="230"/>
      <c r="R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  <c r="AI1018" s="230"/>
    </row>
    <row r="1019">
      <c r="O1019" s="230"/>
      <c r="R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  <c r="AI1019" s="230"/>
    </row>
    <row r="1020">
      <c r="O1020" s="230"/>
      <c r="R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  <c r="AI1020" s="230"/>
    </row>
    <row r="1021">
      <c r="O1021" s="230"/>
      <c r="R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  <c r="AI1021" s="230"/>
    </row>
    <row r="1022">
      <c r="O1022" s="230"/>
      <c r="R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  <c r="AI1022" s="230"/>
    </row>
    <row r="1023">
      <c r="O1023" s="230"/>
      <c r="R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  <c r="AI1023" s="230"/>
    </row>
    <row r="1024">
      <c r="O1024" s="230"/>
      <c r="R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  <c r="AI1024" s="230"/>
    </row>
    <row r="1025">
      <c r="O1025" s="230"/>
      <c r="R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  <c r="AI1025" s="230"/>
    </row>
    <row r="1026">
      <c r="O1026" s="230"/>
      <c r="R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  <c r="AI1026" s="230"/>
    </row>
    <row r="1027">
      <c r="O1027" s="230"/>
      <c r="R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  <c r="AI1027" s="230"/>
    </row>
    <row r="1028">
      <c r="O1028" s="230"/>
      <c r="R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  <c r="AI1028" s="230"/>
    </row>
    <row r="1029">
      <c r="O1029" s="230"/>
      <c r="R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  <c r="AI1029" s="230"/>
    </row>
    <row r="1030">
      <c r="O1030" s="230"/>
      <c r="R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  <c r="AI1030" s="230"/>
    </row>
    <row r="1031">
      <c r="O1031" s="230"/>
      <c r="R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  <c r="AI1031" s="230"/>
    </row>
    <row r="1032">
      <c r="O1032" s="230"/>
      <c r="R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  <c r="AI1032" s="230"/>
    </row>
    <row r="1033">
      <c r="O1033" s="230"/>
      <c r="R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  <c r="AI1033" s="230"/>
    </row>
    <row r="1034">
      <c r="O1034" s="230"/>
      <c r="R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  <c r="AI1034" s="230"/>
    </row>
    <row r="1035">
      <c r="O1035" s="230"/>
      <c r="R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  <c r="AI1035" s="230"/>
    </row>
    <row r="1036">
      <c r="O1036" s="230"/>
      <c r="R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  <c r="AI1036" s="230"/>
    </row>
    <row r="1037">
      <c r="O1037" s="230"/>
      <c r="R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  <c r="AI1037" s="230"/>
    </row>
    <row r="1038">
      <c r="O1038" s="230"/>
      <c r="R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  <c r="AI1038" s="230"/>
    </row>
    <row r="1039">
      <c r="O1039" s="230"/>
      <c r="R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  <c r="AI1039" s="230"/>
    </row>
    <row r="1040">
      <c r="O1040" s="230"/>
      <c r="R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  <c r="AI1040" s="230"/>
    </row>
    <row r="1041">
      <c r="O1041" s="230"/>
      <c r="R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  <c r="AI1041" s="230"/>
    </row>
    <row r="1042">
      <c r="O1042" s="230"/>
      <c r="R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  <c r="AI1042" s="230"/>
    </row>
    <row r="1043">
      <c r="O1043" s="230"/>
      <c r="R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  <c r="AI1043" s="230"/>
    </row>
    <row r="1044">
      <c r="O1044" s="230"/>
      <c r="R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  <c r="AI1044" s="230"/>
    </row>
    <row r="1045">
      <c r="O1045" s="230"/>
      <c r="R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  <c r="AI1045" s="230"/>
    </row>
    <row r="1046">
      <c r="O1046" s="230"/>
      <c r="R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  <c r="AI1046" s="230"/>
    </row>
    <row r="1047">
      <c r="O1047" s="230"/>
      <c r="R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  <c r="AI1047" s="230"/>
    </row>
    <row r="1048">
      <c r="O1048" s="230"/>
      <c r="R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  <c r="AI1048" s="230"/>
    </row>
    <row r="1049">
      <c r="O1049" s="230"/>
      <c r="R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  <c r="AI1049" s="230"/>
    </row>
    <row r="1050">
      <c r="O1050" s="230"/>
      <c r="R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  <c r="AI1050" s="230"/>
    </row>
    <row r="1051">
      <c r="O1051" s="230"/>
      <c r="R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  <c r="AI1051" s="230"/>
    </row>
    <row r="1052">
      <c r="O1052" s="230"/>
      <c r="R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  <c r="AI1052" s="230"/>
    </row>
    <row r="1053">
      <c r="O1053" s="230"/>
      <c r="R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  <c r="AI1053" s="230"/>
    </row>
    <row r="1054">
      <c r="O1054" s="230"/>
      <c r="R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  <c r="AI1054" s="230"/>
    </row>
    <row r="1055">
      <c r="O1055" s="230"/>
      <c r="R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  <c r="AI1055" s="230"/>
    </row>
    <row r="1056">
      <c r="O1056" s="230"/>
      <c r="R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  <c r="AI1056" s="230"/>
    </row>
    <row r="1057">
      <c r="O1057" s="230"/>
      <c r="R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  <c r="AI1057" s="230"/>
    </row>
    <row r="1058">
      <c r="O1058" s="230"/>
      <c r="R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  <c r="AI1058" s="230"/>
    </row>
    <row r="1059">
      <c r="O1059" s="230"/>
      <c r="R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  <c r="AI1059" s="230"/>
    </row>
    <row r="1060">
      <c r="O1060" s="230"/>
      <c r="R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  <c r="AI1060" s="230"/>
    </row>
    <row r="1061">
      <c r="O1061" s="230"/>
      <c r="R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  <c r="AI1061" s="230"/>
    </row>
    <row r="1062">
      <c r="O1062" s="230"/>
      <c r="R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  <c r="AI1062" s="230"/>
    </row>
    <row r="1063">
      <c r="O1063" s="230"/>
      <c r="R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  <c r="AI1063" s="230"/>
    </row>
    <row r="1064">
      <c r="O1064" s="230"/>
      <c r="R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  <c r="AI1064" s="230"/>
    </row>
    <row r="1065">
      <c r="O1065" s="230"/>
      <c r="R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  <c r="AI1065" s="230"/>
    </row>
    <row r="1066">
      <c r="O1066" s="230"/>
      <c r="R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  <c r="AI1066" s="230"/>
    </row>
    <row r="1067">
      <c r="O1067" s="230"/>
      <c r="R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  <c r="AI1067" s="230"/>
    </row>
    <row r="1068">
      <c r="O1068" s="230"/>
      <c r="R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  <c r="AI1068" s="230"/>
    </row>
    <row r="1069">
      <c r="O1069" s="230"/>
      <c r="R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  <c r="AI1069" s="230"/>
    </row>
    <row r="1070">
      <c r="O1070" s="230"/>
      <c r="R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  <c r="AI1070" s="230"/>
    </row>
    <row r="1071">
      <c r="O1071" s="230"/>
      <c r="R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  <c r="AI1071" s="230"/>
    </row>
    <row r="1072">
      <c r="O1072" s="230"/>
      <c r="R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  <c r="AI1072" s="230"/>
    </row>
    <row r="1073">
      <c r="O1073" s="230"/>
      <c r="R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  <c r="AI1073" s="230"/>
    </row>
    <row r="1074">
      <c r="O1074" s="230"/>
      <c r="R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  <c r="AI1074" s="230"/>
    </row>
    <row r="1075">
      <c r="O1075" s="230"/>
      <c r="R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  <c r="AI1075" s="230"/>
    </row>
    <row r="1076">
      <c r="O1076" s="230"/>
      <c r="R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  <c r="AI1076" s="230"/>
    </row>
    <row r="1077">
      <c r="O1077" s="230"/>
      <c r="R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  <c r="AI1077" s="230"/>
    </row>
    <row r="1078">
      <c r="O1078" s="230"/>
      <c r="R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  <c r="AI1078" s="230"/>
    </row>
    <row r="1079">
      <c r="O1079" s="230"/>
      <c r="R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  <c r="AI1079" s="230"/>
    </row>
    <row r="1080">
      <c r="O1080" s="230"/>
      <c r="R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  <c r="AI1080" s="230"/>
    </row>
    <row r="1081">
      <c r="O1081" s="230"/>
      <c r="R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  <c r="AI1081" s="230"/>
    </row>
    <row r="1082">
      <c r="O1082" s="230"/>
      <c r="R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  <c r="AI1082" s="230"/>
    </row>
    <row r="1083">
      <c r="O1083" s="230"/>
      <c r="R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  <c r="AI1083" s="230"/>
    </row>
    <row r="1084">
      <c r="O1084" s="230"/>
      <c r="R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  <c r="AI1084" s="230"/>
    </row>
    <row r="1085">
      <c r="O1085" s="230"/>
      <c r="R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  <c r="AI1085" s="230"/>
    </row>
    <row r="1086">
      <c r="O1086" s="230"/>
      <c r="R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  <c r="AI1086" s="230"/>
    </row>
    <row r="1087">
      <c r="O1087" s="230"/>
      <c r="R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  <c r="AI1087" s="230"/>
    </row>
    <row r="1088">
      <c r="O1088" s="230"/>
      <c r="R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  <c r="AI1088" s="230"/>
    </row>
    <row r="1089">
      <c r="O1089" s="230"/>
      <c r="R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  <c r="AI1089" s="230"/>
    </row>
    <row r="1090">
      <c r="O1090" s="230"/>
      <c r="R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  <c r="AI1090" s="230"/>
    </row>
    <row r="1091">
      <c r="O1091" s="230"/>
      <c r="R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  <c r="AI1091" s="230"/>
    </row>
    <row r="1092">
      <c r="O1092" s="230"/>
      <c r="R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  <c r="AI1092" s="230"/>
    </row>
    <row r="1093">
      <c r="O1093" s="230"/>
      <c r="R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  <c r="AI1093" s="230"/>
    </row>
    <row r="1094">
      <c r="O1094" s="230"/>
      <c r="R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  <c r="AI1094" s="230"/>
    </row>
    <row r="1095">
      <c r="O1095" s="230"/>
      <c r="R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  <c r="AI1095" s="230"/>
    </row>
    <row r="1096">
      <c r="O1096" s="230"/>
      <c r="R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  <c r="AI1096" s="230"/>
    </row>
    <row r="1097">
      <c r="O1097" s="230"/>
      <c r="R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  <c r="AI1097" s="230"/>
    </row>
    <row r="1098">
      <c r="O1098" s="230"/>
      <c r="R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  <c r="AI1098" s="230"/>
    </row>
    <row r="1099">
      <c r="O1099" s="230"/>
      <c r="R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  <c r="AI1099" s="230"/>
    </row>
    <row r="1100">
      <c r="O1100" s="230"/>
      <c r="R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  <c r="AI1100" s="230"/>
    </row>
    <row r="1101">
      <c r="O1101" s="230"/>
      <c r="R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  <c r="AI1101" s="230"/>
    </row>
    <row r="1102">
      <c r="O1102" s="230"/>
      <c r="R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  <c r="AI1102" s="230"/>
    </row>
    <row r="1103">
      <c r="O1103" s="230"/>
      <c r="R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  <c r="AI1103" s="230"/>
    </row>
    <row r="1104">
      <c r="O1104" s="230"/>
      <c r="R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  <c r="AI1104" s="230"/>
    </row>
    <row r="1105">
      <c r="O1105" s="230"/>
      <c r="R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  <c r="AI1105" s="230"/>
    </row>
    <row r="1106">
      <c r="O1106" s="230"/>
      <c r="R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  <c r="AI1106" s="230"/>
    </row>
    <row r="1107">
      <c r="O1107" s="230"/>
      <c r="R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  <c r="AI1107" s="230"/>
    </row>
    <row r="1108">
      <c r="O1108" s="230"/>
      <c r="R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  <c r="AI1108" s="230"/>
    </row>
    <row r="1109">
      <c r="O1109" s="230"/>
      <c r="R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  <c r="AI1109" s="230"/>
    </row>
    <row r="1110">
      <c r="O1110" s="230"/>
      <c r="R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  <c r="AI1110" s="230"/>
    </row>
    <row r="1111">
      <c r="O1111" s="230"/>
      <c r="R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  <c r="AI1111" s="230"/>
    </row>
    <row r="1112">
      <c r="O1112" s="230"/>
      <c r="R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  <c r="AI1112" s="230"/>
    </row>
    <row r="1113">
      <c r="O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  <c r="AI1113" s="230"/>
    </row>
    <row r="1114">
      <c r="O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  <c r="AI1114" s="230"/>
    </row>
    <row r="1115">
      <c r="O1115" s="230"/>
      <c r="R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  <c r="AI1115" s="230"/>
    </row>
    <row r="1116">
      <c r="O1116" s="230"/>
      <c r="R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  <c r="AI1116" s="230"/>
    </row>
    <row r="1117">
      <c r="O1117" s="230"/>
      <c r="R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  <c r="AI1117" s="230"/>
    </row>
    <row r="1118">
      <c r="O1118" s="230"/>
      <c r="R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  <c r="AI1118" s="230"/>
    </row>
    <row r="1119">
      <c r="O1119" s="230"/>
      <c r="R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  <c r="AI1119" s="230"/>
    </row>
    <row r="1120">
      <c r="O1120" s="230"/>
      <c r="R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  <c r="AI1120" s="230"/>
    </row>
    <row r="1121">
      <c r="O1121" s="230"/>
      <c r="R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  <c r="AI1121" s="230"/>
    </row>
    <row r="1122">
      <c r="O1122" s="230"/>
      <c r="R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  <c r="AI1122" s="230"/>
    </row>
    <row r="1123">
      <c r="O1123" s="230"/>
      <c r="R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  <c r="AI1123" s="230"/>
    </row>
    <row r="1124">
      <c r="O1124" s="230"/>
      <c r="R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  <c r="AI1124" s="230"/>
    </row>
    <row r="1125">
      <c r="O1125" s="230"/>
      <c r="R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  <c r="AI1125" s="230"/>
    </row>
    <row r="1126">
      <c r="O1126" s="230"/>
      <c r="R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  <c r="AI1126" s="230"/>
    </row>
    <row r="1127">
      <c r="O1127" s="230"/>
      <c r="R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  <c r="AI1127" s="230"/>
    </row>
    <row r="1128">
      <c r="O1128" s="230"/>
      <c r="R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  <c r="AI1128" s="230"/>
    </row>
    <row r="1129">
      <c r="O1129" s="230"/>
      <c r="R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  <c r="AI1129" s="230"/>
    </row>
    <row r="1130">
      <c r="O1130" s="230"/>
      <c r="R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  <c r="AI1130" s="230"/>
    </row>
    <row r="1131">
      <c r="O1131" s="230"/>
      <c r="R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  <c r="AI1131" s="230"/>
    </row>
    <row r="1132">
      <c r="O1132" s="230"/>
      <c r="R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  <c r="AI1132" s="230"/>
    </row>
    <row r="1133">
      <c r="O1133" s="230"/>
      <c r="R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  <c r="AI1133" s="230"/>
    </row>
    <row r="1134">
      <c r="O1134" s="230"/>
      <c r="R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  <c r="AI1134" s="230"/>
    </row>
    <row r="1135">
      <c r="O1135" s="230"/>
      <c r="R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  <c r="AI1135" s="230"/>
    </row>
    <row r="1136">
      <c r="O1136" s="230"/>
      <c r="R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  <c r="AI1136" s="230"/>
    </row>
    <row r="1137">
      <c r="O1137" s="230"/>
      <c r="R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  <c r="AI1137" s="230"/>
    </row>
    <row r="1138">
      <c r="O1138" s="230"/>
      <c r="R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  <c r="AI1138" s="230"/>
    </row>
    <row r="1139">
      <c r="O1139" s="230"/>
      <c r="R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  <c r="AI1139" s="230"/>
    </row>
    <row r="1140">
      <c r="O1140" s="230"/>
      <c r="R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  <c r="AI1140" s="230"/>
    </row>
    <row r="1141">
      <c r="O1141" s="230"/>
      <c r="R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  <c r="AI1141" s="230"/>
    </row>
    <row r="1142">
      <c r="O1142" s="230"/>
      <c r="R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  <c r="AI1142" s="230"/>
    </row>
    <row r="1143">
      <c r="O1143" s="230"/>
      <c r="R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  <c r="AI1143" s="230"/>
    </row>
    <row r="1144">
      <c r="O1144" s="230"/>
      <c r="R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  <c r="AI1144" s="230"/>
    </row>
    <row r="1145">
      <c r="O1145" s="230"/>
      <c r="R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  <c r="AI1145" s="230"/>
    </row>
    <row r="1146">
      <c r="O1146" s="230"/>
      <c r="R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  <c r="AI1146" s="230"/>
    </row>
    <row r="1147">
      <c r="O1147" s="230"/>
      <c r="R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  <c r="AI1147" s="230"/>
    </row>
    <row r="1148">
      <c r="O1148" s="230"/>
      <c r="R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  <c r="AI1148" s="230"/>
    </row>
    <row r="1149">
      <c r="O1149" s="230"/>
      <c r="R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  <c r="AI1149" s="230"/>
    </row>
    <row r="1150">
      <c r="O1150" s="230"/>
      <c r="R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  <c r="AI1150" s="230"/>
    </row>
    <row r="1151">
      <c r="O1151" s="230"/>
      <c r="R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  <c r="AI1151" s="230"/>
    </row>
    <row r="1152">
      <c r="O1152" s="230"/>
      <c r="R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  <c r="AI1152" s="230"/>
    </row>
    <row r="1153">
      <c r="O1153" s="230"/>
      <c r="R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  <c r="AI1153" s="230"/>
    </row>
    <row r="1154">
      <c r="O1154" s="230"/>
      <c r="R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  <c r="AI1154" s="230"/>
    </row>
    <row r="1155">
      <c r="O1155" s="230"/>
      <c r="R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  <c r="AI1155" s="230"/>
    </row>
    <row r="1156">
      <c r="O1156" s="230"/>
      <c r="R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  <c r="AI1156" s="230"/>
    </row>
    <row r="1157">
      <c r="O1157" s="230"/>
      <c r="R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  <c r="AI1157" s="230"/>
    </row>
    <row r="1158">
      <c r="O1158" s="230"/>
      <c r="R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  <c r="AI1158" s="230"/>
    </row>
    <row r="1159">
      <c r="O1159" s="230"/>
      <c r="R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  <c r="AI1159" s="230"/>
    </row>
    <row r="1160">
      <c r="O1160" s="230"/>
      <c r="R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  <c r="AI1160" s="230"/>
    </row>
    <row r="1161">
      <c r="O1161" s="230"/>
      <c r="R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  <c r="AI1161" s="230"/>
    </row>
    <row r="1162">
      <c r="O1162" s="230"/>
      <c r="R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  <c r="AI1162" s="230"/>
    </row>
    <row r="1163">
      <c r="O1163" s="230"/>
      <c r="R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  <c r="AI1163" s="230"/>
    </row>
    <row r="1164">
      <c r="O1164" s="230"/>
      <c r="R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  <c r="AI1164" s="230"/>
    </row>
    <row r="1165">
      <c r="O1165" s="230"/>
      <c r="R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  <c r="AI1165" s="230"/>
    </row>
    <row r="1166">
      <c r="O1166" s="230"/>
      <c r="R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  <c r="AI1166" s="230"/>
    </row>
    <row r="1167">
      <c r="O1167" s="230"/>
      <c r="R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  <c r="AI1167" s="230"/>
    </row>
    <row r="1168">
      <c r="O1168" s="230"/>
      <c r="R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  <c r="AI1168" s="230"/>
    </row>
    <row r="1169">
      <c r="O1169" s="230"/>
      <c r="R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  <c r="AI1169" s="230"/>
    </row>
    <row r="1170">
      <c r="O1170" s="230"/>
      <c r="R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  <c r="AI1170" s="230"/>
    </row>
    <row r="1171">
      <c r="O1171" s="230"/>
      <c r="R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  <c r="AI1171" s="230"/>
    </row>
    <row r="1172">
      <c r="O1172" s="230"/>
      <c r="R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  <c r="AI1172" s="230"/>
    </row>
    <row r="1173">
      <c r="O1173" s="230"/>
      <c r="R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  <c r="AI1173" s="230"/>
    </row>
    <row r="1174">
      <c r="O1174" s="230"/>
      <c r="R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  <c r="AI1174" s="230"/>
    </row>
    <row r="1175">
      <c r="O1175" s="230"/>
      <c r="R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  <c r="AI1175" s="230"/>
    </row>
    <row r="1176">
      <c r="O1176" s="230"/>
      <c r="R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  <c r="AI1176" s="230"/>
    </row>
    <row r="1177">
      <c r="O1177" s="230"/>
      <c r="R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  <c r="AI1177" s="230"/>
    </row>
    <row r="1178">
      <c r="O1178" s="230"/>
      <c r="R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  <c r="AI1178" s="230"/>
    </row>
    <row r="1179">
      <c r="O1179" s="230"/>
      <c r="R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  <c r="AI1179" s="230"/>
    </row>
    <row r="1180">
      <c r="O1180" s="230"/>
      <c r="R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  <c r="AI1180" s="230"/>
    </row>
    <row r="1181">
      <c r="O1181" s="230"/>
      <c r="R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  <c r="AI1181" s="230"/>
    </row>
    <row r="1182">
      <c r="O1182" s="230"/>
      <c r="R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  <c r="AI1182" s="230"/>
    </row>
    <row r="1183">
      <c r="O1183" s="230"/>
      <c r="R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  <c r="AI1183" s="230"/>
    </row>
    <row r="1184">
      <c r="O1184" s="230"/>
      <c r="R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  <c r="AI1184" s="230"/>
    </row>
    <row r="1185">
      <c r="O1185" s="230"/>
      <c r="R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  <c r="AI1185" s="230"/>
    </row>
    <row r="1186">
      <c r="O1186" s="230"/>
      <c r="R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  <c r="AI1186" s="230"/>
    </row>
    <row r="1187">
      <c r="O1187" s="230"/>
      <c r="R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  <c r="AI1187" s="230"/>
    </row>
    <row r="1188">
      <c r="O1188" s="230"/>
      <c r="R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  <c r="AI1188" s="230"/>
    </row>
    <row r="1189">
      <c r="O1189" s="230"/>
      <c r="R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  <c r="AI1189" s="230"/>
    </row>
    <row r="1190">
      <c r="O1190" s="230"/>
      <c r="R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  <c r="AI1190" s="230"/>
    </row>
    <row r="1191">
      <c r="O1191" s="230"/>
      <c r="R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  <c r="AI1191" s="230"/>
    </row>
    <row r="1192">
      <c r="O1192" s="230"/>
      <c r="R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  <c r="AI1192" s="230"/>
    </row>
    <row r="1193">
      <c r="O1193" s="230"/>
      <c r="R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  <c r="AI1193" s="230"/>
    </row>
    <row r="1194">
      <c r="O1194" s="230"/>
      <c r="R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  <c r="AI1194" s="230"/>
    </row>
    <row r="1195">
      <c r="O1195" s="230"/>
      <c r="R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  <c r="AI1195" s="230"/>
    </row>
    <row r="1196">
      <c r="O1196" s="230"/>
      <c r="R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  <c r="AI1196" s="230"/>
    </row>
    <row r="1197">
      <c r="O1197" s="230"/>
      <c r="R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  <c r="AI1197" s="230"/>
    </row>
    <row r="1198">
      <c r="O1198" s="230"/>
      <c r="R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  <c r="AI1198" s="230"/>
    </row>
    <row r="1199">
      <c r="O1199" s="230"/>
      <c r="R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  <c r="AI1199" s="230"/>
    </row>
    <row r="1200">
      <c r="O1200" s="230"/>
      <c r="R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  <c r="AI1200" s="230"/>
    </row>
    <row r="1201">
      <c r="O1201" s="230"/>
      <c r="R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  <c r="AI1201" s="230"/>
    </row>
    <row r="1202">
      <c r="O1202" s="230"/>
      <c r="R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  <c r="AI1202" s="230"/>
    </row>
    <row r="1203">
      <c r="O1203" s="230"/>
      <c r="R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  <c r="AI1203" s="230"/>
    </row>
    <row r="1204">
      <c r="O1204" s="230"/>
      <c r="R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  <c r="AI1204" s="230"/>
    </row>
    <row r="1205">
      <c r="O1205" s="230"/>
      <c r="R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  <c r="AI1205" s="230"/>
    </row>
    <row r="1206">
      <c r="O1206" s="230"/>
      <c r="R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  <c r="AI1206" s="230"/>
    </row>
    <row r="1207">
      <c r="O1207" s="230"/>
      <c r="R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  <c r="AI1207" s="230"/>
    </row>
    <row r="1208">
      <c r="O1208" s="230"/>
      <c r="R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  <c r="AI1208" s="230"/>
    </row>
    <row r="1209">
      <c r="O1209" s="230"/>
      <c r="R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  <c r="AI1209" s="230"/>
    </row>
    <row r="1210">
      <c r="O1210" s="230"/>
      <c r="R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  <c r="AI1210" s="230"/>
    </row>
    <row r="1211">
      <c r="O1211" s="230"/>
      <c r="R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  <c r="AI1211" s="230"/>
    </row>
    <row r="1212">
      <c r="O1212" s="230"/>
      <c r="R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  <c r="AI1212" s="230"/>
    </row>
    <row r="1213">
      <c r="O1213" s="230"/>
      <c r="R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  <c r="AI1213" s="230"/>
    </row>
    <row r="1214">
      <c r="O1214" s="230"/>
      <c r="R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  <c r="AI1214" s="230"/>
    </row>
    <row r="1215">
      <c r="O1215" s="230"/>
      <c r="R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  <c r="AI1215" s="230"/>
    </row>
    <row r="1216">
      <c r="O1216" s="230"/>
      <c r="R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  <c r="AI1216" s="230"/>
    </row>
    <row r="1217">
      <c r="O1217" s="230"/>
      <c r="R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  <c r="AI1217" s="230"/>
    </row>
    <row r="1218">
      <c r="O1218" s="230"/>
      <c r="R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  <c r="AI1218" s="230"/>
    </row>
    <row r="1219">
      <c r="O1219" s="230"/>
      <c r="R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  <c r="AI1219" s="230"/>
    </row>
    <row r="1220">
      <c r="O1220" s="230"/>
      <c r="R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  <c r="AI1220" s="230"/>
    </row>
    <row r="1221">
      <c r="O1221" s="230"/>
      <c r="R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  <c r="AI1221" s="230"/>
    </row>
    <row r="1222">
      <c r="O1222" s="230"/>
      <c r="R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  <c r="AI1222" s="230"/>
    </row>
    <row r="1223">
      <c r="O1223" s="230"/>
      <c r="R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  <c r="AI1223" s="230"/>
    </row>
    <row r="1224">
      <c r="O1224" s="230"/>
      <c r="R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  <c r="AI1224" s="230"/>
    </row>
    <row r="1225">
      <c r="O1225" s="230"/>
      <c r="R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  <c r="AI1225" s="230"/>
    </row>
    <row r="1226">
      <c r="O1226" s="230"/>
      <c r="R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  <c r="AI1226" s="230"/>
    </row>
    <row r="1227">
      <c r="O1227" s="230"/>
      <c r="R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  <c r="AI1227" s="230"/>
    </row>
    <row r="1228">
      <c r="O1228" s="230"/>
      <c r="R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  <c r="AI1228" s="230"/>
    </row>
    <row r="1229">
      <c r="O1229" s="230"/>
      <c r="R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  <c r="AI1229" s="230"/>
    </row>
    <row r="1230">
      <c r="O1230" s="230"/>
      <c r="R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  <c r="AI1230" s="230"/>
    </row>
    <row r="1231">
      <c r="O1231" s="230"/>
      <c r="R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  <c r="AI1231" s="230"/>
    </row>
    <row r="1232">
      <c r="O1232" s="230"/>
      <c r="R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  <c r="AI1232" s="230"/>
    </row>
    <row r="1233">
      <c r="O1233" s="230"/>
      <c r="R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  <c r="AI1233" s="230"/>
    </row>
    <row r="1234">
      <c r="O1234" s="230"/>
      <c r="R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  <c r="AI1234" s="230"/>
    </row>
    <row r="1235">
      <c r="O1235" s="230"/>
      <c r="R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  <c r="AI1235" s="230"/>
    </row>
    <row r="1236">
      <c r="O1236" s="230"/>
      <c r="R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  <c r="AI1236" s="230"/>
    </row>
    <row r="1237">
      <c r="O1237" s="230"/>
      <c r="R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  <c r="AI1237" s="230"/>
    </row>
    <row r="1238">
      <c r="O1238" s="230"/>
      <c r="R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  <c r="AI1238" s="230"/>
    </row>
    <row r="1239">
      <c r="O1239" s="230"/>
      <c r="R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  <c r="AI1239" s="230"/>
    </row>
    <row r="1240">
      <c r="O1240" s="230"/>
      <c r="R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  <c r="AI1240" s="230"/>
    </row>
    <row r="1241">
      <c r="O1241" s="230"/>
      <c r="R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  <c r="AI1241" s="230"/>
    </row>
    <row r="1242">
      <c r="O1242" s="230"/>
      <c r="R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  <c r="AI1242" s="230"/>
    </row>
    <row r="1243">
      <c r="O1243" s="230"/>
      <c r="R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  <c r="AI1243" s="230"/>
    </row>
    <row r="1244">
      <c r="O1244" s="230"/>
      <c r="R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  <c r="AI1244" s="230"/>
    </row>
    <row r="1245">
      <c r="O1245" s="230"/>
      <c r="R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  <c r="AI1245" s="230"/>
    </row>
    <row r="1246">
      <c r="O1246" s="230"/>
      <c r="R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  <c r="AI1246" s="230"/>
    </row>
    <row r="1247">
      <c r="O1247" s="230"/>
      <c r="R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  <c r="AI1247" s="230"/>
    </row>
    <row r="1248">
      <c r="O1248" s="230"/>
      <c r="R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  <c r="AI1248" s="230"/>
    </row>
    <row r="1249">
      <c r="O1249" s="230"/>
      <c r="R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  <c r="AI1249" s="230"/>
    </row>
    <row r="1250">
      <c r="O1250" s="230"/>
      <c r="R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  <c r="AI1250" s="230"/>
    </row>
    <row r="1251">
      <c r="O1251" s="230"/>
      <c r="R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  <c r="AI1251" s="230"/>
    </row>
    <row r="1252">
      <c r="O1252" s="230"/>
      <c r="R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  <c r="AI1252" s="230"/>
    </row>
    <row r="1253">
      <c r="O1253" s="230"/>
      <c r="R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  <c r="AI1253" s="230"/>
    </row>
    <row r="1254">
      <c r="O1254" s="230"/>
      <c r="R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  <c r="AI1254" s="230"/>
    </row>
    <row r="1255">
      <c r="O1255" s="230"/>
      <c r="R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  <c r="AI1255" s="230"/>
    </row>
    <row r="1256">
      <c r="O1256" s="230"/>
      <c r="R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  <c r="AI1256" s="230"/>
    </row>
    <row r="1257">
      <c r="O1257" s="230"/>
      <c r="R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  <c r="AI1257" s="230"/>
    </row>
    <row r="1258">
      <c r="O1258" s="230"/>
      <c r="R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  <c r="AI1258" s="230"/>
    </row>
    <row r="1259">
      <c r="O1259" s="230"/>
      <c r="R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  <c r="AI1259" s="230"/>
    </row>
    <row r="1260">
      <c r="O1260" s="230"/>
      <c r="R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  <c r="AI1260" s="230"/>
    </row>
    <row r="1261">
      <c r="O1261" s="230"/>
      <c r="R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  <c r="AI1261" s="230"/>
    </row>
    <row r="1262">
      <c r="O1262" s="230"/>
      <c r="R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  <c r="AI1262" s="230"/>
    </row>
    <row r="1263">
      <c r="O1263" s="230"/>
      <c r="R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  <c r="AI1263" s="230"/>
    </row>
    <row r="1264">
      <c r="O1264" s="230"/>
      <c r="R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  <c r="AI1264" s="230"/>
    </row>
    <row r="1265">
      <c r="O1265" s="230"/>
      <c r="R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  <c r="AI1265" s="230"/>
    </row>
    <row r="1266">
      <c r="O1266" s="230"/>
      <c r="R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  <c r="AI1266" s="230"/>
    </row>
    <row r="1267">
      <c r="O1267" s="230"/>
      <c r="R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  <c r="AI1267" s="230"/>
    </row>
    <row r="1268">
      <c r="O1268" s="230"/>
      <c r="R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  <c r="AI1268" s="230"/>
    </row>
    <row r="1269">
      <c r="O1269" s="230"/>
      <c r="R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  <c r="AI1269" s="230"/>
    </row>
    <row r="1270">
      <c r="O1270" s="230"/>
      <c r="R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  <c r="AI1270" s="230"/>
    </row>
    <row r="1271">
      <c r="O1271" s="230"/>
      <c r="R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  <c r="AI1271" s="230"/>
    </row>
    <row r="1272">
      <c r="O1272" s="230"/>
      <c r="R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  <c r="AI1272" s="230"/>
    </row>
    <row r="1273">
      <c r="O1273" s="230"/>
      <c r="R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  <c r="AI1273" s="230"/>
    </row>
    <row r="1274">
      <c r="O1274" s="230"/>
      <c r="R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  <c r="AI1274" s="230"/>
    </row>
    <row r="1275">
      <c r="O1275" s="230"/>
      <c r="R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  <c r="AI1275" s="230"/>
    </row>
    <row r="1276">
      <c r="O1276" s="230"/>
      <c r="R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  <c r="AI1276" s="230"/>
    </row>
    <row r="1277">
      <c r="O1277" s="230"/>
      <c r="R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  <c r="AI1277" s="230"/>
    </row>
    <row r="1278">
      <c r="O1278" s="230"/>
      <c r="R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  <c r="AI1278" s="230"/>
    </row>
    <row r="1279">
      <c r="O1279" s="230"/>
      <c r="R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  <c r="AI1279" s="230"/>
    </row>
    <row r="1280">
      <c r="O1280" s="230"/>
      <c r="R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  <c r="AI1280" s="230"/>
    </row>
    <row r="1281">
      <c r="O1281" s="230"/>
      <c r="R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  <c r="AI1281" s="230"/>
    </row>
    <row r="1282">
      <c r="O1282" s="230"/>
      <c r="R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  <c r="AI1282" s="230"/>
    </row>
    <row r="1283">
      <c r="O1283" s="230"/>
      <c r="R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  <c r="AI1283" s="230"/>
    </row>
    <row r="1284">
      <c r="O1284" s="230"/>
      <c r="R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  <c r="AI1284" s="230"/>
    </row>
    <row r="1285">
      <c r="O1285" s="230"/>
      <c r="R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  <c r="AI1285" s="230"/>
    </row>
    <row r="1286">
      <c r="O1286" s="230"/>
      <c r="R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  <c r="AI1286" s="230"/>
    </row>
    <row r="1287">
      <c r="O1287" s="230"/>
      <c r="R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  <c r="AI1287" s="230"/>
    </row>
    <row r="1288">
      <c r="O1288" s="230"/>
      <c r="R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  <c r="AI1288" s="230"/>
    </row>
    <row r="1289">
      <c r="O1289" s="230"/>
      <c r="R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  <c r="AI1289" s="230"/>
    </row>
    <row r="1290">
      <c r="O1290" s="230"/>
      <c r="R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  <c r="AI1290" s="230"/>
    </row>
    <row r="1291">
      <c r="O1291" s="230"/>
      <c r="R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  <c r="AI1291" s="230"/>
    </row>
    <row r="1292">
      <c r="O1292" s="230"/>
      <c r="R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  <c r="AI1292" s="230"/>
    </row>
    <row r="1293">
      <c r="O1293" s="230"/>
      <c r="R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  <c r="AI1293" s="230"/>
    </row>
    <row r="1294">
      <c r="O1294" s="230"/>
      <c r="R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  <c r="AI1294" s="230"/>
    </row>
    <row r="1295">
      <c r="O1295" s="230"/>
      <c r="R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  <c r="AI1295" s="230"/>
    </row>
    <row r="1296">
      <c r="O1296" s="230"/>
      <c r="R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  <c r="AI1296" s="230"/>
    </row>
    <row r="1297">
      <c r="O1297" s="230"/>
      <c r="R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  <c r="AI1297" s="230"/>
    </row>
    <row r="1298">
      <c r="O1298" s="230"/>
      <c r="R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  <c r="AI1298" s="230"/>
    </row>
    <row r="1299">
      <c r="O1299" s="230"/>
      <c r="R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  <c r="AI1299" s="230"/>
    </row>
    <row r="1300">
      <c r="O1300" s="230"/>
      <c r="R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  <c r="AI1300" s="230"/>
    </row>
    <row r="1301">
      <c r="O1301" s="230"/>
      <c r="R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  <c r="AI1301" s="230"/>
    </row>
    <row r="1302">
      <c r="O1302" s="230"/>
      <c r="R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  <c r="AI1302" s="230"/>
    </row>
    <row r="1303">
      <c r="O1303" s="230"/>
      <c r="R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  <c r="AI1303" s="230"/>
    </row>
    <row r="1304">
      <c r="O1304" s="230"/>
      <c r="R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  <c r="AI1304" s="230"/>
    </row>
    <row r="1305">
      <c r="O1305" s="230"/>
      <c r="R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  <c r="AI1305" s="230"/>
    </row>
    <row r="1306">
      <c r="O1306" s="230"/>
      <c r="R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  <c r="AI1306" s="230"/>
    </row>
    <row r="1307">
      <c r="O1307" s="230"/>
      <c r="R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  <c r="AI1307" s="230"/>
    </row>
    <row r="1308">
      <c r="O1308" s="230"/>
      <c r="R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  <c r="AI1308" s="230"/>
    </row>
    <row r="1309">
      <c r="O1309" s="230"/>
      <c r="R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  <c r="AI1309" s="230"/>
    </row>
    <row r="1310">
      <c r="O1310" s="230"/>
      <c r="R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  <c r="AI1310" s="230"/>
    </row>
    <row r="1311">
      <c r="O1311" s="230"/>
      <c r="R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  <c r="AI1311" s="230"/>
    </row>
    <row r="1312">
      <c r="O1312" s="230"/>
      <c r="R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  <c r="AI1312" s="230"/>
    </row>
    <row r="1313">
      <c r="O1313" s="230"/>
      <c r="R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  <c r="AI1313" s="230"/>
    </row>
    <row r="1314">
      <c r="O1314" s="230"/>
      <c r="R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  <c r="AI1314" s="230"/>
    </row>
    <row r="1315">
      <c r="O1315" s="230"/>
      <c r="R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  <c r="AI1315" s="230"/>
    </row>
    <row r="1316">
      <c r="O1316" s="230"/>
      <c r="R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  <c r="AI1316" s="230"/>
    </row>
    <row r="1317">
      <c r="O1317" s="230"/>
      <c r="R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  <c r="AI1317" s="230"/>
    </row>
    <row r="1318">
      <c r="O1318" s="230"/>
      <c r="R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  <c r="AI1318" s="230"/>
    </row>
    <row r="1319">
      <c r="O1319" s="230"/>
      <c r="R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  <c r="AI1319" s="230"/>
    </row>
    <row r="1320">
      <c r="O1320" s="230"/>
      <c r="R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  <c r="AI1320" s="230"/>
    </row>
    <row r="1321">
      <c r="O1321" s="230"/>
      <c r="R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  <c r="AI1321" s="230"/>
    </row>
    <row r="1322">
      <c r="O1322" s="230"/>
      <c r="R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  <c r="AI1322" s="230"/>
    </row>
    <row r="1323">
      <c r="O1323" s="230"/>
      <c r="R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  <c r="AI1323" s="230"/>
    </row>
    <row r="1324">
      <c r="O1324" s="230"/>
      <c r="R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  <c r="AI1324" s="230"/>
    </row>
    <row r="1325">
      <c r="O1325" s="230"/>
      <c r="R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  <c r="AI1325" s="230"/>
    </row>
    <row r="1326">
      <c r="O1326" s="230"/>
      <c r="R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  <c r="AI1326" s="230"/>
    </row>
    <row r="1327">
      <c r="O1327" s="230"/>
      <c r="R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  <c r="AI1327" s="230"/>
    </row>
    <row r="1328">
      <c r="O1328" s="230"/>
      <c r="R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  <c r="AI1328" s="230"/>
    </row>
    <row r="1329">
      <c r="O1329" s="230"/>
      <c r="R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  <c r="AI1329" s="230"/>
    </row>
    <row r="1330">
      <c r="O1330" s="230"/>
      <c r="R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  <c r="AI1330" s="230"/>
    </row>
    <row r="1331">
      <c r="O1331" s="230"/>
      <c r="R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  <c r="AI1331" s="230"/>
    </row>
    <row r="1332">
      <c r="O1332" s="230"/>
      <c r="R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  <c r="AI1332" s="230"/>
    </row>
    <row r="1333">
      <c r="O1333" s="230"/>
      <c r="R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  <c r="AI1333" s="230"/>
    </row>
    <row r="1334">
      <c r="O1334" s="230"/>
      <c r="R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  <c r="AI1334" s="230"/>
    </row>
    <row r="1335">
      <c r="O1335" s="230"/>
      <c r="R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  <c r="AI1335" s="230"/>
    </row>
    <row r="1336">
      <c r="O1336" s="230"/>
      <c r="R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  <c r="AI1336" s="230"/>
    </row>
    <row r="1337">
      <c r="O1337" s="230"/>
      <c r="R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  <c r="AI1337" s="230"/>
    </row>
    <row r="1338">
      <c r="O1338" s="230"/>
      <c r="R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  <c r="AI1338" s="230"/>
    </row>
    <row r="1339">
      <c r="O1339" s="230"/>
      <c r="R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  <c r="AI1339" s="230"/>
    </row>
    <row r="1340">
      <c r="O1340" s="230"/>
      <c r="R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  <c r="AI1340" s="230"/>
    </row>
    <row r="1341">
      <c r="O1341" s="230"/>
      <c r="R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  <c r="AI1341" s="230"/>
    </row>
    <row r="1342">
      <c r="O1342" s="230"/>
      <c r="R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  <c r="AI1342" s="230"/>
    </row>
    <row r="1343">
      <c r="O1343" s="230"/>
      <c r="R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  <c r="AI1343" s="230"/>
    </row>
    <row r="1344">
      <c r="O1344" s="230"/>
      <c r="R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  <c r="AI1344" s="230"/>
    </row>
    <row r="1345">
      <c r="O1345" s="230"/>
      <c r="R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  <c r="AI1345" s="230"/>
    </row>
    <row r="1346">
      <c r="O1346" s="230"/>
      <c r="R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  <c r="AI1346" s="230"/>
    </row>
    <row r="1347">
      <c r="O1347" s="230"/>
      <c r="R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  <c r="AI1347" s="230"/>
    </row>
    <row r="1348">
      <c r="O1348" s="230"/>
      <c r="R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  <c r="AI1348" s="230"/>
    </row>
    <row r="1349">
      <c r="O1349" s="230"/>
      <c r="R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  <c r="AI1349" s="230"/>
    </row>
    <row r="1350">
      <c r="O1350" s="230"/>
      <c r="R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  <c r="AI1350" s="230"/>
    </row>
    <row r="1351">
      <c r="O1351" s="230"/>
      <c r="R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  <c r="AI1351" s="230"/>
    </row>
    <row r="1352">
      <c r="O1352" s="230"/>
      <c r="R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  <c r="AI1352" s="230"/>
    </row>
    <row r="1353">
      <c r="O1353" s="230"/>
      <c r="R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  <c r="AI1353" s="230"/>
    </row>
    <row r="1354">
      <c r="O1354" s="230"/>
      <c r="R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  <c r="AI1354" s="230"/>
    </row>
    <row r="1355">
      <c r="O1355" s="230"/>
      <c r="R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  <c r="AI1355" s="230"/>
    </row>
    <row r="1356">
      <c r="O1356" s="230"/>
      <c r="R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  <c r="AI1356" s="230"/>
    </row>
    <row r="1357">
      <c r="O1357" s="230"/>
      <c r="R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  <c r="AI1357" s="230"/>
    </row>
    <row r="1358">
      <c r="O1358" s="230"/>
      <c r="R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  <c r="AI1358" s="230"/>
    </row>
    <row r="1359">
      <c r="O1359" s="230"/>
      <c r="R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  <c r="AI1359" s="230"/>
    </row>
    <row r="1360">
      <c r="O1360" s="230"/>
      <c r="R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  <c r="AI1360" s="230"/>
    </row>
    <row r="1361">
      <c r="O1361" s="230"/>
      <c r="R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  <c r="AI1361" s="230"/>
    </row>
    <row r="1362">
      <c r="O1362" s="230"/>
      <c r="R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  <c r="AI1362" s="230"/>
    </row>
    <row r="1363">
      <c r="O1363" s="230"/>
      <c r="R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  <c r="AI1363" s="230"/>
    </row>
    <row r="1364">
      <c r="O1364" s="230"/>
      <c r="R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  <c r="AI1364" s="230"/>
    </row>
    <row r="1365">
      <c r="O1365" s="230"/>
      <c r="R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  <c r="AI1365" s="230"/>
    </row>
    <row r="1366">
      <c r="O1366" s="230"/>
      <c r="R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  <c r="AI1366" s="230"/>
    </row>
    <row r="1367">
      <c r="O1367" s="230"/>
      <c r="R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  <c r="AI1367" s="230"/>
    </row>
    <row r="1368">
      <c r="O1368" s="230"/>
      <c r="R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  <c r="AI1368" s="230"/>
    </row>
    <row r="1369">
      <c r="O1369" s="230"/>
      <c r="R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  <c r="AI1369" s="230"/>
    </row>
    <row r="1370">
      <c r="O1370" s="230"/>
      <c r="R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  <c r="AI1370" s="230"/>
    </row>
    <row r="1371">
      <c r="O1371" s="230"/>
      <c r="R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  <c r="AI1371" s="230"/>
    </row>
    <row r="1372">
      <c r="O1372" s="230"/>
      <c r="R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  <c r="AI1372" s="230"/>
    </row>
    <row r="1373">
      <c r="O1373" s="230"/>
      <c r="R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  <c r="AI1373" s="230"/>
    </row>
    <row r="1374">
      <c r="O1374" s="230"/>
      <c r="R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  <c r="AI1374" s="230"/>
    </row>
    <row r="1375">
      <c r="O1375" s="230"/>
      <c r="R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  <c r="AI1375" s="230"/>
    </row>
    <row r="1376">
      <c r="O1376" s="230"/>
      <c r="R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  <c r="AI1376" s="230"/>
    </row>
    <row r="1377">
      <c r="O1377" s="230"/>
      <c r="R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  <c r="AI1377" s="230"/>
    </row>
    <row r="1378">
      <c r="O1378" s="230"/>
      <c r="R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  <c r="AI1378" s="230"/>
    </row>
    <row r="1379">
      <c r="O1379" s="230"/>
      <c r="R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  <c r="AI1379" s="230"/>
    </row>
    <row r="1380">
      <c r="O1380" s="230"/>
      <c r="R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  <c r="AI1380" s="230"/>
    </row>
    <row r="1381">
      <c r="O1381" s="230"/>
      <c r="R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  <c r="AI1381" s="230"/>
    </row>
    <row r="1382">
      <c r="O1382" s="230"/>
      <c r="R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  <c r="AI1382" s="230"/>
    </row>
    <row r="1383">
      <c r="O1383" s="230"/>
      <c r="R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  <c r="AI1383" s="230"/>
    </row>
    <row r="1384">
      <c r="O1384" s="230"/>
      <c r="R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  <c r="AI1384" s="230"/>
    </row>
    <row r="1385">
      <c r="O1385" s="230"/>
      <c r="R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  <c r="AI1385" s="230"/>
    </row>
    <row r="1386">
      <c r="O1386" s="230"/>
      <c r="R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  <c r="AI1386" s="230"/>
    </row>
    <row r="1387">
      <c r="O1387" s="230"/>
      <c r="R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  <c r="AI1387" s="230"/>
    </row>
    <row r="1388">
      <c r="O1388" s="230"/>
      <c r="R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  <c r="AI1388" s="230"/>
    </row>
    <row r="1389">
      <c r="O1389" s="230"/>
      <c r="R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  <c r="AI1389" s="230"/>
    </row>
    <row r="1390">
      <c r="O1390" s="230"/>
      <c r="R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  <c r="AI1390" s="230"/>
    </row>
    <row r="1391">
      <c r="O1391" s="230"/>
      <c r="R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  <c r="AI1391" s="230"/>
    </row>
    <row r="1392">
      <c r="O1392" s="230"/>
      <c r="R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  <c r="AI1392" s="230"/>
    </row>
    <row r="1393">
      <c r="O1393" s="230"/>
      <c r="R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  <c r="AI1393" s="230"/>
    </row>
    <row r="1394">
      <c r="O1394" s="230"/>
      <c r="R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  <c r="AI1394" s="230"/>
    </row>
    <row r="1395">
      <c r="O1395" s="230"/>
      <c r="R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  <c r="AI1395" s="230"/>
    </row>
    <row r="1396">
      <c r="O1396" s="230"/>
      <c r="R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  <c r="AI1396" s="230"/>
    </row>
    <row r="1397">
      <c r="O1397" s="230"/>
      <c r="R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  <c r="AI1397" s="230"/>
    </row>
    <row r="1398">
      <c r="O1398" s="230"/>
      <c r="R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  <c r="AI1398" s="230"/>
    </row>
    <row r="1399">
      <c r="O1399" s="230"/>
      <c r="R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  <c r="AI1399" s="230"/>
    </row>
    <row r="1400">
      <c r="O1400" s="230"/>
      <c r="R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  <c r="AI1400" s="230"/>
    </row>
    <row r="1401">
      <c r="O1401" s="230"/>
      <c r="R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  <c r="AI1401" s="230"/>
    </row>
    <row r="1402">
      <c r="O1402" s="230"/>
      <c r="R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  <c r="AI1402" s="230"/>
    </row>
    <row r="1403">
      <c r="O1403" s="230"/>
      <c r="R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  <c r="AI1403" s="230"/>
    </row>
    <row r="1404">
      <c r="O1404" s="230"/>
      <c r="R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  <c r="AI1404" s="230"/>
    </row>
    <row r="1405">
      <c r="O1405" s="230"/>
      <c r="R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  <c r="AI1405" s="230"/>
    </row>
    <row r="1406">
      <c r="O1406" s="230"/>
      <c r="R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  <c r="AI1406" s="230"/>
    </row>
    <row r="1407">
      <c r="O1407" s="230"/>
      <c r="R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  <c r="AI1407" s="230"/>
    </row>
    <row r="1408">
      <c r="O1408" s="230"/>
      <c r="R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  <c r="AI1408" s="230"/>
    </row>
    <row r="1409">
      <c r="O1409" s="230"/>
      <c r="R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  <c r="AI1409" s="230"/>
    </row>
    <row r="1410">
      <c r="O1410" s="230"/>
      <c r="R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  <c r="AI1410" s="230"/>
    </row>
    <row r="1411">
      <c r="O1411" s="230"/>
      <c r="R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  <c r="AI1411" s="230"/>
    </row>
    <row r="1412">
      <c r="O1412" s="230"/>
      <c r="R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  <c r="AI1412" s="230"/>
    </row>
    <row r="1413">
      <c r="O1413" s="230"/>
      <c r="R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  <c r="AI1413" s="230"/>
    </row>
    <row r="1414">
      <c r="O1414" s="230"/>
      <c r="R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  <c r="AI1414" s="230"/>
    </row>
    <row r="1415">
      <c r="O1415" s="230"/>
      <c r="R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  <c r="AI1415" s="230"/>
    </row>
    <row r="1416">
      <c r="O1416" s="230"/>
      <c r="R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  <c r="AI1416" s="230"/>
    </row>
    <row r="1417">
      <c r="O1417" s="230"/>
      <c r="R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  <c r="AI1417" s="230"/>
    </row>
    <row r="1418">
      <c r="O1418" s="230"/>
      <c r="R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  <c r="AI1418" s="230"/>
    </row>
    <row r="1419">
      <c r="O1419" s="230"/>
      <c r="R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  <c r="AI1419" s="230"/>
    </row>
    <row r="1420">
      <c r="O1420" s="230"/>
      <c r="R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  <c r="AI1420" s="230"/>
    </row>
    <row r="1421">
      <c r="O1421" s="230"/>
      <c r="R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  <c r="AI1421" s="230"/>
    </row>
    <row r="1422">
      <c r="O1422" s="230"/>
      <c r="R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  <c r="AI1422" s="230"/>
    </row>
    <row r="1423">
      <c r="O1423" s="230"/>
      <c r="R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  <c r="AI1423" s="230"/>
    </row>
    <row r="1424">
      <c r="O1424" s="230"/>
      <c r="R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  <c r="AI1424" s="230"/>
    </row>
    <row r="1425">
      <c r="O1425" s="230"/>
      <c r="R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  <c r="AI1425" s="230"/>
    </row>
    <row r="1426">
      <c r="O1426" s="230"/>
      <c r="R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  <c r="AI1426" s="230"/>
    </row>
    <row r="1427">
      <c r="O1427" s="230"/>
      <c r="R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  <c r="AI1427" s="230"/>
    </row>
    <row r="1428">
      <c r="O1428" s="230"/>
      <c r="R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  <c r="AI1428" s="230"/>
    </row>
    <row r="1429">
      <c r="O1429" s="230"/>
      <c r="R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  <c r="AI1429" s="230"/>
    </row>
    <row r="1430">
      <c r="O1430" s="230"/>
      <c r="R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  <c r="AI1430" s="230"/>
    </row>
    <row r="1431">
      <c r="O1431" s="230"/>
      <c r="R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  <c r="AI1431" s="230"/>
    </row>
    <row r="1432">
      <c r="O1432" s="230"/>
      <c r="R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  <c r="AI1432" s="230"/>
    </row>
    <row r="1433">
      <c r="O1433" s="230"/>
      <c r="R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  <c r="AI1433" s="230"/>
    </row>
    <row r="1434">
      <c r="O1434" s="230"/>
      <c r="R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  <c r="AI1434" s="230"/>
    </row>
    <row r="1435">
      <c r="O1435" s="230"/>
      <c r="R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  <c r="AI1435" s="230"/>
    </row>
    <row r="1436">
      <c r="O1436" s="230"/>
      <c r="R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  <c r="AI1436" s="230"/>
    </row>
    <row r="1437">
      <c r="O1437" s="230"/>
      <c r="R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  <c r="AI1437" s="230"/>
    </row>
    <row r="1438">
      <c r="O1438" s="230"/>
      <c r="R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  <c r="AI1438" s="230"/>
    </row>
    <row r="1439">
      <c r="O1439" s="230"/>
      <c r="R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  <c r="AI1439" s="230"/>
    </row>
    <row r="1440">
      <c r="O1440" s="230"/>
      <c r="R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  <c r="AI1440" s="230"/>
    </row>
    <row r="1441">
      <c r="O1441" s="230"/>
      <c r="R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  <c r="AI1441" s="230"/>
    </row>
    <row r="1442">
      <c r="O1442" s="230"/>
      <c r="R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  <c r="AI1442" s="230"/>
    </row>
    <row r="1443">
      <c r="O1443" s="230"/>
      <c r="R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  <c r="AI1443" s="230"/>
    </row>
    <row r="1444">
      <c r="O1444" s="230"/>
      <c r="R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  <c r="AI1444" s="230"/>
    </row>
    <row r="1445">
      <c r="O1445" s="230"/>
      <c r="R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  <c r="AI1445" s="230"/>
    </row>
    <row r="1446">
      <c r="O1446" s="230"/>
      <c r="R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  <c r="AI1446" s="230"/>
    </row>
    <row r="1447">
      <c r="O1447" s="230"/>
      <c r="R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  <c r="AI1447" s="230"/>
    </row>
    <row r="1448">
      <c r="O1448" s="230"/>
      <c r="R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  <c r="AI1448" s="230"/>
    </row>
    <row r="1449">
      <c r="O1449" s="230"/>
      <c r="R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  <c r="AI1449" s="230"/>
    </row>
    <row r="1450">
      <c r="O1450" s="230"/>
      <c r="R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  <c r="AI1450" s="230"/>
    </row>
    <row r="1451">
      <c r="O1451" s="230"/>
      <c r="R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  <c r="AI1451" s="230"/>
    </row>
    <row r="1452">
      <c r="O1452" s="230"/>
      <c r="R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  <c r="AI1452" s="230"/>
    </row>
    <row r="1453">
      <c r="O1453" s="230"/>
      <c r="R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  <c r="AI1453" s="230"/>
    </row>
    <row r="1454">
      <c r="O1454" s="230"/>
      <c r="R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  <c r="AI1454" s="230"/>
    </row>
    <row r="1455">
      <c r="O1455" s="230"/>
      <c r="R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  <c r="AI1455" s="230"/>
    </row>
    <row r="1456">
      <c r="O1456" s="230"/>
      <c r="R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  <c r="AI1456" s="230"/>
    </row>
    <row r="1457">
      <c r="O1457" s="230"/>
      <c r="R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  <c r="AI1457" s="230"/>
    </row>
    <row r="1458">
      <c r="O1458" s="230"/>
      <c r="R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  <c r="AI1458" s="230"/>
    </row>
    <row r="1459">
      <c r="O1459" s="230"/>
      <c r="R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  <c r="AI1459" s="230"/>
    </row>
    <row r="1460">
      <c r="O1460" s="230"/>
      <c r="R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  <c r="AI1460" s="230"/>
    </row>
    <row r="1461">
      <c r="O1461" s="230"/>
      <c r="R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  <c r="AI1461" s="230"/>
    </row>
    <row r="1462">
      <c r="O1462" s="230"/>
      <c r="R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  <c r="AI1462" s="230"/>
    </row>
    <row r="1463">
      <c r="O1463" s="230"/>
      <c r="R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  <c r="AI1463" s="230"/>
    </row>
    <row r="1464">
      <c r="O1464" s="230"/>
      <c r="R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  <c r="AI1464" s="230"/>
    </row>
    <row r="1465">
      <c r="O1465" s="230"/>
      <c r="R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  <c r="AI1465" s="230"/>
    </row>
    <row r="1466">
      <c r="O1466" s="230"/>
      <c r="R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  <c r="AI1466" s="230"/>
    </row>
    <row r="1467">
      <c r="O1467" s="230"/>
      <c r="R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  <c r="AI1467" s="230"/>
    </row>
    <row r="1468">
      <c r="O1468" s="230"/>
      <c r="R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  <c r="AI1468" s="230"/>
    </row>
    <row r="1469">
      <c r="O1469" s="230"/>
      <c r="R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  <c r="AI1469" s="230"/>
    </row>
    <row r="1470">
      <c r="O1470" s="230"/>
      <c r="R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  <c r="AI1470" s="230"/>
    </row>
    <row r="1471">
      <c r="O1471" s="230"/>
      <c r="R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  <c r="AI1471" s="230"/>
    </row>
    <row r="1472">
      <c r="O1472" s="230"/>
      <c r="R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  <c r="AI1472" s="230"/>
    </row>
    <row r="1473">
      <c r="O1473" s="230"/>
      <c r="R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  <c r="AI1473" s="230"/>
    </row>
    <row r="1474">
      <c r="O1474" s="230"/>
      <c r="R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  <c r="AI1474" s="230"/>
    </row>
    <row r="1475">
      <c r="O1475" s="230"/>
      <c r="R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  <c r="AI1475" s="230"/>
    </row>
    <row r="1476">
      <c r="O1476" s="230"/>
      <c r="R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  <c r="AI1476" s="230"/>
    </row>
    <row r="1477">
      <c r="O1477" s="230"/>
      <c r="R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  <c r="AI1477" s="230"/>
    </row>
    <row r="1478">
      <c r="O1478" s="230"/>
      <c r="R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  <c r="AI1478" s="230"/>
    </row>
    <row r="1479">
      <c r="O1479" s="230"/>
      <c r="R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  <c r="AI1479" s="230"/>
    </row>
    <row r="1480">
      <c r="O1480" s="230"/>
      <c r="R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  <c r="AI1480" s="230"/>
    </row>
    <row r="1481">
      <c r="O1481" s="230"/>
      <c r="R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  <c r="AI1481" s="230"/>
    </row>
    <row r="1482">
      <c r="O1482" s="230"/>
      <c r="R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  <c r="AI1482" s="230"/>
    </row>
    <row r="1483">
      <c r="O1483" s="230"/>
      <c r="R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  <c r="AI1483" s="230"/>
    </row>
    <row r="1484">
      <c r="O1484" s="230"/>
      <c r="R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  <c r="AI1484" s="230"/>
    </row>
    <row r="1485">
      <c r="O1485" s="230"/>
      <c r="R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  <c r="AI1485" s="230"/>
    </row>
    <row r="1486">
      <c r="O1486" s="230"/>
      <c r="R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  <c r="AI1486" s="230"/>
    </row>
    <row r="1487">
      <c r="O1487" s="230"/>
      <c r="R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  <c r="AI1487" s="230"/>
    </row>
    <row r="1488">
      <c r="O1488" s="230"/>
      <c r="R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  <c r="AI1488" s="230"/>
    </row>
    <row r="1489">
      <c r="O1489" s="230"/>
      <c r="R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  <c r="AI1489" s="230"/>
    </row>
    <row r="1490">
      <c r="O1490" s="230"/>
      <c r="R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  <c r="AI1490" s="230"/>
    </row>
    <row r="1491">
      <c r="O1491" s="230"/>
      <c r="R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  <c r="AI1491" s="230"/>
    </row>
    <row r="1492">
      <c r="O1492" s="230"/>
      <c r="R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  <c r="AI1492" s="230"/>
    </row>
    <row r="1493">
      <c r="O1493" s="230"/>
      <c r="R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  <c r="AI1493" s="230"/>
    </row>
    <row r="1494">
      <c r="O1494" s="230"/>
      <c r="R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  <c r="AI1494" s="230"/>
    </row>
    <row r="1495">
      <c r="O1495" s="230"/>
      <c r="R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  <c r="AI1495" s="230"/>
    </row>
    <row r="1496">
      <c r="O1496" s="230"/>
      <c r="R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  <c r="AI1496" s="230"/>
    </row>
    <row r="1497">
      <c r="O1497" s="230"/>
      <c r="R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  <c r="AI1497" s="230"/>
    </row>
    <row r="1498">
      <c r="O1498" s="230"/>
      <c r="R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  <c r="AI1498" s="230"/>
    </row>
    <row r="1499">
      <c r="O1499" s="230"/>
      <c r="R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  <c r="AI1499" s="230"/>
    </row>
    <row r="1500">
      <c r="O1500" s="230"/>
      <c r="R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  <c r="AI1500" s="230"/>
    </row>
    <row r="1501">
      <c r="O1501" s="230"/>
      <c r="R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  <c r="AI1501" s="230"/>
    </row>
    <row r="1502">
      <c r="O1502" s="230"/>
      <c r="R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  <c r="AI1502" s="230"/>
    </row>
    <row r="1503">
      <c r="O1503" s="230"/>
      <c r="R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  <c r="AI1503" s="230"/>
    </row>
    <row r="1504">
      <c r="O1504" s="230"/>
      <c r="R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  <c r="AI1504" s="230"/>
    </row>
    <row r="1505">
      <c r="O1505" s="230"/>
      <c r="R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  <c r="AI1505" s="230"/>
    </row>
    <row r="1506">
      <c r="O1506" s="230"/>
      <c r="R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  <c r="AI1506" s="230"/>
    </row>
    <row r="1507">
      <c r="O1507" s="230"/>
      <c r="R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  <c r="AI1507" s="230"/>
    </row>
    <row r="1508">
      <c r="O1508" s="230"/>
      <c r="R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  <c r="AI1508" s="230"/>
    </row>
    <row r="1509">
      <c r="O1509" s="230"/>
      <c r="R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  <c r="AI1509" s="230"/>
    </row>
    <row r="1510">
      <c r="O1510" s="230"/>
      <c r="R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  <c r="AI1510" s="230"/>
    </row>
    <row r="1511">
      <c r="O1511" s="230"/>
      <c r="R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  <c r="AI1511" s="230"/>
    </row>
    <row r="1512">
      <c r="O1512" s="230"/>
      <c r="R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  <c r="AI1512" s="230"/>
    </row>
    <row r="1513">
      <c r="O1513" s="230"/>
      <c r="R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  <c r="AI1513" s="230"/>
    </row>
    <row r="1514">
      <c r="O1514" s="230"/>
      <c r="R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  <c r="AI1514" s="230"/>
    </row>
    <row r="1515">
      <c r="O1515" s="230"/>
      <c r="R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  <c r="AI1515" s="230"/>
    </row>
    <row r="1516">
      <c r="O1516" s="230"/>
      <c r="R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  <c r="AI1516" s="230"/>
    </row>
    <row r="1517">
      <c r="O1517" s="230"/>
      <c r="R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  <c r="AI1517" s="230"/>
    </row>
    <row r="1518">
      <c r="O1518" s="230"/>
      <c r="R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  <c r="AI1518" s="230"/>
    </row>
    <row r="1519">
      <c r="O1519" s="230"/>
      <c r="R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  <c r="AI1519" s="230"/>
    </row>
    <row r="1520">
      <c r="O1520" s="230"/>
      <c r="R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  <c r="AI1520" s="230"/>
    </row>
    <row r="1521">
      <c r="O1521" s="230"/>
      <c r="R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  <c r="AI1521" s="230"/>
    </row>
    <row r="1522">
      <c r="O1522" s="230"/>
      <c r="R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  <c r="AI1522" s="230"/>
    </row>
    <row r="1523">
      <c r="O1523" s="230"/>
      <c r="R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  <c r="AI1523" s="230"/>
    </row>
    <row r="1524">
      <c r="O1524" s="230"/>
      <c r="R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  <c r="AI1524" s="230"/>
    </row>
    <row r="1525">
      <c r="O1525" s="230"/>
      <c r="R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  <c r="AI1525" s="230"/>
    </row>
    <row r="1526">
      <c r="O1526" s="230"/>
      <c r="R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  <c r="AI1526" s="230"/>
    </row>
    <row r="1527">
      <c r="O1527" s="230"/>
      <c r="R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  <c r="AI1527" s="230"/>
    </row>
    <row r="1528">
      <c r="O1528" s="230"/>
      <c r="R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  <c r="AI1528" s="230"/>
    </row>
    <row r="1529">
      <c r="O1529" s="230"/>
      <c r="R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  <c r="AI1529" s="230"/>
    </row>
    <row r="1530">
      <c r="O1530" s="230"/>
      <c r="R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  <c r="AI1530" s="230"/>
    </row>
    <row r="1531">
      <c r="O1531" s="230"/>
      <c r="R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  <c r="AI1531" s="230"/>
    </row>
    <row r="1532">
      <c r="O1532" s="230"/>
      <c r="R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  <c r="AI1532" s="230"/>
    </row>
    <row r="1533">
      <c r="O1533" s="230"/>
      <c r="R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  <c r="AI1533" s="230"/>
    </row>
    <row r="1534">
      <c r="O1534" s="230"/>
      <c r="R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  <c r="AI1534" s="230"/>
    </row>
    <row r="1535">
      <c r="O1535" s="230"/>
      <c r="R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  <c r="AI1535" s="230"/>
    </row>
    <row r="1536">
      <c r="O1536" s="230"/>
      <c r="R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  <c r="AI1536" s="230"/>
    </row>
    <row r="1537">
      <c r="O1537" s="230"/>
      <c r="R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  <c r="AI1537" s="230"/>
    </row>
    <row r="1538">
      <c r="O1538" s="230"/>
      <c r="R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  <c r="AI1538" s="230"/>
    </row>
    <row r="1539">
      <c r="O1539" s="230"/>
      <c r="R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  <c r="AI1539" s="230"/>
    </row>
    <row r="1540">
      <c r="O1540" s="230"/>
      <c r="R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  <c r="AI1540" s="230"/>
    </row>
    <row r="1541">
      <c r="O1541" s="230"/>
      <c r="R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  <c r="AI1541" s="230"/>
    </row>
    <row r="1542">
      <c r="O1542" s="230"/>
      <c r="R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  <c r="AI1542" s="230"/>
    </row>
    <row r="1543">
      <c r="O1543" s="230"/>
      <c r="R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  <c r="AI1543" s="230"/>
    </row>
    <row r="1544">
      <c r="O1544" s="230"/>
      <c r="R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  <c r="AI1544" s="230"/>
    </row>
    <row r="1545">
      <c r="O1545" s="230"/>
      <c r="R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  <c r="AI1545" s="230"/>
    </row>
    <row r="1546">
      <c r="O1546" s="230"/>
      <c r="R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  <c r="AI1546" s="230"/>
    </row>
    <row r="1547">
      <c r="O1547" s="230"/>
      <c r="R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  <c r="AI1547" s="230"/>
    </row>
    <row r="1548">
      <c r="O1548" s="230"/>
      <c r="R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  <c r="AI1548" s="230"/>
    </row>
    <row r="1549">
      <c r="O1549" s="230"/>
      <c r="R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  <c r="AI1549" s="230"/>
    </row>
    <row r="1550">
      <c r="O1550" s="230"/>
      <c r="R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  <c r="AI1550" s="230"/>
    </row>
    <row r="1551">
      <c r="O1551" s="230"/>
      <c r="R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  <c r="AI1551" s="230"/>
    </row>
    <row r="1552">
      <c r="O1552" s="230"/>
      <c r="R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  <c r="AI1552" s="230"/>
    </row>
    <row r="1553">
      <c r="O1553" s="230"/>
      <c r="R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  <c r="AI1553" s="230"/>
    </row>
    <row r="1554">
      <c r="O1554" s="230"/>
      <c r="R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  <c r="AI1554" s="230"/>
    </row>
    <row r="1555">
      <c r="O1555" s="230"/>
      <c r="R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  <c r="AI1555" s="230"/>
    </row>
    <row r="1556">
      <c r="O1556" s="230"/>
      <c r="R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  <c r="AI1556" s="230"/>
    </row>
    <row r="1557">
      <c r="O1557" s="230"/>
      <c r="R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  <c r="AI1557" s="230"/>
    </row>
    <row r="1558">
      <c r="O1558" s="230"/>
      <c r="R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  <c r="AI1558" s="230"/>
    </row>
    <row r="1559">
      <c r="O1559" s="230"/>
      <c r="R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  <c r="AI1559" s="230"/>
    </row>
    <row r="1560">
      <c r="O1560" s="230"/>
      <c r="R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  <c r="AI1560" s="230"/>
    </row>
    <row r="1561">
      <c r="O1561" s="230"/>
      <c r="R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  <c r="AI1561" s="230"/>
    </row>
    <row r="1562">
      <c r="O1562" s="230"/>
      <c r="R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  <c r="AI1562" s="230"/>
    </row>
    <row r="1563">
      <c r="O1563" s="230"/>
      <c r="R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  <c r="AI1563" s="230"/>
    </row>
    <row r="1564">
      <c r="O1564" s="230"/>
      <c r="R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  <c r="AI1564" s="230"/>
    </row>
    <row r="1565">
      <c r="O1565" s="230"/>
      <c r="R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  <c r="AI1565" s="230"/>
    </row>
    <row r="1566">
      <c r="O1566" s="230"/>
      <c r="R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  <c r="AI1566" s="230"/>
    </row>
    <row r="1567">
      <c r="O1567" s="230"/>
      <c r="R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  <c r="AI1567" s="230"/>
    </row>
    <row r="1568">
      <c r="O1568" s="230"/>
      <c r="R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  <c r="AI1568" s="230"/>
    </row>
    <row r="1569">
      <c r="O1569" s="230"/>
      <c r="R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  <c r="AI1569" s="230"/>
    </row>
    <row r="1570">
      <c r="O1570" s="230"/>
      <c r="R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  <c r="AI1570" s="230"/>
    </row>
    <row r="1571">
      <c r="O1571" s="230"/>
      <c r="R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  <c r="AI1571" s="230"/>
    </row>
    <row r="1572">
      <c r="O1572" s="230"/>
      <c r="R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  <c r="AI1572" s="230"/>
    </row>
    <row r="1573">
      <c r="O1573" s="230"/>
      <c r="R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  <c r="AI1573" s="230"/>
    </row>
    <row r="1574">
      <c r="O1574" s="230"/>
      <c r="R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  <c r="AI1574" s="230"/>
    </row>
    <row r="1575">
      <c r="O1575" s="230"/>
      <c r="R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  <c r="AI1575" s="230"/>
    </row>
    <row r="1576">
      <c r="O1576" s="230"/>
      <c r="R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  <c r="AI1576" s="230"/>
    </row>
    <row r="1577">
      <c r="O1577" s="230"/>
      <c r="R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  <c r="AI1577" s="230"/>
    </row>
    <row r="1578">
      <c r="O1578" s="230"/>
      <c r="R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  <c r="AI1578" s="230"/>
    </row>
    <row r="1579">
      <c r="O1579" s="230"/>
      <c r="R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  <c r="AI1579" s="230"/>
    </row>
    <row r="1580">
      <c r="O1580" s="230"/>
      <c r="R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  <c r="AI1580" s="230"/>
    </row>
    <row r="1581">
      <c r="O1581" s="230"/>
      <c r="R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  <c r="AI1581" s="230"/>
    </row>
    <row r="1582">
      <c r="O1582" s="230"/>
      <c r="R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  <c r="AI1582" s="230"/>
    </row>
    <row r="1583">
      <c r="O1583" s="230"/>
      <c r="R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  <c r="AI1583" s="230"/>
    </row>
    <row r="1584">
      <c r="O1584" s="230"/>
      <c r="R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  <c r="AI1584" s="230"/>
    </row>
    <row r="1585">
      <c r="O1585" s="230"/>
      <c r="R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  <c r="AI1585" s="230"/>
    </row>
    <row r="1586">
      <c r="O1586" s="230"/>
      <c r="R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  <c r="AI1586" s="230"/>
    </row>
    <row r="1587">
      <c r="O1587" s="230"/>
      <c r="R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  <c r="AI1587" s="230"/>
    </row>
    <row r="1588">
      <c r="O1588" s="230"/>
      <c r="R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  <c r="AI1588" s="230"/>
    </row>
    <row r="1589">
      <c r="O1589" s="230"/>
      <c r="R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  <c r="AI1589" s="230"/>
    </row>
    <row r="1590">
      <c r="O1590" s="230"/>
      <c r="R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  <c r="AI1590" s="230"/>
    </row>
    <row r="1591">
      <c r="O1591" s="230"/>
      <c r="R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  <c r="AI1591" s="230"/>
    </row>
    <row r="1592">
      <c r="O1592" s="230"/>
      <c r="R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  <c r="AI1592" s="230"/>
    </row>
    <row r="1593">
      <c r="O1593" s="230"/>
      <c r="R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  <c r="AI1593" s="230"/>
    </row>
    <row r="1594">
      <c r="O1594" s="230"/>
      <c r="R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  <c r="AI1594" s="230"/>
    </row>
    <row r="1595">
      <c r="O1595" s="230"/>
      <c r="R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  <c r="AI1595" s="230"/>
    </row>
    <row r="1596">
      <c r="O1596" s="230"/>
      <c r="R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  <c r="AI1596" s="230"/>
    </row>
    <row r="1597">
      <c r="O1597" s="230"/>
      <c r="R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  <c r="AI1597" s="230"/>
    </row>
    <row r="1598">
      <c r="O1598" s="230"/>
      <c r="R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  <c r="AI1598" s="230"/>
    </row>
    <row r="1599">
      <c r="O1599" s="230"/>
      <c r="R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  <c r="AI1599" s="230"/>
    </row>
    <row r="1600">
      <c r="O1600" s="230"/>
      <c r="R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  <c r="AI1600" s="230"/>
    </row>
    <row r="1601">
      <c r="O1601" s="230"/>
      <c r="R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  <c r="AI1601" s="230"/>
    </row>
    <row r="1602">
      <c r="O1602" s="230"/>
      <c r="R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  <c r="AI1602" s="230"/>
    </row>
    <row r="1603">
      <c r="O1603" s="230"/>
      <c r="R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  <c r="AI1603" s="230"/>
    </row>
    <row r="1604">
      <c r="O1604" s="230"/>
      <c r="R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  <c r="AI1604" s="230"/>
    </row>
    <row r="1605">
      <c r="O1605" s="230"/>
      <c r="R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  <c r="AI1605" s="230"/>
    </row>
    <row r="1606">
      <c r="O1606" s="230"/>
      <c r="R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  <c r="AI1606" s="230"/>
    </row>
    <row r="1607">
      <c r="O1607" s="230"/>
      <c r="R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  <c r="AI1607" s="230"/>
    </row>
    <row r="1608">
      <c r="O1608" s="230"/>
      <c r="R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  <c r="AI1608" s="230"/>
    </row>
    <row r="1609">
      <c r="O1609" s="230"/>
      <c r="R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  <c r="AI1609" s="230"/>
    </row>
    <row r="1610">
      <c r="O1610" s="230"/>
      <c r="R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  <c r="AI1610" s="230"/>
    </row>
    <row r="1611">
      <c r="O1611" s="230"/>
      <c r="R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  <c r="AI1611" s="230"/>
    </row>
    <row r="1612">
      <c r="O1612" s="230"/>
      <c r="R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  <c r="AI1612" s="230"/>
    </row>
    <row r="1613">
      <c r="O1613" s="230"/>
      <c r="R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  <c r="AI1613" s="230"/>
    </row>
    <row r="1614">
      <c r="O1614" s="230"/>
      <c r="R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  <c r="AI1614" s="230"/>
    </row>
    <row r="1615">
      <c r="O1615" s="230"/>
      <c r="R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  <c r="AI1615" s="230"/>
    </row>
    <row r="1616">
      <c r="O1616" s="230"/>
      <c r="R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  <c r="AI1616" s="230"/>
    </row>
    <row r="1617">
      <c r="O1617" s="230"/>
      <c r="R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  <c r="AI1617" s="230"/>
    </row>
    <row r="1618">
      <c r="O1618" s="230"/>
      <c r="R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  <c r="AI1618" s="230"/>
    </row>
    <row r="1619">
      <c r="O1619" s="230"/>
      <c r="R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  <c r="AI1619" s="230"/>
    </row>
    <row r="1620">
      <c r="O1620" s="230"/>
      <c r="R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  <c r="AI1620" s="230"/>
    </row>
    <row r="1621">
      <c r="O1621" s="230"/>
      <c r="R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  <c r="AI1621" s="230"/>
    </row>
    <row r="1622">
      <c r="O1622" s="230"/>
      <c r="R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  <c r="AI1622" s="230"/>
    </row>
    <row r="1623">
      <c r="O1623" s="230"/>
      <c r="R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  <c r="AI1623" s="230"/>
    </row>
    <row r="1624">
      <c r="O1624" s="230"/>
      <c r="R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  <c r="AI1624" s="230"/>
    </row>
    <row r="1625">
      <c r="O1625" s="230"/>
      <c r="R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  <c r="AI1625" s="230"/>
    </row>
    <row r="1626">
      <c r="O1626" s="230"/>
      <c r="R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  <c r="AI1626" s="230"/>
    </row>
    <row r="1627">
      <c r="O1627" s="230"/>
      <c r="R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  <c r="AI1627" s="230"/>
    </row>
    <row r="1628">
      <c r="O1628" s="230"/>
      <c r="R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  <c r="AI1628" s="230"/>
    </row>
    <row r="1629">
      <c r="O1629" s="230"/>
      <c r="R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  <c r="AI1629" s="230"/>
    </row>
    <row r="1630">
      <c r="O1630" s="230"/>
      <c r="R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  <c r="AI1630" s="230"/>
    </row>
    <row r="1631">
      <c r="O1631" s="230"/>
      <c r="R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  <c r="AI1631" s="230"/>
    </row>
    <row r="1632">
      <c r="O1632" s="230"/>
      <c r="R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  <c r="AI1632" s="230"/>
    </row>
    <row r="1633">
      <c r="O1633" s="230"/>
      <c r="R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  <c r="AI1633" s="230"/>
    </row>
    <row r="1634">
      <c r="O1634" s="230"/>
      <c r="R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  <c r="AI1634" s="230"/>
    </row>
    <row r="1635">
      <c r="O1635" s="230"/>
      <c r="R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  <c r="AI1635" s="230"/>
    </row>
    <row r="1636">
      <c r="O1636" s="230"/>
      <c r="R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  <c r="AI1636" s="230"/>
    </row>
    <row r="1637">
      <c r="O1637" s="230"/>
      <c r="R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  <c r="AI1637" s="230"/>
    </row>
    <row r="1638">
      <c r="O1638" s="230"/>
      <c r="R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  <c r="AI1638" s="230"/>
    </row>
    <row r="1639">
      <c r="O1639" s="230"/>
      <c r="R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  <c r="AI1639" s="230"/>
    </row>
    <row r="1640">
      <c r="O1640" s="230"/>
      <c r="R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  <c r="AI1640" s="230"/>
    </row>
    <row r="1641">
      <c r="O1641" s="230"/>
      <c r="R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  <c r="AI1641" s="230"/>
    </row>
    <row r="1642">
      <c r="O1642" s="230"/>
      <c r="R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  <c r="AI1642" s="230"/>
    </row>
    <row r="1643">
      <c r="O1643" s="230"/>
      <c r="R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  <c r="AI1643" s="230"/>
    </row>
    <row r="1644">
      <c r="O1644" s="230"/>
      <c r="R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  <c r="AI1644" s="230"/>
    </row>
    <row r="1645">
      <c r="O1645" s="230"/>
      <c r="R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  <c r="AI1645" s="230"/>
    </row>
    <row r="1646">
      <c r="O1646" s="230"/>
      <c r="R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  <c r="AI1646" s="230"/>
    </row>
    <row r="1647">
      <c r="O1647" s="230"/>
      <c r="R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  <c r="AI1647" s="230"/>
    </row>
    <row r="1648">
      <c r="O1648" s="230"/>
      <c r="R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  <c r="AI1648" s="230"/>
    </row>
    <row r="1649">
      <c r="O1649" s="230"/>
      <c r="R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  <c r="AI1649" s="230"/>
    </row>
    <row r="1650">
      <c r="O1650" s="230"/>
      <c r="R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  <c r="AI1650" s="230"/>
    </row>
    <row r="1651">
      <c r="O1651" s="230"/>
      <c r="R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  <c r="AI1651" s="230"/>
    </row>
    <row r="1652">
      <c r="O1652" s="230"/>
      <c r="R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  <c r="AI1652" s="230"/>
    </row>
    <row r="1653">
      <c r="O1653" s="230"/>
      <c r="R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  <c r="AI1653" s="230"/>
    </row>
    <row r="1654">
      <c r="O1654" s="230"/>
      <c r="R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  <c r="AI1654" s="230"/>
    </row>
    <row r="1655">
      <c r="O1655" s="230"/>
      <c r="R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  <c r="AI1655" s="230"/>
    </row>
    <row r="1656">
      <c r="O1656" s="230"/>
      <c r="R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  <c r="AI1656" s="230"/>
    </row>
    <row r="1657">
      <c r="O1657" s="230"/>
      <c r="R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  <c r="AI1657" s="230"/>
    </row>
    <row r="1658">
      <c r="O1658" s="230"/>
      <c r="R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  <c r="AI1658" s="230"/>
    </row>
    <row r="1659">
      <c r="O1659" s="230"/>
      <c r="R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  <c r="AI1659" s="230"/>
    </row>
    <row r="1660">
      <c r="O1660" s="230"/>
      <c r="R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  <c r="AI1660" s="230"/>
    </row>
    <row r="1661">
      <c r="O1661" s="230"/>
      <c r="R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  <c r="AI1661" s="230"/>
    </row>
    <row r="1662">
      <c r="O1662" s="230"/>
      <c r="R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  <c r="AI1662" s="230"/>
    </row>
    <row r="1663">
      <c r="O1663" s="230"/>
      <c r="R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  <c r="AI1663" s="230"/>
    </row>
    <row r="1664">
      <c r="O1664" s="230"/>
      <c r="R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  <c r="AI1664" s="230"/>
    </row>
    <row r="1665">
      <c r="O1665" s="230"/>
      <c r="R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  <c r="AI1665" s="230"/>
    </row>
    <row r="1666">
      <c r="O1666" s="230"/>
      <c r="R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  <c r="AI1666" s="230"/>
    </row>
    <row r="1667">
      <c r="O1667" s="230"/>
      <c r="R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  <c r="AI1667" s="230"/>
    </row>
    <row r="1668">
      <c r="O1668" s="230"/>
      <c r="R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  <c r="AI1668" s="230"/>
    </row>
    <row r="1669">
      <c r="O1669" s="230"/>
      <c r="R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  <c r="AI1669" s="230"/>
    </row>
    <row r="1670">
      <c r="O1670" s="230"/>
      <c r="R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  <c r="AI1670" s="230"/>
    </row>
    <row r="1671">
      <c r="O1671" s="230"/>
      <c r="R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  <c r="AI1671" s="230"/>
    </row>
    <row r="1672">
      <c r="O1672" s="230"/>
      <c r="R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  <c r="AI1672" s="230"/>
    </row>
    <row r="1673">
      <c r="O1673" s="230"/>
      <c r="R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  <c r="AI1673" s="230"/>
    </row>
    <row r="1674">
      <c r="O1674" s="230"/>
      <c r="R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  <c r="AI1674" s="230"/>
    </row>
    <row r="1675">
      <c r="O1675" s="230"/>
      <c r="R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  <c r="AI1675" s="230"/>
    </row>
    <row r="1676">
      <c r="O1676" s="230"/>
      <c r="R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  <c r="AI1676" s="230"/>
    </row>
    <row r="1677">
      <c r="O1677" s="230"/>
      <c r="R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  <c r="AI1677" s="230"/>
    </row>
    <row r="1678">
      <c r="O1678" s="230"/>
      <c r="R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  <c r="AI1678" s="230"/>
    </row>
    <row r="1679">
      <c r="O1679" s="230"/>
      <c r="R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  <c r="AI1679" s="230"/>
    </row>
    <row r="1680">
      <c r="O1680" s="230"/>
      <c r="R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  <c r="AI1680" s="230"/>
    </row>
    <row r="1681">
      <c r="O1681" s="230"/>
      <c r="R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  <c r="AI1681" s="230"/>
    </row>
    <row r="1682">
      <c r="O1682" s="230"/>
      <c r="R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  <c r="AI1682" s="230"/>
    </row>
    <row r="1683">
      <c r="O1683" s="230"/>
      <c r="R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  <c r="AI1683" s="230"/>
    </row>
    <row r="1684">
      <c r="O1684" s="230"/>
      <c r="R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  <c r="AI1684" s="230"/>
    </row>
    <row r="1685">
      <c r="O1685" s="230"/>
      <c r="R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  <c r="AI1685" s="230"/>
    </row>
    <row r="1686">
      <c r="O1686" s="230"/>
      <c r="R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  <c r="AI1686" s="230"/>
    </row>
    <row r="1687">
      <c r="O1687" s="230"/>
      <c r="R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  <c r="AI1687" s="230"/>
    </row>
    <row r="1688">
      <c r="O1688" s="230"/>
      <c r="R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  <c r="AI1688" s="230"/>
    </row>
    <row r="1689">
      <c r="O1689" s="230"/>
      <c r="R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  <c r="AI1689" s="230"/>
    </row>
    <row r="1690">
      <c r="O1690" s="230"/>
      <c r="R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  <c r="AI1690" s="230"/>
    </row>
    <row r="1691">
      <c r="O1691" s="230"/>
      <c r="R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  <c r="AI1691" s="230"/>
    </row>
    <row r="1692">
      <c r="O1692" s="230"/>
      <c r="R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  <c r="AI1692" s="230"/>
    </row>
    <row r="1693">
      <c r="O1693" s="230"/>
      <c r="R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  <c r="AI1693" s="230"/>
    </row>
    <row r="1694">
      <c r="O1694" s="230"/>
      <c r="R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  <c r="AI1694" s="230"/>
    </row>
    <row r="1695">
      <c r="O1695" s="230"/>
      <c r="R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  <c r="AI1695" s="230"/>
    </row>
    <row r="1696">
      <c r="O1696" s="230"/>
      <c r="R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  <c r="AI1696" s="230"/>
    </row>
    <row r="1697">
      <c r="O1697" s="230"/>
      <c r="R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  <c r="AI1697" s="230"/>
    </row>
    <row r="1698">
      <c r="O1698" s="230"/>
      <c r="R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  <c r="AI1698" s="230"/>
    </row>
    <row r="1699">
      <c r="O1699" s="230"/>
      <c r="R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  <c r="AI1699" s="230"/>
    </row>
    <row r="1700">
      <c r="O1700" s="230"/>
      <c r="R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  <c r="AI1700" s="230"/>
    </row>
    <row r="1701">
      <c r="O1701" s="230"/>
      <c r="R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  <c r="AI1701" s="230"/>
    </row>
    <row r="1702">
      <c r="O1702" s="230"/>
      <c r="R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  <c r="AI1702" s="230"/>
    </row>
    <row r="1703">
      <c r="O1703" s="230"/>
      <c r="R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  <c r="AI1703" s="230"/>
    </row>
    <row r="1704">
      <c r="O1704" s="230"/>
      <c r="R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  <c r="AI1704" s="230"/>
    </row>
    <row r="1705">
      <c r="O1705" s="230"/>
      <c r="R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  <c r="AI1705" s="230"/>
    </row>
    <row r="1706">
      <c r="O1706" s="230"/>
      <c r="R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  <c r="AI1706" s="230"/>
    </row>
    <row r="1707">
      <c r="O1707" s="230"/>
      <c r="R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  <c r="AI1707" s="230"/>
    </row>
    <row r="1708">
      <c r="O1708" s="230"/>
      <c r="R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  <c r="AI1708" s="230"/>
    </row>
    <row r="1709">
      <c r="O1709" s="230"/>
      <c r="R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  <c r="AI1709" s="230"/>
    </row>
    <row r="1710">
      <c r="O1710" s="230"/>
      <c r="R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  <c r="AI1710" s="230"/>
    </row>
    <row r="1711">
      <c r="O1711" s="230"/>
      <c r="R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  <c r="AI1711" s="230"/>
    </row>
    <row r="1712">
      <c r="O1712" s="230"/>
      <c r="R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  <c r="AI1712" s="230"/>
    </row>
    <row r="1713">
      <c r="O1713" s="230"/>
      <c r="R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  <c r="AI1713" s="230"/>
    </row>
    <row r="1714">
      <c r="O1714" s="230"/>
      <c r="R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  <c r="AI1714" s="230"/>
    </row>
    <row r="1715">
      <c r="O1715" s="230"/>
      <c r="R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  <c r="AI1715" s="230"/>
    </row>
    <row r="1716">
      <c r="O1716" s="230"/>
      <c r="R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  <c r="AI1716" s="230"/>
    </row>
    <row r="1717">
      <c r="O1717" s="230"/>
      <c r="R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  <c r="AI1717" s="230"/>
    </row>
    <row r="1718">
      <c r="O1718" s="230"/>
      <c r="R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  <c r="AI1718" s="230"/>
    </row>
    <row r="1719">
      <c r="O1719" s="230"/>
      <c r="R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  <c r="AI1719" s="230"/>
    </row>
    <row r="1720">
      <c r="O1720" s="230"/>
      <c r="R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  <c r="AI1720" s="230"/>
    </row>
    <row r="1721">
      <c r="O1721" s="230"/>
      <c r="R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  <c r="AI1721" s="230"/>
    </row>
    <row r="1722">
      <c r="O1722" s="230"/>
      <c r="R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  <c r="AI1722" s="230"/>
    </row>
    <row r="1723">
      <c r="O1723" s="230"/>
      <c r="R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  <c r="AI1723" s="230"/>
    </row>
    <row r="1724">
      <c r="O1724" s="230"/>
      <c r="R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  <c r="AI1724" s="230"/>
    </row>
    <row r="1725">
      <c r="O1725" s="230"/>
      <c r="R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  <c r="AI1725" s="230"/>
    </row>
    <row r="1726">
      <c r="O1726" s="230"/>
      <c r="R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  <c r="AI1726" s="230"/>
    </row>
    <row r="1727">
      <c r="O1727" s="230"/>
      <c r="R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  <c r="AI1727" s="230"/>
    </row>
    <row r="1728">
      <c r="O1728" s="230"/>
      <c r="R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  <c r="AI1728" s="230"/>
    </row>
    <row r="1729">
      <c r="O1729" s="230"/>
      <c r="R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  <c r="AI1729" s="230"/>
    </row>
    <row r="1730">
      <c r="O1730" s="230"/>
      <c r="R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  <c r="AI1730" s="230"/>
    </row>
    <row r="1731">
      <c r="O1731" s="230"/>
      <c r="R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  <c r="AI1731" s="230"/>
    </row>
    <row r="1732">
      <c r="O1732" s="230"/>
      <c r="R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  <c r="AI1732" s="230"/>
    </row>
    <row r="1733">
      <c r="O1733" s="230"/>
      <c r="R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  <c r="AI1733" s="230"/>
    </row>
    <row r="1734">
      <c r="O1734" s="230"/>
      <c r="R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  <c r="AI1734" s="230"/>
    </row>
    <row r="1735">
      <c r="O1735" s="230"/>
      <c r="R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  <c r="AI1735" s="230"/>
    </row>
    <row r="1736">
      <c r="O1736" s="230"/>
      <c r="R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  <c r="AI1736" s="230"/>
    </row>
    <row r="1737">
      <c r="O1737" s="230"/>
      <c r="R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  <c r="AI1737" s="230"/>
    </row>
    <row r="1738">
      <c r="O1738" s="230"/>
      <c r="R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  <c r="AI1738" s="230"/>
    </row>
    <row r="1739">
      <c r="O1739" s="230"/>
      <c r="R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  <c r="AI1739" s="230"/>
    </row>
    <row r="1740">
      <c r="O1740" s="230"/>
      <c r="R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  <c r="AI1740" s="230"/>
    </row>
    <row r="1741">
      <c r="O1741" s="230"/>
      <c r="R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  <c r="AI1741" s="230"/>
    </row>
    <row r="1742">
      <c r="O1742" s="230"/>
      <c r="R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  <c r="AI1742" s="230"/>
    </row>
    <row r="1743">
      <c r="O1743" s="230"/>
      <c r="R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  <c r="AI1743" s="230"/>
    </row>
    <row r="1744">
      <c r="O1744" s="230"/>
      <c r="R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  <c r="AI1744" s="230"/>
    </row>
    <row r="1745">
      <c r="O1745" s="230"/>
      <c r="R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  <c r="AI1745" s="230"/>
    </row>
    <row r="1746">
      <c r="O1746" s="230"/>
      <c r="R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  <c r="AI1746" s="230"/>
    </row>
    <row r="1747">
      <c r="O1747" s="230"/>
      <c r="R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  <c r="AI1747" s="230"/>
    </row>
    <row r="1748">
      <c r="O1748" s="230"/>
      <c r="R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  <c r="AI1748" s="230"/>
    </row>
    <row r="1749">
      <c r="O1749" s="230"/>
      <c r="R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  <c r="AI1749" s="230"/>
    </row>
    <row r="1750">
      <c r="O1750" s="230"/>
      <c r="R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  <c r="AI1750" s="230"/>
    </row>
    <row r="1751">
      <c r="O1751" s="230"/>
      <c r="R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  <c r="AI1751" s="230"/>
    </row>
    <row r="1752">
      <c r="O1752" s="230"/>
      <c r="R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  <c r="AI1752" s="230"/>
    </row>
    <row r="1753">
      <c r="O1753" s="230"/>
      <c r="R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  <c r="AI1753" s="230"/>
    </row>
    <row r="1754">
      <c r="O1754" s="230"/>
      <c r="R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  <c r="AI1754" s="230"/>
    </row>
    <row r="1755">
      <c r="O1755" s="230"/>
      <c r="R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  <c r="AI1755" s="230"/>
    </row>
    <row r="1756">
      <c r="O1756" s="230"/>
      <c r="R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  <c r="AI1756" s="230"/>
    </row>
    <row r="1757">
      <c r="O1757" s="230"/>
      <c r="R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  <c r="AI1757" s="230"/>
    </row>
    <row r="1758">
      <c r="O1758" s="230"/>
      <c r="R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  <c r="AI1758" s="230"/>
    </row>
    <row r="1759">
      <c r="O1759" s="230"/>
      <c r="R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  <c r="AI1759" s="230"/>
    </row>
    <row r="1760">
      <c r="O1760" s="230"/>
      <c r="R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  <c r="AI1760" s="230"/>
    </row>
    <row r="1761">
      <c r="O1761" s="230"/>
      <c r="R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  <c r="AI1761" s="230"/>
    </row>
    <row r="1762">
      <c r="O1762" s="230"/>
      <c r="R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  <c r="AI1762" s="230"/>
    </row>
    <row r="1763">
      <c r="O1763" s="230"/>
      <c r="R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  <c r="AI1763" s="230"/>
    </row>
    <row r="1764">
      <c r="O1764" s="230"/>
      <c r="R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  <c r="AI1764" s="230"/>
    </row>
    <row r="1765">
      <c r="O1765" s="230"/>
      <c r="R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  <c r="AI1765" s="230"/>
    </row>
    <row r="1766">
      <c r="O1766" s="230"/>
      <c r="R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  <c r="AI1766" s="230"/>
    </row>
    <row r="1767">
      <c r="O1767" s="230"/>
      <c r="R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  <c r="AI1767" s="230"/>
    </row>
    <row r="1768">
      <c r="O1768" s="230"/>
      <c r="R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  <c r="AI1768" s="230"/>
    </row>
    <row r="1769">
      <c r="O1769" s="230"/>
      <c r="R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  <c r="AI1769" s="230"/>
    </row>
    <row r="1770">
      <c r="O1770" s="230"/>
      <c r="R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  <c r="AI1770" s="230"/>
    </row>
    <row r="1771">
      <c r="O1771" s="230"/>
      <c r="R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  <c r="AI1771" s="230"/>
    </row>
    <row r="1772">
      <c r="O1772" s="230"/>
      <c r="R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  <c r="AI1772" s="230"/>
    </row>
    <row r="1773">
      <c r="O1773" s="230"/>
      <c r="R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  <c r="AI1773" s="230"/>
    </row>
    <row r="1774">
      <c r="O1774" s="230"/>
      <c r="R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  <c r="AI1774" s="230"/>
    </row>
    <row r="1775">
      <c r="O1775" s="230"/>
      <c r="R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  <c r="AI1775" s="230"/>
    </row>
    <row r="1776">
      <c r="O1776" s="230"/>
      <c r="R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  <c r="AI1776" s="230"/>
    </row>
    <row r="1777">
      <c r="O1777" s="230"/>
      <c r="R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  <c r="AI1777" s="230"/>
    </row>
    <row r="1778">
      <c r="O1778" s="230"/>
      <c r="R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  <c r="AI1778" s="230"/>
    </row>
    <row r="1779">
      <c r="O1779" s="230"/>
      <c r="R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  <c r="AI1779" s="230"/>
    </row>
    <row r="1780">
      <c r="O1780" s="230"/>
      <c r="R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  <c r="AI1780" s="230"/>
    </row>
    <row r="1781">
      <c r="O1781" s="230"/>
      <c r="R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  <c r="AI1781" s="230"/>
    </row>
    <row r="1782">
      <c r="O1782" s="230"/>
      <c r="R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  <c r="AI1782" s="230"/>
    </row>
    <row r="1783">
      <c r="O1783" s="230"/>
      <c r="R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  <c r="AI1783" s="230"/>
    </row>
    <row r="1784">
      <c r="O1784" s="230"/>
      <c r="R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  <c r="AI1784" s="230"/>
    </row>
    <row r="1785">
      <c r="O1785" s="230"/>
      <c r="R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  <c r="AI1785" s="230"/>
    </row>
    <row r="1786">
      <c r="O1786" s="230"/>
      <c r="R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  <c r="AI1786" s="230"/>
    </row>
    <row r="1787">
      <c r="O1787" s="230"/>
      <c r="R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  <c r="AI1787" s="230"/>
    </row>
    <row r="1788">
      <c r="O1788" s="230"/>
      <c r="R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  <c r="AI1788" s="230"/>
    </row>
    <row r="1789">
      <c r="O1789" s="230"/>
      <c r="R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  <c r="AI1789" s="230"/>
    </row>
    <row r="1790">
      <c r="O1790" s="230"/>
      <c r="R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  <c r="AI1790" s="230"/>
    </row>
    <row r="1791">
      <c r="O1791" s="230"/>
      <c r="R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  <c r="AI1791" s="230"/>
    </row>
    <row r="1792">
      <c r="O1792" s="230"/>
      <c r="R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  <c r="AI1792" s="230"/>
    </row>
    <row r="1793">
      <c r="O1793" s="230"/>
      <c r="R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  <c r="AI1793" s="230"/>
    </row>
    <row r="1794">
      <c r="O1794" s="230"/>
      <c r="R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  <c r="AI1794" s="230"/>
    </row>
    <row r="1795">
      <c r="O1795" s="230"/>
      <c r="R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  <c r="AI1795" s="230"/>
    </row>
    <row r="1796">
      <c r="O1796" s="230"/>
      <c r="R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  <c r="AI1796" s="230"/>
    </row>
    <row r="1797">
      <c r="O1797" s="230"/>
      <c r="R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  <c r="AI1797" s="230"/>
    </row>
    <row r="1798">
      <c r="O1798" s="230"/>
      <c r="R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  <c r="AI1798" s="230"/>
    </row>
    <row r="1799">
      <c r="O1799" s="230"/>
      <c r="R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  <c r="AI1799" s="230"/>
    </row>
    <row r="1800">
      <c r="O1800" s="230"/>
      <c r="R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  <c r="AI1800" s="230"/>
    </row>
    <row r="1801">
      <c r="O1801" s="230"/>
      <c r="R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  <c r="AI1801" s="230"/>
    </row>
    <row r="1802">
      <c r="O1802" s="230"/>
      <c r="R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  <c r="AI1802" s="230"/>
    </row>
    <row r="1803">
      <c r="O1803" s="230"/>
      <c r="R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  <c r="AI1803" s="230"/>
    </row>
    <row r="1804">
      <c r="O1804" s="230"/>
      <c r="R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  <c r="AI1804" s="230"/>
    </row>
    <row r="1805">
      <c r="O1805" s="230"/>
      <c r="R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  <c r="AI1805" s="230"/>
    </row>
    <row r="1806">
      <c r="O1806" s="230"/>
      <c r="R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  <c r="AI1806" s="230"/>
    </row>
    <row r="1807">
      <c r="O1807" s="230"/>
      <c r="R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  <c r="AI1807" s="230"/>
    </row>
    <row r="1808">
      <c r="O1808" s="230"/>
      <c r="R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  <c r="AI1808" s="230"/>
    </row>
    <row r="1809">
      <c r="O1809" s="230"/>
      <c r="R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  <c r="AI1809" s="230"/>
    </row>
    <row r="1810">
      <c r="O1810" s="230"/>
      <c r="R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  <c r="AI1810" s="230"/>
    </row>
    <row r="1811">
      <c r="O1811" s="230"/>
      <c r="R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  <c r="AI1811" s="230"/>
    </row>
    <row r="1812">
      <c r="O1812" s="230"/>
      <c r="R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  <c r="AI1812" s="230"/>
    </row>
    <row r="1813">
      <c r="O1813" s="230"/>
      <c r="R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  <c r="AI1813" s="230"/>
    </row>
    <row r="1814">
      <c r="O1814" s="230"/>
      <c r="R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  <c r="AI1814" s="230"/>
    </row>
    <row r="1815">
      <c r="O1815" s="230"/>
      <c r="R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  <c r="AI1815" s="230"/>
    </row>
    <row r="1816">
      <c r="O1816" s="230"/>
      <c r="R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  <c r="AI1816" s="230"/>
    </row>
    <row r="1817">
      <c r="O1817" s="230"/>
      <c r="R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  <c r="AI1817" s="230"/>
    </row>
    <row r="1818">
      <c r="O1818" s="230"/>
      <c r="R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  <c r="AI1818" s="230"/>
    </row>
    <row r="1819">
      <c r="O1819" s="230"/>
      <c r="R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  <c r="AI1819" s="230"/>
    </row>
    <row r="1820">
      <c r="O1820" s="230"/>
      <c r="R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  <c r="AI1820" s="230"/>
    </row>
    <row r="1821">
      <c r="O1821" s="230"/>
      <c r="R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  <c r="AI1821" s="230"/>
    </row>
    <row r="1822">
      <c r="O1822" s="230"/>
      <c r="R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  <c r="AI1822" s="230"/>
    </row>
    <row r="1823">
      <c r="O1823" s="230"/>
      <c r="R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  <c r="AI1823" s="230"/>
    </row>
    <row r="1824">
      <c r="O1824" s="230"/>
      <c r="R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  <c r="AI1824" s="230"/>
    </row>
    <row r="1825">
      <c r="O1825" s="230"/>
      <c r="R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  <c r="AI1825" s="230"/>
    </row>
    <row r="1826">
      <c r="O1826" s="230"/>
      <c r="R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  <c r="AI1826" s="230"/>
    </row>
    <row r="1827">
      <c r="O1827" s="230"/>
      <c r="R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  <c r="AI1827" s="230"/>
    </row>
    <row r="1828">
      <c r="O1828" s="230"/>
      <c r="R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  <c r="AI1828" s="230"/>
    </row>
    <row r="1829">
      <c r="O1829" s="230"/>
      <c r="R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  <c r="AI1829" s="230"/>
    </row>
    <row r="1830">
      <c r="O1830" s="230"/>
      <c r="R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  <c r="AI1830" s="230"/>
    </row>
    <row r="1831">
      <c r="O1831" s="230"/>
      <c r="R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  <c r="AI1831" s="230"/>
    </row>
    <row r="1832">
      <c r="O1832" s="230"/>
      <c r="R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  <c r="AI1832" s="230"/>
    </row>
    <row r="1833">
      <c r="O1833" s="230"/>
      <c r="R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  <c r="AI1833" s="230"/>
    </row>
    <row r="1834">
      <c r="O1834" s="230"/>
      <c r="R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  <c r="AI1834" s="230"/>
    </row>
    <row r="1835">
      <c r="O1835" s="230"/>
      <c r="R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  <c r="AI1835" s="230"/>
    </row>
    <row r="1836">
      <c r="O1836" s="230"/>
      <c r="R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  <c r="AI1836" s="230"/>
    </row>
    <row r="1837">
      <c r="O1837" s="230"/>
      <c r="R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  <c r="AI1837" s="230"/>
    </row>
    <row r="1838">
      <c r="O1838" s="230"/>
      <c r="R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  <c r="AI1838" s="230"/>
    </row>
    <row r="1839">
      <c r="O1839" s="230"/>
      <c r="R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  <c r="AI1839" s="230"/>
    </row>
    <row r="1840">
      <c r="O1840" s="230"/>
      <c r="R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  <c r="AI1840" s="230"/>
    </row>
    <row r="1841">
      <c r="O1841" s="230"/>
      <c r="R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  <c r="AI1841" s="230"/>
    </row>
    <row r="1842">
      <c r="O1842" s="230"/>
      <c r="R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  <c r="AI1842" s="230"/>
    </row>
    <row r="1843">
      <c r="O1843" s="230"/>
      <c r="R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  <c r="AI1843" s="230"/>
    </row>
    <row r="1844">
      <c r="O1844" s="230"/>
      <c r="R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  <c r="AI1844" s="230"/>
    </row>
    <row r="1845">
      <c r="O1845" s="230"/>
      <c r="R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  <c r="AI1845" s="230"/>
    </row>
    <row r="1846">
      <c r="O1846" s="230"/>
      <c r="R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  <c r="AI1846" s="230"/>
    </row>
    <row r="1847">
      <c r="O1847" s="230"/>
      <c r="R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  <c r="AI1847" s="230"/>
    </row>
    <row r="1848">
      <c r="O1848" s="230"/>
      <c r="R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  <c r="AI1848" s="230"/>
    </row>
    <row r="1849">
      <c r="O1849" s="230"/>
      <c r="R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  <c r="AI1849" s="230"/>
    </row>
    <row r="1850">
      <c r="O1850" s="230"/>
      <c r="R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  <c r="AI1850" s="230"/>
    </row>
    <row r="1851">
      <c r="O1851" s="230"/>
      <c r="R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  <c r="AI1851" s="230"/>
    </row>
    <row r="1852">
      <c r="O1852" s="230"/>
      <c r="R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  <c r="AI1852" s="230"/>
    </row>
    <row r="1853">
      <c r="O1853" s="230"/>
      <c r="R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  <c r="AI1853" s="230"/>
    </row>
    <row r="1854">
      <c r="O1854" s="230"/>
      <c r="R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  <c r="AI1854" s="230"/>
    </row>
    <row r="1855">
      <c r="O1855" s="230"/>
      <c r="R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  <c r="AI1855" s="230"/>
    </row>
    <row r="1856">
      <c r="O1856" s="230"/>
      <c r="R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  <c r="AI1856" s="230"/>
    </row>
    <row r="1857">
      <c r="O1857" s="230"/>
      <c r="R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  <c r="AI1857" s="230"/>
    </row>
    <row r="1858">
      <c r="O1858" s="230"/>
      <c r="R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  <c r="AI1858" s="230"/>
    </row>
    <row r="1859">
      <c r="O1859" s="230"/>
      <c r="R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  <c r="AI1859" s="230"/>
    </row>
    <row r="1860">
      <c r="O1860" s="230"/>
      <c r="R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  <c r="AI1860" s="230"/>
    </row>
    <row r="1861">
      <c r="O1861" s="230"/>
      <c r="R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  <c r="AI1861" s="230"/>
    </row>
    <row r="1862">
      <c r="O1862" s="230"/>
      <c r="R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  <c r="AI1862" s="230"/>
    </row>
    <row r="1863">
      <c r="O1863" s="230"/>
      <c r="R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  <c r="AI1863" s="230"/>
    </row>
    <row r="1864">
      <c r="O1864" s="230"/>
      <c r="R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  <c r="AI1864" s="230"/>
    </row>
    <row r="1865">
      <c r="O1865" s="230"/>
      <c r="R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  <c r="AI1865" s="230"/>
    </row>
    <row r="1866">
      <c r="O1866" s="230"/>
      <c r="R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  <c r="AI1866" s="230"/>
    </row>
    <row r="1867">
      <c r="O1867" s="230"/>
      <c r="R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  <c r="AI1867" s="230"/>
    </row>
    <row r="1868">
      <c r="O1868" s="230"/>
      <c r="R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  <c r="AI1868" s="230"/>
    </row>
    <row r="1869">
      <c r="O1869" s="230"/>
      <c r="R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  <c r="AI1869" s="230"/>
    </row>
    <row r="1870">
      <c r="O1870" s="230"/>
      <c r="R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  <c r="AI1870" s="230"/>
    </row>
    <row r="1871">
      <c r="O1871" s="230"/>
      <c r="R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  <c r="AI1871" s="230"/>
    </row>
    <row r="1872">
      <c r="O1872" s="230"/>
      <c r="R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  <c r="AI1872" s="230"/>
    </row>
    <row r="1873">
      <c r="O1873" s="230"/>
      <c r="R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  <c r="AI1873" s="230"/>
    </row>
    <row r="1874">
      <c r="O1874" s="230"/>
      <c r="R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  <c r="AI1874" s="230"/>
    </row>
    <row r="1875">
      <c r="O1875" s="230"/>
      <c r="R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  <c r="AI1875" s="230"/>
    </row>
    <row r="1876">
      <c r="O1876" s="230"/>
      <c r="R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  <c r="AI1876" s="230"/>
    </row>
    <row r="1877">
      <c r="O1877" s="230"/>
      <c r="R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  <c r="AI1877" s="230"/>
    </row>
    <row r="1878">
      <c r="O1878" s="230"/>
      <c r="R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  <c r="AI1878" s="230"/>
    </row>
    <row r="1879">
      <c r="O1879" s="230"/>
      <c r="R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  <c r="AI1879" s="230"/>
    </row>
    <row r="1880">
      <c r="O1880" s="230"/>
      <c r="R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  <c r="AI1880" s="230"/>
    </row>
    <row r="1881">
      <c r="O1881" s="230"/>
      <c r="R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  <c r="AI1881" s="230"/>
    </row>
    <row r="1882">
      <c r="O1882" s="230"/>
      <c r="R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  <c r="AI1882" s="230"/>
    </row>
    <row r="1883">
      <c r="O1883" s="230"/>
      <c r="R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  <c r="AI1883" s="230"/>
    </row>
    <row r="1884">
      <c r="O1884" s="230"/>
      <c r="R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  <c r="AI1884" s="230"/>
    </row>
    <row r="1885">
      <c r="O1885" s="230"/>
      <c r="R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  <c r="AI1885" s="230"/>
    </row>
    <row r="1886">
      <c r="O1886" s="230"/>
      <c r="R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  <c r="AI1886" s="230"/>
    </row>
    <row r="1887">
      <c r="O1887" s="230"/>
      <c r="R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  <c r="AI1887" s="230"/>
    </row>
    <row r="1888">
      <c r="O1888" s="230"/>
      <c r="R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  <c r="AI1888" s="230"/>
    </row>
    <row r="1889">
      <c r="O1889" s="230"/>
      <c r="R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  <c r="AI1889" s="230"/>
    </row>
    <row r="1890">
      <c r="O1890" s="230"/>
      <c r="R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  <c r="AI1890" s="230"/>
    </row>
    <row r="1891">
      <c r="O1891" s="230"/>
      <c r="R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  <c r="AI1891" s="230"/>
    </row>
    <row r="1892">
      <c r="O1892" s="230"/>
      <c r="R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  <c r="AI1892" s="230"/>
    </row>
    <row r="1893">
      <c r="O1893" s="230"/>
      <c r="R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  <c r="AI1893" s="230"/>
    </row>
    <row r="1894">
      <c r="O1894" s="230"/>
      <c r="R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  <c r="AI1894" s="230"/>
    </row>
    <row r="1895">
      <c r="O1895" s="230"/>
      <c r="R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  <c r="AI1895" s="230"/>
    </row>
    <row r="1896">
      <c r="O1896" s="230"/>
      <c r="R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  <c r="AI1896" s="230"/>
    </row>
    <row r="1897">
      <c r="O1897" s="230"/>
      <c r="R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  <c r="AI1897" s="230"/>
    </row>
    <row r="1898">
      <c r="O1898" s="230"/>
      <c r="R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  <c r="AI1898" s="230"/>
    </row>
    <row r="1899">
      <c r="O1899" s="230"/>
      <c r="R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  <c r="AI1899" s="230"/>
    </row>
    <row r="1900">
      <c r="O1900" s="230"/>
      <c r="R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  <c r="AI1900" s="230"/>
    </row>
    <row r="1901">
      <c r="O1901" s="230"/>
      <c r="R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  <c r="AI1901" s="230"/>
    </row>
    <row r="1902">
      <c r="O1902" s="230"/>
      <c r="R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  <c r="AI1902" s="230"/>
    </row>
    <row r="1903">
      <c r="O1903" s="230"/>
      <c r="R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  <c r="AI1903" s="230"/>
    </row>
    <row r="1904">
      <c r="O1904" s="230"/>
      <c r="R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  <c r="AI1904" s="230"/>
    </row>
    <row r="1905">
      <c r="O1905" s="230"/>
      <c r="R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  <c r="AI1905" s="230"/>
    </row>
    <row r="1906">
      <c r="O1906" s="230"/>
      <c r="R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  <c r="AI1906" s="230"/>
    </row>
    <row r="1907">
      <c r="O1907" s="230"/>
      <c r="R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  <c r="AI1907" s="230"/>
    </row>
    <row r="1908">
      <c r="O1908" s="230"/>
      <c r="R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  <c r="AI1908" s="230"/>
    </row>
    <row r="1909">
      <c r="O1909" s="230"/>
      <c r="R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  <c r="AI1909" s="230"/>
    </row>
    <row r="1910">
      <c r="O1910" s="230"/>
      <c r="R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  <c r="AI1910" s="230"/>
    </row>
    <row r="1911">
      <c r="O1911" s="230"/>
      <c r="R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  <c r="AI1911" s="230"/>
    </row>
    <row r="1912">
      <c r="O1912" s="230"/>
      <c r="R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  <c r="AI1912" s="230"/>
    </row>
    <row r="1913">
      <c r="O1913" s="230"/>
      <c r="R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  <c r="AI1913" s="230"/>
    </row>
    <row r="1914">
      <c r="O1914" s="230"/>
      <c r="R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  <c r="AI1914" s="230"/>
    </row>
    <row r="1915">
      <c r="O1915" s="230"/>
      <c r="R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  <c r="AI1915" s="230"/>
    </row>
    <row r="1916">
      <c r="O1916" s="230"/>
      <c r="R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  <c r="AI1916" s="230"/>
    </row>
    <row r="1917">
      <c r="O1917" s="230"/>
      <c r="R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  <c r="AI1917" s="230"/>
    </row>
    <row r="1918">
      <c r="O1918" s="230"/>
      <c r="R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  <c r="AI1918" s="230"/>
    </row>
    <row r="1919">
      <c r="O1919" s="230"/>
      <c r="R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  <c r="AI1919" s="230"/>
    </row>
    <row r="1920">
      <c r="O1920" s="230"/>
      <c r="R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  <c r="AI1920" s="230"/>
    </row>
    <row r="1921">
      <c r="O1921" s="230"/>
      <c r="R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  <c r="AI1921" s="230"/>
    </row>
    <row r="1922">
      <c r="O1922" s="230"/>
      <c r="R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  <c r="AI1922" s="230"/>
    </row>
    <row r="1923">
      <c r="O1923" s="230"/>
      <c r="R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  <c r="AI1923" s="230"/>
    </row>
    <row r="1924">
      <c r="O1924" s="230"/>
      <c r="R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  <c r="AI1924" s="230"/>
    </row>
    <row r="1925">
      <c r="O1925" s="230"/>
      <c r="R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  <c r="AI1925" s="230"/>
    </row>
    <row r="1926">
      <c r="O1926" s="230"/>
      <c r="R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  <c r="AI1926" s="230"/>
    </row>
    <row r="1927">
      <c r="O1927" s="230"/>
      <c r="R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  <c r="AI1927" s="230"/>
    </row>
    <row r="1928">
      <c r="O1928" s="230"/>
      <c r="R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  <c r="AI1928" s="230"/>
    </row>
    <row r="1929">
      <c r="O1929" s="230"/>
      <c r="R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  <c r="AI1929" s="230"/>
    </row>
    <row r="1930">
      <c r="O1930" s="230"/>
      <c r="R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  <c r="AI1930" s="230"/>
    </row>
    <row r="1931">
      <c r="O1931" s="230"/>
      <c r="R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  <c r="AI1931" s="230"/>
    </row>
    <row r="1932">
      <c r="O1932" s="230"/>
      <c r="R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  <c r="AI1932" s="230"/>
    </row>
    <row r="1933">
      <c r="O1933" s="230"/>
      <c r="R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  <c r="AI1933" s="230"/>
    </row>
    <row r="1934">
      <c r="O1934" s="230"/>
      <c r="R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  <c r="AI1934" s="230"/>
    </row>
    <row r="1935">
      <c r="O1935" s="230"/>
      <c r="R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  <c r="AI1935" s="230"/>
    </row>
    <row r="1936">
      <c r="O1936" s="230"/>
      <c r="R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  <c r="AI1936" s="230"/>
    </row>
    <row r="1937">
      <c r="O1937" s="230"/>
      <c r="R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  <c r="AI1937" s="230"/>
    </row>
    <row r="1938">
      <c r="O1938" s="230"/>
      <c r="R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  <c r="AI1938" s="230"/>
    </row>
    <row r="1939">
      <c r="O1939" s="230"/>
      <c r="R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  <c r="AI1939" s="230"/>
    </row>
    <row r="1940">
      <c r="O1940" s="230"/>
      <c r="R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  <c r="AI1940" s="230"/>
    </row>
    <row r="1941">
      <c r="O1941" s="230"/>
      <c r="R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  <c r="AI1941" s="230"/>
    </row>
    <row r="1942">
      <c r="O1942" s="230"/>
      <c r="R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  <c r="AI1942" s="230"/>
    </row>
    <row r="1943">
      <c r="O1943" s="230"/>
      <c r="R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  <c r="AI1943" s="230"/>
    </row>
    <row r="1944">
      <c r="O1944" s="230"/>
      <c r="R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  <c r="AI1944" s="230"/>
    </row>
    <row r="1945">
      <c r="O1945" s="230"/>
      <c r="R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  <c r="AI1945" s="230"/>
    </row>
    <row r="1946">
      <c r="O1946" s="230"/>
      <c r="R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  <c r="AI1946" s="230"/>
    </row>
    <row r="1947">
      <c r="O1947" s="230"/>
      <c r="R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  <c r="AI1947" s="230"/>
    </row>
    <row r="1948">
      <c r="O1948" s="230"/>
      <c r="R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  <c r="AI1948" s="230"/>
    </row>
    <row r="1949">
      <c r="O1949" s="230"/>
      <c r="R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  <c r="AI1949" s="230"/>
    </row>
    <row r="1950">
      <c r="O1950" s="230"/>
      <c r="R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  <c r="AI1950" s="230"/>
    </row>
    <row r="1951">
      <c r="O1951" s="230"/>
      <c r="R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  <c r="AI1951" s="230"/>
    </row>
    <row r="1952">
      <c r="O1952" s="230"/>
      <c r="R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  <c r="AI1952" s="230"/>
    </row>
    <row r="1953">
      <c r="O1953" s="230"/>
      <c r="R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  <c r="AI1953" s="230"/>
    </row>
    <row r="1954">
      <c r="O1954" s="230"/>
      <c r="R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  <c r="AI1954" s="230"/>
    </row>
    <row r="1955">
      <c r="O1955" s="230"/>
      <c r="R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  <c r="AI1955" s="230"/>
    </row>
    <row r="1956">
      <c r="O1956" s="230"/>
      <c r="R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  <c r="AI1956" s="230"/>
    </row>
    <row r="1957">
      <c r="O1957" s="230"/>
      <c r="R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  <c r="AI1957" s="230"/>
    </row>
    <row r="1958">
      <c r="O1958" s="230"/>
      <c r="R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  <c r="AI1958" s="230"/>
    </row>
    <row r="1959">
      <c r="O1959" s="230"/>
      <c r="R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  <c r="AI1959" s="230"/>
    </row>
    <row r="1960">
      <c r="O1960" s="230"/>
      <c r="R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  <c r="AI1960" s="230"/>
    </row>
    <row r="1961">
      <c r="O1961" s="230"/>
      <c r="R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  <c r="AI1961" s="230"/>
    </row>
    <row r="1962">
      <c r="O1962" s="230"/>
      <c r="R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  <c r="AI1962" s="230"/>
    </row>
    <row r="1963">
      <c r="O1963" s="230"/>
      <c r="R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  <c r="AI1963" s="230"/>
    </row>
    <row r="1964">
      <c r="O1964" s="230"/>
      <c r="R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  <c r="AI1964" s="230"/>
    </row>
    <row r="1965">
      <c r="O1965" s="230"/>
      <c r="R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  <c r="AI1965" s="230"/>
    </row>
    <row r="1966">
      <c r="O1966" s="230"/>
      <c r="R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  <c r="AI1966" s="230"/>
    </row>
    <row r="1967">
      <c r="O1967" s="230"/>
      <c r="R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  <c r="AI1967" s="230"/>
    </row>
    <row r="1968">
      <c r="O1968" s="230"/>
      <c r="R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  <c r="AI1968" s="230"/>
    </row>
    <row r="1969">
      <c r="O1969" s="230"/>
      <c r="R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  <c r="AI1969" s="230"/>
    </row>
    <row r="1970">
      <c r="O1970" s="230"/>
      <c r="R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  <c r="AI1970" s="230"/>
    </row>
    <row r="1971">
      <c r="O1971" s="230"/>
      <c r="R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  <c r="AI1971" s="230"/>
    </row>
    <row r="1972">
      <c r="O1972" s="230"/>
      <c r="R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  <c r="AI1972" s="230"/>
    </row>
    <row r="1973">
      <c r="O1973" s="230"/>
      <c r="R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  <c r="AI1973" s="230"/>
    </row>
    <row r="1974">
      <c r="O1974" s="230"/>
      <c r="R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  <c r="AI1974" s="230"/>
    </row>
    <row r="1975">
      <c r="O1975" s="230"/>
      <c r="R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  <c r="AI1975" s="230"/>
    </row>
    <row r="1976">
      <c r="O1976" s="230"/>
      <c r="R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  <c r="AI1976" s="230"/>
    </row>
    <row r="1977">
      <c r="O1977" s="230"/>
      <c r="R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  <c r="AI1977" s="230"/>
    </row>
    <row r="1978">
      <c r="O1978" s="230"/>
      <c r="R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  <c r="AI1978" s="230"/>
    </row>
    <row r="1979">
      <c r="O1979" s="230"/>
      <c r="R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  <c r="AI1979" s="230"/>
    </row>
    <row r="1980">
      <c r="O1980" s="230"/>
      <c r="R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  <c r="AI1980" s="230"/>
    </row>
    <row r="1981">
      <c r="O1981" s="230"/>
      <c r="R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  <c r="AI1981" s="230"/>
    </row>
    <row r="1982">
      <c r="O1982" s="230"/>
      <c r="R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  <c r="AI1982" s="230"/>
    </row>
    <row r="1983">
      <c r="O1983" s="230"/>
      <c r="R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  <c r="AI1983" s="230"/>
    </row>
    <row r="1984">
      <c r="O1984" s="230"/>
      <c r="R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  <c r="AI1984" s="230"/>
    </row>
    <row r="1985">
      <c r="O1985" s="230"/>
      <c r="R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  <c r="AI1985" s="230"/>
    </row>
    <row r="1986">
      <c r="O1986" s="230"/>
      <c r="R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  <c r="AI1986" s="230"/>
    </row>
    <row r="1987">
      <c r="O1987" s="230"/>
      <c r="R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  <c r="AI1987" s="230"/>
    </row>
    <row r="1988">
      <c r="O1988" s="230"/>
      <c r="R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  <c r="AI1988" s="230"/>
    </row>
    <row r="1989">
      <c r="O1989" s="230"/>
      <c r="R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  <c r="AI1989" s="230"/>
    </row>
    <row r="1990">
      <c r="O1990" s="230"/>
      <c r="R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  <c r="AI1990" s="230"/>
    </row>
    <row r="1991">
      <c r="O1991" s="230"/>
      <c r="R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  <c r="AI1991" s="230"/>
    </row>
    <row r="1992">
      <c r="O1992" s="230"/>
      <c r="R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  <c r="AI1992" s="230"/>
    </row>
    <row r="1993">
      <c r="O1993" s="230"/>
      <c r="R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  <c r="AI1993" s="230"/>
    </row>
    <row r="1994">
      <c r="O1994" s="230"/>
      <c r="R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  <c r="AI1994" s="230"/>
    </row>
    <row r="1995">
      <c r="O1995" s="230"/>
      <c r="R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  <c r="AI1995" s="230"/>
    </row>
    <row r="1996">
      <c r="O1996" s="230"/>
      <c r="R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  <c r="AI1996" s="230"/>
    </row>
    <row r="1997">
      <c r="O1997" s="230"/>
      <c r="R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  <c r="AI1997" s="230"/>
    </row>
    <row r="1998">
      <c r="O1998" s="230"/>
      <c r="R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  <c r="AI1998" s="230"/>
    </row>
    <row r="1999">
      <c r="O1999" s="230"/>
      <c r="R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  <c r="AI1999" s="230"/>
    </row>
    <row r="2000">
      <c r="O2000" s="230"/>
      <c r="R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  <c r="AI2000" s="230"/>
    </row>
    <row r="2001">
      <c r="O2001" s="230"/>
      <c r="R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  <c r="AI2001" s="230"/>
    </row>
    <row r="2002">
      <c r="O2002" s="230"/>
      <c r="R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  <c r="AI2002" s="230"/>
    </row>
    <row r="2003">
      <c r="O2003" s="230"/>
      <c r="R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  <c r="AI2003" s="230"/>
    </row>
    <row r="2004">
      <c r="O2004" s="230"/>
      <c r="R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  <c r="AI2004" s="230"/>
    </row>
  </sheetData>
  <autoFilter ref="$A$1:$BM$2004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  <col customWidth="1" min="9" max="9" width="17.13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130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21.0</v>
      </c>
      <c r="C3" s="219">
        <v>444.5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2.0</v>
      </c>
      <c r="D6" s="212"/>
      <c r="E6" s="212"/>
      <c r="F6" s="221" t="s">
        <v>2577</v>
      </c>
    </row>
    <row r="7" ht="22.5" customHeight="1">
      <c r="A7" s="218" t="s">
        <v>255</v>
      </c>
      <c r="B7" s="216">
        <f>SUM('Sprint 21'!O:O)</f>
        <v>448</v>
      </c>
      <c r="C7" s="212">
        <f>ROUND(SUM('Sprint 21'!S:S)/3600,2)</f>
        <v>398</v>
      </c>
      <c r="D7" s="216">
        <f>SUMIF('Sprint 21'!J:J, "Done", 'Sprint 21'!O:O)</f>
        <v>195</v>
      </c>
      <c r="E7" s="212">
        <f>ROUND(SUMIF('Sprint 21'!J:J, "Done", 'Sprint 21'!S:S)/3600,2)</f>
        <v>184</v>
      </c>
      <c r="F7" s="217"/>
      <c r="I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21'!S:S, ('Sprint 21'!Q:Q = ""mid-sprint"")))/3600,0),2)"),0.0)</f>
        <v>0</v>
      </c>
      <c r="D9" s="212">
        <f>IFERROR(__xludf.DUMMYFUNCTION("IFERROR(SUM(FILTER('Sprint 21'!O:O, (('Sprint 21'!J:J = ""Done"")) * ('Sprint 21'!Q:Q = ""mid-sprint""))),0)"),0.0)</f>
        <v>0</v>
      </c>
      <c r="E9" s="212">
        <f>IFERROR(__xludf.DUMMYFUNCTION("ROUND(IFERROR(SUM(FILTER('Sprint 21'!S:S, (('Sprint 21'!J:J = ""Done"")) * ('Sprint 21'!P:P = ""mid-sprint"")))/3600,0),2)"),0.0)</f>
        <v>0</v>
      </c>
      <c r="F9" s="225" t="s">
        <v>257</v>
      </c>
    </row>
    <row r="10" ht="22.5" customHeight="1">
      <c r="A10" s="218" t="s">
        <v>258</v>
      </c>
      <c r="B10" s="212">
        <f>IFERROR(__xludf.DUMMYFUNCTION("ROUND(IFERROR(SUM(FILTER('Sprint 21'!S:S, ('Sprint 21'!Q:Q = ""change-request"")))/3600,0),2)"),0.0)</f>
        <v>0</v>
      </c>
      <c r="D10" s="212">
        <f>IFERROR(__xludf.DUMMYFUNCTION("IFERROR(SUM(FILTER('Sprint 21'!O:O, (('Sprint 21'!J:J = ""Done"")) * ('Sprint 21'!Q:Q = ""change-request""))),0)"),0.0)</f>
        <v>0</v>
      </c>
      <c r="E10" s="212">
        <f>IFERROR(__xludf.DUMMYFUNCTION("ROUND(IFERROR(SUM(FILTER('Sprint 21'!S:S, (('Sprint 21'!J:J = ""Done"")) * ('Sprint 21'!Q:Q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21'!O:O, ('Sprint 21'!E:E = ""Aek:Atiphat Nanthachitvanich""))),0)"),17.0)</f>
        <v>17</v>
      </c>
      <c r="C12" s="223">
        <f>IFERROR(__xludf.DUMMYFUNCTION("ROUND(IFERROR(SUM(FILTER('Sprint 21'!S:S, ('Sprint 21'!E:E = ""Aek:Atiphat Nanthachitvanich"")))/3600,0),2)"),34.0)</f>
        <v>34</v>
      </c>
      <c r="D12" s="216">
        <f>IFERROR(__xludf.DUMMYFUNCTION("IFERROR(SUM(FILTER('Sprint 21'!O:O, (('Sprint 21'!J:J = ""Done"")) * ('Sprint 21'!E:E = ""Aek:Atiphat Nanthachitvanich""))),0)"),11.0)</f>
        <v>11</v>
      </c>
      <c r="E12" s="223">
        <f>IFERROR(__xludf.DUMMYFUNCTION("ROUND(IFERROR(SUM(FILTER('Sprint 21'!S:S, (('Sprint 21'!J:J = ""Done"")) * ('Sprint 21'!E:E = ""Aek:Atiphat Nanthachitvanich"")))/3600,0),2)"),34.0)</f>
        <v>34</v>
      </c>
      <c r="F12" s="224"/>
    </row>
    <row r="13" ht="22.5" customHeight="1">
      <c r="A13" s="218" t="s">
        <v>32</v>
      </c>
      <c r="B13" s="216">
        <f>IFERROR(__xludf.DUMMYFUNCTION("IFERROR(SUM(FILTER('Sprint 21'!O:O, ('Sprint 21'!E:E = ""A:Phongthorn""))),0)"),84.0)</f>
        <v>84</v>
      </c>
      <c r="C13" s="223">
        <f>IFERROR(__xludf.DUMMYFUNCTION("ROUND(IFERROR(SUM(FILTER('Sprint 21'!S:S, ('Sprint 21'!E:E = ""A:Phongthorn"")))/3600,0),2)"),106.0)</f>
        <v>106</v>
      </c>
      <c r="D13" s="216">
        <f>IFERROR(__xludf.DUMMYFUNCTION("IFERROR(SUM(FILTER('Sprint 21'!O:O, (('Sprint 21'!J:J = ""Done"")) * ('Sprint 21'!E:E = ""A:Phongthorn""))),0)"),49.0)</f>
        <v>49</v>
      </c>
      <c r="E13" s="223">
        <f>IFERROR(__xludf.DUMMYFUNCTION("ROUND(IFERROR(SUM(FILTER('Sprint 21'!S:S, (('Sprint 21'!J:J = ""Done"")) * ('Sprint 21'!E:E = ""A:Phongthorn"")))/3600,0),2)"),34.0)</f>
        <v>34</v>
      </c>
      <c r="F13" s="224"/>
    </row>
    <row r="14" ht="22.5" customHeight="1">
      <c r="A14" s="218" t="s">
        <v>72</v>
      </c>
      <c r="B14" s="216">
        <f>IFERROR(__xludf.DUMMYFUNCTION("IFERROR(SUM(FILTER('Sprint 21'!O:O, ('Sprint 21'!E:E = ""Aom: Pornsawan Polnyiem""))),0)"),30.0)</f>
        <v>30</v>
      </c>
      <c r="C14" s="223">
        <f>IFERROR(__xludf.DUMMYFUNCTION("ROUND(IFERROR(SUM(FILTER('Sprint 21'!S:S, ('Sprint 21'!E:E = ""Aom: Pornsawan Polnyiem"")))/3600,0),2)"),76.0)</f>
        <v>76</v>
      </c>
      <c r="D14" s="216">
        <f>IFERROR(__xludf.DUMMYFUNCTION("IFERROR(SUM(FILTER('Sprint 21'!O:O, (('Sprint 21'!J:J = ""Done"")) * ('Sprint 21'!E:E = ""Aom: Pornsawan Polnyiem""))),0)"),30.0)</f>
        <v>30</v>
      </c>
      <c r="E14" s="223">
        <f>IFERROR(__xludf.DUMMYFUNCTION("ROUND(IFERROR(SUM(FILTER('Sprint 21'!S:S, (('Sprint 21'!J:J = ""Done"")) * ('Sprint 21'!E:E = ""Aom: Pornsawan Polnyiem"")))/3600,0),2)"),76.0)</f>
        <v>76</v>
      </c>
      <c r="F14" s="224"/>
    </row>
    <row r="15" ht="22.5" customHeight="1">
      <c r="A15" s="218" t="s">
        <v>24</v>
      </c>
      <c r="B15" s="216">
        <f>IFERROR(__xludf.DUMMYFUNCTION("IFERROR(SUM(FILTER('Sprint 21'!O:O, ('Sprint 21'!E:E = ""Zan : Isarapong Bulan""))),0)"),36.0)</f>
        <v>36</v>
      </c>
      <c r="C15" s="223">
        <f>IFERROR(__xludf.DUMMYFUNCTION("ROUND(IFERROR(SUM(FILTER('Sprint 21'!S:S, ('Sprint 21'!E:E = ""Zan : Isarapong Bulan"")))/3600,0),2)"),8.0)</f>
        <v>8</v>
      </c>
      <c r="D15" s="216">
        <f>IFERROR(__xludf.DUMMYFUNCTION("IFERROR(SUM(FILTER('Sprint 21'!O:O, (('Sprint 21'!J:J = ""Done"")) * ('Sprint 21'!E:E = ""Zan : Isarapong Bulan""))),0)"),28.0)</f>
        <v>28</v>
      </c>
      <c r="E15" s="223">
        <f>IFERROR(__xludf.DUMMYFUNCTION("ROUND(IFERROR(SUM(FILTER('Sprint 21'!S:S, (('Sprint 21'!J:J = ""Done"")) * ('Sprint 21'!E:E = ""Zan : Isarapong Bulan"")))/3600,0),2)"),8.0)</f>
        <v>8</v>
      </c>
      <c r="F15" s="224"/>
    </row>
    <row r="16" ht="22.5" customHeight="1">
      <c r="A16" s="218" t="s">
        <v>73</v>
      </c>
      <c r="B16" s="216">
        <f>IFERROR(__xludf.DUMMYFUNCTION("IFERROR(SUM(FILTER('Sprint 21'!O:O, ('Sprint 21'!E:E = ""Mai:Sateta Abvanawong""))),0)"),50.0)</f>
        <v>50</v>
      </c>
      <c r="C16" s="223">
        <f>IFERROR(__xludf.DUMMYFUNCTION("ROUND(IFERROR(SUM(FILTER('Sprint 21'!S:S, ('Sprint 21'!E:E = ""Mai:Sateta Abvanawong"")))/3600,0),2)"),28.0)</f>
        <v>28</v>
      </c>
      <c r="D16" s="216">
        <f>IFERROR(__xludf.DUMMYFUNCTION("IFERROR(SUM(FILTER('Sprint 21'!O:O, (('Sprint 21'!J:J = ""Done"")) * ('Sprint 21'!E:E = ""Mai:Sateta Abvanawong""))),0)"),3.0)</f>
        <v>3</v>
      </c>
      <c r="E16" s="223">
        <f>IFERROR(__xludf.DUMMYFUNCTION("ROUND(IFERROR(SUM(FILTER('Sprint 21'!S:S, (('Sprint 21'!J:J = ""Done"")) * ('Sprint 21'!E:E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21'!O:O, ('Sprint 21'!E:E = ""Mac: Jarupong Pawichpongkul""))),0)"),55.0)</f>
        <v>55</v>
      </c>
      <c r="C17" s="223">
        <f>IFERROR(__xludf.DUMMYFUNCTION("ROUND(IFERROR(SUM(FILTER('Sprint 21'!S:S, ('Sprint 21'!E:E = ""Mac: Jarupong Pawichpongkul"")))/3600,0),2)"),60.0)</f>
        <v>60</v>
      </c>
      <c r="D17" s="216">
        <f>IFERROR(__xludf.DUMMYFUNCTION("IFERROR(SUM(FILTER('Sprint 21'!O:O, (('Sprint 21'!J:J = ""Done"")) * ('Sprint 21'!E:E = ""Mac: Jarupong Pawichpongkul""))),0)"),3.0)</f>
        <v>3</v>
      </c>
      <c r="E17" s="223">
        <f>IFERROR(__xludf.DUMMYFUNCTION("ROUND(IFERROR(SUM(FILTER('Sprint 21'!S:S, (('Sprint 21'!J:J = ""Done"")) * ('Sprint 21'!E:E = ""Mac: Jarupong Pawichpongkul"")))/3600,0),2)"),6.0)</f>
        <v>6</v>
      </c>
      <c r="F17" s="224"/>
    </row>
    <row r="18" ht="22.5" customHeight="1">
      <c r="A18" s="218" t="s">
        <v>75</v>
      </c>
      <c r="B18" s="216">
        <f>IFERROR(__xludf.DUMMYFUNCTION("IFERROR(SUM(FILTER('Sprint 21'!O:O, ('Sprint 21'!E:E = ""Moss : Kittapath Sangvikukit""))),0)"),68.0)</f>
        <v>68</v>
      </c>
      <c r="C18" s="223">
        <f>IFERROR(__xludf.DUMMYFUNCTION("ROUND(IFERROR(SUM(FILTER('Sprint 21'!S:S, ('Sprint 21'!E:E = ""Moss : Kittapath Sangvikukit"")))/3600,0),2)"),34.0)</f>
        <v>34</v>
      </c>
      <c r="D18" s="216">
        <f>IFERROR(__xludf.DUMMYFUNCTION("IFERROR(SUM(FILTER('Sprint 21'!O:O, (('Sprint 21'!J:J = ""Done"")) * ('Sprint 21'!E:E = ""Moss : Kittapath Sangvikukit""))),0)"),40.0)</f>
        <v>40</v>
      </c>
      <c r="E18" s="223">
        <f>IFERROR(__xludf.DUMMYFUNCTION("ROUND(IFERROR(SUM(FILTER('Sprint 21'!S:S, (('Sprint 21'!J:J = ""Done"")) * ('Sprint 21'!E:E = ""Moss : Kittapath Sangvikukit"")))/3600,0),2)"),26.0)</f>
        <v>26</v>
      </c>
      <c r="F18" s="224"/>
    </row>
    <row r="19" ht="22.5" customHeight="1">
      <c r="A19" s="218" t="s">
        <v>28</v>
      </c>
      <c r="B19" s="216">
        <f>IFERROR(__xludf.DUMMYFUNCTION("IFERROR(SUM(FILTER('Sprint 21'!O:O, ('Sprint 21'!E:E = ""Jack: Warin Kesorn""))),0)"),15.0)</f>
        <v>15</v>
      </c>
      <c r="C19" s="223">
        <f>IFERROR(__xludf.DUMMYFUNCTION("ROUND(IFERROR(SUM(FILTER('Sprint 21'!S:S, ('Sprint 21'!E:E = ""Jack: Warin Kesorn"")))/3600,0),2)"),0.0)</f>
        <v>0</v>
      </c>
      <c r="D19" s="216">
        <f>IFERROR(__xludf.DUMMYFUNCTION("IFERROR(SUM(FILTER('Sprint 21'!O:O, (('Sprint 21'!J:J = ""Done"")) * ('Sprint 21'!E:E = ""Jack: Warin Kesorn""))),0)"),15.0)</f>
        <v>15</v>
      </c>
      <c r="E19" s="223">
        <f>IFERROR(__xludf.DUMMYFUNCTION("ROUND(IFERROR(SUM(FILTER('Sprint 21'!S:S, (('Sprint 21'!J:J = ""Done"")) * ('Sprint 21'!E:E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21'!O:O, ('Sprint 21'!E:E = ""Nim : muthita munmueang""))),0)"),53.0)</f>
        <v>53</v>
      </c>
      <c r="C20" s="223">
        <f>IFERROR(__xludf.DUMMYFUNCTION("ROUND(IFERROR(SUM(FILTER('Sprint 21'!S:S, ('Sprint 21'!E:E = ""Nim : muthita munmueang"")))/3600,0),2)"),52.0)</f>
        <v>52</v>
      </c>
      <c r="D20" s="216">
        <f>IFERROR(__xludf.DUMMYFUNCTION("IFERROR(SUM(FILTER('Sprint 21'!O:O, (('Sprint 21'!J:J = ""Done"")) * ('Sprint 21'!E:E = ""Nim : muthita munmueang""))),0)"),13.0)</f>
        <v>13</v>
      </c>
      <c r="E20" s="223">
        <f>IFERROR(__xludf.DUMMYFUNCTION("ROUND(IFERROR(SUM(FILTER('Sprint 21'!S:S, (('Sprint 21'!J:J = ""Done"")) * ('Sprint 21'!E:E = ""Nim : muthita munmueang"")))/3600,0),2)"),0.0)</f>
        <v>0</v>
      </c>
      <c r="F20" s="224"/>
    </row>
    <row r="21" ht="22.5" customHeight="1">
      <c r="A21" s="221" t="s">
        <v>77</v>
      </c>
      <c r="B21" s="224">
        <f>IFERROR(__xludf.DUMMYFUNCTION("IFERROR(SUM(FILTER('Sprint 21'!O:O, ('Sprint 21'!E:E = ""Arm:Worawat Chotipongchoawalit""))),0)"),40.0)</f>
        <v>40</v>
      </c>
      <c r="C21" s="223">
        <f>IFERROR(__xludf.DUMMYFUNCTION("ROUND(IFERROR(SUM(FILTER('Sprint 21'!S:S, ('Sprint 21'!E:E = ""Arm:Worawat Chotipongchoawalit"")))/3600,0),2)"),0.0)</f>
        <v>0</v>
      </c>
      <c r="D21" s="216">
        <f>IFERROR(__xludf.DUMMYFUNCTION("IFERROR(SUM(FILTER('Sprint 21'!O:O, (('Sprint 21'!J:J = ""Done"")) * ('Sprint 21'!E:E = ""Arm:Worawat Chotipongchoawalit""))),0)"),3.0)</f>
        <v>3</v>
      </c>
      <c r="E21" s="223">
        <f>IFERROR(__xludf.DUMMYFUNCTION("ROUND(IFERROR(SUM(FILTER('Sprint 21'!S:S, (('Sprint 21'!J:J = ""Done"")) * ('Sprint 21'!E:E = ""Arm:Worawat Chotipongchoawalit"")))/3600,0),2)"),0.0)</f>
        <v>0</v>
      </c>
      <c r="F21" s="224"/>
    </row>
    <row r="22">
      <c r="C22" s="125"/>
    </row>
    <row r="23">
      <c r="C23" s="125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37" t="s">
        <v>2212</v>
      </c>
      <c r="J25" s="238" t="s">
        <v>2213</v>
      </c>
      <c r="K25" s="235"/>
    </row>
    <row r="26" ht="20.25" customHeight="1">
      <c r="A26" s="239" t="s">
        <v>2214</v>
      </c>
      <c r="B26" s="240" t="s">
        <v>30</v>
      </c>
      <c r="C26" s="240" t="s">
        <v>24</v>
      </c>
      <c r="D26" s="240" t="s">
        <v>72</v>
      </c>
      <c r="E26" s="240" t="s">
        <v>28</v>
      </c>
      <c r="F26" s="240" t="s">
        <v>32</v>
      </c>
      <c r="G26" s="240" t="s">
        <v>74</v>
      </c>
      <c r="H26" s="240" t="s">
        <v>73</v>
      </c>
      <c r="I26" s="240" t="s">
        <v>77</v>
      </c>
      <c r="J26" s="240" t="s">
        <v>75</v>
      </c>
      <c r="K26" s="240" t="s">
        <v>76</v>
      </c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>
      <c r="A27" s="101"/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>
      <c r="A28" s="101"/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ht="32.25" customHeight="1">
      <c r="A29" s="101"/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ht="22.5" customHeight="1">
      <c r="A30" s="101"/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>
      <c r="A31" s="101"/>
      <c r="B31" s="101"/>
      <c r="C31" s="99"/>
      <c r="D31" s="99"/>
      <c r="E31" s="99"/>
      <c r="F31" s="99"/>
      <c r="G31" s="99"/>
      <c r="H31" s="99"/>
      <c r="I31" s="99"/>
      <c r="J31" s="99"/>
      <c r="K31" s="99"/>
    </row>
    <row r="32" ht="21.0" customHeight="1">
      <c r="A32" s="101"/>
      <c r="B32" s="101"/>
      <c r="C32" s="99"/>
      <c r="D32" s="99"/>
      <c r="E32" s="99"/>
      <c r="F32" s="101"/>
      <c r="G32" s="99"/>
      <c r="H32" s="99"/>
      <c r="I32" s="99"/>
      <c r="J32" s="99"/>
      <c r="K32" s="99"/>
    </row>
    <row r="33">
      <c r="C33" s="125"/>
    </row>
    <row r="34">
      <c r="C34" s="125"/>
    </row>
    <row r="35">
      <c r="C35" s="125"/>
    </row>
    <row r="36">
      <c r="C36" s="125"/>
    </row>
    <row r="37">
      <c r="C37" s="125"/>
    </row>
    <row r="38">
      <c r="C38" s="125"/>
    </row>
    <row r="39">
      <c r="C39" s="125"/>
    </row>
    <row r="40">
      <c r="C40" s="125"/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</sheetData>
  <mergeCells count="3">
    <mergeCell ref="B25:E25"/>
    <mergeCell ref="F25:H25"/>
    <mergeCell ref="J25:K2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39" width="17.5"/>
    <col customWidth="1" min="40" max="40" width="21.38"/>
    <col customWidth="1" min="41" max="43" width="17.5"/>
    <col customWidth="1" min="44" max="44" width="21.25"/>
    <col customWidth="1" min="45" max="45" width="17.5"/>
    <col customWidth="1" min="46" max="46" width="21.25"/>
    <col customWidth="1" min="47" max="47" width="20.13"/>
    <col customWidth="1" min="48" max="48" width="21.25"/>
    <col customWidth="1" min="49" max="49" width="20.13"/>
    <col customWidth="1" min="50" max="50" width="21.25"/>
    <col customWidth="1" min="51" max="51" width="20.13"/>
    <col customWidth="1" min="53" max="53" width="17.5"/>
    <col customWidth="1" min="54" max="54" width="21.25"/>
    <col customWidth="1" min="55" max="55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49" t="s">
        <v>3245</v>
      </c>
      <c r="U1" s="115" t="s">
        <v>3246</v>
      </c>
      <c r="V1" s="115" t="s">
        <v>6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Q1" s="102"/>
      <c r="AR1" s="102"/>
      <c r="BL1" s="88"/>
      <c r="BM1" s="88"/>
    </row>
    <row r="2">
      <c r="A2" s="102" t="s">
        <v>276</v>
      </c>
      <c r="B2" s="102" t="s">
        <v>3064</v>
      </c>
      <c r="C2" s="229" t="s">
        <v>3065</v>
      </c>
      <c r="D2" s="102" t="s">
        <v>390</v>
      </c>
      <c r="G2" s="102" t="s">
        <v>391</v>
      </c>
      <c r="H2" s="102" t="s">
        <v>392</v>
      </c>
      <c r="I2" s="102" t="s">
        <v>284</v>
      </c>
      <c r="J2" s="102" t="s">
        <v>63</v>
      </c>
      <c r="L2" s="229" t="s">
        <v>3066</v>
      </c>
      <c r="M2" s="229" t="s">
        <v>3066</v>
      </c>
      <c r="O2" s="230"/>
      <c r="S2" s="230"/>
      <c r="T2" s="230" t="str">
        <f>IF(ISNUMBER(MATCH(B2, 'Sprint 20'!B:B, 0)), "มาจาก Sprint 20", "")</f>
        <v/>
      </c>
      <c r="U2" s="230" t="str">
        <f t="array" ref="U2">IF(ISNUMBER(MATCH(B2, 'Sprint 20'!B:B, 0)), INDEX('Sprint 20'!J:J, MATCH(B2, 'Sprint 20'!B:B, 0)), "")</f>
        <v/>
      </c>
      <c r="V2" s="230"/>
      <c r="W2" s="102" t="s">
        <v>2272</v>
      </c>
      <c r="X2" s="102" t="s">
        <v>2273</v>
      </c>
    </row>
    <row r="3">
      <c r="A3" s="102" t="s">
        <v>276</v>
      </c>
      <c r="B3" s="102" t="s">
        <v>3068</v>
      </c>
      <c r="C3" s="229" t="s">
        <v>3069</v>
      </c>
      <c r="D3" s="102" t="s">
        <v>398</v>
      </c>
      <c r="G3" s="102" t="s">
        <v>391</v>
      </c>
      <c r="H3" s="102" t="s">
        <v>392</v>
      </c>
      <c r="I3" s="102" t="s">
        <v>284</v>
      </c>
      <c r="J3" s="102" t="s">
        <v>26</v>
      </c>
      <c r="L3" s="229" t="s">
        <v>3070</v>
      </c>
      <c r="M3" s="229" t="s">
        <v>3071</v>
      </c>
      <c r="O3" s="230"/>
      <c r="S3" s="230"/>
      <c r="T3" s="230" t="str">
        <f>IF(ISNUMBER(MATCH(B3, 'Sprint 20'!B:B, 0)), "มาจาก Sprint 20", "")</f>
        <v/>
      </c>
      <c r="U3" s="230" t="str">
        <f t="array" ref="U3">IF(ISNUMBER(MATCH(B3, 'Sprint 20'!B:B, 0)), INDEX('Sprint 20'!J:J, MATCH(B3, 'Sprint 20'!B:B, 0)), "")</f>
        <v/>
      </c>
      <c r="V3" s="230"/>
      <c r="W3" s="102" t="s">
        <v>2272</v>
      </c>
      <c r="X3" s="102" t="s">
        <v>2273</v>
      </c>
    </row>
    <row r="4">
      <c r="A4" s="102" t="s">
        <v>276</v>
      </c>
      <c r="B4" s="102" t="s">
        <v>3072</v>
      </c>
      <c r="C4" s="229" t="s">
        <v>3073</v>
      </c>
      <c r="D4" s="102" t="s">
        <v>390</v>
      </c>
      <c r="E4" s="102" t="s">
        <v>391</v>
      </c>
      <c r="F4" s="102" t="s">
        <v>392</v>
      </c>
      <c r="G4" s="102" t="s">
        <v>391</v>
      </c>
      <c r="H4" s="102" t="s">
        <v>392</v>
      </c>
      <c r="I4" s="102" t="s">
        <v>284</v>
      </c>
      <c r="J4" s="102" t="s">
        <v>34</v>
      </c>
      <c r="L4" s="229" t="s">
        <v>3074</v>
      </c>
      <c r="M4" s="229" t="s">
        <v>3074</v>
      </c>
      <c r="O4" s="230"/>
      <c r="S4" s="230"/>
      <c r="T4" s="230" t="str">
        <f>IF(ISNUMBER(MATCH(B4, 'Sprint 20'!B:B, 0)), "มาจาก Sprint 20", "")</f>
        <v/>
      </c>
      <c r="U4" s="230" t="str">
        <f t="array" ref="U4">IF(ISNUMBER(MATCH(B4, 'Sprint 20'!B:B, 0)), INDEX('Sprint 20'!J:J, MATCH(B4, 'Sprint 20'!B:B, 0)), "")</f>
        <v/>
      </c>
      <c r="V4" s="230"/>
      <c r="W4" s="102" t="s">
        <v>2272</v>
      </c>
      <c r="X4" s="102" t="s">
        <v>2273</v>
      </c>
    </row>
    <row r="5">
      <c r="A5" s="102" t="s">
        <v>276</v>
      </c>
      <c r="B5" s="102" t="s">
        <v>3076</v>
      </c>
      <c r="C5" s="229" t="s">
        <v>3077</v>
      </c>
      <c r="D5" s="102" t="s">
        <v>398</v>
      </c>
      <c r="E5" s="102" t="s">
        <v>391</v>
      </c>
      <c r="F5" s="102" t="s">
        <v>392</v>
      </c>
      <c r="G5" s="102" t="s">
        <v>391</v>
      </c>
      <c r="H5" s="102" t="s">
        <v>392</v>
      </c>
      <c r="I5" s="102" t="s">
        <v>284</v>
      </c>
      <c r="J5" s="102" t="s">
        <v>26</v>
      </c>
      <c r="L5" s="229" t="s">
        <v>3078</v>
      </c>
      <c r="M5" s="229" t="s">
        <v>3079</v>
      </c>
      <c r="O5" s="230"/>
      <c r="S5" s="230"/>
      <c r="T5" s="230" t="str">
        <f>IF(ISNUMBER(MATCH(B5, 'Sprint 20'!B:B, 0)), "มาจาก Sprint 20", "")</f>
        <v/>
      </c>
      <c r="U5" s="230" t="str">
        <f t="array" ref="U5">IF(ISNUMBER(MATCH(B5, 'Sprint 20'!B:B, 0)), INDEX('Sprint 20'!J:J, MATCH(B5, 'Sprint 20'!B:B, 0)), "")</f>
        <v/>
      </c>
      <c r="V5" s="230"/>
      <c r="W5" s="102" t="s">
        <v>2272</v>
      </c>
      <c r="X5" s="102" t="s">
        <v>2273</v>
      </c>
    </row>
    <row r="6">
      <c r="A6" s="102" t="s">
        <v>332</v>
      </c>
      <c r="B6" s="102" t="s">
        <v>3093</v>
      </c>
      <c r="C6" s="229" t="s">
        <v>3094</v>
      </c>
      <c r="D6" s="102" t="s">
        <v>3095</v>
      </c>
      <c r="E6" s="102" t="s">
        <v>513</v>
      </c>
      <c r="F6" s="102" t="s">
        <v>514</v>
      </c>
      <c r="G6" s="102" t="s">
        <v>280</v>
      </c>
      <c r="H6" s="102" t="s">
        <v>281</v>
      </c>
      <c r="I6" s="102" t="s">
        <v>284</v>
      </c>
      <c r="J6" s="102" t="s">
        <v>336</v>
      </c>
      <c r="L6" s="229" t="s">
        <v>3096</v>
      </c>
      <c r="M6" s="229" t="s">
        <v>3097</v>
      </c>
      <c r="O6" s="230"/>
      <c r="S6" s="230"/>
      <c r="T6" s="230" t="str">
        <f>IF(ISNUMBER(MATCH(B6, 'Sprint 20'!B:B, 0)), "มาจาก Sprint 20", "")</f>
        <v/>
      </c>
      <c r="U6" s="230" t="str">
        <f t="array" ref="U6">IF(ISNUMBER(MATCH(B6, 'Sprint 20'!B:B, 0)), INDEX('Sprint 20'!J:J, MATCH(B6, 'Sprint 20'!B:B, 0)), "")</f>
        <v/>
      </c>
      <c r="V6" s="230"/>
      <c r="W6" s="102" t="s">
        <v>529</v>
      </c>
      <c r="X6" s="102" t="s">
        <v>298</v>
      </c>
    </row>
    <row r="7">
      <c r="A7" s="102" t="s">
        <v>310</v>
      </c>
      <c r="B7" s="102" t="s">
        <v>2828</v>
      </c>
      <c r="C7" s="229" t="s">
        <v>2829</v>
      </c>
      <c r="D7" s="102" t="s">
        <v>2830</v>
      </c>
      <c r="E7" s="102" t="s">
        <v>584</v>
      </c>
      <c r="F7" s="102" t="s">
        <v>585</v>
      </c>
      <c r="G7" s="102" t="s">
        <v>353</v>
      </c>
      <c r="H7" s="102" t="s">
        <v>354</v>
      </c>
      <c r="I7" s="102" t="s">
        <v>284</v>
      </c>
      <c r="J7" s="102" t="s">
        <v>678</v>
      </c>
      <c r="L7" s="229" t="s">
        <v>2831</v>
      </c>
      <c r="M7" s="229" t="s">
        <v>3247</v>
      </c>
      <c r="O7" s="102">
        <v>1.0</v>
      </c>
      <c r="S7" s="230"/>
      <c r="T7" s="230" t="str">
        <f>IF(ISNUMBER(MATCH(B7, 'Sprint 20'!B:B, 0)), "มาจาก Sprint 20", "")</f>
        <v/>
      </c>
      <c r="U7" s="230" t="str">
        <f t="array" ref="U7">IF(ISNUMBER(MATCH(B7, 'Sprint 20'!B:B, 0)), INDEX('Sprint 20'!J:J, MATCH(B7, 'Sprint 20'!B:B, 0)), "")</f>
        <v/>
      </c>
      <c r="V7" s="230"/>
      <c r="W7" s="102" t="s">
        <v>2272</v>
      </c>
      <c r="X7" s="102" t="s">
        <v>2273</v>
      </c>
    </row>
    <row r="8">
      <c r="A8" s="102" t="s">
        <v>310</v>
      </c>
      <c r="B8" s="102" t="s">
        <v>2833</v>
      </c>
      <c r="C8" s="229" t="s">
        <v>2834</v>
      </c>
      <c r="D8" s="102" t="s">
        <v>2835</v>
      </c>
      <c r="E8" s="102" t="s">
        <v>556</v>
      </c>
      <c r="F8" s="102" t="s">
        <v>557</v>
      </c>
      <c r="G8" s="102" t="s">
        <v>282</v>
      </c>
      <c r="H8" s="102" t="s">
        <v>283</v>
      </c>
      <c r="I8" s="102" t="s">
        <v>284</v>
      </c>
      <c r="J8" s="102" t="s">
        <v>678</v>
      </c>
      <c r="L8" s="229" t="s">
        <v>2836</v>
      </c>
      <c r="M8" s="229" t="s">
        <v>3248</v>
      </c>
      <c r="O8" s="102">
        <v>3.0</v>
      </c>
      <c r="S8" s="230"/>
      <c r="T8" s="230" t="str">
        <f>IF(ISNUMBER(MATCH(B8, 'Sprint 20'!B:B, 0)), "มาจาก Sprint 20", "")</f>
        <v/>
      </c>
      <c r="U8" s="230" t="str">
        <f t="array" ref="U8">IF(ISNUMBER(MATCH(B8, 'Sprint 20'!B:B, 0)), INDEX('Sprint 20'!J:J, MATCH(B8, 'Sprint 20'!B:B, 0)), "")</f>
        <v/>
      </c>
      <c r="V8" s="230"/>
      <c r="W8" s="102" t="s">
        <v>529</v>
      </c>
      <c r="X8" s="102" t="s">
        <v>298</v>
      </c>
    </row>
    <row r="9">
      <c r="A9" s="102" t="s">
        <v>310</v>
      </c>
      <c r="B9" s="102" t="s">
        <v>3098</v>
      </c>
      <c r="C9" s="229" t="s">
        <v>3099</v>
      </c>
      <c r="D9" s="102" t="s">
        <v>3100</v>
      </c>
      <c r="E9" s="102" t="s">
        <v>564</v>
      </c>
      <c r="F9" s="102" t="s">
        <v>565</v>
      </c>
      <c r="G9" s="102" t="s">
        <v>353</v>
      </c>
      <c r="H9" s="102" t="s">
        <v>354</v>
      </c>
      <c r="I9" s="102" t="s">
        <v>284</v>
      </c>
      <c r="J9" s="102" t="s">
        <v>454</v>
      </c>
      <c r="L9" s="229" t="s">
        <v>3101</v>
      </c>
      <c r="M9" s="229" t="s">
        <v>3249</v>
      </c>
      <c r="N9" s="229" t="s">
        <v>1202</v>
      </c>
      <c r="O9" s="102">
        <v>3.0</v>
      </c>
      <c r="S9" s="102">
        <v>21600.0</v>
      </c>
      <c r="T9" s="230" t="str">
        <f>IF(ISNUMBER(MATCH(B9, 'Sprint 20'!B:B, 0)), "มาจาก Sprint 20", "")</f>
        <v/>
      </c>
      <c r="U9" s="230" t="str">
        <f t="array" ref="U9">IF(ISNUMBER(MATCH(B9, 'Sprint 20'!B:B, 0)), INDEX('Sprint 20'!J:J, MATCH(B9, 'Sprint 20'!B:B, 0)), "")</f>
        <v/>
      </c>
      <c r="V9" s="102"/>
      <c r="W9" s="102" t="s">
        <v>2272</v>
      </c>
      <c r="X9" s="102" t="s">
        <v>2273</v>
      </c>
    </row>
    <row r="10">
      <c r="A10" s="102" t="s">
        <v>310</v>
      </c>
      <c r="B10" s="102" t="s">
        <v>3103</v>
      </c>
      <c r="C10" s="229" t="s">
        <v>3104</v>
      </c>
      <c r="D10" s="102" t="s">
        <v>3105</v>
      </c>
      <c r="E10" s="102" t="s">
        <v>584</v>
      </c>
      <c r="F10" s="102" t="s">
        <v>585</v>
      </c>
      <c r="G10" s="102" t="s">
        <v>353</v>
      </c>
      <c r="H10" s="102" t="s">
        <v>354</v>
      </c>
      <c r="I10" s="102" t="s">
        <v>284</v>
      </c>
      <c r="J10" s="102" t="s">
        <v>454</v>
      </c>
      <c r="L10" s="229" t="s">
        <v>3101</v>
      </c>
      <c r="M10" s="229" t="s">
        <v>3250</v>
      </c>
      <c r="O10" s="102">
        <v>5.0</v>
      </c>
      <c r="S10" s="230"/>
      <c r="T10" s="230" t="str">
        <f>IF(ISNUMBER(MATCH(B10, 'Sprint 20'!B:B, 0)), "มาจาก Sprint 20", "")</f>
        <v/>
      </c>
      <c r="U10" s="230" t="str">
        <f t="array" ref="U10">IF(ISNUMBER(MATCH(B10, 'Sprint 20'!B:B, 0)), INDEX('Sprint 20'!J:J, MATCH(B10, 'Sprint 20'!B:B, 0)), "")</f>
        <v/>
      </c>
      <c r="V10" s="230"/>
      <c r="W10" s="102" t="s">
        <v>2272</v>
      </c>
      <c r="X10" s="102" t="s">
        <v>2273</v>
      </c>
    </row>
    <row r="11">
      <c r="A11" s="102" t="s">
        <v>276</v>
      </c>
      <c r="B11" s="102" t="s">
        <v>3251</v>
      </c>
      <c r="C11" s="229" t="s">
        <v>3252</v>
      </c>
      <c r="D11" s="102" t="s">
        <v>279</v>
      </c>
      <c r="E11" s="102" t="s">
        <v>280</v>
      </c>
      <c r="F11" s="102" t="s">
        <v>281</v>
      </c>
      <c r="G11" s="102" t="s">
        <v>1987</v>
      </c>
      <c r="H11" s="102" t="s">
        <v>1988</v>
      </c>
      <c r="I11" s="102" t="s">
        <v>284</v>
      </c>
      <c r="J11" s="102" t="s">
        <v>26</v>
      </c>
      <c r="L11" s="229" t="s">
        <v>3253</v>
      </c>
      <c r="M11" s="229" t="s">
        <v>3253</v>
      </c>
      <c r="O11" s="230"/>
      <c r="S11" s="230"/>
      <c r="T11" s="230" t="str">
        <f>IF(ISNUMBER(MATCH(B11, 'Sprint 20'!B:B, 0)), "มาจาก Sprint 20", "")</f>
        <v/>
      </c>
      <c r="U11" s="230" t="str">
        <f t="array" ref="U11">IF(ISNUMBER(MATCH(B11, 'Sprint 20'!B:B, 0)), INDEX('Sprint 20'!J:J, MATCH(B11, 'Sprint 20'!B:B, 0)), "")</f>
        <v/>
      </c>
      <c r="V11" s="230"/>
      <c r="W11" s="102" t="s">
        <v>529</v>
      </c>
    </row>
    <row r="12">
      <c r="A12" s="102" t="s">
        <v>276</v>
      </c>
      <c r="B12" s="102" t="s">
        <v>3254</v>
      </c>
      <c r="C12" s="229" t="s">
        <v>3255</v>
      </c>
      <c r="D12" s="102" t="s">
        <v>291</v>
      </c>
      <c r="E12" s="102" t="s">
        <v>280</v>
      </c>
      <c r="F12" s="102" t="s">
        <v>281</v>
      </c>
      <c r="G12" s="102" t="s">
        <v>1987</v>
      </c>
      <c r="H12" s="102" t="s">
        <v>1988</v>
      </c>
      <c r="I12" s="102" t="s">
        <v>284</v>
      </c>
      <c r="J12" s="102" t="s">
        <v>26</v>
      </c>
      <c r="L12" s="229" t="s">
        <v>3253</v>
      </c>
      <c r="M12" s="229" t="s">
        <v>3253</v>
      </c>
      <c r="O12" s="230"/>
      <c r="S12" s="230"/>
      <c r="T12" s="230" t="str">
        <f>IF(ISNUMBER(MATCH(B12, 'Sprint 20'!B:B, 0)), "มาจาก Sprint 20", "")</f>
        <v/>
      </c>
      <c r="U12" s="230" t="str">
        <f t="array" ref="U12">IF(ISNUMBER(MATCH(B12, 'Sprint 20'!B:B, 0)), INDEX('Sprint 20'!J:J, MATCH(B12, 'Sprint 20'!B:B, 0)), "")</f>
        <v/>
      </c>
      <c r="V12" s="230"/>
      <c r="W12" s="102" t="s">
        <v>529</v>
      </c>
    </row>
    <row r="13">
      <c r="A13" s="102" t="s">
        <v>276</v>
      </c>
      <c r="B13" s="102" t="s">
        <v>3256</v>
      </c>
      <c r="C13" s="229" t="s">
        <v>3257</v>
      </c>
      <c r="D13" s="102" t="s">
        <v>279</v>
      </c>
      <c r="E13" s="102" t="s">
        <v>280</v>
      </c>
      <c r="F13" s="102" t="s">
        <v>281</v>
      </c>
      <c r="G13" s="102" t="s">
        <v>1987</v>
      </c>
      <c r="H13" s="102" t="s">
        <v>1988</v>
      </c>
      <c r="I13" s="102" t="s">
        <v>284</v>
      </c>
      <c r="J13" s="102" t="s">
        <v>26</v>
      </c>
      <c r="L13" s="229" t="s">
        <v>3258</v>
      </c>
      <c r="M13" s="229" t="s">
        <v>3259</v>
      </c>
      <c r="O13" s="230"/>
      <c r="S13" s="230"/>
      <c r="T13" s="230" t="str">
        <f>IF(ISNUMBER(MATCH(B13, 'Sprint 20'!B:B, 0)), "มาจาก Sprint 20", "")</f>
        <v/>
      </c>
      <c r="U13" s="230" t="str">
        <f t="array" ref="U13">IF(ISNUMBER(MATCH(B13, 'Sprint 20'!B:B, 0)), INDEX('Sprint 20'!J:J, MATCH(B13, 'Sprint 20'!B:B, 0)), "")</f>
        <v/>
      </c>
      <c r="V13" s="230"/>
      <c r="W13" s="102" t="s">
        <v>529</v>
      </c>
    </row>
    <row r="14">
      <c r="A14" s="102" t="s">
        <v>276</v>
      </c>
      <c r="B14" s="102" t="s">
        <v>3260</v>
      </c>
      <c r="C14" s="229" t="s">
        <v>3261</v>
      </c>
      <c r="D14" s="102" t="s">
        <v>291</v>
      </c>
      <c r="E14" s="102" t="s">
        <v>280</v>
      </c>
      <c r="F14" s="102" t="s">
        <v>281</v>
      </c>
      <c r="G14" s="102" t="s">
        <v>1987</v>
      </c>
      <c r="H14" s="102" t="s">
        <v>1988</v>
      </c>
      <c r="I14" s="102" t="s">
        <v>284</v>
      </c>
      <c r="J14" s="102" t="s">
        <v>26</v>
      </c>
      <c r="L14" s="229" t="s">
        <v>3258</v>
      </c>
      <c r="M14" s="229" t="s">
        <v>3262</v>
      </c>
      <c r="O14" s="230"/>
      <c r="S14" s="230"/>
      <c r="T14" s="230" t="str">
        <f>IF(ISNUMBER(MATCH(B14, 'Sprint 20'!B:B, 0)), "มาจาก Sprint 20", "")</f>
        <v/>
      </c>
      <c r="U14" s="230" t="str">
        <f t="array" ref="U14">IF(ISNUMBER(MATCH(B14, 'Sprint 20'!B:B, 0)), INDEX('Sprint 20'!J:J, MATCH(B14, 'Sprint 20'!B:B, 0)), "")</f>
        <v/>
      </c>
      <c r="V14" s="230"/>
      <c r="W14" s="102" t="s">
        <v>529</v>
      </c>
    </row>
    <row r="15">
      <c r="A15" s="102" t="s">
        <v>276</v>
      </c>
      <c r="B15" s="102" t="s">
        <v>3263</v>
      </c>
      <c r="C15" s="229" t="s">
        <v>3264</v>
      </c>
      <c r="D15" s="102" t="s">
        <v>279</v>
      </c>
      <c r="E15" s="102" t="s">
        <v>280</v>
      </c>
      <c r="F15" s="102" t="s">
        <v>281</v>
      </c>
      <c r="G15" s="102" t="s">
        <v>1987</v>
      </c>
      <c r="H15" s="102" t="s">
        <v>1988</v>
      </c>
      <c r="I15" s="102" t="s">
        <v>284</v>
      </c>
      <c r="J15" s="102" t="s">
        <v>26</v>
      </c>
      <c r="L15" s="229" t="s">
        <v>3265</v>
      </c>
      <c r="M15" s="229" t="s">
        <v>3266</v>
      </c>
      <c r="O15" s="230"/>
      <c r="S15" s="230"/>
      <c r="T15" s="230" t="str">
        <f>IF(ISNUMBER(MATCH(B15, 'Sprint 20'!B:B, 0)), "มาจาก Sprint 20", "")</f>
        <v/>
      </c>
      <c r="U15" s="230" t="str">
        <f t="array" ref="U15">IF(ISNUMBER(MATCH(B15, 'Sprint 20'!B:B, 0)), INDEX('Sprint 20'!J:J, MATCH(B15, 'Sprint 20'!B:B, 0)), "")</f>
        <v/>
      </c>
      <c r="V15" s="230"/>
      <c r="W15" s="102" t="s">
        <v>529</v>
      </c>
    </row>
    <row r="16">
      <c r="A16" s="102" t="s">
        <v>276</v>
      </c>
      <c r="B16" s="102" t="s">
        <v>3267</v>
      </c>
      <c r="C16" s="229" t="s">
        <v>3268</v>
      </c>
      <c r="D16" s="102" t="s">
        <v>291</v>
      </c>
      <c r="E16" s="102" t="s">
        <v>280</v>
      </c>
      <c r="F16" s="102" t="s">
        <v>281</v>
      </c>
      <c r="G16" s="102" t="s">
        <v>1987</v>
      </c>
      <c r="H16" s="102" t="s">
        <v>1988</v>
      </c>
      <c r="I16" s="102" t="s">
        <v>284</v>
      </c>
      <c r="J16" s="102" t="s">
        <v>26</v>
      </c>
      <c r="L16" s="229" t="s">
        <v>3265</v>
      </c>
      <c r="M16" s="229" t="s">
        <v>3262</v>
      </c>
      <c r="O16" s="230"/>
      <c r="S16" s="230"/>
      <c r="T16" s="230" t="str">
        <f>IF(ISNUMBER(MATCH(B16, 'Sprint 20'!B:B, 0)), "มาจาก Sprint 20", "")</f>
        <v/>
      </c>
      <c r="U16" s="230" t="str">
        <f t="array" ref="U16">IF(ISNUMBER(MATCH(B16, 'Sprint 20'!B:B, 0)), INDEX('Sprint 20'!J:J, MATCH(B16, 'Sprint 20'!B:B, 0)), "")</f>
        <v/>
      </c>
      <c r="V16" s="230"/>
      <c r="W16" s="102" t="s">
        <v>529</v>
      </c>
    </row>
    <row r="17">
      <c r="A17" s="102" t="s">
        <v>310</v>
      </c>
      <c r="B17" s="102" t="s">
        <v>3110</v>
      </c>
      <c r="C17" s="229" t="s">
        <v>3111</v>
      </c>
      <c r="D17" s="102" t="s">
        <v>3112</v>
      </c>
      <c r="E17" s="102" t="s">
        <v>495</v>
      </c>
      <c r="F17" s="102" t="s">
        <v>496</v>
      </c>
      <c r="G17" s="102" t="s">
        <v>282</v>
      </c>
      <c r="H17" s="102" t="s">
        <v>283</v>
      </c>
      <c r="I17" s="102" t="s">
        <v>284</v>
      </c>
      <c r="J17" s="102" t="s">
        <v>454</v>
      </c>
      <c r="L17" s="229" t="s">
        <v>3113</v>
      </c>
      <c r="M17" s="229" t="s">
        <v>3269</v>
      </c>
      <c r="N17" s="229" t="s">
        <v>1237</v>
      </c>
      <c r="O17" s="102">
        <v>3.0</v>
      </c>
      <c r="P17" s="102" t="s">
        <v>593</v>
      </c>
      <c r="S17" s="102">
        <v>28800.0</v>
      </c>
      <c r="T17" s="230" t="str">
        <f>IF(ISNUMBER(MATCH(B17, 'Sprint 20'!B:B, 0)), "มาจาก Sprint 20", "")</f>
        <v/>
      </c>
      <c r="U17" s="230" t="str">
        <f t="array" ref="U17">IF(ISNUMBER(MATCH(B17, 'Sprint 20'!B:B, 0)), INDEX('Sprint 20'!J:J, MATCH(B17, 'Sprint 20'!B:B, 0)), "")</f>
        <v/>
      </c>
      <c r="V17" s="102"/>
      <c r="W17" s="102" t="s">
        <v>529</v>
      </c>
      <c r="X17" s="102" t="s">
        <v>298</v>
      </c>
    </row>
    <row r="18">
      <c r="A18" s="102" t="s">
        <v>310</v>
      </c>
      <c r="B18" s="102" t="s">
        <v>3270</v>
      </c>
      <c r="C18" s="229" t="s">
        <v>3271</v>
      </c>
      <c r="D18" s="102" t="s">
        <v>3272</v>
      </c>
      <c r="E18" s="102" t="s">
        <v>353</v>
      </c>
      <c r="F18" s="102" t="s">
        <v>354</v>
      </c>
      <c r="G18" s="102" t="s">
        <v>353</v>
      </c>
      <c r="H18" s="102" t="s">
        <v>354</v>
      </c>
      <c r="I18" s="102" t="s">
        <v>284</v>
      </c>
      <c r="J18" s="102" t="s">
        <v>26</v>
      </c>
      <c r="L18" s="229" t="s">
        <v>3273</v>
      </c>
      <c r="M18" s="229" t="s">
        <v>3274</v>
      </c>
      <c r="O18" s="102">
        <v>2.0</v>
      </c>
      <c r="S18" s="230"/>
      <c r="T18" s="230" t="str">
        <f>IF(ISNUMBER(MATCH(B18, 'Sprint 20'!B:B, 0)), "มาจาก Sprint 20", "")</f>
        <v/>
      </c>
      <c r="U18" s="230" t="str">
        <f t="array" ref="U18">IF(ISNUMBER(MATCH(B18, 'Sprint 20'!B:B, 0)), INDEX('Sprint 20'!J:J, MATCH(B18, 'Sprint 20'!B:B, 0)), "")</f>
        <v/>
      </c>
      <c r="V18" s="230"/>
      <c r="W18" s="102" t="s">
        <v>1203</v>
      </c>
    </row>
    <row r="19">
      <c r="A19" s="102" t="s">
        <v>310</v>
      </c>
      <c r="B19" s="102" t="s">
        <v>3275</v>
      </c>
      <c r="C19" s="229" t="s">
        <v>3276</v>
      </c>
      <c r="D19" s="102" t="s">
        <v>3277</v>
      </c>
      <c r="E19" s="102" t="s">
        <v>353</v>
      </c>
      <c r="F19" s="102" t="s">
        <v>354</v>
      </c>
      <c r="G19" s="102" t="s">
        <v>353</v>
      </c>
      <c r="H19" s="102" t="s">
        <v>354</v>
      </c>
      <c r="I19" s="102" t="s">
        <v>284</v>
      </c>
      <c r="J19" s="102" t="s">
        <v>26</v>
      </c>
      <c r="L19" s="229" t="s">
        <v>3278</v>
      </c>
      <c r="M19" s="229" t="s">
        <v>3274</v>
      </c>
      <c r="O19" s="102">
        <v>2.0</v>
      </c>
      <c r="P19" s="102" t="s">
        <v>593</v>
      </c>
      <c r="Q19" s="102" t="s">
        <v>3279</v>
      </c>
      <c r="S19" s="230"/>
      <c r="T19" s="230" t="str">
        <f>IF(ISNUMBER(MATCH(B19, 'Sprint 20'!B:B, 0)), "มาจาก Sprint 20", "")</f>
        <v/>
      </c>
      <c r="U19" s="230" t="str">
        <f t="array" ref="U19">IF(ISNUMBER(MATCH(B19, 'Sprint 20'!B:B, 0)), INDEX('Sprint 20'!J:J, MATCH(B19, 'Sprint 20'!B:B, 0)), "")</f>
        <v/>
      </c>
      <c r="V19" s="230"/>
      <c r="W19" s="102" t="s">
        <v>1203</v>
      </c>
    </row>
    <row r="20">
      <c r="A20" s="102" t="s">
        <v>310</v>
      </c>
      <c r="B20" s="102" t="s">
        <v>3280</v>
      </c>
      <c r="C20" s="229" t="s">
        <v>3281</v>
      </c>
      <c r="D20" s="102" t="s">
        <v>3282</v>
      </c>
      <c r="E20" s="102" t="s">
        <v>282</v>
      </c>
      <c r="F20" s="102" t="s">
        <v>283</v>
      </c>
      <c r="G20" s="102" t="s">
        <v>316</v>
      </c>
      <c r="H20" s="102" t="s">
        <v>317</v>
      </c>
      <c r="I20" s="102" t="s">
        <v>515</v>
      </c>
      <c r="J20" s="102" t="s">
        <v>26</v>
      </c>
      <c r="L20" s="229" t="s">
        <v>3283</v>
      </c>
      <c r="M20" s="229" t="s">
        <v>3284</v>
      </c>
      <c r="N20" s="229" t="s">
        <v>1247</v>
      </c>
      <c r="O20" s="102">
        <v>1.0</v>
      </c>
      <c r="P20" s="102" t="s">
        <v>366</v>
      </c>
      <c r="Q20" s="102" t="s">
        <v>433</v>
      </c>
      <c r="R20" s="102" t="s">
        <v>368</v>
      </c>
      <c r="S20" s="230"/>
      <c r="T20" s="230" t="str">
        <f>IF(ISNUMBER(MATCH(B20, 'Sprint 20'!B:B, 0)), "มาจาก Sprint 20", "")</f>
        <v/>
      </c>
      <c r="U20" s="230" t="str">
        <f t="array" ref="U20">IF(ISNUMBER(MATCH(B20, 'Sprint 20'!B:B, 0)), INDEX('Sprint 20'!J:J, MATCH(B20, 'Sprint 20'!B:B, 0)), "")</f>
        <v/>
      </c>
      <c r="V20" s="230"/>
      <c r="W20" s="102" t="s">
        <v>1964</v>
      </c>
    </row>
    <row r="21">
      <c r="A21" s="102" t="s">
        <v>310</v>
      </c>
      <c r="B21" s="102" t="s">
        <v>2881</v>
      </c>
      <c r="C21" s="229" t="s">
        <v>2882</v>
      </c>
      <c r="D21" s="102" t="s">
        <v>2883</v>
      </c>
      <c r="E21" s="102" t="s">
        <v>584</v>
      </c>
      <c r="F21" s="102" t="s">
        <v>585</v>
      </c>
      <c r="G21" s="102" t="s">
        <v>353</v>
      </c>
      <c r="H21" s="102" t="s">
        <v>354</v>
      </c>
      <c r="I21" s="102" t="s">
        <v>284</v>
      </c>
      <c r="J21" s="102" t="s">
        <v>2509</v>
      </c>
      <c r="L21" s="229" t="s">
        <v>2884</v>
      </c>
      <c r="M21" s="229" t="s">
        <v>3247</v>
      </c>
      <c r="O21" s="102">
        <v>2.0</v>
      </c>
      <c r="S21" s="102">
        <v>14400.0</v>
      </c>
      <c r="T21" s="230" t="str">
        <f>IF(ISNUMBER(MATCH(B21, 'Sprint 20'!B:B, 0)), "มาจาก Sprint 20", "")</f>
        <v/>
      </c>
      <c r="U21" s="230" t="str">
        <f t="array" ref="U21">IF(ISNUMBER(MATCH(B21, 'Sprint 20'!B:B, 0)), INDEX('Sprint 20'!J:J, MATCH(B21, 'Sprint 20'!B:B, 0)), "")</f>
        <v/>
      </c>
      <c r="V21" s="102"/>
      <c r="W21" s="102" t="s">
        <v>2272</v>
      </c>
      <c r="X21" s="102" t="s">
        <v>2273</v>
      </c>
    </row>
    <row r="22">
      <c r="A22" s="102" t="s">
        <v>332</v>
      </c>
      <c r="B22" s="102" t="s">
        <v>3285</v>
      </c>
      <c r="C22" s="229" t="s">
        <v>3286</v>
      </c>
      <c r="D22" s="102" t="s">
        <v>3287</v>
      </c>
      <c r="E22" s="102" t="s">
        <v>513</v>
      </c>
      <c r="F22" s="102" t="s">
        <v>514</v>
      </c>
      <c r="G22" s="102" t="s">
        <v>3288</v>
      </c>
      <c r="H22" s="102" t="s">
        <v>3289</v>
      </c>
      <c r="I22" s="102" t="s">
        <v>284</v>
      </c>
      <c r="J22" s="102" t="s">
        <v>336</v>
      </c>
      <c r="L22" s="229" t="s">
        <v>3290</v>
      </c>
      <c r="M22" s="229" t="s">
        <v>3291</v>
      </c>
      <c r="O22" s="230"/>
      <c r="S22" s="230"/>
      <c r="T22" s="230" t="str">
        <f>IF(ISNUMBER(MATCH(B22, 'Sprint 20'!B:B, 0)), "มาจาก Sprint 20", "")</f>
        <v/>
      </c>
      <c r="U22" s="230" t="str">
        <f t="array" ref="U22">IF(ISNUMBER(MATCH(B22, 'Sprint 20'!B:B, 0)), INDEX('Sprint 20'!J:J, MATCH(B22, 'Sprint 20'!B:B, 0)), "")</f>
        <v/>
      </c>
      <c r="V22" s="230"/>
      <c r="W22" s="102" t="s">
        <v>529</v>
      </c>
    </row>
    <row r="23">
      <c r="A23" s="102" t="s">
        <v>332</v>
      </c>
      <c r="B23" s="102" t="s">
        <v>3292</v>
      </c>
      <c r="C23" s="229" t="s">
        <v>3293</v>
      </c>
      <c r="D23" s="102" t="s">
        <v>3294</v>
      </c>
      <c r="E23" s="102" t="s">
        <v>513</v>
      </c>
      <c r="F23" s="102" t="s">
        <v>514</v>
      </c>
      <c r="G23" s="102" t="s">
        <v>3288</v>
      </c>
      <c r="H23" s="102" t="s">
        <v>3289</v>
      </c>
      <c r="I23" s="102" t="s">
        <v>284</v>
      </c>
      <c r="J23" s="102" t="s">
        <v>1408</v>
      </c>
      <c r="L23" s="229" t="s">
        <v>3295</v>
      </c>
      <c r="M23" s="229" t="s">
        <v>3296</v>
      </c>
      <c r="O23" s="230"/>
      <c r="S23" s="230"/>
      <c r="T23" s="230" t="str">
        <f>IF(ISNUMBER(MATCH(B23, 'Sprint 20'!B:B, 0)), "มาจาก Sprint 20", "")</f>
        <v/>
      </c>
      <c r="U23" s="230" t="str">
        <f t="array" ref="U23">IF(ISNUMBER(MATCH(B23, 'Sprint 20'!B:B, 0)), INDEX('Sprint 20'!J:J, MATCH(B23, 'Sprint 20'!B:B, 0)), "")</f>
        <v/>
      </c>
      <c r="V23" s="230"/>
      <c r="W23" s="102" t="s">
        <v>529</v>
      </c>
    </row>
    <row r="24">
      <c r="A24" s="102" t="s">
        <v>310</v>
      </c>
      <c r="B24" s="102" t="s">
        <v>3116</v>
      </c>
      <c r="C24" s="229" t="s">
        <v>3117</v>
      </c>
      <c r="D24" s="102" t="s">
        <v>3297</v>
      </c>
      <c r="E24" s="102" t="s">
        <v>314</v>
      </c>
      <c r="F24" s="102" t="s">
        <v>315</v>
      </c>
      <c r="G24" s="102" t="s">
        <v>314</v>
      </c>
      <c r="H24" s="102" t="s">
        <v>315</v>
      </c>
      <c r="I24" s="102" t="s">
        <v>284</v>
      </c>
      <c r="J24" s="102" t="s">
        <v>34</v>
      </c>
      <c r="L24" s="229" t="s">
        <v>3119</v>
      </c>
      <c r="M24" s="229" t="s">
        <v>3298</v>
      </c>
      <c r="O24" s="102">
        <v>3.0</v>
      </c>
      <c r="S24" s="230"/>
      <c r="T24" s="230" t="str">
        <f>IF(ISNUMBER(MATCH(B24, 'Sprint 20'!B:B, 0)), "มาจาก Sprint 20", "")</f>
        <v/>
      </c>
      <c r="U24" s="230" t="str">
        <f t="array" ref="U24">IF(ISNUMBER(MATCH(B24, 'Sprint 20'!B:B, 0)), INDEX('Sprint 20'!J:J, MATCH(B24, 'Sprint 20'!B:B, 0)), "")</f>
        <v/>
      </c>
      <c r="V24" s="230"/>
      <c r="W24" s="102" t="s">
        <v>529</v>
      </c>
      <c r="X24" s="102" t="s">
        <v>298</v>
      </c>
    </row>
    <row r="25">
      <c r="A25" s="102" t="s">
        <v>310</v>
      </c>
      <c r="B25" s="102" t="s">
        <v>2897</v>
      </c>
      <c r="C25" s="229" t="s">
        <v>2898</v>
      </c>
      <c r="D25" s="102" t="s">
        <v>2899</v>
      </c>
      <c r="E25" s="102" t="s">
        <v>584</v>
      </c>
      <c r="F25" s="102" t="s">
        <v>585</v>
      </c>
      <c r="G25" s="102" t="s">
        <v>282</v>
      </c>
      <c r="H25" s="102" t="s">
        <v>283</v>
      </c>
      <c r="I25" s="102" t="s">
        <v>284</v>
      </c>
      <c r="J25" s="102" t="s">
        <v>678</v>
      </c>
      <c r="L25" s="229" t="s">
        <v>2900</v>
      </c>
      <c r="M25" s="229" t="s">
        <v>3298</v>
      </c>
      <c r="O25" s="102">
        <v>3.0</v>
      </c>
      <c r="S25" s="102">
        <v>28800.0</v>
      </c>
      <c r="T25" s="230" t="str">
        <f>IF(ISNUMBER(MATCH(B25, 'Sprint 20'!B:B, 0)), "มาจาก Sprint 20", "")</f>
        <v/>
      </c>
      <c r="U25" s="230" t="str">
        <f t="array" ref="U25">IF(ISNUMBER(MATCH(B25, 'Sprint 20'!B:B, 0)), INDEX('Sprint 20'!J:J, MATCH(B25, 'Sprint 20'!B:B, 0)), "")</f>
        <v/>
      </c>
      <c r="V25" s="102"/>
      <c r="W25" s="102" t="s">
        <v>529</v>
      </c>
      <c r="X25" s="102" t="s">
        <v>298</v>
      </c>
    </row>
    <row r="26">
      <c r="A26" s="102" t="s">
        <v>332</v>
      </c>
      <c r="B26" s="102" t="s">
        <v>3299</v>
      </c>
      <c r="C26" s="229" t="s">
        <v>3300</v>
      </c>
      <c r="D26" s="102" t="s">
        <v>3301</v>
      </c>
      <c r="E26" s="102" t="s">
        <v>513</v>
      </c>
      <c r="F26" s="102" t="s">
        <v>514</v>
      </c>
      <c r="G26" s="102" t="s">
        <v>3288</v>
      </c>
      <c r="H26" s="102" t="s">
        <v>3289</v>
      </c>
      <c r="I26" s="102" t="s">
        <v>284</v>
      </c>
      <c r="J26" s="102" t="s">
        <v>1408</v>
      </c>
      <c r="L26" s="229" t="s">
        <v>3302</v>
      </c>
      <c r="M26" s="229" t="s">
        <v>3303</v>
      </c>
      <c r="O26" s="230"/>
      <c r="S26" s="230"/>
      <c r="T26" s="230" t="str">
        <f>IF(ISNUMBER(MATCH(B26, 'Sprint 20'!B:B, 0)), "มาจาก Sprint 20", "")</f>
        <v/>
      </c>
      <c r="U26" s="230" t="str">
        <f t="array" ref="U26">IF(ISNUMBER(MATCH(B26, 'Sprint 20'!B:B, 0)), INDEX('Sprint 20'!J:J, MATCH(B26, 'Sprint 20'!B:B, 0)), "")</f>
        <v/>
      </c>
      <c r="V26" s="230"/>
      <c r="W26" s="102" t="s">
        <v>529</v>
      </c>
    </row>
    <row r="27">
      <c r="A27" s="102" t="s">
        <v>332</v>
      </c>
      <c r="B27" s="102" t="s">
        <v>3304</v>
      </c>
      <c r="C27" s="229" t="s">
        <v>3305</v>
      </c>
      <c r="D27" s="102" t="s">
        <v>3306</v>
      </c>
      <c r="E27" s="102" t="s">
        <v>513</v>
      </c>
      <c r="F27" s="102" t="s">
        <v>514</v>
      </c>
      <c r="G27" s="102" t="s">
        <v>3288</v>
      </c>
      <c r="H27" s="102" t="s">
        <v>3289</v>
      </c>
      <c r="I27" s="102" t="s">
        <v>284</v>
      </c>
      <c r="J27" s="102" t="s">
        <v>336</v>
      </c>
      <c r="L27" s="229" t="s">
        <v>3307</v>
      </c>
      <c r="M27" s="229" t="s">
        <v>3308</v>
      </c>
      <c r="O27" s="230"/>
      <c r="S27" s="230"/>
      <c r="T27" s="230" t="str">
        <f>IF(ISNUMBER(MATCH(B27, 'Sprint 20'!B:B, 0)), "มาจาก Sprint 20", "")</f>
        <v/>
      </c>
      <c r="U27" s="230" t="str">
        <f t="array" ref="U27">IF(ISNUMBER(MATCH(B27, 'Sprint 20'!B:B, 0)), INDEX('Sprint 20'!J:J, MATCH(B27, 'Sprint 20'!B:B, 0)), "")</f>
        <v/>
      </c>
      <c r="V27" s="230"/>
      <c r="W27" s="102" t="s">
        <v>529</v>
      </c>
    </row>
    <row r="28">
      <c r="A28" s="102" t="s">
        <v>310</v>
      </c>
      <c r="B28" s="102" t="s">
        <v>3309</v>
      </c>
      <c r="C28" s="229" t="s">
        <v>3310</v>
      </c>
      <c r="D28" s="102" t="s">
        <v>3311</v>
      </c>
      <c r="E28" s="102" t="s">
        <v>564</v>
      </c>
      <c r="F28" s="102" t="s">
        <v>565</v>
      </c>
      <c r="G28" s="102" t="s">
        <v>353</v>
      </c>
      <c r="H28" s="102" t="s">
        <v>354</v>
      </c>
      <c r="I28" s="102" t="s">
        <v>284</v>
      </c>
      <c r="J28" s="102" t="s">
        <v>26</v>
      </c>
      <c r="L28" s="229" t="s">
        <v>3312</v>
      </c>
      <c r="M28" s="229" t="s">
        <v>3313</v>
      </c>
      <c r="O28" s="102">
        <v>3.0</v>
      </c>
      <c r="S28" s="102">
        <v>21600.0</v>
      </c>
      <c r="T28" s="230" t="str">
        <f>IF(ISNUMBER(MATCH(B28, 'Sprint 20'!B:B, 0)), "มาจาก Sprint 20", "")</f>
        <v/>
      </c>
      <c r="U28" s="230" t="str">
        <f t="array" ref="U28">IF(ISNUMBER(MATCH(B28, 'Sprint 20'!B:B, 0)), INDEX('Sprint 20'!J:J, MATCH(B28, 'Sprint 20'!B:B, 0)), "")</f>
        <v/>
      </c>
      <c r="V28" s="102"/>
      <c r="W28" s="102" t="s">
        <v>1203</v>
      </c>
    </row>
    <row r="29">
      <c r="A29" s="102" t="s">
        <v>310</v>
      </c>
      <c r="B29" s="102" t="s">
        <v>1937</v>
      </c>
      <c r="C29" s="229" t="s">
        <v>1938</v>
      </c>
      <c r="D29" s="102" t="s">
        <v>1939</v>
      </c>
      <c r="E29" s="102" t="s">
        <v>564</v>
      </c>
      <c r="F29" s="102" t="s">
        <v>565</v>
      </c>
      <c r="G29" s="102" t="s">
        <v>353</v>
      </c>
      <c r="H29" s="102" t="s">
        <v>354</v>
      </c>
      <c r="I29" s="102" t="s">
        <v>284</v>
      </c>
      <c r="J29" s="102" t="s">
        <v>454</v>
      </c>
      <c r="L29" s="229" t="s">
        <v>1940</v>
      </c>
      <c r="M29" s="229" t="s">
        <v>3314</v>
      </c>
      <c r="N29" s="229" t="s">
        <v>1941</v>
      </c>
      <c r="O29" s="102">
        <v>3.0</v>
      </c>
      <c r="S29" s="102">
        <v>28800.0</v>
      </c>
      <c r="T29" s="230" t="str">
        <f>IF(ISNUMBER(MATCH(B29, 'Sprint 20'!B:B, 0)), "มาจาก Sprint 20", "")</f>
        <v/>
      </c>
      <c r="U29" s="230" t="str">
        <f t="array" ref="U29">IF(ISNUMBER(MATCH(B29, 'Sprint 20'!B:B, 0)), INDEX('Sprint 20'!J:J, MATCH(B29, 'Sprint 20'!B:B, 0)), "")</f>
        <v/>
      </c>
      <c r="V29" s="102"/>
      <c r="W29" s="102" t="s">
        <v>1203</v>
      </c>
      <c r="X29" s="102" t="s">
        <v>1204</v>
      </c>
    </row>
    <row r="30">
      <c r="A30" s="102" t="s">
        <v>310</v>
      </c>
      <c r="B30" s="102" t="s">
        <v>3315</v>
      </c>
      <c r="C30" s="229" t="s">
        <v>3316</v>
      </c>
      <c r="D30" s="102" t="s">
        <v>3317</v>
      </c>
      <c r="E30" s="102" t="s">
        <v>314</v>
      </c>
      <c r="F30" s="102" t="s">
        <v>315</v>
      </c>
      <c r="G30" s="102" t="s">
        <v>314</v>
      </c>
      <c r="H30" s="102" t="s">
        <v>315</v>
      </c>
      <c r="I30" s="102" t="s">
        <v>284</v>
      </c>
      <c r="J30" s="102" t="s">
        <v>26</v>
      </c>
      <c r="L30" s="229" t="s">
        <v>3318</v>
      </c>
      <c r="M30" s="229" t="s">
        <v>3319</v>
      </c>
      <c r="O30" s="102">
        <v>1.0</v>
      </c>
      <c r="S30" s="102">
        <v>7200.0</v>
      </c>
      <c r="T30" s="230" t="str">
        <f>IF(ISNUMBER(MATCH(B30, 'Sprint 20'!B:B, 0)), "มาจาก Sprint 20", "")</f>
        <v/>
      </c>
      <c r="U30" s="230" t="str">
        <f t="array" ref="U30">IF(ISNUMBER(MATCH(B30, 'Sprint 20'!B:B, 0)), INDEX('Sprint 20'!J:J, MATCH(B30, 'Sprint 20'!B:B, 0)), "")</f>
        <v/>
      </c>
      <c r="V30" s="102"/>
      <c r="W30" s="102" t="s">
        <v>1964</v>
      </c>
    </row>
    <row r="31">
      <c r="A31" s="102" t="s">
        <v>332</v>
      </c>
      <c r="B31" s="102" t="s">
        <v>3320</v>
      </c>
      <c r="C31" s="229" t="s">
        <v>3321</v>
      </c>
      <c r="D31" s="102" t="s">
        <v>3322</v>
      </c>
      <c r="E31" s="102" t="s">
        <v>495</v>
      </c>
      <c r="F31" s="102" t="s">
        <v>496</v>
      </c>
      <c r="G31" s="102" t="s">
        <v>280</v>
      </c>
      <c r="H31" s="102" t="s">
        <v>281</v>
      </c>
      <c r="I31" s="102" t="s">
        <v>284</v>
      </c>
      <c r="J31" s="102" t="s">
        <v>336</v>
      </c>
      <c r="L31" s="229" t="s">
        <v>3323</v>
      </c>
      <c r="M31" s="229" t="s">
        <v>3324</v>
      </c>
      <c r="O31" s="230"/>
      <c r="S31" s="230"/>
      <c r="T31" s="230" t="str">
        <f>IF(ISNUMBER(MATCH(B31, 'Sprint 20'!B:B, 0)), "มาจาก Sprint 20", "")</f>
        <v/>
      </c>
      <c r="U31" s="230" t="str">
        <f t="array" ref="U31">IF(ISNUMBER(MATCH(B31, 'Sprint 20'!B:B, 0)), INDEX('Sprint 20'!J:J, MATCH(B31, 'Sprint 20'!B:B, 0)), "")</f>
        <v/>
      </c>
      <c r="V31" s="230"/>
      <c r="W31" s="102" t="s">
        <v>529</v>
      </c>
    </row>
    <row r="32">
      <c r="A32" s="102" t="s">
        <v>310</v>
      </c>
      <c r="B32" s="102" t="s">
        <v>3325</v>
      </c>
      <c r="C32" s="229" t="s">
        <v>3326</v>
      </c>
      <c r="D32" s="102" t="s">
        <v>3327</v>
      </c>
      <c r="E32" s="102" t="s">
        <v>304</v>
      </c>
      <c r="F32" s="102" t="s">
        <v>305</v>
      </c>
      <c r="G32" s="102" t="s">
        <v>304</v>
      </c>
      <c r="H32" s="102" t="s">
        <v>305</v>
      </c>
      <c r="I32" s="102" t="s">
        <v>284</v>
      </c>
      <c r="J32" s="102" t="s">
        <v>26</v>
      </c>
      <c r="L32" s="229" t="s">
        <v>3328</v>
      </c>
      <c r="M32" s="229" t="s">
        <v>3329</v>
      </c>
      <c r="O32" s="102">
        <v>13.0</v>
      </c>
      <c r="P32" s="102" t="s">
        <v>593</v>
      </c>
      <c r="S32" s="230"/>
      <c r="T32" s="230" t="str">
        <f>IF(ISNUMBER(MATCH(B32, 'Sprint 20'!B:B, 0)), "มาจาก Sprint 20", "")</f>
        <v/>
      </c>
      <c r="U32" s="230" t="str">
        <f t="array" ref="U32">IF(ISNUMBER(MATCH(B32, 'Sprint 20'!B:B, 0)), INDEX('Sprint 20'!J:J, MATCH(B32, 'Sprint 20'!B:B, 0)), "")</f>
        <v/>
      </c>
      <c r="V32" s="230"/>
      <c r="W32" s="102" t="s">
        <v>529</v>
      </c>
    </row>
    <row r="33">
      <c r="A33" s="102" t="s">
        <v>276</v>
      </c>
      <c r="B33" s="102" t="s">
        <v>3330</v>
      </c>
      <c r="C33" s="229" t="s">
        <v>3331</v>
      </c>
      <c r="D33" s="102" t="s">
        <v>279</v>
      </c>
      <c r="E33" s="102" t="s">
        <v>3288</v>
      </c>
      <c r="F33" s="102" t="s">
        <v>3289</v>
      </c>
      <c r="G33" s="102" t="s">
        <v>1987</v>
      </c>
      <c r="H33" s="102" t="s">
        <v>1988</v>
      </c>
      <c r="I33" s="102" t="s">
        <v>284</v>
      </c>
      <c r="J33" s="102" t="s">
        <v>26</v>
      </c>
      <c r="L33" s="229" t="s">
        <v>3332</v>
      </c>
      <c r="M33" s="229" t="s">
        <v>3333</v>
      </c>
      <c r="O33" s="230"/>
      <c r="S33" s="230"/>
      <c r="T33" s="230" t="str">
        <f>IF(ISNUMBER(MATCH(B33, 'Sprint 20'!B:B, 0)), "มาจาก Sprint 20", "")</f>
        <v/>
      </c>
      <c r="U33" s="230" t="str">
        <f t="array" ref="U33">IF(ISNUMBER(MATCH(B33, 'Sprint 20'!B:B, 0)), INDEX('Sprint 20'!J:J, MATCH(B33, 'Sprint 20'!B:B, 0)), "")</f>
        <v/>
      </c>
      <c r="V33" s="230"/>
      <c r="W33" s="102" t="s">
        <v>529</v>
      </c>
    </row>
    <row r="34">
      <c r="A34" s="102" t="s">
        <v>276</v>
      </c>
      <c r="B34" s="102" t="s">
        <v>3334</v>
      </c>
      <c r="C34" s="229" t="s">
        <v>3335</v>
      </c>
      <c r="D34" s="102" t="s">
        <v>291</v>
      </c>
      <c r="E34" s="102" t="s">
        <v>280</v>
      </c>
      <c r="F34" s="102" t="s">
        <v>281</v>
      </c>
      <c r="G34" s="102" t="s">
        <v>1987</v>
      </c>
      <c r="H34" s="102" t="s">
        <v>1988</v>
      </c>
      <c r="I34" s="102" t="s">
        <v>284</v>
      </c>
      <c r="J34" s="102" t="s">
        <v>26</v>
      </c>
      <c r="L34" s="229" t="s">
        <v>3336</v>
      </c>
      <c r="M34" s="229" t="s">
        <v>3337</v>
      </c>
      <c r="O34" s="230"/>
      <c r="S34" s="230"/>
      <c r="T34" s="230" t="str">
        <f>IF(ISNUMBER(MATCH(B34, 'Sprint 20'!B:B, 0)), "มาจาก Sprint 20", "")</f>
        <v/>
      </c>
      <c r="U34" s="230" t="str">
        <f t="array" ref="U34">IF(ISNUMBER(MATCH(B34, 'Sprint 20'!B:B, 0)), INDEX('Sprint 20'!J:J, MATCH(B34, 'Sprint 20'!B:B, 0)), "")</f>
        <v/>
      </c>
      <c r="V34" s="230"/>
      <c r="W34" s="102" t="s">
        <v>529</v>
      </c>
    </row>
    <row r="35">
      <c r="A35" s="102" t="s">
        <v>276</v>
      </c>
      <c r="B35" s="102" t="s">
        <v>3338</v>
      </c>
      <c r="C35" s="229" t="s">
        <v>3339</v>
      </c>
      <c r="D35" s="102" t="s">
        <v>279</v>
      </c>
      <c r="E35" s="102" t="s">
        <v>280</v>
      </c>
      <c r="F35" s="102" t="s">
        <v>281</v>
      </c>
      <c r="G35" s="102" t="s">
        <v>1987</v>
      </c>
      <c r="H35" s="102" t="s">
        <v>1988</v>
      </c>
      <c r="I35" s="102" t="s">
        <v>284</v>
      </c>
      <c r="J35" s="102" t="s">
        <v>26</v>
      </c>
      <c r="L35" s="229" t="s">
        <v>3336</v>
      </c>
      <c r="M35" s="229" t="s">
        <v>3340</v>
      </c>
      <c r="O35" s="230"/>
      <c r="S35" s="230"/>
      <c r="T35" s="230" t="str">
        <f>IF(ISNUMBER(MATCH(B35, 'Sprint 20'!B:B, 0)), "มาจาก Sprint 20", "")</f>
        <v/>
      </c>
      <c r="U35" s="230" t="str">
        <f t="array" ref="U35">IF(ISNUMBER(MATCH(B35, 'Sprint 20'!B:B, 0)), INDEX('Sprint 20'!J:J, MATCH(B35, 'Sprint 20'!B:B, 0)), "")</f>
        <v/>
      </c>
      <c r="V35" s="230"/>
      <c r="W35" s="102" t="s">
        <v>529</v>
      </c>
    </row>
    <row r="36">
      <c r="A36" s="102" t="s">
        <v>276</v>
      </c>
      <c r="B36" s="102" t="s">
        <v>3341</v>
      </c>
      <c r="C36" s="229" t="s">
        <v>3342</v>
      </c>
      <c r="D36" s="102" t="s">
        <v>291</v>
      </c>
      <c r="E36" s="102" t="s">
        <v>280</v>
      </c>
      <c r="F36" s="102" t="s">
        <v>281</v>
      </c>
      <c r="G36" s="102" t="s">
        <v>1987</v>
      </c>
      <c r="H36" s="102" t="s">
        <v>1988</v>
      </c>
      <c r="I36" s="102" t="s">
        <v>284</v>
      </c>
      <c r="J36" s="102" t="s">
        <v>26</v>
      </c>
      <c r="L36" s="229" t="s">
        <v>3336</v>
      </c>
      <c r="M36" s="229" t="s">
        <v>3332</v>
      </c>
      <c r="O36" s="230"/>
      <c r="S36" s="230"/>
      <c r="T36" s="230" t="str">
        <f>IF(ISNUMBER(MATCH(B36, 'Sprint 20'!B:B, 0)), "มาจาก Sprint 20", "")</f>
        <v/>
      </c>
      <c r="U36" s="230" t="str">
        <f t="array" ref="U36">IF(ISNUMBER(MATCH(B36, 'Sprint 20'!B:B, 0)), INDEX('Sprint 20'!J:J, MATCH(B36, 'Sprint 20'!B:B, 0)), "")</f>
        <v/>
      </c>
      <c r="V36" s="230"/>
      <c r="W36" s="102" t="s">
        <v>529</v>
      </c>
    </row>
    <row r="37">
      <c r="A37" s="102" t="s">
        <v>276</v>
      </c>
      <c r="B37" s="102" t="s">
        <v>3343</v>
      </c>
      <c r="C37" s="229" t="s">
        <v>3344</v>
      </c>
      <c r="D37" s="102" t="s">
        <v>3345</v>
      </c>
      <c r="E37" s="102" t="s">
        <v>513</v>
      </c>
      <c r="F37" s="102" t="s">
        <v>514</v>
      </c>
      <c r="G37" s="102" t="s">
        <v>513</v>
      </c>
      <c r="H37" s="102" t="s">
        <v>514</v>
      </c>
      <c r="I37" s="102" t="s">
        <v>284</v>
      </c>
      <c r="J37" s="102" t="s">
        <v>26</v>
      </c>
      <c r="L37" s="229" t="s">
        <v>3346</v>
      </c>
      <c r="M37" s="229" t="s">
        <v>3347</v>
      </c>
      <c r="N37" s="229" t="s">
        <v>2515</v>
      </c>
      <c r="O37" s="102">
        <v>5.0</v>
      </c>
      <c r="S37" s="102">
        <v>57600.0</v>
      </c>
      <c r="T37" s="230" t="str">
        <f>IF(ISNUMBER(MATCH(B37, 'Sprint 20'!B:B, 0)), "มาจาก Sprint 20", "")</f>
        <v/>
      </c>
      <c r="U37" s="230" t="str">
        <f t="array" ref="U37">IF(ISNUMBER(MATCH(B37, 'Sprint 20'!B:B, 0)), INDEX('Sprint 20'!J:J, MATCH(B37, 'Sprint 20'!B:B, 0)), "")</f>
        <v/>
      </c>
      <c r="V37" s="102"/>
      <c r="W37" s="102" t="s">
        <v>1085</v>
      </c>
      <c r="X37" s="102" t="s">
        <v>529</v>
      </c>
    </row>
    <row r="38">
      <c r="A38" s="102" t="s">
        <v>276</v>
      </c>
      <c r="B38" s="102" t="s">
        <v>3348</v>
      </c>
      <c r="C38" s="229" t="s">
        <v>3349</v>
      </c>
      <c r="D38" s="102" t="s">
        <v>279</v>
      </c>
      <c r="E38" s="102" t="s">
        <v>3288</v>
      </c>
      <c r="F38" s="102" t="s">
        <v>3289</v>
      </c>
      <c r="G38" s="102" t="s">
        <v>1987</v>
      </c>
      <c r="H38" s="102" t="s">
        <v>1988</v>
      </c>
      <c r="I38" s="102" t="s">
        <v>284</v>
      </c>
      <c r="J38" s="102" t="s">
        <v>26</v>
      </c>
      <c r="L38" s="229" t="s">
        <v>3350</v>
      </c>
      <c r="M38" s="229" t="s">
        <v>3351</v>
      </c>
      <c r="O38" s="230"/>
      <c r="S38" s="230"/>
      <c r="T38" s="230" t="str">
        <f>IF(ISNUMBER(MATCH(B38, 'Sprint 20'!B:B, 0)), "มาจาก Sprint 20", "")</f>
        <v/>
      </c>
      <c r="U38" s="230" t="str">
        <f t="array" ref="U38">IF(ISNUMBER(MATCH(B38, 'Sprint 20'!B:B, 0)), INDEX('Sprint 20'!J:J, MATCH(B38, 'Sprint 20'!B:B, 0)), "")</f>
        <v/>
      </c>
      <c r="V38" s="230"/>
      <c r="W38" s="102" t="s">
        <v>529</v>
      </c>
    </row>
    <row r="39">
      <c r="A39" s="102" t="s">
        <v>276</v>
      </c>
      <c r="B39" s="102" t="s">
        <v>3352</v>
      </c>
      <c r="C39" s="229" t="s">
        <v>3353</v>
      </c>
      <c r="D39" s="102" t="s">
        <v>291</v>
      </c>
      <c r="E39" s="102" t="s">
        <v>280</v>
      </c>
      <c r="F39" s="102" t="s">
        <v>281</v>
      </c>
      <c r="G39" s="102" t="s">
        <v>1987</v>
      </c>
      <c r="H39" s="102" t="s">
        <v>1988</v>
      </c>
      <c r="I39" s="102" t="s">
        <v>284</v>
      </c>
      <c r="J39" s="102" t="s">
        <v>26</v>
      </c>
      <c r="L39" s="229" t="s">
        <v>3350</v>
      </c>
      <c r="M39" s="229" t="s">
        <v>3354</v>
      </c>
      <c r="O39" s="230"/>
      <c r="S39" s="230"/>
      <c r="T39" s="230" t="str">
        <f>IF(ISNUMBER(MATCH(B39, 'Sprint 20'!B:B, 0)), "มาจาก Sprint 20", "")</f>
        <v/>
      </c>
      <c r="U39" s="230" t="str">
        <f t="array" ref="U39">IF(ISNUMBER(MATCH(B39, 'Sprint 20'!B:B, 0)), INDEX('Sprint 20'!J:J, MATCH(B39, 'Sprint 20'!B:B, 0)), "")</f>
        <v/>
      </c>
      <c r="V39" s="230"/>
      <c r="W39" s="102" t="s">
        <v>529</v>
      </c>
    </row>
    <row r="40">
      <c r="A40" s="102" t="s">
        <v>310</v>
      </c>
      <c r="B40" s="102" t="s">
        <v>3355</v>
      </c>
      <c r="C40" s="229" t="s">
        <v>3356</v>
      </c>
      <c r="D40" s="102" t="s">
        <v>3357</v>
      </c>
      <c r="E40" s="102" t="s">
        <v>353</v>
      </c>
      <c r="F40" s="102" t="s">
        <v>354</v>
      </c>
      <c r="G40" s="102" t="s">
        <v>353</v>
      </c>
      <c r="H40" s="102" t="s">
        <v>354</v>
      </c>
      <c r="I40" s="102" t="s">
        <v>284</v>
      </c>
      <c r="J40" s="102" t="s">
        <v>26</v>
      </c>
      <c r="L40" s="229" t="s">
        <v>3358</v>
      </c>
      <c r="M40" s="229" t="s">
        <v>3359</v>
      </c>
      <c r="O40" s="102">
        <v>5.0</v>
      </c>
      <c r="S40" s="230"/>
      <c r="T40" s="230" t="str">
        <f>IF(ISNUMBER(MATCH(B40, 'Sprint 20'!B:B, 0)), "มาจาก Sprint 20", "")</f>
        <v/>
      </c>
      <c r="U40" s="230" t="str">
        <f t="array" ref="U40">IF(ISNUMBER(MATCH(B40, 'Sprint 20'!B:B, 0)), INDEX('Sprint 20'!J:J, MATCH(B40, 'Sprint 20'!B:B, 0)), "")</f>
        <v/>
      </c>
      <c r="V40" s="230"/>
      <c r="W40" s="102" t="s">
        <v>1964</v>
      </c>
    </row>
    <row r="41">
      <c r="A41" s="102" t="s">
        <v>310</v>
      </c>
      <c r="B41" s="102" t="s">
        <v>3360</v>
      </c>
      <c r="C41" s="229" t="s">
        <v>3361</v>
      </c>
      <c r="D41" s="102" t="s">
        <v>3362</v>
      </c>
      <c r="E41" s="102" t="s">
        <v>353</v>
      </c>
      <c r="F41" s="102" t="s">
        <v>354</v>
      </c>
      <c r="G41" s="102" t="s">
        <v>353</v>
      </c>
      <c r="H41" s="102" t="s">
        <v>354</v>
      </c>
      <c r="I41" s="102" t="s">
        <v>284</v>
      </c>
      <c r="J41" s="102" t="s">
        <v>26</v>
      </c>
      <c r="L41" s="229" t="s">
        <v>3363</v>
      </c>
      <c r="M41" s="229" t="s">
        <v>3359</v>
      </c>
      <c r="O41" s="102">
        <v>5.0</v>
      </c>
      <c r="S41" s="230"/>
      <c r="T41" s="230" t="str">
        <f>IF(ISNUMBER(MATCH(B41, 'Sprint 20'!B:B, 0)), "มาจาก Sprint 20", "")</f>
        <v/>
      </c>
      <c r="U41" s="230" t="str">
        <f t="array" ref="U41">IF(ISNUMBER(MATCH(B41, 'Sprint 20'!B:B, 0)), INDEX('Sprint 20'!J:J, MATCH(B41, 'Sprint 20'!B:B, 0)), "")</f>
        <v/>
      </c>
      <c r="V41" s="230"/>
      <c r="W41" s="102" t="s">
        <v>1964</v>
      </c>
    </row>
    <row r="42">
      <c r="A42" s="102" t="s">
        <v>332</v>
      </c>
      <c r="B42" s="102" t="s">
        <v>3364</v>
      </c>
      <c r="C42" s="229" t="s">
        <v>3365</v>
      </c>
      <c r="D42" s="102" t="s">
        <v>3366</v>
      </c>
      <c r="E42" s="102" t="s">
        <v>495</v>
      </c>
      <c r="F42" s="102" t="s">
        <v>496</v>
      </c>
      <c r="G42" s="102" t="s">
        <v>280</v>
      </c>
      <c r="H42" s="102" t="s">
        <v>281</v>
      </c>
      <c r="I42" s="102" t="s">
        <v>284</v>
      </c>
      <c r="J42" s="102" t="s">
        <v>336</v>
      </c>
      <c r="L42" s="229" t="s">
        <v>3367</v>
      </c>
      <c r="M42" s="229" t="s">
        <v>3296</v>
      </c>
      <c r="O42" s="230"/>
      <c r="S42" s="230"/>
      <c r="T42" s="230" t="str">
        <f>IF(ISNUMBER(MATCH(B42, 'Sprint 20'!B:B, 0)), "มาจาก Sprint 20", "")</f>
        <v/>
      </c>
      <c r="U42" s="230" t="str">
        <f t="array" ref="U42">IF(ISNUMBER(MATCH(B42, 'Sprint 20'!B:B, 0)), INDEX('Sprint 20'!J:J, MATCH(B42, 'Sprint 20'!B:B, 0)), "")</f>
        <v/>
      </c>
      <c r="V42" s="230"/>
      <c r="W42" s="102" t="s">
        <v>529</v>
      </c>
    </row>
    <row r="43">
      <c r="A43" s="102" t="s">
        <v>332</v>
      </c>
      <c r="B43" s="102" t="s">
        <v>3368</v>
      </c>
      <c r="C43" s="229" t="s">
        <v>3369</v>
      </c>
      <c r="D43" s="102" t="s">
        <v>3370</v>
      </c>
      <c r="E43" s="102" t="s">
        <v>495</v>
      </c>
      <c r="F43" s="102" t="s">
        <v>496</v>
      </c>
      <c r="G43" s="102" t="s">
        <v>280</v>
      </c>
      <c r="H43" s="102" t="s">
        <v>281</v>
      </c>
      <c r="I43" s="102" t="s">
        <v>284</v>
      </c>
      <c r="J43" s="102" t="s">
        <v>336</v>
      </c>
      <c r="L43" s="229" t="s">
        <v>3371</v>
      </c>
      <c r="M43" s="229" t="s">
        <v>3372</v>
      </c>
      <c r="O43" s="230"/>
      <c r="S43" s="230"/>
      <c r="T43" s="230" t="str">
        <f>IF(ISNUMBER(MATCH(B43, 'Sprint 20'!B:B, 0)), "มาจาก Sprint 20", "")</f>
        <v/>
      </c>
      <c r="U43" s="230" t="str">
        <f t="array" ref="U43">IF(ISNUMBER(MATCH(B43, 'Sprint 20'!B:B, 0)), INDEX('Sprint 20'!J:J, MATCH(B43, 'Sprint 20'!B:B, 0)), "")</f>
        <v/>
      </c>
      <c r="V43" s="230"/>
      <c r="W43" s="102" t="s">
        <v>529</v>
      </c>
    </row>
    <row r="44">
      <c r="A44" s="102" t="s">
        <v>310</v>
      </c>
      <c r="B44" s="102" t="s">
        <v>3373</v>
      </c>
      <c r="C44" s="229" t="s">
        <v>3374</v>
      </c>
      <c r="D44" s="102" t="s">
        <v>3375</v>
      </c>
      <c r="E44" s="102" t="s">
        <v>495</v>
      </c>
      <c r="F44" s="102" t="s">
        <v>496</v>
      </c>
      <c r="G44" s="102" t="s">
        <v>304</v>
      </c>
      <c r="H44" s="102" t="s">
        <v>305</v>
      </c>
      <c r="I44" s="102" t="s">
        <v>648</v>
      </c>
      <c r="J44" s="102" t="s">
        <v>26</v>
      </c>
      <c r="L44" s="229" t="s">
        <v>3376</v>
      </c>
      <c r="M44" s="229" t="s">
        <v>3253</v>
      </c>
      <c r="N44" s="229" t="s">
        <v>1247</v>
      </c>
      <c r="O44" s="102">
        <v>3.0</v>
      </c>
      <c r="P44" s="102" t="s">
        <v>331</v>
      </c>
      <c r="S44" s="102">
        <v>28800.0</v>
      </c>
      <c r="T44" s="230" t="str">
        <f>IF(ISNUMBER(MATCH(B44, 'Sprint 20'!B:B, 0)), "มาจาก Sprint 20", "")</f>
        <v/>
      </c>
      <c r="U44" s="230" t="str">
        <f t="array" ref="U44">IF(ISNUMBER(MATCH(B44, 'Sprint 20'!B:B, 0)), INDEX('Sprint 20'!J:J, MATCH(B44, 'Sprint 20'!B:B, 0)), "")</f>
        <v/>
      </c>
      <c r="V44" s="102"/>
      <c r="W44" s="102" t="s">
        <v>529</v>
      </c>
    </row>
    <row r="45">
      <c r="A45" s="102" t="s">
        <v>310</v>
      </c>
      <c r="B45" s="102" t="s">
        <v>2452</v>
      </c>
      <c r="C45" s="229" t="s">
        <v>2453</v>
      </c>
      <c r="D45" s="102" t="s">
        <v>2454</v>
      </c>
      <c r="E45" s="102" t="s">
        <v>353</v>
      </c>
      <c r="F45" s="102" t="s">
        <v>354</v>
      </c>
      <c r="G45" s="102" t="s">
        <v>314</v>
      </c>
      <c r="H45" s="102" t="s">
        <v>315</v>
      </c>
      <c r="I45" s="102" t="s">
        <v>648</v>
      </c>
      <c r="J45" s="102" t="s">
        <v>34</v>
      </c>
      <c r="L45" s="229" t="s">
        <v>2455</v>
      </c>
      <c r="M45" s="229" t="s">
        <v>3377</v>
      </c>
      <c r="O45" s="102">
        <v>8.0</v>
      </c>
      <c r="S45" s="230"/>
      <c r="T45" s="230" t="str">
        <f>IF(ISNUMBER(MATCH(B45, 'Sprint 20'!B:B, 0)), "มาจาก Sprint 20", "")</f>
        <v/>
      </c>
      <c r="U45" s="230" t="str">
        <f t="array" ref="U45">IF(ISNUMBER(MATCH(B45, 'Sprint 20'!B:B, 0)), INDEX('Sprint 20'!J:J, MATCH(B45, 'Sprint 20'!B:B, 0)), "")</f>
        <v/>
      </c>
      <c r="V45" s="230"/>
      <c r="W45" s="102" t="s">
        <v>1964</v>
      </c>
    </row>
    <row r="46">
      <c r="A46" s="102" t="s">
        <v>310</v>
      </c>
      <c r="B46" s="102" t="s">
        <v>3129</v>
      </c>
      <c r="C46" s="229" t="s">
        <v>3130</v>
      </c>
      <c r="D46" s="102" t="s">
        <v>3378</v>
      </c>
      <c r="E46" s="102" t="s">
        <v>314</v>
      </c>
      <c r="F46" s="102" t="s">
        <v>315</v>
      </c>
      <c r="G46" s="102" t="s">
        <v>314</v>
      </c>
      <c r="H46" s="102" t="s">
        <v>315</v>
      </c>
      <c r="I46" s="102" t="s">
        <v>284</v>
      </c>
      <c r="J46" s="102" t="s">
        <v>26</v>
      </c>
      <c r="L46" s="229" t="s">
        <v>3132</v>
      </c>
      <c r="M46" s="229" t="s">
        <v>3379</v>
      </c>
      <c r="O46" s="102">
        <v>5.0</v>
      </c>
      <c r="S46" s="102">
        <v>57600.0</v>
      </c>
      <c r="T46" s="230" t="str">
        <f>IF(ISNUMBER(MATCH(B46, 'Sprint 20'!B:B, 0)), "มาจาก Sprint 20", "")</f>
        <v/>
      </c>
      <c r="U46" s="230" t="str">
        <f t="array" ref="U46">IF(ISNUMBER(MATCH(B46, 'Sprint 20'!B:B, 0)), INDEX('Sprint 20'!J:J, MATCH(B46, 'Sprint 20'!B:B, 0)), "")</f>
        <v/>
      </c>
      <c r="V46" s="230"/>
      <c r="W46" s="102" t="s">
        <v>1964</v>
      </c>
    </row>
    <row r="47">
      <c r="A47" s="102" t="s">
        <v>310</v>
      </c>
      <c r="B47" s="102" t="s">
        <v>3134</v>
      </c>
      <c r="C47" s="229" t="s">
        <v>3135</v>
      </c>
      <c r="D47" s="102" t="s">
        <v>3362</v>
      </c>
      <c r="E47" s="102" t="s">
        <v>314</v>
      </c>
      <c r="F47" s="102" t="s">
        <v>315</v>
      </c>
      <c r="G47" s="102" t="s">
        <v>314</v>
      </c>
      <c r="H47" s="102" t="s">
        <v>315</v>
      </c>
      <c r="I47" s="102" t="s">
        <v>284</v>
      </c>
      <c r="J47" s="102" t="s">
        <v>26</v>
      </c>
      <c r="L47" s="229" t="s">
        <v>3137</v>
      </c>
      <c r="M47" s="229" t="s">
        <v>3380</v>
      </c>
      <c r="O47" s="102">
        <v>5.0</v>
      </c>
      <c r="S47" s="102">
        <v>57600.0</v>
      </c>
      <c r="T47" s="230" t="str">
        <f>IF(ISNUMBER(MATCH(B47, 'Sprint 20'!B:B, 0)), "มาจาก Sprint 20", "")</f>
        <v/>
      </c>
      <c r="U47" s="230" t="str">
        <f t="array" ref="U47">IF(ISNUMBER(MATCH(B47, 'Sprint 20'!B:B, 0)), INDEX('Sprint 20'!J:J, MATCH(B47, 'Sprint 20'!B:B, 0)), "")</f>
        <v/>
      </c>
      <c r="V47" s="230"/>
      <c r="W47" s="102" t="s">
        <v>1964</v>
      </c>
    </row>
    <row r="48">
      <c r="A48" s="102" t="s">
        <v>310</v>
      </c>
      <c r="B48" s="102" t="s">
        <v>3381</v>
      </c>
      <c r="C48" s="229" t="s">
        <v>3382</v>
      </c>
      <c r="D48" s="102" t="s">
        <v>3383</v>
      </c>
      <c r="E48" s="102" t="s">
        <v>353</v>
      </c>
      <c r="F48" s="102" t="s">
        <v>354</v>
      </c>
      <c r="G48" s="102" t="s">
        <v>314</v>
      </c>
      <c r="H48" s="102" t="s">
        <v>315</v>
      </c>
      <c r="I48" s="102" t="s">
        <v>284</v>
      </c>
      <c r="J48" s="102" t="s">
        <v>26</v>
      </c>
      <c r="L48" s="229" t="s">
        <v>3384</v>
      </c>
      <c r="M48" s="229" t="s">
        <v>3385</v>
      </c>
      <c r="O48" s="102">
        <v>3.0</v>
      </c>
      <c r="S48" s="102">
        <v>28800.0</v>
      </c>
      <c r="T48" s="230" t="str">
        <f>IF(ISNUMBER(MATCH(B48, 'Sprint 20'!B:B, 0)), "มาจาก Sprint 20", "")</f>
        <v/>
      </c>
      <c r="U48" s="230" t="str">
        <f t="array" ref="U48">IF(ISNUMBER(MATCH(B48, 'Sprint 20'!B:B, 0)), INDEX('Sprint 20'!J:J, MATCH(B48, 'Sprint 20'!B:B, 0)), "")</f>
        <v/>
      </c>
      <c r="V48" s="102"/>
      <c r="W48" s="102" t="s">
        <v>1964</v>
      </c>
    </row>
    <row r="49">
      <c r="A49" s="102" t="s">
        <v>630</v>
      </c>
      <c r="B49" s="102" t="s">
        <v>2952</v>
      </c>
      <c r="C49" s="229" t="s">
        <v>2953</v>
      </c>
      <c r="D49" s="102" t="s">
        <v>1200</v>
      </c>
      <c r="G49" s="102" t="s">
        <v>353</v>
      </c>
      <c r="H49" s="102" t="s">
        <v>354</v>
      </c>
      <c r="I49" s="102" t="s">
        <v>284</v>
      </c>
      <c r="J49" s="102" t="s">
        <v>63</v>
      </c>
      <c r="L49" s="229" t="s">
        <v>2954</v>
      </c>
      <c r="M49" s="229" t="s">
        <v>2954</v>
      </c>
      <c r="N49" s="229" t="s">
        <v>1202</v>
      </c>
      <c r="O49" s="230"/>
      <c r="P49" s="102" t="s">
        <v>1855</v>
      </c>
      <c r="S49" s="230"/>
      <c r="T49" s="230" t="str">
        <f>IF(ISNUMBER(MATCH(B49, 'Sprint 20'!B:B, 0)), "มาจาก Sprint 20", "")</f>
        <v/>
      </c>
      <c r="U49" s="230" t="str">
        <f t="array" ref="U49">IF(ISNUMBER(MATCH(B49, 'Sprint 20'!B:B, 0)), INDEX('Sprint 20'!J:J, MATCH(B49, 'Sprint 20'!B:B, 0)), "")</f>
        <v/>
      </c>
      <c r="V49" s="230"/>
      <c r="W49" s="102" t="s">
        <v>2956</v>
      </c>
    </row>
    <row r="50">
      <c r="A50" s="102" t="s">
        <v>630</v>
      </c>
      <c r="B50" s="102" t="s">
        <v>1198</v>
      </c>
      <c r="C50" s="229" t="s">
        <v>1199</v>
      </c>
      <c r="D50" s="102" t="s">
        <v>1200</v>
      </c>
      <c r="G50" s="102" t="s">
        <v>353</v>
      </c>
      <c r="H50" s="102" t="s">
        <v>354</v>
      </c>
      <c r="I50" s="102" t="s">
        <v>284</v>
      </c>
      <c r="J50" s="102" t="s">
        <v>63</v>
      </c>
      <c r="L50" s="229" t="s">
        <v>1201</v>
      </c>
      <c r="M50" s="229" t="s">
        <v>3314</v>
      </c>
      <c r="N50" s="229" t="s">
        <v>1202</v>
      </c>
      <c r="O50" s="230"/>
      <c r="S50" s="230"/>
      <c r="T50" s="230" t="str">
        <f>IF(ISNUMBER(MATCH(B50, 'Sprint 20'!B:B, 0)), "มาจาก Sprint 20", "")</f>
        <v/>
      </c>
      <c r="U50" s="230" t="str">
        <f t="array" ref="U50">IF(ISNUMBER(MATCH(B50, 'Sprint 20'!B:B, 0)), INDEX('Sprint 20'!J:J, MATCH(B50, 'Sprint 20'!B:B, 0)), "")</f>
        <v/>
      </c>
      <c r="V50" s="230"/>
      <c r="W50" s="102" t="s">
        <v>1203</v>
      </c>
      <c r="X50" s="102" t="s">
        <v>1204</v>
      </c>
    </row>
    <row r="51">
      <c r="A51" s="102" t="s">
        <v>310</v>
      </c>
      <c r="B51" s="102" t="s">
        <v>1947</v>
      </c>
      <c r="C51" s="229" t="s">
        <v>1948</v>
      </c>
      <c r="D51" s="102" t="s">
        <v>1949</v>
      </c>
      <c r="E51" s="102" t="s">
        <v>556</v>
      </c>
      <c r="F51" s="102" t="s">
        <v>557</v>
      </c>
      <c r="G51" s="102" t="s">
        <v>282</v>
      </c>
      <c r="H51" s="102" t="s">
        <v>283</v>
      </c>
      <c r="I51" s="102" t="s">
        <v>648</v>
      </c>
      <c r="J51" s="102" t="s">
        <v>454</v>
      </c>
      <c r="L51" s="229" t="s">
        <v>1950</v>
      </c>
      <c r="M51" s="229" t="s">
        <v>3298</v>
      </c>
      <c r="N51" s="229" t="s">
        <v>1202</v>
      </c>
      <c r="O51" s="102">
        <v>5.0</v>
      </c>
      <c r="S51" s="230"/>
      <c r="T51" s="230" t="str">
        <f>IF(ISNUMBER(MATCH(B51, 'Sprint 20'!B:B, 0)), "มาจาก Sprint 20", "")</f>
        <v/>
      </c>
      <c r="U51" s="230" t="str">
        <f t="array" ref="U51">IF(ISNUMBER(MATCH(B51, 'Sprint 20'!B:B, 0)), INDEX('Sprint 20'!J:J, MATCH(B51, 'Sprint 20'!B:B, 0)), "")</f>
        <v/>
      </c>
      <c r="V51" s="230"/>
      <c r="W51" s="102" t="s">
        <v>529</v>
      </c>
      <c r="X51" s="102" t="s">
        <v>298</v>
      </c>
    </row>
    <row r="52">
      <c r="A52" s="102" t="s">
        <v>276</v>
      </c>
      <c r="B52" s="102" t="s">
        <v>3386</v>
      </c>
      <c r="C52" s="229" t="s">
        <v>3387</v>
      </c>
      <c r="D52" s="102" t="s">
        <v>3388</v>
      </c>
      <c r="E52" s="102" t="s">
        <v>513</v>
      </c>
      <c r="F52" s="102" t="s">
        <v>514</v>
      </c>
      <c r="G52" s="102" t="s">
        <v>513</v>
      </c>
      <c r="H52" s="102" t="s">
        <v>514</v>
      </c>
      <c r="I52" s="102" t="s">
        <v>284</v>
      </c>
      <c r="J52" s="102" t="s">
        <v>26</v>
      </c>
      <c r="L52" s="229" t="s">
        <v>3389</v>
      </c>
      <c r="M52" s="229" t="s">
        <v>3390</v>
      </c>
      <c r="O52" s="102">
        <v>2.0</v>
      </c>
      <c r="S52" s="102">
        <v>7200.0</v>
      </c>
      <c r="T52" s="230" t="str">
        <f>IF(ISNUMBER(MATCH(B52, 'Sprint 20'!B:B, 0)), "มาจาก Sprint 20", "")</f>
        <v/>
      </c>
      <c r="U52" s="230" t="str">
        <f t="array" ref="U52">IF(ISNUMBER(MATCH(B52, 'Sprint 20'!B:B, 0)), INDEX('Sprint 20'!J:J, MATCH(B52, 'Sprint 20'!B:B, 0)), "")</f>
        <v/>
      </c>
      <c r="V52" s="102"/>
      <c r="W52" s="102" t="s">
        <v>1085</v>
      </c>
      <c r="X52" s="102" t="s">
        <v>529</v>
      </c>
    </row>
    <row r="53">
      <c r="A53" s="102" t="s">
        <v>276</v>
      </c>
      <c r="B53" s="102" t="s">
        <v>3391</v>
      </c>
      <c r="C53" s="229" t="s">
        <v>3392</v>
      </c>
      <c r="D53" s="102" t="s">
        <v>3393</v>
      </c>
      <c r="E53" s="102" t="s">
        <v>513</v>
      </c>
      <c r="F53" s="102" t="s">
        <v>514</v>
      </c>
      <c r="G53" s="102" t="s">
        <v>513</v>
      </c>
      <c r="H53" s="102" t="s">
        <v>514</v>
      </c>
      <c r="I53" s="102" t="s">
        <v>284</v>
      </c>
      <c r="J53" s="102" t="s">
        <v>26</v>
      </c>
      <c r="L53" s="229" t="s">
        <v>3394</v>
      </c>
      <c r="M53" s="229" t="s">
        <v>3395</v>
      </c>
      <c r="O53" s="102">
        <v>2.0</v>
      </c>
      <c r="S53" s="102">
        <v>14400.0</v>
      </c>
      <c r="T53" s="230" t="str">
        <f>IF(ISNUMBER(MATCH(B53, 'Sprint 20'!B:B, 0)), "มาจาก Sprint 20", "")</f>
        <v>มาจาก Sprint 20</v>
      </c>
      <c r="U53" s="230" t="str">
        <f t="array" ref="U53">IF(ISNUMBER(MATCH(B53, 'Sprint 20'!B:B, 0)), INDEX('Sprint 20'!J:J, MATCH(B53, 'Sprint 20'!B:B, 0)), "")</f>
        <v>To Do</v>
      </c>
      <c r="V53" s="102"/>
      <c r="W53" s="102" t="s">
        <v>1085</v>
      </c>
      <c r="X53" s="102" t="s">
        <v>529</v>
      </c>
    </row>
    <row r="54">
      <c r="A54" s="102" t="s">
        <v>310</v>
      </c>
      <c r="B54" s="102" t="s">
        <v>3396</v>
      </c>
      <c r="C54" s="229" t="s">
        <v>3397</v>
      </c>
      <c r="D54" s="102" t="s">
        <v>3398</v>
      </c>
      <c r="E54" s="102" t="s">
        <v>353</v>
      </c>
      <c r="F54" s="102" t="s">
        <v>354</v>
      </c>
      <c r="G54" s="102" t="s">
        <v>353</v>
      </c>
      <c r="H54" s="102" t="s">
        <v>354</v>
      </c>
      <c r="I54" s="102" t="s">
        <v>284</v>
      </c>
      <c r="J54" s="102" t="s">
        <v>26</v>
      </c>
      <c r="L54" s="229" t="s">
        <v>3399</v>
      </c>
      <c r="M54" s="229" t="s">
        <v>3400</v>
      </c>
      <c r="O54" s="102">
        <v>3.0</v>
      </c>
      <c r="S54" s="230"/>
      <c r="T54" s="230" t="str">
        <f>IF(ISNUMBER(MATCH(B54, 'Sprint 20'!B:B, 0)), "มาจาก Sprint 20", "")</f>
        <v>มาจาก Sprint 20</v>
      </c>
      <c r="U54" s="230" t="str">
        <f t="array" ref="U54">IF(ISNUMBER(MATCH(B54, 'Sprint 20'!B:B, 0)), INDEX('Sprint 20'!J:J, MATCH(B54, 'Sprint 20'!B:B, 0)), "")</f>
        <v>In Progress</v>
      </c>
      <c r="V54" s="230"/>
      <c r="W54" s="102" t="s">
        <v>3038</v>
      </c>
      <c r="X54" s="102" t="s">
        <v>2956</v>
      </c>
    </row>
    <row r="55">
      <c r="A55" s="102" t="s">
        <v>276</v>
      </c>
      <c r="B55" s="102" t="s">
        <v>2458</v>
      </c>
      <c r="C55" s="229" t="s">
        <v>2459</v>
      </c>
      <c r="D55" s="102" t="s">
        <v>2460</v>
      </c>
      <c r="E55" s="102" t="s">
        <v>584</v>
      </c>
      <c r="F55" s="102" t="s">
        <v>585</v>
      </c>
      <c r="G55" s="102" t="s">
        <v>584</v>
      </c>
      <c r="H55" s="102" t="s">
        <v>585</v>
      </c>
      <c r="I55" s="102" t="s">
        <v>284</v>
      </c>
      <c r="J55" s="102" t="s">
        <v>26</v>
      </c>
      <c r="L55" s="229" t="s">
        <v>2461</v>
      </c>
      <c r="M55" s="229" t="s">
        <v>2462</v>
      </c>
      <c r="O55" s="230"/>
      <c r="S55" s="230"/>
      <c r="T55" s="230" t="str">
        <f>IF(ISNUMBER(MATCH(B55, 'Sprint 20'!B:B, 0)), "มาจาก Sprint 20", "")</f>
        <v>มาจาก Sprint 20</v>
      </c>
      <c r="U55" s="230" t="str">
        <f t="array" ref="U55">IF(ISNUMBER(MATCH(B55, 'Sprint 20'!B:B, 0)), INDEX('Sprint 20'!J:J, MATCH(B55, 'Sprint 20'!B:B, 0)), "")</f>
        <v>To Do</v>
      </c>
      <c r="V55" s="230"/>
      <c r="W55" s="102" t="s">
        <v>2271</v>
      </c>
      <c r="X55" s="102" t="s">
        <v>2272</v>
      </c>
      <c r="Y55" s="102" t="s">
        <v>2273</v>
      </c>
    </row>
    <row r="56">
      <c r="A56" s="102" t="s">
        <v>276</v>
      </c>
      <c r="B56" s="102" t="s">
        <v>2463</v>
      </c>
      <c r="C56" s="229" t="s">
        <v>2464</v>
      </c>
      <c r="D56" s="102" t="s">
        <v>2465</v>
      </c>
      <c r="E56" s="102" t="s">
        <v>584</v>
      </c>
      <c r="F56" s="102" t="s">
        <v>585</v>
      </c>
      <c r="G56" s="102" t="s">
        <v>584</v>
      </c>
      <c r="H56" s="102" t="s">
        <v>585</v>
      </c>
      <c r="I56" s="102" t="s">
        <v>284</v>
      </c>
      <c r="J56" s="102" t="s">
        <v>26</v>
      </c>
      <c r="L56" s="229" t="s">
        <v>2461</v>
      </c>
      <c r="M56" s="229" t="s">
        <v>2466</v>
      </c>
      <c r="O56" s="230"/>
      <c r="S56" s="102">
        <v>0.0</v>
      </c>
      <c r="T56" s="230" t="str">
        <f>IF(ISNUMBER(MATCH(B56, 'Sprint 20'!B:B, 0)), "มาจาก Sprint 20", "")</f>
        <v>มาจาก Sprint 20</v>
      </c>
      <c r="U56" s="230" t="str">
        <f t="array" ref="U56">IF(ISNUMBER(MATCH(B56, 'Sprint 20'!B:B, 0)), INDEX('Sprint 20'!J:J, MATCH(B56, 'Sprint 20'!B:B, 0)), "")</f>
        <v>Done</v>
      </c>
      <c r="V56" s="102">
        <v>28800.0</v>
      </c>
      <c r="W56" s="102" t="s">
        <v>2271</v>
      </c>
      <c r="X56" s="102" t="s">
        <v>2272</v>
      </c>
      <c r="Y56" s="102" t="s">
        <v>2273</v>
      </c>
    </row>
    <row r="57">
      <c r="A57" s="102" t="s">
        <v>276</v>
      </c>
      <c r="B57" s="102" t="s">
        <v>2467</v>
      </c>
      <c r="C57" s="229" t="s">
        <v>2468</v>
      </c>
      <c r="D57" s="102" t="s">
        <v>2469</v>
      </c>
      <c r="E57" s="102" t="s">
        <v>584</v>
      </c>
      <c r="F57" s="102" t="s">
        <v>585</v>
      </c>
      <c r="G57" s="102" t="s">
        <v>584</v>
      </c>
      <c r="H57" s="102" t="s">
        <v>585</v>
      </c>
      <c r="I57" s="102" t="s">
        <v>284</v>
      </c>
      <c r="J57" s="102" t="s">
        <v>26</v>
      </c>
      <c r="L57" s="229" t="s">
        <v>2470</v>
      </c>
      <c r="M57" s="229" t="s">
        <v>2466</v>
      </c>
      <c r="O57" s="230"/>
      <c r="S57" s="102">
        <v>0.0</v>
      </c>
      <c r="T57" s="230" t="str">
        <f>IF(ISNUMBER(MATCH(B57, 'Sprint 20'!B:B, 0)), "มาจาก Sprint 20", "")</f>
        <v>มาจาก Sprint 20</v>
      </c>
      <c r="U57" s="230" t="str">
        <f t="array" ref="U57">IF(ISNUMBER(MATCH(B57, 'Sprint 20'!B:B, 0)), INDEX('Sprint 20'!J:J, MATCH(B57, 'Sprint 20'!B:B, 0)), "")</f>
        <v>Done</v>
      </c>
      <c r="V57" s="102">
        <v>14400.0</v>
      </c>
      <c r="W57" s="102" t="s">
        <v>2271</v>
      </c>
      <c r="X57" s="102" t="s">
        <v>2272</v>
      </c>
      <c r="Y57" s="102" t="s">
        <v>2273</v>
      </c>
    </row>
    <row r="58">
      <c r="A58" s="102" t="s">
        <v>276</v>
      </c>
      <c r="B58" s="102" t="s">
        <v>2471</v>
      </c>
      <c r="C58" s="229" t="s">
        <v>2472</v>
      </c>
      <c r="D58" s="102" t="s">
        <v>2473</v>
      </c>
      <c r="E58" s="102" t="s">
        <v>584</v>
      </c>
      <c r="F58" s="102" t="s">
        <v>585</v>
      </c>
      <c r="G58" s="102" t="s">
        <v>584</v>
      </c>
      <c r="H58" s="102" t="s">
        <v>585</v>
      </c>
      <c r="I58" s="102" t="s">
        <v>284</v>
      </c>
      <c r="J58" s="102" t="s">
        <v>26</v>
      </c>
      <c r="L58" s="229" t="s">
        <v>2474</v>
      </c>
      <c r="M58" s="229" t="s">
        <v>2466</v>
      </c>
      <c r="O58" s="230"/>
      <c r="S58" s="102">
        <v>0.0</v>
      </c>
      <c r="T58" s="230" t="str">
        <f>IF(ISNUMBER(MATCH(B58, 'Sprint 20'!B:B, 0)), "มาจาก Sprint 20", "")</f>
        <v>มาจาก Sprint 20</v>
      </c>
      <c r="U58" s="230" t="str">
        <f t="array" ref="U58">IF(ISNUMBER(MATCH(B58, 'Sprint 20'!B:B, 0)), INDEX('Sprint 20'!J:J, MATCH(B58, 'Sprint 20'!B:B, 0)), "")</f>
        <v>Done</v>
      </c>
      <c r="V58" s="102">
        <v>43200.0</v>
      </c>
      <c r="W58" s="102" t="s">
        <v>2271</v>
      </c>
      <c r="X58" s="102" t="s">
        <v>2272</v>
      </c>
      <c r="Y58" s="102" t="s">
        <v>2273</v>
      </c>
    </row>
    <row r="59">
      <c r="A59" s="102" t="s">
        <v>310</v>
      </c>
      <c r="B59" s="102" t="s">
        <v>2959</v>
      </c>
      <c r="C59" s="229" t="s">
        <v>2960</v>
      </c>
      <c r="D59" s="102" t="s">
        <v>2961</v>
      </c>
      <c r="E59" s="102" t="s">
        <v>564</v>
      </c>
      <c r="F59" s="102" t="s">
        <v>565</v>
      </c>
      <c r="G59" s="102" t="s">
        <v>353</v>
      </c>
      <c r="H59" s="102" t="s">
        <v>354</v>
      </c>
      <c r="I59" s="102" t="s">
        <v>284</v>
      </c>
      <c r="J59" s="102" t="s">
        <v>454</v>
      </c>
      <c r="L59" s="229" t="s">
        <v>2962</v>
      </c>
      <c r="M59" s="229" t="s">
        <v>3401</v>
      </c>
      <c r="N59" s="229" t="s">
        <v>2515</v>
      </c>
      <c r="O59" s="102">
        <v>2.0</v>
      </c>
      <c r="S59" s="102">
        <v>14400.0</v>
      </c>
      <c r="T59" s="230" t="str">
        <f>IF(ISNUMBER(MATCH(B59, 'Sprint 20'!B:B, 0)), "มาจาก Sprint 20", "")</f>
        <v/>
      </c>
      <c r="U59" s="230" t="str">
        <f t="array" ref="U59">IF(ISNUMBER(MATCH(B59, 'Sprint 20'!B:B, 0)), INDEX('Sprint 20'!J:J, MATCH(B59, 'Sprint 20'!B:B, 0)), "")</f>
        <v/>
      </c>
      <c r="V59" s="102"/>
      <c r="W59" s="102" t="s">
        <v>2956</v>
      </c>
    </row>
    <row r="60">
      <c r="A60" s="102" t="s">
        <v>310</v>
      </c>
      <c r="B60" s="102" t="s">
        <v>2964</v>
      </c>
      <c r="C60" s="229" t="s">
        <v>2965</v>
      </c>
      <c r="D60" s="102" t="s">
        <v>2966</v>
      </c>
      <c r="E60" s="102" t="s">
        <v>564</v>
      </c>
      <c r="F60" s="102" t="s">
        <v>565</v>
      </c>
      <c r="G60" s="102" t="s">
        <v>353</v>
      </c>
      <c r="H60" s="102" t="s">
        <v>354</v>
      </c>
      <c r="I60" s="102" t="s">
        <v>284</v>
      </c>
      <c r="J60" s="102" t="s">
        <v>454</v>
      </c>
      <c r="L60" s="229" t="s">
        <v>2967</v>
      </c>
      <c r="M60" s="229" t="s">
        <v>3401</v>
      </c>
      <c r="N60" s="229" t="s">
        <v>2515</v>
      </c>
      <c r="O60" s="102">
        <v>2.0</v>
      </c>
      <c r="S60" s="102">
        <v>14400.0</v>
      </c>
      <c r="T60" s="230" t="str">
        <f>IF(ISNUMBER(MATCH(B60, 'Sprint 20'!B:B, 0)), "มาจาก Sprint 20", "")</f>
        <v/>
      </c>
      <c r="U60" s="230" t="str">
        <f t="array" ref="U60">IF(ISNUMBER(MATCH(B60, 'Sprint 20'!B:B, 0)), INDEX('Sprint 20'!J:J, MATCH(B60, 'Sprint 20'!B:B, 0)), "")</f>
        <v/>
      </c>
      <c r="V60" s="102"/>
      <c r="W60" s="102" t="s">
        <v>2956</v>
      </c>
    </row>
    <row r="61">
      <c r="A61" s="102" t="s">
        <v>310</v>
      </c>
      <c r="B61" s="102" t="s">
        <v>1951</v>
      </c>
      <c r="C61" s="229" t="s">
        <v>1952</v>
      </c>
      <c r="D61" s="102" t="s">
        <v>1953</v>
      </c>
      <c r="E61" s="102" t="s">
        <v>564</v>
      </c>
      <c r="F61" s="102" t="s">
        <v>565</v>
      </c>
      <c r="G61" s="102" t="s">
        <v>353</v>
      </c>
      <c r="H61" s="102" t="s">
        <v>354</v>
      </c>
      <c r="I61" s="102" t="s">
        <v>284</v>
      </c>
      <c r="J61" s="102" t="s">
        <v>454</v>
      </c>
      <c r="L61" s="229" t="s">
        <v>1954</v>
      </c>
      <c r="M61" s="229" t="s">
        <v>3401</v>
      </c>
      <c r="N61" s="229" t="s">
        <v>1955</v>
      </c>
      <c r="O61" s="102">
        <v>5.0</v>
      </c>
      <c r="P61" s="102" t="s">
        <v>1855</v>
      </c>
      <c r="S61" s="102">
        <v>43200.0</v>
      </c>
      <c r="T61" s="230" t="str">
        <f>IF(ISNUMBER(MATCH(B61, 'Sprint 20'!B:B, 0)), "มาจาก Sprint 20", "")</f>
        <v/>
      </c>
      <c r="U61" s="230" t="str">
        <f t="array" ref="U61">IF(ISNUMBER(MATCH(B61, 'Sprint 20'!B:B, 0)), INDEX('Sprint 20'!J:J, MATCH(B61, 'Sprint 20'!B:B, 0)), "")</f>
        <v/>
      </c>
      <c r="V61" s="102"/>
      <c r="W61" s="102" t="s">
        <v>1203</v>
      </c>
      <c r="X61" s="102" t="s">
        <v>1204</v>
      </c>
    </row>
    <row r="62">
      <c r="A62" s="102" t="s">
        <v>310</v>
      </c>
      <c r="B62" s="102" t="s">
        <v>3402</v>
      </c>
      <c r="C62" s="229" t="s">
        <v>3403</v>
      </c>
      <c r="D62" s="102" t="s">
        <v>3327</v>
      </c>
      <c r="E62" s="102" t="s">
        <v>282</v>
      </c>
      <c r="F62" s="102" t="s">
        <v>283</v>
      </c>
      <c r="G62" s="102" t="s">
        <v>282</v>
      </c>
      <c r="H62" s="102" t="s">
        <v>283</v>
      </c>
      <c r="I62" s="102" t="s">
        <v>284</v>
      </c>
      <c r="J62" s="102" t="s">
        <v>26</v>
      </c>
      <c r="L62" s="229" t="s">
        <v>3141</v>
      </c>
      <c r="M62" s="229" t="s">
        <v>2826</v>
      </c>
      <c r="O62" s="102">
        <v>13.0</v>
      </c>
      <c r="S62" s="102">
        <v>144000.0</v>
      </c>
      <c r="T62" s="230" t="str">
        <f>IF(ISNUMBER(MATCH(B62, 'Sprint 20'!B:B, 0)), "มาจาก Sprint 20", "")</f>
        <v/>
      </c>
      <c r="U62" s="230" t="str">
        <f t="array" ref="U62">IF(ISNUMBER(MATCH(B62, 'Sprint 20'!B:B, 0)), INDEX('Sprint 20'!J:J, MATCH(B62, 'Sprint 20'!B:B, 0)), "")</f>
        <v/>
      </c>
      <c r="V62" s="102"/>
      <c r="W62" s="102" t="s">
        <v>529</v>
      </c>
    </row>
    <row r="63">
      <c r="A63" s="102" t="s">
        <v>310</v>
      </c>
      <c r="B63" s="102" t="s">
        <v>3404</v>
      </c>
      <c r="C63" s="229" t="s">
        <v>3405</v>
      </c>
      <c r="D63" s="102" t="s">
        <v>3406</v>
      </c>
      <c r="E63" s="102" t="s">
        <v>282</v>
      </c>
      <c r="F63" s="102" t="s">
        <v>283</v>
      </c>
      <c r="G63" s="102" t="s">
        <v>282</v>
      </c>
      <c r="H63" s="102" t="s">
        <v>283</v>
      </c>
      <c r="I63" s="102" t="s">
        <v>284</v>
      </c>
      <c r="J63" s="102" t="s">
        <v>26</v>
      </c>
      <c r="L63" s="229" t="s">
        <v>3407</v>
      </c>
      <c r="M63" s="229" t="s">
        <v>3408</v>
      </c>
      <c r="O63" s="102">
        <v>8.0</v>
      </c>
      <c r="P63" s="102" t="s">
        <v>593</v>
      </c>
      <c r="S63" s="102">
        <v>86400.0</v>
      </c>
      <c r="T63" s="230" t="str">
        <f>IF(ISNUMBER(MATCH(B63, 'Sprint 20'!B:B, 0)), "มาจาก Sprint 20", "")</f>
        <v/>
      </c>
      <c r="U63" s="230" t="str">
        <f t="array" ref="U63">IF(ISNUMBER(MATCH(B63, 'Sprint 20'!B:B, 0)), INDEX('Sprint 20'!J:J, MATCH(B63, 'Sprint 20'!B:B, 0)), "")</f>
        <v/>
      </c>
      <c r="V63" s="102"/>
      <c r="W63" s="102" t="s">
        <v>529</v>
      </c>
    </row>
    <row r="64">
      <c r="A64" s="102" t="s">
        <v>310</v>
      </c>
      <c r="B64" s="102" t="s">
        <v>3409</v>
      </c>
      <c r="C64" s="229" t="s">
        <v>3410</v>
      </c>
      <c r="D64" s="102" t="s">
        <v>3411</v>
      </c>
      <c r="E64" s="102" t="s">
        <v>353</v>
      </c>
      <c r="F64" s="102" t="s">
        <v>354</v>
      </c>
      <c r="G64" s="102" t="s">
        <v>353</v>
      </c>
      <c r="H64" s="102" t="s">
        <v>354</v>
      </c>
      <c r="I64" s="102" t="s">
        <v>284</v>
      </c>
      <c r="J64" s="102" t="s">
        <v>26</v>
      </c>
      <c r="L64" s="229" t="s">
        <v>3412</v>
      </c>
      <c r="M64" s="229" t="s">
        <v>3274</v>
      </c>
      <c r="N64" s="229" t="s">
        <v>1941</v>
      </c>
      <c r="O64" s="102">
        <v>8.0</v>
      </c>
      <c r="S64" s="230"/>
      <c r="T64" s="230" t="str">
        <f>IF(ISNUMBER(MATCH(B64, 'Sprint 20'!B:B, 0)), "มาจาก Sprint 20", "")</f>
        <v/>
      </c>
      <c r="U64" s="230" t="str">
        <f t="array" ref="U64">IF(ISNUMBER(MATCH(B64, 'Sprint 20'!B:B, 0)), INDEX('Sprint 20'!J:J, MATCH(B64, 'Sprint 20'!B:B, 0)), "")</f>
        <v/>
      </c>
      <c r="V64" s="230"/>
      <c r="W64" s="102" t="s">
        <v>1203</v>
      </c>
    </row>
    <row r="65">
      <c r="A65" s="102" t="s">
        <v>276</v>
      </c>
      <c r="B65" s="102" t="s">
        <v>2475</v>
      </c>
      <c r="C65" s="229" t="s">
        <v>2476</v>
      </c>
      <c r="D65" s="102" t="s">
        <v>347</v>
      </c>
      <c r="E65" s="102" t="s">
        <v>280</v>
      </c>
      <c r="F65" s="102" t="s">
        <v>281</v>
      </c>
      <c r="G65" s="102" t="s">
        <v>1987</v>
      </c>
      <c r="H65" s="102" t="s">
        <v>1988</v>
      </c>
      <c r="I65" s="102" t="s">
        <v>284</v>
      </c>
      <c r="J65" s="102" t="s">
        <v>63</v>
      </c>
      <c r="L65" s="229" t="s">
        <v>2477</v>
      </c>
      <c r="M65" s="229" t="s">
        <v>2477</v>
      </c>
      <c r="O65" s="230"/>
      <c r="S65" s="230"/>
      <c r="T65" s="230" t="str">
        <f>IF(ISNUMBER(MATCH(B65, 'Sprint 20'!B:B, 0)), "มาจาก Sprint 20", "")</f>
        <v>มาจาก Sprint 20</v>
      </c>
      <c r="U65" s="230" t="str">
        <f t="array" ref="U65">IF(ISNUMBER(MATCH(B65, 'Sprint 20'!B:B, 0)), INDEX('Sprint 20'!J:J, MATCH(B65, 'Sprint 20'!B:B, 0)), "")</f>
        <v>To Do</v>
      </c>
      <c r="V65" s="230"/>
      <c r="W65" s="102" t="s">
        <v>1085</v>
      </c>
      <c r="X65" s="102" t="s">
        <v>529</v>
      </c>
      <c r="Y65" s="102" t="s">
        <v>298</v>
      </c>
    </row>
    <row r="66">
      <c r="A66" s="102" t="s">
        <v>276</v>
      </c>
      <c r="B66" s="102" t="s">
        <v>2479</v>
      </c>
      <c r="C66" s="229" t="s">
        <v>2480</v>
      </c>
      <c r="D66" s="102" t="s">
        <v>2030</v>
      </c>
      <c r="E66" s="102" t="s">
        <v>280</v>
      </c>
      <c r="F66" s="102" t="s">
        <v>281</v>
      </c>
      <c r="G66" s="102" t="s">
        <v>1987</v>
      </c>
      <c r="H66" s="102" t="s">
        <v>1988</v>
      </c>
      <c r="I66" s="102" t="s">
        <v>284</v>
      </c>
      <c r="J66" s="102" t="s">
        <v>34</v>
      </c>
      <c r="L66" s="229" t="s">
        <v>2477</v>
      </c>
      <c r="M66" s="229" t="s">
        <v>2971</v>
      </c>
      <c r="O66" s="230"/>
      <c r="S66" s="230"/>
      <c r="T66" s="230" t="str">
        <f>IF(ISNUMBER(MATCH(B66, 'Sprint 20'!B:B, 0)), "มาจาก Sprint 20", "")</f>
        <v>มาจาก Sprint 20</v>
      </c>
      <c r="U66" s="230" t="str">
        <f t="array" ref="U66">IF(ISNUMBER(MATCH(B66, 'Sprint 20'!B:B, 0)), INDEX('Sprint 20'!J:J, MATCH(B66, 'Sprint 20'!B:B, 0)), "")</f>
        <v>To Do</v>
      </c>
      <c r="V66" s="230"/>
      <c r="W66" s="102" t="s">
        <v>1085</v>
      </c>
      <c r="X66" s="102" t="s">
        <v>529</v>
      </c>
      <c r="Y66" s="102" t="s">
        <v>298</v>
      </c>
    </row>
    <row r="67">
      <c r="A67" s="102" t="s">
        <v>310</v>
      </c>
      <c r="B67" s="102" t="s">
        <v>3143</v>
      </c>
      <c r="C67" s="229" t="s">
        <v>3144</v>
      </c>
      <c r="D67" s="102" t="s">
        <v>3145</v>
      </c>
      <c r="E67" s="102" t="s">
        <v>556</v>
      </c>
      <c r="F67" s="102" t="s">
        <v>557</v>
      </c>
      <c r="G67" s="102" t="s">
        <v>304</v>
      </c>
      <c r="H67" s="102" t="s">
        <v>305</v>
      </c>
      <c r="I67" s="102" t="s">
        <v>284</v>
      </c>
      <c r="J67" s="102" t="s">
        <v>678</v>
      </c>
      <c r="L67" s="229" t="s">
        <v>3146</v>
      </c>
      <c r="M67" s="229" t="s">
        <v>3298</v>
      </c>
      <c r="O67" s="102">
        <v>2.0</v>
      </c>
      <c r="P67" s="102" t="s">
        <v>331</v>
      </c>
      <c r="S67" s="102">
        <v>14400.0</v>
      </c>
      <c r="T67" s="230" t="str">
        <f>IF(ISNUMBER(MATCH(B67, 'Sprint 20'!B:B, 0)), "มาจาก Sprint 20", "")</f>
        <v/>
      </c>
      <c r="U67" s="230" t="str">
        <f t="array" ref="U67">IF(ISNUMBER(MATCH(B67, 'Sprint 20'!B:B, 0)), INDEX('Sprint 20'!J:J, MATCH(B67, 'Sprint 20'!B:B, 0)), "")</f>
        <v/>
      </c>
      <c r="V67" s="102"/>
      <c r="W67" s="102" t="s">
        <v>529</v>
      </c>
      <c r="X67" s="102" t="s">
        <v>298</v>
      </c>
    </row>
    <row r="68">
      <c r="A68" s="102" t="s">
        <v>276</v>
      </c>
      <c r="B68" s="102" t="s">
        <v>3148</v>
      </c>
      <c r="C68" s="229" t="s">
        <v>3149</v>
      </c>
      <c r="D68" s="102" t="s">
        <v>279</v>
      </c>
      <c r="E68" s="102" t="s">
        <v>280</v>
      </c>
      <c r="F68" s="102" t="s">
        <v>281</v>
      </c>
      <c r="G68" s="102" t="s">
        <v>1987</v>
      </c>
      <c r="H68" s="102" t="s">
        <v>1988</v>
      </c>
      <c r="I68" s="102" t="s">
        <v>284</v>
      </c>
      <c r="J68" s="102" t="s">
        <v>26</v>
      </c>
      <c r="L68" s="229" t="s">
        <v>2980</v>
      </c>
      <c r="M68" s="229" t="s">
        <v>3150</v>
      </c>
      <c r="O68" s="230"/>
      <c r="S68" s="230"/>
      <c r="T68" s="230" t="str">
        <f>IF(ISNUMBER(MATCH(B68, 'Sprint 20'!B:B, 0)), "มาจาก Sprint 20", "")</f>
        <v>มาจาก Sprint 20</v>
      </c>
      <c r="U68" s="230" t="str">
        <f t="array" ref="U68">IF(ISNUMBER(MATCH(B68, 'Sprint 20'!B:B, 0)), INDEX('Sprint 20'!J:J, MATCH(B68, 'Sprint 20'!B:B, 0)), "")</f>
        <v>To Do</v>
      </c>
      <c r="V68" s="230"/>
      <c r="W68" s="102" t="s">
        <v>1085</v>
      </c>
      <c r="X68" s="102" t="s">
        <v>529</v>
      </c>
      <c r="Y68" s="102" t="s">
        <v>298</v>
      </c>
    </row>
    <row r="69">
      <c r="A69" s="102" t="s">
        <v>276</v>
      </c>
      <c r="B69" s="102" t="s">
        <v>3151</v>
      </c>
      <c r="C69" s="229" t="s">
        <v>3152</v>
      </c>
      <c r="D69" s="102" t="s">
        <v>279</v>
      </c>
      <c r="E69" s="102" t="s">
        <v>280</v>
      </c>
      <c r="F69" s="102" t="s">
        <v>281</v>
      </c>
      <c r="G69" s="102" t="s">
        <v>1987</v>
      </c>
      <c r="H69" s="102" t="s">
        <v>1988</v>
      </c>
      <c r="I69" s="102" t="s">
        <v>284</v>
      </c>
      <c r="J69" s="102" t="s">
        <v>26</v>
      </c>
      <c r="L69" s="229" t="s">
        <v>2980</v>
      </c>
      <c r="M69" s="229" t="s">
        <v>3153</v>
      </c>
      <c r="O69" s="230"/>
      <c r="S69" s="230"/>
      <c r="T69" s="230" t="str">
        <f>IF(ISNUMBER(MATCH(B69, 'Sprint 20'!B:B, 0)), "มาจาก Sprint 20", "")</f>
        <v>มาจาก Sprint 20</v>
      </c>
      <c r="U69" s="230" t="str">
        <f t="array" ref="U69">IF(ISNUMBER(MATCH(B69, 'Sprint 20'!B:B, 0)), INDEX('Sprint 20'!J:J, MATCH(B69, 'Sprint 20'!B:B, 0)), "")</f>
        <v>To Do</v>
      </c>
      <c r="V69" s="230"/>
      <c r="W69" s="102" t="s">
        <v>1085</v>
      </c>
      <c r="X69" s="102" t="s">
        <v>529</v>
      </c>
      <c r="Y69" s="102" t="s">
        <v>298</v>
      </c>
    </row>
    <row r="70">
      <c r="A70" s="102" t="s">
        <v>276</v>
      </c>
      <c r="B70" s="102" t="s">
        <v>3154</v>
      </c>
      <c r="C70" s="229" t="s">
        <v>3155</v>
      </c>
      <c r="D70" s="102" t="s">
        <v>279</v>
      </c>
      <c r="E70" s="102" t="s">
        <v>280</v>
      </c>
      <c r="F70" s="102" t="s">
        <v>281</v>
      </c>
      <c r="G70" s="102" t="s">
        <v>1987</v>
      </c>
      <c r="H70" s="102" t="s">
        <v>1988</v>
      </c>
      <c r="I70" s="102" t="s">
        <v>284</v>
      </c>
      <c r="J70" s="102" t="s">
        <v>26</v>
      </c>
      <c r="L70" s="229" t="s">
        <v>2980</v>
      </c>
      <c r="M70" s="229" t="s">
        <v>3156</v>
      </c>
      <c r="O70" s="230"/>
      <c r="S70" s="230"/>
      <c r="T70" s="230" t="str">
        <f>IF(ISNUMBER(MATCH(B70, 'Sprint 20'!B:B, 0)), "มาจาก Sprint 20", "")</f>
        <v>มาจาก Sprint 20</v>
      </c>
      <c r="U70" s="230" t="str">
        <f t="array" ref="U70">IF(ISNUMBER(MATCH(B70, 'Sprint 20'!B:B, 0)), INDEX('Sprint 20'!J:J, MATCH(B70, 'Sprint 20'!B:B, 0)), "")</f>
        <v>To Do</v>
      </c>
      <c r="V70" s="230"/>
      <c r="W70" s="102" t="s">
        <v>1085</v>
      </c>
      <c r="X70" s="102" t="s">
        <v>529</v>
      </c>
      <c r="Y70" s="102" t="s">
        <v>298</v>
      </c>
    </row>
    <row r="71">
      <c r="A71" s="102" t="s">
        <v>276</v>
      </c>
      <c r="B71" s="102" t="s">
        <v>3157</v>
      </c>
      <c r="C71" s="229" t="s">
        <v>3158</v>
      </c>
      <c r="D71" s="102" t="s">
        <v>279</v>
      </c>
      <c r="E71" s="102" t="s">
        <v>521</v>
      </c>
      <c r="F71" s="102" t="s">
        <v>522</v>
      </c>
      <c r="G71" s="102" t="s">
        <v>1987</v>
      </c>
      <c r="H71" s="102" t="s">
        <v>1988</v>
      </c>
      <c r="I71" s="102" t="s">
        <v>284</v>
      </c>
      <c r="J71" s="102" t="s">
        <v>63</v>
      </c>
      <c r="L71" s="229" t="s">
        <v>2980</v>
      </c>
      <c r="M71" s="229" t="s">
        <v>3413</v>
      </c>
      <c r="O71" s="230"/>
      <c r="S71" s="230"/>
      <c r="T71" s="230" t="str">
        <f>IF(ISNUMBER(MATCH(B71, 'Sprint 20'!B:B, 0)), "มาจาก Sprint 20", "")</f>
        <v>มาจาก Sprint 20</v>
      </c>
      <c r="U71" s="230" t="str">
        <f t="array" ref="U71">IF(ISNUMBER(MATCH(B71, 'Sprint 20'!B:B, 0)), INDEX('Sprint 20'!J:J, MATCH(B71, 'Sprint 20'!B:B, 0)), "")</f>
        <v>To Do</v>
      </c>
      <c r="V71" s="230"/>
      <c r="W71" s="102" t="s">
        <v>1085</v>
      </c>
      <c r="X71" s="102" t="s">
        <v>529</v>
      </c>
      <c r="Y71" s="102" t="s">
        <v>298</v>
      </c>
    </row>
    <row r="72">
      <c r="A72" s="102" t="s">
        <v>276</v>
      </c>
      <c r="B72" s="102" t="s">
        <v>3159</v>
      </c>
      <c r="C72" s="229" t="s">
        <v>3160</v>
      </c>
      <c r="D72" s="102" t="s">
        <v>279</v>
      </c>
      <c r="E72" s="102" t="s">
        <v>521</v>
      </c>
      <c r="F72" s="102" t="s">
        <v>522</v>
      </c>
      <c r="G72" s="102" t="s">
        <v>1987</v>
      </c>
      <c r="H72" s="102" t="s">
        <v>1988</v>
      </c>
      <c r="I72" s="102" t="s">
        <v>284</v>
      </c>
      <c r="J72" s="102" t="s">
        <v>63</v>
      </c>
      <c r="L72" s="229" t="s">
        <v>2980</v>
      </c>
      <c r="M72" s="229" t="s">
        <v>3413</v>
      </c>
      <c r="O72" s="230"/>
      <c r="S72" s="230"/>
      <c r="T72" s="230" t="str">
        <f>IF(ISNUMBER(MATCH(B72, 'Sprint 20'!B:B, 0)), "มาจาก Sprint 20", "")</f>
        <v>มาจาก Sprint 20</v>
      </c>
      <c r="U72" s="230" t="str">
        <f t="array" ref="U72">IF(ISNUMBER(MATCH(B72, 'Sprint 20'!B:B, 0)), INDEX('Sprint 20'!J:J, MATCH(B72, 'Sprint 20'!B:B, 0)), "")</f>
        <v>To Do</v>
      </c>
      <c r="V72" s="230"/>
      <c r="W72" s="102" t="s">
        <v>1085</v>
      </c>
      <c r="X72" s="102" t="s">
        <v>529</v>
      </c>
      <c r="Y72" s="102" t="s">
        <v>298</v>
      </c>
    </row>
    <row r="73">
      <c r="A73" s="102" t="s">
        <v>276</v>
      </c>
      <c r="B73" s="102" t="s">
        <v>2978</v>
      </c>
      <c r="C73" s="229" t="s">
        <v>2979</v>
      </c>
      <c r="D73" s="102" t="s">
        <v>279</v>
      </c>
      <c r="E73" s="102" t="s">
        <v>280</v>
      </c>
      <c r="F73" s="102" t="s">
        <v>281</v>
      </c>
      <c r="G73" s="102" t="s">
        <v>1987</v>
      </c>
      <c r="H73" s="102" t="s">
        <v>1988</v>
      </c>
      <c r="I73" s="102" t="s">
        <v>284</v>
      </c>
      <c r="J73" s="102" t="s">
        <v>63</v>
      </c>
      <c r="L73" s="229" t="s">
        <v>2980</v>
      </c>
      <c r="M73" s="229" t="s">
        <v>2980</v>
      </c>
      <c r="O73" s="230"/>
      <c r="S73" s="230"/>
      <c r="T73" s="230" t="str">
        <f>IF(ISNUMBER(MATCH(B73, 'Sprint 20'!B:B, 0)), "มาจาก Sprint 20", "")</f>
        <v>มาจาก Sprint 20</v>
      </c>
      <c r="U73" s="230" t="str">
        <f t="array" ref="U73">IF(ISNUMBER(MATCH(B73, 'Sprint 20'!B:B, 0)), INDEX('Sprint 20'!J:J, MATCH(B73, 'Sprint 20'!B:B, 0)), "")</f>
        <v>To Do</v>
      </c>
      <c r="V73" s="230"/>
      <c r="W73" s="102" t="s">
        <v>1085</v>
      </c>
      <c r="X73" s="102" t="s">
        <v>529</v>
      </c>
      <c r="Y73" s="102" t="s">
        <v>298</v>
      </c>
    </row>
    <row r="74">
      <c r="A74" s="102" t="s">
        <v>276</v>
      </c>
      <c r="B74" s="102" t="s">
        <v>2981</v>
      </c>
      <c r="C74" s="229" t="s">
        <v>2982</v>
      </c>
      <c r="D74" s="102" t="s">
        <v>279</v>
      </c>
      <c r="E74" s="102" t="s">
        <v>280</v>
      </c>
      <c r="F74" s="102" t="s">
        <v>281</v>
      </c>
      <c r="G74" s="102" t="s">
        <v>1987</v>
      </c>
      <c r="H74" s="102" t="s">
        <v>1988</v>
      </c>
      <c r="I74" s="102" t="s">
        <v>284</v>
      </c>
      <c r="J74" s="102" t="s">
        <v>34</v>
      </c>
      <c r="L74" s="229" t="s">
        <v>2980</v>
      </c>
      <c r="M74" s="229" t="s">
        <v>3163</v>
      </c>
      <c r="O74" s="230"/>
      <c r="S74" s="230"/>
      <c r="T74" s="230" t="str">
        <f>IF(ISNUMBER(MATCH(B74, 'Sprint 20'!B:B, 0)), "มาจาก Sprint 20", "")</f>
        <v>มาจาก Sprint 20</v>
      </c>
      <c r="U74" s="230" t="str">
        <f t="array" ref="U74">IF(ISNUMBER(MATCH(B74, 'Sprint 20'!B:B, 0)), INDEX('Sprint 20'!J:J, MATCH(B74, 'Sprint 20'!B:B, 0)), "")</f>
        <v>To Do</v>
      </c>
      <c r="V74" s="230"/>
      <c r="W74" s="102" t="s">
        <v>1085</v>
      </c>
      <c r="X74" s="102" t="s">
        <v>529</v>
      </c>
      <c r="Y74" s="102" t="s">
        <v>298</v>
      </c>
    </row>
    <row r="75">
      <c r="A75" s="102" t="s">
        <v>276</v>
      </c>
      <c r="B75" s="102" t="s">
        <v>3164</v>
      </c>
      <c r="C75" s="229" t="s">
        <v>3165</v>
      </c>
      <c r="D75" s="102" t="s">
        <v>279</v>
      </c>
      <c r="E75" s="102" t="s">
        <v>280</v>
      </c>
      <c r="F75" s="102" t="s">
        <v>281</v>
      </c>
      <c r="G75" s="102" t="s">
        <v>1987</v>
      </c>
      <c r="H75" s="102" t="s">
        <v>1988</v>
      </c>
      <c r="I75" s="102" t="s">
        <v>284</v>
      </c>
      <c r="J75" s="102" t="s">
        <v>26</v>
      </c>
      <c r="L75" s="229" t="s">
        <v>2980</v>
      </c>
      <c r="M75" s="229" t="s">
        <v>3166</v>
      </c>
      <c r="O75" s="230"/>
      <c r="S75" s="230"/>
      <c r="T75" s="230" t="str">
        <f>IF(ISNUMBER(MATCH(B75, 'Sprint 20'!B:B, 0)), "มาจาก Sprint 20", "")</f>
        <v>มาจาก Sprint 20</v>
      </c>
      <c r="U75" s="230" t="str">
        <f t="array" ref="U75">IF(ISNUMBER(MATCH(B75, 'Sprint 20'!B:B, 0)), INDEX('Sprint 20'!J:J, MATCH(B75, 'Sprint 20'!B:B, 0)), "")</f>
        <v>To Do</v>
      </c>
      <c r="V75" s="230"/>
      <c r="W75" s="102" t="s">
        <v>1085</v>
      </c>
      <c r="X75" s="102" t="s">
        <v>529</v>
      </c>
      <c r="Y75" s="102" t="s">
        <v>298</v>
      </c>
    </row>
    <row r="76">
      <c r="A76" s="102" t="s">
        <v>276</v>
      </c>
      <c r="B76" s="102" t="s">
        <v>3167</v>
      </c>
      <c r="C76" s="229" t="s">
        <v>3168</v>
      </c>
      <c r="D76" s="102" t="s">
        <v>291</v>
      </c>
      <c r="E76" s="102" t="s">
        <v>280</v>
      </c>
      <c r="F76" s="102" t="s">
        <v>281</v>
      </c>
      <c r="G76" s="102" t="s">
        <v>1987</v>
      </c>
      <c r="H76" s="102" t="s">
        <v>1988</v>
      </c>
      <c r="I76" s="102" t="s">
        <v>284</v>
      </c>
      <c r="J76" s="102" t="s">
        <v>26</v>
      </c>
      <c r="L76" s="229" t="s">
        <v>2980</v>
      </c>
      <c r="M76" s="229" t="s">
        <v>3169</v>
      </c>
      <c r="O76" s="230"/>
      <c r="S76" s="230"/>
      <c r="T76" s="230" t="str">
        <f>IF(ISNUMBER(MATCH(B76, 'Sprint 20'!B:B, 0)), "มาจาก Sprint 20", "")</f>
        <v>มาจาก Sprint 20</v>
      </c>
      <c r="U76" s="230" t="str">
        <f t="array" ref="U76">IF(ISNUMBER(MATCH(B76, 'Sprint 20'!B:B, 0)), INDEX('Sprint 20'!J:J, MATCH(B76, 'Sprint 20'!B:B, 0)), "")</f>
        <v>In Review</v>
      </c>
      <c r="V76" s="230"/>
      <c r="W76" s="102" t="s">
        <v>1085</v>
      </c>
      <c r="X76" s="102" t="s">
        <v>529</v>
      </c>
      <c r="Y76" s="102" t="s">
        <v>298</v>
      </c>
    </row>
    <row r="77">
      <c r="A77" s="102" t="s">
        <v>276</v>
      </c>
      <c r="B77" s="102" t="s">
        <v>3170</v>
      </c>
      <c r="C77" s="229" t="s">
        <v>3171</v>
      </c>
      <c r="D77" s="102" t="s">
        <v>291</v>
      </c>
      <c r="E77" s="102" t="s">
        <v>280</v>
      </c>
      <c r="F77" s="102" t="s">
        <v>281</v>
      </c>
      <c r="G77" s="102" t="s">
        <v>1987</v>
      </c>
      <c r="H77" s="102" t="s">
        <v>1988</v>
      </c>
      <c r="I77" s="102" t="s">
        <v>284</v>
      </c>
      <c r="J77" s="102" t="s">
        <v>26</v>
      </c>
      <c r="L77" s="229" t="s">
        <v>2980</v>
      </c>
      <c r="M77" s="229" t="s">
        <v>3172</v>
      </c>
      <c r="O77" s="230"/>
      <c r="S77" s="230"/>
      <c r="T77" s="230" t="str">
        <f>IF(ISNUMBER(MATCH(B77, 'Sprint 20'!B:B, 0)), "มาจาก Sprint 20", "")</f>
        <v>มาจาก Sprint 20</v>
      </c>
      <c r="U77" s="230" t="str">
        <f t="array" ref="U77">IF(ISNUMBER(MATCH(B77, 'Sprint 20'!B:B, 0)), INDEX('Sprint 20'!J:J, MATCH(B77, 'Sprint 20'!B:B, 0)), "")</f>
        <v>To Do</v>
      </c>
      <c r="V77" s="230"/>
      <c r="W77" s="102" t="s">
        <v>1085</v>
      </c>
      <c r="X77" s="102" t="s">
        <v>529</v>
      </c>
      <c r="Y77" s="102" t="s">
        <v>298</v>
      </c>
    </row>
    <row r="78">
      <c r="A78" s="102" t="s">
        <v>276</v>
      </c>
      <c r="B78" s="102" t="s">
        <v>3173</v>
      </c>
      <c r="C78" s="229" t="s">
        <v>3174</v>
      </c>
      <c r="D78" s="102" t="s">
        <v>291</v>
      </c>
      <c r="E78" s="102" t="s">
        <v>280</v>
      </c>
      <c r="F78" s="102" t="s">
        <v>281</v>
      </c>
      <c r="G78" s="102" t="s">
        <v>1987</v>
      </c>
      <c r="H78" s="102" t="s">
        <v>1988</v>
      </c>
      <c r="I78" s="102" t="s">
        <v>284</v>
      </c>
      <c r="J78" s="102" t="s">
        <v>26</v>
      </c>
      <c r="L78" s="229" t="s">
        <v>2980</v>
      </c>
      <c r="M78" s="229" t="s">
        <v>3169</v>
      </c>
      <c r="O78" s="230"/>
      <c r="S78" s="230"/>
      <c r="T78" s="230" t="str">
        <f>IF(ISNUMBER(MATCH(B78, 'Sprint 20'!B:B, 0)), "มาจาก Sprint 20", "")</f>
        <v>มาจาก Sprint 20</v>
      </c>
      <c r="U78" s="230" t="str">
        <f t="array" ref="U78">IF(ISNUMBER(MATCH(B78, 'Sprint 20'!B:B, 0)), INDEX('Sprint 20'!J:J, MATCH(B78, 'Sprint 20'!B:B, 0)), "")</f>
        <v>In Review</v>
      </c>
      <c r="V78" s="230"/>
      <c r="W78" s="102" t="s">
        <v>1085</v>
      </c>
      <c r="X78" s="102" t="s">
        <v>529</v>
      </c>
      <c r="Y78" s="102" t="s">
        <v>298</v>
      </c>
    </row>
    <row r="79">
      <c r="A79" s="102" t="s">
        <v>276</v>
      </c>
      <c r="B79" s="102" t="s">
        <v>3175</v>
      </c>
      <c r="C79" s="229" t="s">
        <v>3176</v>
      </c>
      <c r="D79" s="102" t="s">
        <v>291</v>
      </c>
      <c r="E79" s="102" t="s">
        <v>521</v>
      </c>
      <c r="F79" s="102" t="s">
        <v>522</v>
      </c>
      <c r="G79" s="102" t="s">
        <v>1987</v>
      </c>
      <c r="H79" s="102" t="s">
        <v>1988</v>
      </c>
      <c r="I79" s="102" t="s">
        <v>284</v>
      </c>
      <c r="J79" s="102" t="s">
        <v>26</v>
      </c>
      <c r="L79" s="229" t="s">
        <v>2980</v>
      </c>
      <c r="M79" s="229" t="s">
        <v>3169</v>
      </c>
      <c r="O79" s="230"/>
      <c r="S79" s="230"/>
      <c r="T79" s="230" t="str">
        <f>IF(ISNUMBER(MATCH(B79, 'Sprint 20'!B:B, 0)), "มาจาก Sprint 20", "")</f>
        <v>มาจาก Sprint 20</v>
      </c>
      <c r="U79" s="230" t="str">
        <f t="array" ref="U79">IF(ISNUMBER(MATCH(B79, 'Sprint 20'!B:B, 0)), INDEX('Sprint 20'!J:J, MATCH(B79, 'Sprint 20'!B:B, 0)), "")</f>
        <v>In Progress</v>
      </c>
      <c r="V79" s="230"/>
      <c r="W79" s="102" t="s">
        <v>1085</v>
      </c>
      <c r="X79" s="102" t="s">
        <v>529</v>
      </c>
      <c r="Y79" s="102" t="s">
        <v>298</v>
      </c>
    </row>
    <row r="80">
      <c r="A80" s="102" t="s">
        <v>276</v>
      </c>
      <c r="B80" s="102" t="s">
        <v>2984</v>
      </c>
      <c r="C80" s="229" t="s">
        <v>2985</v>
      </c>
      <c r="D80" s="102" t="s">
        <v>291</v>
      </c>
      <c r="E80" s="102" t="s">
        <v>280</v>
      </c>
      <c r="F80" s="102" t="s">
        <v>281</v>
      </c>
      <c r="G80" s="102" t="s">
        <v>1987</v>
      </c>
      <c r="H80" s="102" t="s">
        <v>1988</v>
      </c>
      <c r="I80" s="102" t="s">
        <v>284</v>
      </c>
      <c r="J80" s="102" t="s">
        <v>26</v>
      </c>
      <c r="L80" s="229" t="s">
        <v>2980</v>
      </c>
      <c r="M80" s="229" t="s">
        <v>2986</v>
      </c>
      <c r="O80" s="230"/>
      <c r="S80" s="230"/>
      <c r="T80" s="230" t="str">
        <f>IF(ISNUMBER(MATCH(B80, 'Sprint 20'!B:B, 0)), "มาจาก Sprint 20", "")</f>
        <v>มาจาก Sprint 20</v>
      </c>
      <c r="U80" s="230" t="str">
        <f t="array" ref="U80">IF(ISNUMBER(MATCH(B80, 'Sprint 20'!B:B, 0)), INDEX('Sprint 20'!J:J, MATCH(B80, 'Sprint 20'!B:B, 0)), "")</f>
        <v>In Progress</v>
      </c>
      <c r="V80" s="230"/>
      <c r="W80" s="102" t="s">
        <v>1085</v>
      </c>
      <c r="X80" s="102" t="s">
        <v>529</v>
      </c>
      <c r="Y80" s="102" t="s">
        <v>298</v>
      </c>
    </row>
    <row r="81">
      <c r="A81" s="102" t="s">
        <v>276</v>
      </c>
      <c r="B81" s="102" t="s">
        <v>3177</v>
      </c>
      <c r="C81" s="229" t="s">
        <v>3178</v>
      </c>
      <c r="D81" s="102" t="s">
        <v>291</v>
      </c>
      <c r="E81" s="102" t="s">
        <v>521</v>
      </c>
      <c r="F81" s="102" t="s">
        <v>522</v>
      </c>
      <c r="G81" s="102" t="s">
        <v>1987</v>
      </c>
      <c r="H81" s="102" t="s">
        <v>1988</v>
      </c>
      <c r="I81" s="102" t="s">
        <v>284</v>
      </c>
      <c r="J81" s="102" t="s">
        <v>26</v>
      </c>
      <c r="L81" s="229" t="s">
        <v>2980</v>
      </c>
      <c r="M81" s="229" t="s">
        <v>3169</v>
      </c>
      <c r="O81" s="230"/>
      <c r="S81" s="230"/>
      <c r="T81" s="230" t="str">
        <f>IF(ISNUMBER(MATCH(B81, 'Sprint 20'!B:B, 0)), "มาจาก Sprint 20", "")</f>
        <v>มาจาก Sprint 20</v>
      </c>
      <c r="U81" s="230" t="str">
        <f t="array" ref="U81">IF(ISNUMBER(MATCH(B81, 'Sprint 20'!B:B, 0)), INDEX('Sprint 20'!J:J, MATCH(B81, 'Sprint 20'!B:B, 0)), "")</f>
        <v>In Progress</v>
      </c>
      <c r="V81" s="230"/>
      <c r="W81" s="102" t="s">
        <v>1085</v>
      </c>
      <c r="X81" s="102" t="s">
        <v>529</v>
      </c>
      <c r="Y81" s="102" t="s">
        <v>298</v>
      </c>
    </row>
    <row r="82">
      <c r="A82" s="102" t="s">
        <v>276</v>
      </c>
      <c r="B82" s="102" t="s">
        <v>2987</v>
      </c>
      <c r="C82" s="229" t="s">
        <v>2988</v>
      </c>
      <c r="D82" s="102" t="s">
        <v>291</v>
      </c>
      <c r="E82" s="102" t="s">
        <v>280</v>
      </c>
      <c r="F82" s="102" t="s">
        <v>281</v>
      </c>
      <c r="G82" s="102" t="s">
        <v>1987</v>
      </c>
      <c r="H82" s="102" t="s">
        <v>1988</v>
      </c>
      <c r="I82" s="102" t="s">
        <v>284</v>
      </c>
      <c r="J82" s="102" t="s">
        <v>26</v>
      </c>
      <c r="L82" s="229" t="s">
        <v>2980</v>
      </c>
      <c r="M82" s="229" t="s">
        <v>2986</v>
      </c>
      <c r="O82" s="230"/>
      <c r="S82" s="230"/>
      <c r="T82" s="230" t="str">
        <f>IF(ISNUMBER(MATCH(B82, 'Sprint 20'!B:B, 0)), "มาจาก Sprint 20", "")</f>
        <v>มาจาก Sprint 20</v>
      </c>
      <c r="U82" s="230" t="str">
        <f t="array" ref="U82">IF(ISNUMBER(MATCH(B82, 'Sprint 20'!B:B, 0)), INDEX('Sprint 20'!J:J, MATCH(B82, 'Sprint 20'!B:B, 0)), "")</f>
        <v>In Progress</v>
      </c>
      <c r="V82" s="230"/>
      <c r="W82" s="102" t="s">
        <v>1085</v>
      </c>
      <c r="X82" s="102" t="s">
        <v>529</v>
      </c>
      <c r="Y82" s="102" t="s">
        <v>298</v>
      </c>
    </row>
    <row r="83">
      <c r="A83" s="102" t="s">
        <v>276</v>
      </c>
      <c r="B83" s="102" t="s">
        <v>3179</v>
      </c>
      <c r="C83" s="229" t="s">
        <v>3180</v>
      </c>
      <c r="D83" s="102" t="s">
        <v>291</v>
      </c>
      <c r="E83" s="102" t="s">
        <v>280</v>
      </c>
      <c r="F83" s="102" t="s">
        <v>281</v>
      </c>
      <c r="G83" s="102" t="s">
        <v>1987</v>
      </c>
      <c r="H83" s="102" t="s">
        <v>1988</v>
      </c>
      <c r="I83" s="102" t="s">
        <v>284</v>
      </c>
      <c r="J83" s="102" t="s">
        <v>26</v>
      </c>
      <c r="L83" s="229" t="s">
        <v>2980</v>
      </c>
      <c r="M83" s="229" t="s">
        <v>3169</v>
      </c>
      <c r="O83" s="230"/>
      <c r="S83" s="230"/>
      <c r="T83" s="230" t="str">
        <f>IF(ISNUMBER(MATCH(B83, 'Sprint 20'!B:B, 0)), "มาจาก Sprint 20", "")</f>
        <v>มาจาก Sprint 20</v>
      </c>
      <c r="U83" s="230" t="str">
        <f t="array" ref="U83">IF(ISNUMBER(MATCH(B83, 'Sprint 20'!B:B, 0)), INDEX('Sprint 20'!J:J, MATCH(B83, 'Sprint 20'!B:B, 0)), "")</f>
        <v>In Review</v>
      </c>
      <c r="V83" s="230"/>
      <c r="W83" s="102" t="s">
        <v>1085</v>
      </c>
      <c r="X83" s="102" t="s">
        <v>529</v>
      </c>
      <c r="Y83" s="102" t="s">
        <v>298</v>
      </c>
    </row>
    <row r="84">
      <c r="A84" s="102" t="s">
        <v>276</v>
      </c>
      <c r="B84" s="102" t="s">
        <v>2488</v>
      </c>
      <c r="C84" s="229" t="s">
        <v>2489</v>
      </c>
      <c r="D84" s="102" t="s">
        <v>347</v>
      </c>
      <c r="G84" s="102" t="s">
        <v>1987</v>
      </c>
      <c r="H84" s="102" t="s">
        <v>1988</v>
      </c>
      <c r="I84" s="102" t="s">
        <v>284</v>
      </c>
      <c r="J84" s="102" t="s">
        <v>63</v>
      </c>
      <c r="L84" s="229" t="s">
        <v>2490</v>
      </c>
      <c r="M84" s="229" t="s">
        <v>2477</v>
      </c>
      <c r="O84" s="230"/>
      <c r="S84" s="230"/>
      <c r="T84" s="230" t="str">
        <f>IF(ISNUMBER(MATCH(B84, 'Sprint 20'!B:B, 0)), "มาจาก Sprint 20", "")</f>
        <v>มาจาก Sprint 20</v>
      </c>
      <c r="U84" s="230" t="str">
        <f t="array" ref="U84">IF(ISNUMBER(MATCH(B84, 'Sprint 20'!B:B, 0)), INDEX('Sprint 20'!J:J, MATCH(B84, 'Sprint 20'!B:B, 0)), "")</f>
        <v>To Do</v>
      </c>
      <c r="V84" s="230"/>
      <c r="W84" s="102" t="s">
        <v>1085</v>
      </c>
      <c r="X84" s="102" t="s">
        <v>529</v>
      </c>
      <c r="Y84" s="102" t="s">
        <v>298</v>
      </c>
    </row>
    <row r="85">
      <c r="A85" s="102" t="s">
        <v>276</v>
      </c>
      <c r="B85" s="102" t="s">
        <v>2492</v>
      </c>
      <c r="C85" s="229" t="s">
        <v>2493</v>
      </c>
      <c r="D85" s="102" t="s">
        <v>2030</v>
      </c>
      <c r="E85" s="102" t="s">
        <v>2494</v>
      </c>
      <c r="F85" s="102" t="s">
        <v>2495</v>
      </c>
      <c r="G85" s="102" t="s">
        <v>1987</v>
      </c>
      <c r="H85" s="102" t="s">
        <v>1988</v>
      </c>
      <c r="I85" s="102" t="s">
        <v>284</v>
      </c>
      <c r="J85" s="102" t="s">
        <v>34</v>
      </c>
      <c r="L85" s="229" t="s">
        <v>2490</v>
      </c>
      <c r="M85" s="229" t="s">
        <v>2477</v>
      </c>
      <c r="O85" s="230"/>
      <c r="S85" s="230"/>
      <c r="T85" s="230" t="str">
        <f>IF(ISNUMBER(MATCH(B85, 'Sprint 20'!B:B, 0)), "มาจาก Sprint 20", "")</f>
        <v>มาจาก Sprint 20</v>
      </c>
      <c r="U85" s="230" t="str">
        <f t="array" ref="U85">IF(ISNUMBER(MATCH(B85, 'Sprint 20'!B:B, 0)), INDEX('Sprint 20'!J:J, MATCH(B85, 'Sprint 20'!B:B, 0)), "")</f>
        <v>In Progress</v>
      </c>
      <c r="V85" s="230"/>
      <c r="W85" s="102" t="s">
        <v>1085</v>
      </c>
      <c r="X85" s="102" t="s">
        <v>529</v>
      </c>
      <c r="Y85" s="102" t="s">
        <v>298</v>
      </c>
    </row>
    <row r="86">
      <c r="A86" s="102" t="s">
        <v>276</v>
      </c>
      <c r="B86" s="102" t="s">
        <v>2497</v>
      </c>
      <c r="C86" s="229" t="s">
        <v>2498</v>
      </c>
      <c r="D86" s="102" t="s">
        <v>347</v>
      </c>
      <c r="G86" s="102" t="s">
        <v>1987</v>
      </c>
      <c r="H86" s="102" t="s">
        <v>1988</v>
      </c>
      <c r="I86" s="102" t="s">
        <v>284</v>
      </c>
      <c r="J86" s="102" t="s">
        <v>63</v>
      </c>
      <c r="L86" s="229" t="s">
        <v>2490</v>
      </c>
      <c r="M86" s="229" t="s">
        <v>2989</v>
      </c>
      <c r="O86" s="230"/>
      <c r="S86" s="230"/>
      <c r="T86" s="230" t="str">
        <f>IF(ISNUMBER(MATCH(B86, 'Sprint 20'!B:B, 0)), "มาจาก Sprint 20", "")</f>
        <v>มาจาก Sprint 20</v>
      </c>
      <c r="U86" s="230" t="str">
        <f t="array" ref="U86">IF(ISNUMBER(MATCH(B86, 'Sprint 20'!B:B, 0)), INDEX('Sprint 20'!J:J, MATCH(B86, 'Sprint 20'!B:B, 0)), "")</f>
        <v>To Do</v>
      </c>
      <c r="V86" s="230"/>
      <c r="W86" s="102" t="s">
        <v>1085</v>
      </c>
      <c r="X86" s="102" t="s">
        <v>529</v>
      </c>
      <c r="Y86" s="102" t="s">
        <v>298</v>
      </c>
    </row>
    <row r="87">
      <c r="A87" s="102" t="s">
        <v>276</v>
      </c>
      <c r="B87" s="102" t="s">
        <v>2500</v>
      </c>
      <c r="C87" s="229" t="s">
        <v>2501</v>
      </c>
      <c r="D87" s="102" t="s">
        <v>2030</v>
      </c>
      <c r="E87" s="102" t="s">
        <v>2494</v>
      </c>
      <c r="F87" s="102" t="s">
        <v>2495</v>
      </c>
      <c r="G87" s="102" t="s">
        <v>1987</v>
      </c>
      <c r="H87" s="102" t="s">
        <v>1988</v>
      </c>
      <c r="I87" s="102" t="s">
        <v>284</v>
      </c>
      <c r="J87" s="102" t="s">
        <v>34</v>
      </c>
      <c r="L87" s="229" t="s">
        <v>2490</v>
      </c>
      <c r="M87" s="229" t="s">
        <v>2989</v>
      </c>
      <c r="O87" s="230"/>
      <c r="S87" s="230"/>
      <c r="T87" s="230" t="str">
        <f>IF(ISNUMBER(MATCH(B87, 'Sprint 20'!B:B, 0)), "มาจาก Sprint 20", "")</f>
        <v>มาจาก Sprint 20</v>
      </c>
      <c r="U87" s="230" t="str">
        <f t="array" ref="U87">IF(ISNUMBER(MATCH(B87, 'Sprint 20'!B:B, 0)), INDEX('Sprint 20'!J:J, MATCH(B87, 'Sprint 20'!B:B, 0)), "")</f>
        <v>In Progress</v>
      </c>
      <c r="V87" s="230"/>
      <c r="W87" s="102" t="s">
        <v>1085</v>
      </c>
      <c r="X87" s="102" t="s">
        <v>529</v>
      </c>
      <c r="Y87" s="102" t="s">
        <v>298</v>
      </c>
    </row>
    <row r="88">
      <c r="A88" s="102" t="s">
        <v>310</v>
      </c>
      <c r="B88" s="102" t="s">
        <v>3414</v>
      </c>
      <c r="C88" s="229" t="s">
        <v>3415</v>
      </c>
      <c r="D88" s="102" t="s">
        <v>3416</v>
      </c>
      <c r="E88" s="102" t="s">
        <v>495</v>
      </c>
      <c r="F88" s="102" t="s">
        <v>496</v>
      </c>
      <c r="G88" s="102" t="s">
        <v>304</v>
      </c>
      <c r="H88" s="102" t="s">
        <v>305</v>
      </c>
      <c r="I88" s="102" t="s">
        <v>284</v>
      </c>
      <c r="J88" s="102" t="s">
        <v>26</v>
      </c>
      <c r="L88" s="229" t="s">
        <v>3417</v>
      </c>
      <c r="M88" s="229" t="s">
        <v>3418</v>
      </c>
      <c r="N88" s="229" t="s">
        <v>3419</v>
      </c>
      <c r="O88" s="102">
        <v>3.0</v>
      </c>
      <c r="S88" s="102">
        <v>14400.0</v>
      </c>
      <c r="T88" s="230" t="str">
        <f>IF(ISNUMBER(MATCH(B88, 'Sprint 20'!B:B, 0)), "มาจาก Sprint 20", "")</f>
        <v/>
      </c>
      <c r="U88" s="230" t="str">
        <f t="array" ref="U88">IF(ISNUMBER(MATCH(B88, 'Sprint 20'!B:B, 0)), INDEX('Sprint 20'!J:J, MATCH(B88, 'Sprint 20'!B:B, 0)), "")</f>
        <v/>
      </c>
      <c r="V88" s="102"/>
      <c r="W88" s="102" t="s">
        <v>529</v>
      </c>
    </row>
    <row r="89">
      <c r="A89" s="102" t="s">
        <v>310</v>
      </c>
      <c r="B89" s="102" t="s">
        <v>3420</v>
      </c>
      <c r="C89" s="229" t="s">
        <v>3421</v>
      </c>
      <c r="D89" s="102" t="s">
        <v>3422</v>
      </c>
      <c r="E89" s="102" t="s">
        <v>495</v>
      </c>
      <c r="F89" s="102" t="s">
        <v>496</v>
      </c>
      <c r="G89" s="102" t="s">
        <v>304</v>
      </c>
      <c r="H89" s="102" t="s">
        <v>305</v>
      </c>
      <c r="I89" s="102" t="s">
        <v>284</v>
      </c>
      <c r="J89" s="102" t="s">
        <v>26</v>
      </c>
      <c r="L89" s="229" t="s">
        <v>3423</v>
      </c>
      <c r="M89" s="229" t="s">
        <v>3424</v>
      </c>
      <c r="N89" s="229" t="s">
        <v>3419</v>
      </c>
      <c r="O89" s="102">
        <v>2.0</v>
      </c>
      <c r="P89" s="102" t="s">
        <v>331</v>
      </c>
      <c r="S89" s="102">
        <v>7200.0</v>
      </c>
      <c r="T89" s="230" t="str">
        <f>IF(ISNUMBER(MATCH(B89, 'Sprint 20'!B:B, 0)), "มาจาก Sprint 20", "")</f>
        <v/>
      </c>
      <c r="U89" s="230" t="str">
        <f t="array" ref="U89">IF(ISNUMBER(MATCH(B89, 'Sprint 20'!B:B, 0)), INDEX('Sprint 20'!J:J, MATCH(B89, 'Sprint 20'!B:B, 0)), "")</f>
        <v/>
      </c>
      <c r="V89" s="102"/>
      <c r="W89" s="102" t="s">
        <v>529</v>
      </c>
    </row>
    <row r="90">
      <c r="A90" s="102" t="s">
        <v>310</v>
      </c>
      <c r="B90" s="102" t="s">
        <v>3425</v>
      </c>
      <c r="C90" s="229" t="s">
        <v>3426</v>
      </c>
      <c r="D90" s="102" t="s">
        <v>3427</v>
      </c>
      <c r="E90" s="102" t="s">
        <v>495</v>
      </c>
      <c r="F90" s="102" t="s">
        <v>496</v>
      </c>
      <c r="G90" s="102" t="s">
        <v>304</v>
      </c>
      <c r="H90" s="102" t="s">
        <v>305</v>
      </c>
      <c r="I90" s="102" t="s">
        <v>284</v>
      </c>
      <c r="J90" s="102" t="s">
        <v>26</v>
      </c>
      <c r="L90" s="229" t="s">
        <v>3428</v>
      </c>
      <c r="M90" s="229" t="s">
        <v>3424</v>
      </c>
      <c r="N90" s="229" t="s">
        <v>3419</v>
      </c>
      <c r="O90" s="102">
        <v>3.0</v>
      </c>
      <c r="P90" s="102" t="s">
        <v>331</v>
      </c>
      <c r="S90" s="102">
        <v>14400.0</v>
      </c>
      <c r="T90" s="230" t="str">
        <f>IF(ISNUMBER(MATCH(B90, 'Sprint 20'!B:B, 0)), "มาจาก Sprint 20", "")</f>
        <v/>
      </c>
      <c r="U90" s="230" t="str">
        <f t="array" ref="U90">IF(ISNUMBER(MATCH(B90, 'Sprint 20'!B:B, 0)), INDEX('Sprint 20'!J:J, MATCH(B90, 'Sprint 20'!B:B, 0)), "")</f>
        <v/>
      </c>
      <c r="V90" s="102"/>
      <c r="W90" s="102" t="s">
        <v>529</v>
      </c>
    </row>
    <row r="91">
      <c r="A91" s="102" t="s">
        <v>310</v>
      </c>
      <c r="B91" s="102" t="s">
        <v>3429</v>
      </c>
      <c r="C91" s="229" t="s">
        <v>3430</v>
      </c>
      <c r="D91" s="102" t="s">
        <v>3431</v>
      </c>
      <c r="E91" s="102" t="s">
        <v>513</v>
      </c>
      <c r="F91" s="102" t="s">
        <v>514</v>
      </c>
      <c r="G91" s="102" t="s">
        <v>282</v>
      </c>
      <c r="H91" s="102" t="s">
        <v>283</v>
      </c>
      <c r="I91" s="102" t="s">
        <v>284</v>
      </c>
      <c r="J91" s="102" t="s">
        <v>26</v>
      </c>
      <c r="L91" s="229" t="s">
        <v>3432</v>
      </c>
      <c r="M91" s="229" t="s">
        <v>3433</v>
      </c>
      <c r="O91" s="102">
        <v>13.0</v>
      </c>
      <c r="S91" s="102">
        <v>43200.0</v>
      </c>
      <c r="T91" s="230" t="str">
        <f>IF(ISNUMBER(MATCH(B91, 'Sprint 20'!B:B, 0)), "มาจาก Sprint 20", "")</f>
        <v>มาจาก Sprint 20</v>
      </c>
      <c r="U91" s="230" t="str">
        <f t="array" ref="U91">IF(ISNUMBER(MATCH(B91, 'Sprint 20'!B:B, 0)), INDEX('Sprint 20'!J:J, MATCH(B91, 'Sprint 20'!B:B, 0)), "")</f>
        <v>In Progress</v>
      </c>
      <c r="V91" s="102" t="s">
        <v>3434</v>
      </c>
      <c r="W91" s="102" t="s">
        <v>1085</v>
      </c>
      <c r="X91" s="102" t="s">
        <v>529</v>
      </c>
    </row>
    <row r="92">
      <c r="A92" s="102" t="s">
        <v>310</v>
      </c>
      <c r="B92" s="102" t="s">
        <v>3435</v>
      </c>
      <c r="C92" s="229" t="s">
        <v>3436</v>
      </c>
      <c r="D92" s="102" t="s">
        <v>3437</v>
      </c>
      <c r="E92" s="102" t="s">
        <v>495</v>
      </c>
      <c r="F92" s="102" t="s">
        <v>496</v>
      </c>
      <c r="G92" s="102" t="s">
        <v>304</v>
      </c>
      <c r="H92" s="102" t="s">
        <v>305</v>
      </c>
      <c r="I92" s="102" t="s">
        <v>284</v>
      </c>
      <c r="J92" s="102" t="s">
        <v>26</v>
      </c>
      <c r="L92" s="229" t="s">
        <v>3438</v>
      </c>
      <c r="M92" s="229" t="s">
        <v>3439</v>
      </c>
      <c r="N92" s="229" t="s">
        <v>2515</v>
      </c>
      <c r="O92" s="102">
        <v>2.0</v>
      </c>
      <c r="P92" s="102" t="s">
        <v>331</v>
      </c>
      <c r="S92" s="102">
        <v>14400.0</v>
      </c>
      <c r="T92" s="230" t="str">
        <f>IF(ISNUMBER(MATCH(B92, 'Sprint 20'!B:B, 0)), "มาจาก Sprint 20", "")</f>
        <v/>
      </c>
      <c r="U92" s="230" t="str">
        <f t="array" ref="U92">IF(ISNUMBER(MATCH(B92, 'Sprint 20'!B:B, 0)), INDEX('Sprint 20'!J:J, MATCH(B92, 'Sprint 20'!B:B, 0)), "")</f>
        <v/>
      </c>
      <c r="V92" s="102"/>
      <c r="W92" s="102" t="s">
        <v>529</v>
      </c>
    </row>
    <row r="93">
      <c r="A93" s="102" t="s">
        <v>310</v>
      </c>
      <c r="B93" s="102" t="s">
        <v>3440</v>
      </c>
      <c r="C93" s="229" t="s">
        <v>3441</v>
      </c>
      <c r="D93" s="102" t="s">
        <v>3442</v>
      </c>
      <c r="E93" s="102" t="s">
        <v>495</v>
      </c>
      <c r="F93" s="102" t="s">
        <v>496</v>
      </c>
      <c r="G93" s="102" t="s">
        <v>304</v>
      </c>
      <c r="H93" s="102" t="s">
        <v>305</v>
      </c>
      <c r="I93" s="102" t="s">
        <v>284</v>
      </c>
      <c r="J93" s="102" t="s">
        <v>26</v>
      </c>
      <c r="L93" s="229" t="s">
        <v>3443</v>
      </c>
      <c r="M93" s="229" t="s">
        <v>3444</v>
      </c>
      <c r="N93" s="229" t="s">
        <v>2515</v>
      </c>
      <c r="O93" s="102">
        <v>2.0</v>
      </c>
      <c r="P93" s="102" t="s">
        <v>331</v>
      </c>
      <c r="S93" s="102">
        <v>14400.0</v>
      </c>
      <c r="T93" s="230" t="str">
        <f>IF(ISNUMBER(MATCH(B93, 'Sprint 20'!B:B, 0)), "มาจาก Sprint 20", "")</f>
        <v/>
      </c>
      <c r="U93" s="230" t="str">
        <f t="array" ref="U93">IF(ISNUMBER(MATCH(B93, 'Sprint 20'!B:B, 0)), INDEX('Sprint 20'!J:J, MATCH(B93, 'Sprint 20'!B:B, 0)), "")</f>
        <v/>
      </c>
      <c r="V93" s="102"/>
      <c r="W93" s="102" t="s">
        <v>529</v>
      </c>
    </row>
    <row r="94">
      <c r="A94" s="102" t="s">
        <v>276</v>
      </c>
      <c r="B94" s="102" t="s">
        <v>3181</v>
      </c>
      <c r="C94" s="229" t="s">
        <v>3182</v>
      </c>
      <c r="D94" s="102" t="s">
        <v>279</v>
      </c>
      <c r="E94" s="102" t="s">
        <v>280</v>
      </c>
      <c r="F94" s="102" t="s">
        <v>281</v>
      </c>
      <c r="G94" s="102" t="s">
        <v>1987</v>
      </c>
      <c r="H94" s="102" t="s">
        <v>1988</v>
      </c>
      <c r="I94" s="102" t="s">
        <v>284</v>
      </c>
      <c r="J94" s="102" t="s">
        <v>26</v>
      </c>
      <c r="L94" s="229" t="s">
        <v>3183</v>
      </c>
      <c r="M94" s="229" t="s">
        <v>3184</v>
      </c>
      <c r="O94" s="230"/>
      <c r="S94" s="230"/>
      <c r="T94" s="230" t="str">
        <f>IF(ISNUMBER(MATCH(B94, 'Sprint 20'!B:B, 0)), "มาจาก Sprint 20", "")</f>
        <v>มาจาก Sprint 20</v>
      </c>
      <c r="U94" s="230" t="str">
        <f t="array" ref="U94">IF(ISNUMBER(MATCH(B94, 'Sprint 20'!B:B, 0)), INDEX('Sprint 20'!J:J, MATCH(B94, 'Sprint 20'!B:B, 0)), "")</f>
        <v>To Do</v>
      </c>
      <c r="V94" s="230"/>
      <c r="W94" s="102" t="s">
        <v>1085</v>
      </c>
      <c r="X94" s="102" t="s">
        <v>529</v>
      </c>
      <c r="Y94" s="102" t="s">
        <v>298</v>
      </c>
    </row>
    <row r="95">
      <c r="A95" s="102" t="s">
        <v>276</v>
      </c>
      <c r="B95" s="102" t="s">
        <v>3185</v>
      </c>
      <c r="C95" s="229" t="s">
        <v>3186</v>
      </c>
      <c r="D95" s="102" t="s">
        <v>291</v>
      </c>
      <c r="E95" s="102" t="s">
        <v>280</v>
      </c>
      <c r="F95" s="102" t="s">
        <v>281</v>
      </c>
      <c r="G95" s="102" t="s">
        <v>1987</v>
      </c>
      <c r="H95" s="102" t="s">
        <v>1988</v>
      </c>
      <c r="I95" s="102" t="s">
        <v>284</v>
      </c>
      <c r="J95" s="102" t="s">
        <v>26</v>
      </c>
      <c r="L95" s="229" t="s">
        <v>3183</v>
      </c>
      <c r="M95" s="229" t="s">
        <v>3187</v>
      </c>
      <c r="O95" s="230"/>
      <c r="S95" s="230"/>
      <c r="T95" s="230" t="str">
        <f>IF(ISNUMBER(MATCH(B95, 'Sprint 20'!B:B, 0)), "มาจาก Sprint 20", "")</f>
        <v>มาจาก Sprint 20</v>
      </c>
      <c r="U95" s="230" t="str">
        <f t="array" ref="U95">IF(ISNUMBER(MATCH(B95, 'Sprint 20'!B:B, 0)), INDEX('Sprint 20'!J:J, MATCH(B95, 'Sprint 20'!B:B, 0)), "")</f>
        <v>In Review</v>
      </c>
      <c r="V95" s="230"/>
      <c r="W95" s="102" t="s">
        <v>1085</v>
      </c>
      <c r="X95" s="102" t="s">
        <v>529</v>
      </c>
      <c r="Y95" s="102" t="s">
        <v>298</v>
      </c>
    </row>
    <row r="96">
      <c r="A96" s="102" t="s">
        <v>310</v>
      </c>
      <c r="B96" s="102" t="s">
        <v>3445</v>
      </c>
      <c r="C96" s="229" t="s">
        <v>3446</v>
      </c>
      <c r="D96" s="102" t="s">
        <v>3447</v>
      </c>
      <c r="E96" s="102" t="s">
        <v>304</v>
      </c>
      <c r="F96" s="102" t="s">
        <v>305</v>
      </c>
      <c r="G96" s="102" t="s">
        <v>282</v>
      </c>
      <c r="H96" s="102" t="s">
        <v>283</v>
      </c>
      <c r="I96" s="102" t="s">
        <v>284</v>
      </c>
      <c r="J96" s="102" t="s">
        <v>26</v>
      </c>
      <c r="L96" s="229" t="s">
        <v>3448</v>
      </c>
      <c r="M96" s="229" t="s">
        <v>3449</v>
      </c>
      <c r="O96" s="102">
        <v>2.0</v>
      </c>
      <c r="P96" s="102" t="s">
        <v>27</v>
      </c>
      <c r="S96" s="230"/>
      <c r="T96" s="230" t="str">
        <f>IF(ISNUMBER(MATCH(B96, 'Sprint 20'!B:B, 0)), "มาจาก Sprint 20", "")</f>
        <v/>
      </c>
      <c r="U96" s="230" t="str">
        <f t="array" ref="U96">IF(ISNUMBER(MATCH(B96, 'Sprint 20'!B:B, 0)), INDEX('Sprint 20'!J:J, MATCH(B96, 'Sprint 20'!B:B, 0)), "")</f>
        <v/>
      </c>
      <c r="V96" s="230"/>
      <c r="W96" s="102" t="s">
        <v>529</v>
      </c>
    </row>
    <row r="97">
      <c r="A97" s="102" t="s">
        <v>310</v>
      </c>
      <c r="B97" s="102" t="s">
        <v>3188</v>
      </c>
      <c r="C97" s="229" t="s">
        <v>3189</v>
      </c>
      <c r="D97" s="102" t="s">
        <v>3190</v>
      </c>
      <c r="E97" s="102" t="s">
        <v>584</v>
      </c>
      <c r="F97" s="102" t="s">
        <v>585</v>
      </c>
      <c r="G97" s="102" t="s">
        <v>353</v>
      </c>
      <c r="H97" s="102" t="s">
        <v>354</v>
      </c>
      <c r="I97" s="102" t="s">
        <v>284</v>
      </c>
      <c r="J97" s="102" t="s">
        <v>26</v>
      </c>
      <c r="L97" s="229" t="s">
        <v>3191</v>
      </c>
      <c r="M97" s="229" t="s">
        <v>3196</v>
      </c>
      <c r="O97" s="102">
        <v>1.0</v>
      </c>
      <c r="S97" s="102">
        <v>0.0</v>
      </c>
      <c r="T97" s="230" t="str">
        <f>IF(ISNUMBER(MATCH(B97, 'Sprint 20'!B:B, 0)), "มาจาก Sprint 20", "")</f>
        <v>มาจาก Sprint 20</v>
      </c>
      <c r="U97" s="230" t="str">
        <f t="array" ref="U97">IF(ISNUMBER(MATCH(B97, 'Sprint 20'!B:B, 0)), INDEX('Sprint 20'!J:J, MATCH(B97, 'Sprint 20'!B:B, 0)), "")</f>
        <v>Ready to Staging</v>
      </c>
      <c r="V97" s="102">
        <v>3600.0</v>
      </c>
      <c r="W97" s="102" t="s">
        <v>2271</v>
      </c>
      <c r="X97" s="102" t="s">
        <v>2272</v>
      </c>
      <c r="Y97" s="102" t="s">
        <v>2273</v>
      </c>
    </row>
    <row r="98">
      <c r="A98" s="102" t="s">
        <v>310</v>
      </c>
      <c r="B98" s="102" t="s">
        <v>2502</v>
      </c>
      <c r="C98" s="229" t="s">
        <v>1961</v>
      </c>
      <c r="D98" s="102" t="s">
        <v>1962</v>
      </c>
      <c r="E98" s="102" t="s">
        <v>314</v>
      </c>
      <c r="F98" s="102" t="s">
        <v>315</v>
      </c>
      <c r="G98" s="102" t="s">
        <v>314</v>
      </c>
      <c r="H98" s="102" t="s">
        <v>315</v>
      </c>
      <c r="I98" s="102" t="s">
        <v>284</v>
      </c>
      <c r="J98" s="102" t="s">
        <v>34</v>
      </c>
      <c r="L98" s="229" t="s">
        <v>1963</v>
      </c>
      <c r="M98" s="229" t="s">
        <v>3450</v>
      </c>
      <c r="O98" s="102">
        <v>3.0</v>
      </c>
      <c r="S98" s="230"/>
      <c r="T98" s="230" t="str">
        <f>IF(ISNUMBER(MATCH(B98, 'Sprint 20'!B:B, 0)), "มาจาก Sprint 20", "")</f>
        <v/>
      </c>
      <c r="U98" s="230" t="str">
        <f t="array" ref="U98">IF(ISNUMBER(MATCH(B98, 'Sprint 20'!B:B, 0)), INDEX('Sprint 20'!J:J, MATCH(B98, 'Sprint 20'!B:B, 0)), "")</f>
        <v/>
      </c>
      <c r="V98" s="230"/>
      <c r="W98" s="102" t="s">
        <v>1964</v>
      </c>
      <c r="AC98" s="231"/>
    </row>
    <row r="99">
      <c r="A99" s="102" t="s">
        <v>310</v>
      </c>
      <c r="B99" s="102" t="s">
        <v>1965</v>
      </c>
      <c r="C99" s="229" t="s">
        <v>1966</v>
      </c>
      <c r="D99" s="102" t="s">
        <v>1967</v>
      </c>
      <c r="E99" s="102" t="s">
        <v>584</v>
      </c>
      <c r="F99" s="102" t="s">
        <v>585</v>
      </c>
      <c r="G99" s="102" t="s">
        <v>282</v>
      </c>
      <c r="H99" s="102" t="s">
        <v>283</v>
      </c>
      <c r="I99" s="102" t="s">
        <v>284</v>
      </c>
      <c r="J99" s="102" t="s">
        <v>678</v>
      </c>
      <c r="L99" s="229" t="s">
        <v>1968</v>
      </c>
      <c r="M99" s="229" t="s">
        <v>3298</v>
      </c>
      <c r="O99" s="102">
        <v>3.0</v>
      </c>
      <c r="S99" s="102">
        <v>28800.0</v>
      </c>
      <c r="T99" s="230" t="str">
        <f>IF(ISNUMBER(MATCH(B99, 'Sprint 20'!B:B, 0)), "มาจาก Sprint 20", "")</f>
        <v/>
      </c>
      <c r="U99" s="230" t="str">
        <f t="array" ref="U99">IF(ISNUMBER(MATCH(B99, 'Sprint 20'!B:B, 0)), INDEX('Sprint 20'!J:J, MATCH(B99, 'Sprint 20'!B:B, 0)), "")</f>
        <v/>
      </c>
      <c r="V99" s="102"/>
      <c r="W99" s="102" t="s">
        <v>529</v>
      </c>
      <c r="X99" s="102" t="s">
        <v>298</v>
      </c>
    </row>
    <row r="100">
      <c r="A100" s="102" t="s">
        <v>310</v>
      </c>
      <c r="B100" s="102" t="s">
        <v>2504</v>
      </c>
      <c r="C100" s="229" t="s">
        <v>2505</v>
      </c>
      <c r="D100" s="102" t="s">
        <v>2506</v>
      </c>
      <c r="E100" s="102" t="s">
        <v>556</v>
      </c>
      <c r="F100" s="102" t="s">
        <v>557</v>
      </c>
      <c r="G100" s="102" t="s">
        <v>282</v>
      </c>
      <c r="H100" s="102" t="s">
        <v>283</v>
      </c>
      <c r="I100" s="102" t="s">
        <v>284</v>
      </c>
      <c r="J100" s="102" t="s">
        <v>454</v>
      </c>
      <c r="L100" s="229" t="s">
        <v>2507</v>
      </c>
      <c r="M100" s="229" t="s">
        <v>3298</v>
      </c>
      <c r="N100" s="229" t="s">
        <v>1202</v>
      </c>
      <c r="O100" s="102">
        <v>3.0</v>
      </c>
      <c r="S100" s="102">
        <v>28800.0</v>
      </c>
      <c r="T100" s="230" t="str">
        <f>IF(ISNUMBER(MATCH(B100, 'Sprint 20'!B:B, 0)), "มาจาก Sprint 20", "")</f>
        <v/>
      </c>
      <c r="U100" s="230" t="str">
        <f t="array" ref="U100">IF(ISNUMBER(MATCH(B100, 'Sprint 20'!B:B, 0)), INDEX('Sprint 20'!J:J, MATCH(B100, 'Sprint 20'!B:B, 0)), "")</f>
        <v/>
      </c>
      <c r="V100" s="102"/>
      <c r="W100" s="102" t="s">
        <v>529</v>
      </c>
      <c r="X100" s="102" t="s">
        <v>298</v>
      </c>
    </row>
    <row r="101">
      <c r="A101" s="102" t="s">
        <v>310</v>
      </c>
      <c r="B101" s="102" t="s">
        <v>2511</v>
      </c>
      <c r="C101" s="229" t="s">
        <v>2512</v>
      </c>
      <c r="D101" s="102" t="s">
        <v>2513</v>
      </c>
      <c r="E101" s="102" t="s">
        <v>584</v>
      </c>
      <c r="F101" s="102" t="s">
        <v>585</v>
      </c>
      <c r="G101" s="102" t="s">
        <v>353</v>
      </c>
      <c r="H101" s="102" t="s">
        <v>354</v>
      </c>
      <c r="I101" s="102" t="s">
        <v>284</v>
      </c>
      <c r="J101" s="102" t="s">
        <v>454</v>
      </c>
      <c r="L101" s="229" t="s">
        <v>2514</v>
      </c>
      <c r="M101" s="229" t="s">
        <v>3451</v>
      </c>
      <c r="N101" s="229" t="s">
        <v>2515</v>
      </c>
      <c r="O101" s="102">
        <v>8.0</v>
      </c>
      <c r="S101" s="230"/>
      <c r="T101" s="230" t="str">
        <f>IF(ISNUMBER(MATCH(B101, 'Sprint 20'!B:B, 0)), "มาจาก Sprint 20", "")</f>
        <v>มาจาก Sprint 20</v>
      </c>
      <c r="U101" s="230" t="str">
        <f t="array" ref="U101">IF(ISNUMBER(MATCH(B101, 'Sprint 20'!B:B, 0)), INDEX('Sprint 20'!J:J, MATCH(B101, 'Sprint 20'!B:B, 0)), "")</f>
        <v>In Progress</v>
      </c>
      <c r="V101" s="230"/>
      <c r="W101" s="102" t="s">
        <v>2271</v>
      </c>
      <c r="X101" s="102" t="s">
        <v>2272</v>
      </c>
      <c r="Y101" s="102" t="s">
        <v>2273</v>
      </c>
    </row>
    <row r="102">
      <c r="A102" s="102" t="s">
        <v>310</v>
      </c>
      <c r="B102" s="102" t="s">
        <v>1230</v>
      </c>
      <c r="C102" s="229" t="s">
        <v>1231</v>
      </c>
      <c r="D102" s="102" t="s">
        <v>1232</v>
      </c>
      <c r="E102" s="102" t="s">
        <v>513</v>
      </c>
      <c r="F102" s="102" t="s">
        <v>514</v>
      </c>
      <c r="G102" s="102" t="s">
        <v>282</v>
      </c>
      <c r="H102" s="102" t="s">
        <v>283</v>
      </c>
      <c r="I102" s="102" t="s">
        <v>648</v>
      </c>
      <c r="J102" s="102" t="s">
        <v>678</v>
      </c>
      <c r="L102" s="229" t="s">
        <v>1233</v>
      </c>
      <c r="M102" s="229" t="s">
        <v>3298</v>
      </c>
      <c r="N102" s="229" t="s">
        <v>1202</v>
      </c>
      <c r="O102" s="102">
        <v>5.0</v>
      </c>
      <c r="S102" s="102">
        <v>86400.0</v>
      </c>
      <c r="T102" s="230" t="str">
        <f>IF(ISNUMBER(MATCH(B102, 'Sprint 20'!B:B, 0)), "มาจาก Sprint 20", "")</f>
        <v/>
      </c>
      <c r="U102" s="230" t="str">
        <f t="array" ref="U102">IF(ISNUMBER(MATCH(B102, 'Sprint 20'!B:B, 0)), INDEX('Sprint 20'!J:J, MATCH(B102, 'Sprint 20'!B:B, 0)), "")</f>
        <v/>
      </c>
      <c r="V102" s="102"/>
      <c r="W102" s="102" t="s">
        <v>529</v>
      </c>
      <c r="X102" s="102" t="s">
        <v>298</v>
      </c>
    </row>
    <row r="103">
      <c r="A103" s="102" t="s">
        <v>310</v>
      </c>
      <c r="B103" s="102" t="s">
        <v>1234</v>
      </c>
      <c r="C103" s="229" t="s">
        <v>1235</v>
      </c>
      <c r="D103" s="102" t="s">
        <v>1236</v>
      </c>
      <c r="E103" s="102" t="s">
        <v>513</v>
      </c>
      <c r="F103" s="102" t="s">
        <v>514</v>
      </c>
      <c r="G103" s="102" t="s">
        <v>282</v>
      </c>
      <c r="H103" s="102" t="s">
        <v>283</v>
      </c>
      <c r="I103" s="102" t="s">
        <v>648</v>
      </c>
      <c r="J103" s="102" t="s">
        <v>678</v>
      </c>
      <c r="L103" s="229" t="s">
        <v>1233</v>
      </c>
      <c r="M103" s="229" t="s">
        <v>3298</v>
      </c>
      <c r="N103" s="229" t="s">
        <v>1237</v>
      </c>
      <c r="O103" s="102">
        <v>8.0</v>
      </c>
      <c r="S103" s="102">
        <v>115200.0</v>
      </c>
      <c r="T103" s="230" t="str">
        <f>IF(ISNUMBER(MATCH(B103, 'Sprint 20'!B:B, 0)), "มาจาก Sprint 20", "")</f>
        <v/>
      </c>
      <c r="U103" s="230" t="str">
        <f t="array" ref="U103">IF(ISNUMBER(MATCH(B103, 'Sprint 20'!B:B, 0)), INDEX('Sprint 20'!J:J, MATCH(B103, 'Sprint 20'!B:B, 0)), "")</f>
        <v/>
      </c>
      <c r="V103" s="102"/>
      <c r="W103" s="102" t="s">
        <v>529</v>
      </c>
      <c r="X103" s="102" t="s">
        <v>298</v>
      </c>
    </row>
    <row r="104">
      <c r="A104" s="102" t="s">
        <v>310</v>
      </c>
      <c r="B104" s="102" t="s">
        <v>1238</v>
      </c>
      <c r="C104" s="229" t="s">
        <v>1239</v>
      </c>
      <c r="D104" s="102" t="s">
        <v>1240</v>
      </c>
      <c r="E104" s="102" t="s">
        <v>564</v>
      </c>
      <c r="F104" s="102" t="s">
        <v>565</v>
      </c>
      <c r="G104" s="102" t="s">
        <v>282</v>
      </c>
      <c r="H104" s="102" t="s">
        <v>283</v>
      </c>
      <c r="I104" s="102" t="s">
        <v>284</v>
      </c>
      <c r="J104" s="102" t="s">
        <v>454</v>
      </c>
      <c r="L104" s="229" t="s">
        <v>1241</v>
      </c>
      <c r="M104" s="229" t="s">
        <v>3452</v>
      </c>
      <c r="N104" s="229" t="s">
        <v>1242</v>
      </c>
      <c r="O104" s="102">
        <v>8.0</v>
      </c>
      <c r="S104" s="102">
        <v>72000.0</v>
      </c>
      <c r="T104" s="230" t="str">
        <f>IF(ISNUMBER(MATCH(B104, 'Sprint 20'!B:B, 0)), "มาจาก Sprint 20", "")</f>
        <v/>
      </c>
      <c r="U104" s="230" t="str">
        <f t="array" ref="U104">IF(ISNUMBER(MATCH(B104, 'Sprint 20'!B:B, 0)), INDEX('Sprint 20'!J:J, MATCH(B104, 'Sprint 20'!B:B, 0)), "")</f>
        <v/>
      </c>
      <c r="V104" s="102"/>
      <c r="W104" s="102" t="s">
        <v>529</v>
      </c>
      <c r="X104" s="102" t="s">
        <v>298</v>
      </c>
    </row>
    <row r="105">
      <c r="A105" s="102" t="s">
        <v>310</v>
      </c>
      <c r="B105" s="102" t="s">
        <v>1243</v>
      </c>
      <c r="C105" s="229" t="s">
        <v>1244</v>
      </c>
      <c r="D105" s="102" t="s">
        <v>1245</v>
      </c>
      <c r="E105" s="102" t="s">
        <v>328</v>
      </c>
      <c r="F105" s="102" t="s">
        <v>329</v>
      </c>
      <c r="G105" s="102" t="s">
        <v>282</v>
      </c>
      <c r="H105" s="102" t="s">
        <v>283</v>
      </c>
      <c r="I105" s="102" t="s">
        <v>284</v>
      </c>
      <c r="J105" s="102" t="s">
        <v>454</v>
      </c>
      <c r="L105" s="229" t="s">
        <v>1246</v>
      </c>
      <c r="M105" s="229" t="s">
        <v>3452</v>
      </c>
      <c r="N105" s="229" t="s">
        <v>1247</v>
      </c>
      <c r="O105" s="102">
        <v>8.0</v>
      </c>
      <c r="S105" s="230"/>
      <c r="T105" s="230" t="str">
        <f>IF(ISNUMBER(MATCH(B105, 'Sprint 20'!B:B, 0)), "มาจาก Sprint 20", "")</f>
        <v/>
      </c>
      <c r="U105" s="230" t="str">
        <f t="array" ref="U105">IF(ISNUMBER(MATCH(B105, 'Sprint 20'!B:B, 0)), INDEX('Sprint 20'!J:J, MATCH(B105, 'Sprint 20'!B:B, 0)), "")</f>
        <v/>
      </c>
      <c r="V105" s="230"/>
      <c r="W105" s="102" t="s">
        <v>529</v>
      </c>
      <c r="X105" s="102" t="s">
        <v>298</v>
      </c>
    </row>
    <row r="106">
      <c r="A106" s="102" t="s">
        <v>310</v>
      </c>
      <c r="B106" s="102" t="s">
        <v>1248</v>
      </c>
      <c r="C106" s="229" t="s">
        <v>1249</v>
      </c>
      <c r="D106" s="102" t="s">
        <v>1250</v>
      </c>
      <c r="E106" s="102" t="s">
        <v>328</v>
      </c>
      <c r="F106" s="102" t="s">
        <v>329</v>
      </c>
      <c r="G106" s="102" t="s">
        <v>282</v>
      </c>
      <c r="H106" s="102" t="s">
        <v>283</v>
      </c>
      <c r="I106" s="102" t="s">
        <v>284</v>
      </c>
      <c r="J106" s="102" t="s">
        <v>454</v>
      </c>
      <c r="L106" s="229" t="s">
        <v>1251</v>
      </c>
      <c r="M106" s="229" t="s">
        <v>3452</v>
      </c>
      <c r="N106" s="229" t="s">
        <v>1252</v>
      </c>
      <c r="O106" s="102">
        <v>8.0</v>
      </c>
      <c r="S106" s="230"/>
      <c r="T106" s="230" t="str">
        <f>IF(ISNUMBER(MATCH(B106, 'Sprint 20'!B:B, 0)), "มาจาก Sprint 20", "")</f>
        <v/>
      </c>
      <c r="U106" s="230" t="str">
        <f t="array" ref="U106">IF(ISNUMBER(MATCH(B106, 'Sprint 20'!B:B, 0)), INDEX('Sprint 20'!J:J, MATCH(B106, 'Sprint 20'!B:B, 0)), "")</f>
        <v/>
      </c>
      <c r="V106" s="230"/>
      <c r="W106" s="102" t="s">
        <v>529</v>
      </c>
      <c r="X106" s="102" t="s">
        <v>298</v>
      </c>
    </row>
    <row r="107">
      <c r="A107" s="102" t="s">
        <v>276</v>
      </c>
      <c r="B107" s="102" t="s">
        <v>1985</v>
      </c>
      <c r="C107" s="229" t="s">
        <v>1986</v>
      </c>
      <c r="D107" s="102" t="s">
        <v>279</v>
      </c>
      <c r="E107" s="102" t="s">
        <v>280</v>
      </c>
      <c r="F107" s="102" t="s">
        <v>281</v>
      </c>
      <c r="G107" s="102" t="s">
        <v>1987</v>
      </c>
      <c r="H107" s="102" t="s">
        <v>1988</v>
      </c>
      <c r="I107" s="102" t="s">
        <v>284</v>
      </c>
      <c r="J107" s="102" t="s">
        <v>63</v>
      </c>
      <c r="L107" s="229" t="s">
        <v>1989</v>
      </c>
      <c r="M107" s="229" t="s">
        <v>2517</v>
      </c>
      <c r="O107" s="230"/>
      <c r="S107" s="230"/>
      <c r="T107" s="230" t="str">
        <f>IF(ISNUMBER(MATCH(B107, 'Sprint 20'!B:B, 0)), "มาจาก Sprint 20", "")</f>
        <v>มาจาก Sprint 20</v>
      </c>
      <c r="U107" s="230" t="str">
        <f t="array" ref="U107">IF(ISNUMBER(MATCH(B107, 'Sprint 20'!B:B, 0)), INDEX('Sprint 20'!J:J, MATCH(B107, 'Sprint 20'!B:B, 0)), "")</f>
        <v>To Do</v>
      </c>
      <c r="V107" s="230"/>
      <c r="W107" s="102" t="s">
        <v>1991</v>
      </c>
      <c r="X107" s="102" t="s">
        <v>1992</v>
      </c>
      <c r="Y107" s="102" t="s">
        <v>1085</v>
      </c>
      <c r="Z107" s="102" t="s">
        <v>529</v>
      </c>
      <c r="AA107" s="102" t="s">
        <v>298</v>
      </c>
    </row>
    <row r="108">
      <c r="A108" s="102" t="s">
        <v>276</v>
      </c>
      <c r="B108" s="102" t="s">
        <v>1993</v>
      </c>
      <c r="C108" s="229" t="s">
        <v>1994</v>
      </c>
      <c r="D108" s="102" t="s">
        <v>291</v>
      </c>
      <c r="E108" s="102" t="s">
        <v>280</v>
      </c>
      <c r="F108" s="102" t="s">
        <v>281</v>
      </c>
      <c r="G108" s="102" t="s">
        <v>1987</v>
      </c>
      <c r="H108" s="102" t="s">
        <v>1988</v>
      </c>
      <c r="I108" s="102" t="s">
        <v>284</v>
      </c>
      <c r="J108" s="102" t="s">
        <v>26</v>
      </c>
      <c r="L108" s="229" t="s">
        <v>1989</v>
      </c>
      <c r="M108" s="229" t="s">
        <v>1995</v>
      </c>
      <c r="O108" s="230"/>
      <c r="S108" s="230"/>
      <c r="T108" s="230" t="str">
        <f>IF(ISNUMBER(MATCH(B108, 'Sprint 20'!B:B, 0)), "มาจาก Sprint 20", "")</f>
        <v>มาจาก Sprint 20</v>
      </c>
      <c r="U108" s="230" t="str">
        <f t="array" ref="U108">IF(ISNUMBER(MATCH(B108, 'Sprint 20'!B:B, 0)), INDEX('Sprint 20'!J:J, MATCH(B108, 'Sprint 20'!B:B, 0)), "")</f>
        <v>Done</v>
      </c>
      <c r="V108" s="230"/>
      <c r="W108" s="102" t="s">
        <v>1991</v>
      </c>
      <c r="X108" s="102" t="s">
        <v>1992</v>
      </c>
      <c r="Y108" s="102" t="s">
        <v>1085</v>
      </c>
      <c r="Z108" s="102" t="s">
        <v>529</v>
      </c>
      <c r="AA108" s="102" t="s">
        <v>298</v>
      </c>
    </row>
    <row r="109">
      <c r="A109" s="102" t="s">
        <v>276</v>
      </c>
      <c r="B109" s="102" t="s">
        <v>2518</v>
      </c>
      <c r="C109" s="229" t="s">
        <v>2519</v>
      </c>
      <c r="D109" s="102" t="s">
        <v>279</v>
      </c>
      <c r="E109" s="102" t="s">
        <v>280</v>
      </c>
      <c r="F109" s="102" t="s">
        <v>281</v>
      </c>
      <c r="G109" s="102" t="s">
        <v>1987</v>
      </c>
      <c r="H109" s="102" t="s">
        <v>1988</v>
      </c>
      <c r="I109" s="102" t="s">
        <v>284</v>
      </c>
      <c r="J109" s="102" t="s">
        <v>63</v>
      </c>
      <c r="L109" s="229" t="s">
        <v>1989</v>
      </c>
      <c r="M109" s="229" t="s">
        <v>2520</v>
      </c>
      <c r="O109" s="230"/>
      <c r="S109" s="230"/>
      <c r="T109" s="230" t="str">
        <f>IF(ISNUMBER(MATCH(B109, 'Sprint 20'!B:B, 0)), "มาจาก Sprint 20", "")</f>
        <v>มาจาก Sprint 20</v>
      </c>
      <c r="U109" s="230" t="str">
        <f t="array" ref="U109">IF(ISNUMBER(MATCH(B109, 'Sprint 20'!B:B, 0)), INDEX('Sprint 20'!J:J, MATCH(B109, 'Sprint 20'!B:B, 0)), "")</f>
        <v>To Do</v>
      </c>
      <c r="V109" s="230"/>
      <c r="W109" s="102" t="s">
        <v>1991</v>
      </c>
      <c r="X109" s="102" t="s">
        <v>1992</v>
      </c>
      <c r="Y109" s="102" t="s">
        <v>1085</v>
      </c>
      <c r="Z109" s="102" t="s">
        <v>529</v>
      </c>
      <c r="AA109" s="102" t="s">
        <v>298</v>
      </c>
    </row>
    <row r="110">
      <c r="A110" s="102" t="s">
        <v>276</v>
      </c>
      <c r="B110" s="102" t="s">
        <v>2521</v>
      </c>
      <c r="C110" s="229" t="s">
        <v>2522</v>
      </c>
      <c r="D110" s="102" t="s">
        <v>279</v>
      </c>
      <c r="E110" s="102" t="s">
        <v>280</v>
      </c>
      <c r="F110" s="102" t="s">
        <v>281</v>
      </c>
      <c r="G110" s="102" t="s">
        <v>1987</v>
      </c>
      <c r="H110" s="102" t="s">
        <v>1988</v>
      </c>
      <c r="I110" s="102" t="s">
        <v>284</v>
      </c>
      <c r="J110" s="102" t="s">
        <v>63</v>
      </c>
      <c r="L110" s="229" t="s">
        <v>1989</v>
      </c>
      <c r="M110" s="229" t="s">
        <v>2523</v>
      </c>
      <c r="O110" s="230"/>
      <c r="S110" s="230"/>
      <c r="T110" s="230" t="str">
        <f>IF(ISNUMBER(MATCH(B110, 'Sprint 20'!B:B, 0)), "มาจาก Sprint 20", "")</f>
        <v>มาจาก Sprint 20</v>
      </c>
      <c r="U110" s="230" t="str">
        <f t="array" ref="U110">IF(ISNUMBER(MATCH(B110, 'Sprint 20'!B:B, 0)), INDEX('Sprint 20'!J:J, MATCH(B110, 'Sprint 20'!B:B, 0)), "")</f>
        <v>To Do</v>
      </c>
      <c r="V110" s="230"/>
      <c r="W110" s="102" t="s">
        <v>1991</v>
      </c>
      <c r="X110" s="102" t="s">
        <v>1992</v>
      </c>
      <c r="Y110" s="102" t="s">
        <v>1085</v>
      </c>
      <c r="Z110" s="102" t="s">
        <v>529</v>
      </c>
      <c r="AA110" s="102" t="s">
        <v>298</v>
      </c>
    </row>
    <row r="111">
      <c r="A111" s="102" t="s">
        <v>276</v>
      </c>
      <c r="B111" s="102" t="s">
        <v>2524</v>
      </c>
      <c r="C111" s="229" t="s">
        <v>2525</v>
      </c>
      <c r="D111" s="102" t="s">
        <v>279</v>
      </c>
      <c r="E111" s="102" t="s">
        <v>280</v>
      </c>
      <c r="F111" s="102" t="s">
        <v>281</v>
      </c>
      <c r="G111" s="102" t="s">
        <v>1987</v>
      </c>
      <c r="H111" s="102" t="s">
        <v>1988</v>
      </c>
      <c r="I111" s="102" t="s">
        <v>284</v>
      </c>
      <c r="J111" s="102" t="s">
        <v>63</v>
      </c>
      <c r="L111" s="229" t="s">
        <v>1989</v>
      </c>
      <c r="M111" s="229" t="s">
        <v>2526</v>
      </c>
      <c r="O111" s="230"/>
      <c r="S111" s="230"/>
      <c r="T111" s="230" t="str">
        <f>IF(ISNUMBER(MATCH(B111, 'Sprint 20'!B:B, 0)), "มาจาก Sprint 20", "")</f>
        <v>มาจาก Sprint 20</v>
      </c>
      <c r="U111" s="230" t="str">
        <f t="array" ref="U111">IF(ISNUMBER(MATCH(B111, 'Sprint 20'!B:B, 0)), INDEX('Sprint 20'!J:J, MATCH(B111, 'Sprint 20'!B:B, 0)), "")</f>
        <v>To Do</v>
      </c>
      <c r="V111" s="230"/>
      <c r="W111" s="102" t="s">
        <v>1991</v>
      </c>
      <c r="X111" s="102" t="s">
        <v>1992</v>
      </c>
      <c r="Y111" s="102" t="s">
        <v>1085</v>
      </c>
      <c r="Z111" s="102" t="s">
        <v>529</v>
      </c>
      <c r="AA111" s="102" t="s">
        <v>298</v>
      </c>
    </row>
    <row r="112">
      <c r="A112" s="102" t="s">
        <v>276</v>
      </c>
      <c r="B112" s="102" t="s">
        <v>2527</v>
      </c>
      <c r="C112" s="229" t="s">
        <v>2528</v>
      </c>
      <c r="D112" s="102" t="s">
        <v>279</v>
      </c>
      <c r="E112" s="102" t="s">
        <v>280</v>
      </c>
      <c r="F112" s="102" t="s">
        <v>281</v>
      </c>
      <c r="G112" s="102" t="s">
        <v>1987</v>
      </c>
      <c r="H112" s="102" t="s">
        <v>1988</v>
      </c>
      <c r="I112" s="102" t="s">
        <v>284</v>
      </c>
      <c r="J112" s="102" t="s">
        <v>63</v>
      </c>
      <c r="L112" s="229" t="s">
        <v>1989</v>
      </c>
      <c r="M112" s="229" t="s">
        <v>2526</v>
      </c>
      <c r="O112" s="230"/>
      <c r="S112" s="230"/>
      <c r="T112" s="230" t="str">
        <f>IF(ISNUMBER(MATCH(B112, 'Sprint 20'!B:B, 0)), "มาจาก Sprint 20", "")</f>
        <v>มาจาก Sprint 20</v>
      </c>
      <c r="U112" s="230" t="str">
        <f t="array" ref="U112">IF(ISNUMBER(MATCH(B112, 'Sprint 20'!B:B, 0)), INDEX('Sprint 20'!J:J, MATCH(B112, 'Sprint 20'!B:B, 0)), "")</f>
        <v>To Do</v>
      </c>
      <c r="V112" s="230"/>
      <c r="W112" s="102" t="s">
        <v>1991</v>
      </c>
      <c r="X112" s="102" t="s">
        <v>1992</v>
      </c>
      <c r="Y112" s="102" t="s">
        <v>1085</v>
      </c>
      <c r="Z112" s="102" t="s">
        <v>529</v>
      </c>
      <c r="AA112" s="102" t="s">
        <v>298</v>
      </c>
    </row>
    <row r="113">
      <c r="A113" s="102" t="s">
        <v>276</v>
      </c>
      <c r="B113" s="102" t="s">
        <v>2529</v>
      </c>
      <c r="C113" s="229" t="s">
        <v>2530</v>
      </c>
      <c r="D113" s="102" t="s">
        <v>279</v>
      </c>
      <c r="E113" s="102" t="s">
        <v>280</v>
      </c>
      <c r="F113" s="102" t="s">
        <v>281</v>
      </c>
      <c r="G113" s="102" t="s">
        <v>1987</v>
      </c>
      <c r="H113" s="102" t="s">
        <v>1988</v>
      </c>
      <c r="I113" s="102" t="s">
        <v>284</v>
      </c>
      <c r="J113" s="102" t="s">
        <v>63</v>
      </c>
      <c r="L113" s="229" t="s">
        <v>1989</v>
      </c>
      <c r="M113" s="229" t="s">
        <v>2526</v>
      </c>
      <c r="O113" s="230"/>
      <c r="S113" s="230"/>
      <c r="T113" s="230" t="str">
        <f>IF(ISNUMBER(MATCH(B113, 'Sprint 20'!B:B, 0)), "มาจาก Sprint 20", "")</f>
        <v>มาจาก Sprint 20</v>
      </c>
      <c r="U113" s="230" t="str">
        <f t="array" ref="U113">IF(ISNUMBER(MATCH(B113, 'Sprint 20'!B:B, 0)), INDEX('Sprint 20'!J:J, MATCH(B113, 'Sprint 20'!B:B, 0)), "")</f>
        <v>To Do</v>
      </c>
      <c r="V113" s="230"/>
      <c r="W113" s="102" t="s">
        <v>1991</v>
      </c>
      <c r="X113" s="102" t="s">
        <v>1992</v>
      </c>
      <c r="Y113" s="102" t="s">
        <v>1085</v>
      </c>
      <c r="Z113" s="102" t="s">
        <v>529</v>
      </c>
      <c r="AA113" s="102" t="s">
        <v>298</v>
      </c>
    </row>
    <row r="114">
      <c r="A114" s="102" t="s">
        <v>276</v>
      </c>
      <c r="B114" s="102" t="s">
        <v>2531</v>
      </c>
      <c r="C114" s="229" t="s">
        <v>2532</v>
      </c>
      <c r="D114" s="102" t="s">
        <v>279</v>
      </c>
      <c r="E114" s="102" t="s">
        <v>280</v>
      </c>
      <c r="F114" s="102" t="s">
        <v>281</v>
      </c>
      <c r="G114" s="102" t="s">
        <v>1987</v>
      </c>
      <c r="H114" s="102" t="s">
        <v>1988</v>
      </c>
      <c r="I114" s="102" t="s">
        <v>284</v>
      </c>
      <c r="J114" s="102" t="s">
        <v>63</v>
      </c>
      <c r="L114" s="229" t="s">
        <v>1989</v>
      </c>
      <c r="M114" s="229" t="s">
        <v>2526</v>
      </c>
      <c r="O114" s="230"/>
      <c r="S114" s="230"/>
      <c r="T114" s="230" t="str">
        <f>IF(ISNUMBER(MATCH(B114, 'Sprint 20'!B:B, 0)), "มาจาก Sprint 20", "")</f>
        <v>มาจาก Sprint 20</v>
      </c>
      <c r="U114" s="230" t="str">
        <f t="array" ref="U114">IF(ISNUMBER(MATCH(B114, 'Sprint 20'!B:B, 0)), INDEX('Sprint 20'!J:J, MATCH(B114, 'Sprint 20'!B:B, 0)), "")</f>
        <v>To Do</v>
      </c>
      <c r="V114" s="230"/>
      <c r="W114" s="102" t="s">
        <v>1991</v>
      </c>
      <c r="X114" s="102" t="s">
        <v>1992</v>
      </c>
      <c r="Y114" s="102" t="s">
        <v>1085</v>
      </c>
      <c r="Z114" s="102" t="s">
        <v>529</v>
      </c>
      <c r="AA114" s="102" t="s">
        <v>298</v>
      </c>
    </row>
    <row r="115">
      <c r="A115" s="102" t="s">
        <v>276</v>
      </c>
      <c r="B115" s="102" t="s">
        <v>2533</v>
      </c>
      <c r="C115" s="229" t="s">
        <v>2534</v>
      </c>
      <c r="D115" s="102" t="s">
        <v>279</v>
      </c>
      <c r="E115" s="102" t="s">
        <v>280</v>
      </c>
      <c r="F115" s="102" t="s">
        <v>281</v>
      </c>
      <c r="G115" s="102" t="s">
        <v>1987</v>
      </c>
      <c r="H115" s="102" t="s">
        <v>1988</v>
      </c>
      <c r="I115" s="102" t="s">
        <v>284</v>
      </c>
      <c r="J115" s="102" t="s">
        <v>63</v>
      </c>
      <c r="L115" s="229" t="s">
        <v>1989</v>
      </c>
      <c r="M115" s="229" t="s">
        <v>2523</v>
      </c>
      <c r="O115" s="230"/>
      <c r="S115" s="230"/>
      <c r="T115" s="230" t="str">
        <f>IF(ISNUMBER(MATCH(B115, 'Sprint 20'!B:B, 0)), "มาจาก Sprint 20", "")</f>
        <v>มาจาก Sprint 20</v>
      </c>
      <c r="U115" s="230" t="str">
        <f t="array" ref="U115">IF(ISNUMBER(MATCH(B115, 'Sprint 20'!B:B, 0)), INDEX('Sprint 20'!J:J, MATCH(B115, 'Sprint 20'!B:B, 0)), "")</f>
        <v>To Do</v>
      </c>
      <c r="V115" s="230"/>
      <c r="W115" s="102" t="s">
        <v>1991</v>
      </c>
      <c r="X115" s="102" t="s">
        <v>1992</v>
      </c>
      <c r="Y115" s="102" t="s">
        <v>1085</v>
      </c>
      <c r="Z115" s="102" t="s">
        <v>529</v>
      </c>
      <c r="AA115" s="102" t="s">
        <v>298</v>
      </c>
      <c r="AQ115" s="102"/>
    </row>
    <row r="116">
      <c r="A116" s="102" t="s">
        <v>276</v>
      </c>
      <c r="B116" s="102" t="s">
        <v>1996</v>
      </c>
      <c r="C116" s="229" t="s">
        <v>1997</v>
      </c>
      <c r="D116" s="102" t="s">
        <v>279</v>
      </c>
      <c r="E116" s="102" t="s">
        <v>280</v>
      </c>
      <c r="F116" s="102" t="s">
        <v>281</v>
      </c>
      <c r="G116" s="102" t="s">
        <v>1987</v>
      </c>
      <c r="H116" s="102" t="s">
        <v>1988</v>
      </c>
      <c r="I116" s="102" t="s">
        <v>284</v>
      </c>
      <c r="J116" s="102" t="s">
        <v>63</v>
      </c>
      <c r="L116" s="229" t="s">
        <v>1989</v>
      </c>
      <c r="M116" s="229" t="s">
        <v>2535</v>
      </c>
      <c r="O116" s="230"/>
      <c r="S116" s="230"/>
      <c r="T116" s="230" t="str">
        <f>IF(ISNUMBER(MATCH(B116, 'Sprint 20'!B:B, 0)), "มาจาก Sprint 20", "")</f>
        <v>มาจาก Sprint 20</v>
      </c>
      <c r="U116" s="230" t="str">
        <f t="array" ref="U116">IF(ISNUMBER(MATCH(B116, 'Sprint 20'!B:B, 0)), INDEX('Sprint 20'!J:J, MATCH(B116, 'Sprint 20'!B:B, 0)), "")</f>
        <v>To Do</v>
      </c>
      <c r="V116" s="230"/>
      <c r="W116" s="102" t="s">
        <v>1991</v>
      </c>
      <c r="X116" s="102" t="s">
        <v>1992</v>
      </c>
      <c r="Y116" s="102" t="s">
        <v>1085</v>
      </c>
      <c r="Z116" s="102" t="s">
        <v>529</v>
      </c>
      <c r="AA116" s="102" t="s">
        <v>298</v>
      </c>
      <c r="AQ116" s="102"/>
    </row>
    <row r="117">
      <c r="A117" s="102" t="s">
        <v>276</v>
      </c>
      <c r="B117" s="102" t="s">
        <v>1998</v>
      </c>
      <c r="C117" s="229" t="s">
        <v>1999</v>
      </c>
      <c r="D117" s="102" t="s">
        <v>291</v>
      </c>
      <c r="E117" s="102" t="s">
        <v>280</v>
      </c>
      <c r="F117" s="102" t="s">
        <v>281</v>
      </c>
      <c r="G117" s="102" t="s">
        <v>1987</v>
      </c>
      <c r="H117" s="102" t="s">
        <v>1988</v>
      </c>
      <c r="I117" s="102" t="s">
        <v>284</v>
      </c>
      <c r="J117" s="102" t="s">
        <v>26</v>
      </c>
      <c r="L117" s="229" t="s">
        <v>1989</v>
      </c>
      <c r="M117" s="229" t="s">
        <v>1995</v>
      </c>
      <c r="O117" s="230"/>
      <c r="S117" s="230"/>
      <c r="T117" s="230" t="str">
        <f>IF(ISNUMBER(MATCH(B117, 'Sprint 20'!B:B, 0)), "มาจาก Sprint 20", "")</f>
        <v>มาจาก Sprint 20</v>
      </c>
      <c r="U117" s="230" t="str">
        <f t="array" ref="U117">IF(ISNUMBER(MATCH(B117, 'Sprint 20'!B:B, 0)), INDEX('Sprint 20'!J:J, MATCH(B117, 'Sprint 20'!B:B, 0)), "")</f>
        <v>Done</v>
      </c>
      <c r="V117" s="230"/>
      <c r="W117" s="102" t="s">
        <v>1991</v>
      </c>
      <c r="X117" s="102" t="s">
        <v>1992</v>
      </c>
      <c r="Y117" s="102" t="s">
        <v>1085</v>
      </c>
      <c r="Z117" s="102" t="s">
        <v>529</v>
      </c>
      <c r="AA117" s="102" t="s">
        <v>298</v>
      </c>
      <c r="AQ117" s="102"/>
    </row>
    <row r="118">
      <c r="A118" s="102" t="s">
        <v>276</v>
      </c>
      <c r="B118" s="102" t="s">
        <v>2000</v>
      </c>
      <c r="C118" s="229" t="s">
        <v>2001</v>
      </c>
      <c r="D118" s="102" t="s">
        <v>291</v>
      </c>
      <c r="E118" s="102" t="s">
        <v>280</v>
      </c>
      <c r="F118" s="102" t="s">
        <v>281</v>
      </c>
      <c r="G118" s="102" t="s">
        <v>1987</v>
      </c>
      <c r="H118" s="102" t="s">
        <v>1988</v>
      </c>
      <c r="I118" s="102" t="s">
        <v>284</v>
      </c>
      <c r="J118" s="102" t="s">
        <v>26</v>
      </c>
      <c r="L118" s="229" t="s">
        <v>1989</v>
      </c>
      <c r="M118" s="229" t="s">
        <v>1995</v>
      </c>
      <c r="O118" s="230"/>
      <c r="S118" s="230"/>
      <c r="T118" s="230" t="str">
        <f>IF(ISNUMBER(MATCH(B118, 'Sprint 20'!B:B, 0)), "มาจาก Sprint 20", "")</f>
        <v>มาจาก Sprint 20</v>
      </c>
      <c r="U118" s="230" t="str">
        <f t="array" ref="U118">IF(ISNUMBER(MATCH(B118, 'Sprint 20'!B:B, 0)), INDEX('Sprint 20'!J:J, MATCH(B118, 'Sprint 20'!B:B, 0)), "")</f>
        <v>Done</v>
      </c>
      <c r="V118" s="230"/>
      <c r="W118" s="102" t="s">
        <v>1991</v>
      </c>
      <c r="X118" s="102" t="s">
        <v>1992</v>
      </c>
      <c r="Y118" s="102" t="s">
        <v>1085</v>
      </c>
      <c r="Z118" s="102" t="s">
        <v>529</v>
      </c>
      <c r="AA118" s="102" t="s">
        <v>298</v>
      </c>
      <c r="AQ118" s="102"/>
    </row>
    <row r="119">
      <c r="A119" s="102" t="s">
        <v>276</v>
      </c>
      <c r="B119" s="102" t="s">
        <v>2002</v>
      </c>
      <c r="C119" s="229" t="s">
        <v>2003</v>
      </c>
      <c r="D119" s="102" t="s">
        <v>291</v>
      </c>
      <c r="E119" s="102" t="s">
        <v>280</v>
      </c>
      <c r="F119" s="102" t="s">
        <v>281</v>
      </c>
      <c r="G119" s="102" t="s">
        <v>1987</v>
      </c>
      <c r="H119" s="102" t="s">
        <v>1988</v>
      </c>
      <c r="I119" s="102" t="s">
        <v>284</v>
      </c>
      <c r="J119" s="102" t="s">
        <v>26</v>
      </c>
      <c r="L119" s="229" t="s">
        <v>1989</v>
      </c>
      <c r="M119" s="229" t="s">
        <v>1995</v>
      </c>
      <c r="O119" s="230"/>
      <c r="S119" s="230"/>
      <c r="T119" s="230" t="str">
        <f>IF(ISNUMBER(MATCH(B119, 'Sprint 20'!B:B, 0)), "มาจาก Sprint 20", "")</f>
        <v>มาจาก Sprint 20</v>
      </c>
      <c r="U119" s="230" t="str">
        <f t="array" ref="U119">IF(ISNUMBER(MATCH(B119, 'Sprint 20'!B:B, 0)), INDEX('Sprint 20'!J:J, MATCH(B119, 'Sprint 20'!B:B, 0)), "")</f>
        <v>Done</v>
      </c>
      <c r="V119" s="230"/>
      <c r="W119" s="102" t="s">
        <v>1991</v>
      </c>
      <c r="X119" s="102" t="s">
        <v>1992</v>
      </c>
      <c r="Y119" s="102" t="s">
        <v>1085</v>
      </c>
      <c r="Z119" s="102" t="s">
        <v>529</v>
      </c>
      <c r="AA119" s="102" t="s">
        <v>298</v>
      </c>
      <c r="AQ119" s="102"/>
    </row>
    <row r="120">
      <c r="A120" s="102" t="s">
        <v>276</v>
      </c>
      <c r="B120" s="102" t="s">
        <v>2004</v>
      </c>
      <c r="C120" s="229" t="s">
        <v>2005</v>
      </c>
      <c r="D120" s="102" t="s">
        <v>291</v>
      </c>
      <c r="E120" s="102" t="s">
        <v>280</v>
      </c>
      <c r="F120" s="102" t="s">
        <v>281</v>
      </c>
      <c r="G120" s="102" t="s">
        <v>1987</v>
      </c>
      <c r="H120" s="102" t="s">
        <v>1988</v>
      </c>
      <c r="I120" s="102" t="s">
        <v>284</v>
      </c>
      <c r="J120" s="102" t="s">
        <v>26</v>
      </c>
      <c r="L120" s="229" t="s">
        <v>1989</v>
      </c>
      <c r="M120" s="229" t="s">
        <v>1995</v>
      </c>
      <c r="O120" s="230"/>
      <c r="S120" s="230"/>
      <c r="T120" s="230" t="str">
        <f>IF(ISNUMBER(MATCH(B120, 'Sprint 20'!B:B, 0)), "มาจาก Sprint 20", "")</f>
        <v>มาจาก Sprint 20</v>
      </c>
      <c r="U120" s="230" t="str">
        <f t="array" ref="U120">IF(ISNUMBER(MATCH(B120, 'Sprint 20'!B:B, 0)), INDEX('Sprint 20'!J:J, MATCH(B120, 'Sprint 20'!B:B, 0)), "")</f>
        <v>Done</v>
      </c>
      <c r="V120" s="230"/>
      <c r="W120" s="102" t="s">
        <v>1991</v>
      </c>
      <c r="X120" s="102" t="s">
        <v>1992</v>
      </c>
      <c r="Y120" s="102" t="s">
        <v>1085</v>
      </c>
      <c r="Z120" s="102" t="s">
        <v>529</v>
      </c>
      <c r="AA120" s="102" t="s">
        <v>298</v>
      </c>
    </row>
    <row r="121">
      <c r="A121" s="102" t="s">
        <v>276</v>
      </c>
      <c r="B121" s="102" t="s">
        <v>2006</v>
      </c>
      <c r="C121" s="229" t="s">
        <v>2007</v>
      </c>
      <c r="D121" s="102" t="s">
        <v>291</v>
      </c>
      <c r="E121" s="102" t="s">
        <v>280</v>
      </c>
      <c r="F121" s="102" t="s">
        <v>281</v>
      </c>
      <c r="G121" s="102" t="s">
        <v>1987</v>
      </c>
      <c r="H121" s="102" t="s">
        <v>1988</v>
      </c>
      <c r="I121" s="102" t="s">
        <v>284</v>
      </c>
      <c r="J121" s="102" t="s">
        <v>26</v>
      </c>
      <c r="L121" s="229" t="s">
        <v>1989</v>
      </c>
      <c r="M121" s="229" t="s">
        <v>1995</v>
      </c>
      <c r="O121" s="230"/>
      <c r="S121" s="230"/>
      <c r="T121" s="230" t="str">
        <f>IF(ISNUMBER(MATCH(B121, 'Sprint 20'!B:B, 0)), "มาจาก Sprint 20", "")</f>
        <v>มาจาก Sprint 20</v>
      </c>
      <c r="U121" s="230" t="str">
        <f t="array" ref="U121">IF(ISNUMBER(MATCH(B121, 'Sprint 20'!B:B, 0)), INDEX('Sprint 20'!J:J, MATCH(B121, 'Sprint 20'!B:B, 0)), "")</f>
        <v>Done</v>
      </c>
      <c r="V121" s="230"/>
      <c r="W121" s="102" t="s">
        <v>1991</v>
      </c>
      <c r="X121" s="102" t="s">
        <v>1992</v>
      </c>
      <c r="Y121" s="102" t="s">
        <v>1085</v>
      </c>
      <c r="Z121" s="102" t="s">
        <v>529</v>
      </c>
      <c r="AA121" s="102" t="s">
        <v>298</v>
      </c>
      <c r="AP121" s="102"/>
      <c r="AQ121" s="102"/>
      <c r="AR121" s="102"/>
    </row>
    <row r="122">
      <c r="A122" s="102" t="s">
        <v>276</v>
      </c>
      <c r="B122" s="102" t="s">
        <v>2008</v>
      </c>
      <c r="C122" s="229" t="s">
        <v>2009</v>
      </c>
      <c r="D122" s="102" t="s">
        <v>291</v>
      </c>
      <c r="E122" s="102" t="s">
        <v>280</v>
      </c>
      <c r="F122" s="102" t="s">
        <v>281</v>
      </c>
      <c r="G122" s="102" t="s">
        <v>1987</v>
      </c>
      <c r="H122" s="102" t="s">
        <v>1988</v>
      </c>
      <c r="I122" s="102" t="s">
        <v>284</v>
      </c>
      <c r="J122" s="102" t="s">
        <v>26</v>
      </c>
      <c r="L122" s="229" t="s">
        <v>1989</v>
      </c>
      <c r="M122" s="229" t="s">
        <v>1995</v>
      </c>
      <c r="O122" s="230"/>
      <c r="S122" s="230"/>
      <c r="T122" s="230" t="str">
        <f>IF(ISNUMBER(MATCH(B122, 'Sprint 20'!B:B, 0)), "มาจาก Sprint 20", "")</f>
        <v>มาจาก Sprint 20</v>
      </c>
      <c r="U122" s="230" t="str">
        <f t="array" ref="U122">IF(ISNUMBER(MATCH(B122, 'Sprint 20'!B:B, 0)), INDEX('Sprint 20'!J:J, MATCH(B122, 'Sprint 20'!B:B, 0)), "")</f>
        <v>Done</v>
      </c>
      <c r="V122" s="230"/>
      <c r="W122" s="102" t="s">
        <v>1991</v>
      </c>
      <c r="X122" s="102" t="s">
        <v>1992</v>
      </c>
      <c r="Y122" s="102" t="s">
        <v>1085</v>
      </c>
      <c r="Z122" s="102" t="s">
        <v>529</v>
      </c>
      <c r="AA122" s="102" t="s">
        <v>298</v>
      </c>
      <c r="AP122" s="102"/>
      <c r="AQ122" s="102"/>
      <c r="AR122" s="102"/>
    </row>
    <row r="123">
      <c r="A123" s="102" t="s">
        <v>276</v>
      </c>
      <c r="B123" s="102" t="s">
        <v>2010</v>
      </c>
      <c r="C123" s="229" t="s">
        <v>2011</v>
      </c>
      <c r="D123" s="102" t="s">
        <v>291</v>
      </c>
      <c r="E123" s="102" t="s">
        <v>280</v>
      </c>
      <c r="F123" s="102" t="s">
        <v>281</v>
      </c>
      <c r="G123" s="102" t="s">
        <v>1987</v>
      </c>
      <c r="H123" s="102" t="s">
        <v>1988</v>
      </c>
      <c r="I123" s="102" t="s">
        <v>284</v>
      </c>
      <c r="J123" s="102" t="s">
        <v>26</v>
      </c>
      <c r="L123" s="229" t="s">
        <v>1989</v>
      </c>
      <c r="M123" s="229" t="s">
        <v>1995</v>
      </c>
      <c r="O123" s="230"/>
      <c r="S123" s="230"/>
      <c r="T123" s="230" t="str">
        <f>IF(ISNUMBER(MATCH(B123, 'Sprint 20'!B:B, 0)), "มาจาก Sprint 20", "")</f>
        <v>มาจาก Sprint 20</v>
      </c>
      <c r="U123" s="230" t="str">
        <f t="array" ref="U123">IF(ISNUMBER(MATCH(B123, 'Sprint 20'!B:B, 0)), INDEX('Sprint 20'!J:J, MATCH(B123, 'Sprint 20'!B:B, 0)), "")</f>
        <v>Done</v>
      </c>
      <c r="V123" s="230"/>
      <c r="W123" s="102" t="s">
        <v>1991</v>
      </c>
      <c r="X123" s="102" t="s">
        <v>1992</v>
      </c>
      <c r="Y123" s="102" t="s">
        <v>1085</v>
      </c>
      <c r="Z123" s="102" t="s">
        <v>529</v>
      </c>
      <c r="AA123" s="102" t="s">
        <v>298</v>
      </c>
    </row>
    <row r="124">
      <c r="A124" s="102" t="s">
        <v>276</v>
      </c>
      <c r="B124" s="102" t="s">
        <v>2012</v>
      </c>
      <c r="C124" s="229" t="s">
        <v>2013</v>
      </c>
      <c r="D124" s="102" t="s">
        <v>291</v>
      </c>
      <c r="E124" s="102" t="s">
        <v>280</v>
      </c>
      <c r="F124" s="102" t="s">
        <v>281</v>
      </c>
      <c r="G124" s="102" t="s">
        <v>1987</v>
      </c>
      <c r="H124" s="102" t="s">
        <v>1988</v>
      </c>
      <c r="I124" s="102" t="s">
        <v>284</v>
      </c>
      <c r="J124" s="102" t="s">
        <v>26</v>
      </c>
      <c r="L124" s="229" t="s">
        <v>1989</v>
      </c>
      <c r="M124" s="229" t="s">
        <v>1995</v>
      </c>
      <c r="O124" s="230"/>
      <c r="S124" s="230"/>
      <c r="T124" s="230" t="str">
        <f>IF(ISNUMBER(MATCH(B124, 'Sprint 20'!B:B, 0)), "มาจาก Sprint 20", "")</f>
        <v>มาจาก Sprint 20</v>
      </c>
      <c r="U124" s="230" t="str">
        <f t="array" ref="U124">IF(ISNUMBER(MATCH(B124, 'Sprint 20'!B:B, 0)), INDEX('Sprint 20'!J:J, MATCH(B124, 'Sprint 20'!B:B, 0)), "")</f>
        <v>Done</v>
      </c>
      <c r="V124" s="230"/>
      <c r="W124" s="102" t="s">
        <v>1991</v>
      </c>
      <c r="X124" s="102" t="s">
        <v>1992</v>
      </c>
      <c r="Y124" s="102" t="s">
        <v>1085</v>
      </c>
      <c r="Z124" s="102" t="s">
        <v>529</v>
      </c>
      <c r="AA124" s="102" t="s">
        <v>298</v>
      </c>
      <c r="AP124" s="102"/>
      <c r="AQ124" s="102"/>
    </row>
    <row r="125">
      <c r="A125" s="102" t="s">
        <v>276</v>
      </c>
      <c r="B125" s="102" t="s">
        <v>3453</v>
      </c>
      <c r="C125" s="229" t="s">
        <v>3454</v>
      </c>
      <c r="D125" s="102" t="s">
        <v>279</v>
      </c>
      <c r="E125" s="102" t="s">
        <v>3288</v>
      </c>
      <c r="F125" s="102" t="s">
        <v>3289</v>
      </c>
      <c r="G125" s="102" t="s">
        <v>1987</v>
      </c>
      <c r="H125" s="102" t="s">
        <v>1988</v>
      </c>
      <c r="I125" s="102" t="s">
        <v>284</v>
      </c>
      <c r="J125" s="102" t="s">
        <v>26</v>
      </c>
      <c r="L125" s="229" t="s">
        <v>3455</v>
      </c>
      <c r="M125" s="229" t="s">
        <v>3347</v>
      </c>
      <c r="O125" s="230"/>
      <c r="S125" s="230"/>
      <c r="T125" s="230" t="str">
        <f>IF(ISNUMBER(MATCH(B125, 'Sprint 20'!B:B, 0)), "มาจาก Sprint 20", "")</f>
        <v>มาจาก Sprint 20</v>
      </c>
      <c r="U125" s="230" t="str">
        <f t="array" ref="U125">IF(ISNUMBER(MATCH(B125, 'Sprint 20'!B:B, 0)), INDEX('Sprint 20'!J:J, MATCH(B125, 'Sprint 20'!B:B, 0)), "")</f>
        <v>To Do</v>
      </c>
      <c r="V125" s="230"/>
      <c r="W125" s="102" t="s">
        <v>1992</v>
      </c>
      <c r="X125" s="102" t="s">
        <v>1085</v>
      </c>
      <c r="Y125" s="102" t="s">
        <v>529</v>
      </c>
      <c r="AP125" s="102"/>
      <c r="AQ125" s="102"/>
    </row>
    <row r="126">
      <c r="A126" s="102" t="s">
        <v>276</v>
      </c>
      <c r="B126" s="102" t="s">
        <v>3456</v>
      </c>
      <c r="C126" s="229" t="s">
        <v>3457</v>
      </c>
      <c r="D126" s="102" t="s">
        <v>291</v>
      </c>
      <c r="E126" s="102" t="s">
        <v>280</v>
      </c>
      <c r="F126" s="102" t="s">
        <v>281</v>
      </c>
      <c r="G126" s="102" t="s">
        <v>1987</v>
      </c>
      <c r="H126" s="102" t="s">
        <v>1988</v>
      </c>
      <c r="I126" s="102" t="s">
        <v>284</v>
      </c>
      <c r="J126" s="102" t="s">
        <v>26</v>
      </c>
      <c r="L126" s="229" t="s">
        <v>3455</v>
      </c>
      <c r="M126" s="229" t="s">
        <v>3458</v>
      </c>
      <c r="O126" s="230"/>
      <c r="S126" s="230"/>
      <c r="T126" s="230" t="str">
        <f>IF(ISNUMBER(MATCH(B126, 'Sprint 20'!B:B, 0)), "มาจาก Sprint 20", "")</f>
        <v>มาจาก Sprint 20</v>
      </c>
      <c r="U126" s="230" t="str">
        <f t="array" ref="U126">IF(ISNUMBER(MATCH(B126, 'Sprint 20'!B:B, 0)), INDEX('Sprint 20'!J:J, MATCH(B126, 'Sprint 20'!B:B, 0)), "")</f>
        <v>Done</v>
      </c>
      <c r="V126" s="230"/>
      <c r="W126" s="102" t="s">
        <v>1992</v>
      </c>
      <c r="X126" s="102" t="s">
        <v>1085</v>
      </c>
      <c r="Y126" s="102" t="s">
        <v>529</v>
      </c>
      <c r="AP126" s="102"/>
      <c r="AQ126" s="102"/>
    </row>
    <row r="127">
      <c r="A127" s="102" t="s">
        <v>276</v>
      </c>
      <c r="B127" s="102" t="s">
        <v>3459</v>
      </c>
      <c r="C127" s="229" t="s">
        <v>3460</v>
      </c>
      <c r="D127" s="102" t="s">
        <v>279</v>
      </c>
      <c r="E127" s="102" t="s">
        <v>3288</v>
      </c>
      <c r="F127" s="102" t="s">
        <v>3289</v>
      </c>
      <c r="G127" s="102" t="s">
        <v>1987</v>
      </c>
      <c r="H127" s="102" t="s">
        <v>1988</v>
      </c>
      <c r="I127" s="102" t="s">
        <v>284</v>
      </c>
      <c r="J127" s="102" t="s">
        <v>26</v>
      </c>
      <c r="L127" s="229" t="s">
        <v>3455</v>
      </c>
      <c r="M127" s="229" t="s">
        <v>3461</v>
      </c>
      <c r="O127" s="230"/>
      <c r="S127" s="230"/>
      <c r="T127" s="230" t="str">
        <f>IF(ISNUMBER(MATCH(B127, 'Sprint 20'!B:B, 0)), "มาจาก Sprint 20", "")</f>
        <v>มาจาก Sprint 20</v>
      </c>
      <c r="U127" s="230" t="str">
        <f t="array" ref="U127">IF(ISNUMBER(MATCH(B127, 'Sprint 20'!B:B, 0)), INDEX('Sprint 20'!J:J, MATCH(B127, 'Sprint 20'!B:B, 0)), "")</f>
        <v>To Do</v>
      </c>
      <c r="V127" s="230"/>
      <c r="W127" s="102" t="s">
        <v>1992</v>
      </c>
      <c r="X127" s="102" t="s">
        <v>1085</v>
      </c>
      <c r="Y127" s="102" t="s">
        <v>529</v>
      </c>
      <c r="AP127" s="102"/>
      <c r="AQ127" s="102"/>
    </row>
    <row r="128">
      <c r="A128" s="102" t="s">
        <v>276</v>
      </c>
      <c r="B128" s="102" t="s">
        <v>3462</v>
      </c>
      <c r="C128" s="229" t="s">
        <v>3463</v>
      </c>
      <c r="D128" s="102" t="s">
        <v>291</v>
      </c>
      <c r="E128" s="102" t="s">
        <v>280</v>
      </c>
      <c r="F128" s="102" t="s">
        <v>281</v>
      </c>
      <c r="G128" s="102" t="s">
        <v>1987</v>
      </c>
      <c r="H128" s="102" t="s">
        <v>1988</v>
      </c>
      <c r="I128" s="102" t="s">
        <v>284</v>
      </c>
      <c r="J128" s="102" t="s">
        <v>26</v>
      </c>
      <c r="L128" s="229" t="s">
        <v>3455</v>
      </c>
      <c r="M128" s="229" t="s">
        <v>3458</v>
      </c>
      <c r="O128" s="230"/>
      <c r="S128" s="230"/>
      <c r="T128" s="230" t="str">
        <f>IF(ISNUMBER(MATCH(B128, 'Sprint 20'!B:B, 0)), "มาจาก Sprint 20", "")</f>
        <v>มาจาก Sprint 20</v>
      </c>
      <c r="U128" s="230" t="str">
        <f t="array" ref="U128">IF(ISNUMBER(MATCH(B128, 'Sprint 20'!B:B, 0)), INDEX('Sprint 20'!J:J, MATCH(B128, 'Sprint 20'!B:B, 0)), "")</f>
        <v>Done</v>
      </c>
      <c r="V128" s="230"/>
      <c r="W128" s="102" t="s">
        <v>1992</v>
      </c>
      <c r="X128" s="102" t="s">
        <v>1085</v>
      </c>
      <c r="Y128" s="102" t="s">
        <v>529</v>
      </c>
      <c r="AP128" s="102"/>
      <c r="AQ128" s="102"/>
    </row>
    <row r="129">
      <c r="A129" s="102" t="s">
        <v>276</v>
      </c>
      <c r="B129" s="102" t="s">
        <v>3464</v>
      </c>
      <c r="C129" s="229" t="s">
        <v>3465</v>
      </c>
      <c r="D129" s="102" t="s">
        <v>279</v>
      </c>
      <c r="E129" s="102" t="s">
        <v>3288</v>
      </c>
      <c r="F129" s="102" t="s">
        <v>3289</v>
      </c>
      <c r="G129" s="102" t="s">
        <v>1987</v>
      </c>
      <c r="H129" s="102" t="s">
        <v>1988</v>
      </c>
      <c r="I129" s="102" t="s">
        <v>284</v>
      </c>
      <c r="J129" s="102" t="s">
        <v>26</v>
      </c>
      <c r="L129" s="229" t="s">
        <v>3466</v>
      </c>
      <c r="M129" s="229" t="s">
        <v>3347</v>
      </c>
      <c r="O129" s="230"/>
      <c r="S129" s="230"/>
      <c r="T129" s="230" t="str">
        <f>IF(ISNUMBER(MATCH(B129, 'Sprint 20'!B:B, 0)), "มาจาก Sprint 20", "")</f>
        <v>มาจาก Sprint 20</v>
      </c>
      <c r="U129" s="230" t="str">
        <f t="array" ref="U129">IF(ISNUMBER(MATCH(B129, 'Sprint 20'!B:B, 0)), INDEX('Sprint 20'!J:J, MATCH(B129, 'Sprint 20'!B:B, 0)), "")</f>
        <v>To Do</v>
      </c>
      <c r="V129" s="230"/>
      <c r="W129" s="102" t="s">
        <v>1992</v>
      </c>
      <c r="X129" s="102" t="s">
        <v>1085</v>
      </c>
      <c r="Y129" s="102" t="s">
        <v>529</v>
      </c>
      <c r="AP129" s="102"/>
      <c r="AQ129" s="102"/>
    </row>
    <row r="130">
      <c r="A130" s="102" t="s">
        <v>276</v>
      </c>
      <c r="B130" s="102" t="s">
        <v>3467</v>
      </c>
      <c r="C130" s="229" t="s">
        <v>3468</v>
      </c>
      <c r="D130" s="102" t="s">
        <v>291</v>
      </c>
      <c r="E130" s="102" t="s">
        <v>280</v>
      </c>
      <c r="F130" s="102" t="s">
        <v>281</v>
      </c>
      <c r="G130" s="102" t="s">
        <v>1987</v>
      </c>
      <c r="H130" s="102" t="s">
        <v>1988</v>
      </c>
      <c r="I130" s="102" t="s">
        <v>284</v>
      </c>
      <c r="J130" s="102" t="s">
        <v>26</v>
      </c>
      <c r="L130" s="229" t="s">
        <v>3466</v>
      </c>
      <c r="M130" s="229" t="s">
        <v>3458</v>
      </c>
      <c r="O130" s="230"/>
      <c r="S130" s="230"/>
      <c r="T130" s="230" t="str">
        <f>IF(ISNUMBER(MATCH(B130, 'Sprint 20'!B:B, 0)), "มาจาก Sprint 20", "")</f>
        <v>มาจาก Sprint 20</v>
      </c>
      <c r="U130" s="230" t="str">
        <f t="array" ref="U130">IF(ISNUMBER(MATCH(B130, 'Sprint 20'!B:B, 0)), INDEX('Sprint 20'!J:J, MATCH(B130, 'Sprint 20'!B:B, 0)), "")</f>
        <v>Done</v>
      </c>
      <c r="V130" s="230"/>
      <c r="W130" s="102" t="s">
        <v>1992</v>
      </c>
      <c r="X130" s="102" t="s">
        <v>1085</v>
      </c>
      <c r="Y130" s="102" t="s">
        <v>529</v>
      </c>
      <c r="AP130" s="102"/>
      <c r="AQ130" s="102"/>
      <c r="AR130" s="102"/>
    </row>
    <row r="131">
      <c r="A131" s="102" t="s">
        <v>276</v>
      </c>
      <c r="B131" s="102" t="s">
        <v>3469</v>
      </c>
      <c r="C131" s="229" t="s">
        <v>3470</v>
      </c>
      <c r="D131" s="102" t="s">
        <v>279</v>
      </c>
      <c r="E131" s="102" t="s">
        <v>280</v>
      </c>
      <c r="F131" s="102" t="s">
        <v>281</v>
      </c>
      <c r="G131" s="102" t="s">
        <v>1987</v>
      </c>
      <c r="H131" s="102" t="s">
        <v>1988</v>
      </c>
      <c r="I131" s="102" t="s">
        <v>284</v>
      </c>
      <c r="J131" s="102" t="s">
        <v>26</v>
      </c>
      <c r="L131" s="229" t="s">
        <v>3471</v>
      </c>
      <c r="M131" s="229" t="s">
        <v>3472</v>
      </c>
      <c r="O131" s="230"/>
      <c r="S131" s="230"/>
      <c r="T131" s="230" t="str">
        <f>IF(ISNUMBER(MATCH(B131, 'Sprint 20'!B:B, 0)), "มาจาก Sprint 20", "")</f>
        <v>มาจาก Sprint 20</v>
      </c>
      <c r="U131" s="230" t="str">
        <f t="array" ref="U131">IF(ISNUMBER(MATCH(B131, 'Sprint 20'!B:B, 0)), INDEX('Sprint 20'!J:J, MATCH(B131, 'Sprint 20'!B:B, 0)), "")</f>
        <v>To Do</v>
      </c>
      <c r="V131" s="230"/>
      <c r="W131" s="102" t="s">
        <v>1992</v>
      </c>
      <c r="X131" s="102" t="s">
        <v>1085</v>
      </c>
      <c r="Y131" s="102" t="s">
        <v>529</v>
      </c>
      <c r="AP131" s="102"/>
      <c r="AQ131" s="102"/>
      <c r="AR131" s="102"/>
    </row>
    <row r="132">
      <c r="A132" s="102" t="s">
        <v>276</v>
      </c>
      <c r="B132" s="102" t="s">
        <v>3473</v>
      </c>
      <c r="C132" s="229" t="s">
        <v>3474</v>
      </c>
      <c r="D132" s="102" t="s">
        <v>291</v>
      </c>
      <c r="E132" s="102" t="s">
        <v>280</v>
      </c>
      <c r="F132" s="102" t="s">
        <v>281</v>
      </c>
      <c r="G132" s="102" t="s">
        <v>1987</v>
      </c>
      <c r="H132" s="102" t="s">
        <v>1988</v>
      </c>
      <c r="I132" s="102" t="s">
        <v>284</v>
      </c>
      <c r="J132" s="102" t="s">
        <v>26</v>
      </c>
      <c r="L132" s="229" t="s">
        <v>3471</v>
      </c>
      <c r="M132" s="229" t="s">
        <v>3458</v>
      </c>
      <c r="O132" s="230"/>
      <c r="S132" s="230"/>
      <c r="T132" s="230" t="str">
        <f>IF(ISNUMBER(MATCH(B132, 'Sprint 20'!B:B, 0)), "มาจาก Sprint 20", "")</f>
        <v>มาจาก Sprint 20</v>
      </c>
      <c r="U132" s="230" t="str">
        <f t="array" ref="U132">IF(ISNUMBER(MATCH(B132, 'Sprint 20'!B:B, 0)), INDEX('Sprint 20'!J:J, MATCH(B132, 'Sprint 20'!B:B, 0)), "")</f>
        <v>Done</v>
      </c>
      <c r="V132" s="230"/>
      <c r="W132" s="102" t="s">
        <v>1992</v>
      </c>
      <c r="X132" s="102" t="s">
        <v>1085</v>
      </c>
      <c r="Y132" s="102" t="s">
        <v>529</v>
      </c>
      <c r="AP132" s="102"/>
      <c r="AQ132" s="102"/>
      <c r="AR132" s="102"/>
    </row>
    <row r="133">
      <c r="A133" s="102" t="s">
        <v>276</v>
      </c>
      <c r="B133" s="102" t="s">
        <v>3475</v>
      </c>
      <c r="C133" s="229" t="s">
        <v>3476</v>
      </c>
      <c r="D133" s="102" t="s">
        <v>291</v>
      </c>
      <c r="E133" s="102" t="s">
        <v>3288</v>
      </c>
      <c r="F133" s="102" t="s">
        <v>3289</v>
      </c>
      <c r="G133" s="102" t="s">
        <v>1987</v>
      </c>
      <c r="H133" s="102" t="s">
        <v>1988</v>
      </c>
      <c r="I133" s="102" t="s">
        <v>284</v>
      </c>
      <c r="J133" s="102" t="s">
        <v>26</v>
      </c>
      <c r="L133" s="229" t="s">
        <v>3477</v>
      </c>
      <c r="M133" s="229" t="s">
        <v>3347</v>
      </c>
      <c r="O133" s="230"/>
      <c r="S133" s="230"/>
      <c r="T133" s="230" t="str">
        <f>IF(ISNUMBER(MATCH(B133, 'Sprint 20'!B:B, 0)), "มาจาก Sprint 20", "")</f>
        <v>มาจาก Sprint 20</v>
      </c>
      <c r="U133" s="230" t="str">
        <f t="array" ref="U133">IF(ISNUMBER(MATCH(B133, 'Sprint 20'!B:B, 0)), INDEX('Sprint 20'!J:J, MATCH(B133, 'Sprint 20'!B:B, 0)), "")</f>
        <v>To Do</v>
      </c>
      <c r="V133" s="230"/>
      <c r="W133" s="102" t="s">
        <v>1992</v>
      </c>
      <c r="X133" s="102" t="s">
        <v>1085</v>
      </c>
      <c r="Y133" s="102" t="s">
        <v>529</v>
      </c>
    </row>
    <row r="134">
      <c r="A134" s="102" t="s">
        <v>276</v>
      </c>
      <c r="B134" s="102" t="s">
        <v>3478</v>
      </c>
      <c r="C134" s="229" t="s">
        <v>3479</v>
      </c>
      <c r="D134" s="102" t="s">
        <v>279</v>
      </c>
      <c r="E134" s="102" t="s">
        <v>280</v>
      </c>
      <c r="F134" s="102" t="s">
        <v>281</v>
      </c>
      <c r="G134" s="102" t="s">
        <v>1987</v>
      </c>
      <c r="H134" s="102" t="s">
        <v>1988</v>
      </c>
      <c r="I134" s="102" t="s">
        <v>284</v>
      </c>
      <c r="J134" s="102" t="s">
        <v>26</v>
      </c>
      <c r="L134" s="229" t="s">
        <v>3477</v>
      </c>
      <c r="M134" s="229" t="s">
        <v>3458</v>
      </c>
      <c r="O134" s="230"/>
      <c r="S134" s="230"/>
      <c r="T134" s="230" t="str">
        <f>IF(ISNUMBER(MATCH(B134, 'Sprint 20'!B:B, 0)), "มาจาก Sprint 20", "")</f>
        <v>มาจาก Sprint 20</v>
      </c>
      <c r="U134" s="230" t="str">
        <f t="array" ref="U134">IF(ISNUMBER(MATCH(B134, 'Sprint 20'!B:B, 0)), INDEX('Sprint 20'!J:J, MATCH(B134, 'Sprint 20'!B:B, 0)), "")</f>
        <v>Done</v>
      </c>
      <c r="V134" s="230"/>
      <c r="W134" s="102" t="s">
        <v>1992</v>
      </c>
      <c r="X134" s="102" t="s">
        <v>1085</v>
      </c>
      <c r="Y134" s="102" t="s">
        <v>529</v>
      </c>
    </row>
    <row r="135">
      <c r="A135" s="102" t="s">
        <v>276</v>
      </c>
      <c r="B135" s="102" t="s">
        <v>3480</v>
      </c>
      <c r="C135" s="229" t="s">
        <v>3481</v>
      </c>
      <c r="D135" s="102" t="s">
        <v>347</v>
      </c>
      <c r="E135" s="102" t="s">
        <v>280</v>
      </c>
      <c r="F135" s="102" t="s">
        <v>281</v>
      </c>
      <c r="G135" s="102" t="s">
        <v>280</v>
      </c>
      <c r="H135" s="102" t="s">
        <v>281</v>
      </c>
      <c r="I135" s="102" t="s">
        <v>284</v>
      </c>
      <c r="J135" s="102" t="s">
        <v>26</v>
      </c>
      <c r="L135" s="229" t="s">
        <v>3482</v>
      </c>
      <c r="M135" s="229" t="s">
        <v>3483</v>
      </c>
      <c r="O135" s="230"/>
      <c r="S135" s="230"/>
      <c r="T135" s="230" t="str">
        <f>IF(ISNUMBER(MATCH(B135, 'Sprint 20'!B:B, 0)), "มาจาก Sprint 20", "")</f>
        <v>มาจาก Sprint 20</v>
      </c>
      <c r="U135" s="230" t="str">
        <f t="array" ref="U135">IF(ISNUMBER(MATCH(B135, 'Sprint 20'!B:B, 0)), INDEX('Sprint 20'!J:J, MATCH(B135, 'Sprint 20'!B:B, 0)), "")</f>
        <v>To Do</v>
      </c>
      <c r="V135" s="230"/>
      <c r="W135" s="102" t="s">
        <v>1992</v>
      </c>
      <c r="X135" s="102" t="s">
        <v>1085</v>
      </c>
      <c r="Y135" s="102" t="s">
        <v>529</v>
      </c>
    </row>
    <row r="136">
      <c r="A136" s="102" t="s">
        <v>276</v>
      </c>
      <c r="B136" s="102" t="s">
        <v>3484</v>
      </c>
      <c r="C136" s="229" t="s">
        <v>3485</v>
      </c>
      <c r="D136" s="102" t="s">
        <v>2030</v>
      </c>
      <c r="E136" s="102" t="s">
        <v>280</v>
      </c>
      <c r="F136" s="102" t="s">
        <v>281</v>
      </c>
      <c r="G136" s="102" t="s">
        <v>280</v>
      </c>
      <c r="H136" s="102" t="s">
        <v>281</v>
      </c>
      <c r="I136" s="102" t="s">
        <v>284</v>
      </c>
      <c r="J136" s="102" t="s">
        <v>26</v>
      </c>
      <c r="L136" s="229" t="s">
        <v>3486</v>
      </c>
      <c r="M136" s="229" t="s">
        <v>3487</v>
      </c>
      <c r="O136" s="230"/>
      <c r="S136" s="230"/>
      <c r="T136" s="230" t="str">
        <f>IF(ISNUMBER(MATCH(B136, 'Sprint 20'!B:B, 0)), "มาจาก Sprint 20", "")</f>
        <v>มาจาก Sprint 20</v>
      </c>
      <c r="U136" s="230" t="str">
        <f t="array" ref="U136">IF(ISNUMBER(MATCH(B136, 'Sprint 20'!B:B, 0)), INDEX('Sprint 20'!J:J, MATCH(B136, 'Sprint 20'!B:B, 0)), "")</f>
        <v>Done</v>
      </c>
      <c r="V136" s="230"/>
      <c r="W136" s="102" t="s">
        <v>1992</v>
      </c>
      <c r="X136" s="102" t="s">
        <v>1085</v>
      </c>
      <c r="Y136" s="102" t="s">
        <v>529</v>
      </c>
    </row>
    <row r="137">
      <c r="A137" s="102" t="s">
        <v>276</v>
      </c>
      <c r="B137" s="102" t="s">
        <v>3488</v>
      </c>
      <c r="C137" s="229" t="s">
        <v>3489</v>
      </c>
      <c r="D137" s="102" t="s">
        <v>347</v>
      </c>
      <c r="E137" s="102" t="s">
        <v>280</v>
      </c>
      <c r="F137" s="102" t="s">
        <v>281</v>
      </c>
      <c r="G137" s="102" t="s">
        <v>280</v>
      </c>
      <c r="H137" s="102" t="s">
        <v>281</v>
      </c>
      <c r="I137" s="102" t="s">
        <v>284</v>
      </c>
      <c r="J137" s="102" t="s">
        <v>26</v>
      </c>
      <c r="L137" s="229" t="s">
        <v>3486</v>
      </c>
      <c r="M137" s="229" t="s">
        <v>3490</v>
      </c>
      <c r="O137" s="230"/>
      <c r="S137" s="230"/>
      <c r="T137" s="230" t="str">
        <f>IF(ISNUMBER(MATCH(B137, 'Sprint 20'!B:B, 0)), "มาจาก Sprint 20", "")</f>
        <v>มาจาก Sprint 20</v>
      </c>
      <c r="U137" s="230" t="str">
        <f t="array" ref="U137">IF(ISNUMBER(MATCH(B137, 'Sprint 20'!B:B, 0)), INDEX('Sprint 20'!J:J, MATCH(B137, 'Sprint 20'!B:B, 0)), "")</f>
        <v>To Do</v>
      </c>
      <c r="V137" s="230"/>
      <c r="W137" s="102" t="s">
        <v>1992</v>
      </c>
      <c r="X137" s="102" t="s">
        <v>1085</v>
      </c>
      <c r="Y137" s="102" t="s">
        <v>529</v>
      </c>
    </row>
    <row r="138">
      <c r="A138" s="102" t="s">
        <v>276</v>
      </c>
      <c r="B138" s="102" t="s">
        <v>3491</v>
      </c>
      <c r="C138" s="229" t="s">
        <v>3492</v>
      </c>
      <c r="D138" s="102" t="s">
        <v>2030</v>
      </c>
      <c r="E138" s="102" t="s">
        <v>280</v>
      </c>
      <c r="F138" s="102" t="s">
        <v>281</v>
      </c>
      <c r="G138" s="102" t="s">
        <v>280</v>
      </c>
      <c r="H138" s="102" t="s">
        <v>281</v>
      </c>
      <c r="I138" s="102" t="s">
        <v>284</v>
      </c>
      <c r="J138" s="102" t="s">
        <v>26</v>
      </c>
      <c r="L138" s="229" t="s">
        <v>3486</v>
      </c>
      <c r="M138" s="229" t="s">
        <v>3458</v>
      </c>
      <c r="O138" s="230"/>
      <c r="S138" s="230"/>
      <c r="T138" s="230" t="str">
        <f>IF(ISNUMBER(MATCH(B138, 'Sprint 20'!B:B, 0)), "มาจาก Sprint 20", "")</f>
        <v>มาจาก Sprint 20</v>
      </c>
      <c r="U138" s="230" t="str">
        <f t="array" ref="U138">IF(ISNUMBER(MATCH(B138, 'Sprint 20'!B:B, 0)), INDEX('Sprint 20'!J:J, MATCH(B138, 'Sprint 20'!B:B, 0)), "")</f>
        <v>Done</v>
      </c>
      <c r="V138" s="230"/>
      <c r="W138" s="102" t="s">
        <v>1992</v>
      </c>
      <c r="X138" s="102" t="s">
        <v>1085</v>
      </c>
      <c r="Y138" s="102" t="s">
        <v>529</v>
      </c>
    </row>
    <row r="139">
      <c r="A139" s="102" t="s">
        <v>276</v>
      </c>
      <c r="B139" s="102" t="s">
        <v>3493</v>
      </c>
      <c r="C139" s="229" t="s">
        <v>3494</v>
      </c>
      <c r="D139" s="102" t="s">
        <v>347</v>
      </c>
      <c r="E139" s="102" t="s">
        <v>280</v>
      </c>
      <c r="F139" s="102" t="s">
        <v>281</v>
      </c>
      <c r="G139" s="102" t="s">
        <v>280</v>
      </c>
      <c r="H139" s="102" t="s">
        <v>281</v>
      </c>
      <c r="I139" s="102" t="s">
        <v>284</v>
      </c>
      <c r="J139" s="102" t="s">
        <v>26</v>
      </c>
      <c r="L139" s="229" t="s">
        <v>3486</v>
      </c>
      <c r="M139" s="229" t="s">
        <v>3495</v>
      </c>
      <c r="O139" s="230"/>
      <c r="S139" s="230"/>
      <c r="T139" s="230" t="str">
        <f>IF(ISNUMBER(MATCH(B139, 'Sprint 20'!B:B, 0)), "มาจาก Sprint 20", "")</f>
        <v>มาจาก Sprint 20</v>
      </c>
      <c r="U139" s="230" t="str">
        <f t="array" ref="U139">IF(ISNUMBER(MATCH(B139, 'Sprint 20'!B:B, 0)), INDEX('Sprint 20'!J:J, MATCH(B139, 'Sprint 20'!B:B, 0)), "")</f>
        <v>To Do</v>
      </c>
      <c r="V139" s="230"/>
      <c r="W139" s="102" t="s">
        <v>1992</v>
      </c>
      <c r="X139" s="102" t="s">
        <v>1085</v>
      </c>
      <c r="Y139" s="102" t="s">
        <v>529</v>
      </c>
    </row>
    <row r="140">
      <c r="A140" s="102" t="s">
        <v>276</v>
      </c>
      <c r="B140" s="102" t="s">
        <v>3496</v>
      </c>
      <c r="C140" s="229" t="s">
        <v>3497</v>
      </c>
      <c r="D140" s="102" t="s">
        <v>2030</v>
      </c>
      <c r="E140" s="102" t="s">
        <v>280</v>
      </c>
      <c r="F140" s="102" t="s">
        <v>281</v>
      </c>
      <c r="G140" s="102" t="s">
        <v>280</v>
      </c>
      <c r="H140" s="102" t="s">
        <v>281</v>
      </c>
      <c r="I140" s="102" t="s">
        <v>284</v>
      </c>
      <c r="J140" s="102" t="s">
        <v>26</v>
      </c>
      <c r="L140" s="229" t="s">
        <v>3498</v>
      </c>
      <c r="M140" s="229" t="s">
        <v>3458</v>
      </c>
      <c r="O140" s="230"/>
      <c r="S140" s="230"/>
      <c r="T140" s="230" t="str">
        <f>IF(ISNUMBER(MATCH(B140, 'Sprint 20'!B:B, 0)), "มาจาก Sprint 20", "")</f>
        <v>มาจาก Sprint 20</v>
      </c>
      <c r="U140" s="230" t="str">
        <f t="array" ref="U140">IF(ISNUMBER(MATCH(B140, 'Sprint 20'!B:B, 0)), INDEX('Sprint 20'!J:J, MATCH(B140, 'Sprint 20'!B:B, 0)), "")</f>
        <v>Done</v>
      </c>
      <c r="V140" s="230"/>
      <c r="W140" s="102" t="s">
        <v>1992</v>
      </c>
      <c r="X140" s="102" t="s">
        <v>1085</v>
      </c>
      <c r="Y140" s="102" t="s">
        <v>529</v>
      </c>
    </row>
    <row r="141">
      <c r="A141" s="102" t="s">
        <v>276</v>
      </c>
      <c r="B141" s="102" t="s">
        <v>3499</v>
      </c>
      <c r="C141" s="229" t="s">
        <v>3500</v>
      </c>
      <c r="D141" s="102" t="s">
        <v>347</v>
      </c>
      <c r="E141" s="102" t="s">
        <v>280</v>
      </c>
      <c r="F141" s="102" t="s">
        <v>281</v>
      </c>
      <c r="G141" s="102" t="s">
        <v>280</v>
      </c>
      <c r="H141" s="102" t="s">
        <v>281</v>
      </c>
      <c r="I141" s="102" t="s">
        <v>284</v>
      </c>
      <c r="J141" s="102" t="s">
        <v>26</v>
      </c>
      <c r="L141" s="229" t="s">
        <v>3501</v>
      </c>
      <c r="M141" s="229" t="s">
        <v>3502</v>
      </c>
      <c r="O141" s="230"/>
      <c r="S141" s="230"/>
      <c r="T141" s="230" t="str">
        <f>IF(ISNUMBER(MATCH(B141, 'Sprint 20'!B:B, 0)), "มาจาก Sprint 20", "")</f>
        <v>มาจาก Sprint 20</v>
      </c>
      <c r="U141" s="230" t="str">
        <f t="array" ref="U141">IF(ISNUMBER(MATCH(B141, 'Sprint 20'!B:B, 0)), INDEX('Sprint 20'!J:J, MATCH(B141, 'Sprint 20'!B:B, 0)), "")</f>
        <v>To Do</v>
      </c>
      <c r="V141" s="230"/>
      <c r="W141" s="102" t="s">
        <v>1992</v>
      </c>
      <c r="X141" s="102" t="s">
        <v>1085</v>
      </c>
      <c r="Y141" s="102" t="s">
        <v>529</v>
      </c>
    </row>
    <row r="142">
      <c r="A142" s="102" t="s">
        <v>276</v>
      </c>
      <c r="B142" s="102" t="s">
        <v>3503</v>
      </c>
      <c r="C142" s="229" t="s">
        <v>3504</v>
      </c>
      <c r="D142" s="102" t="s">
        <v>2030</v>
      </c>
      <c r="E142" s="102" t="s">
        <v>280</v>
      </c>
      <c r="F142" s="102" t="s">
        <v>281</v>
      </c>
      <c r="G142" s="102" t="s">
        <v>280</v>
      </c>
      <c r="H142" s="102" t="s">
        <v>281</v>
      </c>
      <c r="I142" s="102" t="s">
        <v>284</v>
      </c>
      <c r="J142" s="102" t="s">
        <v>26</v>
      </c>
      <c r="L142" s="229" t="s">
        <v>3501</v>
      </c>
      <c r="M142" s="229" t="s">
        <v>3487</v>
      </c>
      <c r="O142" s="230"/>
      <c r="S142" s="230"/>
      <c r="T142" s="230" t="str">
        <f>IF(ISNUMBER(MATCH(B142, 'Sprint 20'!B:B, 0)), "มาจาก Sprint 20", "")</f>
        <v>มาจาก Sprint 20</v>
      </c>
      <c r="U142" s="230" t="str">
        <f t="array" ref="U142">IF(ISNUMBER(MATCH(B142, 'Sprint 20'!B:B, 0)), INDEX('Sprint 20'!J:J, MATCH(B142, 'Sprint 20'!B:B, 0)), "")</f>
        <v>Done</v>
      </c>
      <c r="V142" s="230"/>
      <c r="W142" s="102" t="s">
        <v>1992</v>
      </c>
      <c r="X142" s="102" t="s">
        <v>1085</v>
      </c>
      <c r="Y142" s="102" t="s">
        <v>529</v>
      </c>
    </row>
    <row r="143">
      <c r="A143" s="102" t="s">
        <v>276</v>
      </c>
      <c r="B143" s="102" t="s">
        <v>3505</v>
      </c>
      <c r="C143" s="229" t="s">
        <v>3506</v>
      </c>
      <c r="D143" s="102" t="s">
        <v>347</v>
      </c>
      <c r="E143" s="102" t="s">
        <v>280</v>
      </c>
      <c r="F143" s="102" t="s">
        <v>281</v>
      </c>
      <c r="G143" s="102" t="s">
        <v>280</v>
      </c>
      <c r="H143" s="102" t="s">
        <v>281</v>
      </c>
      <c r="I143" s="102" t="s">
        <v>284</v>
      </c>
      <c r="J143" s="102" t="s">
        <v>26</v>
      </c>
      <c r="L143" s="229" t="s">
        <v>3501</v>
      </c>
      <c r="M143" s="229" t="s">
        <v>3507</v>
      </c>
      <c r="O143" s="230"/>
      <c r="S143" s="230"/>
      <c r="T143" s="230" t="str">
        <f>IF(ISNUMBER(MATCH(B143, 'Sprint 20'!B:B, 0)), "มาจาก Sprint 20", "")</f>
        <v>มาจาก Sprint 20</v>
      </c>
      <c r="U143" s="230" t="str">
        <f t="array" ref="U143">IF(ISNUMBER(MATCH(B143, 'Sprint 20'!B:B, 0)), INDEX('Sprint 20'!J:J, MATCH(B143, 'Sprint 20'!B:B, 0)), "")</f>
        <v>To Do</v>
      </c>
      <c r="V143" s="230"/>
      <c r="W143" s="102" t="s">
        <v>1992</v>
      </c>
      <c r="X143" s="102" t="s">
        <v>1085</v>
      </c>
      <c r="Y143" s="102" t="s">
        <v>529</v>
      </c>
    </row>
    <row r="144">
      <c r="A144" s="102" t="s">
        <v>276</v>
      </c>
      <c r="B144" s="102" t="s">
        <v>3508</v>
      </c>
      <c r="C144" s="229" t="s">
        <v>3509</v>
      </c>
      <c r="D144" s="102" t="s">
        <v>2030</v>
      </c>
      <c r="E144" s="102" t="s">
        <v>280</v>
      </c>
      <c r="F144" s="102" t="s">
        <v>281</v>
      </c>
      <c r="G144" s="102" t="s">
        <v>280</v>
      </c>
      <c r="H144" s="102" t="s">
        <v>281</v>
      </c>
      <c r="I144" s="102" t="s">
        <v>284</v>
      </c>
      <c r="J144" s="102" t="s">
        <v>26</v>
      </c>
      <c r="L144" s="229" t="s">
        <v>3501</v>
      </c>
      <c r="M144" s="229" t="s">
        <v>3458</v>
      </c>
      <c r="O144" s="230"/>
      <c r="S144" s="230"/>
      <c r="T144" s="230" t="str">
        <f>IF(ISNUMBER(MATCH(B144, 'Sprint 20'!B:B, 0)), "มาจาก Sprint 20", "")</f>
        <v>มาจาก Sprint 20</v>
      </c>
      <c r="U144" s="230" t="str">
        <f t="array" ref="U144">IF(ISNUMBER(MATCH(B144, 'Sprint 20'!B:B, 0)), INDEX('Sprint 20'!J:J, MATCH(B144, 'Sprint 20'!B:B, 0)), "")</f>
        <v>Done</v>
      </c>
      <c r="V144" s="230"/>
      <c r="W144" s="102" t="s">
        <v>1992</v>
      </c>
      <c r="X144" s="102" t="s">
        <v>1085</v>
      </c>
      <c r="Y144" s="102" t="s">
        <v>529</v>
      </c>
    </row>
    <row r="145">
      <c r="A145" s="102" t="s">
        <v>276</v>
      </c>
      <c r="B145" s="102" t="s">
        <v>2024</v>
      </c>
      <c r="C145" s="229" t="s">
        <v>2025</v>
      </c>
      <c r="D145" s="102" t="s">
        <v>347</v>
      </c>
      <c r="E145" s="102" t="s">
        <v>280</v>
      </c>
      <c r="F145" s="102" t="s">
        <v>281</v>
      </c>
      <c r="G145" s="102" t="s">
        <v>280</v>
      </c>
      <c r="H145" s="102" t="s">
        <v>281</v>
      </c>
      <c r="I145" s="102" t="s">
        <v>284</v>
      </c>
      <c r="J145" s="102" t="s">
        <v>63</v>
      </c>
      <c r="L145" s="229" t="s">
        <v>2026</v>
      </c>
      <c r="M145" s="229" t="s">
        <v>2536</v>
      </c>
      <c r="O145" s="230"/>
      <c r="S145" s="230"/>
      <c r="T145" s="230" t="str">
        <f>IF(ISNUMBER(MATCH(B145, 'Sprint 20'!B:B, 0)), "มาจาก Sprint 20", "")</f>
        <v>มาจาก Sprint 20</v>
      </c>
      <c r="U145" s="230" t="str">
        <f t="array" ref="U145">IF(ISNUMBER(MATCH(B145, 'Sprint 20'!B:B, 0)), INDEX('Sprint 20'!J:J, MATCH(B145, 'Sprint 20'!B:B, 0)), "")</f>
        <v>To Do</v>
      </c>
      <c r="V145" s="230"/>
      <c r="W145" s="102" t="s">
        <v>1991</v>
      </c>
      <c r="X145" s="102" t="s">
        <v>1992</v>
      </c>
      <c r="Y145" s="102" t="s">
        <v>1085</v>
      </c>
      <c r="Z145" s="102" t="s">
        <v>529</v>
      </c>
      <c r="AA145" s="102" t="s">
        <v>298</v>
      </c>
    </row>
    <row r="146">
      <c r="A146" s="102" t="s">
        <v>276</v>
      </c>
      <c r="B146" s="102" t="s">
        <v>2028</v>
      </c>
      <c r="C146" s="229" t="s">
        <v>2029</v>
      </c>
      <c r="D146" s="102" t="s">
        <v>2030</v>
      </c>
      <c r="E146" s="102" t="s">
        <v>280</v>
      </c>
      <c r="F146" s="102" t="s">
        <v>281</v>
      </c>
      <c r="G146" s="102" t="s">
        <v>280</v>
      </c>
      <c r="H146" s="102" t="s">
        <v>281</v>
      </c>
      <c r="I146" s="102" t="s">
        <v>284</v>
      </c>
      <c r="J146" s="102" t="s">
        <v>26</v>
      </c>
      <c r="L146" s="229" t="s">
        <v>2026</v>
      </c>
      <c r="M146" s="229" t="s">
        <v>1995</v>
      </c>
      <c r="O146" s="230"/>
      <c r="S146" s="230"/>
      <c r="T146" s="230" t="str">
        <f>IF(ISNUMBER(MATCH(B146, 'Sprint 20'!B:B, 0)), "มาจาก Sprint 20", "")</f>
        <v>มาจาก Sprint 20</v>
      </c>
      <c r="U146" s="230" t="str">
        <f t="array" ref="U146">IF(ISNUMBER(MATCH(B146, 'Sprint 20'!B:B, 0)), INDEX('Sprint 20'!J:J, MATCH(B146, 'Sprint 20'!B:B, 0)), "")</f>
        <v>Done</v>
      </c>
      <c r="V146" s="230"/>
      <c r="W146" s="102" t="s">
        <v>1991</v>
      </c>
      <c r="X146" s="102" t="s">
        <v>1992</v>
      </c>
      <c r="Y146" s="102" t="s">
        <v>1085</v>
      </c>
      <c r="Z146" s="102" t="s">
        <v>529</v>
      </c>
      <c r="AA146" s="102" t="s">
        <v>298</v>
      </c>
    </row>
    <row r="147">
      <c r="A147" s="102" t="s">
        <v>276</v>
      </c>
      <c r="B147" s="102" t="s">
        <v>3510</v>
      </c>
      <c r="C147" s="229" t="s">
        <v>3511</v>
      </c>
      <c r="D147" s="102" t="s">
        <v>347</v>
      </c>
      <c r="E147" s="102" t="s">
        <v>2494</v>
      </c>
      <c r="F147" s="102" t="s">
        <v>2495</v>
      </c>
      <c r="G147" s="102" t="s">
        <v>280</v>
      </c>
      <c r="H147" s="102" t="s">
        <v>281</v>
      </c>
      <c r="I147" s="102" t="s">
        <v>284</v>
      </c>
      <c r="J147" s="102" t="s">
        <v>26</v>
      </c>
      <c r="L147" s="229" t="s">
        <v>3512</v>
      </c>
      <c r="M147" s="229" t="s">
        <v>3513</v>
      </c>
      <c r="O147" s="230"/>
      <c r="S147" s="230"/>
      <c r="T147" s="230" t="str">
        <f>IF(ISNUMBER(MATCH(B147, 'Sprint 20'!B:B, 0)), "มาจาก Sprint 20", "")</f>
        <v>มาจาก Sprint 20</v>
      </c>
      <c r="U147" s="230" t="str">
        <f t="array" ref="U147">IF(ISNUMBER(MATCH(B147, 'Sprint 20'!B:B, 0)), INDEX('Sprint 20'!J:J, MATCH(B147, 'Sprint 20'!B:B, 0)), "")</f>
        <v>To Do</v>
      </c>
      <c r="V147" s="230"/>
      <c r="W147" s="102" t="s">
        <v>1991</v>
      </c>
      <c r="X147" s="102" t="s">
        <v>1992</v>
      </c>
      <c r="Y147" s="102" t="s">
        <v>1085</v>
      </c>
      <c r="Z147" s="102" t="s">
        <v>529</v>
      </c>
    </row>
    <row r="148">
      <c r="A148" s="102" t="s">
        <v>276</v>
      </c>
      <c r="B148" s="102" t="s">
        <v>3514</v>
      </c>
      <c r="C148" s="229" t="s">
        <v>3515</v>
      </c>
      <c r="D148" s="102" t="s">
        <v>2030</v>
      </c>
      <c r="E148" s="102" t="s">
        <v>280</v>
      </c>
      <c r="F148" s="102" t="s">
        <v>281</v>
      </c>
      <c r="G148" s="102" t="s">
        <v>280</v>
      </c>
      <c r="H148" s="102" t="s">
        <v>281</v>
      </c>
      <c r="I148" s="102" t="s">
        <v>284</v>
      </c>
      <c r="J148" s="102" t="s">
        <v>26</v>
      </c>
      <c r="L148" s="229" t="s">
        <v>3512</v>
      </c>
      <c r="M148" s="229" t="s">
        <v>1995</v>
      </c>
      <c r="O148" s="230"/>
      <c r="S148" s="230"/>
      <c r="T148" s="230" t="str">
        <f>IF(ISNUMBER(MATCH(B148, 'Sprint 20'!B:B, 0)), "มาจาก Sprint 20", "")</f>
        <v>มาจาก Sprint 20</v>
      </c>
      <c r="U148" s="230" t="str">
        <f t="array" ref="U148">IF(ISNUMBER(MATCH(B148, 'Sprint 20'!B:B, 0)), INDEX('Sprint 20'!J:J, MATCH(B148, 'Sprint 20'!B:B, 0)), "")</f>
        <v>Done</v>
      </c>
      <c r="V148" s="230"/>
      <c r="W148" s="102" t="s">
        <v>1991</v>
      </c>
      <c r="X148" s="102" t="s">
        <v>1992</v>
      </c>
      <c r="Y148" s="102" t="s">
        <v>1085</v>
      </c>
      <c r="Z148" s="102" t="s">
        <v>529</v>
      </c>
    </row>
    <row r="149">
      <c r="A149" s="102" t="s">
        <v>310</v>
      </c>
      <c r="B149" s="102" t="s">
        <v>3516</v>
      </c>
      <c r="C149" s="229" t="s">
        <v>3517</v>
      </c>
      <c r="D149" s="102" t="s">
        <v>3518</v>
      </c>
      <c r="E149" s="102" t="s">
        <v>513</v>
      </c>
      <c r="F149" s="102" t="s">
        <v>514</v>
      </c>
      <c r="G149" s="102" t="s">
        <v>304</v>
      </c>
      <c r="H149" s="102" t="s">
        <v>305</v>
      </c>
      <c r="I149" s="102" t="s">
        <v>284</v>
      </c>
      <c r="J149" s="102" t="s">
        <v>26</v>
      </c>
      <c r="L149" s="229" t="s">
        <v>3519</v>
      </c>
      <c r="M149" s="229" t="s">
        <v>3424</v>
      </c>
      <c r="N149" s="229" t="s">
        <v>1257</v>
      </c>
      <c r="O149" s="102">
        <v>1.0</v>
      </c>
      <c r="P149" s="102" t="s">
        <v>331</v>
      </c>
      <c r="S149" s="102">
        <v>0.0</v>
      </c>
      <c r="T149" s="230" t="str">
        <f>IF(ISNUMBER(MATCH(B149, 'Sprint 20'!B:B, 0)), "มาจาก Sprint 20", "")</f>
        <v>มาจาก Sprint 20</v>
      </c>
      <c r="U149" s="230" t="str">
        <f t="array" ref="U149">IF(ISNUMBER(MATCH(B149, 'Sprint 20'!B:B, 0)), INDEX('Sprint 20'!J:J, MATCH(B149, 'Sprint 20'!B:B, 0)), "")</f>
        <v>Ready To Test</v>
      </c>
      <c r="V149" s="102">
        <v>7200.0</v>
      </c>
      <c r="W149" s="102" t="s">
        <v>1992</v>
      </c>
      <c r="X149" s="102" t="s">
        <v>1085</v>
      </c>
      <c r="Y149" s="102" t="s">
        <v>529</v>
      </c>
    </row>
    <row r="150">
      <c r="A150" s="102" t="s">
        <v>310</v>
      </c>
      <c r="B150" s="102" t="s">
        <v>3520</v>
      </c>
      <c r="C150" s="229" t="s">
        <v>3521</v>
      </c>
      <c r="D150" s="102" t="s">
        <v>3522</v>
      </c>
      <c r="E150" s="102" t="s">
        <v>513</v>
      </c>
      <c r="F150" s="102" t="s">
        <v>514</v>
      </c>
      <c r="G150" s="102" t="s">
        <v>304</v>
      </c>
      <c r="H150" s="102" t="s">
        <v>305</v>
      </c>
      <c r="I150" s="102" t="s">
        <v>284</v>
      </c>
      <c r="J150" s="102" t="s">
        <v>26</v>
      </c>
      <c r="L150" s="229" t="s">
        <v>3523</v>
      </c>
      <c r="M150" s="229" t="s">
        <v>3418</v>
      </c>
      <c r="N150" s="229" t="s">
        <v>2089</v>
      </c>
      <c r="O150" s="102">
        <v>2.0</v>
      </c>
      <c r="P150" s="102" t="s">
        <v>331</v>
      </c>
      <c r="S150" s="102">
        <v>0.0</v>
      </c>
      <c r="T150" s="230" t="str">
        <f>IF(ISNUMBER(MATCH(B150, 'Sprint 20'!B:B, 0)), "มาจาก Sprint 20", "")</f>
        <v>มาจาก Sprint 20</v>
      </c>
      <c r="U150" s="230" t="str">
        <f t="array" ref="U150">IF(ISNUMBER(MATCH(B150, 'Sprint 20'!B:B, 0)), INDEX('Sprint 20'!J:J, MATCH(B150, 'Sprint 20'!B:B, 0)), "")</f>
        <v>Ready to Staging</v>
      </c>
      <c r="V150" s="102">
        <v>14400.0</v>
      </c>
      <c r="W150" s="102" t="s">
        <v>1992</v>
      </c>
      <c r="X150" s="102" t="s">
        <v>1085</v>
      </c>
      <c r="Y150" s="102" t="s">
        <v>529</v>
      </c>
    </row>
    <row r="151">
      <c r="A151" s="102" t="s">
        <v>310</v>
      </c>
      <c r="B151" s="102" t="s">
        <v>3524</v>
      </c>
      <c r="C151" s="229" t="s">
        <v>3525</v>
      </c>
      <c r="D151" s="102" t="s">
        <v>3526</v>
      </c>
      <c r="E151" s="102" t="s">
        <v>495</v>
      </c>
      <c r="F151" s="102" t="s">
        <v>496</v>
      </c>
      <c r="G151" s="102" t="s">
        <v>282</v>
      </c>
      <c r="H151" s="102" t="s">
        <v>283</v>
      </c>
      <c r="I151" s="102" t="s">
        <v>284</v>
      </c>
      <c r="J151" s="102" t="s">
        <v>26</v>
      </c>
      <c r="L151" s="229" t="s">
        <v>3527</v>
      </c>
      <c r="M151" s="229" t="s">
        <v>3528</v>
      </c>
      <c r="O151" s="102">
        <v>3.0</v>
      </c>
      <c r="P151" s="102" t="s">
        <v>331</v>
      </c>
      <c r="S151" s="102">
        <v>0.0</v>
      </c>
      <c r="T151" s="230" t="str">
        <f>IF(ISNUMBER(MATCH(B151, 'Sprint 20'!B:B, 0)), "มาจาก Sprint 20", "")</f>
        <v>มาจาก Sprint 20</v>
      </c>
      <c r="U151" s="230" t="str">
        <f t="array" ref="U151">IF(ISNUMBER(MATCH(B151, 'Sprint 20'!B:B, 0)), INDEX('Sprint 20'!J:J, MATCH(B151, 'Sprint 20'!B:B, 0)), "")</f>
        <v>Ready To Test</v>
      </c>
      <c r="V151" s="102">
        <v>28800.0</v>
      </c>
      <c r="W151" s="102" t="s">
        <v>1992</v>
      </c>
      <c r="X151" s="102" t="s">
        <v>1085</v>
      </c>
      <c r="Y151" s="102" t="s">
        <v>529</v>
      </c>
    </row>
    <row r="152">
      <c r="A152" s="102" t="s">
        <v>310</v>
      </c>
      <c r="B152" s="102" t="s">
        <v>3529</v>
      </c>
      <c r="C152" s="229" t="s">
        <v>3530</v>
      </c>
      <c r="D152" s="102" t="s">
        <v>3531</v>
      </c>
      <c r="E152" s="102" t="s">
        <v>282</v>
      </c>
      <c r="F152" s="102" t="s">
        <v>283</v>
      </c>
      <c r="G152" s="102" t="s">
        <v>282</v>
      </c>
      <c r="H152" s="102" t="s">
        <v>283</v>
      </c>
      <c r="I152" s="102" t="s">
        <v>284</v>
      </c>
      <c r="J152" s="102" t="s">
        <v>26</v>
      </c>
      <c r="L152" s="229" t="s">
        <v>3532</v>
      </c>
      <c r="M152" s="229" t="s">
        <v>3533</v>
      </c>
      <c r="O152" s="102">
        <v>2.0</v>
      </c>
      <c r="P152" s="102" t="s">
        <v>593</v>
      </c>
      <c r="S152" s="102">
        <v>14400.0</v>
      </c>
      <c r="T152" s="230" t="str">
        <f>IF(ISNUMBER(MATCH(B152, 'Sprint 20'!B:B, 0)), "มาจาก Sprint 20", "")</f>
        <v/>
      </c>
      <c r="U152" s="230" t="str">
        <f t="array" ref="U152">IF(ISNUMBER(MATCH(B152, 'Sprint 20'!B:B, 0)), INDEX('Sprint 20'!J:J, MATCH(B152, 'Sprint 20'!B:B, 0)), "")</f>
        <v/>
      </c>
      <c r="V152" s="102"/>
      <c r="W152" s="102" t="s">
        <v>529</v>
      </c>
    </row>
    <row r="153">
      <c r="A153" s="102" t="s">
        <v>310</v>
      </c>
      <c r="B153" s="102" t="s">
        <v>2031</v>
      </c>
      <c r="C153" s="229" t="s">
        <v>2032</v>
      </c>
      <c r="D153" s="102" t="s">
        <v>2033</v>
      </c>
      <c r="E153" s="102" t="s">
        <v>556</v>
      </c>
      <c r="F153" s="102" t="s">
        <v>557</v>
      </c>
      <c r="G153" s="102" t="s">
        <v>282</v>
      </c>
      <c r="H153" s="102" t="s">
        <v>283</v>
      </c>
      <c r="I153" s="102" t="s">
        <v>284</v>
      </c>
      <c r="J153" s="102" t="s">
        <v>454</v>
      </c>
      <c r="L153" s="229" t="s">
        <v>2034</v>
      </c>
      <c r="M153" s="229" t="s">
        <v>3298</v>
      </c>
      <c r="O153" s="102">
        <v>1.0</v>
      </c>
      <c r="S153" s="230"/>
      <c r="T153" s="230" t="str">
        <f>IF(ISNUMBER(MATCH(B153, 'Sprint 20'!B:B, 0)), "มาจาก Sprint 20", "")</f>
        <v>มาจาก Sprint 20</v>
      </c>
      <c r="U153" s="230" t="str">
        <f t="array" ref="U153">IF(ISNUMBER(MATCH(B153, 'Sprint 20'!B:B, 0)), INDEX('Sprint 20'!J:J, MATCH(B153, 'Sprint 20'!B:B, 0)), "")</f>
        <v>Ready To Test</v>
      </c>
      <c r="V153" s="230"/>
      <c r="W153" s="102" t="s">
        <v>1991</v>
      </c>
      <c r="X153" s="102" t="s">
        <v>1992</v>
      </c>
      <c r="Y153" s="102" t="s">
        <v>1085</v>
      </c>
      <c r="Z153" s="102" t="s">
        <v>529</v>
      </c>
      <c r="AA153" s="102" t="s">
        <v>298</v>
      </c>
    </row>
    <row r="154">
      <c r="A154" s="102" t="s">
        <v>310</v>
      </c>
      <c r="B154" s="102" t="s">
        <v>3192</v>
      </c>
      <c r="C154" s="229" t="s">
        <v>3193</v>
      </c>
      <c r="D154" s="102" t="s">
        <v>3194</v>
      </c>
      <c r="E154" s="102" t="s">
        <v>584</v>
      </c>
      <c r="F154" s="102" t="s">
        <v>585</v>
      </c>
      <c r="G154" s="102" t="s">
        <v>353</v>
      </c>
      <c r="H154" s="102" t="s">
        <v>354</v>
      </c>
      <c r="I154" s="102" t="s">
        <v>284</v>
      </c>
      <c r="J154" s="102" t="s">
        <v>26</v>
      </c>
      <c r="L154" s="229" t="s">
        <v>3195</v>
      </c>
      <c r="M154" s="229" t="s">
        <v>3196</v>
      </c>
      <c r="O154" s="102">
        <v>2.0</v>
      </c>
      <c r="P154" s="102" t="s">
        <v>3197</v>
      </c>
      <c r="Q154" s="102" t="s">
        <v>593</v>
      </c>
      <c r="S154" s="102">
        <v>0.0</v>
      </c>
      <c r="T154" s="230" t="str">
        <f>IF(ISNUMBER(MATCH(B154, 'Sprint 20'!B:B, 0)), "มาจาก Sprint 20", "")</f>
        <v>มาจาก Sprint 20</v>
      </c>
      <c r="U154" s="230" t="str">
        <f t="array" ref="U154">IF(ISNUMBER(MATCH(B154, 'Sprint 20'!B:B, 0)), INDEX('Sprint 20'!J:J, MATCH(B154, 'Sprint 20'!B:B, 0)), "")</f>
        <v>Ready To Test</v>
      </c>
      <c r="V154" s="102">
        <v>14400.0</v>
      </c>
      <c r="W154" s="102" t="s">
        <v>2270</v>
      </c>
      <c r="X154" s="102" t="s">
        <v>2271</v>
      </c>
      <c r="Y154" s="102" t="s">
        <v>2272</v>
      </c>
      <c r="Z154" s="102" t="s">
        <v>2273</v>
      </c>
    </row>
    <row r="155">
      <c r="A155" s="102" t="s">
        <v>310</v>
      </c>
      <c r="B155" s="102" t="s">
        <v>3198</v>
      </c>
      <c r="C155" s="229" t="s">
        <v>3199</v>
      </c>
      <c r="D155" s="102" t="s">
        <v>3200</v>
      </c>
      <c r="E155" s="102" t="s">
        <v>584</v>
      </c>
      <c r="F155" s="102" t="s">
        <v>585</v>
      </c>
      <c r="G155" s="102" t="s">
        <v>353</v>
      </c>
      <c r="H155" s="102" t="s">
        <v>354</v>
      </c>
      <c r="I155" s="102" t="s">
        <v>284</v>
      </c>
      <c r="J155" s="102" t="s">
        <v>26</v>
      </c>
      <c r="L155" s="229" t="s">
        <v>3201</v>
      </c>
      <c r="M155" s="229" t="s">
        <v>3196</v>
      </c>
      <c r="O155" s="102">
        <v>2.0</v>
      </c>
      <c r="P155" s="102" t="s">
        <v>3197</v>
      </c>
      <c r="Q155" s="102" t="s">
        <v>593</v>
      </c>
      <c r="S155" s="102">
        <v>0.0</v>
      </c>
      <c r="T155" s="230" t="str">
        <f>IF(ISNUMBER(MATCH(B155, 'Sprint 20'!B:B, 0)), "มาจาก Sprint 20", "")</f>
        <v>มาจาก Sprint 20</v>
      </c>
      <c r="U155" s="230" t="str">
        <f t="array" ref="U155">IF(ISNUMBER(MATCH(B155, 'Sprint 20'!B:B, 0)), INDEX('Sprint 20'!J:J, MATCH(B155, 'Sprint 20'!B:B, 0)), "")</f>
        <v>Ready To Test</v>
      </c>
      <c r="V155" s="102">
        <v>14400.0</v>
      </c>
      <c r="W155" s="102" t="s">
        <v>2270</v>
      </c>
      <c r="X155" s="102" t="s">
        <v>2271</v>
      </c>
      <c r="Y155" s="102" t="s">
        <v>2272</v>
      </c>
      <c r="Z155" s="102" t="s">
        <v>2273</v>
      </c>
    </row>
    <row r="156">
      <c r="A156" s="102" t="s">
        <v>310</v>
      </c>
      <c r="B156" s="102" t="s">
        <v>3534</v>
      </c>
      <c r="C156" s="229" t="s">
        <v>3535</v>
      </c>
      <c r="D156" s="102" t="s">
        <v>3536</v>
      </c>
      <c r="E156" s="102" t="s">
        <v>282</v>
      </c>
      <c r="F156" s="102" t="s">
        <v>283</v>
      </c>
      <c r="G156" s="102" t="s">
        <v>282</v>
      </c>
      <c r="H156" s="102" t="s">
        <v>283</v>
      </c>
      <c r="I156" s="102" t="s">
        <v>284</v>
      </c>
      <c r="J156" s="102" t="s">
        <v>26</v>
      </c>
      <c r="L156" s="229" t="s">
        <v>3537</v>
      </c>
      <c r="M156" s="229" t="s">
        <v>3538</v>
      </c>
      <c r="O156" s="102">
        <v>3.0</v>
      </c>
      <c r="P156" s="102" t="s">
        <v>593</v>
      </c>
      <c r="S156" s="102">
        <v>14400.0</v>
      </c>
      <c r="T156" s="230" t="str">
        <f>IF(ISNUMBER(MATCH(B156, 'Sprint 20'!B:B, 0)), "มาจาก Sprint 20", "")</f>
        <v>มาจาก Sprint 20</v>
      </c>
      <c r="U156" s="230" t="str">
        <f t="array" ref="U156">IF(ISNUMBER(MATCH(B156, 'Sprint 20'!B:B, 0)), INDEX('Sprint 20'!J:J, MATCH(B156, 'Sprint 20'!B:B, 0)), "")</f>
        <v>In Progress</v>
      </c>
      <c r="V156" s="102" t="s">
        <v>3539</v>
      </c>
      <c r="W156" s="102" t="s">
        <v>1992</v>
      </c>
      <c r="X156" s="102" t="s">
        <v>1085</v>
      </c>
      <c r="Y156" s="102" t="s">
        <v>529</v>
      </c>
    </row>
    <row r="157">
      <c r="A157" s="102" t="s">
        <v>310</v>
      </c>
      <c r="B157" s="102" t="s">
        <v>3540</v>
      </c>
      <c r="C157" s="229" t="s">
        <v>3541</v>
      </c>
      <c r="D157" s="102" t="s">
        <v>3542</v>
      </c>
      <c r="E157" s="102" t="s">
        <v>282</v>
      </c>
      <c r="F157" s="102" t="s">
        <v>283</v>
      </c>
      <c r="G157" s="102" t="s">
        <v>282</v>
      </c>
      <c r="H157" s="102" t="s">
        <v>283</v>
      </c>
      <c r="I157" s="102" t="s">
        <v>284</v>
      </c>
      <c r="J157" s="102" t="s">
        <v>26</v>
      </c>
      <c r="L157" s="229" t="s">
        <v>3543</v>
      </c>
      <c r="M157" s="229" t="s">
        <v>3538</v>
      </c>
      <c r="O157" s="102">
        <v>3.0</v>
      </c>
      <c r="S157" s="102">
        <v>14400.0</v>
      </c>
      <c r="T157" s="230" t="str">
        <f>IF(ISNUMBER(MATCH(B157, 'Sprint 20'!B:B, 0)), "มาจาก Sprint 20", "")</f>
        <v>มาจาก Sprint 20</v>
      </c>
      <c r="U157" s="230" t="str">
        <f t="array" ref="U157">IF(ISNUMBER(MATCH(B157, 'Sprint 20'!B:B, 0)), INDEX('Sprint 20'!J:J, MATCH(B157, 'Sprint 20'!B:B, 0)), "")</f>
        <v>In Progress</v>
      </c>
      <c r="V157" s="102" t="s">
        <v>3539</v>
      </c>
      <c r="W157" s="102" t="s">
        <v>1992</v>
      </c>
      <c r="X157" s="102" t="s">
        <v>1085</v>
      </c>
      <c r="Y157" s="102" t="s">
        <v>529</v>
      </c>
    </row>
    <row r="158">
      <c r="A158" s="102" t="s">
        <v>276</v>
      </c>
      <c r="B158" s="102" t="s">
        <v>3544</v>
      </c>
      <c r="C158" s="229" t="s">
        <v>3545</v>
      </c>
      <c r="D158" s="102" t="s">
        <v>347</v>
      </c>
      <c r="E158" s="102" t="s">
        <v>2494</v>
      </c>
      <c r="F158" s="102" t="s">
        <v>2495</v>
      </c>
      <c r="G158" s="102" t="s">
        <v>280</v>
      </c>
      <c r="H158" s="102" t="s">
        <v>281</v>
      </c>
      <c r="I158" s="102" t="s">
        <v>284</v>
      </c>
      <c r="J158" s="102" t="s">
        <v>26</v>
      </c>
      <c r="L158" s="229" t="s">
        <v>3546</v>
      </c>
      <c r="M158" s="229" t="s">
        <v>3513</v>
      </c>
      <c r="O158" s="230"/>
      <c r="S158" s="230"/>
      <c r="T158" s="230" t="str">
        <f>IF(ISNUMBER(MATCH(B158, 'Sprint 20'!B:B, 0)), "มาจาก Sprint 20", "")</f>
        <v>มาจาก Sprint 20</v>
      </c>
      <c r="U158" s="230" t="str">
        <f t="array" ref="U158">IF(ISNUMBER(MATCH(B158, 'Sprint 20'!B:B, 0)), INDEX('Sprint 20'!J:J, MATCH(B158, 'Sprint 20'!B:B, 0)), "")</f>
        <v>To Do</v>
      </c>
      <c r="V158" s="230"/>
      <c r="W158" s="102" t="s">
        <v>1991</v>
      </c>
      <c r="X158" s="102" t="s">
        <v>1992</v>
      </c>
      <c r="Y158" s="102" t="s">
        <v>1085</v>
      </c>
      <c r="Z158" s="102" t="s">
        <v>529</v>
      </c>
    </row>
    <row r="159">
      <c r="A159" s="102" t="s">
        <v>276</v>
      </c>
      <c r="B159" s="102" t="s">
        <v>3547</v>
      </c>
      <c r="C159" s="229" t="s">
        <v>3548</v>
      </c>
      <c r="D159" s="102" t="s">
        <v>2030</v>
      </c>
      <c r="E159" s="102" t="s">
        <v>280</v>
      </c>
      <c r="F159" s="102" t="s">
        <v>281</v>
      </c>
      <c r="G159" s="102" t="s">
        <v>280</v>
      </c>
      <c r="H159" s="102" t="s">
        <v>281</v>
      </c>
      <c r="I159" s="102" t="s">
        <v>284</v>
      </c>
      <c r="J159" s="102" t="s">
        <v>26</v>
      </c>
      <c r="L159" s="229" t="s">
        <v>3546</v>
      </c>
      <c r="M159" s="229" t="s">
        <v>1995</v>
      </c>
      <c r="O159" s="230"/>
      <c r="S159" s="230"/>
      <c r="T159" s="230" t="str">
        <f>IF(ISNUMBER(MATCH(B159, 'Sprint 20'!B:B, 0)), "มาจาก Sprint 20", "")</f>
        <v>มาจาก Sprint 20</v>
      </c>
      <c r="U159" s="230" t="str">
        <f t="array" ref="U159">IF(ISNUMBER(MATCH(B159, 'Sprint 20'!B:B, 0)), INDEX('Sprint 20'!J:J, MATCH(B159, 'Sprint 20'!B:B, 0)), "")</f>
        <v>Done</v>
      </c>
      <c r="V159" s="230"/>
      <c r="W159" s="102" t="s">
        <v>1991</v>
      </c>
      <c r="X159" s="102" t="s">
        <v>1992</v>
      </c>
      <c r="Y159" s="102" t="s">
        <v>1085</v>
      </c>
      <c r="Z159" s="102" t="s">
        <v>529</v>
      </c>
    </row>
    <row r="160">
      <c r="A160" s="102" t="s">
        <v>276</v>
      </c>
      <c r="B160" s="102" t="s">
        <v>3549</v>
      </c>
      <c r="C160" s="229" t="s">
        <v>3550</v>
      </c>
      <c r="D160" s="102" t="s">
        <v>347</v>
      </c>
      <c r="E160" s="102" t="s">
        <v>2494</v>
      </c>
      <c r="F160" s="102" t="s">
        <v>2495</v>
      </c>
      <c r="G160" s="102" t="s">
        <v>280</v>
      </c>
      <c r="H160" s="102" t="s">
        <v>281</v>
      </c>
      <c r="I160" s="102" t="s">
        <v>284</v>
      </c>
      <c r="J160" s="102" t="s">
        <v>26</v>
      </c>
      <c r="L160" s="229" t="s">
        <v>3546</v>
      </c>
      <c r="M160" s="229" t="s">
        <v>3551</v>
      </c>
      <c r="O160" s="230"/>
      <c r="S160" s="230"/>
      <c r="T160" s="230" t="str">
        <f>IF(ISNUMBER(MATCH(B160, 'Sprint 20'!B:B, 0)), "มาจาก Sprint 20", "")</f>
        <v>มาจาก Sprint 20</v>
      </c>
      <c r="U160" s="230" t="str">
        <f t="array" ref="U160">IF(ISNUMBER(MATCH(B160, 'Sprint 20'!B:B, 0)), INDEX('Sprint 20'!J:J, MATCH(B160, 'Sprint 20'!B:B, 0)), "")</f>
        <v>To Do</v>
      </c>
      <c r="V160" s="230"/>
      <c r="W160" s="102" t="s">
        <v>1991</v>
      </c>
      <c r="X160" s="102" t="s">
        <v>1992</v>
      </c>
      <c r="Y160" s="102" t="s">
        <v>1085</v>
      </c>
      <c r="Z160" s="102" t="s">
        <v>529</v>
      </c>
    </row>
    <row r="161">
      <c r="A161" s="102" t="s">
        <v>276</v>
      </c>
      <c r="B161" s="102" t="s">
        <v>3552</v>
      </c>
      <c r="C161" s="229" t="s">
        <v>3553</v>
      </c>
      <c r="D161" s="102" t="s">
        <v>2030</v>
      </c>
      <c r="E161" s="102" t="s">
        <v>280</v>
      </c>
      <c r="F161" s="102" t="s">
        <v>281</v>
      </c>
      <c r="G161" s="102" t="s">
        <v>280</v>
      </c>
      <c r="H161" s="102" t="s">
        <v>281</v>
      </c>
      <c r="I161" s="102" t="s">
        <v>284</v>
      </c>
      <c r="J161" s="102" t="s">
        <v>26</v>
      </c>
      <c r="L161" s="229" t="s">
        <v>3546</v>
      </c>
      <c r="M161" s="229" t="s">
        <v>1995</v>
      </c>
      <c r="O161" s="230"/>
      <c r="S161" s="230"/>
      <c r="T161" s="230" t="str">
        <f>IF(ISNUMBER(MATCH(B161, 'Sprint 20'!B:B, 0)), "มาจาก Sprint 20", "")</f>
        <v>มาจาก Sprint 20</v>
      </c>
      <c r="U161" s="230" t="str">
        <f t="array" ref="U161">IF(ISNUMBER(MATCH(B161, 'Sprint 20'!B:B, 0)), INDEX('Sprint 20'!J:J, MATCH(B161, 'Sprint 20'!B:B, 0)), "")</f>
        <v>Done</v>
      </c>
      <c r="V161" s="230"/>
      <c r="W161" s="102" t="s">
        <v>1991</v>
      </c>
      <c r="X161" s="102" t="s">
        <v>1992</v>
      </c>
      <c r="Y161" s="102" t="s">
        <v>1085</v>
      </c>
      <c r="Z161" s="102" t="s">
        <v>529</v>
      </c>
    </row>
    <row r="162">
      <c r="A162" s="102" t="s">
        <v>276</v>
      </c>
      <c r="B162" s="102" t="s">
        <v>3554</v>
      </c>
      <c r="C162" s="229" t="s">
        <v>3555</v>
      </c>
      <c r="D162" s="102" t="s">
        <v>347</v>
      </c>
      <c r="E162" s="102" t="s">
        <v>2494</v>
      </c>
      <c r="F162" s="102" t="s">
        <v>2495</v>
      </c>
      <c r="G162" s="102" t="s">
        <v>280</v>
      </c>
      <c r="H162" s="102" t="s">
        <v>281</v>
      </c>
      <c r="I162" s="102" t="s">
        <v>284</v>
      </c>
      <c r="J162" s="102" t="s">
        <v>26</v>
      </c>
      <c r="L162" s="229" t="s">
        <v>3556</v>
      </c>
      <c r="M162" s="229" t="s">
        <v>3513</v>
      </c>
      <c r="O162" s="230"/>
      <c r="S162" s="230"/>
      <c r="T162" s="230" t="str">
        <f>IF(ISNUMBER(MATCH(B162, 'Sprint 20'!B:B, 0)), "มาจาก Sprint 20", "")</f>
        <v>มาจาก Sprint 20</v>
      </c>
      <c r="U162" s="230" t="str">
        <f t="array" ref="U162">IF(ISNUMBER(MATCH(B162, 'Sprint 20'!B:B, 0)), INDEX('Sprint 20'!J:J, MATCH(B162, 'Sprint 20'!B:B, 0)), "")</f>
        <v>To Do</v>
      </c>
      <c r="V162" s="230"/>
      <c r="W162" s="102" t="s">
        <v>3557</v>
      </c>
      <c r="X162" s="102" t="s">
        <v>1991</v>
      </c>
      <c r="Y162" s="102" t="s">
        <v>1992</v>
      </c>
      <c r="Z162" s="102" t="s">
        <v>1085</v>
      </c>
      <c r="AA162" s="102" t="s">
        <v>529</v>
      </c>
      <c r="AF162" s="230"/>
      <c r="AG162" s="230"/>
      <c r="AH162" s="230"/>
      <c r="AI162" s="230"/>
    </row>
    <row r="163">
      <c r="A163" s="102" t="s">
        <v>276</v>
      </c>
      <c r="B163" s="102" t="s">
        <v>3558</v>
      </c>
      <c r="C163" s="229" t="s">
        <v>3559</v>
      </c>
      <c r="D163" s="102" t="s">
        <v>2030</v>
      </c>
      <c r="E163" s="102" t="s">
        <v>280</v>
      </c>
      <c r="F163" s="102" t="s">
        <v>281</v>
      </c>
      <c r="G163" s="102" t="s">
        <v>280</v>
      </c>
      <c r="H163" s="102" t="s">
        <v>281</v>
      </c>
      <c r="I163" s="102" t="s">
        <v>284</v>
      </c>
      <c r="J163" s="102" t="s">
        <v>26</v>
      </c>
      <c r="L163" s="229" t="s">
        <v>3556</v>
      </c>
      <c r="M163" s="229" t="s">
        <v>3560</v>
      </c>
      <c r="O163" s="230"/>
      <c r="S163" s="230"/>
      <c r="T163" s="230" t="str">
        <f>IF(ISNUMBER(MATCH(B163, 'Sprint 20'!B:B, 0)), "มาจาก Sprint 20", "")</f>
        <v>มาจาก Sprint 20</v>
      </c>
      <c r="U163" s="230" t="str">
        <f t="array" ref="U163">IF(ISNUMBER(MATCH(B163, 'Sprint 20'!B:B, 0)), INDEX('Sprint 20'!J:J, MATCH(B163, 'Sprint 20'!B:B, 0)), "")</f>
        <v>Done</v>
      </c>
      <c r="V163" s="230"/>
      <c r="W163" s="102" t="s">
        <v>3557</v>
      </c>
      <c r="X163" s="102" t="s">
        <v>1991</v>
      </c>
      <c r="Y163" s="102" t="s">
        <v>1992</v>
      </c>
      <c r="Z163" s="102" t="s">
        <v>1085</v>
      </c>
      <c r="AA163" s="102" t="s">
        <v>529</v>
      </c>
      <c r="AF163" s="230"/>
      <c r="AG163" s="230"/>
      <c r="AH163" s="230"/>
      <c r="AI163" s="230"/>
    </row>
    <row r="164">
      <c r="A164" s="102" t="s">
        <v>310</v>
      </c>
      <c r="B164" s="102" t="s">
        <v>2537</v>
      </c>
      <c r="C164" s="229" t="s">
        <v>2538</v>
      </c>
      <c r="D164" s="102" t="s">
        <v>2539</v>
      </c>
      <c r="E164" s="102" t="s">
        <v>584</v>
      </c>
      <c r="F164" s="102" t="s">
        <v>585</v>
      </c>
      <c r="G164" s="102" t="s">
        <v>353</v>
      </c>
      <c r="H164" s="102" t="s">
        <v>354</v>
      </c>
      <c r="I164" s="102" t="s">
        <v>284</v>
      </c>
      <c r="J164" s="102" t="s">
        <v>454</v>
      </c>
      <c r="L164" s="229" t="s">
        <v>2540</v>
      </c>
      <c r="M164" s="229" t="s">
        <v>3451</v>
      </c>
      <c r="O164" s="102">
        <v>2.0</v>
      </c>
      <c r="S164" s="102">
        <v>0.0</v>
      </c>
      <c r="T164" s="230" t="str">
        <f>IF(ISNUMBER(MATCH(B164, 'Sprint 20'!B:B, 0)), "มาจาก Sprint 20", "")</f>
        <v>มาจาก Sprint 20</v>
      </c>
      <c r="U164" s="230" t="str">
        <f t="array" ref="U164">IF(ISNUMBER(MATCH(B164, 'Sprint 20'!B:B, 0)), INDEX('Sprint 20'!J:J, MATCH(B164, 'Sprint 20'!B:B, 0)), "")</f>
        <v>Ready to Staging</v>
      </c>
      <c r="V164" s="102">
        <v>14400.0</v>
      </c>
      <c r="W164" s="102" t="s">
        <v>2271</v>
      </c>
      <c r="X164" s="102" t="s">
        <v>2272</v>
      </c>
      <c r="Y164" s="102" t="s">
        <v>2273</v>
      </c>
      <c r="AF164" s="230"/>
      <c r="AG164" s="230"/>
      <c r="AH164" s="230"/>
      <c r="AI164" s="230"/>
    </row>
    <row r="165">
      <c r="A165" s="102" t="s">
        <v>310</v>
      </c>
      <c r="B165" s="102" t="s">
        <v>2035</v>
      </c>
      <c r="C165" s="229" t="s">
        <v>2036</v>
      </c>
      <c r="D165" s="102" t="s">
        <v>2037</v>
      </c>
      <c r="E165" s="102" t="s">
        <v>556</v>
      </c>
      <c r="F165" s="102" t="s">
        <v>557</v>
      </c>
      <c r="G165" s="102" t="s">
        <v>353</v>
      </c>
      <c r="H165" s="102" t="s">
        <v>354</v>
      </c>
      <c r="I165" s="102" t="s">
        <v>284</v>
      </c>
      <c r="J165" s="102" t="s">
        <v>454</v>
      </c>
      <c r="L165" s="229" t="s">
        <v>2038</v>
      </c>
      <c r="M165" s="229" t="s">
        <v>3314</v>
      </c>
      <c r="N165" s="229" t="s">
        <v>1978</v>
      </c>
      <c r="O165" s="102">
        <v>5.0</v>
      </c>
      <c r="P165" s="102" t="s">
        <v>1855</v>
      </c>
      <c r="S165" s="102">
        <v>0.0</v>
      </c>
      <c r="T165" s="230" t="str">
        <f>IF(ISNUMBER(MATCH(B165, 'Sprint 20'!B:B, 0)), "มาจาก Sprint 20", "")</f>
        <v>มาจาก Sprint 20</v>
      </c>
      <c r="U165" s="230" t="str">
        <f t="array" ref="U165">IF(ISNUMBER(MATCH(B165, 'Sprint 20'!B:B, 0)), INDEX('Sprint 20'!J:J, MATCH(B165, 'Sprint 20'!B:B, 0)), "")</f>
        <v>Ready to Staging</v>
      </c>
      <c r="V165" s="102">
        <v>57600.0</v>
      </c>
      <c r="W165" s="102" t="s">
        <v>1259</v>
      </c>
      <c r="X165" s="102" t="s">
        <v>1203</v>
      </c>
      <c r="Y165" s="102" t="s">
        <v>1204</v>
      </c>
      <c r="AF165" s="230"/>
      <c r="AG165" s="230"/>
      <c r="AH165" s="230"/>
      <c r="AI165" s="230"/>
    </row>
    <row r="166">
      <c r="A166" s="102" t="s">
        <v>310</v>
      </c>
      <c r="B166" s="102" t="s">
        <v>2039</v>
      </c>
      <c r="C166" s="229" t="s">
        <v>2040</v>
      </c>
      <c r="D166" s="102" t="s">
        <v>2041</v>
      </c>
      <c r="E166" s="102" t="s">
        <v>564</v>
      </c>
      <c r="F166" s="102" t="s">
        <v>565</v>
      </c>
      <c r="G166" s="102" t="s">
        <v>353</v>
      </c>
      <c r="H166" s="102" t="s">
        <v>354</v>
      </c>
      <c r="I166" s="102" t="s">
        <v>284</v>
      </c>
      <c r="J166" s="102" t="s">
        <v>454</v>
      </c>
      <c r="L166" s="229" t="s">
        <v>2038</v>
      </c>
      <c r="M166" s="229" t="s">
        <v>3314</v>
      </c>
      <c r="N166" s="229" t="s">
        <v>2042</v>
      </c>
      <c r="O166" s="102">
        <v>5.0</v>
      </c>
      <c r="P166" s="102" t="s">
        <v>1855</v>
      </c>
      <c r="S166" s="102">
        <v>0.0</v>
      </c>
      <c r="T166" s="230" t="str">
        <f>IF(ISNUMBER(MATCH(B166, 'Sprint 20'!B:B, 0)), "มาจาก Sprint 20", "")</f>
        <v>มาจาก Sprint 20</v>
      </c>
      <c r="U166" s="230" t="str">
        <f t="array" ref="U166">IF(ISNUMBER(MATCH(B166, 'Sprint 20'!B:B, 0)), INDEX('Sprint 20'!J:J, MATCH(B166, 'Sprint 20'!B:B, 0)), "")</f>
        <v>Ready to Staging</v>
      </c>
      <c r="V166" s="102">
        <v>57600.0</v>
      </c>
      <c r="W166" s="102" t="s">
        <v>1259</v>
      </c>
      <c r="X166" s="102" t="s">
        <v>1203</v>
      </c>
      <c r="Y166" s="102" t="s">
        <v>1204</v>
      </c>
      <c r="AF166" s="230"/>
      <c r="AG166" s="230"/>
      <c r="AH166" s="230"/>
      <c r="AI166" s="230"/>
    </row>
    <row r="167">
      <c r="A167" s="102" t="s">
        <v>310</v>
      </c>
      <c r="B167" s="102" t="s">
        <v>2043</v>
      </c>
      <c r="C167" s="229" t="s">
        <v>2044</v>
      </c>
      <c r="D167" s="102" t="s">
        <v>2045</v>
      </c>
      <c r="E167" s="102" t="s">
        <v>564</v>
      </c>
      <c r="F167" s="102" t="s">
        <v>565</v>
      </c>
      <c r="G167" s="102" t="s">
        <v>353</v>
      </c>
      <c r="H167" s="102" t="s">
        <v>354</v>
      </c>
      <c r="I167" s="102" t="s">
        <v>284</v>
      </c>
      <c r="J167" s="102" t="s">
        <v>454</v>
      </c>
      <c r="L167" s="229" t="s">
        <v>2046</v>
      </c>
      <c r="M167" s="229" t="s">
        <v>3314</v>
      </c>
      <c r="N167" s="229" t="s">
        <v>1978</v>
      </c>
      <c r="O167" s="102">
        <v>5.0</v>
      </c>
      <c r="P167" s="102" t="s">
        <v>1855</v>
      </c>
      <c r="S167" s="102">
        <v>0.0</v>
      </c>
      <c r="T167" s="230" t="str">
        <f>IF(ISNUMBER(MATCH(B167, 'Sprint 20'!B:B, 0)), "มาจาก Sprint 20", "")</f>
        <v>มาจาก Sprint 20</v>
      </c>
      <c r="U167" s="230" t="str">
        <f t="array" ref="U167">IF(ISNUMBER(MATCH(B167, 'Sprint 20'!B:B, 0)), INDEX('Sprint 20'!J:J, MATCH(B167, 'Sprint 20'!B:B, 0)), "")</f>
        <v>Ready to Staging</v>
      </c>
      <c r="V167" s="102">
        <v>57600.0</v>
      </c>
      <c r="W167" s="102" t="s">
        <v>1259</v>
      </c>
      <c r="X167" s="102" t="s">
        <v>1203</v>
      </c>
      <c r="Y167" s="102" t="s">
        <v>1204</v>
      </c>
      <c r="AF167" s="230"/>
      <c r="AG167" s="230"/>
      <c r="AH167" s="230"/>
      <c r="AI167" s="230"/>
    </row>
    <row r="168">
      <c r="A168" s="102" t="s">
        <v>310</v>
      </c>
      <c r="B168" s="102" t="s">
        <v>2047</v>
      </c>
      <c r="C168" s="229" t="s">
        <v>2048</v>
      </c>
      <c r="D168" s="102" t="s">
        <v>2049</v>
      </c>
      <c r="E168" s="102" t="s">
        <v>556</v>
      </c>
      <c r="F168" s="102" t="s">
        <v>557</v>
      </c>
      <c r="G168" s="102" t="s">
        <v>353</v>
      </c>
      <c r="H168" s="102" t="s">
        <v>354</v>
      </c>
      <c r="I168" s="102" t="s">
        <v>284</v>
      </c>
      <c r="J168" s="102" t="s">
        <v>454</v>
      </c>
      <c r="L168" s="229" t="s">
        <v>2046</v>
      </c>
      <c r="M168" s="229" t="s">
        <v>3314</v>
      </c>
      <c r="N168" s="229" t="s">
        <v>1978</v>
      </c>
      <c r="O168" s="102">
        <v>5.0</v>
      </c>
      <c r="P168" s="102" t="s">
        <v>1855</v>
      </c>
      <c r="S168" s="230"/>
      <c r="T168" s="230" t="str">
        <f>IF(ISNUMBER(MATCH(B168, 'Sprint 20'!B:B, 0)), "มาจาก Sprint 20", "")</f>
        <v>มาจาก Sprint 20</v>
      </c>
      <c r="U168" s="230" t="str">
        <f t="array" ref="U168">IF(ISNUMBER(MATCH(B168, 'Sprint 20'!B:B, 0)), INDEX('Sprint 20'!J:J, MATCH(B168, 'Sprint 20'!B:B, 0)), "")</f>
        <v>Ready to Staging</v>
      </c>
      <c r="V168" s="230"/>
      <c r="W168" s="102" t="s">
        <v>1259</v>
      </c>
      <c r="X168" s="102" t="s">
        <v>1203</v>
      </c>
      <c r="Y168" s="102" t="s">
        <v>1204</v>
      </c>
      <c r="AF168" s="230"/>
      <c r="AG168" s="230"/>
      <c r="AH168" s="230"/>
      <c r="AI168" s="230"/>
    </row>
    <row r="169">
      <c r="A169" s="102" t="s">
        <v>310</v>
      </c>
      <c r="B169" s="102" t="s">
        <v>2050</v>
      </c>
      <c r="C169" s="229" t="s">
        <v>2051</v>
      </c>
      <c r="D169" s="102" t="s">
        <v>2052</v>
      </c>
      <c r="E169" s="102" t="s">
        <v>564</v>
      </c>
      <c r="F169" s="102" t="s">
        <v>565</v>
      </c>
      <c r="G169" s="102" t="s">
        <v>353</v>
      </c>
      <c r="H169" s="102" t="s">
        <v>354</v>
      </c>
      <c r="I169" s="102" t="s">
        <v>284</v>
      </c>
      <c r="J169" s="102" t="s">
        <v>454</v>
      </c>
      <c r="L169" s="229" t="s">
        <v>2053</v>
      </c>
      <c r="M169" s="229" t="s">
        <v>3314</v>
      </c>
      <c r="N169" s="229" t="s">
        <v>2054</v>
      </c>
      <c r="O169" s="102">
        <v>5.0</v>
      </c>
      <c r="P169" s="102" t="s">
        <v>1855</v>
      </c>
      <c r="S169" s="102">
        <v>0.0</v>
      </c>
      <c r="T169" s="230" t="str">
        <f>IF(ISNUMBER(MATCH(B169, 'Sprint 20'!B:B, 0)), "มาจาก Sprint 20", "")</f>
        <v>มาจาก Sprint 20</v>
      </c>
      <c r="U169" s="230" t="str">
        <f t="array" ref="U169">IF(ISNUMBER(MATCH(B169, 'Sprint 20'!B:B, 0)), INDEX('Sprint 20'!J:J, MATCH(B169, 'Sprint 20'!B:B, 0)), "")</f>
        <v>Ready to Staging</v>
      </c>
      <c r="V169" s="102">
        <v>57600.0</v>
      </c>
      <c r="W169" s="102" t="s">
        <v>1259</v>
      </c>
      <c r="X169" s="102" t="s">
        <v>1203</v>
      </c>
      <c r="Y169" s="102" t="s">
        <v>1204</v>
      </c>
      <c r="AF169" s="230"/>
      <c r="AG169" s="230"/>
      <c r="AH169" s="230"/>
      <c r="AI169" s="230"/>
    </row>
    <row r="170">
      <c r="A170" s="102" t="s">
        <v>310</v>
      </c>
      <c r="B170" s="102" t="s">
        <v>2055</v>
      </c>
      <c r="C170" s="229" t="s">
        <v>2056</v>
      </c>
      <c r="D170" s="102" t="s">
        <v>2057</v>
      </c>
      <c r="E170" s="102" t="s">
        <v>556</v>
      </c>
      <c r="F170" s="102" t="s">
        <v>557</v>
      </c>
      <c r="G170" s="102" t="s">
        <v>353</v>
      </c>
      <c r="H170" s="102" t="s">
        <v>354</v>
      </c>
      <c r="I170" s="102" t="s">
        <v>284</v>
      </c>
      <c r="J170" s="102" t="s">
        <v>454</v>
      </c>
      <c r="L170" s="229" t="s">
        <v>2058</v>
      </c>
      <c r="M170" s="229" t="s">
        <v>3314</v>
      </c>
      <c r="N170" s="229" t="s">
        <v>1352</v>
      </c>
      <c r="O170" s="102">
        <v>5.0</v>
      </c>
      <c r="P170" s="102" t="s">
        <v>593</v>
      </c>
      <c r="Q170" s="102" t="s">
        <v>1855</v>
      </c>
      <c r="S170" s="102">
        <v>0.0</v>
      </c>
      <c r="T170" s="230" t="str">
        <f>IF(ISNUMBER(MATCH(B170, 'Sprint 20'!B:B, 0)), "มาจาก Sprint 20", "")</f>
        <v>มาจาก Sprint 20</v>
      </c>
      <c r="U170" s="230" t="str">
        <f t="array" ref="U170">IF(ISNUMBER(MATCH(B170, 'Sprint 20'!B:B, 0)), INDEX('Sprint 20'!J:J, MATCH(B170, 'Sprint 20'!B:B, 0)), "")</f>
        <v>Ready to Staging</v>
      </c>
      <c r="V170" s="102">
        <v>57600.0</v>
      </c>
      <c r="W170" s="102" t="s">
        <v>1259</v>
      </c>
      <c r="X170" s="102" t="s">
        <v>1203</v>
      </c>
      <c r="Y170" s="102" t="s">
        <v>1204</v>
      </c>
      <c r="AF170" s="230"/>
      <c r="AG170" s="230"/>
      <c r="AH170" s="230"/>
      <c r="AI170" s="230"/>
    </row>
    <row r="171">
      <c r="A171" s="102" t="s">
        <v>630</v>
      </c>
      <c r="B171" s="102" t="s">
        <v>1253</v>
      </c>
      <c r="C171" s="229" t="s">
        <v>1254</v>
      </c>
      <c r="D171" s="102" t="s">
        <v>1255</v>
      </c>
      <c r="G171" s="102" t="s">
        <v>353</v>
      </c>
      <c r="H171" s="102" t="s">
        <v>354</v>
      </c>
      <c r="I171" s="102" t="s">
        <v>284</v>
      </c>
      <c r="J171" s="102" t="s">
        <v>63</v>
      </c>
      <c r="L171" s="229" t="s">
        <v>1256</v>
      </c>
      <c r="M171" s="229" t="s">
        <v>3314</v>
      </c>
      <c r="N171" s="229" t="s">
        <v>1257</v>
      </c>
      <c r="O171" s="230"/>
      <c r="S171" s="230"/>
      <c r="T171" s="230" t="str">
        <f>IF(ISNUMBER(MATCH(B171, 'Sprint 20'!B:B, 0)), "มาจาก Sprint 20", "")</f>
        <v>มาจาก Sprint 20</v>
      </c>
      <c r="U171" s="230" t="str">
        <f t="array" ref="U171">IF(ISNUMBER(MATCH(B171, 'Sprint 20'!B:B, 0)), INDEX('Sprint 20'!J:J, MATCH(B171, 'Sprint 20'!B:B, 0)), "")</f>
        <v>To Do</v>
      </c>
      <c r="V171" s="230"/>
      <c r="W171" s="102" t="s">
        <v>1258</v>
      </c>
      <c r="X171" s="102" t="s">
        <v>1259</v>
      </c>
      <c r="Y171" s="102" t="s">
        <v>1203</v>
      </c>
      <c r="Z171" s="102" t="s">
        <v>1260</v>
      </c>
      <c r="AA171" s="102" t="s">
        <v>1204</v>
      </c>
      <c r="AF171" s="230"/>
      <c r="AG171" s="230"/>
      <c r="AH171" s="230"/>
      <c r="AI171" s="230"/>
    </row>
    <row r="172">
      <c r="A172" s="102" t="s">
        <v>310</v>
      </c>
      <c r="B172" s="102" t="s">
        <v>3202</v>
      </c>
      <c r="C172" s="229" t="s">
        <v>3203</v>
      </c>
      <c r="D172" s="102" t="s">
        <v>3204</v>
      </c>
      <c r="E172" s="102" t="s">
        <v>584</v>
      </c>
      <c r="F172" s="102" t="s">
        <v>585</v>
      </c>
      <c r="G172" s="102" t="s">
        <v>353</v>
      </c>
      <c r="H172" s="102" t="s">
        <v>354</v>
      </c>
      <c r="I172" s="102" t="s">
        <v>284</v>
      </c>
      <c r="J172" s="102" t="s">
        <v>26</v>
      </c>
      <c r="L172" s="229" t="s">
        <v>3205</v>
      </c>
      <c r="M172" s="229" t="s">
        <v>3206</v>
      </c>
      <c r="O172" s="102">
        <v>8.0</v>
      </c>
      <c r="P172" s="102" t="s">
        <v>593</v>
      </c>
      <c r="S172" s="102">
        <v>0.0</v>
      </c>
      <c r="T172" s="230" t="str">
        <f>IF(ISNUMBER(MATCH(B172, 'Sprint 20'!B:B, 0)), "มาจาก Sprint 20", "")</f>
        <v>มาจาก Sprint 20</v>
      </c>
      <c r="U172" s="230" t="str">
        <f t="array" ref="U172">IF(ISNUMBER(MATCH(B172, 'Sprint 20'!B:B, 0)), INDEX('Sprint 20'!J:J, MATCH(B172, 'Sprint 20'!B:B, 0)), "")</f>
        <v>Ready To Test</v>
      </c>
      <c r="V172" s="102">
        <v>86400.0</v>
      </c>
      <c r="W172" s="102" t="s">
        <v>2269</v>
      </c>
      <c r="X172" s="102" t="s">
        <v>2270</v>
      </c>
      <c r="Y172" s="102" t="s">
        <v>2271</v>
      </c>
      <c r="Z172" s="102" t="s">
        <v>2272</v>
      </c>
      <c r="AA172" s="102" t="s">
        <v>2273</v>
      </c>
      <c r="AF172" s="230"/>
      <c r="AG172" s="230"/>
      <c r="AH172" s="230"/>
      <c r="AI172" s="230"/>
    </row>
    <row r="173">
      <c r="A173" s="102" t="s">
        <v>310</v>
      </c>
      <c r="B173" s="102" t="s">
        <v>3207</v>
      </c>
      <c r="C173" s="229" t="s">
        <v>3208</v>
      </c>
      <c r="D173" s="102" t="s">
        <v>3209</v>
      </c>
      <c r="E173" s="102" t="s">
        <v>495</v>
      </c>
      <c r="F173" s="102" t="s">
        <v>496</v>
      </c>
      <c r="G173" s="102" t="s">
        <v>353</v>
      </c>
      <c r="H173" s="102" t="s">
        <v>354</v>
      </c>
      <c r="I173" s="102" t="s">
        <v>284</v>
      </c>
      <c r="J173" s="102" t="s">
        <v>26</v>
      </c>
      <c r="L173" s="229" t="s">
        <v>3210</v>
      </c>
      <c r="M173" s="229" t="s">
        <v>3211</v>
      </c>
      <c r="O173" s="102">
        <v>5.0</v>
      </c>
      <c r="P173" s="102" t="s">
        <v>3197</v>
      </c>
      <c r="Q173" s="102" t="s">
        <v>593</v>
      </c>
      <c r="S173" s="102">
        <v>0.0</v>
      </c>
      <c r="T173" s="230" t="str">
        <f>IF(ISNUMBER(MATCH(B173, 'Sprint 20'!B:B, 0)), "มาจาก Sprint 20", "")</f>
        <v>มาจาก Sprint 20</v>
      </c>
      <c r="U173" s="230" t="str">
        <f t="array" ref="U173">IF(ISNUMBER(MATCH(B173, 'Sprint 20'!B:B, 0)), INDEX('Sprint 20'!J:J, MATCH(B173, 'Sprint 20'!B:B, 0)), "")</f>
        <v>Ready To Test</v>
      </c>
      <c r="V173" s="102">
        <v>57600.0</v>
      </c>
      <c r="W173" s="102" t="s">
        <v>2269</v>
      </c>
      <c r="X173" s="102" t="s">
        <v>2270</v>
      </c>
      <c r="Y173" s="102" t="s">
        <v>2271</v>
      </c>
      <c r="Z173" s="102" t="s">
        <v>2272</v>
      </c>
      <c r="AA173" s="102" t="s">
        <v>2273</v>
      </c>
      <c r="AF173" s="230"/>
      <c r="AG173" s="230"/>
      <c r="AH173" s="230"/>
      <c r="AI173" s="230"/>
    </row>
    <row r="174">
      <c r="A174" s="102" t="s">
        <v>310</v>
      </c>
      <c r="B174" s="102" t="s">
        <v>3561</v>
      </c>
      <c r="C174" s="229" t="s">
        <v>3562</v>
      </c>
      <c r="D174" s="102" t="s">
        <v>3563</v>
      </c>
      <c r="E174" s="102" t="s">
        <v>513</v>
      </c>
      <c r="F174" s="102" t="s">
        <v>514</v>
      </c>
      <c r="G174" s="102" t="s">
        <v>282</v>
      </c>
      <c r="H174" s="102" t="s">
        <v>283</v>
      </c>
      <c r="I174" s="102" t="s">
        <v>284</v>
      </c>
      <c r="J174" s="102" t="s">
        <v>26</v>
      </c>
      <c r="L174" s="229" t="s">
        <v>3564</v>
      </c>
      <c r="M174" s="229" t="s">
        <v>3424</v>
      </c>
      <c r="N174" s="229" t="s">
        <v>3565</v>
      </c>
      <c r="O174" s="102">
        <v>3.0</v>
      </c>
      <c r="P174" s="102" t="s">
        <v>331</v>
      </c>
      <c r="S174" s="102">
        <v>0.0</v>
      </c>
      <c r="T174" s="230" t="str">
        <f>IF(ISNUMBER(MATCH(B174, 'Sprint 20'!B:B, 0)), "มาจาก Sprint 20", "")</f>
        <v>มาจาก Sprint 20</v>
      </c>
      <c r="U174" s="230" t="str">
        <f t="array" ref="U174">IF(ISNUMBER(MATCH(B174, 'Sprint 20'!B:B, 0)), INDEX('Sprint 20'!J:J, MATCH(B174, 'Sprint 20'!B:B, 0)), "")</f>
        <v>Ready To Test</v>
      </c>
      <c r="V174" s="102">
        <v>28800.0</v>
      </c>
      <c r="W174" s="102" t="s">
        <v>1992</v>
      </c>
      <c r="X174" s="102" t="s">
        <v>1085</v>
      </c>
      <c r="Y174" s="102" t="s">
        <v>529</v>
      </c>
      <c r="AF174" s="230"/>
      <c r="AG174" s="230"/>
      <c r="AH174" s="230"/>
      <c r="AI174" s="230"/>
    </row>
    <row r="175">
      <c r="A175" s="102" t="s">
        <v>310</v>
      </c>
      <c r="B175" s="102" t="s">
        <v>3566</v>
      </c>
      <c r="C175" s="229" t="s">
        <v>3567</v>
      </c>
      <c r="D175" s="102" t="s">
        <v>3568</v>
      </c>
      <c r="E175" s="102" t="s">
        <v>513</v>
      </c>
      <c r="F175" s="102" t="s">
        <v>514</v>
      </c>
      <c r="G175" s="102" t="s">
        <v>282</v>
      </c>
      <c r="H175" s="102" t="s">
        <v>283</v>
      </c>
      <c r="I175" s="102" t="s">
        <v>284</v>
      </c>
      <c r="J175" s="102" t="s">
        <v>26</v>
      </c>
      <c r="L175" s="229" t="s">
        <v>3564</v>
      </c>
      <c r="M175" s="229" t="s">
        <v>3291</v>
      </c>
      <c r="N175" s="229" t="s">
        <v>3569</v>
      </c>
      <c r="O175" s="102">
        <v>3.0</v>
      </c>
      <c r="P175" s="102" t="s">
        <v>331</v>
      </c>
      <c r="S175" s="102">
        <v>0.0</v>
      </c>
      <c r="T175" s="230" t="str">
        <f>IF(ISNUMBER(MATCH(B175, 'Sprint 20'!B:B, 0)), "มาจาก Sprint 20", "")</f>
        <v>มาจาก Sprint 20</v>
      </c>
      <c r="U175" s="230" t="str">
        <f t="array" ref="U175">IF(ISNUMBER(MATCH(B175, 'Sprint 20'!B:B, 0)), INDEX('Sprint 20'!J:J, MATCH(B175, 'Sprint 20'!B:B, 0)), "")</f>
        <v>Ready To Test</v>
      </c>
      <c r="V175" s="102">
        <v>28800.0</v>
      </c>
      <c r="W175" s="102" t="s">
        <v>1992</v>
      </c>
      <c r="X175" s="102" t="s">
        <v>1085</v>
      </c>
      <c r="Y175" s="102" t="s">
        <v>529</v>
      </c>
      <c r="AF175" s="230"/>
      <c r="AG175" s="230"/>
      <c r="AH175" s="230"/>
      <c r="AI175" s="230"/>
    </row>
    <row r="176">
      <c r="A176" s="102" t="s">
        <v>310</v>
      </c>
      <c r="B176" s="102" t="s">
        <v>3570</v>
      </c>
      <c r="C176" s="229" t="s">
        <v>3571</v>
      </c>
      <c r="D176" s="102" t="s">
        <v>3572</v>
      </c>
      <c r="E176" s="102" t="s">
        <v>513</v>
      </c>
      <c r="F176" s="102" t="s">
        <v>514</v>
      </c>
      <c r="G176" s="102" t="s">
        <v>282</v>
      </c>
      <c r="H176" s="102" t="s">
        <v>283</v>
      </c>
      <c r="I176" s="102" t="s">
        <v>284</v>
      </c>
      <c r="J176" s="102" t="s">
        <v>26</v>
      </c>
      <c r="L176" s="229" t="s">
        <v>3573</v>
      </c>
      <c r="M176" s="229" t="s">
        <v>3424</v>
      </c>
      <c r="N176" s="229" t="s">
        <v>3574</v>
      </c>
      <c r="O176" s="102">
        <v>3.0</v>
      </c>
      <c r="P176" s="102" t="s">
        <v>331</v>
      </c>
      <c r="S176" s="102">
        <v>0.0</v>
      </c>
      <c r="T176" s="230" t="str">
        <f>IF(ISNUMBER(MATCH(B176, 'Sprint 20'!B:B, 0)), "มาจาก Sprint 20", "")</f>
        <v>มาจาก Sprint 20</v>
      </c>
      <c r="U176" s="230" t="str">
        <f t="array" ref="U176">IF(ISNUMBER(MATCH(B176, 'Sprint 20'!B:B, 0)), INDEX('Sprint 20'!J:J, MATCH(B176, 'Sprint 20'!B:B, 0)), "")</f>
        <v>Ready To Test</v>
      </c>
      <c r="V176" s="102">
        <v>28800.0</v>
      </c>
      <c r="W176" s="102" t="s">
        <v>1992</v>
      </c>
      <c r="X176" s="102" t="s">
        <v>1085</v>
      </c>
      <c r="Y176" s="102" t="s">
        <v>529</v>
      </c>
      <c r="AF176" s="230"/>
      <c r="AG176" s="230"/>
      <c r="AH176" s="230"/>
      <c r="AI176" s="230"/>
    </row>
    <row r="177">
      <c r="A177" s="102" t="s">
        <v>310</v>
      </c>
      <c r="B177" s="102" t="s">
        <v>3212</v>
      </c>
      <c r="C177" s="229" t="s">
        <v>3213</v>
      </c>
      <c r="D177" s="102" t="s">
        <v>3214</v>
      </c>
      <c r="E177" s="102" t="s">
        <v>495</v>
      </c>
      <c r="F177" s="102" t="s">
        <v>496</v>
      </c>
      <c r="G177" s="102" t="s">
        <v>282</v>
      </c>
      <c r="H177" s="102" t="s">
        <v>283</v>
      </c>
      <c r="I177" s="102" t="s">
        <v>284</v>
      </c>
      <c r="J177" s="102" t="s">
        <v>26</v>
      </c>
      <c r="L177" s="229" t="s">
        <v>2067</v>
      </c>
      <c r="M177" s="229" t="s">
        <v>3184</v>
      </c>
      <c r="N177" s="229" t="s">
        <v>2054</v>
      </c>
      <c r="O177" s="102">
        <v>5.0</v>
      </c>
      <c r="S177" s="102">
        <v>0.0</v>
      </c>
      <c r="T177" s="230" t="str">
        <f>IF(ISNUMBER(MATCH(B177, 'Sprint 20'!B:B, 0)), "มาจาก Sprint 20", "")</f>
        <v>มาจาก Sprint 20</v>
      </c>
      <c r="U177" s="230" t="str">
        <f t="array" ref="U177">IF(ISNUMBER(MATCH(B177, 'Sprint 20'!B:B, 0)), INDEX('Sprint 20'!J:J, MATCH(B177, 'Sprint 20'!B:B, 0)), "")</f>
        <v>Ready To Test</v>
      </c>
      <c r="V177" s="102">
        <v>57600.0</v>
      </c>
      <c r="W177" s="102" t="s">
        <v>1085</v>
      </c>
      <c r="X177" s="102" t="s">
        <v>529</v>
      </c>
      <c r="Y177" s="102" t="s">
        <v>298</v>
      </c>
      <c r="AF177" s="230"/>
      <c r="AG177" s="230"/>
      <c r="AH177" s="230"/>
      <c r="AI177" s="230"/>
    </row>
    <row r="178">
      <c r="A178" s="102" t="s">
        <v>310</v>
      </c>
      <c r="B178" s="102" t="s">
        <v>3575</v>
      </c>
      <c r="C178" s="229" t="s">
        <v>3576</v>
      </c>
      <c r="D178" s="102" t="s">
        <v>3577</v>
      </c>
      <c r="E178" s="102" t="s">
        <v>495</v>
      </c>
      <c r="F178" s="102" t="s">
        <v>496</v>
      </c>
      <c r="G178" s="102" t="s">
        <v>282</v>
      </c>
      <c r="H178" s="102" t="s">
        <v>283</v>
      </c>
      <c r="I178" s="102" t="s">
        <v>284</v>
      </c>
      <c r="J178" s="102" t="s">
        <v>26</v>
      </c>
      <c r="L178" s="229" t="s">
        <v>3578</v>
      </c>
      <c r="M178" s="229" t="s">
        <v>3579</v>
      </c>
      <c r="O178" s="102">
        <v>3.0</v>
      </c>
      <c r="P178" s="102" t="s">
        <v>331</v>
      </c>
      <c r="S178" s="102">
        <v>0.0</v>
      </c>
      <c r="T178" s="230" t="str">
        <f>IF(ISNUMBER(MATCH(B178, 'Sprint 20'!B:B, 0)), "มาจาก Sprint 20", "")</f>
        <v>มาจาก Sprint 20</v>
      </c>
      <c r="U178" s="230" t="str">
        <f t="array" ref="U178">IF(ISNUMBER(MATCH(B178, 'Sprint 20'!B:B, 0)), INDEX('Sprint 20'!J:J, MATCH(B178, 'Sprint 20'!B:B, 0)), "")</f>
        <v>Ready To Test</v>
      </c>
      <c r="V178" s="102">
        <v>28800.0</v>
      </c>
      <c r="W178" s="102" t="s">
        <v>1992</v>
      </c>
      <c r="X178" s="102" t="s">
        <v>1085</v>
      </c>
      <c r="Y178" s="102" t="s">
        <v>529</v>
      </c>
      <c r="AF178" s="230"/>
      <c r="AG178" s="230"/>
      <c r="AH178" s="230"/>
      <c r="AI178" s="230"/>
    </row>
    <row r="179">
      <c r="A179" s="102" t="s">
        <v>310</v>
      </c>
      <c r="B179" s="102" t="s">
        <v>3580</v>
      </c>
      <c r="C179" s="229" t="s">
        <v>3581</v>
      </c>
      <c r="D179" s="102" t="s">
        <v>3582</v>
      </c>
      <c r="E179" s="102" t="s">
        <v>495</v>
      </c>
      <c r="F179" s="102" t="s">
        <v>496</v>
      </c>
      <c r="G179" s="102" t="s">
        <v>282</v>
      </c>
      <c r="H179" s="102" t="s">
        <v>283</v>
      </c>
      <c r="I179" s="102" t="s">
        <v>515</v>
      </c>
      <c r="J179" s="102" t="s">
        <v>26</v>
      </c>
      <c r="L179" s="229" t="s">
        <v>3578</v>
      </c>
      <c r="M179" s="229" t="s">
        <v>3583</v>
      </c>
      <c r="O179" s="102">
        <v>2.0</v>
      </c>
      <c r="P179" s="102" t="s">
        <v>331</v>
      </c>
      <c r="S179" s="102">
        <v>0.0</v>
      </c>
      <c r="T179" s="230" t="str">
        <f>IF(ISNUMBER(MATCH(B179, 'Sprint 20'!B:B, 0)), "มาจาก Sprint 20", "")</f>
        <v>มาจาก Sprint 20</v>
      </c>
      <c r="U179" s="230" t="str">
        <f t="array" ref="U179">IF(ISNUMBER(MATCH(B179, 'Sprint 20'!B:B, 0)), INDEX('Sprint 20'!J:J, MATCH(B179, 'Sprint 20'!B:B, 0)), "")</f>
        <v>Ready To Test</v>
      </c>
      <c r="V179" s="102">
        <v>14400.0</v>
      </c>
      <c r="W179" s="102" t="s">
        <v>1992</v>
      </c>
      <c r="X179" s="102" t="s">
        <v>1085</v>
      </c>
      <c r="Y179" s="102" t="s">
        <v>529</v>
      </c>
      <c r="AF179" s="230"/>
      <c r="AG179" s="230"/>
      <c r="AH179" s="230"/>
      <c r="AI179" s="230"/>
    </row>
    <row r="180">
      <c r="A180" s="102" t="s">
        <v>310</v>
      </c>
      <c r="B180" s="102" t="s">
        <v>3584</v>
      </c>
      <c r="C180" s="229" t="s">
        <v>3585</v>
      </c>
      <c r="D180" s="102" t="s">
        <v>3586</v>
      </c>
      <c r="E180" s="102" t="s">
        <v>495</v>
      </c>
      <c r="F180" s="102" t="s">
        <v>496</v>
      </c>
      <c r="G180" s="102" t="s">
        <v>282</v>
      </c>
      <c r="H180" s="102" t="s">
        <v>283</v>
      </c>
      <c r="I180" s="102" t="s">
        <v>515</v>
      </c>
      <c r="J180" s="102" t="s">
        <v>26</v>
      </c>
      <c r="L180" s="229" t="s">
        <v>3578</v>
      </c>
      <c r="M180" s="229" t="s">
        <v>3587</v>
      </c>
      <c r="O180" s="102">
        <v>3.0</v>
      </c>
      <c r="P180" s="102" t="s">
        <v>331</v>
      </c>
      <c r="S180" s="102">
        <v>0.0</v>
      </c>
      <c r="T180" s="230" t="str">
        <f>IF(ISNUMBER(MATCH(B180, 'Sprint 20'!B:B, 0)), "มาจาก Sprint 20", "")</f>
        <v>มาจาก Sprint 20</v>
      </c>
      <c r="U180" s="230" t="str">
        <f t="array" ref="U180">IF(ISNUMBER(MATCH(B180, 'Sprint 20'!B:B, 0)), INDEX('Sprint 20'!J:J, MATCH(B180, 'Sprint 20'!B:B, 0)), "")</f>
        <v>Ready To Test</v>
      </c>
      <c r="V180" s="102">
        <v>43200.0</v>
      </c>
      <c r="W180" s="102" t="s">
        <v>1992</v>
      </c>
      <c r="X180" s="102" t="s">
        <v>1085</v>
      </c>
      <c r="Y180" s="102" t="s">
        <v>529</v>
      </c>
      <c r="AF180" s="230"/>
      <c r="AG180" s="230"/>
      <c r="AH180" s="230"/>
      <c r="AI180" s="230"/>
    </row>
    <row r="181">
      <c r="A181" s="102" t="s">
        <v>310</v>
      </c>
      <c r="B181" s="102" t="s">
        <v>2070</v>
      </c>
      <c r="C181" s="229" t="s">
        <v>2071</v>
      </c>
      <c r="D181" s="102" t="s">
        <v>2072</v>
      </c>
      <c r="E181" s="102" t="s">
        <v>495</v>
      </c>
      <c r="F181" s="102" t="s">
        <v>496</v>
      </c>
      <c r="G181" s="102" t="s">
        <v>282</v>
      </c>
      <c r="H181" s="102" t="s">
        <v>283</v>
      </c>
      <c r="I181" s="102" t="s">
        <v>284</v>
      </c>
      <c r="J181" s="102" t="s">
        <v>454</v>
      </c>
      <c r="L181" s="229" t="s">
        <v>2073</v>
      </c>
      <c r="M181" s="229" t="s">
        <v>3298</v>
      </c>
      <c r="O181" s="102">
        <v>1.0</v>
      </c>
      <c r="P181" s="102" t="s">
        <v>435</v>
      </c>
      <c r="S181" s="102">
        <v>0.0</v>
      </c>
      <c r="T181" s="230" t="str">
        <f>IF(ISNUMBER(MATCH(B181, 'Sprint 20'!B:B, 0)), "มาจาก Sprint 20", "")</f>
        <v>มาจาก Sprint 20</v>
      </c>
      <c r="U181" s="230" t="str">
        <f t="array" ref="U181">IF(ISNUMBER(MATCH(B181, 'Sprint 20'!B:B, 0)), INDEX('Sprint 20'!J:J, MATCH(B181, 'Sprint 20'!B:B, 0)), "")</f>
        <v>Ready To Test</v>
      </c>
      <c r="V181" s="102">
        <v>3600.0</v>
      </c>
      <c r="W181" s="102" t="s">
        <v>1991</v>
      </c>
      <c r="X181" s="102" t="s">
        <v>1992</v>
      </c>
      <c r="Y181" s="102" t="s">
        <v>1085</v>
      </c>
      <c r="Z181" s="102" t="s">
        <v>529</v>
      </c>
      <c r="AA181" s="102" t="s">
        <v>298</v>
      </c>
      <c r="AF181" s="230"/>
      <c r="AG181" s="230"/>
      <c r="AH181" s="230"/>
      <c r="AI181" s="230"/>
    </row>
    <row r="182">
      <c r="A182" s="102" t="s">
        <v>310</v>
      </c>
      <c r="B182" s="102" t="s">
        <v>2075</v>
      </c>
      <c r="C182" s="229" t="s">
        <v>2076</v>
      </c>
      <c r="D182" s="102" t="s">
        <v>2077</v>
      </c>
      <c r="E182" s="102" t="s">
        <v>495</v>
      </c>
      <c r="F182" s="102" t="s">
        <v>496</v>
      </c>
      <c r="G182" s="102" t="s">
        <v>282</v>
      </c>
      <c r="H182" s="102" t="s">
        <v>283</v>
      </c>
      <c r="I182" s="102" t="s">
        <v>284</v>
      </c>
      <c r="J182" s="102" t="s">
        <v>454</v>
      </c>
      <c r="L182" s="229" t="s">
        <v>2073</v>
      </c>
      <c r="M182" s="229" t="s">
        <v>3298</v>
      </c>
      <c r="O182" s="102">
        <v>1.0</v>
      </c>
      <c r="P182" s="102" t="s">
        <v>435</v>
      </c>
      <c r="S182" s="102">
        <v>0.0</v>
      </c>
      <c r="T182" s="230" t="str">
        <f>IF(ISNUMBER(MATCH(B182, 'Sprint 20'!B:B, 0)), "มาจาก Sprint 20", "")</f>
        <v>มาจาก Sprint 20</v>
      </c>
      <c r="U182" s="230" t="str">
        <f t="array" ref="U182">IF(ISNUMBER(MATCH(B182, 'Sprint 20'!B:B, 0)), INDEX('Sprint 20'!J:J, MATCH(B182, 'Sprint 20'!B:B, 0)), "")</f>
        <v>Ready To Test</v>
      </c>
      <c r="V182" s="102">
        <v>7200.0</v>
      </c>
      <c r="W182" s="102" t="s">
        <v>1991</v>
      </c>
      <c r="X182" s="102" t="s">
        <v>1992</v>
      </c>
      <c r="Y182" s="102" t="s">
        <v>1085</v>
      </c>
      <c r="Z182" s="102" t="s">
        <v>529</v>
      </c>
      <c r="AA182" s="102" t="s">
        <v>298</v>
      </c>
      <c r="AF182" s="230"/>
      <c r="AG182" s="230"/>
      <c r="AH182" s="230"/>
      <c r="AI182" s="230"/>
    </row>
    <row r="183">
      <c r="A183" s="102" t="s">
        <v>310</v>
      </c>
      <c r="B183" s="102" t="s">
        <v>2078</v>
      </c>
      <c r="C183" s="229" t="s">
        <v>2079</v>
      </c>
      <c r="D183" s="102" t="s">
        <v>2080</v>
      </c>
      <c r="E183" s="102" t="s">
        <v>495</v>
      </c>
      <c r="F183" s="102" t="s">
        <v>496</v>
      </c>
      <c r="G183" s="102" t="s">
        <v>282</v>
      </c>
      <c r="H183" s="102" t="s">
        <v>283</v>
      </c>
      <c r="I183" s="102" t="s">
        <v>284</v>
      </c>
      <c r="J183" s="102" t="s">
        <v>454</v>
      </c>
      <c r="L183" s="229" t="s">
        <v>2073</v>
      </c>
      <c r="M183" s="229" t="s">
        <v>3298</v>
      </c>
      <c r="O183" s="102">
        <v>2.0</v>
      </c>
      <c r="P183" s="102" t="s">
        <v>435</v>
      </c>
      <c r="S183" s="102">
        <v>0.0</v>
      </c>
      <c r="T183" s="230" t="str">
        <f>IF(ISNUMBER(MATCH(B183, 'Sprint 20'!B:B, 0)), "มาจาก Sprint 20", "")</f>
        <v>มาจาก Sprint 20</v>
      </c>
      <c r="U183" s="230" t="str">
        <f t="array" ref="U183">IF(ISNUMBER(MATCH(B183, 'Sprint 20'!B:B, 0)), INDEX('Sprint 20'!J:J, MATCH(B183, 'Sprint 20'!B:B, 0)), "")</f>
        <v>Ready To Test</v>
      </c>
      <c r="V183" s="102">
        <v>10800.0</v>
      </c>
      <c r="W183" s="102" t="s">
        <v>1991</v>
      </c>
      <c r="X183" s="102" t="s">
        <v>1992</v>
      </c>
      <c r="Y183" s="102" t="s">
        <v>1085</v>
      </c>
      <c r="Z183" s="102" t="s">
        <v>529</v>
      </c>
      <c r="AA183" s="102" t="s">
        <v>298</v>
      </c>
      <c r="AF183" s="230"/>
      <c r="AG183" s="230"/>
      <c r="AH183" s="230"/>
      <c r="AI183" s="230"/>
    </row>
    <row r="184">
      <c r="A184" s="102" t="s">
        <v>310</v>
      </c>
      <c r="B184" s="102" t="s">
        <v>2081</v>
      </c>
      <c r="C184" s="229" t="s">
        <v>2082</v>
      </c>
      <c r="D184" s="102" t="s">
        <v>2083</v>
      </c>
      <c r="E184" s="102" t="s">
        <v>513</v>
      </c>
      <c r="F184" s="102" t="s">
        <v>514</v>
      </c>
      <c r="G184" s="102" t="s">
        <v>282</v>
      </c>
      <c r="H184" s="102" t="s">
        <v>283</v>
      </c>
      <c r="I184" s="102" t="s">
        <v>284</v>
      </c>
      <c r="J184" s="102" t="s">
        <v>454</v>
      </c>
      <c r="L184" s="229" t="s">
        <v>2073</v>
      </c>
      <c r="M184" s="229" t="s">
        <v>3298</v>
      </c>
      <c r="O184" s="102">
        <v>1.0</v>
      </c>
      <c r="P184" s="102" t="s">
        <v>435</v>
      </c>
      <c r="S184" s="102">
        <v>0.0</v>
      </c>
      <c r="T184" s="230" t="str">
        <f>IF(ISNUMBER(MATCH(B184, 'Sprint 20'!B:B, 0)), "มาจาก Sprint 20", "")</f>
        <v>มาจาก Sprint 20</v>
      </c>
      <c r="U184" s="230" t="str">
        <f t="array" ref="U184">IF(ISNUMBER(MATCH(B184, 'Sprint 20'!B:B, 0)), INDEX('Sprint 20'!J:J, MATCH(B184, 'Sprint 20'!B:B, 0)), "")</f>
        <v>Ready To Test</v>
      </c>
      <c r="V184" s="102">
        <v>7200.0</v>
      </c>
      <c r="W184" s="102" t="s">
        <v>1991</v>
      </c>
      <c r="X184" s="102" t="s">
        <v>1992</v>
      </c>
      <c r="Y184" s="102" t="s">
        <v>1085</v>
      </c>
      <c r="Z184" s="102" t="s">
        <v>529</v>
      </c>
      <c r="AA184" s="102" t="s">
        <v>298</v>
      </c>
      <c r="AF184" s="230"/>
      <c r="AG184" s="230"/>
      <c r="AH184" s="230"/>
      <c r="AI184" s="230"/>
    </row>
    <row r="185">
      <c r="A185" s="102" t="s">
        <v>310</v>
      </c>
      <c r="B185" s="102" t="s">
        <v>2085</v>
      </c>
      <c r="C185" s="229" t="s">
        <v>2086</v>
      </c>
      <c r="D185" s="102" t="s">
        <v>2087</v>
      </c>
      <c r="E185" s="102" t="s">
        <v>513</v>
      </c>
      <c r="F185" s="102" t="s">
        <v>514</v>
      </c>
      <c r="G185" s="102" t="s">
        <v>282</v>
      </c>
      <c r="H185" s="102" t="s">
        <v>283</v>
      </c>
      <c r="I185" s="102" t="s">
        <v>284</v>
      </c>
      <c r="J185" s="102" t="s">
        <v>454</v>
      </c>
      <c r="L185" s="229" t="s">
        <v>2088</v>
      </c>
      <c r="M185" s="229" t="s">
        <v>3298</v>
      </c>
      <c r="O185" s="102">
        <v>1.0</v>
      </c>
      <c r="P185" s="102" t="s">
        <v>435</v>
      </c>
      <c r="S185" s="230"/>
      <c r="T185" s="230" t="str">
        <f>IF(ISNUMBER(MATCH(B185, 'Sprint 20'!B:B, 0)), "มาจาก Sprint 20", "")</f>
        <v>มาจาก Sprint 20</v>
      </c>
      <c r="U185" s="230" t="str">
        <f t="array" ref="U185">IF(ISNUMBER(MATCH(B185, 'Sprint 20'!B:B, 0)), INDEX('Sprint 20'!J:J, MATCH(B185, 'Sprint 20'!B:B, 0)), "")</f>
        <v>Ready To Test</v>
      </c>
      <c r="V185" s="230"/>
      <c r="W185" s="102" t="s">
        <v>1991</v>
      </c>
      <c r="X185" s="102" t="s">
        <v>1992</v>
      </c>
      <c r="Y185" s="102" t="s">
        <v>1085</v>
      </c>
      <c r="Z185" s="102" t="s">
        <v>529</v>
      </c>
      <c r="AA185" s="102" t="s">
        <v>298</v>
      </c>
      <c r="AF185" s="230"/>
      <c r="AG185" s="230"/>
      <c r="AH185" s="230"/>
      <c r="AI185" s="230"/>
    </row>
    <row r="186">
      <c r="A186" s="102" t="s">
        <v>310</v>
      </c>
      <c r="B186" s="102" t="s">
        <v>2090</v>
      </c>
      <c r="C186" s="229" t="s">
        <v>2091</v>
      </c>
      <c r="D186" s="102" t="s">
        <v>2092</v>
      </c>
      <c r="E186" s="102" t="s">
        <v>513</v>
      </c>
      <c r="F186" s="102" t="s">
        <v>514</v>
      </c>
      <c r="G186" s="102" t="s">
        <v>282</v>
      </c>
      <c r="H186" s="102" t="s">
        <v>283</v>
      </c>
      <c r="I186" s="102" t="s">
        <v>284</v>
      </c>
      <c r="J186" s="102" t="s">
        <v>454</v>
      </c>
      <c r="L186" s="229" t="s">
        <v>2088</v>
      </c>
      <c r="M186" s="229" t="s">
        <v>3298</v>
      </c>
      <c r="O186" s="102">
        <v>1.0</v>
      </c>
      <c r="P186" s="102" t="s">
        <v>435</v>
      </c>
      <c r="S186" s="102">
        <v>0.0</v>
      </c>
      <c r="T186" s="230" t="str">
        <f>IF(ISNUMBER(MATCH(B186, 'Sprint 20'!B:B, 0)), "มาจาก Sprint 20", "")</f>
        <v>มาจาก Sprint 20</v>
      </c>
      <c r="U186" s="230" t="str">
        <f t="array" ref="U186">IF(ISNUMBER(MATCH(B186, 'Sprint 20'!B:B, 0)), INDEX('Sprint 20'!J:J, MATCH(B186, 'Sprint 20'!B:B, 0)), "")</f>
        <v>Ready To Test</v>
      </c>
      <c r="V186" s="102">
        <v>7200.0</v>
      </c>
      <c r="W186" s="102" t="s">
        <v>1991</v>
      </c>
      <c r="X186" s="102" t="s">
        <v>1992</v>
      </c>
      <c r="Y186" s="102" t="s">
        <v>1085</v>
      </c>
      <c r="Z186" s="102" t="s">
        <v>529</v>
      </c>
      <c r="AA186" s="102" t="s">
        <v>298</v>
      </c>
      <c r="AF186" s="230"/>
      <c r="AG186" s="230"/>
      <c r="AH186" s="230"/>
      <c r="AI186" s="230"/>
    </row>
    <row r="187">
      <c r="A187" s="102" t="s">
        <v>310</v>
      </c>
      <c r="B187" s="102" t="s">
        <v>2093</v>
      </c>
      <c r="C187" s="229" t="s">
        <v>2094</v>
      </c>
      <c r="D187" s="102" t="s">
        <v>2095</v>
      </c>
      <c r="E187" s="102" t="s">
        <v>513</v>
      </c>
      <c r="F187" s="102" t="s">
        <v>514</v>
      </c>
      <c r="G187" s="102" t="s">
        <v>282</v>
      </c>
      <c r="H187" s="102" t="s">
        <v>283</v>
      </c>
      <c r="I187" s="102" t="s">
        <v>284</v>
      </c>
      <c r="J187" s="102" t="s">
        <v>454</v>
      </c>
      <c r="L187" s="229" t="s">
        <v>2088</v>
      </c>
      <c r="M187" s="229" t="s">
        <v>3298</v>
      </c>
      <c r="N187" s="229" t="s">
        <v>2096</v>
      </c>
      <c r="O187" s="102">
        <v>2.0</v>
      </c>
      <c r="P187" s="102" t="s">
        <v>435</v>
      </c>
      <c r="S187" s="102">
        <v>0.0</v>
      </c>
      <c r="T187" s="230" t="str">
        <f>IF(ISNUMBER(MATCH(B187, 'Sprint 20'!B:B, 0)), "มาจาก Sprint 20", "")</f>
        <v>มาจาก Sprint 20</v>
      </c>
      <c r="U187" s="230" t="str">
        <f t="array" ref="U187">IF(ISNUMBER(MATCH(B187, 'Sprint 20'!B:B, 0)), INDEX('Sprint 20'!J:J, MATCH(B187, 'Sprint 20'!B:B, 0)), "")</f>
        <v>Ready To Test</v>
      </c>
      <c r="V187" s="102">
        <v>14400.0</v>
      </c>
      <c r="W187" s="102" t="s">
        <v>1991</v>
      </c>
      <c r="X187" s="102" t="s">
        <v>1992</v>
      </c>
      <c r="Y187" s="102" t="s">
        <v>1085</v>
      </c>
      <c r="Z187" s="102" t="s">
        <v>529</v>
      </c>
      <c r="AA187" s="102" t="s">
        <v>298</v>
      </c>
      <c r="AF187" s="230"/>
      <c r="AG187" s="230"/>
      <c r="AH187" s="230"/>
      <c r="AI187" s="230"/>
    </row>
    <row r="188">
      <c r="A188" s="102" t="s">
        <v>310</v>
      </c>
      <c r="B188" s="102" t="s">
        <v>2113</v>
      </c>
      <c r="C188" s="229" t="s">
        <v>2114</v>
      </c>
      <c r="D188" s="102" t="s">
        <v>2115</v>
      </c>
      <c r="E188" s="102" t="s">
        <v>513</v>
      </c>
      <c r="F188" s="102" t="s">
        <v>514</v>
      </c>
      <c r="G188" s="102" t="s">
        <v>282</v>
      </c>
      <c r="H188" s="102" t="s">
        <v>283</v>
      </c>
      <c r="I188" s="102" t="s">
        <v>648</v>
      </c>
      <c r="J188" s="102" t="s">
        <v>454</v>
      </c>
      <c r="L188" s="229" t="s">
        <v>2116</v>
      </c>
      <c r="M188" s="229" t="s">
        <v>3298</v>
      </c>
      <c r="N188" s="229" t="s">
        <v>1237</v>
      </c>
      <c r="O188" s="102">
        <v>3.0</v>
      </c>
      <c r="S188" s="102">
        <v>28800.0</v>
      </c>
      <c r="T188" s="230" t="str">
        <f>IF(ISNUMBER(MATCH(B188, 'Sprint 20'!B:B, 0)), "มาจาก Sprint 20", "")</f>
        <v/>
      </c>
      <c r="U188" s="230" t="str">
        <f t="array" ref="U188">IF(ISNUMBER(MATCH(B188, 'Sprint 20'!B:B, 0)), INDEX('Sprint 20'!J:J, MATCH(B188, 'Sprint 20'!B:B, 0)), "")</f>
        <v/>
      </c>
      <c r="V188" s="102"/>
      <c r="W188" s="102" t="s">
        <v>529</v>
      </c>
      <c r="X188" s="102" t="s">
        <v>298</v>
      </c>
      <c r="AF188" s="230"/>
      <c r="AG188" s="230"/>
      <c r="AH188" s="230"/>
      <c r="AI188" s="230"/>
    </row>
    <row r="189">
      <c r="A189" s="102" t="s">
        <v>310</v>
      </c>
      <c r="B189" s="102" t="s">
        <v>2117</v>
      </c>
      <c r="C189" s="229" t="s">
        <v>2118</v>
      </c>
      <c r="D189" s="102" t="s">
        <v>2119</v>
      </c>
      <c r="E189" s="102" t="s">
        <v>513</v>
      </c>
      <c r="F189" s="102" t="s">
        <v>514</v>
      </c>
      <c r="G189" s="102" t="s">
        <v>282</v>
      </c>
      <c r="H189" s="102" t="s">
        <v>283</v>
      </c>
      <c r="I189" s="102" t="s">
        <v>648</v>
      </c>
      <c r="J189" s="102" t="s">
        <v>454</v>
      </c>
      <c r="L189" s="229" t="s">
        <v>2116</v>
      </c>
      <c r="M189" s="229" t="s">
        <v>3298</v>
      </c>
      <c r="N189" s="229" t="s">
        <v>1247</v>
      </c>
      <c r="O189" s="102">
        <v>3.0</v>
      </c>
      <c r="S189" s="102">
        <v>28800.0</v>
      </c>
      <c r="T189" s="230" t="str">
        <f>IF(ISNUMBER(MATCH(B189, 'Sprint 20'!B:B, 0)), "มาจาก Sprint 20", "")</f>
        <v/>
      </c>
      <c r="U189" s="230" t="str">
        <f t="array" ref="U189">IF(ISNUMBER(MATCH(B189, 'Sprint 20'!B:B, 0)), INDEX('Sprint 20'!J:J, MATCH(B189, 'Sprint 20'!B:B, 0)), "")</f>
        <v/>
      </c>
      <c r="V189" s="102"/>
      <c r="W189" s="102" t="s">
        <v>529</v>
      </c>
      <c r="X189" s="102" t="s">
        <v>298</v>
      </c>
      <c r="AF189" s="230"/>
      <c r="AG189" s="230"/>
      <c r="AH189" s="230"/>
      <c r="AI189" s="230"/>
    </row>
    <row r="190">
      <c r="A190" s="102" t="s">
        <v>310</v>
      </c>
      <c r="B190" s="102" t="s">
        <v>2120</v>
      </c>
      <c r="C190" s="229" t="s">
        <v>2121</v>
      </c>
      <c r="D190" s="102" t="s">
        <v>2122</v>
      </c>
      <c r="E190" s="102" t="s">
        <v>564</v>
      </c>
      <c r="F190" s="102" t="s">
        <v>565</v>
      </c>
      <c r="G190" s="102" t="s">
        <v>282</v>
      </c>
      <c r="H190" s="102" t="s">
        <v>283</v>
      </c>
      <c r="I190" s="102" t="s">
        <v>284</v>
      </c>
      <c r="J190" s="102" t="s">
        <v>454</v>
      </c>
      <c r="L190" s="229" t="s">
        <v>2123</v>
      </c>
      <c r="M190" s="229" t="s">
        <v>3298</v>
      </c>
      <c r="N190" s="229" t="s">
        <v>1352</v>
      </c>
      <c r="O190" s="102">
        <v>5.0</v>
      </c>
      <c r="S190" s="102">
        <v>0.0</v>
      </c>
      <c r="T190" s="230" t="str">
        <f>IF(ISNUMBER(MATCH(B190, 'Sprint 20'!B:B, 0)), "มาจาก Sprint 20", "")</f>
        <v>มาจาก Sprint 20</v>
      </c>
      <c r="U190" s="230" t="str">
        <f t="array" ref="U190">IF(ISNUMBER(MATCH(B190, 'Sprint 20'!B:B, 0)), INDEX('Sprint 20'!J:J, MATCH(B190, 'Sprint 20'!B:B, 0)), "")</f>
        <v>Ready To Test</v>
      </c>
      <c r="V190" s="102">
        <v>57600.0</v>
      </c>
      <c r="W190" s="102" t="s">
        <v>1085</v>
      </c>
      <c r="X190" s="102" t="s">
        <v>529</v>
      </c>
      <c r="Y190" s="102" t="s">
        <v>298</v>
      </c>
      <c r="AF190" s="230"/>
      <c r="AG190" s="230"/>
      <c r="AH190" s="230"/>
      <c r="AI190" s="230"/>
    </row>
    <row r="191">
      <c r="A191" s="102" t="s">
        <v>310</v>
      </c>
      <c r="B191" s="102" t="s">
        <v>2126</v>
      </c>
      <c r="C191" s="229" t="s">
        <v>2127</v>
      </c>
      <c r="D191" s="102" t="s">
        <v>2128</v>
      </c>
      <c r="E191" s="102" t="s">
        <v>556</v>
      </c>
      <c r="F191" s="102" t="s">
        <v>557</v>
      </c>
      <c r="G191" s="102" t="s">
        <v>282</v>
      </c>
      <c r="H191" s="102" t="s">
        <v>283</v>
      </c>
      <c r="I191" s="102" t="s">
        <v>648</v>
      </c>
      <c r="J191" s="102" t="s">
        <v>454</v>
      </c>
      <c r="L191" s="229" t="s">
        <v>1312</v>
      </c>
      <c r="M191" s="229" t="s">
        <v>3298</v>
      </c>
      <c r="N191" s="229" t="s">
        <v>1202</v>
      </c>
      <c r="O191" s="102">
        <v>5.0</v>
      </c>
      <c r="S191" s="102">
        <v>57600.0</v>
      </c>
      <c r="T191" s="230" t="str">
        <f>IF(ISNUMBER(MATCH(B191, 'Sprint 20'!B:B, 0)), "มาจาก Sprint 20", "")</f>
        <v/>
      </c>
      <c r="U191" s="230" t="str">
        <f t="array" ref="U191">IF(ISNUMBER(MATCH(B191, 'Sprint 20'!B:B, 0)), INDEX('Sprint 20'!J:J, MATCH(B191, 'Sprint 20'!B:B, 0)), "")</f>
        <v/>
      </c>
      <c r="V191" s="102"/>
      <c r="W191" s="102" t="s">
        <v>529</v>
      </c>
      <c r="X191" s="102" t="s">
        <v>298</v>
      </c>
      <c r="AF191" s="230"/>
      <c r="AG191" s="230"/>
      <c r="AH191" s="230"/>
      <c r="AI191" s="230"/>
    </row>
    <row r="192">
      <c r="A192" s="102" t="s">
        <v>310</v>
      </c>
      <c r="B192" s="102" t="s">
        <v>2133</v>
      </c>
      <c r="C192" s="229" t="s">
        <v>2134</v>
      </c>
      <c r="D192" s="102" t="s">
        <v>2135</v>
      </c>
      <c r="E192" s="102" t="s">
        <v>584</v>
      </c>
      <c r="F192" s="102" t="s">
        <v>585</v>
      </c>
      <c r="G192" s="102" t="s">
        <v>282</v>
      </c>
      <c r="H192" s="102" t="s">
        <v>283</v>
      </c>
      <c r="I192" s="102" t="s">
        <v>284</v>
      </c>
      <c r="J192" s="102" t="s">
        <v>678</v>
      </c>
      <c r="L192" s="229" t="s">
        <v>2136</v>
      </c>
      <c r="M192" s="229" t="s">
        <v>3298</v>
      </c>
      <c r="O192" s="102">
        <v>3.0</v>
      </c>
      <c r="P192" s="102" t="s">
        <v>593</v>
      </c>
      <c r="S192" s="102">
        <v>28800.0</v>
      </c>
      <c r="T192" s="230" t="str">
        <f>IF(ISNUMBER(MATCH(B192, 'Sprint 20'!B:B, 0)), "มาจาก Sprint 20", "")</f>
        <v/>
      </c>
      <c r="U192" s="230" t="str">
        <f t="array" ref="U192">IF(ISNUMBER(MATCH(B192, 'Sprint 20'!B:B, 0)), INDEX('Sprint 20'!J:J, MATCH(B192, 'Sprint 20'!B:B, 0)), "")</f>
        <v/>
      </c>
      <c r="V192" s="102"/>
      <c r="W192" s="102" t="s">
        <v>529</v>
      </c>
      <c r="X192" s="102" t="s">
        <v>298</v>
      </c>
      <c r="AF192" s="230"/>
      <c r="AG192" s="230"/>
      <c r="AH192" s="230"/>
      <c r="AI192" s="230"/>
    </row>
    <row r="193">
      <c r="A193" s="102" t="s">
        <v>310</v>
      </c>
      <c r="B193" s="102" t="s">
        <v>2545</v>
      </c>
      <c r="C193" s="229" t="s">
        <v>2546</v>
      </c>
      <c r="D193" s="102" t="s">
        <v>2547</v>
      </c>
      <c r="E193" s="102" t="s">
        <v>328</v>
      </c>
      <c r="F193" s="102" t="s">
        <v>329</v>
      </c>
      <c r="G193" s="102" t="s">
        <v>282</v>
      </c>
      <c r="H193" s="102" t="s">
        <v>283</v>
      </c>
      <c r="I193" s="102" t="s">
        <v>284</v>
      </c>
      <c r="J193" s="102" t="s">
        <v>454</v>
      </c>
      <c r="L193" s="229" t="s">
        <v>1327</v>
      </c>
      <c r="M193" s="229" t="s">
        <v>3298</v>
      </c>
      <c r="N193" s="229" t="s">
        <v>2042</v>
      </c>
      <c r="O193" s="102">
        <v>3.0</v>
      </c>
      <c r="S193" s="230"/>
      <c r="T193" s="230" t="str">
        <f>IF(ISNUMBER(MATCH(B193, 'Sprint 20'!B:B, 0)), "มาจาก Sprint 20", "")</f>
        <v>มาจาก Sprint 20</v>
      </c>
      <c r="U193" s="230" t="str">
        <f t="array" ref="U193">IF(ISNUMBER(MATCH(B193, 'Sprint 20'!B:B, 0)), INDEX('Sprint 20'!J:J, MATCH(B193, 'Sprint 20'!B:B, 0)), "")</f>
        <v>Ready to Staging</v>
      </c>
      <c r="V193" s="230"/>
      <c r="W193" s="102" t="s">
        <v>1085</v>
      </c>
      <c r="X193" s="102" t="s">
        <v>529</v>
      </c>
      <c r="Y193" s="102" t="s">
        <v>298</v>
      </c>
      <c r="AF193" s="230"/>
      <c r="AG193" s="230"/>
      <c r="AH193" s="230"/>
      <c r="AI193" s="230"/>
    </row>
    <row r="194">
      <c r="A194" s="102" t="s">
        <v>310</v>
      </c>
      <c r="B194" s="102" t="s">
        <v>2548</v>
      </c>
      <c r="C194" s="229" t="s">
        <v>2549</v>
      </c>
      <c r="D194" s="102" t="s">
        <v>2550</v>
      </c>
      <c r="E194" s="102" t="s">
        <v>328</v>
      </c>
      <c r="F194" s="102" t="s">
        <v>329</v>
      </c>
      <c r="G194" s="102" t="s">
        <v>282</v>
      </c>
      <c r="H194" s="102" t="s">
        <v>283</v>
      </c>
      <c r="I194" s="102" t="s">
        <v>284</v>
      </c>
      <c r="J194" s="102" t="s">
        <v>454</v>
      </c>
      <c r="L194" s="229" t="s">
        <v>1327</v>
      </c>
      <c r="M194" s="229" t="s">
        <v>3298</v>
      </c>
      <c r="N194" s="229" t="s">
        <v>2042</v>
      </c>
      <c r="O194" s="102">
        <v>3.0</v>
      </c>
      <c r="S194" s="230"/>
      <c r="T194" s="230" t="str">
        <f>IF(ISNUMBER(MATCH(B194, 'Sprint 20'!B:B, 0)), "มาจาก Sprint 20", "")</f>
        <v>มาจาก Sprint 20</v>
      </c>
      <c r="U194" s="230" t="str">
        <f t="array" ref="U194">IF(ISNUMBER(MATCH(B194, 'Sprint 20'!B:B, 0)), INDEX('Sprint 20'!J:J, MATCH(B194, 'Sprint 20'!B:B, 0)), "")</f>
        <v>Ready to Staging</v>
      </c>
      <c r="V194" s="230"/>
      <c r="W194" s="102" t="s">
        <v>1085</v>
      </c>
      <c r="X194" s="102" t="s">
        <v>529</v>
      </c>
      <c r="Y194" s="102" t="s">
        <v>298</v>
      </c>
      <c r="AF194" s="230"/>
      <c r="AG194" s="230"/>
      <c r="AH194" s="230"/>
      <c r="AI194" s="230"/>
    </row>
    <row r="195">
      <c r="A195" s="102" t="s">
        <v>310</v>
      </c>
      <c r="B195" s="102" t="s">
        <v>2551</v>
      </c>
      <c r="C195" s="229" t="s">
        <v>2552</v>
      </c>
      <c r="D195" s="102" t="s">
        <v>2553</v>
      </c>
      <c r="E195" s="102" t="s">
        <v>328</v>
      </c>
      <c r="F195" s="102" t="s">
        <v>329</v>
      </c>
      <c r="G195" s="102" t="s">
        <v>282</v>
      </c>
      <c r="H195" s="102" t="s">
        <v>283</v>
      </c>
      <c r="I195" s="102" t="s">
        <v>284</v>
      </c>
      <c r="J195" s="102" t="s">
        <v>454</v>
      </c>
      <c r="L195" s="229" t="s">
        <v>1327</v>
      </c>
      <c r="M195" s="229" t="s">
        <v>3298</v>
      </c>
      <c r="N195" s="229" t="s">
        <v>2042</v>
      </c>
      <c r="O195" s="102">
        <v>3.0</v>
      </c>
      <c r="S195" s="230"/>
      <c r="T195" s="230" t="str">
        <f>IF(ISNUMBER(MATCH(B195, 'Sprint 20'!B:B, 0)), "มาจาก Sprint 20", "")</f>
        <v>มาจาก Sprint 20</v>
      </c>
      <c r="U195" s="230" t="str">
        <f t="array" ref="U195">IF(ISNUMBER(MATCH(B195, 'Sprint 20'!B:B, 0)), INDEX('Sprint 20'!J:J, MATCH(B195, 'Sprint 20'!B:B, 0)), "")</f>
        <v>Ready to Staging</v>
      </c>
      <c r="V195" s="230"/>
      <c r="W195" s="102" t="s">
        <v>1085</v>
      </c>
      <c r="X195" s="102" t="s">
        <v>529</v>
      </c>
      <c r="Y195" s="102" t="s">
        <v>298</v>
      </c>
      <c r="AF195" s="230"/>
      <c r="AG195" s="230"/>
      <c r="AH195" s="230"/>
      <c r="AI195" s="230"/>
    </row>
    <row r="196">
      <c r="A196" s="102" t="s">
        <v>310</v>
      </c>
      <c r="B196" s="102" t="s">
        <v>1324</v>
      </c>
      <c r="C196" s="229" t="s">
        <v>1325</v>
      </c>
      <c r="D196" s="102" t="s">
        <v>1326</v>
      </c>
      <c r="E196" s="102" t="s">
        <v>584</v>
      </c>
      <c r="F196" s="102" t="s">
        <v>585</v>
      </c>
      <c r="G196" s="102" t="s">
        <v>282</v>
      </c>
      <c r="H196" s="102" t="s">
        <v>283</v>
      </c>
      <c r="I196" s="102" t="s">
        <v>284</v>
      </c>
      <c r="J196" s="102" t="s">
        <v>678</v>
      </c>
      <c r="L196" s="229" t="s">
        <v>1327</v>
      </c>
      <c r="M196" s="229" t="s">
        <v>3298</v>
      </c>
      <c r="O196" s="102">
        <v>3.0</v>
      </c>
      <c r="S196" s="102">
        <v>28800.0</v>
      </c>
      <c r="T196" s="230" t="str">
        <f>IF(ISNUMBER(MATCH(B196, 'Sprint 20'!B:B, 0)), "มาจาก Sprint 20", "")</f>
        <v/>
      </c>
      <c r="U196" s="230" t="str">
        <f t="array" ref="U196">IF(ISNUMBER(MATCH(B196, 'Sprint 20'!B:B, 0)), INDEX('Sprint 20'!J:J, MATCH(B196, 'Sprint 20'!B:B, 0)), "")</f>
        <v/>
      </c>
      <c r="V196" s="102"/>
      <c r="W196" s="102" t="s">
        <v>529</v>
      </c>
      <c r="X196" s="102" t="s">
        <v>298</v>
      </c>
      <c r="AF196" s="230"/>
      <c r="AG196" s="230"/>
      <c r="AH196" s="230"/>
      <c r="AI196" s="230"/>
    </row>
    <row r="197">
      <c r="A197" s="102" t="s">
        <v>310</v>
      </c>
      <c r="B197" s="102" t="s">
        <v>1336</v>
      </c>
      <c r="C197" s="229" t="s">
        <v>1337</v>
      </c>
      <c r="D197" s="102" t="s">
        <v>1338</v>
      </c>
      <c r="E197" s="102" t="s">
        <v>495</v>
      </c>
      <c r="F197" s="102" t="s">
        <v>496</v>
      </c>
      <c r="G197" s="102" t="s">
        <v>282</v>
      </c>
      <c r="H197" s="102" t="s">
        <v>283</v>
      </c>
      <c r="I197" s="102" t="s">
        <v>284</v>
      </c>
      <c r="J197" s="102" t="s">
        <v>678</v>
      </c>
      <c r="L197" s="229" t="s">
        <v>1331</v>
      </c>
      <c r="M197" s="229" t="s">
        <v>3298</v>
      </c>
      <c r="N197" s="229" t="s">
        <v>1252</v>
      </c>
      <c r="O197" s="102">
        <v>5.0</v>
      </c>
      <c r="S197" s="230"/>
      <c r="T197" s="230" t="str">
        <f>IF(ISNUMBER(MATCH(B197, 'Sprint 20'!B:B, 0)), "มาจาก Sprint 20", "")</f>
        <v/>
      </c>
      <c r="U197" s="230" t="str">
        <f t="array" ref="U197">IF(ISNUMBER(MATCH(B197, 'Sprint 20'!B:B, 0)), INDEX('Sprint 20'!J:J, MATCH(B197, 'Sprint 20'!B:B, 0)), "")</f>
        <v/>
      </c>
      <c r="V197" s="230"/>
      <c r="W197" s="102" t="s">
        <v>529</v>
      </c>
      <c r="X197" s="102" t="s">
        <v>298</v>
      </c>
      <c r="AF197" s="230"/>
      <c r="AG197" s="230"/>
      <c r="AH197" s="230"/>
      <c r="AI197" s="230"/>
    </row>
    <row r="198">
      <c r="A198" s="102" t="s">
        <v>310</v>
      </c>
      <c r="B198" s="102" t="s">
        <v>2141</v>
      </c>
      <c r="C198" s="229" t="s">
        <v>2142</v>
      </c>
      <c r="D198" s="102" t="s">
        <v>2143</v>
      </c>
      <c r="E198" s="102" t="s">
        <v>584</v>
      </c>
      <c r="F198" s="102" t="s">
        <v>585</v>
      </c>
      <c r="G198" s="102" t="s">
        <v>282</v>
      </c>
      <c r="H198" s="102" t="s">
        <v>283</v>
      </c>
      <c r="I198" s="102" t="s">
        <v>284</v>
      </c>
      <c r="J198" s="102" t="s">
        <v>678</v>
      </c>
      <c r="L198" s="229" t="s">
        <v>1331</v>
      </c>
      <c r="M198" s="229" t="s">
        <v>3298</v>
      </c>
      <c r="O198" s="102">
        <v>5.0</v>
      </c>
      <c r="S198" s="102">
        <v>57600.0</v>
      </c>
      <c r="T198" s="230" t="str">
        <f>IF(ISNUMBER(MATCH(B198, 'Sprint 20'!B:B, 0)), "มาจาก Sprint 20", "")</f>
        <v/>
      </c>
      <c r="U198" s="230" t="str">
        <f t="array" ref="U198">IF(ISNUMBER(MATCH(B198, 'Sprint 20'!B:B, 0)), INDEX('Sprint 20'!J:J, MATCH(B198, 'Sprint 20'!B:B, 0)), "")</f>
        <v/>
      </c>
      <c r="V198" s="102"/>
      <c r="W198" s="102" t="s">
        <v>529</v>
      </c>
      <c r="X198" s="102" t="s">
        <v>298</v>
      </c>
      <c r="AF198" s="230"/>
      <c r="AG198" s="230"/>
      <c r="AH198" s="230"/>
      <c r="AI198" s="230"/>
    </row>
    <row r="199">
      <c r="A199" s="102" t="s">
        <v>310</v>
      </c>
      <c r="B199" s="102" t="s">
        <v>1339</v>
      </c>
      <c r="C199" s="229" t="s">
        <v>1340</v>
      </c>
      <c r="D199" s="102" t="s">
        <v>1341</v>
      </c>
      <c r="E199" s="102" t="s">
        <v>513</v>
      </c>
      <c r="F199" s="102" t="s">
        <v>514</v>
      </c>
      <c r="G199" s="102" t="s">
        <v>282</v>
      </c>
      <c r="H199" s="102" t="s">
        <v>283</v>
      </c>
      <c r="I199" s="102" t="s">
        <v>284</v>
      </c>
      <c r="J199" s="102" t="s">
        <v>454</v>
      </c>
      <c r="L199" s="229" t="s">
        <v>1342</v>
      </c>
      <c r="M199" s="229" t="s">
        <v>3298</v>
      </c>
      <c r="N199" s="229" t="s">
        <v>1343</v>
      </c>
      <c r="O199" s="102">
        <v>5.0</v>
      </c>
      <c r="P199" s="102" t="s">
        <v>1344</v>
      </c>
      <c r="S199" s="102">
        <v>0.0</v>
      </c>
      <c r="T199" s="230" t="str">
        <f>IF(ISNUMBER(MATCH(B199, 'Sprint 20'!B:B, 0)), "มาจาก Sprint 20", "")</f>
        <v>มาจาก Sprint 20</v>
      </c>
      <c r="U199" s="230" t="str">
        <f t="array" ref="U199">IF(ISNUMBER(MATCH(B199, 'Sprint 20'!B:B, 0)), INDEX('Sprint 20'!J:J, MATCH(B199, 'Sprint 20'!B:B, 0)), "")</f>
        <v>Ready to Staging</v>
      </c>
      <c r="V199" s="102">
        <v>57600.0</v>
      </c>
      <c r="W199" s="102" t="s">
        <v>1085</v>
      </c>
      <c r="X199" s="102" t="s">
        <v>529</v>
      </c>
      <c r="Y199" s="102" t="s">
        <v>298</v>
      </c>
      <c r="AF199" s="230"/>
      <c r="AG199" s="230"/>
      <c r="AH199" s="230"/>
      <c r="AI199" s="230"/>
    </row>
    <row r="200">
      <c r="A200" s="102" t="s">
        <v>310</v>
      </c>
      <c r="B200" s="102" t="s">
        <v>1345</v>
      </c>
      <c r="C200" s="229" t="s">
        <v>1346</v>
      </c>
      <c r="D200" s="102" t="s">
        <v>1347</v>
      </c>
      <c r="E200" s="102" t="s">
        <v>513</v>
      </c>
      <c r="F200" s="102" t="s">
        <v>514</v>
      </c>
      <c r="G200" s="102" t="s">
        <v>282</v>
      </c>
      <c r="H200" s="102" t="s">
        <v>283</v>
      </c>
      <c r="I200" s="102" t="s">
        <v>284</v>
      </c>
      <c r="J200" s="102" t="s">
        <v>454</v>
      </c>
      <c r="L200" s="229" t="s">
        <v>1342</v>
      </c>
      <c r="M200" s="229" t="s">
        <v>3298</v>
      </c>
      <c r="N200" s="229" t="s">
        <v>1343</v>
      </c>
      <c r="O200" s="102">
        <v>3.0</v>
      </c>
      <c r="P200" s="102" t="s">
        <v>1348</v>
      </c>
      <c r="S200" s="102">
        <v>0.0</v>
      </c>
      <c r="T200" s="230" t="str">
        <f>IF(ISNUMBER(MATCH(B200, 'Sprint 20'!B:B, 0)), "มาจาก Sprint 20", "")</f>
        <v>มาจาก Sprint 20</v>
      </c>
      <c r="U200" s="230" t="str">
        <f t="array" ref="U200">IF(ISNUMBER(MATCH(B200, 'Sprint 20'!B:B, 0)), INDEX('Sprint 20'!J:J, MATCH(B200, 'Sprint 20'!B:B, 0)), "")</f>
        <v>Ready to Staging</v>
      </c>
      <c r="V200" s="102">
        <v>28800.0</v>
      </c>
      <c r="W200" s="102" t="s">
        <v>1085</v>
      </c>
      <c r="X200" s="102" t="s">
        <v>529</v>
      </c>
      <c r="Y200" s="102" t="s">
        <v>298</v>
      </c>
      <c r="AF200" s="230"/>
      <c r="AG200" s="230"/>
      <c r="AH200" s="230"/>
      <c r="AI200" s="230"/>
    </row>
    <row r="201">
      <c r="A201" s="102" t="s">
        <v>310</v>
      </c>
      <c r="B201" s="102" t="s">
        <v>1349</v>
      </c>
      <c r="C201" s="229" t="s">
        <v>1350</v>
      </c>
      <c r="D201" s="102" t="s">
        <v>1351</v>
      </c>
      <c r="E201" s="102" t="s">
        <v>556</v>
      </c>
      <c r="F201" s="102" t="s">
        <v>557</v>
      </c>
      <c r="G201" s="102" t="s">
        <v>282</v>
      </c>
      <c r="H201" s="102" t="s">
        <v>283</v>
      </c>
      <c r="I201" s="102" t="s">
        <v>284</v>
      </c>
      <c r="J201" s="102" t="s">
        <v>454</v>
      </c>
      <c r="L201" s="229" t="s">
        <v>1342</v>
      </c>
      <c r="M201" s="229" t="s">
        <v>3298</v>
      </c>
      <c r="N201" s="229" t="s">
        <v>1352</v>
      </c>
      <c r="O201" s="102">
        <v>2.0</v>
      </c>
      <c r="P201" s="102" t="s">
        <v>1348</v>
      </c>
      <c r="S201" s="230"/>
      <c r="T201" s="230" t="str">
        <f>IF(ISNUMBER(MATCH(B201, 'Sprint 20'!B:B, 0)), "มาจาก Sprint 20", "")</f>
        <v>มาจาก Sprint 20</v>
      </c>
      <c r="U201" s="230" t="str">
        <f t="array" ref="U201">IF(ISNUMBER(MATCH(B201, 'Sprint 20'!B:B, 0)), INDEX('Sprint 20'!J:J, MATCH(B201, 'Sprint 20'!B:B, 0)), "")</f>
        <v>Ready to Staging</v>
      </c>
      <c r="V201" s="230"/>
      <c r="W201" s="102" t="s">
        <v>1085</v>
      </c>
      <c r="X201" s="102" t="s">
        <v>529</v>
      </c>
      <c r="Y201" s="102" t="s">
        <v>298</v>
      </c>
      <c r="AF201" s="230"/>
      <c r="AG201" s="230"/>
      <c r="AH201" s="230"/>
      <c r="AI201" s="230"/>
    </row>
    <row r="202">
      <c r="A202" s="102" t="s">
        <v>310</v>
      </c>
      <c r="B202" s="102" t="s">
        <v>1353</v>
      </c>
      <c r="C202" s="229" t="s">
        <v>1354</v>
      </c>
      <c r="D202" s="102" t="s">
        <v>1355</v>
      </c>
      <c r="E202" s="102" t="s">
        <v>513</v>
      </c>
      <c r="F202" s="102" t="s">
        <v>514</v>
      </c>
      <c r="G202" s="102" t="s">
        <v>282</v>
      </c>
      <c r="H202" s="102" t="s">
        <v>283</v>
      </c>
      <c r="I202" s="102" t="s">
        <v>284</v>
      </c>
      <c r="J202" s="102" t="s">
        <v>454</v>
      </c>
      <c r="L202" s="229" t="s">
        <v>1342</v>
      </c>
      <c r="M202" s="229" t="s">
        <v>3298</v>
      </c>
      <c r="N202" s="229" t="s">
        <v>1356</v>
      </c>
      <c r="O202" s="102">
        <v>3.0</v>
      </c>
      <c r="P202" s="102" t="s">
        <v>1348</v>
      </c>
      <c r="S202" s="102">
        <v>0.0</v>
      </c>
      <c r="T202" s="230" t="str">
        <f>IF(ISNUMBER(MATCH(B202, 'Sprint 20'!B:B, 0)), "มาจาก Sprint 20", "")</f>
        <v>มาจาก Sprint 20</v>
      </c>
      <c r="U202" s="230" t="str">
        <f t="array" ref="U202">IF(ISNUMBER(MATCH(B202, 'Sprint 20'!B:B, 0)), INDEX('Sprint 20'!J:J, MATCH(B202, 'Sprint 20'!B:B, 0)), "")</f>
        <v>Ready to Staging</v>
      </c>
      <c r="V202" s="102">
        <v>28800.0</v>
      </c>
      <c r="W202" s="102" t="s">
        <v>1085</v>
      </c>
      <c r="X202" s="102" t="s">
        <v>529</v>
      </c>
      <c r="Y202" s="102" t="s">
        <v>298</v>
      </c>
      <c r="AF202" s="230"/>
      <c r="AG202" s="230"/>
      <c r="AH202" s="230"/>
      <c r="AI202" s="230"/>
    </row>
    <row r="203">
      <c r="A203" s="102" t="s">
        <v>310</v>
      </c>
      <c r="B203" s="102" t="s">
        <v>2556</v>
      </c>
      <c r="C203" s="229" t="s">
        <v>2557</v>
      </c>
      <c r="D203" s="102" t="s">
        <v>2558</v>
      </c>
      <c r="E203" s="102" t="s">
        <v>328</v>
      </c>
      <c r="F203" s="102" t="s">
        <v>329</v>
      </c>
      <c r="G203" s="102" t="s">
        <v>282</v>
      </c>
      <c r="H203" s="102" t="s">
        <v>283</v>
      </c>
      <c r="I203" s="102" t="s">
        <v>284</v>
      </c>
      <c r="J203" s="102" t="s">
        <v>454</v>
      </c>
      <c r="L203" s="229" t="s">
        <v>1342</v>
      </c>
      <c r="M203" s="229" t="s">
        <v>3298</v>
      </c>
      <c r="N203" s="229" t="s">
        <v>1202</v>
      </c>
      <c r="O203" s="102">
        <v>5.0</v>
      </c>
      <c r="S203" s="230"/>
      <c r="T203" s="230" t="str">
        <f>IF(ISNUMBER(MATCH(B203, 'Sprint 20'!B:B, 0)), "มาจาก Sprint 20", "")</f>
        <v/>
      </c>
      <c r="U203" s="230" t="str">
        <f t="array" ref="U203">IF(ISNUMBER(MATCH(B203, 'Sprint 20'!B:B, 0)), INDEX('Sprint 20'!J:J, MATCH(B203, 'Sprint 20'!B:B, 0)), "")</f>
        <v/>
      </c>
      <c r="V203" s="230"/>
      <c r="W203" s="102" t="s">
        <v>529</v>
      </c>
      <c r="X203" s="102" t="s">
        <v>298</v>
      </c>
      <c r="AF203" s="230"/>
      <c r="AG203" s="230"/>
      <c r="AH203" s="230"/>
      <c r="AI203" s="230"/>
    </row>
    <row r="204">
      <c r="A204" s="102" t="s">
        <v>310</v>
      </c>
      <c r="B204" s="102" t="s">
        <v>3216</v>
      </c>
      <c r="C204" s="229" t="s">
        <v>3217</v>
      </c>
      <c r="D204" s="102" t="s">
        <v>3218</v>
      </c>
      <c r="E204" s="102" t="s">
        <v>513</v>
      </c>
      <c r="F204" s="102" t="s">
        <v>514</v>
      </c>
      <c r="G204" s="102" t="s">
        <v>282</v>
      </c>
      <c r="H204" s="102" t="s">
        <v>283</v>
      </c>
      <c r="I204" s="102" t="s">
        <v>284</v>
      </c>
      <c r="J204" s="102" t="s">
        <v>26</v>
      </c>
      <c r="L204" s="229" t="s">
        <v>3219</v>
      </c>
      <c r="M204" s="229" t="s">
        <v>3150</v>
      </c>
      <c r="O204" s="102">
        <v>3.0</v>
      </c>
      <c r="S204" s="230"/>
      <c r="T204" s="230" t="str">
        <f>IF(ISNUMBER(MATCH(B204, 'Sprint 20'!B:B, 0)), "มาจาก Sprint 20", "")</f>
        <v>มาจาก Sprint 20</v>
      </c>
      <c r="U204" s="230" t="str">
        <f t="array" ref="U204">IF(ISNUMBER(MATCH(B204, 'Sprint 20'!B:B, 0)), INDEX('Sprint 20'!J:J, MATCH(B204, 'Sprint 20'!B:B, 0)), "")</f>
        <v>Ready to Staging</v>
      </c>
      <c r="V204" s="230"/>
      <c r="W204" s="102" t="s">
        <v>1085</v>
      </c>
      <c r="X204" s="102" t="s">
        <v>529</v>
      </c>
      <c r="Y204" s="102" t="s">
        <v>298</v>
      </c>
      <c r="AF204" s="230"/>
      <c r="AG204" s="230"/>
      <c r="AH204" s="230"/>
      <c r="AI204" s="230"/>
    </row>
    <row r="205">
      <c r="A205" s="102" t="s">
        <v>310</v>
      </c>
      <c r="B205" s="102" t="s">
        <v>3220</v>
      </c>
      <c r="C205" s="229" t="s">
        <v>3221</v>
      </c>
      <c r="D205" s="102" t="s">
        <v>3222</v>
      </c>
      <c r="E205" s="102" t="s">
        <v>513</v>
      </c>
      <c r="F205" s="102" t="s">
        <v>514</v>
      </c>
      <c r="G205" s="102" t="s">
        <v>282</v>
      </c>
      <c r="H205" s="102" t="s">
        <v>283</v>
      </c>
      <c r="I205" s="102" t="s">
        <v>284</v>
      </c>
      <c r="J205" s="102" t="s">
        <v>26</v>
      </c>
      <c r="L205" s="229" t="s">
        <v>3223</v>
      </c>
      <c r="M205" s="229" t="s">
        <v>3150</v>
      </c>
      <c r="N205" s="229" t="s">
        <v>2054</v>
      </c>
      <c r="O205" s="102">
        <v>3.0</v>
      </c>
      <c r="P205" s="102" t="s">
        <v>473</v>
      </c>
      <c r="S205" s="102">
        <v>0.0</v>
      </c>
      <c r="T205" s="230" t="str">
        <f>IF(ISNUMBER(MATCH(B205, 'Sprint 20'!B:B, 0)), "มาจาก Sprint 20", "")</f>
        <v>มาจาก Sprint 20</v>
      </c>
      <c r="U205" s="230" t="str">
        <f t="array" ref="U205">IF(ISNUMBER(MATCH(B205, 'Sprint 20'!B:B, 0)), INDEX('Sprint 20'!J:J, MATCH(B205, 'Sprint 20'!B:B, 0)), "")</f>
        <v>Ready to Staging</v>
      </c>
      <c r="V205" s="102">
        <v>28800.0</v>
      </c>
      <c r="W205" s="102" t="s">
        <v>1085</v>
      </c>
      <c r="X205" s="102" t="s">
        <v>529</v>
      </c>
      <c r="Y205" s="102" t="s">
        <v>298</v>
      </c>
      <c r="AF205" s="230"/>
      <c r="AG205" s="230"/>
      <c r="AH205" s="230"/>
      <c r="AI205" s="230"/>
    </row>
    <row r="206">
      <c r="A206" s="102" t="s">
        <v>310</v>
      </c>
      <c r="B206" s="102" t="s">
        <v>3224</v>
      </c>
      <c r="C206" s="229" t="s">
        <v>3225</v>
      </c>
      <c r="D206" s="102" t="s">
        <v>3226</v>
      </c>
      <c r="E206" s="102" t="s">
        <v>328</v>
      </c>
      <c r="F206" s="102" t="s">
        <v>329</v>
      </c>
      <c r="G206" s="102" t="s">
        <v>282</v>
      </c>
      <c r="H206" s="102" t="s">
        <v>283</v>
      </c>
      <c r="I206" s="102" t="s">
        <v>284</v>
      </c>
      <c r="J206" s="102" t="s">
        <v>26</v>
      </c>
      <c r="L206" s="229" t="s">
        <v>3223</v>
      </c>
      <c r="M206" s="229" t="s">
        <v>3227</v>
      </c>
      <c r="N206" s="229" t="s">
        <v>2042</v>
      </c>
      <c r="O206" s="102">
        <v>3.0</v>
      </c>
      <c r="S206" s="230"/>
      <c r="T206" s="230" t="str">
        <f>IF(ISNUMBER(MATCH(B206, 'Sprint 20'!B:B, 0)), "มาจาก Sprint 20", "")</f>
        <v>มาจาก Sprint 20</v>
      </c>
      <c r="U206" s="230" t="str">
        <f t="array" ref="U206">IF(ISNUMBER(MATCH(B206, 'Sprint 20'!B:B, 0)), INDEX('Sprint 20'!J:J, MATCH(B206, 'Sprint 20'!B:B, 0)), "")</f>
        <v>Ready to Staging</v>
      </c>
      <c r="V206" s="230"/>
      <c r="W206" s="102" t="s">
        <v>1085</v>
      </c>
      <c r="X206" s="102" t="s">
        <v>529</v>
      </c>
      <c r="Y206" s="102" t="s">
        <v>298</v>
      </c>
      <c r="AF206" s="230"/>
      <c r="AG206" s="230"/>
      <c r="AH206" s="230"/>
      <c r="AI206" s="230"/>
    </row>
    <row r="207">
      <c r="A207" s="102" t="s">
        <v>310</v>
      </c>
      <c r="B207" s="102" t="s">
        <v>3228</v>
      </c>
      <c r="C207" s="229" t="s">
        <v>3229</v>
      </c>
      <c r="D207" s="102" t="s">
        <v>3230</v>
      </c>
      <c r="E207" s="102" t="s">
        <v>513</v>
      </c>
      <c r="F207" s="102" t="s">
        <v>514</v>
      </c>
      <c r="G207" s="102" t="s">
        <v>282</v>
      </c>
      <c r="H207" s="102" t="s">
        <v>283</v>
      </c>
      <c r="I207" s="102" t="s">
        <v>284</v>
      </c>
      <c r="J207" s="102" t="s">
        <v>26</v>
      </c>
      <c r="L207" s="229" t="s">
        <v>3223</v>
      </c>
      <c r="M207" s="229" t="s">
        <v>3156</v>
      </c>
      <c r="N207" s="229" t="s">
        <v>1352</v>
      </c>
      <c r="O207" s="102">
        <v>3.0</v>
      </c>
      <c r="P207" s="102" t="s">
        <v>473</v>
      </c>
      <c r="S207" s="102">
        <v>0.0</v>
      </c>
      <c r="T207" s="230" t="str">
        <f>IF(ISNUMBER(MATCH(B207, 'Sprint 20'!B:B, 0)), "มาจาก Sprint 20", "")</f>
        <v>มาจาก Sprint 20</v>
      </c>
      <c r="U207" s="230" t="str">
        <f t="array" ref="U207">IF(ISNUMBER(MATCH(B207, 'Sprint 20'!B:B, 0)), INDEX('Sprint 20'!J:J, MATCH(B207, 'Sprint 20'!B:B, 0)), "")</f>
        <v>Ready to Staging</v>
      </c>
      <c r="V207" s="102">
        <v>28800.0</v>
      </c>
      <c r="W207" s="102" t="s">
        <v>1085</v>
      </c>
      <c r="X207" s="102" t="s">
        <v>529</v>
      </c>
      <c r="Y207" s="102" t="s">
        <v>298</v>
      </c>
      <c r="AF207" s="230"/>
      <c r="AG207" s="230"/>
      <c r="AH207" s="230"/>
      <c r="AI207" s="230"/>
    </row>
    <row r="208">
      <c r="A208" s="102" t="s">
        <v>310</v>
      </c>
      <c r="B208" s="102" t="s">
        <v>3019</v>
      </c>
      <c r="C208" s="229" t="s">
        <v>3020</v>
      </c>
      <c r="D208" s="102" t="s">
        <v>3021</v>
      </c>
      <c r="E208" s="102" t="s">
        <v>556</v>
      </c>
      <c r="F208" s="102" t="s">
        <v>557</v>
      </c>
      <c r="G208" s="102" t="s">
        <v>282</v>
      </c>
      <c r="H208" s="102" t="s">
        <v>283</v>
      </c>
      <c r="I208" s="102" t="s">
        <v>284</v>
      </c>
      <c r="J208" s="102" t="s">
        <v>454</v>
      </c>
      <c r="L208" s="229" t="s">
        <v>2155</v>
      </c>
      <c r="M208" s="229" t="s">
        <v>3298</v>
      </c>
      <c r="N208" s="229" t="s">
        <v>1202</v>
      </c>
      <c r="O208" s="102">
        <v>5.0</v>
      </c>
      <c r="S208" s="230"/>
      <c r="T208" s="230" t="str">
        <f>IF(ISNUMBER(MATCH(B208, 'Sprint 20'!B:B, 0)), "มาจาก Sprint 20", "")</f>
        <v/>
      </c>
      <c r="U208" s="230" t="str">
        <f t="array" ref="U208">IF(ISNUMBER(MATCH(B208, 'Sprint 20'!B:B, 0)), INDEX('Sprint 20'!J:J, MATCH(B208, 'Sprint 20'!B:B, 0)), "")</f>
        <v/>
      </c>
      <c r="V208" s="230"/>
      <c r="W208" s="102" t="s">
        <v>529</v>
      </c>
      <c r="X208" s="102" t="s">
        <v>298</v>
      </c>
      <c r="AF208" s="230"/>
      <c r="AG208" s="230"/>
      <c r="AH208" s="230"/>
      <c r="AI208" s="230"/>
    </row>
    <row r="209">
      <c r="A209" s="102" t="s">
        <v>310</v>
      </c>
      <c r="B209" s="102" t="s">
        <v>2559</v>
      </c>
      <c r="C209" s="229" t="s">
        <v>2560</v>
      </c>
      <c r="D209" s="102" t="s">
        <v>2561</v>
      </c>
      <c r="E209" s="102" t="s">
        <v>328</v>
      </c>
      <c r="F209" s="102" t="s">
        <v>329</v>
      </c>
      <c r="G209" s="102" t="s">
        <v>282</v>
      </c>
      <c r="H209" s="102" t="s">
        <v>283</v>
      </c>
      <c r="I209" s="102" t="s">
        <v>648</v>
      </c>
      <c r="J209" s="102" t="s">
        <v>454</v>
      </c>
      <c r="L209" s="229" t="s">
        <v>2562</v>
      </c>
      <c r="M209" s="229" t="s">
        <v>3298</v>
      </c>
      <c r="N209" s="229" t="s">
        <v>1202</v>
      </c>
      <c r="O209" s="102">
        <v>2.0</v>
      </c>
      <c r="P209" s="102" t="s">
        <v>473</v>
      </c>
      <c r="S209" s="230"/>
      <c r="T209" s="230" t="str">
        <f>IF(ISNUMBER(MATCH(B209, 'Sprint 20'!B:B, 0)), "มาจาก Sprint 20", "")</f>
        <v/>
      </c>
      <c r="U209" s="230" t="str">
        <f t="array" ref="U209">IF(ISNUMBER(MATCH(B209, 'Sprint 20'!B:B, 0)), INDEX('Sprint 20'!J:J, MATCH(B209, 'Sprint 20'!B:B, 0)), "")</f>
        <v/>
      </c>
      <c r="V209" s="230"/>
      <c r="W209" s="102" t="s">
        <v>529</v>
      </c>
      <c r="X209" s="102" t="s">
        <v>298</v>
      </c>
      <c r="AF209" s="230"/>
      <c r="AG209" s="230"/>
      <c r="AH209" s="230"/>
      <c r="AI209" s="230"/>
    </row>
    <row r="210">
      <c r="A210" s="102" t="s">
        <v>310</v>
      </c>
      <c r="B210" s="102" t="s">
        <v>2156</v>
      </c>
      <c r="C210" s="229" t="s">
        <v>2157</v>
      </c>
      <c r="D210" s="102" t="s">
        <v>2158</v>
      </c>
      <c r="E210" s="102" t="s">
        <v>556</v>
      </c>
      <c r="F210" s="102" t="s">
        <v>557</v>
      </c>
      <c r="G210" s="102" t="s">
        <v>282</v>
      </c>
      <c r="H210" s="102" t="s">
        <v>283</v>
      </c>
      <c r="I210" s="102" t="s">
        <v>648</v>
      </c>
      <c r="J210" s="102" t="s">
        <v>454</v>
      </c>
      <c r="L210" s="229" t="s">
        <v>2159</v>
      </c>
      <c r="M210" s="229" t="s">
        <v>3298</v>
      </c>
      <c r="O210" s="102">
        <v>5.0</v>
      </c>
      <c r="P210" s="102" t="s">
        <v>593</v>
      </c>
      <c r="Q210" s="102" t="s">
        <v>435</v>
      </c>
      <c r="S210" s="102">
        <v>0.0</v>
      </c>
      <c r="T210" s="230" t="str">
        <f>IF(ISNUMBER(MATCH(B210, 'Sprint 20'!B:B, 0)), "มาจาก Sprint 20", "")</f>
        <v>มาจาก Sprint 20</v>
      </c>
      <c r="U210" s="230" t="str">
        <f t="array" ref="U210">IF(ISNUMBER(MATCH(B210, 'Sprint 20'!B:B, 0)), INDEX('Sprint 20'!J:J, MATCH(B210, 'Sprint 20'!B:B, 0)), "")</f>
        <v>Ready To Test</v>
      </c>
      <c r="V210" s="102">
        <v>57600.0</v>
      </c>
      <c r="W210" s="102" t="s">
        <v>1991</v>
      </c>
      <c r="X210" s="102" t="s">
        <v>1992</v>
      </c>
      <c r="Y210" s="102" t="s">
        <v>1085</v>
      </c>
      <c r="Z210" s="102" t="s">
        <v>529</v>
      </c>
      <c r="AA210" s="102" t="s">
        <v>298</v>
      </c>
      <c r="AF210" s="230"/>
      <c r="AG210" s="230"/>
      <c r="AH210" s="230"/>
      <c r="AI210" s="230"/>
    </row>
    <row r="211">
      <c r="A211" s="102" t="s">
        <v>310</v>
      </c>
      <c r="B211" s="102" t="s">
        <v>2161</v>
      </c>
      <c r="C211" s="229" t="s">
        <v>2162</v>
      </c>
      <c r="D211" s="102" t="s">
        <v>2163</v>
      </c>
      <c r="E211" s="102" t="s">
        <v>556</v>
      </c>
      <c r="F211" s="102" t="s">
        <v>557</v>
      </c>
      <c r="G211" s="102" t="s">
        <v>282</v>
      </c>
      <c r="H211" s="102" t="s">
        <v>283</v>
      </c>
      <c r="I211" s="102" t="s">
        <v>284</v>
      </c>
      <c r="J211" s="102" t="s">
        <v>454</v>
      </c>
      <c r="L211" s="229" t="s">
        <v>2164</v>
      </c>
      <c r="M211" s="229" t="s">
        <v>3298</v>
      </c>
      <c r="N211" s="229" t="s">
        <v>2165</v>
      </c>
      <c r="O211" s="102">
        <v>1.0</v>
      </c>
      <c r="P211" s="102" t="s">
        <v>435</v>
      </c>
      <c r="S211" s="102">
        <v>0.0</v>
      </c>
      <c r="T211" s="230" t="str">
        <f>IF(ISNUMBER(MATCH(B211, 'Sprint 20'!B:B, 0)), "มาจาก Sprint 20", "")</f>
        <v>มาจาก Sprint 20</v>
      </c>
      <c r="U211" s="230" t="str">
        <f t="array" ref="U211">IF(ISNUMBER(MATCH(B211, 'Sprint 20'!B:B, 0)), INDEX('Sprint 20'!J:J, MATCH(B211, 'Sprint 20'!B:B, 0)), "")</f>
        <v>Ready To Test</v>
      </c>
      <c r="V211" s="102">
        <v>7200.0</v>
      </c>
      <c r="W211" s="102" t="s">
        <v>1991</v>
      </c>
      <c r="X211" s="102" t="s">
        <v>1992</v>
      </c>
      <c r="Y211" s="102" t="s">
        <v>1085</v>
      </c>
      <c r="Z211" s="102" t="s">
        <v>529</v>
      </c>
      <c r="AA211" s="102" t="s">
        <v>298</v>
      </c>
      <c r="AF211" s="230"/>
      <c r="AG211" s="230"/>
      <c r="AH211" s="230"/>
      <c r="AI211" s="230"/>
    </row>
    <row r="212">
      <c r="A212" s="102" t="s">
        <v>310</v>
      </c>
      <c r="B212" s="102" t="s">
        <v>3231</v>
      </c>
      <c r="C212" s="229" t="s">
        <v>3232</v>
      </c>
      <c r="D212" s="102" t="s">
        <v>3233</v>
      </c>
      <c r="E212" s="102" t="s">
        <v>495</v>
      </c>
      <c r="F212" s="102" t="s">
        <v>496</v>
      </c>
      <c r="G212" s="102" t="s">
        <v>282</v>
      </c>
      <c r="H212" s="102" t="s">
        <v>283</v>
      </c>
      <c r="I212" s="102" t="s">
        <v>284</v>
      </c>
      <c r="J212" s="102" t="s">
        <v>454</v>
      </c>
      <c r="L212" s="229" t="s">
        <v>3234</v>
      </c>
      <c r="M212" s="229" t="s">
        <v>3298</v>
      </c>
      <c r="N212" s="229" t="s">
        <v>1352</v>
      </c>
      <c r="O212" s="102">
        <v>3.0</v>
      </c>
      <c r="P212" s="102" t="s">
        <v>473</v>
      </c>
      <c r="S212" s="102">
        <v>0.0</v>
      </c>
      <c r="T212" s="230" t="str">
        <f>IF(ISNUMBER(MATCH(B212, 'Sprint 20'!B:B, 0)), "มาจาก Sprint 20", "")</f>
        <v>มาจาก Sprint 20</v>
      </c>
      <c r="U212" s="230" t="str">
        <f t="array" ref="U212">IF(ISNUMBER(MATCH(B212, 'Sprint 20'!B:B, 0)), INDEX('Sprint 20'!J:J, MATCH(B212, 'Sprint 20'!B:B, 0)), "")</f>
        <v>Ready to Staging</v>
      </c>
      <c r="V212" s="102">
        <v>28800.0</v>
      </c>
      <c r="W212" s="102" t="s">
        <v>1085</v>
      </c>
      <c r="X212" s="102" t="s">
        <v>529</v>
      </c>
      <c r="Y212" s="102" t="s">
        <v>298</v>
      </c>
      <c r="AF212" s="230"/>
      <c r="AG212" s="230"/>
      <c r="AH212" s="230"/>
      <c r="AI212" s="230"/>
    </row>
    <row r="213">
      <c r="A213" s="102" t="s">
        <v>310</v>
      </c>
      <c r="B213" s="102" t="s">
        <v>3236</v>
      </c>
      <c r="C213" s="229" t="s">
        <v>3237</v>
      </c>
      <c r="D213" s="102" t="s">
        <v>3238</v>
      </c>
      <c r="E213" s="102" t="s">
        <v>495</v>
      </c>
      <c r="F213" s="102" t="s">
        <v>496</v>
      </c>
      <c r="G213" s="102" t="s">
        <v>282</v>
      </c>
      <c r="H213" s="102" t="s">
        <v>283</v>
      </c>
      <c r="I213" s="102" t="s">
        <v>284</v>
      </c>
      <c r="J213" s="102" t="s">
        <v>454</v>
      </c>
      <c r="L213" s="229" t="s">
        <v>3234</v>
      </c>
      <c r="M213" s="229" t="s">
        <v>3298</v>
      </c>
      <c r="N213" s="229" t="s">
        <v>1352</v>
      </c>
      <c r="O213" s="102">
        <v>5.0</v>
      </c>
      <c r="P213" s="102" t="s">
        <v>473</v>
      </c>
      <c r="S213" s="102">
        <v>0.0</v>
      </c>
      <c r="T213" s="230" t="str">
        <f>IF(ISNUMBER(MATCH(B213, 'Sprint 20'!B:B, 0)), "มาจาก Sprint 20", "")</f>
        <v>มาจาก Sprint 20</v>
      </c>
      <c r="U213" s="230" t="str">
        <f t="array" ref="U213">IF(ISNUMBER(MATCH(B213, 'Sprint 20'!B:B, 0)), INDEX('Sprint 20'!J:J, MATCH(B213, 'Sprint 20'!B:B, 0)), "")</f>
        <v>Ready to Staging</v>
      </c>
      <c r="V213" s="102">
        <v>57600.0</v>
      </c>
      <c r="W213" s="102" t="s">
        <v>1085</v>
      </c>
      <c r="X213" s="102" t="s">
        <v>529</v>
      </c>
      <c r="Y213" s="102" t="s">
        <v>298</v>
      </c>
      <c r="AF213" s="230"/>
      <c r="AG213" s="230"/>
      <c r="AH213" s="230"/>
      <c r="AI213" s="230"/>
    </row>
    <row r="214">
      <c r="A214" s="102" t="s">
        <v>310</v>
      </c>
      <c r="B214" s="102" t="s">
        <v>3022</v>
      </c>
      <c r="C214" s="229" t="s">
        <v>3023</v>
      </c>
      <c r="D214" s="102" t="s">
        <v>3024</v>
      </c>
      <c r="E214" s="102" t="s">
        <v>495</v>
      </c>
      <c r="F214" s="102" t="s">
        <v>496</v>
      </c>
      <c r="G214" s="102" t="s">
        <v>282</v>
      </c>
      <c r="H214" s="102" t="s">
        <v>283</v>
      </c>
      <c r="I214" s="102" t="s">
        <v>284</v>
      </c>
      <c r="J214" s="102" t="s">
        <v>454</v>
      </c>
      <c r="L214" s="229" t="s">
        <v>3025</v>
      </c>
      <c r="M214" s="229" t="s">
        <v>3588</v>
      </c>
      <c r="N214" s="229" t="s">
        <v>3026</v>
      </c>
      <c r="O214" s="102">
        <v>3.0</v>
      </c>
      <c r="P214" s="102" t="s">
        <v>473</v>
      </c>
      <c r="S214" s="102">
        <v>0.0</v>
      </c>
      <c r="T214" s="230" t="str">
        <f>IF(ISNUMBER(MATCH(B214, 'Sprint 20'!B:B, 0)), "มาจาก Sprint 20", "")</f>
        <v>มาจาก Sprint 20</v>
      </c>
      <c r="U214" s="230" t="str">
        <f t="array" ref="U214">IF(ISNUMBER(MATCH(B214, 'Sprint 20'!B:B, 0)), INDEX('Sprint 20'!J:J, MATCH(B214, 'Sprint 20'!B:B, 0)), "")</f>
        <v>Ready To Test</v>
      </c>
      <c r="V214" s="102">
        <v>28800.0</v>
      </c>
      <c r="W214" s="102" t="s">
        <v>1085</v>
      </c>
      <c r="X214" s="102" t="s">
        <v>529</v>
      </c>
      <c r="Y214" s="102" t="s">
        <v>298</v>
      </c>
      <c r="AF214" s="230"/>
      <c r="AG214" s="230"/>
      <c r="AH214" s="230"/>
      <c r="AI214" s="230"/>
    </row>
    <row r="215">
      <c r="A215" s="102" t="s">
        <v>310</v>
      </c>
      <c r="B215" s="102" t="s">
        <v>3027</v>
      </c>
      <c r="C215" s="229" t="s">
        <v>3028</v>
      </c>
      <c r="D215" s="102" t="s">
        <v>3029</v>
      </c>
      <c r="E215" s="102" t="s">
        <v>328</v>
      </c>
      <c r="F215" s="102" t="s">
        <v>329</v>
      </c>
      <c r="G215" s="102" t="s">
        <v>282</v>
      </c>
      <c r="H215" s="102" t="s">
        <v>283</v>
      </c>
      <c r="I215" s="102" t="s">
        <v>284</v>
      </c>
      <c r="J215" s="102" t="s">
        <v>454</v>
      </c>
      <c r="L215" s="229" t="s">
        <v>3030</v>
      </c>
      <c r="M215" s="229" t="s">
        <v>2785</v>
      </c>
      <c r="N215" s="229" t="s">
        <v>1356</v>
      </c>
      <c r="O215" s="102">
        <v>5.0</v>
      </c>
      <c r="P215" s="102" t="s">
        <v>473</v>
      </c>
      <c r="S215" s="230"/>
      <c r="T215" s="230" t="str">
        <f>IF(ISNUMBER(MATCH(B215, 'Sprint 20'!B:B, 0)), "มาจาก Sprint 20", "")</f>
        <v>มาจาก Sprint 20</v>
      </c>
      <c r="U215" s="230" t="str">
        <f t="array" ref="U215">IF(ISNUMBER(MATCH(B215, 'Sprint 20'!B:B, 0)), INDEX('Sprint 20'!J:J, MATCH(B215, 'Sprint 20'!B:B, 0)), "")</f>
        <v>Ready to Staging</v>
      </c>
      <c r="V215" s="230"/>
      <c r="W215" s="102" t="s">
        <v>1085</v>
      </c>
      <c r="X215" s="102" t="s">
        <v>529</v>
      </c>
      <c r="Y215" s="102" t="s">
        <v>298</v>
      </c>
      <c r="AF215" s="230"/>
      <c r="AG215" s="230"/>
      <c r="AH215" s="230"/>
      <c r="AI215" s="230"/>
    </row>
    <row r="216">
      <c r="A216" s="102" t="s">
        <v>310</v>
      </c>
      <c r="B216" s="102" t="s">
        <v>3589</v>
      </c>
      <c r="C216" s="229" t="s">
        <v>3590</v>
      </c>
      <c r="D216" s="102" t="s">
        <v>3591</v>
      </c>
      <c r="E216" s="102" t="s">
        <v>495</v>
      </c>
      <c r="F216" s="102" t="s">
        <v>496</v>
      </c>
      <c r="G216" s="102" t="s">
        <v>282</v>
      </c>
      <c r="H216" s="102" t="s">
        <v>283</v>
      </c>
      <c r="I216" s="102" t="s">
        <v>515</v>
      </c>
      <c r="J216" s="102" t="s">
        <v>26</v>
      </c>
      <c r="L216" s="229" t="s">
        <v>2169</v>
      </c>
      <c r="M216" s="229" t="s">
        <v>3592</v>
      </c>
      <c r="O216" s="102">
        <v>2.0</v>
      </c>
      <c r="P216" s="102" t="s">
        <v>331</v>
      </c>
      <c r="S216" s="102">
        <v>0.0</v>
      </c>
      <c r="T216" s="230" t="str">
        <f>IF(ISNUMBER(MATCH(B216, 'Sprint 20'!B:B, 0)), "มาจาก Sprint 20", "")</f>
        <v>มาจาก Sprint 20</v>
      </c>
      <c r="U216" s="230" t="str">
        <f t="array" ref="U216">IF(ISNUMBER(MATCH(B216, 'Sprint 20'!B:B, 0)), INDEX('Sprint 20'!J:J, MATCH(B216, 'Sprint 20'!B:B, 0)), "")</f>
        <v>Ready To Test</v>
      </c>
      <c r="V216" s="102">
        <v>28800.0</v>
      </c>
      <c r="W216" s="102" t="s">
        <v>1992</v>
      </c>
      <c r="X216" s="102" t="s">
        <v>1085</v>
      </c>
      <c r="Y216" s="102" t="s">
        <v>529</v>
      </c>
      <c r="AF216" s="230"/>
      <c r="AG216" s="230"/>
      <c r="AH216" s="230"/>
      <c r="AI216" s="230"/>
    </row>
    <row r="217">
      <c r="A217" s="102" t="s">
        <v>310</v>
      </c>
      <c r="B217" s="102" t="s">
        <v>3593</v>
      </c>
      <c r="C217" s="229" t="s">
        <v>3594</v>
      </c>
      <c r="D217" s="102" t="s">
        <v>3595</v>
      </c>
      <c r="E217" s="102" t="s">
        <v>495</v>
      </c>
      <c r="F217" s="102" t="s">
        <v>496</v>
      </c>
      <c r="G217" s="102" t="s">
        <v>282</v>
      </c>
      <c r="H217" s="102" t="s">
        <v>283</v>
      </c>
      <c r="I217" s="102" t="s">
        <v>284</v>
      </c>
      <c r="J217" s="102" t="s">
        <v>26</v>
      </c>
      <c r="L217" s="229" t="s">
        <v>2169</v>
      </c>
      <c r="M217" s="229" t="s">
        <v>3513</v>
      </c>
      <c r="O217" s="102">
        <v>2.0</v>
      </c>
      <c r="P217" s="102" t="s">
        <v>435</v>
      </c>
      <c r="S217" s="102">
        <v>0.0</v>
      </c>
      <c r="T217" s="230" t="str">
        <f>IF(ISNUMBER(MATCH(B217, 'Sprint 20'!B:B, 0)), "มาจาก Sprint 20", "")</f>
        <v>มาจาก Sprint 20</v>
      </c>
      <c r="U217" s="230" t="str">
        <f t="array" ref="U217">IF(ISNUMBER(MATCH(B217, 'Sprint 20'!B:B, 0)), INDEX('Sprint 20'!J:J, MATCH(B217, 'Sprint 20'!B:B, 0)), "")</f>
        <v>Ready To Test</v>
      </c>
      <c r="V217" s="102">
        <v>7200.0</v>
      </c>
      <c r="W217" s="102" t="s">
        <v>1991</v>
      </c>
      <c r="X217" s="102" t="s">
        <v>1992</v>
      </c>
      <c r="Y217" s="102" t="s">
        <v>1085</v>
      </c>
      <c r="Z217" s="102" t="s">
        <v>529</v>
      </c>
      <c r="AF217" s="230"/>
      <c r="AG217" s="230"/>
      <c r="AH217" s="230"/>
      <c r="AI217" s="230"/>
    </row>
    <row r="218">
      <c r="A218" s="102" t="s">
        <v>310</v>
      </c>
      <c r="B218" s="102" t="s">
        <v>2166</v>
      </c>
      <c r="C218" s="229" t="s">
        <v>2167</v>
      </c>
      <c r="D218" s="102" t="s">
        <v>2168</v>
      </c>
      <c r="E218" s="102" t="s">
        <v>495</v>
      </c>
      <c r="F218" s="102" t="s">
        <v>496</v>
      </c>
      <c r="G218" s="102" t="s">
        <v>282</v>
      </c>
      <c r="H218" s="102" t="s">
        <v>283</v>
      </c>
      <c r="I218" s="102" t="s">
        <v>284</v>
      </c>
      <c r="J218" s="102" t="s">
        <v>454</v>
      </c>
      <c r="L218" s="229" t="s">
        <v>2169</v>
      </c>
      <c r="M218" s="229" t="s">
        <v>3298</v>
      </c>
      <c r="O218" s="102">
        <v>2.0</v>
      </c>
      <c r="P218" s="102" t="s">
        <v>435</v>
      </c>
      <c r="S218" s="102">
        <v>0.0</v>
      </c>
      <c r="T218" s="230" t="str">
        <f>IF(ISNUMBER(MATCH(B218, 'Sprint 20'!B:B, 0)), "มาจาก Sprint 20", "")</f>
        <v>มาจาก Sprint 20</v>
      </c>
      <c r="U218" s="230" t="str">
        <f t="array" ref="U218">IF(ISNUMBER(MATCH(B218, 'Sprint 20'!B:B, 0)), INDEX('Sprint 20'!J:J, MATCH(B218, 'Sprint 20'!B:B, 0)), "")</f>
        <v>Ready To Test</v>
      </c>
      <c r="V218" s="102">
        <v>7200.0</v>
      </c>
      <c r="W218" s="102" t="s">
        <v>1991</v>
      </c>
      <c r="X218" s="102" t="s">
        <v>1992</v>
      </c>
      <c r="Y218" s="102" t="s">
        <v>1085</v>
      </c>
      <c r="Z218" s="102" t="s">
        <v>529</v>
      </c>
      <c r="AA218" s="102" t="s">
        <v>298</v>
      </c>
      <c r="AF218" s="230"/>
      <c r="AG218" s="230"/>
      <c r="AH218" s="230"/>
      <c r="AI218" s="230"/>
    </row>
    <row r="219">
      <c r="A219" s="102" t="s">
        <v>310</v>
      </c>
      <c r="B219" s="102" t="s">
        <v>3596</v>
      </c>
      <c r="C219" s="229" t="s">
        <v>3597</v>
      </c>
      <c r="D219" s="102" t="s">
        <v>3598</v>
      </c>
      <c r="E219" s="102" t="s">
        <v>556</v>
      </c>
      <c r="F219" s="102" t="s">
        <v>557</v>
      </c>
      <c r="G219" s="102" t="s">
        <v>282</v>
      </c>
      <c r="H219" s="102" t="s">
        <v>283</v>
      </c>
      <c r="I219" s="102" t="s">
        <v>284</v>
      </c>
      <c r="J219" s="102" t="s">
        <v>26</v>
      </c>
      <c r="L219" s="229" t="s">
        <v>3599</v>
      </c>
      <c r="M219" s="229" t="s">
        <v>3513</v>
      </c>
      <c r="N219" s="229" t="s">
        <v>3600</v>
      </c>
      <c r="O219" s="102">
        <v>3.0</v>
      </c>
      <c r="P219" s="102" t="s">
        <v>435</v>
      </c>
      <c r="S219" s="102">
        <v>0.0</v>
      </c>
      <c r="T219" s="230" t="str">
        <f>IF(ISNUMBER(MATCH(B219, 'Sprint 20'!B:B, 0)), "มาจาก Sprint 20", "")</f>
        <v>มาจาก Sprint 20</v>
      </c>
      <c r="U219" s="230" t="str">
        <f t="array" ref="U219">IF(ISNUMBER(MATCH(B219, 'Sprint 20'!B:B, 0)), INDEX('Sprint 20'!J:J, MATCH(B219, 'Sprint 20'!B:B, 0)), "")</f>
        <v>Ready To Test</v>
      </c>
      <c r="V219" s="102">
        <v>28800.0</v>
      </c>
      <c r="W219" s="102" t="s">
        <v>3557</v>
      </c>
      <c r="X219" s="102" t="s">
        <v>1991</v>
      </c>
      <c r="Y219" s="102" t="s">
        <v>1992</v>
      </c>
      <c r="Z219" s="102" t="s">
        <v>1085</v>
      </c>
      <c r="AA219" s="102" t="s">
        <v>529</v>
      </c>
      <c r="AF219" s="230"/>
      <c r="AG219" s="230"/>
      <c r="AH219" s="230"/>
      <c r="AI219" s="230"/>
    </row>
    <row r="220">
      <c r="A220" s="102" t="s">
        <v>310</v>
      </c>
      <c r="B220" s="102" t="s">
        <v>3601</v>
      </c>
      <c r="C220" s="229" t="s">
        <v>3602</v>
      </c>
      <c r="D220" s="102" t="s">
        <v>3603</v>
      </c>
      <c r="E220" s="102" t="s">
        <v>513</v>
      </c>
      <c r="F220" s="102" t="s">
        <v>514</v>
      </c>
      <c r="G220" s="102" t="s">
        <v>282</v>
      </c>
      <c r="H220" s="102" t="s">
        <v>283</v>
      </c>
      <c r="I220" s="102" t="s">
        <v>284</v>
      </c>
      <c r="J220" s="102" t="s">
        <v>26</v>
      </c>
      <c r="L220" s="229" t="s">
        <v>3599</v>
      </c>
      <c r="M220" s="229" t="s">
        <v>3513</v>
      </c>
      <c r="N220" s="229" t="s">
        <v>2096</v>
      </c>
      <c r="O220" s="102">
        <v>3.0</v>
      </c>
      <c r="P220" s="102" t="s">
        <v>435</v>
      </c>
      <c r="S220" s="102">
        <v>0.0</v>
      </c>
      <c r="T220" s="230" t="str">
        <f>IF(ISNUMBER(MATCH(B220, 'Sprint 20'!B:B, 0)), "มาจาก Sprint 20", "")</f>
        <v>มาจาก Sprint 20</v>
      </c>
      <c r="U220" s="230" t="str">
        <f t="array" ref="U220">IF(ISNUMBER(MATCH(B220, 'Sprint 20'!B:B, 0)), INDEX('Sprint 20'!J:J, MATCH(B220, 'Sprint 20'!B:B, 0)), "")</f>
        <v>Ready To Test</v>
      </c>
      <c r="V220" s="102">
        <v>28800.0</v>
      </c>
      <c r="W220" s="102" t="s">
        <v>1991</v>
      </c>
      <c r="X220" s="102" t="s">
        <v>1992</v>
      </c>
      <c r="Y220" s="102" t="s">
        <v>1085</v>
      </c>
      <c r="Z220" s="102" t="s">
        <v>529</v>
      </c>
      <c r="AF220" s="230"/>
      <c r="AG220" s="230"/>
      <c r="AH220" s="230"/>
      <c r="AI220" s="230"/>
    </row>
    <row r="221">
      <c r="A221" s="102" t="s">
        <v>310</v>
      </c>
      <c r="B221" s="102" t="s">
        <v>3604</v>
      </c>
      <c r="C221" s="229" t="s">
        <v>3605</v>
      </c>
      <c r="D221" s="102" t="s">
        <v>3606</v>
      </c>
      <c r="E221" s="102" t="s">
        <v>513</v>
      </c>
      <c r="F221" s="102" t="s">
        <v>514</v>
      </c>
      <c r="G221" s="102" t="s">
        <v>282</v>
      </c>
      <c r="H221" s="102" t="s">
        <v>283</v>
      </c>
      <c r="I221" s="102" t="s">
        <v>284</v>
      </c>
      <c r="J221" s="102" t="s">
        <v>26</v>
      </c>
      <c r="L221" s="229" t="s">
        <v>3599</v>
      </c>
      <c r="M221" s="229" t="s">
        <v>3551</v>
      </c>
      <c r="N221" s="229" t="s">
        <v>2570</v>
      </c>
      <c r="O221" s="102">
        <v>3.0</v>
      </c>
      <c r="P221" s="102" t="s">
        <v>435</v>
      </c>
      <c r="S221" s="102">
        <v>0.0</v>
      </c>
      <c r="T221" s="230" t="str">
        <f>IF(ISNUMBER(MATCH(B221, 'Sprint 20'!B:B, 0)), "มาจาก Sprint 20", "")</f>
        <v>มาจาก Sprint 20</v>
      </c>
      <c r="U221" s="230" t="str">
        <f t="array" ref="U221">IF(ISNUMBER(MATCH(B221, 'Sprint 20'!B:B, 0)), INDEX('Sprint 20'!J:J, MATCH(B221, 'Sprint 20'!B:B, 0)), "")</f>
        <v>Ready To Test</v>
      </c>
      <c r="V221" s="102">
        <v>28800.0</v>
      </c>
      <c r="W221" s="102" t="s">
        <v>1991</v>
      </c>
      <c r="X221" s="102" t="s">
        <v>1992</v>
      </c>
      <c r="Y221" s="102" t="s">
        <v>1085</v>
      </c>
      <c r="Z221" s="102" t="s">
        <v>529</v>
      </c>
      <c r="AF221" s="230"/>
      <c r="AG221" s="230"/>
      <c r="AH221" s="230"/>
      <c r="AI221" s="230"/>
    </row>
    <row r="222">
      <c r="A222" s="102" t="s">
        <v>310</v>
      </c>
      <c r="B222" s="102" t="s">
        <v>3031</v>
      </c>
      <c r="C222" s="229" t="s">
        <v>3032</v>
      </c>
      <c r="D222" s="102" t="s">
        <v>3033</v>
      </c>
      <c r="E222" s="102" t="s">
        <v>495</v>
      </c>
      <c r="F222" s="102" t="s">
        <v>496</v>
      </c>
      <c r="G222" s="102" t="s">
        <v>353</v>
      </c>
      <c r="H222" s="102" t="s">
        <v>354</v>
      </c>
      <c r="I222" s="102" t="s">
        <v>284</v>
      </c>
      <c r="J222" s="102" t="s">
        <v>678</v>
      </c>
      <c r="L222" s="229" t="s">
        <v>3034</v>
      </c>
      <c r="M222" s="229" t="s">
        <v>3607</v>
      </c>
      <c r="O222" s="102">
        <v>3.0</v>
      </c>
      <c r="S222" s="102">
        <v>0.0</v>
      </c>
      <c r="T222" s="230" t="str">
        <f>IF(ISNUMBER(MATCH(B222, 'Sprint 20'!B:B, 0)), "มาจาก Sprint 20", "")</f>
        <v>มาจาก Sprint 20</v>
      </c>
      <c r="U222" s="230" t="str">
        <f t="array" ref="U222">IF(ISNUMBER(MATCH(B222, 'Sprint 20'!B:B, 0)), INDEX('Sprint 20'!J:J, MATCH(B222, 'Sprint 20'!B:B, 0)), "")</f>
        <v>Ready to Staging</v>
      </c>
      <c r="V222" s="102">
        <v>28800.0</v>
      </c>
      <c r="W222" s="102" t="s">
        <v>3035</v>
      </c>
      <c r="X222" s="102" t="s">
        <v>3036</v>
      </c>
      <c r="Y222" s="102" t="s">
        <v>3037</v>
      </c>
      <c r="Z222" s="102" t="s">
        <v>3038</v>
      </c>
      <c r="AA222" s="102" t="s">
        <v>2956</v>
      </c>
      <c r="AF222" s="230"/>
      <c r="AG222" s="230"/>
      <c r="AH222" s="230"/>
      <c r="AI222" s="230"/>
    </row>
    <row r="223">
      <c r="A223" s="102" t="s">
        <v>310</v>
      </c>
      <c r="B223" s="102" t="s">
        <v>3039</v>
      </c>
      <c r="C223" s="229" t="s">
        <v>3040</v>
      </c>
      <c r="D223" s="102" t="s">
        <v>3041</v>
      </c>
      <c r="E223" s="102" t="s">
        <v>584</v>
      </c>
      <c r="F223" s="102" t="s">
        <v>585</v>
      </c>
      <c r="G223" s="102" t="s">
        <v>353</v>
      </c>
      <c r="H223" s="102" t="s">
        <v>354</v>
      </c>
      <c r="I223" s="102" t="s">
        <v>284</v>
      </c>
      <c r="J223" s="102" t="s">
        <v>454</v>
      </c>
      <c r="L223" s="229" t="s">
        <v>3042</v>
      </c>
      <c r="M223" s="229" t="s">
        <v>3607</v>
      </c>
      <c r="O223" s="102">
        <v>5.0</v>
      </c>
      <c r="P223" s="102" t="s">
        <v>1855</v>
      </c>
      <c r="S223" s="102">
        <v>0.0</v>
      </c>
      <c r="T223" s="230" t="str">
        <f>IF(ISNUMBER(MATCH(B223, 'Sprint 20'!B:B, 0)), "มาจาก Sprint 20", "")</f>
        <v>มาจาก Sprint 20</v>
      </c>
      <c r="U223" s="230" t="str">
        <f t="array" ref="U223">IF(ISNUMBER(MATCH(B223, 'Sprint 20'!B:B, 0)), INDEX('Sprint 20'!J:J, MATCH(B223, 'Sprint 20'!B:B, 0)), "")</f>
        <v>Ready To Test</v>
      </c>
      <c r="V223" s="102">
        <v>86400.0</v>
      </c>
      <c r="W223" s="102" t="s">
        <v>3043</v>
      </c>
      <c r="X223" s="102" t="s">
        <v>3035</v>
      </c>
      <c r="Y223" s="102" t="s">
        <v>3036</v>
      </c>
      <c r="Z223" s="102" t="s">
        <v>3037</v>
      </c>
      <c r="AA223" s="102" t="s">
        <v>3038</v>
      </c>
      <c r="AB223" s="102" t="s">
        <v>2956</v>
      </c>
      <c r="AF223" s="230"/>
      <c r="AG223" s="230"/>
      <c r="AH223" s="230"/>
      <c r="AI223" s="230"/>
    </row>
    <row r="224">
      <c r="A224" s="102" t="s">
        <v>310</v>
      </c>
      <c r="B224" s="102" t="s">
        <v>2563</v>
      </c>
      <c r="C224" s="229" t="s">
        <v>2564</v>
      </c>
      <c r="D224" s="102" t="s">
        <v>2565</v>
      </c>
      <c r="E224" s="102" t="s">
        <v>564</v>
      </c>
      <c r="F224" s="102" t="s">
        <v>565</v>
      </c>
      <c r="G224" s="102" t="s">
        <v>282</v>
      </c>
      <c r="H224" s="102" t="s">
        <v>283</v>
      </c>
      <c r="I224" s="102" t="s">
        <v>515</v>
      </c>
      <c r="J224" s="102" t="s">
        <v>454</v>
      </c>
      <c r="L224" s="229" t="s">
        <v>2566</v>
      </c>
      <c r="M224" s="229" t="s">
        <v>3608</v>
      </c>
      <c r="N224" s="229" t="s">
        <v>2165</v>
      </c>
      <c r="O224" s="102">
        <v>3.0</v>
      </c>
      <c r="S224" s="102">
        <v>0.0</v>
      </c>
      <c r="T224" s="230" t="str">
        <f>IF(ISNUMBER(MATCH(B224, 'Sprint 20'!B:B, 0)), "มาจาก Sprint 20", "")</f>
        <v>มาจาก Sprint 20</v>
      </c>
      <c r="U224" s="230" t="str">
        <f t="array" ref="U224">IF(ISNUMBER(MATCH(B224, 'Sprint 20'!B:B, 0)), INDEX('Sprint 20'!J:J, MATCH(B224, 'Sprint 20'!B:B, 0)), "")</f>
        <v>Ready to Staging</v>
      </c>
      <c r="V224" s="102">
        <v>28800.0</v>
      </c>
      <c r="W224" s="102" t="s">
        <v>2269</v>
      </c>
      <c r="X224" s="102" t="s">
        <v>2270</v>
      </c>
      <c r="Y224" s="102" t="s">
        <v>2271</v>
      </c>
      <c r="Z224" s="102" t="s">
        <v>2272</v>
      </c>
      <c r="AA224" s="102" t="s">
        <v>2273</v>
      </c>
      <c r="AF224" s="230"/>
      <c r="AG224" s="230"/>
      <c r="AH224" s="230"/>
      <c r="AI224" s="230"/>
    </row>
    <row r="225">
      <c r="A225" s="102" t="s">
        <v>310</v>
      </c>
      <c r="B225" s="102" t="s">
        <v>2567</v>
      </c>
      <c r="C225" s="229" t="s">
        <v>2568</v>
      </c>
      <c r="D225" s="102" t="s">
        <v>2569</v>
      </c>
      <c r="E225" s="102" t="s">
        <v>564</v>
      </c>
      <c r="F225" s="102" t="s">
        <v>565</v>
      </c>
      <c r="G225" s="102" t="s">
        <v>282</v>
      </c>
      <c r="H225" s="102" t="s">
        <v>283</v>
      </c>
      <c r="I225" s="102" t="s">
        <v>515</v>
      </c>
      <c r="J225" s="102" t="s">
        <v>454</v>
      </c>
      <c r="L225" s="229" t="s">
        <v>2566</v>
      </c>
      <c r="M225" s="229" t="s">
        <v>3608</v>
      </c>
      <c r="N225" s="229" t="s">
        <v>2570</v>
      </c>
      <c r="O225" s="102">
        <v>3.0</v>
      </c>
      <c r="S225" s="102">
        <v>0.0</v>
      </c>
      <c r="T225" s="230" t="str">
        <f>IF(ISNUMBER(MATCH(B225, 'Sprint 20'!B:B, 0)), "มาจาก Sprint 20", "")</f>
        <v>มาจาก Sprint 20</v>
      </c>
      <c r="U225" s="230" t="str">
        <f t="array" ref="U225">IF(ISNUMBER(MATCH(B225, 'Sprint 20'!B:B, 0)), INDEX('Sprint 20'!J:J, MATCH(B225, 'Sprint 20'!B:B, 0)), "")</f>
        <v>Ready to Staging</v>
      </c>
      <c r="V225" s="102">
        <v>28800.0</v>
      </c>
      <c r="W225" s="102" t="s">
        <v>2269</v>
      </c>
      <c r="X225" s="102" t="s">
        <v>2270</v>
      </c>
      <c r="Y225" s="102" t="s">
        <v>2271</v>
      </c>
      <c r="Z225" s="102" t="s">
        <v>2272</v>
      </c>
      <c r="AA225" s="102" t="s">
        <v>2273</v>
      </c>
      <c r="AF225" s="230"/>
      <c r="AG225" s="230"/>
      <c r="AH225" s="230"/>
      <c r="AI225" s="230"/>
    </row>
    <row r="226">
      <c r="A226" s="102" t="s">
        <v>310</v>
      </c>
      <c r="B226" s="102" t="s">
        <v>2571</v>
      </c>
      <c r="C226" s="229" t="s">
        <v>2572</v>
      </c>
      <c r="D226" s="102" t="s">
        <v>2573</v>
      </c>
      <c r="E226" s="102" t="s">
        <v>564</v>
      </c>
      <c r="F226" s="102" t="s">
        <v>565</v>
      </c>
      <c r="G226" s="102" t="s">
        <v>282</v>
      </c>
      <c r="H226" s="102" t="s">
        <v>283</v>
      </c>
      <c r="I226" s="102" t="s">
        <v>515</v>
      </c>
      <c r="J226" s="102" t="s">
        <v>454</v>
      </c>
      <c r="L226" s="229" t="s">
        <v>2574</v>
      </c>
      <c r="M226" s="229" t="s">
        <v>3609</v>
      </c>
      <c r="N226" s="229" t="s">
        <v>2575</v>
      </c>
      <c r="O226" s="102">
        <v>3.0</v>
      </c>
      <c r="S226" s="102">
        <v>0.0</v>
      </c>
      <c r="T226" s="230" t="str">
        <f>IF(ISNUMBER(MATCH(B226, 'Sprint 20'!B:B, 0)), "มาจาก Sprint 20", "")</f>
        <v>มาจาก Sprint 20</v>
      </c>
      <c r="U226" s="230" t="str">
        <f t="array" ref="U226">IF(ISNUMBER(MATCH(B226, 'Sprint 20'!B:B, 0)), INDEX('Sprint 20'!J:J, MATCH(B226, 'Sprint 20'!B:B, 0)), "")</f>
        <v>Ready to Staging</v>
      </c>
      <c r="V226" s="102">
        <v>28800.0</v>
      </c>
      <c r="W226" s="102" t="s">
        <v>2266</v>
      </c>
      <c r="X226" s="102" t="s">
        <v>2267</v>
      </c>
      <c r="Y226" s="102" t="s">
        <v>2268</v>
      </c>
      <c r="Z226" s="102" t="s">
        <v>2269</v>
      </c>
      <c r="AA226" s="102" t="s">
        <v>2270</v>
      </c>
      <c r="AB226" s="102" t="s">
        <v>2271</v>
      </c>
      <c r="AC226" s="102" t="s">
        <v>2272</v>
      </c>
      <c r="AD226" s="102" t="s">
        <v>2273</v>
      </c>
      <c r="AF226" s="230"/>
      <c r="AG226" s="230"/>
      <c r="AH226" s="230"/>
      <c r="AI226" s="230"/>
    </row>
    <row r="227">
      <c r="O227" s="230"/>
      <c r="S227" s="230"/>
      <c r="T227" s="230"/>
      <c r="U227" s="230"/>
      <c r="V227" s="230"/>
      <c r="AF227" s="230"/>
      <c r="AG227" s="230"/>
      <c r="AH227" s="230"/>
      <c r="AI227" s="230"/>
    </row>
    <row r="228">
      <c r="O228" s="230"/>
      <c r="S228" s="230"/>
      <c r="T228" s="230"/>
      <c r="U228" s="230"/>
      <c r="V228" s="230"/>
      <c r="AF228" s="230"/>
      <c r="AG228" s="230"/>
      <c r="AH228" s="230"/>
      <c r="AI228" s="230"/>
    </row>
    <row r="229">
      <c r="O229" s="230"/>
      <c r="S229" s="230"/>
      <c r="T229" s="230"/>
      <c r="U229" s="230"/>
      <c r="V229" s="230"/>
      <c r="AF229" s="230"/>
      <c r="AG229" s="230"/>
      <c r="AH229" s="230"/>
      <c r="AI229" s="230"/>
    </row>
    <row r="230">
      <c r="O230" s="230"/>
      <c r="S230" s="230"/>
      <c r="T230" s="230"/>
      <c r="U230" s="230"/>
      <c r="V230" s="230"/>
      <c r="AF230" s="230"/>
      <c r="AG230" s="230"/>
      <c r="AH230" s="230"/>
      <c r="AI230" s="230"/>
    </row>
    <row r="231">
      <c r="O231" s="230"/>
      <c r="S231" s="230"/>
      <c r="T231" s="230"/>
      <c r="U231" s="230"/>
      <c r="V231" s="230"/>
      <c r="AF231" s="230"/>
      <c r="AG231" s="230"/>
      <c r="AH231" s="230"/>
      <c r="AI231" s="230"/>
    </row>
    <row r="232">
      <c r="O232" s="230"/>
      <c r="S232" s="230"/>
      <c r="T232" s="230"/>
      <c r="U232" s="230"/>
      <c r="V232" s="230"/>
      <c r="AF232" s="230"/>
      <c r="AG232" s="230"/>
      <c r="AH232" s="230"/>
      <c r="AI232" s="230"/>
    </row>
    <row r="233">
      <c r="O233" s="230"/>
      <c r="S233" s="230"/>
      <c r="T233" s="230"/>
      <c r="U233" s="230"/>
      <c r="V233" s="230"/>
      <c r="AF233" s="230"/>
      <c r="AG233" s="230"/>
      <c r="AH233" s="230"/>
      <c r="AI233" s="230"/>
    </row>
    <row r="234">
      <c r="O234" s="230"/>
      <c r="S234" s="230"/>
      <c r="T234" s="230"/>
      <c r="U234" s="230"/>
      <c r="V234" s="230"/>
      <c r="AF234" s="230"/>
      <c r="AG234" s="230"/>
      <c r="AH234" s="230"/>
      <c r="AI234" s="230"/>
    </row>
    <row r="235">
      <c r="O235" s="230"/>
      <c r="S235" s="230"/>
      <c r="T235" s="230"/>
      <c r="U235" s="230"/>
      <c r="V235" s="230"/>
      <c r="AF235" s="230"/>
      <c r="AG235" s="230"/>
      <c r="AH235" s="230"/>
      <c r="AI235" s="230"/>
    </row>
    <row r="236">
      <c r="O236" s="230"/>
      <c r="S236" s="230"/>
      <c r="T236" s="230"/>
      <c r="U236" s="230"/>
      <c r="V236" s="230"/>
      <c r="AF236" s="230"/>
      <c r="AG236" s="230"/>
      <c r="AH236" s="230"/>
      <c r="AI236" s="230"/>
    </row>
    <row r="237">
      <c r="O237" s="230"/>
      <c r="S237" s="230"/>
      <c r="T237" s="230"/>
      <c r="U237" s="230"/>
      <c r="V237" s="230"/>
      <c r="AF237" s="230"/>
      <c r="AG237" s="230"/>
      <c r="AH237" s="230"/>
      <c r="AI237" s="230"/>
    </row>
    <row r="238">
      <c r="O238" s="230"/>
      <c r="S238" s="230"/>
      <c r="T238" s="230"/>
      <c r="U238" s="230"/>
      <c r="V238" s="230"/>
      <c r="AF238" s="230"/>
      <c r="AG238" s="230"/>
      <c r="AH238" s="230"/>
      <c r="AI238" s="230"/>
    </row>
    <row r="239">
      <c r="O239" s="230"/>
      <c r="S239" s="230"/>
      <c r="T239" s="230"/>
      <c r="U239" s="230"/>
      <c r="V239" s="230"/>
      <c r="AF239" s="230"/>
      <c r="AG239" s="230"/>
      <c r="AH239" s="230"/>
      <c r="AI239" s="230"/>
    </row>
    <row r="240">
      <c r="O240" s="230"/>
      <c r="S240" s="230"/>
      <c r="T240" s="230"/>
      <c r="U240" s="230"/>
      <c r="V240" s="230"/>
      <c r="AF240" s="230"/>
      <c r="AG240" s="230"/>
      <c r="AH240" s="230"/>
      <c r="AI240" s="230"/>
    </row>
    <row r="241">
      <c r="O241" s="230"/>
      <c r="S241" s="230"/>
      <c r="T241" s="230"/>
      <c r="U241" s="230"/>
      <c r="V241" s="230"/>
      <c r="AF241" s="230"/>
      <c r="AG241" s="230"/>
      <c r="AH241" s="230"/>
      <c r="AI241" s="230"/>
    </row>
    <row r="242">
      <c r="O242" s="230"/>
      <c r="S242" s="230"/>
      <c r="T242" s="230"/>
      <c r="U242" s="230"/>
      <c r="V242" s="230"/>
      <c r="AF242" s="230"/>
      <c r="AG242" s="230"/>
      <c r="AH242" s="230"/>
      <c r="AI242" s="230"/>
    </row>
    <row r="243">
      <c r="O243" s="230"/>
      <c r="S243" s="230"/>
      <c r="T243" s="230"/>
      <c r="U243" s="230"/>
      <c r="V243" s="230"/>
      <c r="AF243" s="230"/>
      <c r="AG243" s="230"/>
      <c r="AH243" s="230"/>
      <c r="AI243" s="230"/>
    </row>
    <row r="244">
      <c r="O244" s="230"/>
      <c r="S244" s="230"/>
      <c r="T244" s="230"/>
      <c r="U244" s="230"/>
      <c r="V244" s="230"/>
      <c r="AF244" s="230"/>
      <c r="AG244" s="230"/>
      <c r="AH244" s="230"/>
      <c r="AI244" s="230"/>
    </row>
    <row r="245">
      <c r="O245" s="230"/>
      <c r="S245" s="230"/>
      <c r="T245" s="230"/>
      <c r="U245" s="230"/>
      <c r="V245" s="230"/>
      <c r="AF245" s="230"/>
      <c r="AG245" s="230"/>
      <c r="AH245" s="230"/>
      <c r="AI245" s="230"/>
    </row>
    <row r="246">
      <c r="O246" s="230"/>
      <c r="S246" s="230"/>
      <c r="T246" s="230"/>
      <c r="U246" s="230"/>
      <c r="V246" s="230"/>
      <c r="AF246" s="230"/>
      <c r="AG246" s="230"/>
      <c r="AH246" s="230"/>
      <c r="AI246" s="230"/>
    </row>
    <row r="247">
      <c r="O247" s="230"/>
      <c r="S247" s="230"/>
      <c r="T247" s="230"/>
      <c r="U247" s="230"/>
      <c r="V247" s="230"/>
      <c r="AF247" s="230"/>
      <c r="AG247" s="230"/>
      <c r="AH247" s="230"/>
      <c r="AI247" s="230"/>
    </row>
    <row r="248">
      <c r="O248" s="230"/>
      <c r="S248" s="230"/>
      <c r="T248" s="230"/>
      <c r="U248" s="230"/>
      <c r="V248" s="230"/>
      <c r="AF248" s="230"/>
      <c r="AG248" s="230"/>
      <c r="AH248" s="230"/>
      <c r="AI248" s="230"/>
    </row>
    <row r="249">
      <c r="O249" s="230"/>
      <c r="S249" s="230"/>
      <c r="T249" s="230"/>
      <c r="U249" s="230"/>
      <c r="V249" s="230"/>
      <c r="AF249" s="230"/>
      <c r="AG249" s="230"/>
      <c r="AH249" s="230"/>
      <c r="AI249" s="230"/>
    </row>
    <row r="250">
      <c r="O250" s="230"/>
      <c r="S250" s="230"/>
      <c r="T250" s="230"/>
      <c r="U250" s="230"/>
      <c r="V250" s="230"/>
      <c r="AF250" s="230"/>
      <c r="AG250" s="230"/>
      <c r="AH250" s="230"/>
      <c r="AI250" s="230"/>
    </row>
    <row r="251">
      <c r="O251" s="230"/>
      <c r="S251" s="230"/>
      <c r="T251" s="230"/>
      <c r="U251" s="230"/>
      <c r="V251" s="230"/>
      <c r="AF251" s="230"/>
      <c r="AG251" s="230"/>
      <c r="AH251" s="230"/>
      <c r="AI251" s="230"/>
    </row>
    <row r="252">
      <c r="O252" s="230"/>
      <c r="S252" s="230"/>
      <c r="T252" s="230"/>
      <c r="U252" s="230"/>
      <c r="V252" s="230"/>
      <c r="AF252" s="230"/>
      <c r="AG252" s="230"/>
      <c r="AH252" s="230"/>
      <c r="AI252" s="230"/>
    </row>
    <row r="253">
      <c r="O253" s="230"/>
      <c r="S253" s="230"/>
      <c r="T253" s="230"/>
      <c r="U253" s="230"/>
      <c r="V253" s="230"/>
      <c r="AF253" s="230"/>
      <c r="AG253" s="230"/>
      <c r="AH253" s="230"/>
      <c r="AI253" s="230"/>
    </row>
    <row r="254">
      <c r="O254" s="230"/>
      <c r="S254" s="230"/>
      <c r="T254" s="230"/>
      <c r="U254" s="230"/>
      <c r="V254" s="230"/>
      <c r="AF254" s="230"/>
      <c r="AG254" s="230"/>
      <c r="AH254" s="230"/>
      <c r="AI254" s="230"/>
    </row>
    <row r="255">
      <c r="O255" s="230"/>
      <c r="S255" s="230"/>
      <c r="T255" s="230"/>
      <c r="U255" s="230"/>
      <c r="V255" s="230"/>
      <c r="AF255" s="230"/>
      <c r="AG255" s="230"/>
      <c r="AH255" s="230"/>
      <c r="AI255" s="230"/>
    </row>
    <row r="256">
      <c r="O256" s="230"/>
      <c r="S256" s="230"/>
      <c r="T256" s="230"/>
      <c r="U256" s="230"/>
      <c r="V256" s="230"/>
      <c r="AF256" s="230"/>
      <c r="AG256" s="230"/>
      <c r="AH256" s="230"/>
      <c r="AI256" s="230"/>
    </row>
    <row r="257">
      <c r="O257" s="230"/>
      <c r="S257" s="230"/>
      <c r="T257" s="230"/>
      <c r="U257" s="230"/>
      <c r="V257" s="230"/>
      <c r="AF257" s="230"/>
      <c r="AG257" s="230"/>
      <c r="AH257" s="230"/>
      <c r="AI257" s="230"/>
    </row>
    <row r="258">
      <c r="O258" s="230"/>
      <c r="S258" s="230"/>
      <c r="T258" s="230"/>
      <c r="U258" s="230"/>
      <c r="V258" s="230"/>
      <c r="AF258" s="230"/>
      <c r="AG258" s="230"/>
      <c r="AH258" s="230"/>
      <c r="AI258" s="230"/>
    </row>
    <row r="259">
      <c r="O259" s="230"/>
      <c r="S259" s="230"/>
      <c r="T259" s="230"/>
      <c r="U259" s="230"/>
      <c r="V259" s="230"/>
      <c r="AF259" s="230"/>
      <c r="AG259" s="230"/>
      <c r="AH259" s="230"/>
      <c r="AI259" s="230"/>
    </row>
    <row r="260">
      <c r="O260" s="230"/>
      <c r="S260" s="230"/>
      <c r="T260" s="230"/>
      <c r="U260" s="230"/>
      <c r="V260" s="230"/>
      <c r="AF260" s="230"/>
      <c r="AG260" s="230"/>
      <c r="AH260" s="230"/>
      <c r="AI260" s="230"/>
    </row>
    <row r="261">
      <c r="O261" s="230"/>
      <c r="S261" s="230"/>
      <c r="T261" s="230"/>
      <c r="U261" s="230"/>
      <c r="V261" s="230"/>
      <c r="AF261" s="230"/>
      <c r="AG261" s="230"/>
      <c r="AH261" s="230"/>
      <c r="AI261" s="230"/>
    </row>
    <row r="262">
      <c r="O262" s="230"/>
      <c r="S262" s="230"/>
      <c r="T262" s="230"/>
      <c r="U262" s="230"/>
      <c r="V262" s="230"/>
      <c r="AF262" s="230"/>
      <c r="AG262" s="230"/>
      <c r="AH262" s="230"/>
      <c r="AI262" s="230"/>
    </row>
    <row r="263">
      <c r="O263" s="230"/>
      <c r="S263" s="230"/>
      <c r="T263" s="230"/>
      <c r="U263" s="230"/>
      <c r="V263" s="230"/>
      <c r="AF263" s="230"/>
      <c r="AG263" s="230"/>
      <c r="AH263" s="230"/>
      <c r="AI263" s="230"/>
    </row>
    <row r="264">
      <c r="O264" s="230"/>
      <c r="S264" s="230"/>
      <c r="T264" s="230"/>
      <c r="U264" s="230"/>
      <c r="V264" s="230"/>
      <c r="AF264" s="230"/>
      <c r="AG264" s="230"/>
      <c r="AH264" s="230"/>
      <c r="AI264" s="230"/>
    </row>
    <row r="265">
      <c r="O265" s="230"/>
      <c r="S265" s="230"/>
      <c r="T265" s="230"/>
      <c r="U265" s="230"/>
      <c r="V265" s="230"/>
      <c r="AF265" s="230"/>
      <c r="AG265" s="230"/>
      <c r="AH265" s="230"/>
      <c r="AI265" s="230"/>
    </row>
    <row r="266">
      <c r="O266" s="230"/>
      <c r="S266" s="230"/>
      <c r="T266" s="230"/>
      <c r="U266" s="230"/>
      <c r="V266" s="230"/>
      <c r="AF266" s="230"/>
      <c r="AG266" s="230"/>
      <c r="AH266" s="230"/>
      <c r="AI266" s="230"/>
    </row>
    <row r="267">
      <c r="O267" s="230"/>
      <c r="S267" s="230"/>
      <c r="T267" s="230"/>
      <c r="U267" s="230"/>
      <c r="V267" s="230"/>
      <c r="AC267" s="230"/>
      <c r="AD267" s="230"/>
      <c r="AE267" s="230"/>
      <c r="AF267" s="230"/>
      <c r="AG267" s="230"/>
      <c r="AH267" s="230"/>
      <c r="AI267" s="230"/>
    </row>
    <row r="268">
      <c r="O268" s="230"/>
      <c r="S268" s="230"/>
      <c r="T268" s="230"/>
      <c r="U268" s="230"/>
      <c r="V268" s="230"/>
      <c r="AC268" s="230"/>
      <c r="AD268" s="230"/>
      <c r="AE268" s="230"/>
      <c r="AF268" s="230"/>
      <c r="AG268" s="230"/>
      <c r="AH268" s="230"/>
      <c r="AI268" s="230"/>
    </row>
    <row r="269">
      <c r="O269" s="230"/>
      <c r="S269" s="230"/>
      <c r="T269" s="230"/>
      <c r="U269" s="230"/>
      <c r="V269" s="230"/>
      <c r="AC269" s="230"/>
      <c r="AD269" s="230"/>
      <c r="AE269" s="230"/>
      <c r="AF269" s="230"/>
      <c r="AG269" s="230"/>
      <c r="AH269" s="230"/>
      <c r="AI269" s="230"/>
    </row>
    <row r="270">
      <c r="O270" s="230"/>
      <c r="S270" s="230"/>
      <c r="T270" s="230"/>
      <c r="U270" s="230"/>
      <c r="V270" s="230"/>
      <c r="AC270" s="230"/>
      <c r="AD270" s="230"/>
      <c r="AE270" s="230"/>
      <c r="AF270" s="230"/>
      <c r="AG270" s="230"/>
      <c r="AH270" s="230"/>
      <c r="AI270" s="230"/>
    </row>
    <row r="271">
      <c r="O271" s="230"/>
      <c r="S271" s="230"/>
      <c r="T271" s="230"/>
      <c r="U271" s="230"/>
      <c r="V271" s="230"/>
      <c r="AC271" s="230"/>
      <c r="AD271" s="230"/>
      <c r="AE271" s="230"/>
      <c r="AF271" s="230"/>
      <c r="AG271" s="230"/>
      <c r="AH271" s="230"/>
      <c r="AI271" s="230"/>
    </row>
    <row r="272">
      <c r="O272" s="230"/>
      <c r="S272" s="230"/>
      <c r="T272" s="230"/>
      <c r="U272" s="230"/>
      <c r="V272" s="230"/>
      <c r="AC272" s="230"/>
      <c r="AD272" s="230"/>
      <c r="AE272" s="230"/>
      <c r="AF272" s="230"/>
      <c r="AG272" s="230"/>
      <c r="AH272" s="230"/>
      <c r="AI272" s="230"/>
    </row>
    <row r="273">
      <c r="O273" s="230"/>
      <c r="S273" s="230"/>
      <c r="T273" s="230"/>
      <c r="U273" s="230"/>
      <c r="V273" s="230"/>
      <c r="AC273" s="230"/>
      <c r="AD273" s="230"/>
      <c r="AE273" s="230"/>
      <c r="AF273" s="230"/>
      <c r="AG273" s="230"/>
      <c r="AH273" s="230"/>
      <c r="AI273" s="230"/>
    </row>
    <row r="274">
      <c r="O274" s="230"/>
      <c r="S274" s="230"/>
      <c r="T274" s="230"/>
      <c r="U274" s="230"/>
      <c r="V274" s="230"/>
      <c r="AC274" s="230"/>
      <c r="AD274" s="230"/>
      <c r="AE274" s="230"/>
      <c r="AF274" s="230"/>
      <c r="AG274" s="230"/>
      <c r="AH274" s="230"/>
      <c r="AI274" s="230"/>
    </row>
    <row r="275">
      <c r="O275" s="230"/>
      <c r="S275" s="230"/>
      <c r="T275" s="230"/>
      <c r="U275" s="230"/>
      <c r="V275" s="230"/>
      <c r="AC275" s="230"/>
      <c r="AD275" s="230"/>
      <c r="AE275" s="230"/>
      <c r="AF275" s="230"/>
      <c r="AG275" s="230"/>
      <c r="AH275" s="230"/>
      <c r="AI275" s="230"/>
    </row>
    <row r="276">
      <c r="O276" s="230"/>
      <c r="S276" s="230"/>
      <c r="T276" s="230"/>
      <c r="U276" s="230"/>
      <c r="V276" s="230"/>
      <c r="AC276" s="230"/>
      <c r="AD276" s="230"/>
      <c r="AE276" s="230"/>
      <c r="AF276" s="230"/>
      <c r="AG276" s="230"/>
      <c r="AH276" s="230"/>
      <c r="AI276" s="230"/>
    </row>
    <row r="277">
      <c r="O277" s="230"/>
      <c r="S277" s="230"/>
      <c r="T277" s="230"/>
      <c r="U277" s="230"/>
      <c r="V277" s="230"/>
      <c r="AC277" s="230"/>
      <c r="AD277" s="230"/>
      <c r="AE277" s="230"/>
      <c r="AF277" s="230"/>
      <c r="AG277" s="230"/>
      <c r="AH277" s="230"/>
      <c r="AI277" s="230"/>
    </row>
    <row r="278">
      <c r="O278" s="230"/>
      <c r="S278" s="230"/>
      <c r="T278" s="230"/>
      <c r="U278" s="230"/>
      <c r="V278" s="230"/>
      <c r="AC278" s="230"/>
      <c r="AD278" s="230"/>
      <c r="AE278" s="230"/>
      <c r="AF278" s="230"/>
      <c r="AG278" s="230"/>
      <c r="AH278" s="230"/>
      <c r="AI278" s="230"/>
    </row>
    <row r="279">
      <c r="O279" s="230"/>
      <c r="S279" s="230"/>
      <c r="T279" s="230"/>
      <c r="U279" s="230"/>
      <c r="V279" s="230"/>
      <c r="AC279" s="230"/>
      <c r="AD279" s="230"/>
      <c r="AE279" s="230"/>
      <c r="AF279" s="230"/>
      <c r="AG279" s="230"/>
      <c r="AH279" s="230"/>
      <c r="AI279" s="230"/>
    </row>
    <row r="280">
      <c r="O280" s="230"/>
      <c r="S280" s="230"/>
      <c r="T280" s="230"/>
      <c r="U280" s="230"/>
      <c r="V280" s="230"/>
      <c r="AC280" s="230"/>
      <c r="AD280" s="230"/>
      <c r="AE280" s="230"/>
      <c r="AF280" s="230"/>
      <c r="AG280" s="230"/>
      <c r="AH280" s="230"/>
      <c r="AI280" s="230"/>
    </row>
    <row r="281">
      <c r="O281" s="230"/>
      <c r="S281" s="230"/>
      <c r="T281" s="230"/>
      <c r="U281" s="230"/>
      <c r="V281" s="230"/>
      <c r="AC281" s="230"/>
      <c r="AD281" s="230"/>
      <c r="AE281" s="230"/>
      <c r="AF281" s="230"/>
      <c r="AG281" s="230"/>
      <c r="AH281" s="230"/>
      <c r="AI281" s="230"/>
    </row>
    <row r="282">
      <c r="O282" s="230"/>
      <c r="S282" s="230"/>
      <c r="T282" s="230"/>
      <c r="U282" s="230"/>
      <c r="V282" s="230"/>
      <c r="AC282" s="230"/>
      <c r="AD282" s="230"/>
      <c r="AE282" s="230"/>
      <c r="AF282" s="230"/>
      <c r="AG282" s="230"/>
      <c r="AH282" s="230"/>
      <c r="AI282" s="230"/>
    </row>
    <row r="283">
      <c r="O283" s="230"/>
      <c r="S283" s="230"/>
      <c r="T283" s="230"/>
      <c r="U283" s="230"/>
      <c r="V283" s="230"/>
      <c r="AC283" s="230"/>
      <c r="AD283" s="230"/>
      <c r="AE283" s="230"/>
      <c r="AF283" s="230"/>
      <c r="AG283" s="230"/>
      <c r="AH283" s="230"/>
      <c r="AI283" s="230"/>
    </row>
    <row r="284">
      <c r="O284" s="230"/>
      <c r="S284" s="230"/>
      <c r="T284" s="230"/>
      <c r="U284" s="230"/>
      <c r="V284" s="230"/>
      <c r="AC284" s="230"/>
      <c r="AD284" s="230"/>
      <c r="AE284" s="230"/>
      <c r="AF284" s="230"/>
      <c r="AG284" s="230"/>
      <c r="AH284" s="230"/>
      <c r="AI284" s="230"/>
    </row>
    <row r="285">
      <c r="O285" s="230"/>
      <c r="S285" s="230"/>
      <c r="T285" s="230"/>
      <c r="U285" s="230"/>
      <c r="V285" s="230"/>
      <c r="AC285" s="230"/>
      <c r="AD285" s="230"/>
      <c r="AE285" s="230"/>
      <c r="AF285" s="230"/>
      <c r="AG285" s="230"/>
      <c r="AH285" s="230"/>
      <c r="AI285" s="230"/>
    </row>
    <row r="286">
      <c r="O286" s="230"/>
      <c r="S286" s="230"/>
      <c r="T286" s="230"/>
      <c r="U286" s="230"/>
      <c r="V286" s="230"/>
      <c r="AC286" s="230"/>
      <c r="AD286" s="230"/>
      <c r="AE286" s="230"/>
      <c r="AF286" s="230"/>
      <c r="AG286" s="230"/>
      <c r="AH286" s="230"/>
      <c r="AI286" s="230"/>
    </row>
    <row r="287">
      <c r="O287" s="230"/>
      <c r="S287" s="230"/>
      <c r="T287" s="230"/>
      <c r="U287" s="230"/>
      <c r="V287" s="230"/>
      <c r="AC287" s="230"/>
      <c r="AD287" s="230"/>
      <c r="AE287" s="230"/>
      <c r="AF287" s="230"/>
      <c r="AG287" s="230"/>
      <c r="AH287" s="230"/>
      <c r="AI287" s="230"/>
    </row>
    <row r="288">
      <c r="O288" s="230"/>
      <c r="S288" s="230"/>
      <c r="T288" s="230"/>
      <c r="U288" s="230"/>
      <c r="V288" s="230"/>
      <c r="AC288" s="230"/>
      <c r="AD288" s="230"/>
      <c r="AE288" s="230"/>
      <c r="AF288" s="230"/>
      <c r="AG288" s="230"/>
      <c r="AH288" s="230"/>
      <c r="AI288" s="230"/>
    </row>
    <row r="289">
      <c r="O289" s="230"/>
      <c r="S289" s="230"/>
      <c r="T289" s="230"/>
      <c r="U289" s="230"/>
      <c r="V289" s="230"/>
      <c r="AC289" s="230"/>
      <c r="AD289" s="230"/>
      <c r="AE289" s="230"/>
      <c r="AF289" s="230"/>
      <c r="AG289" s="230"/>
      <c r="AH289" s="230"/>
      <c r="AI289" s="230"/>
    </row>
    <row r="290">
      <c r="O290" s="230"/>
      <c r="S290" s="230"/>
      <c r="T290" s="230"/>
      <c r="U290" s="230"/>
      <c r="V290" s="230"/>
      <c r="AC290" s="230"/>
      <c r="AD290" s="230"/>
      <c r="AE290" s="230"/>
      <c r="AF290" s="230"/>
      <c r="AG290" s="230"/>
      <c r="AH290" s="230"/>
      <c r="AI290" s="230"/>
    </row>
    <row r="291">
      <c r="O291" s="230"/>
      <c r="S291" s="230"/>
      <c r="T291" s="230"/>
      <c r="U291" s="230"/>
      <c r="V291" s="230"/>
      <c r="AC291" s="230"/>
      <c r="AD291" s="230"/>
      <c r="AE291" s="230"/>
      <c r="AF291" s="230"/>
      <c r="AG291" s="230"/>
      <c r="AH291" s="230"/>
      <c r="AI291" s="230"/>
    </row>
    <row r="292">
      <c r="O292" s="230"/>
      <c r="S292" s="230"/>
      <c r="T292" s="230"/>
      <c r="U292" s="230"/>
      <c r="V292" s="230"/>
      <c r="AC292" s="230"/>
      <c r="AD292" s="230"/>
      <c r="AE292" s="230"/>
      <c r="AF292" s="230"/>
      <c r="AG292" s="230"/>
      <c r="AH292" s="230"/>
      <c r="AI292" s="230"/>
    </row>
    <row r="293">
      <c r="O293" s="230"/>
      <c r="S293" s="230"/>
      <c r="T293" s="230"/>
      <c r="U293" s="230"/>
      <c r="V293" s="230"/>
      <c r="AC293" s="230"/>
      <c r="AD293" s="230"/>
      <c r="AE293" s="230"/>
      <c r="AF293" s="230"/>
      <c r="AG293" s="230"/>
      <c r="AH293" s="230"/>
      <c r="AI293" s="230"/>
    </row>
    <row r="294">
      <c r="O294" s="230"/>
      <c r="S294" s="230"/>
      <c r="T294" s="230"/>
      <c r="U294" s="230"/>
      <c r="V294" s="230"/>
      <c r="AC294" s="230"/>
      <c r="AD294" s="230"/>
      <c r="AE294" s="230"/>
      <c r="AF294" s="230"/>
      <c r="AG294" s="230"/>
      <c r="AH294" s="230"/>
      <c r="AI294" s="230"/>
    </row>
    <row r="295">
      <c r="O295" s="230"/>
      <c r="S295" s="230"/>
      <c r="T295" s="230"/>
      <c r="U295" s="230"/>
      <c r="V295" s="230"/>
      <c r="AC295" s="230"/>
      <c r="AD295" s="230"/>
      <c r="AE295" s="230"/>
      <c r="AF295" s="230"/>
      <c r="AG295" s="230"/>
      <c r="AH295" s="230"/>
      <c r="AI295" s="230"/>
    </row>
    <row r="296">
      <c r="O296" s="230"/>
      <c r="S296" s="230"/>
      <c r="T296" s="230"/>
      <c r="U296" s="230"/>
      <c r="V296" s="230"/>
      <c r="AC296" s="230"/>
      <c r="AD296" s="230"/>
      <c r="AE296" s="230"/>
      <c r="AF296" s="230"/>
      <c r="AG296" s="230"/>
      <c r="AH296" s="230"/>
      <c r="AI296" s="230"/>
    </row>
    <row r="297">
      <c r="O297" s="230"/>
      <c r="S297" s="230"/>
      <c r="T297" s="230"/>
      <c r="U297" s="230"/>
      <c r="V297" s="230"/>
      <c r="AC297" s="230"/>
      <c r="AD297" s="230"/>
      <c r="AE297" s="230"/>
      <c r="AF297" s="230"/>
      <c r="AG297" s="230"/>
      <c r="AH297" s="230"/>
      <c r="AI297" s="230"/>
    </row>
    <row r="298">
      <c r="O298" s="230"/>
      <c r="S298" s="230"/>
      <c r="T298" s="230"/>
      <c r="U298" s="230"/>
      <c r="V298" s="230"/>
      <c r="AC298" s="230"/>
      <c r="AD298" s="230"/>
      <c r="AE298" s="230"/>
      <c r="AF298" s="230"/>
      <c r="AG298" s="230"/>
      <c r="AH298" s="230"/>
      <c r="AI298" s="230"/>
    </row>
    <row r="299">
      <c r="O299" s="230"/>
      <c r="S299" s="230"/>
      <c r="T299" s="230"/>
      <c r="U299" s="230"/>
      <c r="V299" s="230"/>
      <c r="AC299" s="230"/>
      <c r="AD299" s="230"/>
      <c r="AE299" s="230"/>
      <c r="AF299" s="230"/>
      <c r="AG299" s="230"/>
      <c r="AH299" s="230"/>
      <c r="AI299" s="230"/>
    </row>
    <row r="300">
      <c r="O300" s="230"/>
      <c r="S300" s="230"/>
      <c r="T300" s="230"/>
      <c r="U300" s="230"/>
      <c r="V300" s="230"/>
      <c r="AC300" s="230"/>
      <c r="AD300" s="230"/>
      <c r="AE300" s="230"/>
      <c r="AF300" s="230"/>
      <c r="AG300" s="230"/>
      <c r="AH300" s="230"/>
      <c r="AI300" s="230"/>
    </row>
    <row r="301">
      <c r="O301" s="230"/>
      <c r="S301" s="230"/>
      <c r="T301" s="230"/>
      <c r="U301" s="230"/>
      <c r="V301" s="230"/>
      <c r="AC301" s="230"/>
      <c r="AD301" s="230"/>
      <c r="AE301" s="230"/>
      <c r="AF301" s="230"/>
      <c r="AG301" s="230"/>
      <c r="AH301" s="230"/>
      <c r="AI301" s="230"/>
    </row>
    <row r="302">
      <c r="O302" s="230"/>
      <c r="S302" s="230"/>
      <c r="T302" s="230"/>
      <c r="U302" s="230"/>
      <c r="V302" s="230"/>
      <c r="AC302" s="230"/>
      <c r="AD302" s="230"/>
      <c r="AE302" s="230"/>
      <c r="AF302" s="230"/>
      <c r="AG302" s="230"/>
      <c r="AH302" s="230"/>
      <c r="AI302" s="230"/>
    </row>
    <row r="303">
      <c r="O303" s="230"/>
      <c r="S303" s="230"/>
      <c r="T303" s="230"/>
      <c r="U303" s="230"/>
      <c r="V303" s="230"/>
      <c r="AC303" s="230"/>
      <c r="AD303" s="230"/>
      <c r="AE303" s="230"/>
      <c r="AF303" s="230"/>
      <c r="AG303" s="230"/>
      <c r="AH303" s="230"/>
      <c r="AI303" s="230"/>
    </row>
    <row r="304">
      <c r="O304" s="230"/>
      <c r="S304" s="230"/>
      <c r="T304" s="230"/>
      <c r="U304" s="230"/>
      <c r="V304" s="230"/>
      <c r="AC304" s="230"/>
      <c r="AD304" s="230"/>
      <c r="AE304" s="230"/>
      <c r="AF304" s="230"/>
      <c r="AG304" s="230"/>
      <c r="AH304" s="230"/>
      <c r="AI304" s="230"/>
    </row>
    <row r="305">
      <c r="O305" s="230"/>
      <c r="S305" s="230"/>
      <c r="T305" s="230"/>
      <c r="U305" s="230"/>
      <c r="V305" s="230"/>
      <c r="AC305" s="230"/>
      <c r="AD305" s="230"/>
      <c r="AE305" s="230"/>
      <c r="AF305" s="230"/>
      <c r="AG305" s="230"/>
      <c r="AH305" s="230"/>
      <c r="AI305" s="230"/>
    </row>
    <row r="306">
      <c r="O306" s="230"/>
      <c r="S306" s="230"/>
      <c r="T306" s="230"/>
      <c r="U306" s="230"/>
      <c r="V306" s="230"/>
      <c r="AC306" s="230"/>
      <c r="AD306" s="230"/>
      <c r="AE306" s="230"/>
      <c r="AF306" s="230"/>
      <c r="AG306" s="230"/>
      <c r="AH306" s="230"/>
      <c r="AI306" s="230"/>
    </row>
    <row r="307">
      <c r="O307" s="230"/>
      <c r="S307" s="230"/>
      <c r="T307" s="230"/>
      <c r="U307" s="230"/>
      <c r="V307" s="230"/>
      <c r="AC307" s="230"/>
      <c r="AD307" s="230"/>
      <c r="AE307" s="230"/>
      <c r="AF307" s="230"/>
      <c r="AG307" s="230"/>
      <c r="AH307" s="230"/>
      <c r="AI307" s="230"/>
    </row>
    <row r="308">
      <c r="O308" s="230"/>
      <c r="S308" s="230"/>
      <c r="T308" s="230"/>
      <c r="U308" s="230"/>
      <c r="V308" s="230"/>
      <c r="AC308" s="230"/>
      <c r="AD308" s="230"/>
      <c r="AE308" s="230"/>
      <c r="AF308" s="230"/>
      <c r="AG308" s="230"/>
      <c r="AH308" s="230"/>
      <c r="AI308" s="230"/>
    </row>
    <row r="309">
      <c r="O309" s="230"/>
      <c r="S309" s="230"/>
      <c r="T309" s="230"/>
      <c r="U309" s="230"/>
      <c r="V309" s="230"/>
      <c r="AC309" s="230"/>
      <c r="AD309" s="230"/>
      <c r="AE309" s="230"/>
      <c r="AF309" s="230"/>
      <c r="AG309" s="230"/>
      <c r="AH309" s="230"/>
      <c r="AI309" s="230"/>
    </row>
    <row r="310">
      <c r="O310" s="230"/>
      <c r="S310" s="230"/>
      <c r="T310" s="230"/>
      <c r="U310" s="230"/>
      <c r="V310" s="230"/>
      <c r="AC310" s="230"/>
      <c r="AD310" s="230"/>
      <c r="AE310" s="230"/>
      <c r="AF310" s="230"/>
      <c r="AG310" s="230"/>
      <c r="AH310" s="230"/>
      <c r="AI310" s="230"/>
    </row>
    <row r="311">
      <c r="O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  <c r="AI311" s="230"/>
    </row>
    <row r="312">
      <c r="O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  <c r="AI312" s="230"/>
    </row>
    <row r="313">
      <c r="O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  <c r="AI313" s="230"/>
    </row>
    <row r="314">
      <c r="O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  <c r="AI314" s="230"/>
    </row>
    <row r="315">
      <c r="O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  <c r="AI315" s="230"/>
    </row>
    <row r="316">
      <c r="O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  <c r="AI316" s="230"/>
    </row>
    <row r="317">
      <c r="O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  <c r="AI317" s="230"/>
    </row>
    <row r="318">
      <c r="O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  <c r="AI318" s="230"/>
    </row>
    <row r="319">
      <c r="O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  <c r="AI319" s="230"/>
    </row>
    <row r="320">
      <c r="O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  <c r="AI320" s="230"/>
    </row>
    <row r="321">
      <c r="O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</row>
    <row r="322">
      <c r="O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</row>
    <row r="323">
      <c r="O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  <c r="AI323" s="230"/>
    </row>
    <row r="324">
      <c r="O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</row>
    <row r="325">
      <c r="O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  <c r="AI325" s="230"/>
    </row>
    <row r="326">
      <c r="O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  <c r="AI326" s="230"/>
    </row>
    <row r="327">
      <c r="O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  <c r="AI327" s="230"/>
    </row>
    <row r="328">
      <c r="O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</row>
    <row r="329">
      <c r="O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</row>
    <row r="330">
      <c r="O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  <c r="AI330" s="230"/>
    </row>
    <row r="331">
      <c r="O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</row>
    <row r="332">
      <c r="O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  <c r="AI332" s="230"/>
    </row>
    <row r="333">
      <c r="O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  <c r="AI333" s="230"/>
    </row>
    <row r="334">
      <c r="O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  <c r="AI334" s="230"/>
    </row>
    <row r="335">
      <c r="O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  <c r="AI335" s="230"/>
    </row>
    <row r="336">
      <c r="O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  <c r="AI336" s="230"/>
    </row>
    <row r="337">
      <c r="O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  <c r="AI337" s="230"/>
    </row>
    <row r="338">
      <c r="O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</row>
    <row r="339">
      <c r="O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  <c r="AI339" s="230"/>
    </row>
    <row r="340">
      <c r="O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  <c r="AI340" s="230"/>
    </row>
    <row r="341">
      <c r="O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  <c r="AI341" s="230"/>
    </row>
    <row r="342">
      <c r="O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  <c r="AI342" s="230"/>
    </row>
    <row r="343">
      <c r="O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  <c r="AI343" s="230"/>
    </row>
    <row r="344">
      <c r="O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</row>
    <row r="345">
      <c r="O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</row>
    <row r="346">
      <c r="O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</row>
    <row r="347">
      <c r="O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</row>
    <row r="348">
      <c r="O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</row>
    <row r="349">
      <c r="O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</row>
    <row r="350">
      <c r="O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</row>
    <row r="351">
      <c r="O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</row>
    <row r="352">
      <c r="O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</row>
    <row r="353">
      <c r="O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</row>
    <row r="354">
      <c r="O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  <c r="AI354" s="230"/>
    </row>
    <row r="355">
      <c r="O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  <c r="AI355" s="230"/>
    </row>
    <row r="356">
      <c r="O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  <c r="AI356" s="230"/>
    </row>
    <row r="357">
      <c r="O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  <c r="AI357" s="230"/>
    </row>
    <row r="358">
      <c r="O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  <c r="AI358" s="230"/>
    </row>
    <row r="359">
      <c r="O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  <c r="AI359" s="230"/>
    </row>
    <row r="360">
      <c r="O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  <c r="AI360" s="230"/>
    </row>
    <row r="361">
      <c r="O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</row>
    <row r="362">
      <c r="O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  <c r="AI362" s="230"/>
    </row>
    <row r="363">
      <c r="O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  <c r="AI363" s="230"/>
    </row>
    <row r="364">
      <c r="O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  <c r="AI364" s="230"/>
    </row>
    <row r="365">
      <c r="O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  <c r="AI365" s="230"/>
    </row>
    <row r="366">
      <c r="O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  <c r="AI366" s="230"/>
    </row>
    <row r="367">
      <c r="O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  <c r="AI367" s="230"/>
    </row>
    <row r="368">
      <c r="O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  <c r="AI368" s="230"/>
    </row>
    <row r="369">
      <c r="O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  <c r="AI369" s="230"/>
    </row>
    <row r="370">
      <c r="O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</row>
    <row r="371">
      <c r="O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  <c r="AI371" s="230"/>
    </row>
    <row r="372">
      <c r="O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  <c r="AI372" s="230"/>
    </row>
    <row r="373">
      <c r="O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  <c r="AI373" s="230"/>
    </row>
    <row r="374">
      <c r="O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  <c r="AI374" s="230"/>
    </row>
    <row r="375">
      <c r="O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</row>
    <row r="376">
      <c r="O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  <c r="AI376" s="230"/>
    </row>
    <row r="377">
      <c r="O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  <c r="AI377" s="230"/>
    </row>
    <row r="378">
      <c r="O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  <c r="AI378" s="230"/>
    </row>
    <row r="379">
      <c r="O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  <c r="AI379" s="230"/>
    </row>
    <row r="380">
      <c r="O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  <c r="AI380" s="230"/>
    </row>
    <row r="381">
      <c r="O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</row>
    <row r="382">
      <c r="O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  <c r="AI382" s="230"/>
    </row>
    <row r="383">
      <c r="O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</row>
    <row r="384">
      <c r="O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  <c r="AI384" s="230"/>
    </row>
    <row r="385">
      <c r="O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  <c r="AI385" s="230"/>
    </row>
    <row r="386">
      <c r="O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  <c r="AI386" s="230"/>
    </row>
    <row r="387">
      <c r="O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  <c r="AI387" s="230"/>
    </row>
    <row r="388">
      <c r="O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  <c r="AI388" s="230"/>
    </row>
    <row r="389">
      <c r="O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  <c r="AI389" s="230"/>
    </row>
    <row r="390">
      <c r="O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  <c r="AI390" s="230"/>
    </row>
    <row r="391">
      <c r="O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  <c r="AI391" s="230"/>
    </row>
    <row r="392">
      <c r="O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  <c r="AI392" s="230"/>
    </row>
    <row r="393">
      <c r="O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  <c r="AI393" s="230"/>
    </row>
    <row r="394">
      <c r="O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  <c r="AI394" s="230"/>
    </row>
    <row r="395">
      <c r="O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  <c r="AI395" s="230"/>
    </row>
    <row r="396">
      <c r="O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  <c r="AI396" s="230"/>
    </row>
    <row r="397">
      <c r="O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</row>
    <row r="398">
      <c r="O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  <c r="AI398" s="230"/>
    </row>
    <row r="399">
      <c r="O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  <c r="AI399" s="230"/>
    </row>
    <row r="400">
      <c r="O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  <c r="AI400" s="230"/>
    </row>
    <row r="401">
      <c r="O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  <c r="AI401" s="230"/>
    </row>
    <row r="402">
      <c r="O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  <c r="AI402" s="230"/>
    </row>
    <row r="403">
      <c r="O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  <c r="AI403" s="230"/>
    </row>
    <row r="404">
      <c r="O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  <c r="AI404" s="230"/>
    </row>
    <row r="405">
      <c r="O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  <c r="AI405" s="230"/>
    </row>
    <row r="406">
      <c r="O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  <c r="AI406" s="230"/>
    </row>
    <row r="407">
      <c r="O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  <c r="AI407" s="230"/>
    </row>
    <row r="408">
      <c r="O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  <c r="AI408" s="230"/>
    </row>
    <row r="409">
      <c r="O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  <c r="AI409" s="230"/>
    </row>
    <row r="410">
      <c r="O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  <c r="AI410" s="230"/>
    </row>
    <row r="411">
      <c r="O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  <c r="AI411" s="230"/>
    </row>
    <row r="412">
      <c r="O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  <c r="AI412" s="230"/>
    </row>
    <row r="413">
      <c r="O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  <c r="AI413" s="230"/>
    </row>
    <row r="414">
      <c r="O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  <c r="AI414" s="230"/>
    </row>
    <row r="415">
      <c r="O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  <c r="AI415" s="230"/>
    </row>
    <row r="416">
      <c r="O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  <c r="AI416" s="230"/>
    </row>
    <row r="417">
      <c r="O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  <c r="AI417" s="230"/>
    </row>
    <row r="418">
      <c r="O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  <c r="AI418" s="230"/>
    </row>
    <row r="419">
      <c r="O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</row>
    <row r="420">
      <c r="O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  <c r="AI420" s="230"/>
    </row>
    <row r="421">
      <c r="O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  <c r="AI421" s="230"/>
    </row>
    <row r="422">
      <c r="O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</row>
    <row r="423">
      <c r="O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  <c r="AI423" s="230"/>
    </row>
    <row r="424">
      <c r="O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  <c r="AI424" s="230"/>
    </row>
    <row r="425">
      <c r="O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  <c r="AI425" s="230"/>
    </row>
    <row r="426">
      <c r="O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  <c r="AI426" s="230"/>
    </row>
    <row r="427">
      <c r="O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</row>
    <row r="428">
      <c r="O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</row>
    <row r="429">
      <c r="O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  <c r="AI429" s="230"/>
    </row>
    <row r="430">
      <c r="O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  <c r="AI430" s="230"/>
    </row>
    <row r="431">
      <c r="O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  <c r="AI431" s="230"/>
    </row>
    <row r="432">
      <c r="O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  <c r="AI432" s="230"/>
    </row>
    <row r="433">
      <c r="O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</row>
    <row r="434">
      <c r="O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</row>
    <row r="435">
      <c r="O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  <c r="AI435" s="230"/>
    </row>
    <row r="436">
      <c r="O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  <c r="AI436" s="230"/>
    </row>
    <row r="437">
      <c r="O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</row>
    <row r="438">
      <c r="O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  <c r="AI438" s="230"/>
    </row>
    <row r="439">
      <c r="O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  <c r="AI439" s="230"/>
    </row>
    <row r="440">
      <c r="O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  <c r="AI440" s="230"/>
    </row>
    <row r="441">
      <c r="O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</row>
    <row r="442">
      <c r="O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  <c r="AI442" s="230"/>
    </row>
    <row r="443">
      <c r="O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  <c r="AI443" s="230"/>
    </row>
    <row r="444">
      <c r="O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  <c r="AI444" s="230"/>
    </row>
    <row r="445">
      <c r="O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  <c r="AI445" s="230"/>
    </row>
    <row r="446">
      <c r="O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  <c r="AI446" s="230"/>
    </row>
    <row r="447">
      <c r="O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  <c r="AI447" s="230"/>
    </row>
    <row r="448">
      <c r="O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  <c r="AI448" s="230"/>
    </row>
    <row r="449">
      <c r="O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  <c r="AI449" s="230"/>
    </row>
    <row r="450">
      <c r="O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  <c r="AI450" s="230"/>
    </row>
    <row r="451">
      <c r="O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  <c r="AI451" s="230"/>
    </row>
    <row r="452">
      <c r="O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  <c r="AI452" s="230"/>
    </row>
    <row r="453">
      <c r="O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  <c r="AI453" s="230"/>
    </row>
    <row r="454">
      <c r="O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  <c r="AI454" s="230"/>
    </row>
    <row r="455">
      <c r="O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  <c r="AI455" s="230"/>
    </row>
    <row r="456">
      <c r="O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  <c r="AI456" s="230"/>
    </row>
    <row r="457">
      <c r="O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  <c r="AI457" s="230"/>
    </row>
    <row r="458">
      <c r="O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  <c r="AI458" s="230"/>
    </row>
    <row r="459">
      <c r="O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  <c r="AI459" s="230"/>
    </row>
    <row r="460">
      <c r="O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  <c r="AI460" s="230"/>
    </row>
    <row r="461">
      <c r="O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  <c r="AI461" s="230"/>
    </row>
    <row r="462">
      <c r="O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  <c r="AI462" s="230"/>
    </row>
    <row r="463">
      <c r="O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</row>
    <row r="464">
      <c r="O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  <c r="AI464" s="230"/>
    </row>
    <row r="465">
      <c r="O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  <c r="AI465" s="230"/>
    </row>
    <row r="466">
      <c r="O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  <c r="AI466" s="230"/>
    </row>
    <row r="467">
      <c r="O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  <c r="AI467" s="230"/>
    </row>
    <row r="468">
      <c r="O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  <c r="AI468" s="230"/>
    </row>
    <row r="469">
      <c r="O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  <c r="AI469" s="230"/>
    </row>
    <row r="470">
      <c r="O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  <c r="AI470" s="230"/>
    </row>
    <row r="471">
      <c r="O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  <c r="AI471" s="230"/>
    </row>
    <row r="472">
      <c r="O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  <c r="AI472" s="230"/>
    </row>
    <row r="473">
      <c r="O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  <c r="AI473" s="230"/>
    </row>
    <row r="474">
      <c r="O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  <c r="AI474" s="230"/>
    </row>
    <row r="475">
      <c r="O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  <c r="AI475" s="230"/>
    </row>
    <row r="476">
      <c r="O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  <c r="AI476" s="230"/>
    </row>
    <row r="477">
      <c r="O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  <c r="AI477" s="230"/>
    </row>
    <row r="478">
      <c r="O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  <c r="AI478" s="230"/>
    </row>
    <row r="479">
      <c r="O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  <c r="AI479" s="230"/>
    </row>
    <row r="480">
      <c r="O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  <c r="AI480" s="230"/>
    </row>
    <row r="481">
      <c r="O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  <c r="AI481" s="230"/>
    </row>
    <row r="482">
      <c r="O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  <c r="AI482" s="230"/>
    </row>
    <row r="483">
      <c r="O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  <c r="AI483" s="230"/>
    </row>
    <row r="484">
      <c r="O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  <c r="AI484" s="230"/>
    </row>
    <row r="485">
      <c r="O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</row>
    <row r="486">
      <c r="O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  <c r="AI486" s="230"/>
    </row>
    <row r="487">
      <c r="O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  <c r="AI487" s="230"/>
    </row>
    <row r="488">
      <c r="O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  <c r="AI488" s="230"/>
    </row>
    <row r="489">
      <c r="O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</row>
    <row r="490">
      <c r="O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  <c r="AI490" s="230"/>
    </row>
    <row r="491">
      <c r="O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</row>
    <row r="492">
      <c r="O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</row>
    <row r="493">
      <c r="O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  <c r="AI493" s="230"/>
    </row>
    <row r="494">
      <c r="O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  <c r="AI494" s="230"/>
    </row>
    <row r="495">
      <c r="O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  <c r="AI495" s="230"/>
    </row>
    <row r="496">
      <c r="O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  <c r="AI496" s="230"/>
    </row>
    <row r="497">
      <c r="O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  <c r="AI497" s="230"/>
    </row>
    <row r="498">
      <c r="O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  <c r="AI498" s="230"/>
    </row>
    <row r="499">
      <c r="O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  <c r="AI499" s="230"/>
    </row>
    <row r="500">
      <c r="O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  <c r="AI500" s="230"/>
    </row>
    <row r="501">
      <c r="O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  <c r="AI501" s="230"/>
    </row>
    <row r="502">
      <c r="O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  <c r="AI502" s="230"/>
    </row>
    <row r="503">
      <c r="O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  <c r="AI503" s="230"/>
    </row>
    <row r="504">
      <c r="O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  <c r="AI504" s="230"/>
    </row>
    <row r="505">
      <c r="O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  <c r="AI505" s="230"/>
    </row>
    <row r="506">
      <c r="O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  <c r="AI506" s="230"/>
    </row>
    <row r="507">
      <c r="O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</row>
    <row r="508">
      <c r="O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  <c r="AI508" s="230"/>
    </row>
    <row r="509">
      <c r="O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  <c r="AI509" s="230"/>
    </row>
    <row r="510">
      <c r="O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  <c r="AI510" s="230"/>
    </row>
    <row r="511">
      <c r="O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  <c r="AI511" s="230"/>
    </row>
    <row r="512">
      <c r="O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  <c r="AI512" s="230"/>
    </row>
    <row r="513">
      <c r="O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  <c r="AI513" s="230"/>
    </row>
    <row r="514">
      <c r="O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  <c r="AI514" s="230"/>
    </row>
    <row r="515">
      <c r="O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  <c r="AI515" s="230"/>
    </row>
    <row r="516">
      <c r="O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  <c r="AI516" s="230"/>
    </row>
    <row r="517">
      <c r="O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  <c r="AI517" s="230"/>
    </row>
    <row r="518">
      <c r="O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  <c r="AI518" s="230"/>
    </row>
    <row r="519">
      <c r="O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  <c r="AI519" s="230"/>
    </row>
    <row r="520">
      <c r="O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</row>
    <row r="521">
      <c r="O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</row>
    <row r="522">
      <c r="O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</row>
    <row r="523">
      <c r="O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</row>
    <row r="524">
      <c r="O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</row>
    <row r="525">
      <c r="O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</row>
    <row r="526">
      <c r="O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</row>
    <row r="527">
      <c r="O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</row>
    <row r="528">
      <c r="O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  <c r="AI528" s="230"/>
    </row>
    <row r="529">
      <c r="O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</row>
    <row r="530">
      <c r="O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  <c r="AI530" s="230"/>
    </row>
    <row r="531">
      <c r="O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  <c r="AI531" s="230"/>
    </row>
    <row r="532">
      <c r="O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  <c r="AI532" s="230"/>
    </row>
    <row r="533">
      <c r="O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  <c r="AI533" s="230"/>
    </row>
    <row r="534">
      <c r="O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  <c r="AI534" s="230"/>
    </row>
    <row r="535">
      <c r="O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  <c r="AI535" s="230"/>
    </row>
    <row r="536">
      <c r="O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  <c r="AI536" s="230"/>
    </row>
    <row r="537">
      <c r="O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  <c r="AI537" s="230"/>
    </row>
    <row r="538">
      <c r="O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  <c r="AI538" s="230"/>
    </row>
    <row r="539">
      <c r="O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  <c r="AI539" s="230"/>
    </row>
    <row r="540">
      <c r="O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  <c r="AI540" s="230"/>
    </row>
    <row r="541">
      <c r="O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  <c r="AI541" s="230"/>
    </row>
    <row r="542">
      <c r="O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  <c r="AI542" s="230"/>
    </row>
    <row r="543">
      <c r="O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  <c r="AI543" s="230"/>
    </row>
    <row r="544">
      <c r="O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</row>
    <row r="545">
      <c r="O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  <c r="AI545" s="230"/>
    </row>
    <row r="546">
      <c r="O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  <c r="AI546" s="230"/>
    </row>
    <row r="547">
      <c r="O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</row>
    <row r="548">
      <c r="O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  <c r="AI548" s="230"/>
    </row>
    <row r="549">
      <c r="O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  <c r="AI549" s="230"/>
    </row>
    <row r="550">
      <c r="O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  <c r="AI550" s="230"/>
    </row>
    <row r="551">
      <c r="O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</row>
    <row r="552">
      <c r="O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  <c r="AI552" s="230"/>
    </row>
    <row r="553">
      <c r="O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  <c r="AI553" s="230"/>
    </row>
    <row r="554">
      <c r="O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  <c r="AI554" s="230"/>
    </row>
    <row r="555">
      <c r="O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  <c r="AI555" s="230"/>
    </row>
    <row r="556">
      <c r="O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  <c r="AI556" s="230"/>
    </row>
    <row r="557">
      <c r="O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  <c r="AI557" s="230"/>
    </row>
    <row r="558">
      <c r="O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  <c r="AI558" s="230"/>
    </row>
    <row r="559">
      <c r="O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  <c r="AI559" s="230"/>
    </row>
    <row r="560">
      <c r="O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  <c r="AI560" s="230"/>
    </row>
    <row r="561">
      <c r="O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  <c r="AI561" s="230"/>
    </row>
    <row r="562">
      <c r="O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  <c r="AI562" s="230"/>
    </row>
    <row r="563">
      <c r="O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  <c r="AI563" s="230"/>
    </row>
    <row r="564">
      <c r="O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  <c r="AI564" s="230"/>
    </row>
    <row r="565">
      <c r="O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  <c r="AI565" s="230"/>
    </row>
    <row r="566">
      <c r="O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  <c r="AI566" s="230"/>
    </row>
    <row r="567">
      <c r="O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  <c r="AI567" s="230"/>
    </row>
    <row r="568">
      <c r="O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  <c r="AI568" s="230"/>
    </row>
    <row r="569">
      <c r="O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  <c r="AI569" s="230"/>
    </row>
    <row r="570">
      <c r="O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</row>
    <row r="571">
      <c r="O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</row>
    <row r="572">
      <c r="O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</row>
    <row r="573">
      <c r="O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</row>
    <row r="574">
      <c r="O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  <c r="AI574" s="230"/>
    </row>
    <row r="575">
      <c r="O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  <c r="AI575" s="230"/>
    </row>
    <row r="576">
      <c r="O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  <c r="AI576" s="230"/>
    </row>
    <row r="577">
      <c r="O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  <c r="AI577" s="230"/>
    </row>
    <row r="578">
      <c r="O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  <c r="AI578" s="230"/>
    </row>
    <row r="579">
      <c r="O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  <c r="AI579" s="230"/>
    </row>
    <row r="580">
      <c r="O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  <c r="AI580" s="230"/>
    </row>
    <row r="581">
      <c r="O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  <c r="AI581" s="230"/>
    </row>
    <row r="582">
      <c r="O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  <c r="AI582" s="230"/>
    </row>
    <row r="583">
      <c r="O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  <c r="AI583" s="230"/>
    </row>
    <row r="584">
      <c r="O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  <c r="AI584" s="230"/>
    </row>
    <row r="585">
      <c r="O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  <c r="AI585" s="230"/>
    </row>
    <row r="586">
      <c r="O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  <c r="AI586" s="230"/>
    </row>
    <row r="587">
      <c r="O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  <c r="AI587" s="230"/>
    </row>
    <row r="588">
      <c r="O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  <c r="AI588" s="230"/>
    </row>
    <row r="589">
      <c r="O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  <c r="AI589" s="230"/>
    </row>
    <row r="590">
      <c r="O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  <c r="AI590" s="230"/>
    </row>
    <row r="591">
      <c r="O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  <c r="AI591" s="230"/>
    </row>
    <row r="592">
      <c r="O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  <c r="AI592" s="230"/>
    </row>
    <row r="593">
      <c r="O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  <c r="AI593" s="230"/>
    </row>
    <row r="594">
      <c r="O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  <c r="AI594" s="230"/>
    </row>
    <row r="595">
      <c r="O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</row>
    <row r="596">
      <c r="O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  <c r="AI596" s="230"/>
    </row>
    <row r="597">
      <c r="O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  <c r="AI597" s="230"/>
    </row>
    <row r="598">
      <c r="O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  <c r="AI598" s="230"/>
    </row>
    <row r="599">
      <c r="O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  <c r="AI599" s="230"/>
    </row>
    <row r="600">
      <c r="O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  <c r="AI600" s="230"/>
    </row>
    <row r="601">
      <c r="O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  <c r="AI601" s="230"/>
    </row>
    <row r="602">
      <c r="O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  <c r="AI602" s="230"/>
    </row>
    <row r="603">
      <c r="O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  <c r="AI603" s="230"/>
    </row>
    <row r="604">
      <c r="O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  <c r="AI604" s="230"/>
    </row>
    <row r="605">
      <c r="O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  <c r="AI605" s="230"/>
    </row>
    <row r="606">
      <c r="O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  <c r="AI606" s="230"/>
    </row>
    <row r="607">
      <c r="O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  <c r="AI607" s="230"/>
    </row>
    <row r="608">
      <c r="O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  <c r="AI608" s="230"/>
    </row>
    <row r="609">
      <c r="O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  <c r="AI609" s="230"/>
    </row>
    <row r="610">
      <c r="O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  <c r="AI610" s="230"/>
    </row>
    <row r="611">
      <c r="O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  <c r="AI611" s="230"/>
    </row>
    <row r="612">
      <c r="O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  <c r="AI612" s="230"/>
    </row>
    <row r="613">
      <c r="O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  <c r="AI613" s="230"/>
    </row>
    <row r="614">
      <c r="O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  <c r="AI614" s="230"/>
    </row>
    <row r="615">
      <c r="O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  <c r="AI615" s="230"/>
    </row>
    <row r="616">
      <c r="O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  <c r="AI616" s="230"/>
    </row>
    <row r="617">
      <c r="O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</row>
    <row r="618">
      <c r="O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</row>
    <row r="619">
      <c r="O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  <c r="AI619" s="230"/>
    </row>
    <row r="620">
      <c r="O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</row>
    <row r="621">
      <c r="O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  <c r="AI621" s="230"/>
    </row>
    <row r="622">
      <c r="O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  <c r="AI622" s="230"/>
    </row>
    <row r="623">
      <c r="O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  <c r="AI623" s="230"/>
    </row>
    <row r="624">
      <c r="O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</row>
    <row r="625">
      <c r="O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  <c r="AI625" s="230"/>
    </row>
    <row r="626">
      <c r="O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  <c r="AI626" s="230"/>
    </row>
    <row r="627">
      <c r="O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  <c r="AI627" s="230"/>
    </row>
    <row r="628">
      <c r="O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  <c r="AI628" s="230"/>
    </row>
    <row r="629">
      <c r="O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  <c r="AI629" s="230"/>
    </row>
    <row r="630">
      <c r="O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  <c r="AI630" s="230"/>
    </row>
    <row r="631">
      <c r="O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  <c r="AI631" s="230"/>
    </row>
    <row r="632">
      <c r="O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  <c r="AI632" s="230"/>
    </row>
    <row r="633">
      <c r="O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  <c r="AI633" s="230"/>
    </row>
    <row r="634">
      <c r="O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  <c r="AI634" s="230"/>
    </row>
    <row r="635">
      <c r="O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  <c r="AI635" s="230"/>
    </row>
    <row r="636">
      <c r="O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  <c r="AI636" s="230"/>
    </row>
    <row r="637">
      <c r="O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  <c r="AI637" s="230"/>
    </row>
    <row r="638">
      <c r="O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  <c r="AI638" s="230"/>
    </row>
    <row r="639">
      <c r="O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</row>
    <row r="640">
      <c r="O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  <c r="AI640" s="230"/>
    </row>
    <row r="641">
      <c r="O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  <c r="AI641" s="230"/>
    </row>
    <row r="642">
      <c r="O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  <c r="AI642" s="230"/>
    </row>
    <row r="643">
      <c r="O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  <c r="AI643" s="230"/>
    </row>
    <row r="644">
      <c r="O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  <c r="AI644" s="230"/>
    </row>
    <row r="645">
      <c r="O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  <c r="AI645" s="230"/>
    </row>
    <row r="646">
      <c r="O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  <c r="AI646" s="230"/>
    </row>
    <row r="647">
      <c r="O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  <c r="AI647" s="230"/>
    </row>
    <row r="648">
      <c r="O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  <c r="AI648" s="230"/>
    </row>
    <row r="649">
      <c r="O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  <c r="AI649" s="230"/>
    </row>
    <row r="650">
      <c r="O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  <c r="AI650" s="230"/>
    </row>
    <row r="651">
      <c r="O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  <c r="AI651" s="230"/>
    </row>
    <row r="652">
      <c r="O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  <c r="AI652" s="230"/>
    </row>
    <row r="653">
      <c r="O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  <c r="AI653" s="230"/>
    </row>
    <row r="654">
      <c r="O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  <c r="AI654" s="230"/>
    </row>
    <row r="655">
      <c r="O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  <c r="AI655" s="230"/>
    </row>
    <row r="656">
      <c r="O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  <c r="AI656" s="230"/>
    </row>
    <row r="657">
      <c r="O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  <c r="AI657" s="230"/>
    </row>
    <row r="658">
      <c r="O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  <c r="AI658" s="230"/>
    </row>
    <row r="659">
      <c r="O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  <c r="AI659" s="230"/>
    </row>
    <row r="660">
      <c r="O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  <c r="AI660" s="230"/>
    </row>
    <row r="661">
      <c r="O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</row>
    <row r="662">
      <c r="O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  <c r="AI662" s="230"/>
    </row>
    <row r="663">
      <c r="O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  <c r="AI663" s="230"/>
    </row>
    <row r="664">
      <c r="O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  <c r="AI664" s="230"/>
    </row>
    <row r="665">
      <c r="O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  <c r="AI665" s="230"/>
    </row>
    <row r="666">
      <c r="O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  <c r="AI666" s="230"/>
    </row>
    <row r="667">
      <c r="O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  <c r="AI667" s="230"/>
    </row>
    <row r="668">
      <c r="O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  <c r="AI668" s="230"/>
    </row>
    <row r="669">
      <c r="O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  <c r="AI669" s="230"/>
    </row>
    <row r="670">
      <c r="O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  <c r="AI670" s="230"/>
    </row>
    <row r="671">
      <c r="O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  <c r="AI671" s="230"/>
    </row>
    <row r="672">
      <c r="O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  <c r="AI672" s="230"/>
    </row>
    <row r="673">
      <c r="O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  <c r="AI673" s="230"/>
    </row>
    <row r="674">
      <c r="O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  <c r="AI674" s="230"/>
    </row>
    <row r="675">
      <c r="O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  <c r="AI675" s="230"/>
    </row>
    <row r="676">
      <c r="O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  <c r="AI676" s="230"/>
    </row>
    <row r="677">
      <c r="O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  <c r="AI677" s="230"/>
    </row>
    <row r="678">
      <c r="O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  <c r="AI678" s="230"/>
    </row>
    <row r="679">
      <c r="O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  <c r="AI679" s="230"/>
    </row>
    <row r="680">
      <c r="O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  <c r="AI680" s="230"/>
    </row>
    <row r="681">
      <c r="O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  <c r="AI681" s="230"/>
    </row>
    <row r="682">
      <c r="O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  <c r="AI682" s="230"/>
    </row>
    <row r="683">
      <c r="O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</row>
    <row r="684">
      <c r="O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  <c r="AI684" s="230"/>
    </row>
    <row r="685">
      <c r="O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  <c r="AI685" s="230"/>
    </row>
    <row r="686">
      <c r="O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  <c r="AI686" s="230"/>
    </row>
    <row r="687">
      <c r="O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  <c r="AI687" s="230"/>
    </row>
    <row r="688">
      <c r="O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  <c r="AI688" s="230"/>
    </row>
    <row r="689">
      <c r="O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  <c r="AI689" s="230"/>
    </row>
    <row r="690">
      <c r="O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  <c r="AI690" s="230"/>
    </row>
    <row r="691">
      <c r="O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  <c r="AI691" s="230"/>
    </row>
    <row r="692">
      <c r="O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  <c r="AI692" s="230"/>
    </row>
    <row r="693">
      <c r="O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  <c r="AI693" s="230"/>
    </row>
    <row r="694">
      <c r="O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  <c r="AI694" s="230"/>
    </row>
    <row r="695">
      <c r="O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  <c r="AI695" s="230"/>
    </row>
    <row r="696">
      <c r="O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  <c r="AI696" s="230"/>
    </row>
    <row r="697">
      <c r="O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  <c r="AI697" s="230"/>
    </row>
    <row r="698">
      <c r="O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  <c r="AI698" s="230"/>
    </row>
    <row r="699">
      <c r="O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  <c r="AI699" s="230"/>
    </row>
    <row r="700">
      <c r="O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  <c r="AI700" s="230"/>
    </row>
    <row r="701">
      <c r="O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  <c r="AI701" s="230"/>
    </row>
    <row r="702">
      <c r="O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  <c r="AI702" s="230"/>
    </row>
    <row r="703">
      <c r="O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  <c r="AI703" s="230"/>
    </row>
    <row r="704">
      <c r="O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  <c r="AI704" s="230"/>
    </row>
    <row r="705">
      <c r="O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  <c r="AI705" s="230"/>
    </row>
    <row r="706">
      <c r="O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  <c r="AI706" s="230"/>
    </row>
    <row r="707">
      <c r="O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  <c r="AI707" s="230"/>
    </row>
    <row r="708">
      <c r="O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  <c r="AI708" s="230"/>
    </row>
    <row r="709">
      <c r="O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  <c r="AI709" s="230"/>
    </row>
    <row r="710">
      <c r="O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  <c r="AI710" s="230"/>
    </row>
    <row r="711">
      <c r="O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  <c r="AI711" s="230"/>
    </row>
    <row r="712">
      <c r="O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  <c r="AI712" s="230"/>
    </row>
    <row r="713">
      <c r="O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  <c r="AI713" s="230"/>
    </row>
    <row r="714">
      <c r="O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  <c r="AI714" s="230"/>
    </row>
    <row r="715">
      <c r="O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  <c r="AI715" s="230"/>
    </row>
    <row r="716">
      <c r="O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  <c r="AI716" s="230"/>
    </row>
    <row r="717">
      <c r="O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  <c r="AI717" s="230"/>
    </row>
    <row r="718">
      <c r="O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  <c r="AI718" s="230"/>
    </row>
    <row r="719">
      <c r="O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  <c r="AI719" s="230"/>
    </row>
    <row r="720">
      <c r="O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  <c r="AI720" s="230"/>
    </row>
    <row r="721">
      <c r="O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  <c r="AI721" s="230"/>
    </row>
    <row r="722">
      <c r="O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  <c r="AI722" s="230"/>
    </row>
    <row r="723">
      <c r="O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  <c r="AI723" s="230"/>
    </row>
    <row r="724">
      <c r="O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  <c r="AI724" s="230"/>
    </row>
    <row r="725">
      <c r="O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  <c r="AI725" s="230"/>
    </row>
    <row r="726">
      <c r="O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  <c r="AI726" s="230"/>
    </row>
    <row r="727">
      <c r="O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  <c r="AI727" s="230"/>
    </row>
    <row r="728">
      <c r="O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  <c r="AI728" s="230"/>
    </row>
    <row r="729">
      <c r="O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  <c r="AI729" s="230"/>
    </row>
    <row r="730">
      <c r="O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  <c r="AI730" s="230"/>
    </row>
    <row r="731">
      <c r="O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  <c r="AI731" s="230"/>
    </row>
    <row r="732">
      <c r="O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  <c r="AI732" s="230"/>
    </row>
    <row r="733">
      <c r="O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</row>
    <row r="734">
      <c r="O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</row>
    <row r="735">
      <c r="O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</row>
    <row r="736">
      <c r="O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</row>
    <row r="737">
      <c r="O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</row>
    <row r="738">
      <c r="O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</row>
    <row r="739">
      <c r="O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</row>
    <row r="740">
      <c r="O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</row>
    <row r="741">
      <c r="O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</row>
    <row r="742">
      <c r="O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</row>
    <row r="743">
      <c r="O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</row>
    <row r="744">
      <c r="O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</row>
    <row r="745">
      <c r="O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</row>
    <row r="746">
      <c r="O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</row>
    <row r="747">
      <c r="O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</row>
    <row r="748">
      <c r="O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</row>
    <row r="749">
      <c r="O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  <c r="AI749" s="230"/>
    </row>
    <row r="750">
      <c r="O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  <c r="AI750" s="230"/>
    </row>
    <row r="751">
      <c r="O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  <c r="AI751" s="230"/>
    </row>
    <row r="752">
      <c r="O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  <c r="AI752" s="230"/>
    </row>
    <row r="753">
      <c r="O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  <c r="AI753" s="230"/>
    </row>
    <row r="754">
      <c r="O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  <c r="AI754" s="230"/>
    </row>
    <row r="755">
      <c r="O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  <c r="AI755" s="230"/>
    </row>
    <row r="756">
      <c r="O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  <c r="AI756" s="230"/>
    </row>
    <row r="757">
      <c r="O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  <c r="AI757" s="230"/>
    </row>
    <row r="758">
      <c r="O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  <c r="AI758" s="230"/>
    </row>
    <row r="759">
      <c r="O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  <c r="AI759" s="230"/>
    </row>
    <row r="760">
      <c r="O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  <c r="AI760" s="230"/>
    </row>
    <row r="761">
      <c r="O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  <c r="AI761" s="230"/>
    </row>
    <row r="762">
      <c r="O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  <c r="AI762" s="230"/>
    </row>
    <row r="763">
      <c r="O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  <c r="AI763" s="230"/>
    </row>
    <row r="764">
      <c r="O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  <c r="AI764" s="230"/>
    </row>
    <row r="765">
      <c r="O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  <c r="AI765" s="230"/>
    </row>
    <row r="766">
      <c r="O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  <c r="AI766" s="230"/>
    </row>
    <row r="767">
      <c r="O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  <c r="AI767" s="230"/>
    </row>
    <row r="768">
      <c r="O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  <c r="AI768" s="230"/>
    </row>
    <row r="769">
      <c r="O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  <c r="AI769" s="230"/>
    </row>
    <row r="770">
      <c r="O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  <c r="AI770" s="230"/>
    </row>
    <row r="771">
      <c r="O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  <c r="AI771" s="230"/>
    </row>
    <row r="772">
      <c r="O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  <c r="AI772" s="230"/>
    </row>
    <row r="773">
      <c r="O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  <c r="AI773" s="230"/>
    </row>
    <row r="774">
      <c r="O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  <c r="AI774" s="230"/>
    </row>
    <row r="775">
      <c r="O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  <c r="AI775" s="230"/>
    </row>
    <row r="776">
      <c r="O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  <c r="AI776" s="230"/>
    </row>
    <row r="777">
      <c r="O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  <c r="AI777" s="230"/>
    </row>
    <row r="778">
      <c r="O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  <c r="AI778" s="230"/>
    </row>
    <row r="779">
      <c r="O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  <c r="AI779" s="230"/>
    </row>
    <row r="780">
      <c r="O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  <c r="AI780" s="230"/>
    </row>
    <row r="781">
      <c r="O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  <c r="AI781" s="230"/>
    </row>
    <row r="782">
      <c r="O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  <c r="AI782" s="230"/>
    </row>
    <row r="783">
      <c r="O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</row>
    <row r="784">
      <c r="O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  <c r="AI784" s="230"/>
    </row>
    <row r="785">
      <c r="O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  <c r="AI785" s="230"/>
    </row>
    <row r="786">
      <c r="O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  <c r="AI786" s="230"/>
    </row>
    <row r="787">
      <c r="O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  <c r="AI787" s="230"/>
    </row>
    <row r="788">
      <c r="O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  <c r="AI788" s="230"/>
    </row>
    <row r="789">
      <c r="O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  <c r="AI789" s="230"/>
    </row>
    <row r="790">
      <c r="O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  <c r="AI790" s="230"/>
    </row>
    <row r="791">
      <c r="O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</row>
    <row r="792">
      <c r="O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  <c r="AI792" s="230"/>
    </row>
    <row r="793">
      <c r="O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  <c r="AI793" s="230"/>
    </row>
    <row r="794">
      <c r="O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  <c r="AI794" s="230"/>
    </row>
    <row r="795">
      <c r="O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  <c r="AI795" s="230"/>
    </row>
    <row r="796">
      <c r="O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  <c r="AI796" s="230"/>
    </row>
    <row r="797">
      <c r="O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  <c r="AI797" s="230"/>
    </row>
    <row r="798">
      <c r="O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  <c r="AI798" s="230"/>
    </row>
    <row r="799">
      <c r="O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  <c r="AI799" s="230"/>
    </row>
    <row r="800">
      <c r="O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  <c r="AI800" s="230"/>
    </row>
    <row r="801">
      <c r="O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  <c r="AI801" s="230"/>
    </row>
    <row r="802">
      <c r="O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  <c r="AI802" s="230"/>
    </row>
    <row r="803">
      <c r="O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  <c r="AI803" s="230"/>
    </row>
    <row r="804">
      <c r="O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  <c r="AI804" s="230"/>
    </row>
    <row r="805">
      <c r="O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  <c r="AI805" s="230"/>
    </row>
    <row r="806">
      <c r="O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  <c r="AI806" s="230"/>
    </row>
    <row r="807">
      <c r="O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  <c r="AI807" s="230"/>
    </row>
    <row r="808">
      <c r="O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  <c r="AI808" s="230"/>
    </row>
    <row r="809">
      <c r="O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  <c r="AI809" s="230"/>
    </row>
    <row r="810">
      <c r="O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  <c r="AI810" s="230"/>
    </row>
    <row r="811">
      <c r="O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  <c r="AI811" s="230"/>
    </row>
    <row r="812">
      <c r="O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  <c r="AI812" s="230"/>
    </row>
    <row r="813">
      <c r="O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  <c r="AI813" s="230"/>
    </row>
    <row r="814">
      <c r="O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  <c r="AI814" s="230"/>
    </row>
    <row r="815">
      <c r="O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  <c r="AI815" s="230"/>
    </row>
    <row r="816">
      <c r="O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  <c r="AI816" s="230"/>
    </row>
    <row r="817">
      <c r="O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  <c r="AI817" s="230"/>
    </row>
    <row r="818">
      <c r="O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  <c r="AI818" s="230"/>
    </row>
    <row r="819">
      <c r="O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  <c r="AI819" s="230"/>
    </row>
    <row r="820">
      <c r="O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  <c r="AI820" s="230"/>
    </row>
    <row r="821">
      <c r="O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  <c r="AI821" s="230"/>
    </row>
    <row r="822">
      <c r="O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  <c r="AI822" s="230"/>
    </row>
    <row r="823">
      <c r="O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  <c r="AI823" s="230"/>
    </row>
    <row r="824">
      <c r="O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  <c r="AI824" s="230"/>
    </row>
    <row r="825">
      <c r="O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  <c r="AI825" s="230"/>
    </row>
    <row r="826">
      <c r="O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  <c r="AI826" s="230"/>
    </row>
    <row r="827">
      <c r="O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  <c r="AI827" s="230"/>
    </row>
    <row r="828">
      <c r="O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  <c r="AI828" s="230"/>
    </row>
    <row r="829">
      <c r="O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  <c r="AI829" s="230"/>
    </row>
    <row r="830">
      <c r="O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  <c r="AI830" s="230"/>
    </row>
    <row r="831">
      <c r="O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</row>
    <row r="832">
      <c r="O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  <c r="AI832" s="230"/>
    </row>
    <row r="833">
      <c r="O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  <c r="AI833" s="230"/>
    </row>
    <row r="834">
      <c r="O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  <c r="AI834" s="230"/>
    </row>
    <row r="835">
      <c r="O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  <c r="AI835" s="230"/>
    </row>
    <row r="836">
      <c r="O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  <c r="AI836" s="230"/>
    </row>
    <row r="837">
      <c r="O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  <c r="AI837" s="230"/>
    </row>
    <row r="838">
      <c r="O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  <c r="AI838" s="230"/>
    </row>
    <row r="839">
      <c r="O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  <c r="AI839" s="230"/>
    </row>
    <row r="840">
      <c r="O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  <c r="AI840" s="230"/>
    </row>
    <row r="841">
      <c r="O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  <c r="AI841" s="230"/>
    </row>
    <row r="842">
      <c r="O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  <c r="AI842" s="230"/>
    </row>
    <row r="843">
      <c r="O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  <c r="AI843" s="230"/>
    </row>
    <row r="844">
      <c r="O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  <c r="AI844" s="230"/>
    </row>
    <row r="845">
      <c r="O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  <c r="AI845" s="230"/>
    </row>
    <row r="846">
      <c r="O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  <c r="AI846" s="230"/>
    </row>
    <row r="847">
      <c r="O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  <c r="AI847" s="230"/>
    </row>
    <row r="848">
      <c r="O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  <c r="AI848" s="230"/>
    </row>
    <row r="849">
      <c r="O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  <c r="AI849" s="230"/>
    </row>
    <row r="850">
      <c r="O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  <c r="AI850" s="230"/>
    </row>
    <row r="851">
      <c r="O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  <c r="AI851" s="230"/>
    </row>
    <row r="852">
      <c r="O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  <c r="AI852" s="230"/>
    </row>
    <row r="853">
      <c r="O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  <c r="AI853" s="230"/>
    </row>
    <row r="854">
      <c r="O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  <c r="AI854" s="230"/>
    </row>
    <row r="855">
      <c r="O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  <c r="AI855" s="230"/>
    </row>
    <row r="856">
      <c r="O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  <c r="AI856" s="230"/>
    </row>
    <row r="857">
      <c r="O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  <c r="AI857" s="230"/>
    </row>
    <row r="858">
      <c r="O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  <c r="AI858" s="230"/>
    </row>
    <row r="859">
      <c r="O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  <c r="AI859" s="230"/>
    </row>
    <row r="860">
      <c r="O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  <c r="AI860" s="230"/>
    </row>
    <row r="861">
      <c r="O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  <c r="AI861" s="230"/>
    </row>
    <row r="862">
      <c r="O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  <c r="AI862" s="230"/>
    </row>
    <row r="863">
      <c r="O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  <c r="AI863" s="230"/>
    </row>
    <row r="864">
      <c r="O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  <c r="AI864" s="230"/>
    </row>
    <row r="865">
      <c r="O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  <c r="AI865" s="230"/>
    </row>
    <row r="866">
      <c r="O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  <c r="AI866" s="230"/>
    </row>
    <row r="867">
      <c r="O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  <c r="AI867" s="230"/>
    </row>
    <row r="868">
      <c r="O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  <c r="AI868" s="230"/>
    </row>
    <row r="869">
      <c r="O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  <c r="AI869" s="230"/>
    </row>
    <row r="870">
      <c r="O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  <c r="AI870" s="230"/>
    </row>
    <row r="871">
      <c r="O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  <c r="AI871" s="230"/>
    </row>
    <row r="872">
      <c r="O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  <c r="AI872" s="230"/>
    </row>
    <row r="873">
      <c r="O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  <c r="AI873" s="230"/>
    </row>
    <row r="874">
      <c r="O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  <c r="AI874" s="230"/>
    </row>
    <row r="875">
      <c r="O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  <c r="AI875" s="230"/>
    </row>
    <row r="876">
      <c r="O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  <c r="AI876" s="230"/>
    </row>
    <row r="877">
      <c r="O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  <c r="AI877" s="230"/>
    </row>
    <row r="878">
      <c r="O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  <c r="AI878" s="230"/>
    </row>
    <row r="879">
      <c r="O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  <c r="AI879" s="230"/>
    </row>
    <row r="880">
      <c r="O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  <c r="AI880" s="230"/>
    </row>
    <row r="881">
      <c r="O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  <c r="AI881" s="230"/>
    </row>
    <row r="882">
      <c r="O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  <c r="AI882" s="230"/>
    </row>
    <row r="883">
      <c r="O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  <c r="AI883" s="230"/>
    </row>
    <row r="884">
      <c r="O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  <c r="AI884" s="230"/>
    </row>
    <row r="885">
      <c r="O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  <c r="AI885" s="230"/>
    </row>
    <row r="886">
      <c r="O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  <c r="AI886" s="230"/>
    </row>
    <row r="887">
      <c r="O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  <c r="AI887" s="230"/>
    </row>
    <row r="888">
      <c r="O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  <c r="AI888" s="230"/>
    </row>
    <row r="889">
      <c r="O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  <c r="AI889" s="230"/>
    </row>
    <row r="890">
      <c r="O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  <c r="AI890" s="230"/>
    </row>
    <row r="891">
      <c r="O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  <c r="AI891" s="230"/>
    </row>
    <row r="892">
      <c r="O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  <c r="AI892" s="230"/>
    </row>
    <row r="893">
      <c r="O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  <c r="AI893" s="230"/>
    </row>
    <row r="894">
      <c r="O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  <c r="AI894" s="230"/>
    </row>
    <row r="895">
      <c r="O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  <c r="AI895" s="230"/>
    </row>
    <row r="896">
      <c r="O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  <c r="AI896" s="230"/>
    </row>
    <row r="897">
      <c r="O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  <c r="AI897" s="230"/>
    </row>
    <row r="898">
      <c r="O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  <c r="AI898" s="230"/>
    </row>
    <row r="899">
      <c r="O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  <c r="AI899" s="230"/>
    </row>
    <row r="900">
      <c r="O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  <c r="AI900" s="230"/>
    </row>
    <row r="901">
      <c r="O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  <c r="AI901" s="230"/>
    </row>
    <row r="902">
      <c r="O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  <c r="AI902" s="230"/>
    </row>
    <row r="903">
      <c r="O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  <c r="AI903" s="230"/>
    </row>
    <row r="904">
      <c r="O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  <c r="AI904" s="230"/>
    </row>
    <row r="905">
      <c r="O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  <c r="AI905" s="230"/>
    </row>
    <row r="906">
      <c r="O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  <c r="AI906" s="230"/>
    </row>
    <row r="907">
      <c r="O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  <c r="AI907" s="230"/>
    </row>
    <row r="908">
      <c r="O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  <c r="AI908" s="230"/>
    </row>
    <row r="909">
      <c r="O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  <c r="AI909" s="230"/>
    </row>
    <row r="910">
      <c r="O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  <c r="AI910" s="230"/>
    </row>
    <row r="911">
      <c r="O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  <c r="AI911" s="230"/>
    </row>
    <row r="912">
      <c r="O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  <c r="AI912" s="230"/>
    </row>
    <row r="913">
      <c r="O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  <c r="AI913" s="230"/>
    </row>
    <row r="914">
      <c r="O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  <c r="AI914" s="230"/>
    </row>
    <row r="915">
      <c r="O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  <c r="AI915" s="230"/>
    </row>
    <row r="916">
      <c r="O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  <c r="AI916" s="230"/>
    </row>
    <row r="917">
      <c r="O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  <c r="AI917" s="230"/>
    </row>
    <row r="918">
      <c r="O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  <c r="AI918" s="230"/>
    </row>
    <row r="919">
      <c r="O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  <c r="AI919" s="230"/>
    </row>
    <row r="920">
      <c r="O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  <c r="AI920" s="230"/>
    </row>
    <row r="921">
      <c r="O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  <c r="AI921" s="230"/>
    </row>
    <row r="922">
      <c r="O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  <c r="AI922" s="230"/>
    </row>
    <row r="923">
      <c r="O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</row>
    <row r="924">
      <c r="O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  <c r="AI924" s="230"/>
    </row>
    <row r="925">
      <c r="O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  <c r="AI925" s="230"/>
    </row>
    <row r="926">
      <c r="O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  <c r="AI926" s="230"/>
    </row>
    <row r="927">
      <c r="O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  <c r="AI927" s="230"/>
    </row>
    <row r="928">
      <c r="O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  <c r="AI928" s="230"/>
    </row>
    <row r="929">
      <c r="O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  <c r="AI929" s="230"/>
    </row>
    <row r="930">
      <c r="O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  <c r="AI930" s="230"/>
    </row>
    <row r="931">
      <c r="O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  <c r="AI931" s="230"/>
    </row>
    <row r="932">
      <c r="O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  <c r="AI932" s="230"/>
    </row>
    <row r="933">
      <c r="O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</row>
    <row r="934">
      <c r="O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</row>
    <row r="935">
      <c r="O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</row>
    <row r="936">
      <c r="O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</row>
    <row r="937">
      <c r="O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</row>
    <row r="938">
      <c r="O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</row>
    <row r="939">
      <c r="O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</row>
    <row r="940">
      <c r="O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</row>
    <row r="941">
      <c r="O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</row>
    <row r="942">
      <c r="O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</row>
    <row r="943">
      <c r="O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</row>
    <row r="944">
      <c r="O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</row>
    <row r="945">
      <c r="O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</row>
    <row r="946">
      <c r="O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</row>
    <row r="947">
      <c r="O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</row>
    <row r="948">
      <c r="O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  <c r="AI948" s="230"/>
    </row>
    <row r="949">
      <c r="O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  <c r="AI949" s="230"/>
    </row>
    <row r="950">
      <c r="O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  <c r="AI950" s="230"/>
    </row>
    <row r="951">
      <c r="O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  <c r="AI951" s="230"/>
    </row>
    <row r="952">
      <c r="O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  <c r="AI952" s="230"/>
    </row>
    <row r="953">
      <c r="O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  <c r="AI953" s="230"/>
    </row>
    <row r="954">
      <c r="O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  <c r="AI954" s="230"/>
    </row>
    <row r="955">
      <c r="O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  <c r="AI955" s="230"/>
    </row>
    <row r="956">
      <c r="O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  <c r="AI956" s="230"/>
    </row>
    <row r="957">
      <c r="O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  <c r="AI957" s="230"/>
    </row>
    <row r="958">
      <c r="O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  <c r="AI958" s="230"/>
    </row>
    <row r="959">
      <c r="O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  <c r="AI959" s="230"/>
    </row>
    <row r="960">
      <c r="O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  <c r="AI960" s="230"/>
    </row>
    <row r="961">
      <c r="O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  <c r="AI961" s="230"/>
    </row>
    <row r="962">
      <c r="O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  <c r="AI962" s="230"/>
    </row>
    <row r="963">
      <c r="O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  <c r="AI963" s="230"/>
    </row>
    <row r="964">
      <c r="O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  <c r="AI964" s="230"/>
    </row>
    <row r="965">
      <c r="O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  <c r="AI965" s="230"/>
    </row>
    <row r="966">
      <c r="O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  <c r="AI966" s="230"/>
    </row>
    <row r="967">
      <c r="O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  <c r="AI967" s="230"/>
    </row>
    <row r="968">
      <c r="O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  <c r="AI968" s="230"/>
    </row>
    <row r="969">
      <c r="O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  <c r="AI969" s="230"/>
    </row>
    <row r="970">
      <c r="O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  <c r="AI970" s="230"/>
    </row>
    <row r="971">
      <c r="O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  <c r="AI971" s="230"/>
    </row>
    <row r="972">
      <c r="O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  <c r="AI972" s="230"/>
    </row>
    <row r="973">
      <c r="O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  <c r="AI973" s="230"/>
    </row>
    <row r="974">
      <c r="O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  <c r="AI974" s="230"/>
    </row>
    <row r="975">
      <c r="O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  <c r="AI975" s="230"/>
    </row>
    <row r="976">
      <c r="O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  <c r="AI976" s="230"/>
    </row>
    <row r="977">
      <c r="O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  <c r="AI977" s="230"/>
    </row>
    <row r="978">
      <c r="O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  <c r="AI978" s="230"/>
    </row>
    <row r="979">
      <c r="O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  <c r="AI979" s="230"/>
    </row>
    <row r="980">
      <c r="O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  <c r="AI980" s="230"/>
    </row>
    <row r="981">
      <c r="O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  <c r="AI981" s="230"/>
    </row>
    <row r="982">
      <c r="O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  <c r="AI982" s="230"/>
    </row>
    <row r="983">
      <c r="O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  <c r="AI983" s="230"/>
    </row>
    <row r="984">
      <c r="O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  <c r="AI984" s="230"/>
    </row>
    <row r="985">
      <c r="O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  <c r="AI985" s="230"/>
    </row>
    <row r="986">
      <c r="O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  <c r="AI986" s="230"/>
    </row>
    <row r="987">
      <c r="O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  <c r="AI987" s="230"/>
    </row>
    <row r="988">
      <c r="O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  <c r="AI988" s="230"/>
    </row>
    <row r="989">
      <c r="O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  <c r="AI989" s="230"/>
    </row>
    <row r="990">
      <c r="O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  <c r="AI990" s="230"/>
    </row>
    <row r="991">
      <c r="O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  <c r="AI991" s="230"/>
    </row>
    <row r="992">
      <c r="O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  <c r="AI992" s="230"/>
    </row>
    <row r="993">
      <c r="O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  <c r="AI993" s="230"/>
    </row>
    <row r="994">
      <c r="O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  <c r="AI994" s="230"/>
    </row>
    <row r="995">
      <c r="O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  <c r="AI995" s="230"/>
    </row>
    <row r="996">
      <c r="O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  <c r="AI996" s="230"/>
    </row>
    <row r="997">
      <c r="O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  <c r="AI997" s="230"/>
    </row>
    <row r="998">
      <c r="O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  <c r="AI998" s="230"/>
    </row>
    <row r="999">
      <c r="O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  <c r="AI999" s="230"/>
    </row>
    <row r="1000">
      <c r="O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  <c r="AI1000" s="230"/>
    </row>
    <row r="1001">
      <c r="O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  <c r="AI1001" s="230"/>
    </row>
    <row r="1002">
      <c r="O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  <c r="AI1002" s="230"/>
    </row>
    <row r="1003">
      <c r="O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  <c r="AI1003" s="230"/>
    </row>
    <row r="1004">
      <c r="O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  <c r="AI1004" s="230"/>
    </row>
    <row r="1005">
      <c r="O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  <c r="AI1005" s="230"/>
    </row>
    <row r="1006">
      <c r="O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  <c r="AI1006" s="230"/>
    </row>
    <row r="1007">
      <c r="O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  <c r="AI1007" s="230"/>
    </row>
    <row r="1008">
      <c r="O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  <c r="AI1008" s="230"/>
    </row>
    <row r="1009">
      <c r="O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  <c r="AI1009" s="230"/>
    </row>
    <row r="1010">
      <c r="O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  <c r="AI1010" s="230"/>
    </row>
    <row r="1011">
      <c r="O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  <c r="AI1011" s="230"/>
    </row>
    <row r="1012">
      <c r="O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  <c r="AI1012" s="230"/>
    </row>
    <row r="1013">
      <c r="O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  <c r="AI1013" s="230"/>
    </row>
    <row r="1014">
      <c r="O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  <c r="AI1014" s="230"/>
    </row>
    <row r="1015">
      <c r="O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  <c r="AI1015" s="230"/>
    </row>
    <row r="1016">
      <c r="O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  <c r="AI1016" s="230"/>
    </row>
    <row r="1017">
      <c r="O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  <c r="AI1017" s="230"/>
    </row>
    <row r="1018">
      <c r="O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  <c r="AI1018" s="230"/>
    </row>
    <row r="1019">
      <c r="O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  <c r="AI1019" s="230"/>
    </row>
    <row r="1020">
      <c r="O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  <c r="AI1020" s="230"/>
    </row>
    <row r="1021">
      <c r="O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  <c r="AI1021" s="230"/>
    </row>
    <row r="1022">
      <c r="O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  <c r="AI1022" s="230"/>
    </row>
    <row r="1023">
      <c r="O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  <c r="AI1023" s="230"/>
    </row>
    <row r="1024">
      <c r="O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  <c r="AI1024" s="230"/>
    </row>
    <row r="1025">
      <c r="O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  <c r="AI1025" s="230"/>
    </row>
    <row r="1026">
      <c r="O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  <c r="AI1026" s="230"/>
    </row>
    <row r="1027">
      <c r="O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  <c r="AI1027" s="230"/>
    </row>
    <row r="1028">
      <c r="O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  <c r="AI1028" s="230"/>
    </row>
    <row r="1029">
      <c r="O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  <c r="AI1029" s="230"/>
    </row>
    <row r="1030">
      <c r="O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  <c r="AI1030" s="230"/>
    </row>
    <row r="1031">
      <c r="O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  <c r="AI1031" s="230"/>
    </row>
    <row r="1032">
      <c r="O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  <c r="AI1032" s="230"/>
    </row>
    <row r="1033">
      <c r="O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  <c r="AI1033" s="230"/>
    </row>
    <row r="1034">
      <c r="O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  <c r="AI1034" s="230"/>
    </row>
    <row r="1035">
      <c r="O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  <c r="AI1035" s="230"/>
    </row>
    <row r="1036">
      <c r="O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  <c r="AI1036" s="230"/>
    </row>
    <row r="1037">
      <c r="O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  <c r="AI1037" s="230"/>
    </row>
    <row r="1038">
      <c r="O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  <c r="AI1038" s="230"/>
    </row>
    <row r="1039">
      <c r="O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  <c r="AI1039" s="230"/>
    </row>
    <row r="1040">
      <c r="O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  <c r="AI1040" s="230"/>
    </row>
    <row r="1041">
      <c r="O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  <c r="AI1041" s="230"/>
    </row>
    <row r="1042">
      <c r="O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  <c r="AI1042" s="230"/>
    </row>
    <row r="1043">
      <c r="O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  <c r="AI1043" s="230"/>
    </row>
    <row r="1044">
      <c r="O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  <c r="AI1044" s="230"/>
    </row>
    <row r="1045">
      <c r="O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  <c r="AI1045" s="230"/>
    </row>
    <row r="1046">
      <c r="O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  <c r="AI1046" s="230"/>
    </row>
    <row r="1047">
      <c r="O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  <c r="AI1047" s="230"/>
    </row>
    <row r="1048">
      <c r="O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  <c r="AI1048" s="230"/>
    </row>
    <row r="1049">
      <c r="O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  <c r="AI1049" s="230"/>
    </row>
    <row r="1050">
      <c r="O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  <c r="AI1050" s="230"/>
    </row>
    <row r="1051">
      <c r="O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  <c r="AI1051" s="230"/>
    </row>
    <row r="1052">
      <c r="O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  <c r="AI1052" s="230"/>
    </row>
    <row r="1053">
      <c r="O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  <c r="AI1053" s="230"/>
    </row>
    <row r="1054">
      <c r="O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  <c r="AI1054" s="230"/>
    </row>
    <row r="1055">
      <c r="O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  <c r="AI1055" s="230"/>
    </row>
    <row r="1056">
      <c r="O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  <c r="AI1056" s="230"/>
    </row>
    <row r="1057">
      <c r="O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  <c r="AI1057" s="230"/>
    </row>
    <row r="1058">
      <c r="O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  <c r="AI1058" s="230"/>
    </row>
    <row r="1059">
      <c r="O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  <c r="AI1059" s="230"/>
    </row>
    <row r="1060">
      <c r="O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  <c r="AI1060" s="230"/>
    </row>
    <row r="1061">
      <c r="O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  <c r="AI1061" s="230"/>
    </row>
    <row r="1062">
      <c r="O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  <c r="AI1062" s="230"/>
    </row>
    <row r="1063">
      <c r="O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  <c r="AI1063" s="230"/>
    </row>
    <row r="1064">
      <c r="O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  <c r="AI1064" s="230"/>
    </row>
    <row r="1065">
      <c r="O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  <c r="AI1065" s="230"/>
    </row>
    <row r="1066">
      <c r="O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  <c r="AI1066" s="230"/>
    </row>
    <row r="1067">
      <c r="O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  <c r="AI1067" s="230"/>
    </row>
    <row r="1068">
      <c r="O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  <c r="AI1068" s="230"/>
    </row>
    <row r="1069">
      <c r="O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  <c r="AI1069" s="230"/>
    </row>
    <row r="1070">
      <c r="O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  <c r="AI1070" s="230"/>
    </row>
    <row r="1071">
      <c r="O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  <c r="AI1071" s="230"/>
    </row>
    <row r="1072">
      <c r="O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  <c r="AI1072" s="230"/>
    </row>
    <row r="1073">
      <c r="O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  <c r="AI1073" s="230"/>
    </row>
    <row r="1074">
      <c r="O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  <c r="AI1074" s="230"/>
    </row>
    <row r="1075">
      <c r="O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  <c r="AI1075" s="230"/>
    </row>
    <row r="1076">
      <c r="O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  <c r="AI1076" s="230"/>
    </row>
    <row r="1077">
      <c r="O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  <c r="AI1077" s="230"/>
    </row>
    <row r="1078">
      <c r="O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  <c r="AI1078" s="230"/>
    </row>
    <row r="1079">
      <c r="O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  <c r="AI1079" s="230"/>
    </row>
    <row r="1080">
      <c r="O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  <c r="AI1080" s="230"/>
    </row>
    <row r="1081">
      <c r="O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  <c r="AI1081" s="230"/>
    </row>
    <row r="1082">
      <c r="O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  <c r="AI1082" s="230"/>
    </row>
    <row r="1083">
      <c r="O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  <c r="AI1083" s="230"/>
    </row>
    <row r="1084">
      <c r="O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  <c r="AI1084" s="230"/>
    </row>
    <row r="1085">
      <c r="O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  <c r="AI1085" s="230"/>
    </row>
    <row r="1086">
      <c r="O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  <c r="AI1086" s="230"/>
    </row>
    <row r="1087">
      <c r="O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  <c r="AI1087" s="230"/>
    </row>
    <row r="1088">
      <c r="O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  <c r="AI1088" s="230"/>
    </row>
    <row r="1089">
      <c r="O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  <c r="AI1089" s="230"/>
    </row>
    <row r="1090">
      <c r="O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  <c r="AI1090" s="230"/>
    </row>
    <row r="1091">
      <c r="O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  <c r="AI1091" s="230"/>
    </row>
    <row r="1092">
      <c r="O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  <c r="AI1092" s="230"/>
    </row>
    <row r="1093">
      <c r="O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  <c r="AI1093" s="230"/>
    </row>
    <row r="1094">
      <c r="O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  <c r="AI1094" s="230"/>
    </row>
    <row r="1095">
      <c r="O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  <c r="AI1095" s="230"/>
    </row>
    <row r="1096">
      <c r="O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  <c r="AI1096" s="230"/>
    </row>
    <row r="1097">
      <c r="O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  <c r="AI1097" s="230"/>
    </row>
    <row r="1098">
      <c r="O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  <c r="AI1098" s="230"/>
    </row>
    <row r="1099">
      <c r="O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  <c r="AI1099" s="230"/>
    </row>
    <row r="1100">
      <c r="O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  <c r="AI1100" s="230"/>
    </row>
    <row r="1101">
      <c r="O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  <c r="AI1101" s="230"/>
    </row>
    <row r="1102">
      <c r="O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  <c r="AI1102" s="230"/>
    </row>
    <row r="1103">
      <c r="O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  <c r="AI1103" s="230"/>
    </row>
    <row r="1104">
      <c r="O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  <c r="AI1104" s="230"/>
    </row>
    <row r="1105">
      <c r="O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  <c r="AI1105" s="230"/>
    </row>
    <row r="1106">
      <c r="O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  <c r="AI1106" s="230"/>
    </row>
    <row r="1107">
      <c r="O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  <c r="AI1107" s="230"/>
    </row>
    <row r="1108">
      <c r="O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  <c r="AI1108" s="230"/>
    </row>
    <row r="1109">
      <c r="O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  <c r="AI1109" s="230"/>
    </row>
    <row r="1110">
      <c r="O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  <c r="AI1110" s="230"/>
    </row>
    <row r="1111">
      <c r="O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  <c r="AI1111" s="230"/>
    </row>
    <row r="1112">
      <c r="O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  <c r="AI1112" s="230"/>
    </row>
    <row r="1113">
      <c r="O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  <c r="AI1113" s="230"/>
    </row>
    <row r="1114">
      <c r="O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  <c r="AI1114" s="230"/>
    </row>
    <row r="1115">
      <c r="O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  <c r="AI1115" s="230"/>
    </row>
    <row r="1116">
      <c r="O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  <c r="AI1116" s="230"/>
    </row>
    <row r="1117">
      <c r="O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  <c r="AI1117" s="230"/>
    </row>
    <row r="1118">
      <c r="O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  <c r="AI1118" s="230"/>
    </row>
    <row r="1119">
      <c r="O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  <c r="AI1119" s="230"/>
    </row>
    <row r="1120">
      <c r="O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  <c r="AI1120" s="230"/>
    </row>
    <row r="1121">
      <c r="O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  <c r="AI1121" s="230"/>
    </row>
    <row r="1122">
      <c r="O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  <c r="AI1122" s="230"/>
    </row>
    <row r="1123">
      <c r="O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  <c r="AI1123" s="230"/>
    </row>
    <row r="1124">
      <c r="O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  <c r="AI1124" s="230"/>
    </row>
    <row r="1125">
      <c r="O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  <c r="AI1125" s="230"/>
    </row>
    <row r="1126">
      <c r="O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  <c r="AI1126" s="230"/>
    </row>
    <row r="1127">
      <c r="O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  <c r="AI1127" s="230"/>
    </row>
    <row r="1128">
      <c r="O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  <c r="AI1128" s="230"/>
    </row>
    <row r="1129">
      <c r="O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  <c r="AI1129" s="230"/>
    </row>
    <row r="1130">
      <c r="O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  <c r="AI1130" s="230"/>
    </row>
    <row r="1131">
      <c r="O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  <c r="AI1131" s="230"/>
    </row>
    <row r="1132">
      <c r="O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  <c r="AI1132" s="230"/>
    </row>
    <row r="1133">
      <c r="O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  <c r="AI1133" s="230"/>
    </row>
    <row r="1134">
      <c r="O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  <c r="AI1134" s="230"/>
    </row>
    <row r="1135">
      <c r="O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  <c r="AI1135" s="230"/>
    </row>
    <row r="1136">
      <c r="O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  <c r="AI1136" s="230"/>
    </row>
    <row r="1137">
      <c r="O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  <c r="AI1137" s="230"/>
    </row>
    <row r="1138">
      <c r="O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  <c r="AI1138" s="230"/>
    </row>
    <row r="1139">
      <c r="O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  <c r="AI1139" s="230"/>
    </row>
    <row r="1140">
      <c r="O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  <c r="AI1140" s="230"/>
    </row>
    <row r="1141">
      <c r="O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  <c r="AI1141" s="230"/>
    </row>
    <row r="1142">
      <c r="O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  <c r="AI1142" s="230"/>
    </row>
    <row r="1143">
      <c r="O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  <c r="AI1143" s="230"/>
    </row>
    <row r="1144">
      <c r="O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  <c r="AI1144" s="230"/>
    </row>
    <row r="1145">
      <c r="O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  <c r="AI1145" s="230"/>
    </row>
    <row r="1146">
      <c r="O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  <c r="AI1146" s="230"/>
    </row>
    <row r="1147">
      <c r="O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  <c r="AI1147" s="230"/>
    </row>
    <row r="1148">
      <c r="O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  <c r="AI1148" s="230"/>
    </row>
    <row r="1149">
      <c r="O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  <c r="AI1149" s="230"/>
    </row>
    <row r="1150">
      <c r="O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  <c r="AI1150" s="230"/>
    </row>
    <row r="1151">
      <c r="O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  <c r="AI1151" s="230"/>
    </row>
    <row r="1152">
      <c r="O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  <c r="AI1152" s="230"/>
    </row>
    <row r="1153">
      <c r="O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  <c r="AI1153" s="230"/>
    </row>
    <row r="1154">
      <c r="O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  <c r="AI1154" s="230"/>
    </row>
    <row r="1155">
      <c r="O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  <c r="AI1155" s="230"/>
    </row>
    <row r="1156">
      <c r="O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  <c r="AI1156" s="230"/>
    </row>
    <row r="1157">
      <c r="O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  <c r="AI1157" s="230"/>
    </row>
    <row r="1158">
      <c r="O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  <c r="AI1158" s="230"/>
    </row>
    <row r="1159">
      <c r="O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  <c r="AI1159" s="230"/>
    </row>
    <row r="1160">
      <c r="O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  <c r="AI1160" s="230"/>
    </row>
    <row r="1161">
      <c r="O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  <c r="AI1161" s="230"/>
    </row>
    <row r="1162">
      <c r="O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  <c r="AI1162" s="230"/>
    </row>
    <row r="1163">
      <c r="O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  <c r="AI1163" s="230"/>
    </row>
    <row r="1164">
      <c r="O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  <c r="AI1164" s="230"/>
    </row>
    <row r="1165">
      <c r="O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  <c r="AI1165" s="230"/>
    </row>
    <row r="1166">
      <c r="O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  <c r="AI1166" s="230"/>
    </row>
    <row r="1167">
      <c r="O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  <c r="AI1167" s="230"/>
    </row>
    <row r="1168">
      <c r="O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  <c r="AI1168" s="230"/>
    </row>
    <row r="1169">
      <c r="O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  <c r="AI1169" s="230"/>
    </row>
    <row r="1170">
      <c r="O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  <c r="AI1170" s="230"/>
    </row>
    <row r="1171">
      <c r="O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  <c r="AI1171" s="230"/>
    </row>
    <row r="1172">
      <c r="O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  <c r="AI1172" s="230"/>
    </row>
    <row r="1173">
      <c r="O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  <c r="AI1173" s="230"/>
    </row>
    <row r="1174">
      <c r="O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  <c r="AI1174" s="230"/>
    </row>
    <row r="1175">
      <c r="O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  <c r="AI1175" s="230"/>
    </row>
    <row r="1176">
      <c r="O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  <c r="AI1176" s="230"/>
    </row>
    <row r="1177">
      <c r="O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  <c r="AI1177" s="230"/>
    </row>
    <row r="1178">
      <c r="O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  <c r="AI1178" s="230"/>
    </row>
    <row r="1179">
      <c r="O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  <c r="AI1179" s="230"/>
    </row>
    <row r="1180">
      <c r="O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  <c r="AI1180" s="230"/>
    </row>
    <row r="1181">
      <c r="O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  <c r="AI1181" s="230"/>
    </row>
    <row r="1182">
      <c r="O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  <c r="AI1182" s="230"/>
    </row>
    <row r="1183">
      <c r="O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  <c r="AI1183" s="230"/>
    </row>
    <row r="1184">
      <c r="O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  <c r="AI1184" s="230"/>
    </row>
    <row r="1185">
      <c r="O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  <c r="AI1185" s="230"/>
    </row>
    <row r="1186">
      <c r="O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  <c r="AI1186" s="230"/>
    </row>
    <row r="1187">
      <c r="O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  <c r="AI1187" s="230"/>
    </row>
    <row r="1188">
      <c r="O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  <c r="AI1188" s="230"/>
    </row>
    <row r="1189">
      <c r="O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  <c r="AI1189" s="230"/>
    </row>
    <row r="1190">
      <c r="O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  <c r="AI1190" s="230"/>
    </row>
    <row r="1191">
      <c r="O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  <c r="AI1191" s="230"/>
    </row>
    <row r="1192">
      <c r="O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  <c r="AI1192" s="230"/>
    </row>
    <row r="1193">
      <c r="O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  <c r="AI1193" s="230"/>
    </row>
    <row r="1194">
      <c r="O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  <c r="AI1194" s="230"/>
    </row>
    <row r="1195">
      <c r="O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  <c r="AI1195" s="230"/>
    </row>
    <row r="1196">
      <c r="O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  <c r="AI1196" s="230"/>
    </row>
    <row r="1197">
      <c r="O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  <c r="AI1197" s="230"/>
    </row>
    <row r="1198">
      <c r="O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  <c r="AI1198" s="230"/>
    </row>
    <row r="1199">
      <c r="O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  <c r="AI1199" s="230"/>
    </row>
    <row r="1200">
      <c r="O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  <c r="AI1200" s="230"/>
    </row>
    <row r="1201">
      <c r="O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  <c r="AI1201" s="230"/>
    </row>
    <row r="1202">
      <c r="O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  <c r="AI1202" s="230"/>
    </row>
    <row r="1203">
      <c r="O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  <c r="AI1203" s="230"/>
    </row>
    <row r="1204">
      <c r="O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  <c r="AI1204" s="230"/>
    </row>
    <row r="1205">
      <c r="O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  <c r="AI1205" s="230"/>
    </row>
    <row r="1206">
      <c r="O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  <c r="AI1206" s="230"/>
    </row>
    <row r="1207">
      <c r="O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  <c r="AI1207" s="230"/>
    </row>
    <row r="1208">
      <c r="O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  <c r="AI1208" s="230"/>
    </row>
    <row r="1209">
      <c r="O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  <c r="AI1209" s="230"/>
    </row>
    <row r="1210">
      <c r="O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  <c r="AI1210" s="230"/>
    </row>
    <row r="1211">
      <c r="O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  <c r="AI1211" s="230"/>
    </row>
    <row r="1212">
      <c r="O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  <c r="AI1212" s="230"/>
    </row>
    <row r="1213">
      <c r="O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  <c r="AI1213" s="230"/>
    </row>
    <row r="1214">
      <c r="O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  <c r="AI1214" s="230"/>
    </row>
    <row r="1215">
      <c r="O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  <c r="AI1215" s="230"/>
    </row>
    <row r="1216">
      <c r="O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  <c r="AI1216" s="230"/>
    </row>
    <row r="1217">
      <c r="O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  <c r="AI1217" s="230"/>
    </row>
    <row r="1218">
      <c r="O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  <c r="AI1218" s="230"/>
    </row>
    <row r="1219">
      <c r="O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  <c r="AI1219" s="230"/>
    </row>
    <row r="1220">
      <c r="O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  <c r="AI1220" s="230"/>
    </row>
    <row r="1221">
      <c r="O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  <c r="AI1221" s="230"/>
    </row>
    <row r="1222">
      <c r="O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  <c r="AI1222" s="230"/>
    </row>
    <row r="1223">
      <c r="O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  <c r="AI1223" s="230"/>
    </row>
    <row r="1224">
      <c r="O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  <c r="AI1224" s="230"/>
    </row>
    <row r="1225">
      <c r="O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  <c r="AI1225" s="230"/>
    </row>
    <row r="1226">
      <c r="O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  <c r="AI1226" s="230"/>
    </row>
    <row r="1227">
      <c r="O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  <c r="AI1227" s="230"/>
    </row>
    <row r="1228">
      <c r="O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  <c r="AI1228" s="230"/>
    </row>
    <row r="1229">
      <c r="O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  <c r="AI1229" s="230"/>
    </row>
    <row r="1230">
      <c r="O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  <c r="AI1230" s="230"/>
    </row>
    <row r="1231">
      <c r="O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  <c r="AI1231" s="230"/>
    </row>
    <row r="1232">
      <c r="O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  <c r="AI1232" s="230"/>
    </row>
    <row r="1233">
      <c r="O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  <c r="AI1233" s="230"/>
    </row>
    <row r="1234">
      <c r="O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  <c r="AI1234" s="230"/>
    </row>
    <row r="1235">
      <c r="O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  <c r="AI1235" s="230"/>
    </row>
    <row r="1236">
      <c r="O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  <c r="AI1236" s="230"/>
    </row>
    <row r="1237">
      <c r="O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  <c r="AI1237" s="230"/>
    </row>
    <row r="1238">
      <c r="O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  <c r="AI1238" s="230"/>
    </row>
    <row r="1239">
      <c r="O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  <c r="AI1239" s="230"/>
    </row>
    <row r="1240">
      <c r="O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  <c r="AI1240" s="230"/>
    </row>
    <row r="1241">
      <c r="O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  <c r="AI1241" s="230"/>
    </row>
    <row r="1242">
      <c r="O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  <c r="AI1242" s="230"/>
    </row>
    <row r="1243">
      <c r="O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  <c r="AI1243" s="230"/>
    </row>
    <row r="1244">
      <c r="O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  <c r="AI1244" s="230"/>
    </row>
    <row r="1245">
      <c r="O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  <c r="AI1245" s="230"/>
    </row>
    <row r="1246">
      <c r="O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  <c r="AI1246" s="230"/>
    </row>
    <row r="1247">
      <c r="O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  <c r="AI1247" s="230"/>
    </row>
    <row r="1248">
      <c r="O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  <c r="AI1248" s="230"/>
    </row>
    <row r="1249">
      <c r="O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  <c r="AI1249" s="230"/>
    </row>
    <row r="1250">
      <c r="O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  <c r="AI1250" s="230"/>
    </row>
    <row r="1251">
      <c r="O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  <c r="AI1251" s="230"/>
    </row>
    <row r="1252">
      <c r="O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  <c r="AI1252" s="230"/>
    </row>
    <row r="1253">
      <c r="O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  <c r="AI1253" s="230"/>
    </row>
    <row r="1254">
      <c r="O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  <c r="AI1254" s="230"/>
    </row>
    <row r="1255">
      <c r="O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  <c r="AI1255" s="230"/>
    </row>
    <row r="1256">
      <c r="O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  <c r="AI1256" s="230"/>
    </row>
    <row r="1257">
      <c r="O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  <c r="AI1257" s="230"/>
    </row>
    <row r="1258">
      <c r="O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  <c r="AI1258" s="230"/>
    </row>
    <row r="1259">
      <c r="O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  <c r="AI1259" s="230"/>
    </row>
    <row r="1260">
      <c r="O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  <c r="AI1260" s="230"/>
    </row>
    <row r="1261">
      <c r="O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  <c r="AI1261" s="230"/>
    </row>
    <row r="1262">
      <c r="O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  <c r="AI1262" s="230"/>
    </row>
    <row r="1263">
      <c r="O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  <c r="AI1263" s="230"/>
    </row>
    <row r="1264">
      <c r="O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  <c r="AI1264" s="230"/>
    </row>
    <row r="1265">
      <c r="O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  <c r="AI1265" s="230"/>
    </row>
    <row r="1266">
      <c r="O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  <c r="AI1266" s="230"/>
    </row>
    <row r="1267">
      <c r="O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  <c r="AI1267" s="230"/>
    </row>
    <row r="1268">
      <c r="O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  <c r="AI1268" s="230"/>
    </row>
    <row r="1269">
      <c r="O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  <c r="AI1269" s="230"/>
    </row>
    <row r="1270">
      <c r="O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  <c r="AI1270" s="230"/>
    </row>
    <row r="1271">
      <c r="O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  <c r="AI1271" s="230"/>
    </row>
    <row r="1272">
      <c r="O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  <c r="AI1272" s="230"/>
    </row>
    <row r="1273">
      <c r="O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  <c r="AI1273" s="230"/>
    </row>
    <row r="1274">
      <c r="O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  <c r="AI1274" s="230"/>
    </row>
    <row r="1275">
      <c r="O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  <c r="AI1275" s="230"/>
    </row>
    <row r="1276">
      <c r="O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  <c r="AI1276" s="230"/>
    </row>
    <row r="1277">
      <c r="O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  <c r="AI1277" s="230"/>
    </row>
    <row r="1278">
      <c r="O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  <c r="AI1278" s="230"/>
    </row>
    <row r="1279">
      <c r="O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  <c r="AI1279" s="230"/>
    </row>
    <row r="1280">
      <c r="O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  <c r="AI1280" s="230"/>
    </row>
    <row r="1281">
      <c r="O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  <c r="AI1281" s="230"/>
    </row>
    <row r="1282">
      <c r="O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  <c r="AI1282" s="230"/>
    </row>
    <row r="1283">
      <c r="O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  <c r="AI1283" s="230"/>
    </row>
    <row r="1284">
      <c r="O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  <c r="AI1284" s="230"/>
    </row>
    <row r="1285">
      <c r="O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  <c r="AI1285" s="230"/>
    </row>
    <row r="1286">
      <c r="O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  <c r="AI1286" s="230"/>
    </row>
    <row r="1287">
      <c r="O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  <c r="AI1287" s="230"/>
    </row>
    <row r="1288">
      <c r="O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  <c r="AI1288" s="230"/>
    </row>
    <row r="1289">
      <c r="O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  <c r="AI1289" s="230"/>
    </row>
    <row r="1290">
      <c r="O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  <c r="AI1290" s="230"/>
    </row>
    <row r="1291">
      <c r="O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  <c r="AI1291" s="230"/>
    </row>
    <row r="1292">
      <c r="O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  <c r="AI1292" s="230"/>
    </row>
    <row r="1293">
      <c r="O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  <c r="AI1293" s="230"/>
    </row>
    <row r="1294">
      <c r="O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  <c r="AI1294" s="230"/>
    </row>
    <row r="1295">
      <c r="O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  <c r="AI1295" s="230"/>
    </row>
    <row r="1296">
      <c r="O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  <c r="AI1296" s="230"/>
    </row>
    <row r="1297">
      <c r="O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  <c r="AI1297" s="230"/>
    </row>
    <row r="1298">
      <c r="O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  <c r="AI1298" s="230"/>
    </row>
    <row r="1299">
      <c r="O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  <c r="AI1299" s="230"/>
    </row>
    <row r="1300">
      <c r="O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  <c r="AI1300" s="230"/>
    </row>
    <row r="1301">
      <c r="O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  <c r="AI1301" s="230"/>
    </row>
    <row r="1302">
      <c r="O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  <c r="AI1302" s="230"/>
    </row>
    <row r="1303">
      <c r="O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  <c r="AI1303" s="230"/>
    </row>
    <row r="1304">
      <c r="O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  <c r="AI1304" s="230"/>
    </row>
    <row r="1305">
      <c r="O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  <c r="AI1305" s="230"/>
    </row>
    <row r="1306">
      <c r="O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  <c r="AI1306" s="230"/>
    </row>
    <row r="1307">
      <c r="O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  <c r="AI1307" s="230"/>
    </row>
    <row r="1308">
      <c r="O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  <c r="AI1308" s="230"/>
    </row>
    <row r="1309">
      <c r="O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  <c r="AI1309" s="230"/>
    </row>
    <row r="1310">
      <c r="O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  <c r="AI1310" s="230"/>
    </row>
    <row r="1311">
      <c r="O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  <c r="AI1311" s="230"/>
    </row>
    <row r="1312">
      <c r="O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  <c r="AI1312" s="230"/>
    </row>
    <row r="1313">
      <c r="O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  <c r="AI1313" s="230"/>
    </row>
    <row r="1314">
      <c r="O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  <c r="AI1314" s="230"/>
    </row>
    <row r="1315">
      <c r="O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  <c r="AI1315" s="230"/>
    </row>
    <row r="1316">
      <c r="O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  <c r="AI1316" s="230"/>
    </row>
    <row r="1317">
      <c r="O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  <c r="AI1317" s="230"/>
    </row>
    <row r="1318">
      <c r="O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  <c r="AI1318" s="230"/>
    </row>
    <row r="1319">
      <c r="O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  <c r="AI1319" s="230"/>
    </row>
    <row r="1320">
      <c r="O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  <c r="AI1320" s="230"/>
    </row>
    <row r="1321">
      <c r="O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  <c r="AI1321" s="230"/>
    </row>
    <row r="1322">
      <c r="O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  <c r="AI1322" s="230"/>
    </row>
    <row r="1323">
      <c r="O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  <c r="AI1323" s="230"/>
    </row>
    <row r="1324">
      <c r="O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  <c r="AI1324" s="230"/>
    </row>
    <row r="1325">
      <c r="O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  <c r="AI1325" s="230"/>
    </row>
    <row r="1326">
      <c r="O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  <c r="AI1326" s="230"/>
    </row>
    <row r="1327">
      <c r="O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  <c r="AI1327" s="230"/>
    </row>
    <row r="1328">
      <c r="O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  <c r="AI1328" s="230"/>
    </row>
    <row r="1329">
      <c r="O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  <c r="AI1329" s="230"/>
    </row>
    <row r="1330">
      <c r="O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  <c r="AI1330" s="230"/>
    </row>
    <row r="1331">
      <c r="O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  <c r="AI1331" s="230"/>
    </row>
    <row r="1332">
      <c r="O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  <c r="AI1332" s="230"/>
    </row>
    <row r="1333">
      <c r="O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  <c r="AI1333" s="230"/>
    </row>
    <row r="1334">
      <c r="O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  <c r="AI1334" s="230"/>
    </row>
    <row r="1335">
      <c r="O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  <c r="AI1335" s="230"/>
    </row>
    <row r="1336">
      <c r="O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  <c r="AI1336" s="230"/>
    </row>
    <row r="1337">
      <c r="O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  <c r="AI1337" s="230"/>
    </row>
    <row r="1338">
      <c r="O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  <c r="AI1338" s="230"/>
    </row>
    <row r="1339">
      <c r="O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  <c r="AI1339" s="230"/>
    </row>
    <row r="1340">
      <c r="O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  <c r="AI1340" s="230"/>
    </row>
    <row r="1341">
      <c r="O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  <c r="AI1341" s="230"/>
    </row>
    <row r="1342">
      <c r="O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  <c r="AI1342" s="230"/>
    </row>
    <row r="1343">
      <c r="O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  <c r="AI1343" s="230"/>
    </row>
    <row r="1344">
      <c r="O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  <c r="AI1344" s="230"/>
    </row>
    <row r="1345">
      <c r="O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  <c r="AI1345" s="230"/>
    </row>
    <row r="1346">
      <c r="O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  <c r="AI1346" s="230"/>
    </row>
    <row r="1347">
      <c r="O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  <c r="AI1347" s="230"/>
    </row>
    <row r="1348">
      <c r="O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  <c r="AI1348" s="230"/>
    </row>
    <row r="1349">
      <c r="O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  <c r="AI1349" s="230"/>
    </row>
    <row r="1350">
      <c r="O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  <c r="AI1350" s="230"/>
    </row>
    <row r="1351">
      <c r="O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  <c r="AI1351" s="230"/>
    </row>
    <row r="1352">
      <c r="O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  <c r="AI1352" s="230"/>
    </row>
    <row r="1353">
      <c r="O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  <c r="AI1353" s="230"/>
    </row>
    <row r="1354">
      <c r="O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  <c r="AI1354" s="230"/>
    </row>
    <row r="1355">
      <c r="O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  <c r="AI1355" s="230"/>
    </row>
    <row r="1356">
      <c r="O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  <c r="AI1356" s="230"/>
    </row>
    <row r="1357">
      <c r="O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  <c r="AI1357" s="230"/>
    </row>
    <row r="1358">
      <c r="O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  <c r="AI1358" s="230"/>
    </row>
    <row r="1359">
      <c r="O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  <c r="AI1359" s="230"/>
    </row>
    <row r="1360">
      <c r="O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  <c r="AI1360" s="230"/>
    </row>
    <row r="1361">
      <c r="O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  <c r="AI1361" s="230"/>
    </row>
    <row r="1362">
      <c r="O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  <c r="AI1362" s="230"/>
    </row>
    <row r="1363">
      <c r="O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  <c r="AI1363" s="230"/>
    </row>
    <row r="1364">
      <c r="O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  <c r="AI1364" s="230"/>
    </row>
    <row r="1365">
      <c r="O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  <c r="AI1365" s="230"/>
    </row>
    <row r="1366">
      <c r="O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  <c r="AI1366" s="230"/>
    </row>
    <row r="1367">
      <c r="O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  <c r="AI1367" s="230"/>
    </row>
    <row r="1368">
      <c r="O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  <c r="AI1368" s="230"/>
    </row>
    <row r="1369">
      <c r="O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  <c r="AI1369" s="230"/>
    </row>
    <row r="1370">
      <c r="O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  <c r="AI1370" s="230"/>
    </row>
    <row r="1371">
      <c r="O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  <c r="AI1371" s="230"/>
    </row>
    <row r="1372">
      <c r="O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  <c r="AI1372" s="230"/>
    </row>
    <row r="1373">
      <c r="O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  <c r="AI1373" s="230"/>
    </row>
    <row r="1374">
      <c r="O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  <c r="AI1374" s="230"/>
    </row>
    <row r="1375">
      <c r="O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  <c r="AI1375" s="230"/>
    </row>
    <row r="1376">
      <c r="O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  <c r="AI1376" s="230"/>
    </row>
    <row r="1377">
      <c r="O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  <c r="AI1377" s="230"/>
    </row>
    <row r="1378">
      <c r="O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  <c r="AI1378" s="230"/>
    </row>
    <row r="1379">
      <c r="O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  <c r="AI1379" s="230"/>
    </row>
    <row r="1380">
      <c r="O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  <c r="AI1380" s="230"/>
    </row>
    <row r="1381">
      <c r="O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  <c r="AI1381" s="230"/>
    </row>
    <row r="1382">
      <c r="O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  <c r="AI1382" s="230"/>
    </row>
    <row r="1383">
      <c r="O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  <c r="AI1383" s="230"/>
    </row>
    <row r="1384">
      <c r="O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  <c r="AI1384" s="230"/>
    </row>
    <row r="1385">
      <c r="O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  <c r="AI1385" s="230"/>
    </row>
    <row r="1386">
      <c r="O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  <c r="AI1386" s="230"/>
    </row>
    <row r="1387">
      <c r="O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  <c r="AI1387" s="230"/>
    </row>
    <row r="1388">
      <c r="O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  <c r="AI1388" s="230"/>
    </row>
    <row r="1389">
      <c r="O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  <c r="AI1389" s="230"/>
    </row>
    <row r="1390">
      <c r="O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  <c r="AI1390" s="230"/>
    </row>
    <row r="1391">
      <c r="O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  <c r="AI1391" s="230"/>
    </row>
    <row r="1392">
      <c r="O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  <c r="AI1392" s="230"/>
    </row>
    <row r="1393">
      <c r="O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  <c r="AI1393" s="230"/>
    </row>
    <row r="1394">
      <c r="O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  <c r="AI1394" s="230"/>
    </row>
    <row r="1395">
      <c r="O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  <c r="AI1395" s="230"/>
    </row>
    <row r="1396">
      <c r="O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  <c r="AI1396" s="230"/>
    </row>
    <row r="1397">
      <c r="O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  <c r="AI1397" s="230"/>
    </row>
    <row r="1398">
      <c r="O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  <c r="AI1398" s="230"/>
    </row>
    <row r="1399">
      <c r="O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  <c r="AI1399" s="230"/>
    </row>
    <row r="1400">
      <c r="O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  <c r="AI1400" s="230"/>
    </row>
    <row r="1401">
      <c r="O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  <c r="AI1401" s="230"/>
    </row>
    <row r="1402">
      <c r="O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  <c r="AI1402" s="230"/>
    </row>
    <row r="1403">
      <c r="O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  <c r="AI1403" s="230"/>
    </row>
    <row r="1404">
      <c r="O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  <c r="AI1404" s="230"/>
    </row>
    <row r="1405">
      <c r="O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  <c r="AI1405" s="230"/>
    </row>
    <row r="1406">
      <c r="O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  <c r="AI1406" s="230"/>
    </row>
    <row r="1407">
      <c r="O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  <c r="AI1407" s="230"/>
    </row>
    <row r="1408">
      <c r="O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  <c r="AI1408" s="230"/>
    </row>
    <row r="1409">
      <c r="O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  <c r="AI1409" s="230"/>
    </row>
    <row r="1410">
      <c r="O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  <c r="AI1410" s="230"/>
    </row>
    <row r="1411">
      <c r="O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  <c r="AI1411" s="230"/>
    </row>
    <row r="1412">
      <c r="O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  <c r="AI1412" s="230"/>
    </row>
    <row r="1413">
      <c r="O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  <c r="AI1413" s="230"/>
    </row>
    <row r="1414">
      <c r="O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  <c r="AI1414" s="230"/>
    </row>
    <row r="1415">
      <c r="O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  <c r="AI1415" s="230"/>
    </row>
    <row r="1416">
      <c r="O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  <c r="AI1416" s="230"/>
    </row>
    <row r="1417">
      <c r="O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  <c r="AI1417" s="230"/>
    </row>
    <row r="1418">
      <c r="O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  <c r="AI1418" s="230"/>
    </row>
    <row r="1419">
      <c r="O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  <c r="AI1419" s="230"/>
    </row>
    <row r="1420">
      <c r="O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  <c r="AI1420" s="230"/>
    </row>
    <row r="1421">
      <c r="O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  <c r="AI1421" s="230"/>
    </row>
    <row r="1422">
      <c r="O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  <c r="AI1422" s="230"/>
    </row>
    <row r="1423">
      <c r="O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  <c r="AI1423" s="230"/>
    </row>
    <row r="1424">
      <c r="O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  <c r="AI1424" s="230"/>
    </row>
    <row r="1425">
      <c r="O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  <c r="AI1425" s="230"/>
    </row>
    <row r="1426">
      <c r="O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  <c r="AI1426" s="230"/>
    </row>
    <row r="1427">
      <c r="O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  <c r="AI1427" s="230"/>
    </row>
    <row r="1428">
      <c r="O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  <c r="AI1428" s="230"/>
    </row>
    <row r="1429">
      <c r="O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  <c r="AI1429" s="230"/>
    </row>
    <row r="1430">
      <c r="O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  <c r="AI1430" s="230"/>
    </row>
    <row r="1431">
      <c r="O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  <c r="AI1431" s="230"/>
    </row>
    <row r="1432">
      <c r="O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  <c r="AI1432" s="230"/>
    </row>
    <row r="1433">
      <c r="O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  <c r="AI1433" s="230"/>
    </row>
    <row r="1434">
      <c r="O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  <c r="AI1434" s="230"/>
    </row>
    <row r="1435">
      <c r="O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  <c r="AI1435" s="230"/>
    </row>
    <row r="1436">
      <c r="O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  <c r="AI1436" s="230"/>
    </row>
    <row r="1437">
      <c r="O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  <c r="AI1437" s="230"/>
    </row>
    <row r="1438">
      <c r="O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  <c r="AI1438" s="230"/>
    </row>
    <row r="1439">
      <c r="O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  <c r="AI1439" s="230"/>
    </row>
    <row r="1440">
      <c r="O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  <c r="AI1440" s="230"/>
    </row>
    <row r="1441">
      <c r="O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  <c r="AI1441" s="230"/>
    </row>
    <row r="1442">
      <c r="O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  <c r="AI1442" s="230"/>
    </row>
    <row r="1443">
      <c r="O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  <c r="AI1443" s="230"/>
    </row>
    <row r="1444">
      <c r="O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  <c r="AI1444" s="230"/>
    </row>
    <row r="1445">
      <c r="O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  <c r="AI1445" s="230"/>
    </row>
    <row r="1446">
      <c r="O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  <c r="AI1446" s="230"/>
    </row>
    <row r="1447">
      <c r="O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  <c r="AI1447" s="230"/>
    </row>
    <row r="1448">
      <c r="O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  <c r="AI1448" s="230"/>
    </row>
    <row r="1449">
      <c r="O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  <c r="AI1449" s="230"/>
    </row>
    <row r="1450">
      <c r="O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  <c r="AI1450" s="230"/>
    </row>
    <row r="1451">
      <c r="O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  <c r="AI1451" s="230"/>
    </row>
    <row r="1452">
      <c r="O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  <c r="AI1452" s="230"/>
    </row>
    <row r="1453">
      <c r="O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  <c r="AI1453" s="230"/>
    </row>
    <row r="1454">
      <c r="O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  <c r="AI1454" s="230"/>
    </row>
    <row r="1455">
      <c r="O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  <c r="AI1455" s="230"/>
    </row>
    <row r="1456">
      <c r="O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  <c r="AI1456" s="230"/>
    </row>
    <row r="1457">
      <c r="O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  <c r="AI1457" s="230"/>
    </row>
    <row r="1458">
      <c r="O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  <c r="AI1458" s="230"/>
    </row>
    <row r="1459">
      <c r="O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  <c r="AI1459" s="230"/>
    </row>
    <row r="1460">
      <c r="O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  <c r="AI1460" s="230"/>
    </row>
    <row r="1461">
      <c r="O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  <c r="AI1461" s="230"/>
    </row>
    <row r="1462">
      <c r="O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  <c r="AI1462" s="230"/>
    </row>
    <row r="1463">
      <c r="O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  <c r="AI1463" s="230"/>
    </row>
    <row r="1464">
      <c r="O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  <c r="AI1464" s="230"/>
    </row>
    <row r="1465">
      <c r="O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  <c r="AI1465" s="230"/>
    </row>
    <row r="1466">
      <c r="O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  <c r="AI1466" s="230"/>
    </row>
    <row r="1467">
      <c r="O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  <c r="AI1467" s="230"/>
    </row>
    <row r="1468">
      <c r="O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  <c r="AI1468" s="230"/>
    </row>
    <row r="1469">
      <c r="O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  <c r="AI1469" s="230"/>
    </row>
    <row r="1470">
      <c r="O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  <c r="AI1470" s="230"/>
    </row>
    <row r="1471">
      <c r="O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  <c r="AI1471" s="230"/>
    </row>
    <row r="1472">
      <c r="O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  <c r="AI1472" s="230"/>
    </row>
    <row r="1473">
      <c r="O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  <c r="AI1473" s="230"/>
    </row>
    <row r="1474">
      <c r="O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  <c r="AI1474" s="230"/>
    </row>
    <row r="1475">
      <c r="O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  <c r="AI1475" s="230"/>
    </row>
    <row r="1476">
      <c r="O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  <c r="AI1476" s="230"/>
    </row>
    <row r="1477">
      <c r="O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  <c r="AI1477" s="230"/>
    </row>
    <row r="1478">
      <c r="O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  <c r="AI1478" s="230"/>
    </row>
    <row r="1479">
      <c r="O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  <c r="AI1479" s="230"/>
    </row>
    <row r="1480">
      <c r="O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  <c r="AI1480" s="230"/>
    </row>
    <row r="1481">
      <c r="O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  <c r="AI1481" s="230"/>
    </row>
    <row r="1482">
      <c r="O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  <c r="AI1482" s="230"/>
    </row>
    <row r="1483">
      <c r="O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  <c r="AI1483" s="230"/>
    </row>
    <row r="1484">
      <c r="O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  <c r="AI1484" s="230"/>
    </row>
    <row r="1485">
      <c r="O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  <c r="AI1485" s="230"/>
    </row>
    <row r="1486">
      <c r="O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  <c r="AI1486" s="230"/>
    </row>
    <row r="1487">
      <c r="O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  <c r="AI1487" s="230"/>
    </row>
    <row r="1488">
      <c r="O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  <c r="AI1488" s="230"/>
    </row>
    <row r="1489">
      <c r="O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  <c r="AI1489" s="230"/>
    </row>
    <row r="1490">
      <c r="O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  <c r="AI1490" s="230"/>
    </row>
    <row r="1491">
      <c r="O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  <c r="AI1491" s="230"/>
    </row>
    <row r="1492">
      <c r="O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  <c r="AI1492" s="230"/>
    </row>
    <row r="1493">
      <c r="O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  <c r="AI1493" s="230"/>
    </row>
    <row r="1494">
      <c r="O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  <c r="AI1494" s="230"/>
    </row>
    <row r="1495">
      <c r="O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  <c r="AI1495" s="230"/>
    </row>
    <row r="1496">
      <c r="O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  <c r="AI1496" s="230"/>
    </row>
    <row r="1497">
      <c r="O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  <c r="AI1497" s="230"/>
    </row>
    <row r="1498">
      <c r="O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  <c r="AI1498" s="230"/>
    </row>
    <row r="1499">
      <c r="O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  <c r="AI1499" s="230"/>
    </row>
    <row r="1500">
      <c r="O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  <c r="AI1500" s="230"/>
    </row>
    <row r="1501">
      <c r="O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  <c r="AI1501" s="230"/>
    </row>
    <row r="1502">
      <c r="O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  <c r="AI1502" s="230"/>
    </row>
    <row r="1503">
      <c r="O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  <c r="AI1503" s="230"/>
    </row>
    <row r="1504">
      <c r="O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  <c r="AI1504" s="230"/>
    </row>
    <row r="1505">
      <c r="O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  <c r="AI1505" s="230"/>
    </row>
    <row r="1506">
      <c r="O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  <c r="AI1506" s="230"/>
    </row>
    <row r="1507">
      <c r="O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  <c r="AI1507" s="230"/>
    </row>
    <row r="1508">
      <c r="O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  <c r="AI1508" s="230"/>
    </row>
    <row r="1509">
      <c r="O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  <c r="AI1509" s="230"/>
    </row>
    <row r="1510">
      <c r="O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  <c r="AI1510" s="230"/>
    </row>
    <row r="1511">
      <c r="O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  <c r="AI1511" s="230"/>
    </row>
    <row r="1512">
      <c r="O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  <c r="AI1512" s="230"/>
    </row>
    <row r="1513">
      <c r="O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  <c r="AI1513" s="230"/>
    </row>
    <row r="1514">
      <c r="O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  <c r="AI1514" s="230"/>
    </row>
    <row r="1515">
      <c r="O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  <c r="AI1515" s="230"/>
    </row>
    <row r="1516">
      <c r="O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  <c r="AI1516" s="230"/>
    </row>
    <row r="1517">
      <c r="O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  <c r="AI1517" s="230"/>
    </row>
    <row r="1518">
      <c r="O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  <c r="AI1518" s="230"/>
    </row>
    <row r="1519">
      <c r="O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  <c r="AI1519" s="230"/>
    </row>
    <row r="1520">
      <c r="O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  <c r="AI1520" s="230"/>
    </row>
    <row r="1521">
      <c r="O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  <c r="AI1521" s="230"/>
    </row>
    <row r="1522">
      <c r="O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  <c r="AI1522" s="230"/>
    </row>
    <row r="1523">
      <c r="O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  <c r="AI1523" s="230"/>
    </row>
    <row r="1524">
      <c r="O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  <c r="AI1524" s="230"/>
    </row>
    <row r="1525">
      <c r="O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  <c r="AI1525" s="230"/>
    </row>
    <row r="1526">
      <c r="O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  <c r="AI1526" s="230"/>
    </row>
    <row r="1527">
      <c r="O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  <c r="AI1527" s="230"/>
    </row>
    <row r="1528">
      <c r="O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  <c r="AI1528" s="230"/>
    </row>
    <row r="1529">
      <c r="O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  <c r="AI1529" s="230"/>
    </row>
    <row r="1530">
      <c r="O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  <c r="AI1530" s="230"/>
    </row>
    <row r="1531">
      <c r="O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  <c r="AI1531" s="230"/>
    </row>
    <row r="1532">
      <c r="O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  <c r="AI1532" s="230"/>
    </row>
    <row r="1533">
      <c r="O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  <c r="AI1533" s="230"/>
    </row>
    <row r="1534">
      <c r="O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  <c r="AI1534" s="230"/>
    </row>
    <row r="1535">
      <c r="O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  <c r="AI1535" s="230"/>
    </row>
    <row r="1536">
      <c r="O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  <c r="AI1536" s="230"/>
    </row>
    <row r="1537">
      <c r="O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  <c r="AI1537" s="230"/>
    </row>
    <row r="1538">
      <c r="O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  <c r="AI1538" s="230"/>
    </row>
    <row r="1539">
      <c r="O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  <c r="AI1539" s="230"/>
    </row>
    <row r="1540">
      <c r="O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  <c r="AI1540" s="230"/>
    </row>
    <row r="1541">
      <c r="O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  <c r="AI1541" s="230"/>
    </row>
    <row r="1542">
      <c r="O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  <c r="AI1542" s="230"/>
    </row>
    <row r="1543">
      <c r="O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  <c r="AI1543" s="230"/>
    </row>
    <row r="1544">
      <c r="O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  <c r="AI1544" s="230"/>
    </row>
    <row r="1545">
      <c r="O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  <c r="AI1545" s="230"/>
    </row>
    <row r="1546">
      <c r="O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  <c r="AI1546" s="230"/>
    </row>
    <row r="1547">
      <c r="O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  <c r="AI1547" s="230"/>
    </row>
    <row r="1548">
      <c r="O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  <c r="AI1548" s="230"/>
    </row>
    <row r="1549">
      <c r="O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  <c r="AI1549" s="230"/>
    </row>
    <row r="1550">
      <c r="O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  <c r="AI1550" s="230"/>
    </row>
    <row r="1551">
      <c r="O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  <c r="AI1551" s="230"/>
    </row>
    <row r="1552">
      <c r="O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  <c r="AI1552" s="230"/>
    </row>
    <row r="1553">
      <c r="O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  <c r="AI1553" s="230"/>
    </row>
    <row r="1554">
      <c r="O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  <c r="AI1554" s="230"/>
    </row>
    <row r="1555">
      <c r="O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  <c r="AI1555" s="230"/>
    </row>
    <row r="1556">
      <c r="O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  <c r="AI1556" s="230"/>
    </row>
    <row r="1557">
      <c r="O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  <c r="AI1557" s="230"/>
    </row>
    <row r="1558">
      <c r="O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  <c r="AI1558" s="230"/>
    </row>
    <row r="1559">
      <c r="O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  <c r="AI1559" s="230"/>
    </row>
    <row r="1560">
      <c r="O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  <c r="AI1560" s="230"/>
    </row>
    <row r="1561">
      <c r="O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  <c r="AI1561" s="230"/>
    </row>
    <row r="1562">
      <c r="O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  <c r="AI1562" s="230"/>
    </row>
    <row r="1563">
      <c r="O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  <c r="AI1563" s="230"/>
    </row>
    <row r="1564">
      <c r="O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  <c r="AI1564" s="230"/>
    </row>
    <row r="1565">
      <c r="O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  <c r="AI1565" s="230"/>
    </row>
    <row r="1566">
      <c r="O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  <c r="AI1566" s="230"/>
    </row>
    <row r="1567">
      <c r="O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  <c r="AI1567" s="230"/>
    </row>
    <row r="1568">
      <c r="O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  <c r="AI1568" s="230"/>
    </row>
    <row r="1569">
      <c r="O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  <c r="AI1569" s="230"/>
    </row>
    <row r="1570">
      <c r="O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  <c r="AI1570" s="230"/>
    </row>
    <row r="1571">
      <c r="O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  <c r="AI1571" s="230"/>
    </row>
    <row r="1572">
      <c r="O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  <c r="AI1572" s="230"/>
    </row>
    <row r="1573">
      <c r="O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  <c r="AI1573" s="230"/>
    </row>
    <row r="1574">
      <c r="O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  <c r="AI1574" s="230"/>
    </row>
    <row r="1575">
      <c r="O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  <c r="AI1575" s="230"/>
    </row>
    <row r="1576">
      <c r="O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  <c r="AI1576" s="230"/>
    </row>
    <row r="1577">
      <c r="O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  <c r="AI1577" s="230"/>
    </row>
    <row r="1578">
      <c r="O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  <c r="AI1578" s="230"/>
    </row>
    <row r="1579">
      <c r="O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  <c r="AI1579" s="230"/>
    </row>
    <row r="1580">
      <c r="O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  <c r="AI1580" s="230"/>
    </row>
    <row r="1581">
      <c r="O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  <c r="AI1581" s="230"/>
    </row>
    <row r="1582">
      <c r="O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  <c r="AI1582" s="230"/>
    </row>
    <row r="1583">
      <c r="O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  <c r="AI1583" s="230"/>
    </row>
    <row r="1584">
      <c r="O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  <c r="AI1584" s="230"/>
    </row>
    <row r="1585">
      <c r="O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  <c r="AI1585" s="230"/>
    </row>
    <row r="1586">
      <c r="O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  <c r="AI1586" s="230"/>
    </row>
    <row r="1587">
      <c r="O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  <c r="AI1587" s="230"/>
    </row>
    <row r="1588">
      <c r="O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  <c r="AI1588" s="230"/>
    </row>
    <row r="1589">
      <c r="O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  <c r="AI1589" s="230"/>
    </row>
    <row r="1590">
      <c r="O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  <c r="AI1590" s="230"/>
    </row>
    <row r="1591">
      <c r="O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  <c r="AI1591" s="230"/>
    </row>
    <row r="1592">
      <c r="O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  <c r="AI1592" s="230"/>
    </row>
    <row r="1593">
      <c r="O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  <c r="AI1593" s="230"/>
    </row>
    <row r="1594">
      <c r="O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  <c r="AI1594" s="230"/>
    </row>
    <row r="1595">
      <c r="O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  <c r="AI1595" s="230"/>
    </row>
    <row r="1596">
      <c r="O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  <c r="AI1596" s="230"/>
    </row>
    <row r="1597">
      <c r="O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  <c r="AI1597" s="230"/>
    </row>
    <row r="1598">
      <c r="O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  <c r="AI1598" s="230"/>
    </row>
    <row r="1599">
      <c r="O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  <c r="AI1599" s="230"/>
    </row>
    <row r="1600">
      <c r="O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  <c r="AI1600" s="230"/>
    </row>
    <row r="1601">
      <c r="O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  <c r="AI1601" s="230"/>
    </row>
    <row r="1602">
      <c r="O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  <c r="AI1602" s="230"/>
    </row>
    <row r="1603">
      <c r="O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  <c r="AI1603" s="230"/>
    </row>
    <row r="1604">
      <c r="O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  <c r="AI1604" s="230"/>
    </row>
    <row r="1605">
      <c r="O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  <c r="AI1605" s="230"/>
    </row>
    <row r="1606">
      <c r="O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  <c r="AI1606" s="230"/>
    </row>
    <row r="1607">
      <c r="O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  <c r="AI1607" s="230"/>
    </row>
    <row r="1608">
      <c r="O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  <c r="AI1608" s="230"/>
    </row>
    <row r="1609">
      <c r="O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  <c r="AI1609" s="230"/>
    </row>
    <row r="1610">
      <c r="O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  <c r="AI1610" s="230"/>
    </row>
    <row r="1611">
      <c r="O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  <c r="AI1611" s="230"/>
    </row>
    <row r="1612">
      <c r="O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  <c r="AI1612" s="230"/>
    </row>
    <row r="1613">
      <c r="O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  <c r="AI1613" s="230"/>
    </row>
    <row r="1614">
      <c r="O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  <c r="AI1614" s="230"/>
    </row>
    <row r="1615">
      <c r="O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  <c r="AI1615" s="230"/>
    </row>
    <row r="1616">
      <c r="O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  <c r="AI1616" s="230"/>
    </row>
    <row r="1617">
      <c r="O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  <c r="AI1617" s="230"/>
    </row>
    <row r="1618">
      <c r="O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  <c r="AI1618" s="230"/>
    </row>
    <row r="1619">
      <c r="O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  <c r="AI1619" s="230"/>
    </row>
    <row r="1620">
      <c r="O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  <c r="AI1620" s="230"/>
    </row>
    <row r="1621">
      <c r="O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  <c r="AI1621" s="230"/>
    </row>
    <row r="1622">
      <c r="O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  <c r="AI1622" s="230"/>
    </row>
    <row r="1623">
      <c r="O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  <c r="AI1623" s="230"/>
    </row>
    <row r="1624">
      <c r="O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  <c r="AI1624" s="230"/>
    </row>
    <row r="1625">
      <c r="O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  <c r="AI1625" s="230"/>
    </row>
    <row r="1626">
      <c r="O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  <c r="AI1626" s="230"/>
    </row>
    <row r="1627">
      <c r="O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  <c r="AI1627" s="230"/>
    </row>
    <row r="1628">
      <c r="O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  <c r="AI1628" s="230"/>
    </row>
    <row r="1629">
      <c r="O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  <c r="AI1629" s="230"/>
    </row>
    <row r="1630">
      <c r="O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  <c r="AI1630" s="230"/>
    </row>
    <row r="1631">
      <c r="O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  <c r="AI1631" s="230"/>
    </row>
    <row r="1632">
      <c r="O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  <c r="AI1632" s="230"/>
    </row>
    <row r="1633">
      <c r="O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  <c r="AI1633" s="230"/>
    </row>
    <row r="1634">
      <c r="O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  <c r="AI1634" s="230"/>
    </row>
    <row r="1635">
      <c r="O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  <c r="AI1635" s="230"/>
    </row>
    <row r="1636">
      <c r="O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  <c r="AI1636" s="230"/>
    </row>
    <row r="1637">
      <c r="O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  <c r="AI1637" s="230"/>
    </row>
    <row r="1638">
      <c r="O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  <c r="AI1638" s="230"/>
    </row>
    <row r="1639">
      <c r="O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  <c r="AI1639" s="230"/>
    </row>
    <row r="1640">
      <c r="O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  <c r="AI1640" s="230"/>
    </row>
    <row r="1641">
      <c r="O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  <c r="AI1641" s="230"/>
    </row>
    <row r="1642">
      <c r="O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  <c r="AI1642" s="230"/>
    </row>
    <row r="1643">
      <c r="O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  <c r="AI1643" s="230"/>
    </row>
    <row r="1644">
      <c r="O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  <c r="AI1644" s="230"/>
    </row>
    <row r="1645">
      <c r="O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  <c r="AI1645" s="230"/>
    </row>
    <row r="1646">
      <c r="O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  <c r="AI1646" s="230"/>
    </row>
    <row r="1647">
      <c r="O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  <c r="AI1647" s="230"/>
    </row>
    <row r="1648">
      <c r="O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  <c r="AI1648" s="230"/>
    </row>
    <row r="1649">
      <c r="O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  <c r="AI1649" s="230"/>
    </row>
    <row r="1650">
      <c r="O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  <c r="AI1650" s="230"/>
    </row>
    <row r="1651">
      <c r="O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  <c r="AI1651" s="230"/>
    </row>
    <row r="1652">
      <c r="O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  <c r="AI1652" s="230"/>
    </row>
    <row r="1653">
      <c r="O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  <c r="AI1653" s="230"/>
    </row>
    <row r="1654">
      <c r="O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  <c r="AI1654" s="230"/>
    </row>
    <row r="1655">
      <c r="O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  <c r="AI1655" s="230"/>
    </row>
    <row r="1656">
      <c r="O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  <c r="AI1656" s="230"/>
    </row>
    <row r="1657">
      <c r="O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  <c r="AI1657" s="230"/>
    </row>
    <row r="1658">
      <c r="O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  <c r="AI1658" s="230"/>
    </row>
    <row r="1659">
      <c r="O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  <c r="AI1659" s="230"/>
    </row>
    <row r="1660">
      <c r="O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  <c r="AI1660" s="230"/>
    </row>
    <row r="1661">
      <c r="O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  <c r="AI1661" s="230"/>
    </row>
    <row r="1662">
      <c r="O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  <c r="AI1662" s="230"/>
    </row>
    <row r="1663">
      <c r="O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  <c r="AI1663" s="230"/>
    </row>
    <row r="1664">
      <c r="O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  <c r="AI1664" s="230"/>
    </row>
    <row r="1665">
      <c r="O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  <c r="AI1665" s="230"/>
    </row>
    <row r="1666">
      <c r="O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  <c r="AI1666" s="230"/>
    </row>
    <row r="1667">
      <c r="O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  <c r="AI1667" s="230"/>
    </row>
    <row r="1668">
      <c r="O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  <c r="AI1668" s="230"/>
    </row>
    <row r="1669">
      <c r="O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  <c r="AI1669" s="230"/>
    </row>
    <row r="1670">
      <c r="O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  <c r="AI1670" s="230"/>
    </row>
    <row r="1671">
      <c r="O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  <c r="AI1671" s="230"/>
    </row>
    <row r="1672">
      <c r="O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  <c r="AI1672" s="230"/>
    </row>
    <row r="1673">
      <c r="O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  <c r="AI1673" s="230"/>
    </row>
    <row r="1674">
      <c r="O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  <c r="AI1674" s="230"/>
    </row>
    <row r="1675">
      <c r="O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  <c r="AI1675" s="230"/>
    </row>
    <row r="1676">
      <c r="O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  <c r="AI1676" s="230"/>
    </row>
    <row r="1677">
      <c r="O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  <c r="AI1677" s="230"/>
    </row>
    <row r="1678">
      <c r="O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  <c r="AI1678" s="230"/>
    </row>
    <row r="1679">
      <c r="O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  <c r="AI1679" s="230"/>
    </row>
    <row r="1680">
      <c r="O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  <c r="AI1680" s="230"/>
    </row>
    <row r="1681">
      <c r="O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  <c r="AI1681" s="230"/>
    </row>
    <row r="1682">
      <c r="O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  <c r="AI1682" s="230"/>
    </row>
    <row r="1683">
      <c r="O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  <c r="AI1683" s="230"/>
    </row>
    <row r="1684">
      <c r="O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  <c r="AI1684" s="230"/>
    </row>
    <row r="1685">
      <c r="O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  <c r="AI1685" s="230"/>
    </row>
    <row r="1686">
      <c r="O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  <c r="AI1686" s="230"/>
    </row>
    <row r="1687">
      <c r="O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  <c r="AI1687" s="230"/>
    </row>
    <row r="1688">
      <c r="O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  <c r="AI1688" s="230"/>
    </row>
    <row r="1689">
      <c r="O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  <c r="AI1689" s="230"/>
    </row>
    <row r="1690">
      <c r="O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  <c r="AI1690" s="230"/>
    </row>
    <row r="1691">
      <c r="O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  <c r="AI1691" s="230"/>
    </row>
    <row r="1692">
      <c r="O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  <c r="AI1692" s="230"/>
    </row>
    <row r="1693">
      <c r="O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  <c r="AI1693" s="230"/>
    </row>
    <row r="1694">
      <c r="O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  <c r="AI1694" s="230"/>
    </row>
    <row r="1695">
      <c r="O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  <c r="AI1695" s="230"/>
    </row>
    <row r="1696">
      <c r="O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  <c r="AI1696" s="230"/>
    </row>
    <row r="1697">
      <c r="O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  <c r="AI1697" s="230"/>
    </row>
    <row r="1698">
      <c r="O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  <c r="AI1698" s="230"/>
    </row>
    <row r="1699">
      <c r="O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  <c r="AI1699" s="230"/>
    </row>
    <row r="1700">
      <c r="O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  <c r="AI1700" s="230"/>
    </row>
    <row r="1701">
      <c r="O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  <c r="AI1701" s="230"/>
    </row>
    <row r="1702">
      <c r="O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  <c r="AI1702" s="230"/>
    </row>
    <row r="1703">
      <c r="O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  <c r="AI1703" s="230"/>
    </row>
    <row r="1704">
      <c r="O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  <c r="AI1704" s="230"/>
    </row>
    <row r="1705">
      <c r="O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  <c r="AI1705" s="230"/>
    </row>
    <row r="1706">
      <c r="O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  <c r="AI1706" s="230"/>
    </row>
    <row r="1707">
      <c r="O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  <c r="AI1707" s="230"/>
    </row>
    <row r="1708">
      <c r="O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  <c r="AI1708" s="230"/>
    </row>
    <row r="1709">
      <c r="O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  <c r="AI1709" s="230"/>
    </row>
    <row r="1710">
      <c r="O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  <c r="AI1710" s="230"/>
    </row>
    <row r="1711">
      <c r="O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  <c r="AI1711" s="230"/>
    </row>
    <row r="1712">
      <c r="O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  <c r="AI1712" s="230"/>
    </row>
    <row r="1713">
      <c r="O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  <c r="AI1713" s="230"/>
    </row>
    <row r="1714">
      <c r="O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  <c r="AI1714" s="230"/>
    </row>
    <row r="1715">
      <c r="O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  <c r="AI1715" s="230"/>
    </row>
    <row r="1716">
      <c r="O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  <c r="AI1716" s="230"/>
    </row>
    <row r="1717">
      <c r="O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  <c r="AI1717" s="230"/>
    </row>
    <row r="1718">
      <c r="O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  <c r="AI1718" s="230"/>
    </row>
    <row r="1719">
      <c r="O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  <c r="AI1719" s="230"/>
    </row>
    <row r="1720">
      <c r="O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  <c r="AI1720" s="230"/>
    </row>
    <row r="1721">
      <c r="O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  <c r="AI1721" s="230"/>
    </row>
    <row r="1722">
      <c r="O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  <c r="AI1722" s="230"/>
    </row>
    <row r="1723">
      <c r="O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  <c r="AI1723" s="230"/>
    </row>
    <row r="1724">
      <c r="O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  <c r="AI1724" s="230"/>
    </row>
    <row r="1725">
      <c r="O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  <c r="AI1725" s="230"/>
    </row>
    <row r="1726">
      <c r="O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  <c r="AI1726" s="230"/>
    </row>
    <row r="1727">
      <c r="O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  <c r="AI1727" s="230"/>
    </row>
    <row r="1728">
      <c r="O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  <c r="AI1728" s="230"/>
    </row>
    <row r="1729">
      <c r="O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  <c r="AI1729" s="230"/>
    </row>
    <row r="1730">
      <c r="O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  <c r="AI1730" s="230"/>
    </row>
    <row r="1731">
      <c r="O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  <c r="AI1731" s="230"/>
    </row>
    <row r="1732">
      <c r="O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  <c r="AI1732" s="230"/>
    </row>
    <row r="1733">
      <c r="O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  <c r="AI1733" s="230"/>
    </row>
    <row r="1734">
      <c r="O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  <c r="AI1734" s="230"/>
    </row>
    <row r="1735">
      <c r="O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  <c r="AI1735" s="230"/>
    </row>
    <row r="1736">
      <c r="O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  <c r="AI1736" s="230"/>
    </row>
    <row r="1737">
      <c r="O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  <c r="AI1737" s="230"/>
    </row>
    <row r="1738">
      <c r="O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  <c r="AI1738" s="230"/>
    </row>
    <row r="1739">
      <c r="O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  <c r="AI1739" s="230"/>
    </row>
    <row r="1740">
      <c r="O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  <c r="AI1740" s="230"/>
    </row>
    <row r="1741">
      <c r="O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  <c r="AI1741" s="230"/>
    </row>
    <row r="1742">
      <c r="O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  <c r="AI1742" s="230"/>
    </row>
    <row r="1743">
      <c r="O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  <c r="AI1743" s="230"/>
    </row>
    <row r="1744">
      <c r="O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  <c r="AI1744" s="230"/>
    </row>
    <row r="1745">
      <c r="O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  <c r="AI1745" s="230"/>
    </row>
    <row r="1746">
      <c r="O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  <c r="AI1746" s="230"/>
    </row>
    <row r="1747">
      <c r="O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  <c r="AI1747" s="230"/>
    </row>
    <row r="1748">
      <c r="O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  <c r="AI1748" s="230"/>
    </row>
    <row r="1749">
      <c r="O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  <c r="AI1749" s="230"/>
    </row>
    <row r="1750">
      <c r="O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  <c r="AI1750" s="230"/>
    </row>
    <row r="1751">
      <c r="O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  <c r="AI1751" s="230"/>
    </row>
    <row r="1752">
      <c r="O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  <c r="AI1752" s="230"/>
    </row>
    <row r="1753">
      <c r="O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  <c r="AI1753" s="230"/>
    </row>
    <row r="1754">
      <c r="O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  <c r="AI1754" s="230"/>
    </row>
    <row r="1755">
      <c r="O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  <c r="AI1755" s="230"/>
    </row>
    <row r="1756">
      <c r="O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  <c r="AI1756" s="230"/>
    </row>
    <row r="1757">
      <c r="O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  <c r="AI1757" s="230"/>
    </row>
    <row r="1758">
      <c r="O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  <c r="AI1758" s="230"/>
    </row>
    <row r="1759">
      <c r="O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  <c r="AI1759" s="230"/>
    </row>
    <row r="1760">
      <c r="O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  <c r="AI1760" s="230"/>
    </row>
    <row r="1761">
      <c r="O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  <c r="AI1761" s="230"/>
    </row>
    <row r="1762">
      <c r="O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  <c r="AI1762" s="230"/>
    </row>
    <row r="1763">
      <c r="O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  <c r="AI1763" s="230"/>
    </row>
    <row r="1764">
      <c r="O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  <c r="AI1764" s="230"/>
    </row>
    <row r="1765">
      <c r="O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  <c r="AI1765" s="230"/>
    </row>
    <row r="1766">
      <c r="O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  <c r="AI1766" s="230"/>
    </row>
    <row r="1767">
      <c r="O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  <c r="AI1767" s="230"/>
    </row>
    <row r="1768">
      <c r="O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  <c r="AI1768" s="230"/>
    </row>
    <row r="1769">
      <c r="O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  <c r="AI1769" s="230"/>
    </row>
    <row r="1770">
      <c r="O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  <c r="AI1770" s="230"/>
    </row>
    <row r="1771">
      <c r="O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  <c r="AI1771" s="230"/>
    </row>
    <row r="1772">
      <c r="O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  <c r="AI1772" s="230"/>
    </row>
    <row r="1773">
      <c r="O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  <c r="AI1773" s="230"/>
    </row>
    <row r="1774">
      <c r="O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  <c r="AI1774" s="230"/>
    </row>
    <row r="1775">
      <c r="O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  <c r="AI1775" s="230"/>
    </row>
    <row r="1776">
      <c r="O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  <c r="AI1776" s="230"/>
    </row>
    <row r="1777">
      <c r="O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  <c r="AI1777" s="230"/>
    </row>
    <row r="1778">
      <c r="O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  <c r="AI1778" s="230"/>
    </row>
    <row r="1779">
      <c r="O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  <c r="AI1779" s="230"/>
    </row>
    <row r="1780">
      <c r="O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  <c r="AI1780" s="230"/>
    </row>
    <row r="1781">
      <c r="O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  <c r="AI1781" s="230"/>
    </row>
    <row r="1782">
      <c r="O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  <c r="AI1782" s="230"/>
    </row>
    <row r="1783">
      <c r="O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  <c r="AI1783" s="230"/>
    </row>
    <row r="1784">
      <c r="O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  <c r="AI1784" s="230"/>
    </row>
    <row r="1785">
      <c r="O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  <c r="AI1785" s="230"/>
    </row>
    <row r="1786">
      <c r="O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  <c r="AI1786" s="230"/>
    </row>
    <row r="1787">
      <c r="O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  <c r="AI1787" s="230"/>
    </row>
    <row r="1788">
      <c r="O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  <c r="AI1788" s="230"/>
    </row>
    <row r="1789">
      <c r="O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  <c r="AI1789" s="230"/>
    </row>
    <row r="1790">
      <c r="O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  <c r="AI1790" s="230"/>
    </row>
    <row r="1791">
      <c r="O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  <c r="AI1791" s="230"/>
    </row>
    <row r="1792">
      <c r="O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  <c r="AI1792" s="230"/>
    </row>
    <row r="1793">
      <c r="O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  <c r="AI1793" s="230"/>
    </row>
    <row r="1794">
      <c r="O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  <c r="AI1794" s="230"/>
    </row>
    <row r="1795">
      <c r="O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  <c r="AI1795" s="230"/>
    </row>
    <row r="1796">
      <c r="O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  <c r="AI1796" s="230"/>
    </row>
    <row r="1797">
      <c r="O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  <c r="AI1797" s="230"/>
    </row>
    <row r="1798">
      <c r="O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  <c r="AI1798" s="230"/>
    </row>
    <row r="1799">
      <c r="O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  <c r="AI1799" s="230"/>
    </row>
    <row r="1800">
      <c r="O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  <c r="AI1800" s="230"/>
    </row>
    <row r="1801">
      <c r="O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  <c r="AI1801" s="230"/>
    </row>
    <row r="1802">
      <c r="O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  <c r="AI1802" s="230"/>
    </row>
    <row r="1803">
      <c r="O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  <c r="AI1803" s="230"/>
    </row>
    <row r="1804">
      <c r="O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  <c r="AI1804" s="230"/>
    </row>
    <row r="1805">
      <c r="O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  <c r="AI1805" s="230"/>
    </row>
    <row r="1806">
      <c r="O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  <c r="AI1806" s="230"/>
    </row>
    <row r="1807">
      <c r="O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  <c r="AI1807" s="230"/>
    </row>
    <row r="1808">
      <c r="O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  <c r="AI1808" s="230"/>
    </row>
    <row r="1809">
      <c r="O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  <c r="AI1809" s="230"/>
    </row>
    <row r="1810">
      <c r="O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  <c r="AI1810" s="230"/>
    </row>
    <row r="1811">
      <c r="O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  <c r="AI1811" s="230"/>
    </row>
    <row r="1812">
      <c r="O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  <c r="AI1812" s="230"/>
    </row>
    <row r="1813">
      <c r="O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  <c r="AI1813" s="230"/>
    </row>
    <row r="1814">
      <c r="O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  <c r="AI1814" s="230"/>
    </row>
    <row r="1815">
      <c r="O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  <c r="AI1815" s="230"/>
    </row>
    <row r="1816">
      <c r="O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  <c r="AI1816" s="230"/>
    </row>
    <row r="1817">
      <c r="O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  <c r="AI1817" s="230"/>
    </row>
    <row r="1818">
      <c r="O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  <c r="AI1818" s="230"/>
    </row>
    <row r="1819">
      <c r="O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  <c r="AI1819" s="230"/>
    </row>
    <row r="1820">
      <c r="O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  <c r="AI1820" s="230"/>
    </row>
    <row r="1821">
      <c r="O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  <c r="AI1821" s="230"/>
    </row>
    <row r="1822">
      <c r="O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  <c r="AI1822" s="230"/>
    </row>
    <row r="1823">
      <c r="O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  <c r="AI1823" s="230"/>
    </row>
    <row r="1824">
      <c r="O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  <c r="AI1824" s="230"/>
    </row>
    <row r="1825">
      <c r="O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  <c r="AI1825" s="230"/>
    </row>
    <row r="1826">
      <c r="O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  <c r="AI1826" s="230"/>
    </row>
    <row r="1827">
      <c r="O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  <c r="AI1827" s="230"/>
    </row>
    <row r="1828">
      <c r="O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  <c r="AI1828" s="230"/>
    </row>
    <row r="1829">
      <c r="O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  <c r="AI1829" s="230"/>
    </row>
    <row r="1830">
      <c r="O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  <c r="AI1830" s="230"/>
    </row>
    <row r="1831">
      <c r="O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  <c r="AI1831" s="230"/>
    </row>
    <row r="1832">
      <c r="O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  <c r="AI1832" s="230"/>
    </row>
    <row r="1833">
      <c r="O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  <c r="AI1833" s="230"/>
    </row>
    <row r="1834">
      <c r="O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  <c r="AI1834" s="230"/>
    </row>
    <row r="1835">
      <c r="O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  <c r="AI1835" s="230"/>
    </row>
    <row r="1836">
      <c r="O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  <c r="AI1836" s="230"/>
    </row>
    <row r="1837">
      <c r="O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  <c r="AI1837" s="230"/>
    </row>
    <row r="1838">
      <c r="O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  <c r="AI1838" s="230"/>
    </row>
    <row r="1839">
      <c r="O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  <c r="AI1839" s="230"/>
    </row>
    <row r="1840">
      <c r="O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  <c r="AI1840" s="230"/>
    </row>
    <row r="1841">
      <c r="O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  <c r="AI1841" s="230"/>
    </row>
    <row r="1842">
      <c r="O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  <c r="AI1842" s="230"/>
    </row>
    <row r="1843">
      <c r="O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  <c r="AI1843" s="230"/>
    </row>
    <row r="1844">
      <c r="O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  <c r="AI1844" s="230"/>
    </row>
    <row r="1845">
      <c r="O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  <c r="AI1845" s="230"/>
    </row>
    <row r="1846">
      <c r="O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  <c r="AI1846" s="230"/>
    </row>
    <row r="1847">
      <c r="O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  <c r="AI1847" s="230"/>
    </row>
    <row r="1848">
      <c r="O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  <c r="AI1848" s="230"/>
    </row>
    <row r="1849">
      <c r="O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  <c r="AI1849" s="230"/>
    </row>
    <row r="1850">
      <c r="O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  <c r="AI1850" s="230"/>
    </row>
    <row r="1851">
      <c r="O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  <c r="AI1851" s="230"/>
    </row>
    <row r="1852">
      <c r="O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  <c r="AI1852" s="230"/>
    </row>
    <row r="1853">
      <c r="O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  <c r="AI1853" s="230"/>
    </row>
    <row r="1854">
      <c r="O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  <c r="AI1854" s="230"/>
    </row>
    <row r="1855">
      <c r="O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  <c r="AI1855" s="230"/>
    </row>
    <row r="1856">
      <c r="O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  <c r="AI1856" s="230"/>
    </row>
    <row r="1857">
      <c r="O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  <c r="AI1857" s="230"/>
    </row>
    <row r="1858">
      <c r="O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  <c r="AI1858" s="230"/>
    </row>
    <row r="1859">
      <c r="O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  <c r="AI1859" s="230"/>
    </row>
    <row r="1860">
      <c r="O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  <c r="AI1860" s="230"/>
    </row>
    <row r="1861">
      <c r="O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  <c r="AI1861" s="230"/>
    </row>
    <row r="1862">
      <c r="O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  <c r="AI1862" s="230"/>
    </row>
    <row r="1863">
      <c r="O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  <c r="AI1863" s="230"/>
    </row>
    <row r="1864">
      <c r="O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  <c r="AI1864" s="230"/>
    </row>
    <row r="1865">
      <c r="O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  <c r="AI1865" s="230"/>
    </row>
    <row r="1866">
      <c r="O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  <c r="AI1866" s="230"/>
    </row>
    <row r="1867">
      <c r="O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  <c r="AI1867" s="230"/>
    </row>
    <row r="1868">
      <c r="O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  <c r="AI1868" s="230"/>
    </row>
    <row r="1869">
      <c r="O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  <c r="AI1869" s="230"/>
    </row>
    <row r="1870">
      <c r="O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  <c r="AI1870" s="230"/>
    </row>
    <row r="1871">
      <c r="O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  <c r="AI1871" s="230"/>
    </row>
    <row r="1872">
      <c r="O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  <c r="AI1872" s="230"/>
    </row>
    <row r="1873">
      <c r="O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  <c r="AI1873" s="230"/>
    </row>
    <row r="1874">
      <c r="O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  <c r="AI1874" s="230"/>
    </row>
    <row r="1875">
      <c r="O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  <c r="AI1875" s="230"/>
    </row>
    <row r="1876">
      <c r="O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  <c r="AI1876" s="230"/>
    </row>
    <row r="1877">
      <c r="O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  <c r="AI1877" s="230"/>
    </row>
    <row r="1878">
      <c r="O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  <c r="AI1878" s="230"/>
    </row>
    <row r="1879">
      <c r="O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  <c r="AI1879" s="230"/>
    </row>
    <row r="1880">
      <c r="O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  <c r="AI1880" s="230"/>
    </row>
    <row r="1881">
      <c r="O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  <c r="AI1881" s="230"/>
    </row>
    <row r="1882">
      <c r="O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  <c r="AI1882" s="230"/>
    </row>
    <row r="1883">
      <c r="O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  <c r="AI1883" s="230"/>
    </row>
    <row r="1884">
      <c r="O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  <c r="AI1884" s="230"/>
    </row>
    <row r="1885">
      <c r="O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  <c r="AI1885" s="230"/>
    </row>
    <row r="1886">
      <c r="O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  <c r="AI1886" s="230"/>
    </row>
    <row r="1887">
      <c r="O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  <c r="AI1887" s="230"/>
    </row>
    <row r="1888">
      <c r="O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  <c r="AI1888" s="230"/>
    </row>
    <row r="1889">
      <c r="O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  <c r="AI1889" s="230"/>
    </row>
    <row r="1890">
      <c r="O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  <c r="AI1890" s="230"/>
    </row>
    <row r="1891">
      <c r="O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  <c r="AI1891" s="230"/>
    </row>
    <row r="1892">
      <c r="O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  <c r="AI1892" s="230"/>
    </row>
    <row r="1893">
      <c r="O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  <c r="AI1893" s="230"/>
    </row>
    <row r="1894">
      <c r="O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  <c r="AI1894" s="230"/>
    </row>
    <row r="1895">
      <c r="O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  <c r="AI1895" s="230"/>
    </row>
    <row r="1896">
      <c r="O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  <c r="AI1896" s="230"/>
    </row>
    <row r="1897">
      <c r="O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  <c r="AI1897" s="230"/>
    </row>
    <row r="1898">
      <c r="O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  <c r="AI1898" s="230"/>
    </row>
    <row r="1899">
      <c r="O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  <c r="AI1899" s="230"/>
    </row>
    <row r="1900">
      <c r="O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  <c r="AI1900" s="230"/>
    </row>
    <row r="1901">
      <c r="O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  <c r="AI1901" s="230"/>
    </row>
    <row r="1902">
      <c r="O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  <c r="AI1902" s="230"/>
    </row>
    <row r="1903">
      <c r="O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  <c r="AI1903" s="230"/>
    </row>
    <row r="1904">
      <c r="O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  <c r="AI1904" s="230"/>
    </row>
    <row r="1905">
      <c r="O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  <c r="AI1905" s="230"/>
    </row>
    <row r="1906">
      <c r="O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  <c r="AI1906" s="230"/>
    </row>
    <row r="1907">
      <c r="O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  <c r="AI1907" s="230"/>
    </row>
    <row r="1908">
      <c r="O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  <c r="AI1908" s="230"/>
    </row>
    <row r="1909">
      <c r="O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  <c r="AI1909" s="230"/>
    </row>
    <row r="1910">
      <c r="O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  <c r="AI1910" s="230"/>
    </row>
    <row r="1911">
      <c r="O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  <c r="AI1911" s="230"/>
    </row>
    <row r="1912">
      <c r="O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  <c r="AI1912" s="230"/>
    </row>
    <row r="1913">
      <c r="O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  <c r="AI1913" s="230"/>
    </row>
    <row r="1914">
      <c r="O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  <c r="AI1914" s="230"/>
    </row>
    <row r="1915">
      <c r="O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  <c r="AI1915" s="230"/>
    </row>
    <row r="1916">
      <c r="O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  <c r="AI1916" s="230"/>
    </row>
    <row r="1917">
      <c r="O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  <c r="AI1917" s="230"/>
    </row>
    <row r="1918">
      <c r="O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  <c r="AI1918" s="230"/>
    </row>
    <row r="1919">
      <c r="O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  <c r="AI1919" s="230"/>
    </row>
    <row r="1920">
      <c r="O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  <c r="AI1920" s="230"/>
    </row>
    <row r="1921">
      <c r="O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  <c r="AI1921" s="230"/>
    </row>
    <row r="1922">
      <c r="O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  <c r="AI1922" s="230"/>
    </row>
    <row r="1923">
      <c r="O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  <c r="AI1923" s="230"/>
    </row>
    <row r="1924">
      <c r="O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  <c r="AI1924" s="230"/>
    </row>
    <row r="1925">
      <c r="O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  <c r="AI1925" s="230"/>
    </row>
    <row r="1926">
      <c r="O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  <c r="AI1926" s="230"/>
    </row>
    <row r="1927">
      <c r="O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  <c r="AI1927" s="230"/>
    </row>
    <row r="1928">
      <c r="O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  <c r="AI1928" s="230"/>
    </row>
    <row r="1929">
      <c r="O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  <c r="AI1929" s="230"/>
    </row>
    <row r="1930">
      <c r="O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  <c r="AI1930" s="230"/>
    </row>
    <row r="1931">
      <c r="O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  <c r="AI1931" s="230"/>
    </row>
    <row r="1932">
      <c r="O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  <c r="AI1932" s="230"/>
    </row>
    <row r="1933">
      <c r="O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  <c r="AI1933" s="230"/>
    </row>
    <row r="1934">
      <c r="O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  <c r="AI1934" s="230"/>
    </row>
    <row r="1935">
      <c r="O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  <c r="AI1935" s="230"/>
    </row>
    <row r="1936">
      <c r="O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  <c r="AI1936" s="230"/>
    </row>
    <row r="1937">
      <c r="O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  <c r="AI1937" s="230"/>
    </row>
    <row r="1938">
      <c r="O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  <c r="AI1938" s="230"/>
    </row>
    <row r="1939">
      <c r="O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  <c r="AI1939" s="230"/>
    </row>
    <row r="1940">
      <c r="O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  <c r="AI1940" s="230"/>
    </row>
    <row r="1941">
      <c r="O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  <c r="AI1941" s="230"/>
    </row>
    <row r="1942">
      <c r="O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  <c r="AI1942" s="230"/>
    </row>
    <row r="1943">
      <c r="O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  <c r="AI1943" s="230"/>
    </row>
    <row r="1944">
      <c r="O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  <c r="AI1944" s="230"/>
    </row>
    <row r="1945">
      <c r="O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  <c r="AI1945" s="230"/>
    </row>
    <row r="1946">
      <c r="O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  <c r="AI1946" s="230"/>
    </row>
    <row r="1947">
      <c r="O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  <c r="AI1947" s="230"/>
    </row>
    <row r="1948">
      <c r="O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  <c r="AI1948" s="230"/>
    </row>
    <row r="1949">
      <c r="O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  <c r="AI1949" s="230"/>
    </row>
    <row r="1950">
      <c r="O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  <c r="AI1950" s="230"/>
    </row>
    <row r="1951">
      <c r="O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  <c r="AI1951" s="230"/>
    </row>
    <row r="1952">
      <c r="O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  <c r="AI1952" s="230"/>
    </row>
    <row r="1953">
      <c r="O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  <c r="AI1953" s="230"/>
    </row>
    <row r="1954">
      <c r="O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  <c r="AI1954" s="230"/>
    </row>
    <row r="1955">
      <c r="O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  <c r="AI1955" s="230"/>
    </row>
    <row r="1956">
      <c r="O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  <c r="AI1956" s="230"/>
    </row>
    <row r="1957">
      <c r="O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  <c r="AI1957" s="230"/>
    </row>
    <row r="1958">
      <c r="O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  <c r="AI1958" s="230"/>
    </row>
    <row r="1959">
      <c r="O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  <c r="AI1959" s="230"/>
    </row>
    <row r="1960">
      <c r="O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  <c r="AI1960" s="230"/>
    </row>
    <row r="1961">
      <c r="O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  <c r="AI1961" s="230"/>
    </row>
    <row r="1962">
      <c r="O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  <c r="AI1962" s="230"/>
    </row>
    <row r="1963">
      <c r="O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  <c r="AI1963" s="230"/>
    </row>
    <row r="1964">
      <c r="O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  <c r="AI1964" s="230"/>
    </row>
    <row r="1965">
      <c r="O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  <c r="AI1965" s="230"/>
    </row>
    <row r="1966">
      <c r="O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  <c r="AI1966" s="230"/>
    </row>
    <row r="1967">
      <c r="O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  <c r="AI1967" s="230"/>
    </row>
    <row r="1968">
      <c r="O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  <c r="AI1968" s="230"/>
    </row>
    <row r="1969">
      <c r="O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  <c r="AI1969" s="230"/>
    </row>
    <row r="1970">
      <c r="O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  <c r="AI1970" s="230"/>
    </row>
    <row r="1971">
      <c r="O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  <c r="AI1971" s="230"/>
    </row>
    <row r="1972">
      <c r="O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  <c r="AI1972" s="230"/>
    </row>
    <row r="1973">
      <c r="O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  <c r="AI1973" s="230"/>
    </row>
    <row r="1974">
      <c r="O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  <c r="AI1974" s="230"/>
    </row>
    <row r="1975">
      <c r="O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  <c r="AI1975" s="230"/>
    </row>
    <row r="1976">
      <c r="O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  <c r="AI1976" s="230"/>
    </row>
    <row r="1977">
      <c r="O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  <c r="AI1977" s="230"/>
    </row>
    <row r="1978">
      <c r="O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  <c r="AI1978" s="230"/>
    </row>
    <row r="1979">
      <c r="O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  <c r="AI1979" s="230"/>
    </row>
    <row r="1980">
      <c r="O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  <c r="AI1980" s="230"/>
    </row>
    <row r="1981">
      <c r="O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  <c r="AI1981" s="230"/>
    </row>
    <row r="1982">
      <c r="O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  <c r="AI1982" s="230"/>
    </row>
    <row r="1983">
      <c r="O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  <c r="AI1983" s="230"/>
    </row>
    <row r="1984">
      <c r="O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  <c r="AI1984" s="230"/>
    </row>
    <row r="1985">
      <c r="O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  <c r="AI1985" s="230"/>
    </row>
    <row r="1986">
      <c r="O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  <c r="AI1986" s="230"/>
    </row>
    <row r="1987">
      <c r="O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  <c r="AI1987" s="230"/>
    </row>
    <row r="1988">
      <c r="O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  <c r="AI1988" s="230"/>
    </row>
    <row r="1989">
      <c r="O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  <c r="AI1989" s="230"/>
    </row>
    <row r="1990">
      <c r="O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  <c r="AI1990" s="230"/>
    </row>
    <row r="1991">
      <c r="O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  <c r="AI1991" s="230"/>
    </row>
    <row r="1992">
      <c r="O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  <c r="AI1992" s="230"/>
    </row>
    <row r="1993">
      <c r="O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  <c r="AI1993" s="230"/>
    </row>
    <row r="1994">
      <c r="O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  <c r="AI1994" s="230"/>
    </row>
    <row r="1995">
      <c r="O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  <c r="AI1995" s="230"/>
    </row>
    <row r="1996">
      <c r="O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  <c r="AI1996" s="230"/>
    </row>
    <row r="1997">
      <c r="O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  <c r="AI1997" s="230"/>
    </row>
    <row r="1998">
      <c r="O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  <c r="AI1998" s="230"/>
    </row>
    <row r="1999">
      <c r="O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  <c r="AI1999" s="230"/>
    </row>
    <row r="2000">
      <c r="O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  <c r="AI2000" s="230"/>
    </row>
    <row r="2001">
      <c r="O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  <c r="AI2001" s="230"/>
    </row>
    <row r="2002">
      <c r="O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  <c r="AI2002" s="230"/>
    </row>
    <row r="2003">
      <c r="O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  <c r="AI2003" s="230"/>
    </row>
    <row r="2004">
      <c r="O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  <c r="AI2004" s="230"/>
    </row>
  </sheetData>
  <autoFilter ref="$A$1:$BM$2004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130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21.0</v>
      </c>
      <c r="C3" s="219">
        <v>444.5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2.0</v>
      </c>
      <c r="D6" s="212"/>
      <c r="E6" s="212"/>
      <c r="F6" s="221" t="s">
        <v>2577</v>
      </c>
    </row>
    <row r="7" ht="22.5" customHeight="1">
      <c r="A7" s="218" t="s">
        <v>255</v>
      </c>
      <c r="B7" s="216">
        <f>SUM('Sprint 20'!O:O)</f>
        <v>483</v>
      </c>
      <c r="C7" s="212">
        <f>ROUND(SUM('Sprint 20'!S:S)/3600,2)</f>
        <v>402.5</v>
      </c>
      <c r="D7" s="216">
        <f>SUMIF('Sprint 20'!J:J, "Done", 'Sprint 20'!O:O)</f>
        <v>207</v>
      </c>
      <c r="E7" s="212">
        <f>ROUND(SUMIF('Sprint 20'!J:J, "Done", 'Sprint 20'!S:S)/3600,2)</f>
        <v>149.5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20'!S:S, ('Sprint 20'!Q:Q = ""mid-sprint"")))/3600,0),2)"),0.0)</f>
        <v>0</v>
      </c>
      <c r="D9" s="212">
        <f>IFERROR(__xludf.DUMMYFUNCTION("IFERROR(SUM(FILTER('Sprint 20'!O:O, (('Sprint 20'!J:J = ""Done"")) * ('Sprint 20'!Q:Q = ""mid-sprint""))),0)"),0.0)</f>
        <v>0</v>
      </c>
      <c r="E9" s="212">
        <f>IFERROR(__xludf.DUMMYFUNCTION("ROUND(IFERROR(SUM(FILTER('Sprint 20'!S:S, (('Sprint 20'!J:J = ""Done"")) * ('Sprint 20'!P:P = ""mid-sprint"")))/3600,0),2)"),0.0)</f>
        <v>0</v>
      </c>
      <c r="F9" s="225" t="s">
        <v>257</v>
      </c>
    </row>
    <row r="10" ht="22.5" customHeight="1">
      <c r="A10" s="218" t="s">
        <v>258</v>
      </c>
      <c r="B10" s="212">
        <f>IFERROR(__xludf.DUMMYFUNCTION("ROUND(IFERROR(SUM(FILTER('Sprint 20'!S:S, ('Sprint 20'!Q:Q = ""change-request"")))/3600,0),2)"),0.0)</f>
        <v>0</v>
      </c>
      <c r="D10" s="212">
        <f>IFERROR(__xludf.DUMMYFUNCTION("IFERROR(SUM(FILTER('Sprint 20'!O:O, (('Sprint 20'!J:J = ""Done"")) * ('Sprint 20'!Q:Q = ""change-request""))),0)"),0.0)</f>
        <v>0</v>
      </c>
      <c r="E10" s="212">
        <f>IFERROR(__xludf.DUMMYFUNCTION("ROUND(IFERROR(SUM(FILTER('Sprint 20'!S:S, (('Sprint 20'!J:J = ""Done"")) * ('Sprint 20'!Q:Q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20'!O:O, ('Sprint 20'!E:E = ""Aek:Atiphat Nanthachitvanich""))),0)"),22.0)</f>
        <v>22</v>
      </c>
      <c r="C12" s="223">
        <f>IFERROR(__xludf.DUMMYFUNCTION("ROUND(IFERROR(SUM(FILTER('Sprint 20'!S:S, ('Sprint 20'!E:E = ""Aek:Atiphat Nanthachitvanich"")))/3600,0),2)"),62.5)</f>
        <v>62.5</v>
      </c>
      <c r="D12" s="216">
        <f>IFERROR(__xludf.DUMMYFUNCTION("IFERROR(SUM(FILTER('Sprint 20'!O:O, (('Sprint 20'!J:J = ""Done"")) * ('Sprint 20'!E:E = ""Aek:Atiphat Nanthachitvanich""))),0)"),22.0)</f>
        <v>22</v>
      </c>
      <c r="E12" s="223">
        <f>IFERROR(__xludf.DUMMYFUNCTION("ROUND(IFERROR(SUM(FILTER('Sprint 20'!S:S, (('Sprint 20'!J:J = ""Done"")) * ('Sprint 20'!E:E = ""Aek:Atiphat Nanthachitvanich"")))/3600,0),2)"),62.5)</f>
        <v>62.5</v>
      </c>
      <c r="F12" s="224"/>
    </row>
    <row r="13" ht="22.5" customHeight="1">
      <c r="A13" s="218" t="s">
        <v>32</v>
      </c>
      <c r="B13" s="216">
        <f>IFERROR(__xludf.DUMMYFUNCTION("IFERROR(SUM(FILTER('Sprint 20'!O:O, ('Sprint 20'!E:E = ""A:Phongthorn""))),0)"),57.0)</f>
        <v>57</v>
      </c>
      <c r="C13" s="223">
        <f>IFERROR(__xludf.DUMMYFUNCTION("ROUND(IFERROR(SUM(FILTER('Sprint 20'!S:S, ('Sprint 20'!E:E = ""A:Phongthorn"")))/3600,0),2)"),81.0)</f>
        <v>81</v>
      </c>
      <c r="D13" s="216">
        <f>IFERROR(__xludf.DUMMYFUNCTION("IFERROR(SUM(FILTER('Sprint 20'!O:O, (('Sprint 20'!J:J = ""Done"")) * ('Sprint 20'!E:E = ""A:Phongthorn""))),0)"),7.0)</f>
        <v>7</v>
      </c>
      <c r="E13" s="223">
        <f>IFERROR(__xludf.DUMMYFUNCTION("ROUND(IFERROR(SUM(FILTER('Sprint 20'!S:S, (('Sprint 20'!J:J = ""Done"")) * ('Sprint 20'!E:E = ""A:Phongthorn"")))/3600,0),2)"),8.0)</f>
        <v>8</v>
      </c>
      <c r="F13" s="224"/>
    </row>
    <row r="14" ht="22.5" customHeight="1">
      <c r="A14" s="218" t="s">
        <v>72</v>
      </c>
      <c r="B14" s="216">
        <f>IFERROR(__xludf.DUMMYFUNCTION("IFERROR(SUM(FILTER('Sprint 20'!O:O, ('Sprint 20'!E:E = ""Aom: Pornsawan Polnyiem""))),0)"),54.0)</f>
        <v>54</v>
      </c>
      <c r="C14" s="223">
        <f>IFERROR(__xludf.DUMMYFUNCTION("ROUND(IFERROR(SUM(FILTER('Sprint 20'!S:S, ('Sprint 20'!E:E = ""Aom: Pornsawan Polnyiem"")))/3600,0),2)"),12.0)</f>
        <v>12</v>
      </c>
      <c r="D14" s="216">
        <f>IFERROR(__xludf.DUMMYFUNCTION("IFERROR(SUM(FILTER('Sprint 20'!O:O, (('Sprint 20'!J:J = ""Done"")) * ('Sprint 20'!E:E = ""Aom: Pornsawan Polnyiem""))),0)"),27.0)</f>
        <v>27</v>
      </c>
      <c r="E14" s="223">
        <f>IFERROR(__xludf.DUMMYFUNCTION("ROUND(IFERROR(SUM(FILTER('Sprint 20'!S:S, (('Sprint 20'!J:J = ""Done"")) * ('Sprint 20'!E:E = ""Aom: Pornsawan Polnyiem"")))/3600,0),2)"),12.0)</f>
        <v>12</v>
      </c>
      <c r="F14" s="224"/>
    </row>
    <row r="15" ht="22.5" customHeight="1">
      <c r="A15" s="218" t="s">
        <v>24</v>
      </c>
      <c r="B15" s="216">
        <f>IFERROR(__xludf.DUMMYFUNCTION("IFERROR(SUM(FILTER('Sprint 20'!O:O, ('Sprint 20'!E:E = ""Zan : Isarapong Bulan""))),0)"),27.0)</f>
        <v>27</v>
      </c>
      <c r="C15" s="223">
        <f>IFERROR(__xludf.DUMMYFUNCTION("ROUND(IFERROR(SUM(FILTER('Sprint 20'!S:S, ('Sprint 20'!E:E = ""Zan : Isarapong Bulan"")))/3600,0),2)"),0.0)</f>
        <v>0</v>
      </c>
      <c r="D15" s="216">
        <f>IFERROR(__xludf.DUMMYFUNCTION("IFERROR(SUM(FILTER('Sprint 20'!O:O, (('Sprint 20'!J:J = ""Done"")) * ('Sprint 20'!E:E = ""Zan : Isarapong Bulan""))),0)"),24.0)</f>
        <v>24</v>
      </c>
      <c r="E15" s="223">
        <f>IFERROR(__xludf.DUMMYFUNCTION("ROUND(IFERROR(SUM(FILTER('Sprint 20'!S:S, (('Sprint 20'!J:J = ""Done"")) * ('Sprint 20'!E:E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20'!O:O, ('Sprint 20'!E:E = ""Mai:Sateta Abvanawong""))),0)"),77.0)</f>
        <v>77</v>
      </c>
      <c r="C16" s="223">
        <f>IFERROR(__xludf.DUMMYFUNCTION("ROUND(IFERROR(SUM(FILTER('Sprint 20'!S:S, ('Sprint 20'!E:E = ""Mai:Sateta Abvanawong"")))/3600,0),2)"),48.0)</f>
        <v>48</v>
      </c>
      <c r="D16" s="216">
        <f>IFERROR(__xludf.DUMMYFUNCTION("IFERROR(SUM(FILTER('Sprint 20'!O:O, (('Sprint 20'!J:J = ""Done"")) * ('Sprint 20'!E:E = ""Mai:Sateta Abvanawong""))),0)"),48.0)</f>
        <v>48</v>
      </c>
      <c r="E16" s="223">
        <f>IFERROR(__xludf.DUMMYFUNCTION("ROUND(IFERROR(SUM(FILTER('Sprint 20'!S:S, (('Sprint 20'!J:J = ""Done"")) * ('Sprint 20'!E:E = ""Mai:Sateta Abvanawong""))),0)/3600,2)"),12.0)</f>
        <v>12</v>
      </c>
      <c r="F16" s="224"/>
    </row>
    <row r="17" ht="22.5" customHeight="1">
      <c r="A17" s="218" t="s">
        <v>74</v>
      </c>
      <c r="B17" s="216">
        <f>IFERROR(__xludf.DUMMYFUNCTION("IFERROR(SUM(FILTER('Sprint 20'!O:O, ('Sprint 20'!E:E = ""Mac: Jarupong Pawichpongkul""))),0)"),74.0)</f>
        <v>74</v>
      </c>
      <c r="C17" s="223">
        <f>IFERROR(__xludf.DUMMYFUNCTION("ROUND(IFERROR(SUM(FILTER('Sprint 20'!S:S, ('Sprint 20'!E:E = ""Mac: Jarupong Pawichpongkul"")))/3600,0),2)"),70.0)</f>
        <v>70</v>
      </c>
      <c r="D17" s="216">
        <f>IFERROR(__xludf.DUMMYFUNCTION("IFERROR(SUM(FILTER('Sprint 20'!O:O, (('Sprint 20'!J:J = ""Done"")) * ('Sprint 20'!E:E = ""Mac: Jarupong Pawichpongkul""))),0)"),38.0)</f>
        <v>38</v>
      </c>
      <c r="E17" s="223">
        <f>IFERROR(__xludf.DUMMYFUNCTION("ROUND(IFERROR(SUM(FILTER('Sprint 20'!S:S, (('Sprint 20'!J:J = ""Done"")) * ('Sprint 20'!E:E = ""Mac: Jarupong Pawichpongkul"")))/3600,0),2)"),3.0)</f>
        <v>3</v>
      </c>
      <c r="F17" s="224"/>
    </row>
    <row r="18" ht="22.5" customHeight="1">
      <c r="A18" s="218" t="s">
        <v>75</v>
      </c>
      <c r="B18" s="216">
        <f>IFERROR(__xludf.DUMMYFUNCTION("IFERROR(SUM(FILTER('Sprint 20'!O:O, ('Sprint 20'!E:E = ""Moss : Kittapath Sangvikukit""))),0)"),67.0)</f>
        <v>67</v>
      </c>
      <c r="C18" s="223">
        <f>IFERROR(__xludf.DUMMYFUNCTION("ROUND(IFERROR(SUM(FILTER('Sprint 20'!S:S, ('Sprint 20'!E:E = ""Moss : Kittapath Sangvikukit"")))/3600,0),2)"),56.0)</f>
        <v>56</v>
      </c>
      <c r="D18" s="216">
        <f>IFERROR(__xludf.DUMMYFUNCTION("IFERROR(SUM(FILTER('Sprint 20'!O:O, (('Sprint 20'!J:J = ""Done"")) * ('Sprint 20'!E:E = ""Moss : Kittapath Sangvikukit""))),0)"),17.0)</f>
        <v>17</v>
      </c>
      <c r="E18" s="223">
        <f>IFERROR(__xludf.DUMMYFUNCTION("ROUND(IFERROR(SUM(FILTER('Sprint 20'!S:S, (('Sprint 20'!J:J = ""Done"")) * ('Sprint 20'!E:E = ""Moss : Kittapath Sangvikukit"")))/3600,0),2)"),0.0)</f>
        <v>0</v>
      </c>
      <c r="F18" s="224"/>
    </row>
    <row r="19" ht="22.5" customHeight="1">
      <c r="A19" s="218" t="s">
        <v>28</v>
      </c>
      <c r="B19" s="216">
        <f>IFERROR(__xludf.DUMMYFUNCTION("IFERROR(SUM(FILTER('Sprint 20'!O:O, ('Sprint 20'!E:E = ""Jack: Warin Kesorn""))),0)"),10.0)</f>
        <v>10</v>
      </c>
      <c r="C19" s="223">
        <f>IFERROR(__xludf.DUMMYFUNCTION("ROUND(IFERROR(SUM(FILTER('Sprint 20'!S:S, ('Sprint 20'!E:E = ""Jack: Warin Kesorn"")))/3600,0),2)"),0.0)</f>
        <v>0</v>
      </c>
      <c r="D19" s="216">
        <f>IFERROR(__xludf.DUMMYFUNCTION("IFERROR(SUM(FILTER('Sprint 20'!O:O, (('Sprint 20'!J:J = ""Done"")) * ('Sprint 20'!E:E = ""Jack: Warin Kesorn""))),0)"),5.0)</f>
        <v>5</v>
      </c>
      <c r="E19" s="223">
        <f>IFERROR(__xludf.DUMMYFUNCTION("ROUND(IFERROR(SUM(FILTER('Sprint 20'!S:S, (('Sprint 20'!J:J = ""Done"")) * ('Sprint 20'!E:E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20'!O:O, ('Sprint 20'!E:E = ""Nim : muthita munmueang""))),0)"),60.0)</f>
        <v>60</v>
      </c>
      <c r="C20" s="223">
        <f>IFERROR(__xludf.DUMMYFUNCTION("ROUND(IFERROR(SUM(FILTER('Sprint 20'!S:S, ('Sprint 20'!E:E = ""Nim : muthita munmueang"")))/3600,0),2)"),73.0)</f>
        <v>73</v>
      </c>
      <c r="D20" s="216">
        <f>IFERROR(__xludf.DUMMYFUNCTION("IFERROR(SUM(FILTER('Sprint 20'!O:O, (('Sprint 20'!J:J = ""Done"")) * ('Sprint 20'!E:E = ""Nim : muthita munmueang""))),0)"),16.0)</f>
        <v>16</v>
      </c>
      <c r="E20" s="223">
        <f>IFERROR(__xludf.DUMMYFUNCTION("ROUND(IFERROR(SUM(FILTER('Sprint 20'!S:S, (('Sprint 20'!J:J = ""Done"")) * ('Sprint 20'!E:E = ""Nim : muthita munmueang"")))/3600,0),2)"),52.0)</f>
        <v>52</v>
      </c>
      <c r="F20" s="224"/>
    </row>
    <row r="21" ht="22.5" customHeight="1">
      <c r="A21" s="221" t="s">
        <v>77</v>
      </c>
      <c r="B21" s="224">
        <f>IFERROR(__xludf.DUMMYFUNCTION("IFERROR(SUM(FILTER('Sprint 20'!O:O, ('Sprint 20'!E:E = ""Arm:Worawat Chotipongchoawalit""))),0)"),35.0)</f>
        <v>35</v>
      </c>
      <c r="C21" s="223">
        <f>IFERROR(__xludf.DUMMYFUNCTION("ROUND(IFERROR(SUM(FILTER('Sprint 20'!S:S, ('Sprint 20'!E:E = ""Arm:Worawat Chotipongchoawalit"")))/3600,0),2)"),0.0)</f>
        <v>0</v>
      </c>
      <c r="D21" s="216">
        <f>IFERROR(__xludf.DUMMYFUNCTION("IFERROR(SUM(FILTER('Sprint 20'!O:O, (('Sprint 20'!J:J = ""Done"")) * ('Sprint 20'!E:E = ""Arm:Worawat Chotipongchoawalit""))),0)"),3.0)</f>
        <v>3</v>
      </c>
      <c r="E21" s="223">
        <f>IFERROR(__xludf.DUMMYFUNCTION("ROUND(IFERROR(SUM(FILTER('Sprint 20'!S:S, (('Sprint 20'!J:J = ""Done"")) * ('Sprint 20'!E:E = ""Arm:Worawat Chotipongchoawalit"")))/3600,0),2)"),0.0)</f>
        <v>0</v>
      </c>
      <c r="F21" s="224"/>
    </row>
    <row r="22">
      <c r="C22" s="125"/>
    </row>
    <row r="23">
      <c r="A23" s="127" t="s">
        <v>3610</v>
      </c>
      <c r="B23" s="150"/>
      <c r="C23" s="129"/>
      <c r="D23" s="88"/>
      <c r="E23" s="88"/>
      <c r="F23" s="88"/>
    </row>
    <row r="24">
      <c r="A24" s="144" t="str">
        <f>"Capacity รวม "&amp;SUM(C35:C40)&amp;" SP"</f>
        <v>Capacity รวม 130.5 SP</v>
      </c>
      <c r="B24" s="150">
        <f>SUM(C35:C40)</f>
        <v>130.5</v>
      </c>
      <c r="C24" s="131"/>
      <c r="D24" s="132"/>
      <c r="E24" s="132"/>
      <c r="H24" s="132"/>
      <c r="J24" s="151"/>
      <c r="L24" s="132"/>
      <c r="N24" s="151"/>
    </row>
    <row r="25">
      <c r="A25" s="133" t="s">
        <v>155</v>
      </c>
      <c r="B25" s="134">
        <f>SUM(H41,J41,L41,N41, P41)</f>
        <v>59.5</v>
      </c>
      <c r="C25" s="131"/>
      <c r="D25" s="132"/>
      <c r="E25" s="132"/>
      <c r="H25" s="151"/>
      <c r="J25" s="132"/>
      <c r="L25" s="132"/>
      <c r="N25" s="151"/>
    </row>
    <row r="26">
      <c r="A26" s="133" t="s">
        <v>156</v>
      </c>
      <c r="B26" s="131">
        <f>B24-B25</f>
        <v>71</v>
      </c>
      <c r="C26" s="131"/>
      <c r="D26" s="132"/>
      <c r="E26" s="132"/>
      <c r="H26" s="151"/>
      <c r="J26" s="132"/>
      <c r="L26" s="132"/>
      <c r="N26" s="151"/>
    </row>
    <row r="27">
      <c r="A27" s="135" t="s">
        <v>48</v>
      </c>
      <c r="B27" s="129">
        <f>F41</f>
        <v>66</v>
      </c>
      <c r="C27" s="129">
        <v>4.0</v>
      </c>
      <c r="D27" s="88"/>
      <c r="E27" s="88"/>
      <c r="F27" s="88"/>
    </row>
    <row r="28">
      <c r="A28" s="135" t="s">
        <v>44</v>
      </c>
      <c r="B28" s="129">
        <f>H41</f>
        <v>21</v>
      </c>
      <c r="C28" s="129">
        <v>1.0</v>
      </c>
      <c r="D28" s="88"/>
      <c r="E28" s="88"/>
      <c r="F28" s="88"/>
    </row>
    <row r="29">
      <c r="A29" s="135" t="s">
        <v>157</v>
      </c>
      <c r="B29" s="129">
        <f>J41</f>
        <v>34.5</v>
      </c>
      <c r="C29" s="129">
        <v>2.0</v>
      </c>
      <c r="D29" s="88"/>
      <c r="E29" s="88"/>
      <c r="F29" s="88"/>
    </row>
    <row r="30">
      <c r="A30" s="135" t="s">
        <v>158</v>
      </c>
      <c r="B30" s="129">
        <f>L41</f>
        <v>0</v>
      </c>
      <c r="C30" s="129">
        <v>0.0</v>
      </c>
      <c r="D30" s="88"/>
      <c r="E30" s="88"/>
      <c r="F30" s="88"/>
    </row>
    <row r="31">
      <c r="A31" s="135" t="s">
        <v>159</v>
      </c>
      <c r="B31" s="129">
        <f>L41</f>
        <v>0</v>
      </c>
      <c r="C31" s="129">
        <v>0.0</v>
      </c>
      <c r="D31" s="88"/>
      <c r="E31" s="88"/>
      <c r="F31" s="88"/>
    </row>
    <row r="32">
      <c r="A32" s="135" t="s">
        <v>160</v>
      </c>
      <c r="B32" s="129">
        <f>P41</f>
        <v>1</v>
      </c>
      <c r="C32" s="129">
        <v>1.0</v>
      </c>
      <c r="D32" s="88"/>
      <c r="E32" s="88"/>
      <c r="F32" s="88"/>
    </row>
    <row r="33">
      <c r="A33" s="136" t="s">
        <v>161</v>
      </c>
      <c r="B33" s="129">
        <f>C41-D41</f>
        <v>5</v>
      </c>
      <c r="C33" s="129"/>
      <c r="D33" s="88"/>
      <c r="E33" s="88"/>
      <c r="F33" s="88"/>
    </row>
    <row r="34">
      <c r="A34" s="138" t="s">
        <v>162</v>
      </c>
      <c r="B34" s="138" t="s">
        <v>163</v>
      </c>
      <c r="C34" s="138" t="s">
        <v>164</v>
      </c>
      <c r="D34" s="138" t="s">
        <v>165</v>
      </c>
      <c r="E34" s="138" t="s">
        <v>156</v>
      </c>
      <c r="F34" s="138" t="s">
        <v>166</v>
      </c>
      <c r="G34" s="137" t="s">
        <v>3611</v>
      </c>
      <c r="H34" s="137" t="s">
        <v>167</v>
      </c>
      <c r="I34" s="137" t="s">
        <v>3612</v>
      </c>
      <c r="J34" s="137" t="s">
        <v>168</v>
      </c>
      <c r="K34" s="137" t="s">
        <v>3613</v>
      </c>
      <c r="L34" s="137" t="s">
        <v>170</v>
      </c>
      <c r="M34" s="152" t="s">
        <v>3614</v>
      </c>
      <c r="N34" s="152" t="s">
        <v>174</v>
      </c>
      <c r="O34" s="139" t="s">
        <v>160</v>
      </c>
      <c r="P34" s="139" t="s">
        <v>171</v>
      </c>
    </row>
    <row r="35">
      <c r="A35" s="140" t="s">
        <v>32</v>
      </c>
      <c r="B35" s="101">
        <v>7.0</v>
      </c>
      <c r="C35" s="101">
        <f t="shared" ref="C35:C40" si="1">3*B35</f>
        <v>21</v>
      </c>
      <c r="D35" s="140">
        <f t="shared" ref="D35:D40" si="2">SUM(F35,H35,J35,L35,N35,P35)</f>
        <v>23.5</v>
      </c>
      <c r="E35" s="140">
        <v>6.5</v>
      </c>
      <c r="F35" s="141">
        <f t="shared" ref="F35:F41" si="3">3*E35</f>
        <v>19.5</v>
      </c>
      <c r="G35" s="99"/>
      <c r="H35" s="140">
        <f t="shared" ref="H35:H41" si="4">3*G35</f>
        <v>0</v>
      </c>
      <c r="I35" s="99"/>
      <c r="J35" s="140">
        <f t="shared" ref="J35:J40" si="5">3*I35</f>
        <v>0</v>
      </c>
      <c r="K35" s="101"/>
      <c r="L35" s="140">
        <f t="shared" ref="L35:L40" si="6">3*K35</f>
        <v>0</v>
      </c>
      <c r="M35" s="101">
        <v>1.0</v>
      </c>
      <c r="N35" s="140">
        <f>3*M35</f>
        <v>3</v>
      </c>
      <c r="O35" s="241">
        <v>0.0</v>
      </c>
      <c r="P35" s="143">
        <v>1.0</v>
      </c>
    </row>
    <row r="36">
      <c r="A36" s="140" t="s">
        <v>74</v>
      </c>
      <c r="B36" s="101">
        <v>7.5</v>
      </c>
      <c r="C36" s="101">
        <f t="shared" si="1"/>
        <v>22.5</v>
      </c>
      <c r="D36" s="140">
        <f t="shared" si="2"/>
        <v>24</v>
      </c>
      <c r="E36" s="140">
        <v>1.5</v>
      </c>
      <c r="F36" s="141">
        <f t="shared" si="3"/>
        <v>4.5</v>
      </c>
      <c r="G36" s="101"/>
      <c r="H36" s="140">
        <f t="shared" si="4"/>
        <v>0</v>
      </c>
      <c r="I36" s="101">
        <v>6.5</v>
      </c>
      <c r="J36" s="140">
        <f t="shared" si="5"/>
        <v>19.5</v>
      </c>
      <c r="K36" s="101"/>
      <c r="L36" s="140">
        <f t="shared" si="6"/>
        <v>0</v>
      </c>
      <c r="M36" s="101"/>
      <c r="N36" s="140"/>
      <c r="O36" s="241">
        <v>0.0</v>
      </c>
      <c r="P36" s="143">
        <f t="shared" ref="P36:P40" si="7">3*O36</f>
        <v>0</v>
      </c>
    </row>
    <row r="37">
      <c r="A37" s="140" t="s">
        <v>73</v>
      </c>
      <c r="B37" s="101">
        <v>7.0</v>
      </c>
      <c r="C37" s="101">
        <f t="shared" si="1"/>
        <v>21</v>
      </c>
      <c r="D37" s="140">
        <f t="shared" si="2"/>
        <v>19.5</v>
      </c>
      <c r="E37" s="140">
        <v>1.5</v>
      </c>
      <c r="F37" s="141">
        <f t="shared" si="3"/>
        <v>4.5</v>
      </c>
      <c r="G37" s="99"/>
      <c r="H37" s="140">
        <f t="shared" si="4"/>
        <v>0</v>
      </c>
      <c r="I37" s="101">
        <v>5.0</v>
      </c>
      <c r="J37" s="140">
        <f t="shared" si="5"/>
        <v>15</v>
      </c>
      <c r="K37" s="101"/>
      <c r="L37" s="140">
        <f t="shared" si="6"/>
        <v>0</v>
      </c>
      <c r="M37" s="101"/>
      <c r="N37" s="140"/>
      <c r="O37" s="241">
        <v>0.0</v>
      </c>
      <c r="P37" s="143">
        <f t="shared" si="7"/>
        <v>0</v>
      </c>
    </row>
    <row r="38">
      <c r="A38" s="140" t="s">
        <v>75</v>
      </c>
      <c r="B38" s="101">
        <v>7.0</v>
      </c>
      <c r="C38" s="101">
        <f t="shared" si="1"/>
        <v>21</v>
      </c>
      <c r="D38" s="140">
        <f t="shared" si="2"/>
        <v>19.5</v>
      </c>
      <c r="E38" s="140">
        <v>6.5</v>
      </c>
      <c r="F38" s="141">
        <f t="shared" si="3"/>
        <v>19.5</v>
      </c>
      <c r="G38" s="99"/>
      <c r="H38" s="140">
        <f t="shared" si="4"/>
        <v>0</v>
      </c>
      <c r="I38" s="101"/>
      <c r="J38" s="140">
        <f t="shared" si="5"/>
        <v>0</v>
      </c>
      <c r="K38" s="99"/>
      <c r="L38" s="140">
        <f t="shared" si="6"/>
        <v>0</v>
      </c>
      <c r="M38" s="99"/>
      <c r="N38" s="99"/>
      <c r="O38" s="241">
        <v>0.0</v>
      </c>
      <c r="P38" s="143">
        <f t="shared" si="7"/>
        <v>0</v>
      </c>
    </row>
    <row r="39">
      <c r="A39" s="140" t="s">
        <v>76</v>
      </c>
      <c r="B39" s="101">
        <v>7.0</v>
      </c>
      <c r="C39" s="101">
        <f t="shared" si="1"/>
        <v>21</v>
      </c>
      <c r="D39" s="140">
        <f t="shared" si="2"/>
        <v>21</v>
      </c>
      <c r="E39" s="140"/>
      <c r="F39" s="141">
        <f t="shared" si="3"/>
        <v>0</v>
      </c>
      <c r="G39" s="101">
        <v>7.0</v>
      </c>
      <c r="H39" s="140">
        <f t="shared" si="4"/>
        <v>21</v>
      </c>
      <c r="I39" s="101"/>
      <c r="J39" s="140">
        <f t="shared" si="5"/>
        <v>0</v>
      </c>
      <c r="K39" s="101"/>
      <c r="L39" s="140">
        <f t="shared" si="6"/>
        <v>0</v>
      </c>
      <c r="M39" s="101"/>
      <c r="N39" s="140"/>
      <c r="O39" s="241">
        <v>0.0</v>
      </c>
      <c r="P39" s="143">
        <f t="shared" si="7"/>
        <v>0</v>
      </c>
    </row>
    <row r="40">
      <c r="A40" s="140" t="s">
        <v>77</v>
      </c>
      <c r="B40" s="140">
        <v>8.0</v>
      </c>
      <c r="C40" s="101">
        <f t="shared" si="1"/>
        <v>24</v>
      </c>
      <c r="D40" s="140">
        <f t="shared" si="2"/>
        <v>18</v>
      </c>
      <c r="E40" s="140">
        <v>6.0</v>
      </c>
      <c r="F40" s="141">
        <f t="shared" si="3"/>
        <v>18</v>
      </c>
      <c r="G40" s="101"/>
      <c r="H40" s="140">
        <f t="shared" si="4"/>
        <v>0</v>
      </c>
      <c r="I40" s="101"/>
      <c r="J40" s="140">
        <f t="shared" si="5"/>
        <v>0</v>
      </c>
      <c r="K40" s="101"/>
      <c r="L40" s="140">
        <f t="shared" si="6"/>
        <v>0</v>
      </c>
      <c r="M40" s="101"/>
      <c r="N40" s="140"/>
      <c r="O40" s="241">
        <v>0.0</v>
      </c>
      <c r="P40" s="143">
        <f t="shared" si="7"/>
        <v>0</v>
      </c>
    </row>
    <row r="41">
      <c r="A41" s="127" t="s">
        <v>172</v>
      </c>
      <c r="B41" s="99"/>
      <c r="C41" s="144">
        <f t="shared" ref="C41:E41" si="8">SUM(C35:C40)</f>
        <v>130.5</v>
      </c>
      <c r="D41" s="145">
        <f t="shared" si="8"/>
        <v>125.5</v>
      </c>
      <c r="E41" s="144">
        <f t="shared" si="8"/>
        <v>22</v>
      </c>
      <c r="F41" s="146">
        <f t="shared" si="3"/>
        <v>66</v>
      </c>
      <c r="G41" s="144">
        <f>SUM(G35:G40)</f>
        <v>7</v>
      </c>
      <c r="H41" s="147">
        <f t="shared" si="4"/>
        <v>21</v>
      </c>
      <c r="I41" s="144">
        <f t="shared" ref="I41:P41" si="9">SUM(I35:I40)</f>
        <v>11.5</v>
      </c>
      <c r="J41" s="144">
        <f t="shared" si="9"/>
        <v>34.5</v>
      </c>
      <c r="K41" s="144">
        <f t="shared" si="9"/>
        <v>0</v>
      </c>
      <c r="L41" s="144">
        <f t="shared" si="9"/>
        <v>0</v>
      </c>
      <c r="M41" s="144">
        <f t="shared" si="9"/>
        <v>1</v>
      </c>
      <c r="N41" s="144">
        <f t="shared" si="9"/>
        <v>3</v>
      </c>
      <c r="O41" s="148">
        <f t="shared" si="9"/>
        <v>0</v>
      </c>
      <c r="P41" s="148">
        <f t="shared" si="9"/>
        <v>1</v>
      </c>
    </row>
    <row r="42">
      <c r="C42" s="125"/>
    </row>
    <row r="43">
      <c r="C43" s="125"/>
    </row>
    <row r="44" ht="24.75" hidden="1" customHeight="1">
      <c r="A44" s="232"/>
      <c r="B44" s="233" t="s">
        <v>2210</v>
      </c>
      <c r="C44" s="234"/>
      <c r="D44" s="234"/>
      <c r="E44" s="235"/>
      <c r="F44" s="236" t="s">
        <v>2211</v>
      </c>
      <c r="G44" s="234"/>
      <c r="H44" s="235"/>
      <c r="I44" s="242" t="s">
        <v>3615</v>
      </c>
      <c r="J44" s="234"/>
      <c r="K44" s="234"/>
      <c r="L44" s="234"/>
      <c r="M44" s="235"/>
    </row>
    <row r="45" ht="20.25" hidden="1" customHeight="1">
      <c r="A45" s="239" t="s">
        <v>2214</v>
      </c>
      <c r="B45" s="243" t="s">
        <v>30</v>
      </c>
      <c r="C45" s="243" t="s">
        <v>24</v>
      </c>
      <c r="D45" s="243" t="s">
        <v>72</v>
      </c>
      <c r="E45" s="243" t="s">
        <v>28</v>
      </c>
      <c r="F45" s="243" t="s">
        <v>32</v>
      </c>
      <c r="G45" s="243" t="s">
        <v>3616</v>
      </c>
      <c r="H45" s="243" t="s">
        <v>73</v>
      </c>
      <c r="I45" s="243" t="s">
        <v>3617</v>
      </c>
      <c r="J45" s="243" t="s">
        <v>74</v>
      </c>
      <c r="K45" s="243" t="s">
        <v>76</v>
      </c>
      <c r="L45" s="243" t="s">
        <v>75</v>
      </c>
      <c r="M45" s="243" t="s">
        <v>77</v>
      </c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</row>
    <row r="46" hidden="1">
      <c r="A46" s="101"/>
      <c r="B46" s="99">
        <f>IFERROR(__xludf.DUMMYFUNCTION("IFERROR(
  SUM(
    FILTER(
      'Sprint 20'!O:O,
      ('Sprint 20'!E:E = ""Aek:Atiphat Nanthachitvanich"") *
      (LEFT('Sprint 20'!B:B,7) = ""RDTHANA"")
    )
  ),
0)"),0.0)</f>
        <v>0</v>
      </c>
      <c r="C46" s="99">
        <f>IFERROR(__xludf.DUMMYFUNCTION("IFERROR(
  SUM(
    FILTER(
      'Sprint 20'!O:O,
      ('Sprint 20'!E:E = ""Zan : Isarapong Bulan"") *
      (LEFT('Sprint 20'!B:B,7) = ""RDTHANA"")
    )
  ),
0)"),0.0)</f>
        <v>0</v>
      </c>
      <c r="D46" s="99">
        <f>IFERROR(__xludf.DUMMYFUNCTION("IFERROR(
  SUM(
    FILTER(
      'Sprint 20'!O:O,
      ('Sprint 20'!E:E = ""Aom: Pornsawan Polnyiem"") *
      (LEFT('Sprint 20'!B:B,7) = ""RDTHANA"")
    )
  ),
0)"),0.0)</f>
        <v>0</v>
      </c>
      <c r="E46" s="99">
        <f>IFERROR(__xludf.DUMMYFUNCTION("IFERROR(
  SUM(
    FILTER(
      'Sprint 20'!O:O,
      ('Sprint 20'!E:E = ""Jack: Warin Kesorn"") *
      (LEFT('Sprint 20'!B:B,7) = ""RDTHANA"")
    )
  ),
0)"),0.0)</f>
        <v>0</v>
      </c>
      <c r="F46" s="99">
        <f>IFERROR(__xludf.DUMMYFUNCTION("IFERROR(
  SUM(
    FILTER(
      'Sprint 20'!O:O,
      ('Sprint 20'!E:E = ""A:Phongthorn"") *
      (LEFT('Sprint 20'!B:B,7) = ""RDTHANA"")
    )
  ),
0)"),0.0)</f>
        <v>0</v>
      </c>
      <c r="G46" s="99">
        <f>IFERROR(__xludf.DUMMYFUNCTION("IFERROR(
  SUM(
    FILTER(
      'Sprint 20'!O:O,
      ('Sprint 20'!E:E = ""Art: Narupontp"") *
      (LEFT('Sprint 20'!B:B,7) = ""RDTHANA"")
    )
  ),
0)"),0.0)</f>
        <v>0</v>
      </c>
      <c r="H46" s="99">
        <f>IFERROR(__xludf.DUMMYFUNCTION("IFERROR(
  SUM(
    FILTER(
      'Sprint 20'!O:O,
      ('Sprint 20'!E:E = ""Mai:Sateta Abvanawong"") *
      (LEFT('Sprint 20'!B:B,7) = ""RDTHANA"")
    )
  ),
0)"),32.0)</f>
        <v>32</v>
      </c>
      <c r="I46" s="99">
        <f>IFERROR(__xludf.DUMMYFUNCTION("IFERROR(
  SUM(
    FILTER(
      'Sprint 20'!O:O,
      ('Sprint 20'!E:E = ""Kae: Pimonrath Jaiyen"") *
      (LEFT('Sprint 20'!B:B,7) = ""RDTHANA"")
    )
  ),
0)"),0.0)</f>
        <v>0</v>
      </c>
      <c r="J46" s="99">
        <f>IFERROR(__xludf.DUMMYFUNCTION("IFERROR(
  SUM(
    FILTER(
      'Sprint 20'!O:O,
      ('Sprint 20'!E:E = ""Mac: Jarupong Pawichpongkul"") *
      (LEFT('Sprint 20'!B:B,7) = ""RDTHANA"")
    )
  ),
0)"),47.0)</f>
        <v>47</v>
      </c>
      <c r="K46" s="99">
        <f>IFERROR(__xludf.DUMMYFUNCTION("IFERROR(
  SUM(
    FILTER(
      'Sprint 20'!O:O,
      ('Sprint 20'!E:E = ""Nim : muthita munmueang"") *
      (LEFT('Sprint 20'!B:B,7) = ""RDTHANA"")
    )
  ),
0)"),0.0)</f>
        <v>0</v>
      </c>
      <c r="L46" s="99">
        <f>IFERROR(__xludf.DUMMYFUNCTION("IFERROR(
  SUM(
    FILTER(
      'Sprint 20'!O:O,
      ('Sprint 20'!E:E = ""Moss : Kittapath Sangvikukit"") *
      (LEFT('Sprint 20'!B:B,7) = ""RDTHANA"")
    )
  ),
0)"),0.0)</f>
        <v>0</v>
      </c>
      <c r="M46" s="99">
        <f>IFERROR(__xludf.DUMMYFUNCTION("IFERROR(
  SUM(
    FILTER(
      'Sprint 20'!O:O,
      ('Sprint 20'!E:E = ""Arm:Worawat Chotipongchoawalit"") *
      (LEFT('Sprint 20'!B:B,7) = ""RDTHANA"")
    )
  ),
0)"),0.0)</f>
        <v>0</v>
      </c>
    </row>
    <row r="47" hidden="1">
      <c r="A47" s="101"/>
      <c r="B47" s="99">
        <f>IFERROR(__xludf.DUMMYFUNCTION("IFERROR(
  SUM(
    FILTER(
      'Sprint 20'!O:O,
      ('Sprint 20'!E:E = ""Aek:Atiphat Nanthachitvanich"") *
      (LEFT('Sprint 20'!B:B,9) = ""DEVRDECOM"")
    )
  ),
0)"),0.0)</f>
        <v>0</v>
      </c>
      <c r="C47" s="99">
        <f>IFERROR(__xludf.DUMMYFUNCTION("IFERROR(
  SUM(
    FILTER(
      'Sprint 20'!O:O,
      ('Sprint 20'!E:E = ""Zan : Isarapong Bulan"") *
      (LEFT('Sprint 20'!B:B,9) = ""DEVRDECOM"")
    )
  ),
0)"),0.0)</f>
        <v>0</v>
      </c>
      <c r="D47" s="99">
        <f>IFERROR(__xludf.DUMMYFUNCTION("IFERROR(
  SUM(
    FILTER(
      'Sprint 20'!O:O,
      ('Sprint 20'!E:E = ""Aom: Pornsawan Polnyiem"") *
      (LEFT('Sprint 20'!B:B,9) = ""DEVRDECOM"")
    )
  ),
0)"),0.0)</f>
        <v>0</v>
      </c>
      <c r="E47" s="99">
        <f>IFERROR(__xludf.DUMMYFUNCTION("IFERROR(
  SUM(
    FILTER(
      'Sprint 20'!O:O,
      ('Sprint 20'!E:E = ""Jack: Warin Kesorn"") *
      (LEFT('Sprint 20'!B:B,9) = ""DEVRDECOM"")
    )
  ),
0)"),0.0)</f>
        <v>0</v>
      </c>
      <c r="F47" s="99">
        <f>IFERROR(__xludf.DUMMYFUNCTION("IFERROR(
  SUM(
    FILTER(
      'Sprint 20'!O:O,
      ('Sprint 20'!E:E = ""A:Phongthorn"") *
      (LEFT('Sprint 20'!B:B,9) = ""DEVRDECOM"")
    )
  ),
0)"),0.0)</f>
        <v>0</v>
      </c>
      <c r="G47" s="99">
        <f>IFERROR(__xludf.DUMMYFUNCTION("IFERROR(
  SUM(
    FILTER(
      'Sprint 20'!O:O,
      ('Sprint 20'!E:E = ""Art: Narupontp"") *
      (LEFT('Sprint 20'!B:B,9) = ""DEVRDECOM"")
    )
  ),
0)"),0.0)</f>
        <v>0</v>
      </c>
      <c r="H47" s="99">
        <f>IFERROR(__xludf.DUMMYFUNCTION("IFERROR(
  SUM(
    FILTER(
      'Sprint 20'!O:O,
      ('Sprint 20'!E:E = ""Mai:Sateta Abvanawong"") *
      (LEFT('Sprint 20'!B:B,9) = ""DEVRDECOM"")
    )
  ),
0)"),0.0)</f>
        <v>0</v>
      </c>
      <c r="I47" s="99">
        <f>IFERROR(__xludf.DUMMYFUNCTION("IFERROR(
  SUM(
    FILTER(
      'Sprint 20'!O:O,
      ('Sprint 20'!E:E = ""Kae: Pimonrath Jaiyen"") *
      (LEFT('Sprint 20'!B:B,9) = ""DEVRDECOM"")
    )
  ),
0)"),0.0)</f>
        <v>0</v>
      </c>
      <c r="J47" s="99">
        <f>IFERROR(__xludf.DUMMYFUNCTION("IFERROR(
  SUM(
    FILTER(
      'Sprint 20'!O:O,
      ('Sprint 20'!E:E = ""Mac: Jarupong Pawichpongkul"") *
      (LEFT('Sprint 20'!B:B,9) = ""DEVRDECOM"")
    )
  ),
0)"),0.0)</f>
        <v>0</v>
      </c>
      <c r="K47" s="99">
        <f>IFERROR(__xludf.DUMMYFUNCTION("IFERROR(
  SUM(
    FILTER(
      'Sprint 20'!O:O,
      ('Sprint 20'!E:E = ""Nim : muthita munmueang"") *
      (LEFT('Sprint 20'!B:B,9) = ""DEVRDECOM"")
    )
  ),
0)"),0.0)</f>
        <v>0</v>
      </c>
      <c r="L47" s="99">
        <f>IFERROR(__xludf.DUMMYFUNCTION("IFERROR(
  SUM(
    FILTER(
      'Sprint 20'!O:O,
      ('Sprint 20'!E:E = ""Moss : Kittapath Sangvikukit"") *
      (LEFT('Sprint 20'!B:B,9) = ""DEVRDECOM"")
    )
  ),
0)"),0.0)</f>
        <v>0</v>
      </c>
      <c r="M47" s="99">
        <f>IFERROR(__xludf.DUMMYFUNCTION("IFERROR(
  SUM(
    FILTER(
      'Sprint 20'!O:O,
      ('Sprint 20'!E:E = ""Arm:Worawat Chotipongchoawalit"") *
      (LEFT('Sprint 20'!B:B,9) = ""DEVRDECOM"")
    )
  ),
0)"),0.0)</f>
        <v>0</v>
      </c>
    </row>
    <row r="48" ht="32.25" hidden="1" customHeight="1">
      <c r="A48" s="101"/>
      <c r="B48" s="99">
        <f>IFERROR(__xludf.DUMMYFUNCTION("IFERROR(
  SUM(
    FILTER(
      'Sprint 20'!O:O,
      ('Sprint 20'!E:E = ""Aek:Atiphat Nanthachitvanich"") *
      (LEFT('Sprint 20'!B:B,7) = ""DEVRDCT"")
    )
  ),
0)"),0.0)</f>
        <v>0</v>
      </c>
      <c r="C48" s="99">
        <f>IFERROR(__xludf.DUMMYFUNCTION("IFERROR(
  SUM(
    FILTER(
      'Sprint 20'!O:O,
      ('Sprint 20'!E:E = ""Zan : Isarapong Bulan"") *
      (LEFT('Sprint 20'!B:B,7) = ""DEVRDCT"")
    )
  ),
0)"),0.0)</f>
        <v>0</v>
      </c>
      <c r="D48" s="99">
        <f>IFERROR(__xludf.DUMMYFUNCTION("IFERROR(
  SUM(
    FILTER(
      'Sprint 20'!O:O,
      ('Sprint 20'!E:E = ""Aom: Pornsawan Polnyiem"") *
      (LEFT('Sprint 20'!B:B,7) = ""DEVRDCT"")
    )
  ),
0)"),0.0)</f>
        <v>0</v>
      </c>
      <c r="E48" s="99">
        <f>IFERROR(__xludf.DUMMYFUNCTION("IFERROR(
  SUM(
    FILTER(
      'Sprint 20'!O:O,
      ('Sprint 20'!E:E = ""Jack: Warin Kesorn"") *
      (LEFT('Sprint 20'!B:B,7) = ""DEVRDCT"")
    )
  ),
0)"),0.0)</f>
        <v>0</v>
      </c>
      <c r="F48" s="99">
        <f>IFERROR(__xludf.DUMMYFUNCTION("IFERROR(
  SUM(
    FILTER(
      'Sprint 20'!O:O,
      ('Sprint 20'!E:E = ""A:Phongthorn"") *
      (LEFT('Sprint 20'!B:B,7) = ""DEVRDCT"")
    )
  ),
0)"),0.0)</f>
        <v>0</v>
      </c>
      <c r="G48" s="99">
        <f>IFERROR(__xludf.DUMMYFUNCTION("IFERROR(
  SUM(
    FILTER(
      'Sprint 20'!O:O,
      ('Sprint 20'!E:E = ""Art: Narupontp"") *
      (LEFT('Sprint 20'!B:B,7) = ""DEVRDCT"")
    )
  ),
0)"),0.0)</f>
        <v>0</v>
      </c>
      <c r="H48" s="99">
        <f>IFERROR(__xludf.DUMMYFUNCTION("IFERROR(
  SUM(
    FILTER(
      'Sprint 20'!O:O,
      ('Sprint 20'!E:E = ""Mai:Sateta Abvanawong"") *
      (LEFT('Sprint 20'!B:B,7) = ""DEVRDCT"")
    )
  ),
0)"),0.0)</f>
        <v>0</v>
      </c>
      <c r="I48" s="99">
        <f>IFERROR(__xludf.DUMMYFUNCTION("IFERROR(
  SUM(
    FILTER(
      'Sprint 20'!O:O,
      ('Sprint 20'!E:E = ""Moss : Kittapath Sangvikukit"") *
      (LEFT('Sprint 20'!B:B,7) = ""DEVRDCT"")
    )
  ),
0)"),2.0)</f>
        <v>2</v>
      </c>
      <c r="J48" s="99">
        <f>IFERROR(__xludf.DUMMYFUNCTION("IFERROR(
  SUM(
    FILTER(
      'Sprint 20'!O:O,
      ('Sprint 20'!E:E = ""Mac: Jarupong Pawichpongkul"") *
      (LEFT('Sprint 20'!B:B,7) = ""DEVRDCT"")
    )
  ),
0)"),0.0)</f>
        <v>0</v>
      </c>
      <c r="K48" s="99">
        <f>IFERROR(__xludf.DUMMYFUNCTION("IFERROR(
  SUM(
    FILTER(
      'Sprint 20'!O:O,
      ('Sprint 20'!E:E = ""Moss : Kittapath Sangvikukit"") *
      (LEFT('Sprint 20'!B:B,7) = ""DEVRDCT"")
    )
  ),
0)"),2.0)</f>
        <v>2</v>
      </c>
      <c r="L48" s="99">
        <f>IFERROR(__xludf.DUMMYFUNCTION("IFERROR(
  SUM(
    FILTER(
      'Sprint 20'!O:O,
      ('Sprint 20'!E:E = ""Moss : Kittapath Sangvikukit"") *
      (LEFT('Sprint 20'!B:B,7) = ""DEVRDCT"")
    )
  ),
0)"),2.0)</f>
        <v>2</v>
      </c>
      <c r="M48" s="99">
        <f>IFERROR(__xludf.DUMMYFUNCTION("IFERROR(
  SUM(
    FILTER(
      'Sprint 20'!O:O,
      ('Sprint 20'!E:E = ""Arm:Worawat Chotipongchoawalit"") *
      (LEFT('Sprint 20'!B:B,7) = ""DEVRDCT"")
    )
  ),
0)"),0.0)</f>
        <v>0</v>
      </c>
    </row>
    <row r="49" ht="22.5" hidden="1" customHeight="1">
      <c r="A49" s="101"/>
      <c r="B49" s="99">
        <f>IFERROR(__xludf.DUMMYFUNCTION("IFERROR(
  SUM(
    FILTER(
      'Sprint 20'!O:O,
      ('Sprint 20'!E:E = ""Aek:Atiphat Nanthachitvanich"") *
      (LEFT('Sprint 20'!B:B,8) = ""DEVRDADJ"")
    )
  ),
0)"),0.0)</f>
        <v>0</v>
      </c>
      <c r="C49" s="99">
        <f>IFERROR(__xludf.DUMMYFUNCTION("IFERROR(
  SUM(
    FILTER(
      'Sprint 20'!O:O,
      ('Sprint 20'!E:E = ""Zan : Isarapong Bulan"") *
      (LEFT('Sprint 20'!B:B,8) = ""DEVRDADJ"")
    )
  ),
0)"),0.0)</f>
        <v>0</v>
      </c>
      <c r="D49" s="99">
        <f>IFERROR(__xludf.DUMMYFUNCTION("IFERROR(
  SUM(
    FILTER(
      'Sprint 20'!O:O,
      ('Sprint 20'!E:E = ""Aom: Pornsawan Polnyiem"") *
      (LEFT('Sprint 20'!B:B,8) = ""DEVRDADJ"")
    )
  ),
0)"),0.0)</f>
        <v>0</v>
      </c>
      <c r="E49" s="99">
        <f>IFERROR(__xludf.DUMMYFUNCTION("IFERROR(
  SUM(
    FILTER(
      'Sprint 20'!O:O,
      ('Sprint 20'!E:E = ""Jack: Warin Kesorn"") *
      (LEFT('Sprint 20'!B:B,8) = ""DEVRDADJ"")
    )
  ),
0)"),0.0)</f>
        <v>0</v>
      </c>
      <c r="F49" s="99">
        <f>IFERROR(__xludf.DUMMYFUNCTION("IFERROR(
  SUM(
    FILTER(
      'Sprint 20'!O:O,
      ('Sprint 20'!E:E = ""A:Phongthorn"") *
      (LEFT('Sprint 20'!B:B,8) = ""DEVRDADJ"")
    )
  ),
0)"),0.0)</f>
        <v>0</v>
      </c>
      <c r="G49" s="99">
        <f>IFERROR(__xludf.DUMMYFUNCTION("IFERROR(
  SUM(
    FILTER(
      'Sprint 20'!O:O,
      ('Sprint 20'!E:E = ""Art: Narupontp"") *
      (LEFT('Sprint 20'!B:B,8) = ""DEVRDADJ"")
    )
  ),
0)"),0.0)</f>
        <v>0</v>
      </c>
      <c r="H49" s="99">
        <f>IFERROR(__xludf.DUMMYFUNCTION("IFERROR(
  SUM(
    FILTER(
      'Sprint 20'!O:O,
      ('Sprint 20'!E:E = ""Mai:Sateta Abvanawong"") *
      (LEFT('Sprint 20'!B:B,8) = ""DEVRDADJ"")
    )
  ),
0)"),0.0)</f>
        <v>0</v>
      </c>
      <c r="I49" s="99">
        <f>IFERROR(__xludf.DUMMYFUNCTION("IFERROR(
  SUM(
    FILTER(
      'Sprint 20'!O:O,
      ('Sprint 20'!E:E = ""Kae: Pimonrath Jaiyen"") *
      (LEFT('Sprint 20'!B:B,8) = ""DEVRDADJ"")
    )
  ),
0)"),0.0)</f>
        <v>0</v>
      </c>
      <c r="J49" s="99">
        <f>IFERROR(__xludf.DUMMYFUNCTION("IFERROR(
  SUM(
    FILTER(
      'Sprint 20'!O:O,
      ('Sprint 20'!E:E = ""Mac: Jarupong Pawichpongkul"") *
      (LEFT('Sprint 20'!B:B,8) = ""DEVRDADJ"")
    )
  ),
0)"),0.0)</f>
        <v>0</v>
      </c>
      <c r="K49" s="99">
        <f>IFERROR(__xludf.DUMMYFUNCTION("IFERROR(
  SUM(
    FILTER(
      'Sprint 20'!O:O,
      ('Sprint 20'!E:E = ""Nim : muthita munmueang"") *
      (LEFT('Sprint 20'!B:B,8) = ""DEVRDADJ"")
    )
  ),
0)"),0.0)</f>
        <v>0</v>
      </c>
      <c r="L49" s="99">
        <f>IFERROR(__xludf.DUMMYFUNCTION("IFERROR(
  SUM(
    FILTER(
      'Sprint 20'!O:O,
      ('Sprint 20'!E:E = ""Moss : Kittapath Sangvikukit"") *
      (LEFT('Sprint 20'!B:B,8) = ""DEVRDADJ"")
    )
  ),
0)"),0.0)</f>
        <v>0</v>
      </c>
      <c r="M49" s="99">
        <f>IFERROR(__xludf.DUMMYFUNCTION("IFERROR(
  SUM(
    FILTER(
      'Sprint 20'!O:O,
      ('Sprint 20'!E:E = ""Arm:Worawat Chotipongchoawalit"") *
      (LEFT('Sprint 20'!B:B,8) = ""DEVRDADJ"")
    )
  ),
0)"),0.0)</f>
        <v>0</v>
      </c>
    </row>
    <row r="50" hidden="1">
      <c r="A50" s="101"/>
      <c r="B50" s="101">
        <f>IFERROR(__xludf.DUMMYFUNCTION("IFERROR(
  SUM(
    FILTER(
      'Sprint 20'!O:O,
      ('Sprint 20'!E:E = ""Aek:Atiphat Nanthachitvanich"") *
      (LEFT('Sprint 20'!B:B,5) = ""RDAPS"")
    )
  ),
0)"),20.0)</f>
        <v>20</v>
      </c>
      <c r="C50" s="99">
        <f>IFERROR(__xludf.DUMMYFUNCTION("IFERROR(
  SUM(
    FILTER(
      'Sprint 20'!O:O,
      ('Sprint 20'!E:E = ""Zan : Isarapong Bulan"") *
      (LEFT('Sprint 20'!B:B,5) = ""RDAPS"")
    )
  ),
0)"),0.0)</f>
        <v>0</v>
      </c>
      <c r="D50" s="99">
        <f>IFERROR(__xludf.DUMMYFUNCTION("IFERROR(
  SUM(
    FILTER(
      'Sprint 20'!O:O,
      ('Sprint 20'!E:E = ""Aom: Pornsawan Polnyiem"") *
      (LEFT('Sprint 20'!B:B,5) = ""RDAPS"")
    )
  ),
0)"),0.0)</f>
        <v>0</v>
      </c>
      <c r="E50" s="99">
        <f>IFERROR(__xludf.DUMMYFUNCTION("IFERROR(
  SUM(
    FILTER(
      'Sprint 20'!O:O,
      ('Sprint 20'!E:E = ""Jack: Warin Kesorn"") *
      (LEFT('Sprint 20'!B:B,5) = ""RDAPS"")
    )
  ),
0)"),0.0)</f>
        <v>0</v>
      </c>
      <c r="F50" s="99">
        <f>IFERROR(__xludf.DUMMYFUNCTION("IFERROR(
  SUM(
    FILTER(
      'Sprint 20'!O:O,
      ('Sprint 20'!E:E = ""A:Phongthorn"") *
      (LEFT('Sprint 20'!B:B,5) = ""RDAPS"")
    )
  ),
0)"),3.0)</f>
        <v>3</v>
      </c>
      <c r="G50" s="99">
        <f>IFERROR(__xludf.DUMMYFUNCTION("IFERROR(
  SUM(
    FILTER(
      'Sprint 20'!O:O,
      ('Sprint 20'!E:E = ""Art: Narupontp"") *
      (LEFT('Sprint 20'!B:B,5) = ""RDAPS"")
    )
  ),
0)"),0.0)</f>
        <v>0</v>
      </c>
      <c r="H50" s="99">
        <f>IFERROR(__xludf.DUMMYFUNCTION("IFERROR(
  SUM(
    FILTER(
      'Sprint 20'!O:O,
      ('Sprint 20'!E:E = ""Mai:Sateta Abvanawong"") *
      (LEFT('Sprint 20'!B:B,5) = ""RDAPS"")
    )
  ),
0)"),0.0)</f>
        <v>0</v>
      </c>
      <c r="I50" s="99">
        <f>IFERROR(__xludf.DUMMYFUNCTION("IFERROR(
  SUM(
    FILTER(
      'Sprint 20'!O:O,
      ('Sprint 20'!E:E = ""Kae: Pimonrath Jaiyen"") *
      (LEFT('Sprint 20'!B:B,5) = ""RDAPS"")
    )
  ),
0)"),0.0)</f>
        <v>0</v>
      </c>
      <c r="J50" s="99">
        <f>IFERROR(__xludf.DUMMYFUNCTION("IFERROR(
  SUM(
    FILTER(
      'Sprint 20'!O:O,
      ('Sprint 20'!E:E = ""Mac: Jarupong Pawichpongkul"") *
      (LEFT('Sprint 20'!B:B,5) = ""RDAPS"")
    )
  ),
0)"),0.0)</f>
        <v>0</v>
      </c>
      <c r="K50" s="99">
        <f>IFERROR(__xludf.DUMMYFUNCTION("IFERROR(
  SUM(
    FILTER(
      'Sprint 20'!O:O,
      ('Sprint 20'!E:E = ""Moss : Kittapath Sangvikukitฃ"") *
      (LEFT('Sprint 20'!B:B,5) = ""RDAPS"")
    )
  ),
0)"),0.0)</f>
        <v>0</v>
      </c>
      <c r="L50" s="99">
        <f>IFERROR(__xludf.DUMMYFUNCTION("IFERROR(
  SUM(
    FILTER(
      'Sprint 20'!O:O,
      ('Sprint 20'!E:E = ""Moss : Kittapath Sangvikukit"") *
      (LEFT('Sprint 20'!B:B,5) = ""RDAPS"")
    )
  ),
0)"),0.0)</f>
        <v>0</v>
      </c>
      <c r="M50" s="99">
        <f>IFERROR(__xludf.DUMMYFUNCTION("IFERROR(
  SUM(
    FILTER(
      'Sprint 20'!O:O,
      ('Sprint 20'!E:E = ""Arm:Worawat Chotipongchoawalit"") *
      (LEFT('Sprint 20'!B:B,5) = ""RDAPS"")
    )
  ),
0)"),0.0)</f>
        <v>0</v>
      </c>
    </row>
    <row r="51" ht="21.0" hidden="1" customHeight="1">
      <c r="A51" s="101"/>
      <c r="B51" s="101">
        <f>IFERROR(__xludf.DUMMYFUNCTION("IFERROR(
  SUM(
    FILTER(
      'Sprint 20'!O:O,
      ('Sprint 20'!E:E = ""Aek:Atiphat Nanthachitvanich"") *
      (LEFT('Sprint 20'!B:B,8) = ""DEVRDSUP"")
    )
  ),
0)"),2.0)</f>
        <v>2</v>
      </c>
      <c r="C51" s="99">
        <f>IFERROR(__xludf.DUMMYFUNCTION("IFERROR(
  SUM(
    FILTER(
      'Sprint 20'!O:O,
      ('Sprint 20'!E:E = ""Zan : Isarapong Bulan"") *
      (LEFT('Sprint 20'!B:B,8) = ""DEVRDSUP"")
    )
  ),
0)"),0.0)</f>
        <v>0</v>
      </c>
      <c r="D51" s="99">
        <f>IFERROR(__xludf.DUMMYFUNCTION("IFERROR(
  SUM(
    FILTER(
      'Sprint 20'!O:O,
      ('Sprint 20'!E:E = ""Aom: Pornsawan Polnyiem"") *
      (LEFT('Sprint 20'!B:B,8) = ""DEVRDSUP"")
    )
  ),
0)"),1.0)</f>
        <v>1</v>
      </c>
      <c r="E51" s="99">
        <f>IFERROR(__xludf.DUMMYFUNCTION("IFERROR(
  SUM(
    FILTER(
      'Sprint 20'!O:O,
      ('Sprint 20'!E:E = ""Jack: Warin Kesorn"") *
      (LEFT('Sprint 20'!B:B,8) = ""DEVRDSUP"")
    )
  ),
0)"),0.0)</f>
        <v>0</v>
      </c>
      <c r="F51" s="101">
        <f>IFERROR(__xludf.DUMMYFUNCTION("IFERROR(
  SUM(
    FILTER(
      'Sprint 20'!P:P,
      ('Sprint 20'!F:F = ""A:Phongthorn"") *
      (LEFT('Sprint 20'!C:C,8) = ""DEVRDSUP"")
    )
  ),
0)"),0.0)</f>
        <v>0</v>
      </c>
      <c r="G51" s="99">
        <f>IFERROR(__xludf.DUMMYFUNCTION("IFERROR(
  SUM(
    FILTER(
      'Sprint 20'!O:O,
      ('Sprint 20'!E:E = ""Art: Narupontp"") *
      (LEFT('Sprint 20'!B:B,8) = ""DEVRDSUP"")
    )
  ),
0)"),0.0)</f>
        <v>0</v>
      </c>
      <c r="H51" s="99">
        <f>IFERROR(__xludf.DUMMYFUNCTION("IFERROR(
  SUM(
    FILTER(
      'Sprint 20'!O:O,
      ('Sprint 20'!E:E = ""Mai:Sateta Abvanawong"") *
      (LEFT('Sprint 20'!B:B,8) = ""DEVRDSUP"")
    )
  ),
0)"),0.0)</f>
        <v>0</v>
      </c>
      <c r="I51" s="99">
        <f>IFERROR(__xludf.DUMMYFUNCTION("IFERROR(
  SUM(
    FILTER(
      'Sprint 20'!O:O,
      ('Sprint 20'!E:E = ""Kae: Pimonrath Jaiyen"") *
      (LEFT('Sprint 20'!B:B,8) = ""DEVRDSUP"")
    )
  ),
0)"),0.0)</f>
        <v>0</v>
      </c>
      <c r="J51" s="99">
        <f>IFERROR(__xludf.DUMMYFUNCTION("IFERROR(
  SUM(
    FILTER(
      'Sprint 20'!O:O,
      ('Sprint 20'!E:E = ""Mac: Jarupong Pawichpongkul"") *
      (LEFT('Sprint 20'!B:B,8) = ""DEVRDSUP"")
    )
  ),
0)"),1.0)</f>
        <v>1</v>
      </c>
      <c r="K51" s="99">
        <f>IFERROR(__xludf.DUMMYFUNCTION("IFERROR(
  SUM(
    FILTER(
      'Sprint 20'!O:O,
      ('Sprint 20'!E:E = ""Nim : muthita munmueang"") *
      (LEFT('Sprint 20'!B:B,8) = ""DEVRDSUP"")
    )
  ),
0)"),2.0)</f>
        <v>2</v>
      </c>
      <c r="L51" s="99">
        <f>IFERROR(__xludf.DUMMYFUNCTION("IFERROR(
  SUM(
    FILTER(
      'Sprint 20'!O:O,
      ('Sprint 20'!E:E = ""Moss : Kittapath Sangvikukit"") *
      (LEFT('Sprint 20'!B:B,8) = ""DEVRDSUP"")
    )
  ),
0)"),0.0)</f>
        <v>0</v>
      </c>
      <c r="M51" s="99">
        <f>IFERROR(__xludf.DUMMYFUNCTION("IFERROR(
  SUM(
    FILTER(
      'Sprint 20'!O:O,
      ('Sprint 20'!E:E = ""Arm:Worawat Chotipongchoawalit"") *
      (LEFT('Sprint 20'!B:B,8) = ""DEVRDSUP"")
    )
  ),
0)"),3.0)</f>
        <v>3</v>
      </c>
    </row>
    <row r="52" hidden="1">
      <c r="C52" s="125"/>
    </row>
    <row r="53" hidden="1">
      <c r="C53" s="125"/>
    </row>
    <row r="54" ht="24.75" hidden="1" customHeight="1">
      <c r="A54" s="232"/>
      <c r="B54" s="233" t="s">
        <v>2210</v>
      </c>
      <c r="C54" s="234"/>
      <c r="D54" s="234"/>
      <c r="E54" s="235"/>
      <c r="F54" s="236" t="s">
        <v>2211</v>
      </c>
      <c r="G54" s="234"/>
      <c r="H54" s="235"/>
      <c r="I54" s="242" t="s">
        <v>3615</v>
      </c>
      <c r="J54" s="234"/>
      <c r="K54" s="234"/>
      <c r="L54" s="234"/>
      <c r="M54" s="235"/>
    </row>
    <row r="55" ht="20.25" hidden="1" customHeight="1">
      <c r="A55" s="239" t="s">
        <v>3618</v>
      </c>
      <c r="B55" s="243" t="s">
        <v>30</v>
      </c>
      <c r="C55" s="243" t="s">
        <v>24</v>
      </c>
      <c r="D55" s="243" t="s">
        <v>72</v>
      </c>
      <c r="E55" s="243" t="s">
        <v>28</v>
      </c>
      <c r="F55" s="243" t="s">
        <v>32</v>
      </c>
      <c r="G55" s="243" t="s">
        <v>3616</v>
      </c>
      <c r="H55" s="243" t="s">
        <v>73</v>
      </c>
      <c r="I55" s="243" t="s">
        <v>3617</v>
      </c>
      <c r="J55" s="243" t="s">
        <v>74</v>
      </c>
      <c r="K55" s="243" t="s">
        <v>76</v>
      </c>
      <c r="L55" s="243" t="s">
        <v>75</v>
      </c>
      <c r="M55" s="243" t="s">
        <v>77</v>
      </c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</row>
    <row r="56" hidden="1">
      <c r="A56" s="101"/>
      <c r="B56" s="99">
        <f>IFERROR(__xludf.DUMMYFUNCTION("ROUND(
  IFERROR(
    SUM(
      FILTER(
        'Sprint 20'!S:S,
        ('Sprint 20'!E:E = ""Aek:Atiphat Nanthachitvanich"") *
        (LEFT('Sprint 20'!B:B,7) = ""RDTHANA"")
      )
    ) / 3600,
    0
  ),
  2
)"),0.0)</f>
        <v>0</v>
      </c>
      <c r="C56" s="99">
        <f>IFERROR(__xludf.DUMMYFUNCTION("ROUND(
  IFERROR(
    SUM(
      FILTER(
        'Sprint 20'!S:S,
        ('Sprint 20'!E:E = ""Zan : Isarapong Bulan"") *
        (LEFT('Sprint 20'!B:B,7) = ""RDTHANA"")
      )
    ) / 3600,
    0
  ),
  2
)"),0.0)</f>
        <v>0</v>
      </c>
      <c r="D56" s="99">
        <f>IFERROR(__xludf.DUMMYFUNCTION("ROUND(
  IFERROR(
    SUM(
      FILTER(
        'Sprint 20'!S:S,
        ('Sprint 20'!E:E = ""Aom: Pornsawan Polnyiem"") *
        (LEFT('Sprint 20'!B:B,7) = ""RDTHANA"")
      )
    ) / 3600,
    0
  ),
  2
)"),0.0)</f>
        <v>0</v>
      </c>
      <c r="E56" s="99">
        <f>IFERROR(__xludf.DUMMYFUNCTION("ROUND(
  IFERROR(
    SUM(
      FILTER(
        'Sprint 20'!S:S,
        ('Sprint 20'!E:E = ""Jack: Warin Kesorn"") *
        (LEFT('Sprint 20'!B:B,7) = ""RDTHANA"")
      )
    ) / 3600,
    0
  ),
  2
)"),0.0)</f>
        <v>0</v>
      </c>
      <c r="F56" s="99">
        <f>IFERROR(__xludf.DUMMYFUNCTION("ROUND(
  IFERROR(
    SUM(
      FILTER(
        'Sprint 20'!S:S,
        ('Sprint 20'!E:E = ""A:Phongthorn"") *
        (LEFT('Sprint 20'!B:B,7) = ""RDTHANA"")
      )
    ) / 3600,
    0
  ),
  2
)"),0.0)</f>
        <v>0</v>
      </c>
      <c r="G56" s="99">
        <f>IFERROR(__xludf.DUMMYFUNCTION("ROUND(
  IFERROR(
    SUM(
      FILTER(
        'Sprint 20'!S:S,
        ('Sprint 20'!E:E = ""Art: Narupontp"") *
        (LEFT('Sprint 20'!B:B,7) = ""RDTHANA"")
      )
    ) / 3600,
    0
  ),
  2
)"),0.0)</f>
        <v>0</v>
      </c>
      <c r="H56" s="99">
        <f>IFERROR(__xludf.DUMMYFUNCTION("ROUND(
  IFERROR(
    SUM(
      FILTER(
        'Sprint 20'!S:S,
        ('Sprint 20'!E:E = ""Mai:Sateta Abvanawong"") *
        (LEFT('Sprint 20'!B:B,7) = ""RDTHANA"")
      )
    ) / 3600,
    0
  ),
  2
)"),44.0)</f>
        <v>44</v>
      </c>
      <c r="I56" s="99">
        <f>IFERROR(__xludf.DUMMYFUNCTION("ROUND(
  IFERROR(
    SUM(
      FILTER(
        'Sprint 20'!S:S,
        ('Sprint 20'!E:E = ""Kae: Pimonrath Jaiyen"") *
        (LEFT('Sprint 20'!B:B,7) = ""RDTHANA"")
      )
    ) / 3600,
    0
  ),
  2
)"),0.0)</f>
        <v>0</v>
      </c>
      <c r="J56" s="99">
        <f>IFERROR(__xludf.DUMMYFUNCTION("ROUND(
  IFERROR(
    SUM(
      FILTER(
        'Sprint 20'!S:S,
        ('Sprint 20'!E:E = ""Mac: Jarupong Pawichpongkul"") *
        (LEFT('Sprint 20'!B:B,7) = ""RDTHANA"")
      )
    ) / 3600,
    0
  ),
  2
)"),54.0)</f>
        <v>54</v>
      </c>
      <c r="K56" s="99">
        <f>IFERROR(__xludf.DUMMYFUNCTION("ROUND(
  IFERROR(
    SUM(
      FILTER(
        'Sprint 20'!S:S,
        ('Sprint 20'!E:E = ""Nim : muthita munmueang"") *
        (LEFT('Sprint 20'!B:B,7) = ""RDTHANA"")
      )
    ) / 3600,
    0
  ),
  2
)"),0.0)</f>
        <v>0</v>
      </c>
      <c r="L56" s="99">
        <f>IFERROR(__xludf.DUMMYFUNCTION("ROUND(
  IFERROR(
    SUM(
      FILTER(
        'Sprint 20'!S:S,
        ('Sprint 20'!E:E = ""Moss : Kittapath Sangvikukit"") *
        (LEFT('Sprint 20'!B:B,7) = ""RDTHANA"")
      )
    ) / 3600,
    0
  ),
  2
)"),0.0)</f>
        <v>0</v>
      </c>
      <c r="M56" s="99">
        <f>IFERROR(__xludf.DUMMYFUNCTION("ROUND(
  IFERROR(
    SUM(
      FILTER(
        'Sprint 20'!S:S,
        ('Sprint 20'!E:E = ""Arm:Worawat Chotipongchoawalit"") *
        (LEFT('Sprint 20'!B:B,7) = ""RDTHANA"")
      )
    ) / 3600,
    0
  ),
  2
)"),0.0)</f>
        <v>0</v>
      </c>
    </row>
    <row r="57" hidden="1">
      <c r="A57" s="101"/>
      <c r="B57" s="99">
        <f>IFERROR(__xludf.DUMMYFUNCTION("ROUND(
  IFERROR(
    SUM(
      FILTER(
        'Sprint 20'!S:S,
        ('Sprint 20'!E:E = ""Aek:Atiphat Nanthachitvanich"") *
        (LEFT('Sprint 20'!B:B,9) = ""DEVRDECOM"")
      )
    ) / 3600,
    0
  ),
  2
)"),0.0)</f>
        <v>0</v>
      </c>
      <c r="C57" s="99">
        <f>IFERROR(__xludf.DUMMYFUNCTION("ROUND(
  IFERROR(
    SUM(
      FILTER(
        'Sprint 20'!S:S,
        ('Sprint 20'!E:E = ""Zan : Isarapong Bulan"") *
        (LEFT('Sprint 20'!B:B,9) = ""DEVRDECOM"")
      )
    ) / 3600,
    0
  ),
  2
)"),0.0)</f>
        <v>0</v>
      </c>
      <c r="D57" s="99">
        <f>IFERROR(__xludf.DUMMYFUNCTION("ROUND(
  IFERROR(
    SUM(
      FILTER(
        'Sprint 20'!S:S,
        ('Sprint 20'!E:E = ""Aom: Pornsawan Polnyiem"") *
        (LEFT('Sprint 20'!B:B,9) = ""DEVRDECOM"")
      )
    ) / 3600,
    0
  ),
  2
)"),0.0)</f>
        <v>0</v>
      </c>
      <c r="E57" s="99">
        <f>IFERROR(__xludf.DUMMYFUNCTION("ROUND(
  IFERROR(
    SUM(
      FILTER(
        'Sprint 20'!S:S,
        ('Sprint 20'!E:E = ""Jack: Warin Kesorn"") *
        (LEFT('Sprint 20'!B:B,9) = ""DEVRDECOM"")
      )
    ) / 3600,
    0
  ),
  2
)"),0.0)</f>
        <v>0</v>
      </c>
      <c r="F57" s="99">
        <f>IFERROR(__xludf.DUMMYFUNCTION("ROUND(
  IFERROR(
    SUM(
      FILTER(
        'Sprint 20'!S:S,
        ('Sprint 20'!E:E = ""A:Phongthorn"") *
        (LEFT('Sprint 20'!B:B,9) = ""DEVRDECOM"")
      )
    ) / 3600,
    0
  ),
  2
)"),0.0)</f>
        <v>0</v>
      </c>
      <c r="G57" s="99">
        <f>IFERROR(__xludf.DUMMYFUNCTION("ROUND(
  IFERROR(
    SUM(
      FILTER(
        'Sprint 20'!S:S,
        ('Sprint 20'!E:E = ""Art: Narupontp"") *
        (LEFT('Sprint 20'!B:B,9) = ""DEVRDECOM"")
      )
    ) / 3600,
    0
  ),
  2
)"),0.0)</f>
        <v>0</v>
      </c>
      <c r="H57" s="99">
        <f>IFERROR(__xludf.DUMMYFUNCTION("ROUND(
  IFERROR(
    SUM(
      FILTER(
        'Sprint 20'!S:S,
        ('Sprint 20'!E:E = ""Mai:Sateta Abvanawong"") *
        (LEFT('Sprint 20'!B:B,9) = ""DEVRDECOM"")
      )
    ) / 3600,
    0
  ),
  2
)"),0.0)</f>
        <v>0</v>
      </c>
      <c r="I57" s="99">
        <f>IFERROR(__xludf.DUMMYFUNCTION("ROUND(
  IFERROR(
    SUM(
      FILTER(
        'Sprint 20'!S:S,
        ('Sprint 20'!E:E = ""Kae: Pimonrath Jaiyen"") *
        (LEFT('Sprint 20'!B:B,9) = ""DEVRDECOM"")
      )
    ) / 3600,
    0
  ),
  2
)"),0.0)</f>
        <v>0</v>
      </c>
      <c r="J57" s="99">
        <f>IFERROR(__xludf.DUMMYFUNCTION("ROUND(
  IFERROR(
    SUM(
      FILTER(
        'Sprint 20'!S:S,
        ('Sprint 20'!E:E = ""Mac: Jarupong Pawichpongkul"") *
        (LEFT('Sprint 20'!B:B,9) = ""DEVRDECOM"")
      )
    ) / 3600,
    0
  ),
  2
)"),0.0)</f>
        <v>0</v>
      </c>
      <c r="K57" s="99">
        <f>IFERROR(__xludf.DUMMYFUNCTION("ROUND(
  IFERROR(
    SUM(
      FILTER(
        'Sprint 20'!S:S,
        ('Sprint 20'!E:E = ""Nim : muthita munmueang"") *
        (LEFT('Sprint 20'!B:B,9) = ""DEVRDECOM"")
      )
    ) / 3600,
    0
  ),
  2
)"),0.0)</f>
        <v>0</v>
      </c>
      <c r="L57" s="99">
        <f>IFERROR(__xludf.DUMMYFUNCTION("ROUND(
  IFERROR(
    SUM(
      FILTER(
        'Sprint 20'!S:S,
        ('Sprint 20'!E:E = ""Moss : Kittapath Sangvikukit"") *
        (LEFT('Sprint 20'!B:B,9) = ""DEVRDECOM"")
      )
    ) / 3600,
    0
  ),
  2
)"),0.0)</f>
        <v>0</v>
      </c>
      <c r="M57" s="99">
        <f>IFERROR(__xludf.DUMMYFUNCTION("ROUND(
  IFERROR(
    SUM(
      FILTER(
        'Sprint 20'!S:S,
        ('Sprint 20'!E:E = ""Arm:Worawat Chotipongchoawalit"") *
        (LEFT('Sprint 20'!B:B,9) = ""DEVRDECOM"")
      )
    ) / 3600,
    0
  ),
  2
)"),0.0)</f>
        <v>0</v>
      </c>
    </row>
    <row r="58" ht="32.25" hidden="1" customHeight="1">
      <c r="A58" s="101"/>
      <c r="B58" s="99">
        <f>IFERROR(__xludf.DUMMYFUNCTION("ROUND(
  IFERROR(
    SUM(
      FILTER(
        'Sprint 20'!S:S,
        ('Sprint 20'!E:E = ""Aek:Atiphat Nanthachitvanich"") *
        (LEFT('Sprint 20'!B:B,7) = ""DEVRDCT"")
      )
    ) / 3600,
    0
  ),
  2
)"),0.0)</f>
        <v>0</v>
      </c>
      <c r="C58" s="99">
        <f>IFERROR(__xludf.DUMMYFUNCTION("ROUND(
  IFERROR(
    SUM(
      FILTER(
        'Sprint 20'!S:S,
        ('Sprint 20'!E:E = ""Zan : Isarapong Bulan"") *
        (LEFT('Sprint 20'!B:B,7) = ""DEVRDCT"")
      )
    ) / 3600,
    0
  ),
  2
)"),0.0)</f>
        <v>0</v>
      </c>
      <c r="D58" s="99">
        <f>IFERROR(__xludf.DUMMYFUNCTION("ROUND(
  IFERROR(
    SUM(
      FILTER(
        'Sprint 20'!S:S,
        ('Sprint 20'!E:E = ""Aom: Pornsawan Polnyiem"") *
        (LEFT('Sprint 20'!B:B,7) = ""DEVRDCT"")
      )
    ) / 3600,
    0
  ),
  2
)"),0.0)</f>
        <v>0</v>
      </c>
      <c r="E58" s="99">
        <f>IFERROR(__xludf.DUMMYFUNCTION("ROUND(
  IFERROR(
    SUM(
      FILTER(
        'Sprint 20'!S:S,
        ('Sprint 20'!E:E = ""Jack: Warin Kesorn"") *
        (LEFT('Sprint 20'!B:B,7) = ""DEVRDCT"")
      )
    ) / 3600,
    0
  ),
  2
)"),0.0)</f>
        <v>0</v>
      </c>
      <c r="F58" s="99">
        <f>IFERROR(__xludf.DUMMYFUNCTION("ROUND(
  IFERROR(
    SUM(
      FILTER(
        'Sprint 20'!S:S,
        ('Sprint 20'!E:E = ""A:Phongthorn"") *
        (LEFT('Sprint 20'!B:B,7) = ""DEVRDCT"")
      )
    ) / 3600,
    0
  ),
  2
)"),0.0)</f>
        <v>0</v>
      </c>
      <c r="G58" s="99">
        <f>IFERROR(__xludf.DUMMYFUNCTION("ROUND(
  IFERROR(
    SUM(
      FILTER(
        'Sprint 20'!S:S,
        ('Sprint 20'!E:E = ""Art: Narupontp"") *
        (LEFT('Sprint 20'!B:B,7) = ""DEVRDCT"")
      )
    ) / 3600,
    0
  ),
  2
)"),0.0)</f>
        <v>0</v>
      </c>
      <c r="H58" s="99">
        <f>IFERROR(__xludf.DUMMYFUNCTION("ROUND(
  IFERROR(
    SUM(
      FILTER(
        'Sprint 20'!S:S,
        ('Sprint 20'!E:E = ""Mai:Sateta Abvanawong"") *
        (LEFT('Sprint 20'!B:B,7) = ""DEVRDCT"")
      )
    ) / 3600,
    0
  ),
  2
)"),0.0)</f>
        <v>0</v>
      </c>
      <c r="I58" s="99">
        <f>IFERROR(__xludf.DUMMYFUNCTION("ROUND(
  IFERROR(
    SUM(
      FILTER(
        'Sprint 20'!S:S,
        ('Sprint 20'!E:E = ""Kae: Pimonrath Jaiyen"") *
        (LEFT('Sprint 20'!B:B,7) = ""DEVRDCT"")
      )
    ) / 3600,
    0
  ),
  2
)"),0.0)</f>
        <v>0</v>
      </c>
      <c r="J58" s="99">
        <f>IFERROR(__xludf.DUMMYFUNCTION("ROUND(
  IFERROR(
    SUM(
      FILTER(
        'Sprint 20'!S:S,
        ('Sprint 20'!E:E = ""Mac: Jarupong Pawichpongkul"") *
        (LEFT('Sprint 20'!B:B,7) = ""DEVRDCT"")
      )
    ) / 3600,
    0
  ),
  2
)"),0.0)</f>
        <v>0</v>
      </c>
      <c r="K58" s="99">
        <f>IFERROR(__xludf.DUMMYFUNCTION("ROUND(
  IFERROR(
    SUM(
      FILTER(
        'Sprint 20'!S:S,
        ('Sprint 20'!E:E = ""Nim : muthita munmueang"") *
        (LEFT('Sprint 20'!B:B,7) = ""DEVRDCT"")
      )
    ) / 3600,
    0
  ),
  2
)"),0.0)</f>
        <v>0</v>
      </c>
      <c r="L58" s="99">
        <f>IFERROR(__xludf.DUMMYFUNCTION("ROUND(
  IFERROR(
    SUM(
      FILTER(
        'Sprint 20'!S:S,
        ('Sprint 20'!E:E = ""Moss : Kittapath Sangvikukit"") *
        (LEFT('Sprint 20'!B:B,7) = ""DEVRDCT"")
      )
    ) / 3600,
    0
  ),
  2
)"),0.0)</f>
        <v>0</v>
      </c>
      <c r="M58" s="99">
        <f>IFERROR(__xludf.DUMMYFUNCTION("ROUND(
  IFERROR(
    SUM(
      FILTER(
        'Sprint 20'!S:S,
        ('Sprint 20'!E:E = ""Arm:Worawat Chotipongchoawalit"") *
        (LEFT('Sprint 20'!B:B,7) = ""DEVRDCT"")
      )
    ) / 3600,
    0
  ),
  2
)"),0.0)</f>
        <v>0</v>
      </c>
    </row>
    <row r="59" ht="22.5" hidden="1" customHeight="1">
      <c r="A59" s="101"/>
      <c r="B59" s="99">
        <f>IFERROR(__xludf.DUMMYFUNCTION("ROUND(
  IFERROR(
    SUM(
      FILTER(
        'Sprint 20'!S:S,
        ('Sprint 20'!E:E = ""Aek:Atiphat Nanthachitvanich"") *
        (LEFT('Sprint 20'!B:B,8) = ""DEVRDADJ"")
      )
    ) / 3600,
    0
  ),
  2
)"),0.0)</f>
        <v>0</v>
      </c>
      <c r="C59" s="99">
        <f>IFERROR(__xludf.DUMMYFUNCTION("ROUND(
  IFERROR(
    SUM(
      FILTER(
        'Sprint 20'!S:S,
        ('Sprint 20'!E:E = ""Zan : Isarapong Bulan"") *
        (LEFT('Sprint 20'!B:B,8) = ""DEVRDADJ"")
      )
    ) / 3600,
    0
  ),
  2
)"),0.0)</f>
        <v>0</v>
      </c>
      <c r="D59" s="99">
        <f>IFERROR(__xludf.DUMMYFUNCTION("ROUND(
  IFERROR(
    SUM(
      FILTER(
        'Sprint 20'!S:S,
        ('Sprint 20'!E:E = ""Aom: Pornsawan Polnyiem"") *
        (LEFT('Sprint 20'!B:B,8) = ""DEVRDADJ"")
      )
    ) / 3600,
    0
  ),
  2
)"),0.0)</f>
        <v>0</v>
      </c>
      <c r="E59" s="99">
        <f>IFERROR(__xludf.DUMMYFUNCTION("ROUND(
  IFERROR(
    SUM(
      FILTER(
        'Sprint 20'!S:S,
        ('Sprint 20'!E:E = ""Jack: Warin Kesorn"") *
        (LEFT('Sprint 20'!B:B,8) = ""DEVRDADJ"")
      )
    ) / 3600,
    0
  ),
  2
)"),0.0)</f>
        <v>0</v>
      </c>
      <c r="F59" s="99">
        <f>IFERROR(__xludf.DUMMYFUNCTION("ROUND(
  IFERROR(
    SUM(
      FILTER(
        'Sprint 20'!S:S,
        ('Sprint 20'!E:E = ""A:Phongthorn"") *
        (LEFT('Sprint 20'!B:B,8) = ""DEVRDADJ"")
      )
    ) / 3600,
    0
  ),
  2
)"),0.0)</f>
        <v>0</v>
      </c>
      <c r="G59" s="99">
        <f>IFERROR(__xludf.DUMMYFUNCTION("ROUND(
  IFERROR(
    SUM(
      FILTER(
        'Sprint 20'!S:S,
        ('Sprint 20'!E:E = ""Aek:Atiphat Nanthachitvanich"") *
        (LEFT('Sprint 20'!B:B,8) = ""DEVRDADJ"")
      )
    ) / 3600,
    0
  ),
  2
)"),0.0)</f>
        <v>0</v>
      </c>
      <c r="H59" s="99">
        <f>IFERROR(__xludf.DUMMYFUNCTION("ROUND(
  IFERROR(
    SUM(
      FILTER(
        'Sprint 20'!S:S,
        ('Sprint 20'!E:E = ""Mai:Sateta Abvanawong"") *
        (LEFT('Sprint 20'!B:B,8) = ""DEVRDADJ"")
      )
    ) / 3600,
    0
  ),
  2
)"),0.0)</f>
        <v>0</v>
      </c>
      <c r="I59" s="99">
        <f>IFERROR(__xludf.DUMMYFUNCTION("ROUND(
  IFERROR(
    SUM(
      FILTER(
        'Sprint 20'!S:S,
        ('Sprint 20'!E:E = ""Kae: Pimonrath Jaiyen"") *
        (LEFT('Sprint 20'!B:B,8) = ""DEVRDADJ"")
      )
    ) / 3600,
    0
  ),
  2
)"),0.0)</f>
        <v>0</v>
      </c>
      <c r="J59" s="99">
        <f>IFERROR(__xludf.DUMMYFUNCTION("ROUND(
  IFERROR(
    SUM(
      FILTER(
        'Sprint 20'!S:S,
        ('Sprint 20'!E:E = ""Mac: Jarupong Pawichpongkul"") *
        (LEFT('Sprint 20'!B:B,8) = ""DEVRDADJ"")
      )
    ) / 3600,
    0
  ),
  2
)"),0.0)</f>
        <v>0</v>
      </c>
      <c r="K59" s="99">
        <f>IFERROR(__xludf.DUMMYFUNCTION("ROUND(
  IFERROR(
    SUM(
      FILTER(
        'Sprint 20'!S:S,
        ('Sprint 20'!E:E = ""Aek:Atiphat Nanthachitvanich"") *
        (LEFT('Sprint 20'!B:B,8) = ""DEVRDADJ"")
      )
    ) / 3600,
    0
  ),
  2
)"),0.0)</f>
        <v>0</v>
      </c>
      <c r="L59" s="99">
        <f>IFERROR(__xludf.DUMMYFUNCTION("ROUND(
  IFERROR(
    SUM(
      FILTER(
        'Sprint 20'!S:S,
        ('Sprint 20'!E:E = ""Moss : Kittapath Sangvikukit"") *
        (LEFT('Sprint 20'!B:B,8) = ""DEVRDADJ"")
      )
    ) / 3600,
    0
  ),
  2
)"),0.0)</f>
        <v>0</v>
      </c>
      <c r="M59" s="99">
        <f>IFERROR(__xludf.DUMMYFUNCTION("ROUND(
  IFERROR(
    SUM(
      FILTER(
        'Sprint 20'!S:S,
        ('Sprint 20'!E:E = ""Arm:Worawat Chotipongchoawalit"") *
        (LEFT('Sprint 20'!B:B,8) = ""DEVRDADJ"")
      )
    ) / 3600,
    0
  ),
  2
)"),0.0)</f>
        <v>0</v>
      </c>
    </row>
    <row r="60" hidden="1">
      <c r="A60" s="101"/>
      <c r="B60" s="101">
        <f>IFERROR(__xludf.DUMMYFUNCTION("ROUND(
  IFERROR(
    SUM(
      FILTER(
        'Sprint 20'!S:S,
        ('Sprint 20'!E:E = ""Aek:Atiphat Nanthachitvanich"") *
        (LEFT('Sprint 20'!B:B,5) = ""RDAPS"")
      )
    ) / 3600,
    0
  ),
  2
)"),61.5)</f>
        <v>61.5</v>
      </c>
      <c r="C60" s="99">
        <f>IFERROR(__xludf.DUMMYFUNCTION("ROUND(
  IFERROR(
    SUM(
      FILTER(
        'Sprint 20'!S:S,
        ('Sprint 20'!E:E = ""Zan : Isarapong Bulan"") *
        (LEFT('Sprint 20'!B:B,5) = ""RDAPS"")
      )
    ) / 3600,
    0
  ),
  2
)"),0.0)</f>
        <v>0</v>
      </c>
      <c r="D60" s="99">
        <f>IFERROR(__xludf.DUMMYFUNCTION("ROUND(
  IFERROR(
    SUM(
      FILTER(
        'Sprint 20'!S:S,
        ('Sprint 20'!E:E = ""Aom: Pornsawan Polnyiem"") *
        (LEFT('Sprint 20'!B:B,5) = ""RDAPS"")
      )
    ) / 3600,
    0
  ),
  2
)"),0.0)</f>
        <v>0</v>
      </c>
      <c r="E60" s="99">
        <f>IFERROR(__xludf.DUMMYFUNCTION("ROUND(
  IFERROR(
    SUM(
      FILTER(
        'Sprint 20'!S:S,
        ('Sprint 20'!E:E = ""Jack: Warin Kesorn"") *
        (LEFT('Sprint 20'!B:B,5) = ""RDAPS"")
      )
    ) / 3600,
    0
  ),
  2
)"),0.0)</f>
        <v>0</v>
      </c>
      <c r="F60" s="99">
        <f>IFERROR(__xludf.DUMMYFUNCTION("ROUND(
  IFERROR(
    SUM(
      FILTER(
        'Sprint 20'!S:S,
        ('Sprint 20'!E:E = ""A:Phongthorn"") *
        (LEFT('Sprint 20'!B:B,5) = ""RDAPS"")
      )
    ) / 3600,
    0
  ),
  2
)"),8.0)</f>
        <v>8</v>
      </c>
      <c r="G60" s="99">
        <f>IFERROR(__xludf.DUMMYFUNCTION("ROUND(
  IFERROR(
    SUM(
      FILTER(
        'Sprint 20'!S:S,
        ('Sprint 20'!E:E = ""Art: Narupontp"") *
        (LEFT('Sprint 20'!B:B,5) = ""RDAPS"")
      )
    ) / 3600,
    0
  ),
  2
)"),0.0)</f>
        <v>0</v>
      </c>
      <c r="H60" s="99">
        <f>IFERROR(__xludf.DUMMYFUNCTION("ROUND(
  IFERROR(
    SUM(
      FILTER(
        'Sprint 20'!S:S,
        ('Sprint 20'!E:E = ""Mai:Sateta Abvanawong"") *
        (LEFT('Sprint 20'!B:B,5) = ""RDAPS"")
      )
    ) / 3600,
    0
  ),
  2
)"),0.0)</f>
        <v>0</v>
      </c>
      <c r="I60" s="99">
        <f>IFERROR(__xludf.DUMMYFUNCTION("ROUND(
  IFERROR(
    SUM(
      FILTER(
        'Sprint 20'!S:S,
        ('Sprint 20'!E:E = ""Kae: Pimonrath Jaiyen"") *
        (LEFT('Sprint 20'!B:B,5) = ""RDAPS"")
      )
    ) / 3600,
    0
  ),
  2
)"),0.0)</f>
        <v>0</v>
      </c>
      <c r="J60" s="99">
        <f>IFERROR(__xludf.DUMMYFUNCTION("ROUND(
  IFERROR(
    SUM(
      FILTER(
        'Sprint 20'!S:S,
        ('Sprint 20'!E:E = ""Mac: Jarupong Pawichpongkul"") *
        (LEFT('Sprint 20'!B:B,5) = ""RDAPS"")
      )
    ) / 3600,
    0
  ),
  2
)"),0.0)</f>
        <v>0</v>
      </c>
      <c r="K60" s="99">
        <f>IFERROR(__xludf.DUMMYFUNCTION("ROUND(
  IFERROR(
    SUM(
      FILTER(
        'Sprint 20'!S:S,
        ('Sprint 20'!E:E = ""Nim : muthita munmueang"") *
        (LEFT('Sprint 20'!B:B,5) = ""RDAPS"")
      )
    ) / 3600,
    0
  ),
  2
)"),0.0)</f>
        <v>0</v>
      </c>
      <c r="L60" s="99">
        <f>IFERROR(__xludf.DUMMYFUNCTION("ROUND(
  IFERROR(
    SUM(
      FILTER(
        'Sprint 20'!S:S,
        ('Sprint 20'!E:E = ""Moss : Kittapath Sangvikukit"") *
        (LEFT('Sprint 20'!B:B,5) = ""RDAPS"")
      )
    ) / 3600,
    0
  ),
  2
)"),0.0)</f>
        <v>0</v>
      </c>
      <c r="M60" s="99">
        <f>IFERROR(__xludf.DUMMYFUNCTION("ROUND(
  IFERROR(
    SUM(
      FILTER(
        'Sprint 20'!S:S,
        ('Sprint 20'!E:E = ""Arm:Worawat Chotipongchoawalit"") *
        (LEFT('Sprint 20'!B:B,5) = ""RDAPS"")
      )
    ) / 3600,
    0
  ),
  2
)"),0.0)</f>
        <v>0</v>
      </c>
    </row>
    <row r="61" ht="21.0" hidden="1" customHeight="1">
      <c r="A61" s="101"/>
      <c r="B61" s="101">
        <f>IFERROR(__xludf.DUMMYFUNCTION("ROUND(
  IFERROR(
    SUM(
      FILTER(
        'Sprint 20'!S:S,
        ('Sprint 20'!E:E = ""Aek:Atiphat Nanthachitvanich"") *
        (LEFT('Sprint 20'!B:B,8) = ""DEVRDSUP"")
      )
    ) / 3600,
    0
  ),
  2
)"),1.0)</f>
        <v>1</v>
      </c>
      <c r="C61" s="99">
        <f>IFERROR(__xludf.DUMMYFUNCTION("ROUND(
  IFERROR(
    SUM(
      FILTER(
        'Sprint 20'!S:S,
        ('Sprint 20'!E:E = ""Zan : Isarapong Bulan"") *
        (LEFT('Sprint 20'!B:B,8) = ""DEVRDSUP"")
      )
    ) / 3600,
    0
  ),
  2
)"),0.0)</f>
        <v>0</v>
      </c>
      <c r="D61" s="99">
        <f>IFERROR(__xludf.DUMMYFUNCTION("ROUND(
  IFERROR(
    SUM(
      FILTER(
        'Sprint 20'!S:S,
        ('Sprint 20'!E:E = ""Aom: Pornsawan Polnyiem"") *
        (LEFT('Sprint 20'!B:B,8) = ""DEVRDSUP"")
      )
    ) / 3600,
    0
  ),
  2
)"),0.0)</f>
        <v>0</v>
      </c>
      <c r="E61" s="99">
        <f>IFERROR(__xludf.DUMMYFUNCTION("ROUND(
  IFERROR(
    SUM(
      FILTER(
        'Sprint 20'!S:S,
        ('Sprint 20'!E:E = ""Jack: Warin Kesorn"") *
        (LEFT('Sprint 20'!B:B,8) = ""DEVRDSUP"")
      )
    ) / 3600,
    0
  ),
  2
)"),0.0)</f>
        <v>0</v>
      </c>
      <c r="F61" s="101">
        <f>IFERROR(__xludf.DUMMYFUNCTION("ROUND(
  IFERROR(
    SUM(
      FILTER(
        'Sprint 20'!S:S,
        ('Sprint 20'!E:E = ""A:Phongthorn"") *
        (LEFT('Sprint 20'!B:B,8) = ""DEVRDSUP"")
      )
    ) / 3600,
    0
  ),
  2
)"),0.0)</f>
        <v>0</v>
      </c>
      <c r="G61" s="99">
        <f>IFERROR(__xludf.DUMMYFUNCTION("ROUND(
  IFERROR(
    SUM(
      FILTER(
        'Sprint 20'!S:S,
        ('Sprint 20'!E:E = ""Art: Narupontp"") *
        (LEFT('Sprint 20'!B:B,8) = ""DEVRDSUP"")
      )
    ) / 3600,
    0
  ),
  2
)"),0.0)</f>
        <v>0</v>
      </c>
      <c r="H61" s="99">
        <f>IFERROR(__xludf.DUMMYFUNCTION("ROUND(
  IFERROR(
    SUM(
      FILTER(
        'Sprint 20'!S:S,
        ('Sprint 20'!E:E = ""Mai:Sateta Abvanawong"") *
        (LEFT('Sprint 20'!B:B,8) = ""DEVRDSUP"")
      )
    ) / 3600,
    0
  ),
  2
)"),0.0)</f>
        <v>0</v>
      </c>
      <c r="I61" s="99">
        <f>IFERROR(__xludf.DUMMYFUNCTION("ROUND(
  IFERROR(
    SUM(
      FILTER(
        'Sprint 20'!S:S,
        ('Sprint 20'!E:E = ""Kae: Pimonrath Jaiyen"") *
        (LEFT('Sprint 20'!B:B,8) = ""DEVRDSUP"")
      )
    ) / 3600,
    0
  ),
  2
)"),0.0)</f>
        <v>0</v>
      </c>
      <c r="J61" s="99">
        <f>IFERROR(__xludf.DUMMYFUNCTION("ROUND(
  IFERROR(
    SUM(
      FILTER(
        'Sprint 20'!S:S,
        ('Sprint 20'!E:E = ""Mac: Jarupong Pawichpongkul"") *
        (LEFT('Sprint 20'!B:B,8) = ""DEVRDSUP"")
      )
    ) / 3600,
    0
  ),
  2
)"),0.0)</f>
        <v>0</v>
      </c>
      <c r="K61" s="99">
        <f>IFERROR(__xludf.DUMMYFUNCTION("ROUND(
  IFERROR(
    SUM(
      FILTER(
        'Sprint 20'!S:S,
        ('Sprint 20'!E:E = ""Nim : muthita munmueang"") *
        (LEFT('Sprint 20'!B:B,8) = ""DEVRDSUP"")
      )
    ) / 3600,
    0
  ),
  2
)"),0.0)</f>
        <v>0</v>
      </c>
      <c r="L61" s="99">
        <f>IFERROR(__xludf.DUMMYFUNCTION("ROUND(
  IFERROR(
    SUM(
      FILTER(
        'Sprint 20'!S:S,
        ('Sprint 20'!E:E = ""Moss : Kittapath Sangvikukit"") *
        (LEFT('Sprint 20'!B:B,8) = ""DEVRDSUP"")
      )
    ) / 3600,
    0
  ),
  2
)"),0.0)</f>
        <v>0</v>
      </c>
      <c r="M61" s="99">
        <f>IFERROR(__xludf.DUMMYFUNCTION("ROUND(
  IFERROR(
    SUM(
      FILTER(
        'Sprint 20'!S:S,
        ('Sprint 20'!E:E = ""Arm:Worawat Chotipongchoawalit"") *
        (LEFT('Sprint 20'!B:B,8) = ""DEVRDSUP"")
      )
    ) / 3600,
    0
  ),
  2
)"),0.0)</f>
        <v>0</v>
      </c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</sheetData>
  <mergeCells count="6">
    <mergeCell ref="B44:E44"/>
    <mergeCell ref="F44:H44"/>
    <mergeCell ref="I44:M44"/>
    <mergeCell ref="B54:E54"/>
    <mergeCell ref="F54:H54"/>
    <mergeCell ref="I54:M54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39" width="17.5"/>
    <col customWidth="1" min="40" max="40" width="21.38"/>
    <col customWidth="1" min="41" max="43" width="17.5"/>
    <col customWidth="1" min="44" max="44" width="21.25"/>
    <col customWidth="1" min="45" max="45" width="17.5"/>
    <col customWidth="1" min="46" max="46" width="21.25"/>
    <col customWidth="1" min="47" max="47" width="20.13"/>
    <col customWidth="1" min="48" max="48" width="21.25"/>
    <col customWidth="1" min="49" max="49" width="20.13"/>
    <col customWidth="1" min="50" max="50" width="21.25"/>
    <col customWidth="1" min="51" max="51" width="20.13"/>
    <col customWidth="1" min="53" max="53" width="17.5"/>
    <col customWidth="1" min="54" max="54" width="21.25"/>
    <col customWidth="1" min="55" max="55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49" t="s">
        <v>3245</v>
      </c>
      <c r="U1" s="115" t="s">
        <v>3619</v>
      </c>
      <c r="V1" s="115" t="s">
        <v>6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Q1" s="102"/>
      <c r="AR1" s="102"/>
      <c r="BL1" s="88"/>
      <c r="BM1" s="88"/>
    </row>
    <row r="2">
      <c r="A2" s="102" t="s">
        <v>276</v>
      </c>
      <c r="B2" s="102" t="s">
        <v>3391</v>
      </c>
      <c r="C2" s="229" t="s">
        <v>3392</v>
      </c>
      <c r="D2" s="102" t="s">
        <v>3393</v>
      </c>
      <c r="G2" s="102" t="s">
        <v>513</v>
      </c>
      <c r="H2" s="102" t="s">
        <v>514</v>
      </c>
      <c r="I2" s="102" t="s">
        <v>284</v>
      </c>
      <c r="J2" s="102" t="s">
        <v>63</v>
      </c>
      <c r="L2" s="229" t="s">
        <v>3394</v>
      </c>
      <c r="M2" s="229" t="s">
        <v>3620</v>
      </c>
      <c r="O2" s="230"/>
      <c r="S2" s="230"/>
      <c r="T2" s="244" t="str">
        <f>IF(ISNUMBER(MATCH(B2, 'Sprint 19'!B:B, 0)), "มาจาก Sprint 19", "")</f>
        <v/>
      </c>
      <c r="U2" s="244" t="str">
        <f t="array" ref="U2">IF(ISNUMBER(MATCH(B2, 'Sprint 19'!B:B, 0)), INDEX('Sprint 19'!J:J, MATCH(B2, 'Sprint 19'!B:B, 0)), "")</f>
        <v/>
      </c>
      <c r="W2" s="102" t="s">
        <v>1085</v>
      </c>
    </row>
    <row r="3">
      <c r="A3" s="102" t="s">
        <v>276</v>
      </c>
      <c r="B3" s="102" t="s">
        <v>3621</v>
      </c>
      <c r="C3" s="229" t="s">
        <v>3622</v>
      </c>
      <c r="D3" s="102" t="s">
        <v>3623</v>
      </c>
      <c r="G3" s="102" t="s">
        <v>513</v>
      </c>
      <c r="H3" s="102" t="s">
        <v>514</v>
      </c>
      <c r="I3" s="102" t="s">
        <v>284</v>
      </c>
      <c r="J3" s="102" t="s">
        <v>63</v>
      </c>
      <c r="L3" s="229" t="s">
        <v>3624</v>
      </c>
      <c r="M3" s="229" t="s">
        <v>3625</v>
      </c>
      <c r="O3" s="230"/>
      <c r="S3" s="230"/>
      <c r="T3" s="244" t="str">
        <f>IF(ISNUMBER(MATCH(B3, 'Sprint 19'!B:B, 0)), "มาจาก Sprint 19", "")</f>
        <v/>
      </c>
      <c r="U3" s="244" t="str">
        <f t="array" ref="U3">IF(ISNUMBER(MATCH(B3, 'Sprint 19'!B:B, 0)), INDEX('Sprint 19'!J:J, MATCH(B3, 'Sprint 19'!B:B, 0)), "")</f>
        <v/>
      </c>
      <c r="W3" s="102" t="s">
        <v>1085</v>
      </c>
    </row>
    <row r="4">
      <c r="A4" s="102" t="s">
        <v>310</v>
      </c>
      <c r="B4" s="102" t="s">
        <v>3396</v>
      </c>
      <c r="C4" s="229" t="s">
        <v>3397</v>
      </c>
      <c r="D4" s="102" t="s">
        <v>3398</v>
      </c>
      <c r="E4" s="102" t="s">
        <v>353</v>
      </c>
      <c r="F4" s="102" t="s">
        <v>354</v>
      </c>
      <c r="G4" s="102" t="s">
        <v>353</v>
      </c>
      <c r="H4" s="102" t="s">
        <v>354</v>
      </c>
      <c r="I4" s="102" t="s">
        <v>284</v>
      </c>
      <c r="J4" s="102" t="s">
        <v>34</v>
      </c>
      <c r="L4" s="229" t="s">
        <v>3399</v>
      </c>
      <c r="M4" s="229" t="s">
        <v>3626</v>
      </c>
      <c r="O4" s="102">
        <v>3.0</v>
      </c>
      <c r="S4" s="230"/>
      <c r="T4" s="244" t="str">
        <f>IF(ISNUMBER(MATCH(B4, 'Sprint 19'!B:B, 0)), "มาจาก Sprint 19", "")</f>
        <v/>
      </c>
      <c r="U4" s="244" t="str">
        <f t="array" ref="U4">IF(ISNUMBER(MATCH(B4, 'Sprint 19'!B:B, 0)), INDEX('Sprint 19'!J:J, MATCH(B4, 'Sprint 19'!B:B, 0)), "")</f>
        <v/>
      </c>
      <c r="W4" s="102" t="s">
        <v>3038</v>
      </c>
    </row>
    <row r="5">
      <c r="A5" s="102" t="s">
        <v>276</v>
      </c>
      <c r="B5" s="102" t="s">
        <v>2458</v>
      </c>
      <c r="C5" s="229" t="s">
        <v>2459</v>
      </c>
      <c r="D5" s="102" t="s">
        <v>2460</v>
      </c>
      <c r="E5" s="102" t="s">
        <v>584</v>
      </c>
      <c r="F5" s="102" t="s">
        <v>585</v>
      </c>
      <c r="G5" s="102" t="s">
        <v>584</v>
      </c>
      <c r="H5" s="102" t="s">
        <v>585</v>
      </c>
      <c r="I5" s="102" t="s">
        <v>284</v>
      </c>
      <c r="J5" s="102" t="s">
        <v>63</v>
      </c>
      <c r="L5" s="229" t="s">
        <v>2461</v>
      </c>
      <c r="M5" s="229" t="s">
        <v>3627</v>
      </c>
      <c r="O5" s="230"/>
      <c r="S5" s="230"/>
      <c r="T5" s="244" t="str">
        <f>IF(ISNUMBER(MATCH(B5, 'Sprint 19'!B:B, 0)), "มาจาก Sprint 19", "")</f>
        <v/>
      </c>
      <c r="U5" s="244" t="str">
        <f t="array" ref="U5">IF(ISNUMBER(MATCH(B5, 'Sprint 19'!B:B, 0)), INDEX('Sprint 19'!J:J, MATCH(B5, 'Sprint 19'!B:B, 0)), "")</f>
        <v/>
      </c>
      <c r="W5" s="102" t="s">
        <v>2271</v>
      </c>
    </row>
    <row r="6">
      <c r="A6" s="102" t="s">
        <v>276</v>
      </c>
      <c r="B6" s="102" t="s">
        <v>2463</v>
      </c>
      <c r="C6" s="229" t="s">
        <v>2464</v>
      </c>
      <c r="D6" s="102" t="s">
        <v>2465</v>
      </c>
      <c r="E6" s="102" t="s">
        <v>584</v>
      </c>
      <c r="F6" s="102" t="s">
        <v>585</v>
      </c>
      <c r="G6" s="102" t="s">
        <v>584</v>
      </c>
      <c r="H6" s="102" t="s">
        <v>585</v>
      </c>
      <c r="I6" s="102" t="s">
        <v>284</v>
      </c>
      <c r="J6" s="102" t="s">
        <v>26</v>
      </c>
      <c r="L6" s="229" t="s">
        <v>2461</v>
      </c>
      <c r="M6" s="229" t="s">
        <v>2466</v>
      </c>
      <c r="O6" s="230"/>
      <c r="S6" s="102">
        <v>28800.0</v>
      </c>
      <c r="T6" s="244" t="str">
        <f>IF(ISNUMBER(MATCH(B6, 'Sprint 19'!B:B, 0)), "มาจาก Sprint 19", "")</f>
        <v/>
      </c>
      <c r="U6" s="244" t="str">
        <f t="array" ref="U6">IF(ISNUMBER(MATCH(B6, 'Sprint 19'!B:B, 0)), INDEX('Sprint 19'!J:J, MATCH(B6, 'Sprint 19'!B:B, 0)), "")</f>
        <v/>
      </c>
      <c r="W6" s="102" t="s">
        <v>2271</v>
      </c>
    </row>
    <row r="7">
      <c r="A7" s="102" t="s">
        <v>276</v>
      </c>
      <c r="B7" s="102" t="s">
        <v>2467</v>
      </c>
      <c r="C7" s="229" t="s">
        <v>2468</v>
      </c>
      <c r="D7" s="102" t="s">
        <v>2469</v>
      </c>
      <c r="E7" s="102" t="s">
        <v>584</v>
      </c>
      <c r="F7" s="102" t="s">
        <v>585</v>
      </c>
      <c r="G7" s="102" t="s">
        <v>584</v>
      </c>
      <c r="H7" s="102" t="s">
        <v>585</v>
      </c>
      <c r="I7" s="102" t="s">
        <v>284</v>
      </c>
      <c r="J7" s="102" t="s">
        <v>26</v>
      </c>
      <c r="L7" s="229" t="s">
        <v>2470</v>
      </c>
      <c r="M7" s="229" t="s">
        <v>2466</v>
      </c>
      <c r="O7" s="230"/>
      <c r="S7" s="102">
        <v>14400.0</v>
      </c>
      <c r="T7" s="244" t="str">
        <f>IF(ISNUMBER(MATCH(B7, 'Sprint 19'!B:B, 0)), "มาจาก Sprint 19", "")</f>
        <v/>
      </c>
      <c r="U7" s="244" t="str">
        <f t="array" ref="U7">IF(ISNUMBER(MATCH(B7, 'Sprint 19'!B:B, 0)), INDEX('Sprint 19'!J:J, MATCH(B7, 'Sprint 19'!B:B, 0)), "")</f>
        <v/>
      </c>
      <c r="W7" s="102" t="s">
        <v>2271</v>
      </c>
    </row>
    <row r="8">
      <c r="A8" s="102" t="s">
        <v>276</v>
      </c>
      <c r="B8" s="102" t="s">
        <v>2471</v>
      </c>
      <c r="C8" s="229" t="s">
        <v>2472</v>
      </c>
      <c r="D8" s="102" t="s">
        <v>2473</v>
      </c>
      <c r="E8" s="102" t="s">
        <v>584</v>
      </c>
      <c r="F8" s="102" t="s">
        <v>585</v>
      </c>
      <c r="G8" s="102" t="s">
        <v>584</v>
      </c>
      <c r="H8" s="102" t="s">
        <v>585</v>
      </c>
      <c r="I8" s="102" t="s">
        <v>284</v>
      </c>
      <c r="J8" s="102" t="s">
        <v>26</v>
      </c>
      <c r="L8" s="229" t="s">
        <v>2474</v>
      </c>
      <c r="M8" s="229" t="s">
        <v>2466</v>
      </c>
      <c r="O8" s="230"/>
      <c r="S8" s="102">
        <v>43200.0</v>
      </c>
      <c r="T8" s="244" t="str">
        <f>IF(ISNUMBER(MATCH(B8, 'Sprint 19'!B:B, 0)), "มาจาก Sprint 19", "")</f>
        <v/>
      </c>
      <c r="U8" s="244" t="str">
        <f t="array" ref="U8">IF(ISNUMBER(MATCH(B8, 'Sprint 19'!B:B, 0)), INDEX('Sprint 19'!J:J, MATCH(B8, 'Sprint 19'!B:B, 0)), "")</f>
        <v/>
      </c>
      <c r="W8" s="102" t="s">
        <v>2271</v>
      </c>
    </row>
    <row r="9">
      <c r="A9" s="102" t="s">
        <v>276</v>
      </c>
      <c r="B9" s="102" t="s">
        <v>3628</v>
      </c>
      <c r="C9" s="229" t="s">
        <v>3629</v>
      </c>
      <c r="D9" s="102" t="s">
        <v>390</v>
      </c>
      <c r="E9" s="102" t="s">
        <v>391</v>
      </c>
      <c r="F9" s="102" t="s">
        <v>392</v>
      </c>
      <c r="G9" s="102" t="s">
        <v>391</v>
      </c>
      <c r="H9" s="102" t="s">
        <v>392</v>
      </c>
      <c r="I9" s="102" t="s">
        <v>284</v>
      </c>
      <c r="J9" s="102" t="s">
        <v>26</v>
      </c>
      <c r="L9" s="229" t="s">
        <v>3630</v>
      </c>
      <c r="M9" s="229" t="s">
        <v>3631</v>
      </c>
      <c r="O9" s="230"/>
      <c r="S9" s="230"/>
      <c r="T9" s="244" t="str">
        <f>IF(ISNUMBER(MATCH(B9, 'Sprint 19'!B:B, 0)), "มาจาก Sprint 19", "")</f>
        <v/>
      </c>
      <c r="U9" s="244" t="str">
        <f t="array" ref="U9">IF(ISNUMBER(MATCH(B9, 'Sprint 19'!B:B, 0)), INDEX('Sprint 19'!J:J, MATCH(B9, 'Sprint 19'!B:B, 0)), "")</f>
        <v/>
      </c>
      <c r="W9" s="102" t="s">
        <v>2271</v>
      </c>
    </row>
    <row r="10">
      <c r="A10" s="102" t="s">
        <v>276</v>
      </c>
      <c r="B10" s="102" t="s">
        <v>3632</v>
      </c>
      <c r="C10" s="229" t="s">
        <v>3633</v>
      </c>
      <c r="D10" s="102" t="s">
        <v>390</v>
      </c>
      <c r="E10" s="102" t="s">
        <v>391</v>
      </c>
      <c r="F10" s="102" t="s">
        <v>392</v>
      </c>
      <c r="G10" s="102" t="s">
        <v>391</v>
      </c>
      <c r="H10" s="102" t="s">
        <v>392</v>
      </c>
      <c r="I10" s="102" t="s">
        <v>284</v>
      </c>
      <c r="J10" s="102" t="s">
        <v>26</v>
      </c>
      <c r="L10" s="229" t="s">
        <v>3630</v>
      </c>
      <c r="M10" s="229" t="s">
        <v>3634</v>
      </c>
      <c r="O10" s="230"/>
      <c r="S10" s="230"/>
      <c r="T10" s="244" t="str">
        <f>IF(ISNUMBER(MATCH(B10, 'Sprint 19'!B:B, 0)), "มาจาก Sprint 19", "")</f>
        <v/>
      </c>
      <c r="U10" s="244" t="str">
        <f t="array" ref="U10">IF(ISNUMBER(MATCH(B10, 'Sprint 19'!B:B, 0)), INDEX('Sprint 19'!J:J, MATCH(B10, 'Sprint 19'!B:B, 0)), "")</f>
        <v/>
      </c>
      <c r="W10" s="102" t="s">
        <v>2271</v>
      </c>
    </row>
    <row r="11">
      <c r="A11" s="102" t="s">
        <v>276</v>
      </c>
      <c r="B11" s="102" t="s">
        <v>3635</v>
      </c>
      <c r="C11" s="229" t="s">
        <v>3636</v>
      </c>
      <c r="D11" s="102" t="s">
        <v>390</v>
      </c>
      <c r="E11" s="102" t="s">
        <v>391</v>
      </c>
      <c r="F11" s="102" t="s">
        <v>392</v>
      </c>
      <c r="G11" s="102" t="s">
        <v>391</v>
      </c>
      <c r="H11" s="102" t="s">
        <v>392</v>
      </c>
      <c r="I11" s="102" t="s">
        <v>284</v>
      </c>
      <c r="J11" s="102" t="s">
        <v>26</v>
      </c>
      <c r="L11" s="229" t="s">
        <v>3630</v>
      </c>
      <c r="M11" s="229" t="s">
        <v>3637</v>
      </c>
      <c r="O11" s="230"/>
      <c r="S11" s="230"/>
      <c r="T11" s="244" t="str">
        <f>IF(ISNUMBER(MATCH(B11, 'Sprint 19'!B:B, 0)), "มาจาก Sprint 19", "")</f>
        <v/>
      </c>
      <c r="U11" s="244" t="str">
        <f t="array" ref="U11">IF(ISNUMBER(MATCH(B11, 'Sprint 19'!B:B, 0)), INDEX('Sprint 19'!J:J, MATCH(B11, 'Sprint 19'!B:B, 0)), "")</f>
        <v/>
      </c>
      <c r="W11" s="102" t="s">
        <v>2270</v>
      </c>
      <c r="X11" s="102" t="s">
        <v>2271</v>
      </c>
    </row>
    <row r="12">
      <c r="A12" s="102" t="s">
        <v>276</v>
      </c>
      <c r="B12" s="102" t="s">
        <v>3638</v>
      </c>
      <c r="C12" s="229" t="s">
        <v>3639</v>
      </c>
      <c r="D12" s="102" t="s">
        <v>390</v>
      </c>
      <c r="E12" s="102" t="s">
        <v>391</v>
      </c>
      <c r="F12" s="102" t="s">
        <v>392</v>
      </c>
      <c r="G12" s="102" t="s">
        <v>391</v>
      </c>
      <c r="H12" s="102" t="s">
        <v>392</v>
      </c>
      <c r="I12" s="102" t="s">
        <v>284</v>
      </c>
      <c r="J12" s="102" t="s">
        <v>26</v>
      </c>
      <c r="L12" s="229" t="s">
        <v>3630</v>
      </c>
      <c r="M12" s="229" t="s">
        <v>3640</v>
      </c>
      <c r="O12" s="230"/>
      <c r="S12" s="230"/>
      <c r="T12" s="244" t="str">
        <f>IF(ISNUMBER(MATCH(B12, 'Sprint 19'!B:B, 0)), "มาจาก Sprint 19", "")</f>
        <v/>
      </c>
      <c r="U12" s="244" t="str">
        <f t="array" ref="U12">IF(ISNUMBER(MATCH(B12, 'Sprint 19'!B:B, 0)), INDEX('Sprint 19'!J:J, MATCH(B12, 'Sprint 19'!B:B, 0)), "")</f>
        <v/>
      </c>
      <c r="W12" s="102" t="s">
        <v>2270</v>
      </c>
      <c r="X12" s="102" t="s">
        <v>2271</v>
      </c>
    </row>
    <row r="13">
      <c r="A13" s="102" t="s">
        <v>276</v>
      </c>
      <c r="B13" s="102" t="s">
        <v>3641</v>
      </c>
      <c r="C13" s="229" t="s">
        <v>3642</v>
      </c>
      <c r="D13" s="102" t="s">
        <v>398</v>
      </c>
      <c r="E13" s="102" t="s">
        <v>391</v>
      </c>
      <c r="F13" s="102" t="s">
        <v>392</v>
      </c>
      <c r="G13" s="102" t="s">
        <v>391</v>
      </c>
      <c r="H13" s="102" t="s">
        <v>392</v>
      </c>
      <c r="I13" s="102" t="s">
        <v>284</v>
      </c>
      <c r="J13" s="102" t="s">
        <v>26</v>
      </c>
      <c r="L13" s="229" t="s">
        <v>3643</v>
      </c>
      <c r="M13" s="229" t="s">
        <v>3644</v>
      </c>
      <c r="O13" s="230"/>
      <c r="S13" s="230"/>
      <c r="T13" s="244" t="str">
        <f>IF(ISNUMBER(MATCH(B13, 'Sprint 19'!B:B, 0)), "มาจาก Sprint 19", "")</f>
        <v/>
      </c>
      <c r="U13" s="244" t="str">
        <f t="array" ref="U13">IF(ISNUMBER(MATCH(B13, 'Sprint 19'!B:B, 0)), INDEX('Sprint 19'!J:J, MATCH(B13, 'Sprint 19'!B:B, 0)), "")</f>
        <v/>
      </c>
      <c r="W13" s="102" t="s">
        <v>2271</v>
      </c>
    </row>
    <row r="14">
      <c r="A14" s="102" t="s">
        <v>332</v>
      </c>
      <c r="B14" s="102" t="s">
        <v>3645</v>
      </c>
      <c r="C14" s="229" t="s">
        <v>3646</v>
      </c>
      <c r="D14" s="102" t="s">
        <v>3647</v>
      </c>
      <c r="E14" s="102" t="s">
        <v>353</v>
      </c>
      <c r="F14" s="102" t="s">
        <v>354</v>
      </c>
      <c r="G14" s="102" t="s">
        <v>2485</v>
      </c>
      <c r="H14" s="102" t="s">
        <v>2486</v>
      </c>
      <c r="I14" s="102" t="s">
        <v>284</v>
      </c>
      <c r="J14" s="102" t="s">
        <v>2231</v>
      </c>
      <c r="L14" s="229" t="s">
        <v>3648</v>
      </c>
      <c r="M14" s="229" t="s">
        <v>3649</v>
      </c>
      <c r="O14" s="230"/>
      <c r="S14" s="230"/>
      <c r="T14" s="244" t="str">
        <f>IF(ISNUMBER(MATCH(B14, 'Sprint 19'!B:B, 0)), "มาจาก Sprint 19", "")</f>
        <v/>
      </c>
      <c r="U14" s="244" t="str">
        <f t="array" ref="U14">IF(ISNUMBER(MATCH(B14, 'Sprint 19'!B:B, 0)), INDEX('Sprint 19'!J:J, MATCH(B14, 'Sprint 19'!B:B, 0)), "")</f>
        <v/>
      </c>
      <c r="W14" s="102" t="s">
        <v>1979</v>
      </c>
    </row>
    <row r="15">
      <c r="A15" s="102" t="s">
        <v>310</v>
      </c>
      <c r="B15" s="102" t="s">
        <v>3650</v>
      </c>
      <c r="C15" s="229" t="s">
        <v>3651</v>
      </c>
      <c r="D15" s="102" t="s">
        <v>3652</v>
      </c>
      <c r="E15" s="102" t="s">
        <v>304</v>
      </c>
      <c r="F15" s="102" t="s">
        <v>305</v>
      </c>
      <c r="G15" s="102" t="s">
        <v>304</v>
      </c>
      <c r="H15" s="102" t="s">
        <v>305</v>
      </c>
      <c r="I15" s="102" t="s">
        <v>284</v>
      </c>
      <c r="J15" s="102" t="s">
        <v>26</v>
      </c>
      <c r="L15" s="229" t="s">
        <v>3653</v>
      </c>
      <c r="M15" s="229" t="s">
        <v>3654</v>
      </c>
      <c r="O15" s="102">
        <v>3.0</v>
      </c>
      <c r="P15" s="102" t="s">
        <v>593</v>
      </c>
      <c r="S15" s="230"/>
      <c r="T15" s="244" t="str">
        <f>IF(ISNUMBER(MATCH(B15, 'Sprint 19'!B:B, 0)), "มาจาก Sprint 19", "")</f>
        <v/>
      </c>
      <c r="U15" s="244" t="str">
        <f t="array" ref="U15">IF(ISNUMBER(MATCH(B15, 'Sprint 19'!B:B, 0)), INDEX('Sprint 19'!J:J, MATCH(B15, 'Sprint 19'!B:B, 0)), "")</f>
        <v/>
      </c>
      <c r="W15" s="102" t="s">
        <v>1085</v>
      </c>
    </row>
    <row r="16">
      <c r="A16" s="102" t="s">
        <v>310</v>
      </c>
      <c r="B16" s="102" t="s">
        <v>3655</v>
      </c>
      <c r="C16" s="229" t="s">
        <v>3656</v>
      </c>
      <c r="D16" s="102" t="s">
        <v>3657</v>
      </c>
      <c r="E16" s="102" t="s">
        <v>314</v>
      </c>
      <c r="F16" s="102" t="s">
        <v>315</v>
      </c>
      <c r="G16" s="102" t="s">
        <v>314</v>
      </c>
      <c r="H16" s="102" t="s">
        <v>315</v>
      </c>
      <c r="I16" s="102" t="s">
        <v>284</v>
      </c>
      <c r="J16" s="102" t="s">
        <v>26</v>
      </c>
      <c r="L16" s="229" t="s">
        <v>3658</v>
      </c>
      <c r="M16" s="229" t="s">
        <v>3659</v>
      </c>
      <c r="O16" s="102">
        <v>1.0</v>
      </c>
      <c r="S16" s="102">
        <v>7200.0</v>
      </c>
      <c r="T16" s="244" t="str">
        <f>IF(ISNUMBER(MATCH(B16, 'Sprint 19'!B:B, 0)), "มาจาก Sprint 19", "")</f>
        <v/>
      </c>
      <c r="U16" s="244" t="str">
        <f t="array" ref="U16">IF(ISNUMBER(MATCH(B16, 'Sprint 19'!B:B, 0)), INDEX('Sprint 19'!J:J, MATCH(B16, 'Sprint 19'!B:B, 0)), "")</f>
        <v/>
      </c>
      <c r="W16" s="102" t="s">
        <v>1979</v>
      </c>
    </row>
    <row r="17">
      <c r="A17" s="102" t="s">
        <v>310</v>
      </c>
      <c r="B17" s="102" t="s">
        <v>3660</v>
      </c>
      <c r="C17" s="229" t="s">
        <v>3661</v>
      </c>
      <c r="D17" s="102" t="s">
        <v>3662</v>
      </c>
      <c r="E17" s="102" t="s">
        <v>314</v>
      </c>
      <c r="F17" s="102" t="s">
        <v>315</v>
      </c>
      <c r="G17" s="102" t="s">
        <v>314</v>
      </c>
      <c r="H17" s="102" t="s">
        <v>315</v>
      </c>
      <c r="I17" s="102" t="s">
        <v>284</v>
      </c>
      <c r="J17" s="102" t="s">
        <v>26</v>
      </c>
      <c r="L17" s="229" t="s">
        <v>3663</v>
      </c>
      <c r="M17" s="229" t="s">
        <v>3664</v>
      </c>
      <c r="O17" s="102">
        <v>1.0</v>
      </c>
      <c r="S17" s="102">
        <v>7200.0</v>
      </c>
      <c r="T17" s="244" t="str">
        <f>IF(ISNUMBER(MATCH(B17, 'Sprint 19'!B:B, 0)), "มาจาก Sprint 19", "")</f>
        <v/>
      </c>
      <c r="U17" s="244" t="str">
        <f t="array" ref="U17">IF(ISNUMBER(MATCH(B17, 'Sprint 19'!B:B, 0)), INDEX('Sprint 19'!J:J, MATCH(B17, 'Sprint 19'!B:B, 0)), "")</f>
        <v/>
      </c>
      <c r="W17" s="102" t="s">
        <v>1979</v>
      </c>
    </row>
    <row r="18">
      <c r="A18" s="102" t="s">
        <v>310</v>
      </c>
      <c r="B18" s="102" t="s">
        <v>3665</v>
      </c>
      <c r="C18" s="229" t="s">
        <v>3666</v>
      </c>
      <c r="D18" s="102" t="s">
        <v>3667</v>
      </c>
      <c r="E18" s="102" t="s">
        <v>314</v>
      </c>
      <c r="F18" s="102" t="s">
        <v>315</v>
      </c>
      <c r="G18" s="102" t="s">
        <v>314</v>
      </c>
      <c r="H18" s="102" t="s">
        <v>315</v>
      </c>
      <c r="I18" s="102" t="s">
        <v>284</v>
      </c>
      <c r="J18" s="102" t="s">
        <v>26</v>
      </c>
      <c r="L18" s="229" t="s">
        <v>3668</v>
      </c>
      <c r="M18" s="229" t="s">
        <v>3669</v>
      </c>
      <c r="O18" s="102">
        <v>8.0</v>
      </c>
      <c r="S18" s="102">
        <v>86400.0</v>
      </c>
      <c r="T18" s="244" t="str">
        <f>IF(ISNUMBER(MATCH(B18, 'Sprint 19'!B:B, 0)), "มาจาก Sprint 19", "")</f>
        <v/>
      </c>
      <c r="U18" s="244" t="str">
        <f t="array" ref="U18">IF(ISNUMBER(MATCH(B18, 'Sprint 19'!B:B, 0)), INDEX('Sprint 19'!J:J, MATCH(B18, 'Sprint 19'!B:B, 0)), "")</f>
        <v/>
      </c>
      <c r="W18" s="102" t="s">
        <v>1979</v>
      </c>
    </row>
    <row r="19">
      <c r="A19" s="102" t="s">
        <v>310</v>
      </c>
      <c r="B19" s="102" t="s">
        <v>3670</v>
      </c>
      <c r="C19" s="229" t="s">
        <v>3671</v>
      </c>
      <c r="D19" s="102" t="s">
        <v>3672</v>
      </c>
      <c r="E19" s="102" t="s">
        <v>314</v>
      </c>
      <c r="F19" s="102" t="s">
        <v>315</v>
      </c>
      <c r="G19" s="102" t="s">
        <v>314</v>
      </c>
      <c r="H19" s="102" t="s">
        <v>315</v>
      </c>
      <c r="I19" s="102" t="s">
        <v>284</v>
      </c>
      <c r="J19" s="102" t="s">
        <v>26</v>
      </c>
      <c r="L19" s="229" t="s">
        <v>3673</v>
      </c>
      <c r="M19" s="229" t="s">
        <v>3674</v>
      </c>
      <c r="O19" s="102">
        <v>2.0</v>
      </c>
      <c r="S19" s="102">
        <v>14400.0</v>
      </c>
      <c r="T19" s="244" t="str">
        <f>IF(ISNUMBER(MATCH(B19, 'Sprint 19'!B:B, 0)), "มาจาก Sprint 19", "")</f>
        <v/>
      </c>
      <c r="U19" s="244" t="str">
        <f t="array" ref="U19">IF(ISNUMBER(MATCH(B19, 'Sprint 19'!B:B, 0)), INDEX('Sprint 19'!J:J, MATCH(B19, 'Sprint 19'!B:B, 0)), "")</f>
        <v/>
      </c>
      <c r="W19" s="102" t="s">
        <v>1979</v>
      </c>
    </row>
    <row r="20">
      <c r="A20" s="102" t="s">
        <v>310</v>
      </c>
      <c r="B20" s="102" t="s">
        <v>3675</v>
      </c>
      <c r="C20" s="229" t="s">
        <v>3676</v>
      </c>
      <c r="D20" s="102" t="s">
        <v>3677</v>
      </c>
      <c r="E20" s="102" t="s">
        <v>314</v>
      </c>
      <c r="F20" s="102" t="s">
        <v>315</v>
      </c>
      <c r="G20" s="102" t="s">
        <v>314</v>
      </c>
      <c r="H20" s="102" t="s">
        <v>315</v>
      </c>
      <c r="I20" s="102" t="s">
        <v>284</v>
      </c>
      <c r="J20" s="102" t="s">
        <v>26</v>
      </c>
      <c r="L20" s="229" t="s">
        <v>3678</v>
      </c>
      <c r="M20" s="229" t="s">
        <v>3679</v>
      </c>
      <c r="O20" s="102">
        <v>8.0</v>
      </c>
      <c r="S20" s="102">
        <v>106200.0</v>
      </c>
      <c r="T20" s="244" t="str">
        <f>IF(ISNUMBER(MATCH(B20, 'Sprint 19'!B:B, 0)), "มาจาก Sprint 19", "")</f>
        <v/>
      </c>
      <c r="U20" s="244" t="str">
        <f t="array" ref="U20">IF(ISNUMBER(MATCH(B20, 'Sprint 19'!B:B, 0)), INDEX('Sprint 19'!J:J, MATCH(B20, 'Sprint 19'!B:B, 0)), "")</f>
        <v/>
      </c>
      <c r="W20" s="102" t="s">
        <v>1979</v>
      </c>
    </row>
    <row r="21">
      <c r="A21" s="102" t="s">
        <v>276</v>
      </c>
      <c r="B21" s="102" t="s">
        <v>2475</v>
      </c>
      <c r="C21" s="229" t="s">
        <v>2476</v>
      </c>
      <c r="D21" s="102" t="s">
        <v>347</v>
      </c>
      <c r="E21" s="102" t="s">
        <v>280</v>
      </c>
      <c r="F21" s="102" t="s">
        <v>281</v>
      </c>
      <c r="G21" s="102" t="s">
        <v>1987</v>
      </c>
      <c r="H21" s="102" t="s">
        <v>1988</v>
      </c>
      <c r="I21" s="102" t="s">
        <v>284</v>
      </c>
      <c r="J21" s="102" t="s">
        <v>63</v>
      </c>
      <c r="L21" s="229" t="s">
        <v>2477</v>
      </c>
      <c r="M21" s="229" t="s">
        <v>2477</v>
      </c>
      <c r="O21" s="230"/>
      <c r="S21" s="230"/>
      <c r="T21" s="244" t="str">
        <f>IF(ISNUMBER(MATCH(B21, 'Sprint 19'!B:B, 0)), "มาจาก Sprint 19", "")</f>
        <v/>
      </c>
      <c r="U21" s="244" t="str">
        <f t="array" ref="U21">IF(ISNUMBER(MATCH(B21, 'Sprint 19'!B:B, 0)), INDEX('Sprint 19'!J:J, MATCH(B21, 'Sprint 19'!B:B, 0)), "")</f>
        <v/>
      </c>
      <c r="W21" s="102" t="s">
        <v>1085</v>
      </c>
    </row>
    <row r="22">
      <c r="A22" s="102" t="s">
        <v>276</v>
      </c>
      <c r="B22" s="102" t="s">
        <v>2479</v>
      </c>
      <c r="C22" s="229" t="s">
        <v>2480</v>
      </c>
      <c r="D22" s="102" t="s">
        <v>2030</v>
      </c>
      <c r="E22" s="102" t="s">
        <v>280</v>
      </c>
      <c r="F22" s="102" t="s">
        <v>281</v>
      </c>
      <c r="G22" s="102" t="s">
        <v>1987</v>
      </c>
      <c r="H22" s="102" t="s">
        <v>1988</v>
      </c>
      <c r="I22" s="102" t="s">
        <v>284</v>
      </c>
      <c r="J22" s="102" t="s">
        <v>63</v>
      </c>
      <c r="L22" s="229" t="s">
        <v>2477</v>
      </c>
      <c r="M22" s="229" t="s">
        <v>2477</v>
      </c>
      <c r="O22" s="230"/>
      <c r="S22" s="230"/>
      <c r="T22" s="244" t="str">
        <f>IF(ISNUMBER(MATCH(B22, 'Sprint 19'!B:B, 0)), "มาจาก Sprint 19", "")</f>
        <v/>
      </c>
      <c r="U22" s="244" t="str">
        <f t="array" ref="U22">IF(ISNUMBER(MATCH(B22, 'Sprint 19'!B:B, 0)), INDEX('Sprint 19'!J:J, MATCH(B22, 'Sprint 19'!B:B, 0)), "")</f>
        <v/>
      </c>
      <c r="W22" s="102" t="s">
        <v>1085</v>
      </c>
    </row>
    <row r="23">
      <c r="A23" s="102" t="s">
        <v>310</v>
      </c>
      <c r="B23" s="102" t="s">
        <v>3680</v>
      </c>
      <c r="C23" s="229" t="s">
        <v>3681</v>
      </c>
      <c r="D23" s="102" t="s">
        <v>3682</v>
      </c>
      <c r="E23" s="102" t="s">
        <v>314</v>
      </c>
      <c r="F23" s="102" t="s">
        <v>315</v>
      </c>
      <c r="G23" s="102" t="s">
        <v>2485</v>
      </c>
      <c r="H23" s="102" t="s">
        <v>2486</v>
      </c>
      <c r="I23" s="102" t="s">
        <v>284</v>
      </c>
      <c r="J23" s="102" t="s">
        <v>26</v>
      </c>
      <c r="L23" s="229" t="s">
        <v>3683</v>
      </c>
      <c r="M23" s="229" t="s">
        <v>3649</v>
      </c>
      <c r="O23" s="102">
        <v>1.0</v>
      </c>
      <c r="S23" s="102">
        <v>1800.0</v>
      </c>
      <c r="T23" s="244" t="str">
        <f>IF(ISNUMBER(MATCH(B23, 'Sprint 19'!B:B, 0)), "มาจาก Sprint 19", "")</f>
        <v/>
      </c>
      <c r="U23" s="244" t="str">
        <f t="array" ref="U23">IF(ISNUMBER(MATCH(B23, 'Sprint 19'!B:B, 0)), INDEX('Sprint 19'!J:J, MATCH(B23, 'Sprint 19'!B:B, 0)), "")</f>
        <v/>
      </c>
      <c r="W23" s="102" t="s">
        <v>1979</v>
      </c>
    </row>
    <row r="24">
      <c r="A24" s="102" t="s">
        <v>332</v>
      </c>
      <c r="B24" s="102" t="s">
        <v>2972</v>
      </c>
      <c r="C24" s="229" t="s">
        <v>2973</v>
      </c>
      <c r="D24" s="102" t="s">
        <v>2974</v>
      </c>
      <c r="E24" s="102" t="s">
        <v>353</v>
      </c>
      <c r="F24" s="102" t="s">
        <v>354</v>
      </c>
      <c r="G24" s="102" t="s">
        <v>2485</v>
      </c>
      <c r="H24" s="102" t="s">
        <v>2486</v>
      </c>
      <c r="I24" s="102" t="s">
        <v>284</v>
      </c>
      <c r="J24" s="102" t="s">
        <v>2231</v>
      </c>
      <c r="L24" s="229" t="s">
        <v>2975</v>
      </c>
      <c r="M24" s="229" t="s">
        <v>3649</v>
      </c>
      <c r="O24" s="230"/>
      <c r="S24" s="230"/>
      <c r="T24" s="244" t="str">
        <f>IF(ISNUMBER(MATCH(B24, 'Sprint 19'!B:B, 0)), "มาจาก Sprint 19", "")</f>
        <v/>
      </c>
      <c r="U24" s="244" t="str">
        <f t="array" ref="U24">IF(ISNUMBER(MATCH(B24, 'Sprint 19'!B:B, 0)), INDEX('Sprint 19'!J:J, MATCH(B24, 'Sprint 19'!B:B, 0)), "")</f>
        <v/>
      </c>
      <c r="W24" s="102" t="s">
        <v>1979</v>
      </c>
    </row>
    <row r="25">
      <c r="A25" s="102" t="s">
        <v>310</v>
      </c>
      <c r="B25" s="102" t="s">
        <v>3684</v>
      </c>
      <c r="C25" s="229" t="s">
        <v>3685</v>
      </c>
      <c r="D25" s="102" t="s">
        <v>3686</v>
      </c>
      <c r="E25" s="102" t="s">
        <v>314</v>
      </c>
      <c r="F25" s="102" t="s">
        <v>315</v>
      </c>
      <c r="G25" s="102" t="s">
        <v>2485</v>
      </c>
      <c r="H25" s="102" t="s">
        <v>2486</v>
      </c>
      <c r="I25" s="102" t="s">
        <v>284</v>
      </c>
      <c r="J25" s="102" t="s">
        <v>26</v>
      </c>
      <c r="L25" s="229" t="s">
        <v>3687</v>
      </c>
      <c r="M25" s="229" t="s">
        <v>3649</v>
      </c>
      <c r="O25" s="102">
        <v>1.0</v>
      </c>
      <c r="S25" s="102">
        <v>1800.0</v>
      </c>
      <c r="T25" s="244" t="str">
        <f>IF(ISNUMBER(MATCH(B25, 'Sprint 19'!B:B, 0)), "มาจาก Sprint 19", "")</f>
        <v/>
      </c>
      <c r="U25" s="244" t="str">
        <f t="array" ref="U25">IF(ISNUMBER(MATCH(B25, 'Sprint 19'!B:B, 0)), INDEX('Sprint 19'!J:J, MATCH(B25, 'Sprint 19'!B:B, 0)), "")</f>
        <v/>
      </c>
      <c r="W25" s="102" t="s">
        <v>1979</v>
      </c>
    </row>
    <row r="26">
      <c r="A26" s="102" t="s">
        <v>276</v>
      </c>
      <c r="B26" s="102" t="s">
        <v>3148</v>
      </c>
      <c r="C26" s="229" t="s">
        <v>3149</v>
      </c>
      <c r="D26" s="102" t="s">
        <v>279</v>
      </c>
      <c r="E26" s="102" t="s">
        <v>280</v>
      </c>
      <c r="F26" s="102" t="s">
        <v>281</v>
      </c>
      <c r="G26" s="102" t="s">
        <v>1987</v>
      </c>
      <c r="H26" s="102" t="s">
        <v>1988</v>
      </c>
      <c r="I26" s="102" t="s">
        <v>284</v>
      </c>
      <c r="J26" s="102" t="s">
        <v>63</v>
      </c>
      <c r="L26" s="229" t="s">
        <v>2980</v>
      </c>
      <c r="M26" s="229" t="s">
        <v>2980</v>
      </c>
      <c r="O26" s="230"/>
      <c r="S26" s="230"/>
      <c r="T26" s="244" t="str">
        <f>IF(ISNUMBER(MATCH(B26, 'Sprint 19'!B:B, 0)), "มาจาก Sprint 19", "")</f>
        <v/>
      </c>
      <c r="U26" s="244" t="str">
        <f t="array" ref="U26">IF(ISNUMBER(MATCH(B26, 'Sprint 19'!B:B, 0)), INDEX('Sprint 19'!J:J, MATCH(B26, 'Sprint 19'!B:B, 0)), "")</f>
        <v/>
      </c>
      <c r="W26" s="102" t="s">
        <v>1085</v>
      </c>
    </row>
    <row r="27">
      <c r="A27" s="102" t="s">
        <v>276</v>
      </c>
      <c r="B27" s="102" t="s">
        <v>3151</v>
      </c>
      <c r="C27" s="229" t="s">
        <v>3152</v>
      </c>
      <c r="D27" s="102" t="s">
        <v>279</v>
      </c>
      <c r="E27" s="102" t="s">
        <v>280</v>
      </c>
      <c r="F27" s="102" t="s">
        <v>281</v>
      </c>
      <c r="G27" s="102" t="s">
        <v>1987</v>
      </c>
      <c r="H27" s="102" t="s">
        <v>1988</v>
      </c>
      <c r="I27" s="102" t="s">
        <v>284</v>
      </c>
      <c r="J27" s="102" t="s">
        <v>63</v>
      </c>
      <c r="L27" s="229" t="s">
        <v>2980</v>
      </c>
      <c r="M27" s="229" t="s">
        <v>2980</v>
      </c>
      <c r="O27" s="230"/>
      <c r="S27" s="230"/>
      <c r="T27" s="244" t="str">
        <f>IF(ISNUMBER(MATCH(B27, 'Sprint 19'!B:B, 0)), "มาจาก Sprint 19", "")</f>
        <v/>
      </c>
      <c r="U27" s="244" t="str">
        <f t="array" ref="U27">IF(ISNUMBER(MATCH(B27, 'Sprint 19'!B:B, 0)), INDEX('Sprint 19'!J:J, MATCH(B27, 'Sprint 19'!B:B, 0)), "")</f>
        <v/>
      </c>
      <c r="W27" s="102" t="s">
        <v>1085</v>
      </c>
    </row>
    <row r="28">
      <c r="A28" s="102" t="s">
        <v>276</v>
      </c>
      <c r="B28" s="102" t="s">
        <v>3154</v>
      </c>
      <c r="C28" s="229" t="s">
        <v>3155</v>
      </c>
      <c r="D28" s="102" t="s">
        <v>279</v>
      </c>
      <c r="E28" s="102" t="s">
        <v>280</v>
      </c>
      <c r="F28" s="102" t="s">
        <v>281</v>
      </c>
      <c r="G28" s="102" t="s">
        <v>1987</v>
      </c>
      <c r="H28" s="102" t="s">
        <v>1988</v>
      </c>
      <c r="I28" s="102" t="s">
        <v>284</v>
      </c>
      <c r="J28" s="102" t="s">
        <v>63</v>
      </c>
      <c r="L28" s="229" t="s">
        <v>2980</v>
      </c>
      <c r="M28" s="229" t="s">
        <v>2980</v>
      </c>
      <c r="O28" s="230"/>
      <c r="S28" s="230"/>
      <c r="T28" s="244" t="str">
        <f>IF(ISNUMBER(MATCH(B28, 'Sprint 19'!B:B, 0)), "มาจาก Sprint 19", "")</f>
        <v/>
      </c>
      <c r="U28" s="244" t="str">
        <f t="array" ref="U28">IF(ISNUMBER(MATCH(B28, 'Sprint 19'!B:B, 0)), INDEX('Sprint 19'!J:J, MATCH(B28, 'Sprint 19'!B:B, 0)), "")</f>
        <v/>
      </c>
      <c r="W28" s="102" t="s">
        <v>1085</v>
      </c>
    </row>
    <row r="29">
      <c r="A29" s="102" t="s">
        <v>276</v>
      </c>
      <c r="B29" s="102" t="s">
        <v>3157</v>
      </c>
      <c r="C29" s="229" t="s">
        <v>3158</v>
      </c>
      <c r="D29" s="102" t="s">
        <v>279</v>
      </c>
      <c r="E29" s="102" t="s">
        <v>521</v>
      </c>
      <c r="F29" s="102" t="s">
        <v>522</v>
      </c>
      <c r="G29" s="102" t="s">
        <v>1987</v>
      </c>
      <c r="H29" s="102" t="s">
        <v>1988</v>
      </c>
      <c r="I29" s="102" t="s">
        <v>284</v>
      </c>
      <c r="J29" s="102" t="s">
        <v>63</v>
      </c>
      <c r="L29" s="229" t="s">
        <v>2980</v>
      </c>
      <c r="M29" s="229" t="s">
        <v>3413</v>
      </c>
      <c r="O29" s="230"/>
      <c r="S29" s="230"/>
      <c r="T29" s="244" t="str">
        <f>IF(ISNUMBER(MATCH(B29, 'Sprint 19'!B:B, 0)), "มาจาก Sprint 19", "")</f>
        <v/>
      </c>
      <c r="U29" s="244" t="str">
        <f t="array" ref="U29">IF(ISNUMBER(MATCH(B29, 'Sprint 19'!B:B, 0)), INDEX('Sprint 19'!J:J, MATCH(B29, 'Sprint 19'!B:B, 0)), "")</f>
        <v/>
      </c>
      <c r="W29" s="102" t="s">
        <v>1085</v>
      </c>
    </row>
    <row r="30">
      <c r="A30" s="102" t="s">
        <v>276</v>
      </c>
      <c r="B30" s="102" t="s">
        <v>3159</v>
      </c>
      <c r="C30" s="229" t="s">
        <v>3160</v>
      </c>
      <c r="D30" s="102" t="s">
        <v>279</v>
      </c>
      <c r="E30" s="102" t="s">
        <v>521</v>
      </c>
      <c r="F30" s="102" t="s">
        <v>522</v>
      </c>
      <c r="G30" s="102" t="s">
        <v>1987</v>
      </c>
      <c r="H30" s="102" t="s">
        <v>1988</v>
      </c>
      <c r="I30" s="102" t="s">
        <v>284</v>
      </c>
      <c r="J30" s="102" t="s">
        <v>63</v>
      </c>
      <c r="L30" s="229" t="s">
        <v>2980</v>
      </c>
      <c r="M30" s="229" t="s">
        <v>3413</v>
      </c>
      <c r="O30" s="230"/>
      <c r="S30" s="230"/>
      <c r="T30" s="244" t="str">
        <f>IF(ISNUMBER(MATCH(B30, 'Sprint 19'!B:B, 0)), "มาจาก Sprint 19", "")</f>
        <v/>
      </c>
      <c r="U30" s="244" t="str">
        <f t="array" ref="U30">IF(ISNUMBER(MATCH(B30, 'Sprint 19'!B:B, 0)), INDEX('Sprint 19'!J:J, MATCH(B30, 'Sprint 19'!B:B, 0)), "")</f>
        <v/>
      </c>
      <c r="W30" s="102" t="s">
        <v>1085</v>
      </c>
    </row>
    <row r="31">
      <c r="A31" s="102" t="s">
        <v>276</v>
      </c>
      <c r="B31" s="102" t="s">
        <v>2978</v>
      </c>
      <c r="C31" s="229" t="s">
        <v>2979</v>
      </c>
      <c r="D31" s="102" t="s">
        <v>279</v>
      </c>
      <c r="E31" s="102" t="s">
        <v>280</v>
      </c>
      <c r="F31" s="102" t="s">
        <v>281</v>
      </c>
      <c r="G31" s="102" t="s">
        <v>1987</v>
      </c>
      <c r="H31" s="102" t="s">
        <v>1988</v>
      </c>
      <c r="I31" s="102" t="s">
        <v>284</v>
      </c>
      <c r="J31" s="102" t="s">
        <v>63</v>
      </c>
      <c r="L31" s="229" t="s">
        <v>2980</v>
      </c>
      <c r="M31" s="229" t="s">
        <v>2980</v>
      </c>
      <c r="O31" s="230"/>
      <c r="S31" s="230"/>
      <c r="T31" s="244" t="str">
        <f>IF(ISNUMBER(MATCH(B31, 'Sprint 19'!B:B, 0)), "มาจาก Sprint 19", "")</f>
        <v/>
      </c>
      <c r="U31" s="244" t="str">
        <f t="array" ref="U31">IF(ISNUMBER(MATCH(B31, 'Sprint 19'!B:B, 0)), INDEX('Sprint 19'!J:J, MATCH(B31, 'Sprint 19'!B:B, 0)), "")</f>
        <v/>
      </c>
      <c r="W31" s="102" t="s">
        <v>1085</v>
      </c>
    </row>
    <row r="32">
      <c r="A32" s="102" t="s">
        <v>276</v>
      </c>
      <c r="B32" s="102" t="s">
        <v>2981</v>
      </c>
      <c r="C32" s="229" t="s">
        <v>2982</v>
      </c>
      <c r="D32" s="102" t="s">
        <v>279</v>
      </c>
      <c r="E32" s="102" t="s">
        <v>280</v>
      </c>
      <c r="F32" s="102" t="s">
        <v>281</v>
      </c>
      <c r="G32" s="102" t="s">
        <v>1987</v>
      </c>
      <c r="H32" s="102" t="s">
        <v>1988</v>
      </c>
      <c r="I32" s="102" t="s">
        <v>284</v>
      </c>
      <c r="J32" s="102" t="s">
        <v>63</v>
      </c>
      <c r="L32" s="229" t="s">
        <v>2980</v>
      </c>
      <c r="M32" s="229" t="s">
        <v>2980</v>
      </c>
      <c r="O32" s="230"/>
      <c r="S32" s="230"/>
      <c r="T32" s="244" t="str">
        <f>IF(ISNUMBER(MATCH(B32, 'Sprint 19'!B:B, 0)), "มาจาก Sprint 19", "")</f>
        <v/>
      </c>
      <c r="U32" s="244" t="str">
        <f t="array" ref="U32">IF(ISNUMBER(MATCH(B32, 'Sprint 19'!B:B, 0)), INDEX('Sprint 19'!J:J, MATCH(B32, 'Sprint 19'!B:B, 0)), "")</f>
        <v/>
      </c>
      <c r="W32" s="102" t="s">
        <v>1085</v>
      </c>
    </row>
    <row r="33">
      <c r="A33" s="102" t="s">
        <v>276</v>
      </c>
      <c r="B33" s="102" t="s">
        <v>3164</v>
      </c>
      <c r="C33" s="229" t="s">
        <v>3165</v>
      </c>
      <c r="D33" s="102" t="s">
        <v>279</v>
      </c>
      <c r="E33" s="102" t="s">
        <v>280</v>
      </c>
      <c r="F33" s="102" t="s">
        <v>281</v>
      </c>
      <c r="G33" s="102" t="s">
        <v>1987</v>
      </c>
      <c r="H33" s="102" t="s">
        <v>1988</v>
      </c>
      <c r="I33" s="102" t="s">
        <v>284</v>
      </c>
      <c r="J33" s="102" t="s">
        <v>63</v>
      </c>
      <c r="L33" s="229" t="s">
        <v>2980</v>
      </c>
      <c r="M33" s="229" t="s">
        <v>2980</v>
      </c>
      <c r="O33" s="230"/>
      <c r="S33" s="230"/>
      <c r="T33" s="244" t="str">
        <f>IF(ISNUMBER(MATCH(B33, 'Sprint 19'!B:B, 0)), "มาจาก Sprint 19", "")</f>
        <v/>
      </c>
      <c r="U33" s="244" t="str">
        <f t="array" ref="U33">IF(ISNUMBER(MATCH(B33, 'Sprint 19'!B:B, 0)), INDEX('Sprint 19'!J:J, MATCH(B33, 'Sprint 19'!B:B, 0)), "")</f>
        <v/>
      </c>
      <c r="W33" s="102" t="s">
        <v>1085</v>
      </c>
    </row>
    <row r="34">
      <c r="A34" s="102" t="s">
        <v>276</v>
      </c>
      <c r="B34" s="102" t="s">
        <v>3167</v>
      </c>
      <c r="C34" s="229" t="s">
        <v>3168</v>
      </c>
      <c r="D34" s="102" t="s">
        <v>291</v>
      </c>
      <c r="E34" s="102" t="s">
        <v>280</v>
      </c>
      <c r="F34" s="102" t="s">
        <v>281</v>
      </c>
      <c r="G34" s="102" t="s">
        <v>1987</v>
      </c>
      <c r="H34" s="102" t="s">
        <v>1988</v>
      </c>
      <c r="I34" s="102" t="s">
        <v>284</v>
      </c>
      <c r="J34" s="102" t="s">
        <v>355</v>
      </c>
      <c r="L34" s="229" t="s">
        <v>2980</v>
      </c>
      <c r="M34" s="229" t="s">
        <v>3688</v>
      </c>
      <c r="O34" s="230"/>
      <c r="S34" s="230"/>
      <c r="T34" s="244" t="str">
        <f>IF(ISNUMBER(MATCH(B34, 'Sprint 19'!B:B, 0)), "มาจาก Sprint 19", "")</f>
        <v/>
      </c>
      <c r="U34" s="244" t="str">
        <f t="array" ref="U34">IF(ISNUMBER(MATCH(B34, 'Sprint 19'!B:B, 0)), INDEX('Sprint 19'!J:J, MATCH(B34, 'Sprint 19'!B:B, 0)), "")</f>
        <v/>
      </c>
      <c r="W34" s="102" t="s">
        <v>1085</v>
      </c>
    </row>
    <row r="35">
      <c r="A35" s="102" t="s">
        <v>276</v>
      </c>
      <c r="B35" s="102" t="s">
        <v>3170</v>
      </c>
      <c r="C35" s="229" t="s">
        <v>3171</v>
      </c>
      <c r="D35" s="102" t="s">
        <v>291</v>
      </c>
      <c r="E35" s="102" t="s">
        <v>280</v>
      </c>
      <c r="F35" s="102" t="s">
        <v>281</v>
      </c>
      <c r="G35" s="102" t="s">
        <v>1987</v>
      </c>
      <c r="H35" s="102" t="s">
        <v>1988</v>
      </c>
      <c r="I35" s="102" t="s">
        <v>284</v>
      </c>
      <c r="J35" s="102" t="s">
        <v>63</v>
      </c>
      <c r="L35" s="229" t="s">
        <v>2980</v>
      </c>
      <c r="M35" s="229" t="s">
        <v>2980</v>
      </c>
      <c r="O35" s="230"/>
      <c r="S35" s="230"/>
      <c r="T35" s="244" t="str">
        <f>IF(ISNUMBER(MATCH(B35, 'Sprint 19'!B:B, 0)), "มาจาก Sprint 19", "")</f>
        <v/>
      </c>
      <c r="U35" s="244" t="str">
        <f t="array" ref="U35">IF(ISNUMBER(MATCH(B35, 'Sprint 19'!B:B, 0)), INDEX('Sprint 19'!J:J, MATCH(B35, 'Sprint 19'!B:B, 0)), "")</f>
        <v/>
      </c>
      <c r="W35" s="102" t="s">
        <v>1085</v>
      </c>
    </row>
    <row r="36">
      <c r="A36" s="102" t="s">
        <v>276</v>
      </c>
      <c r="B36" s="102" t="s">
        <v>3173</v>
      </c>
      <c r="C36" s="229" t="s">
        <v>3174</v>
      </c>
      <c r="D36" s="102" t="s">
        <v>291</v>
      </c>
      <c r="E36" s="102" t="s">
        <v>280</v>
      </c>
      <c r="F36" s="102" t="s">
        <v>281</v>
      </c>
      <c r="G36" s="102" t="s">
        <v>1987</v>
      </c>
      <c r="H36" s="102" t="s">
        <v>1988</v>
      </c>
      <c r="I36" s="102" t="s">
        <v>284</v>
      </c>
      <c r="J36" s="102" t="s">
        <v>355</v>
      </c>
      <c r="L36" s="229" t="s">
        <v>2980</v>
      </c>
      <c r="M36" s="229" t="s">
        <v>3689</v>
      </c>
      <c r="O36" s="230"/>
      <c r="S36" s="230"/>
      <c r="T36" s="244" t="str">
        <f>IF(ISNUMBER(MATCH(B36, 'Sprint 19'!B:B, 0)), "มาจาก Sprint 19", "")</f>
        <v/>
      </c>
      <c r="U36" s="244" t="str">
        <f t="array" ref="U36">IF(ISNUMBER(MATCH(B36, 'Sprint 19'!B:B, 0)), INDEX('Sprint 19'!J:J, MATCH(B36, 'Sprint 19'!B:B, 0)), "")</f>
        <v/>
      </c>
      <c r="W36" s="102" t="s">
        <v>1085</v>
      </c>
    </row>
    <row r="37">
      <c r="A37" s="102" t="s">
        <v>276</v>
      </c>
      <c r="B37" s="102" t="s">
        <v>3175</v>
      </c>
      <c r="C37" s="229" t="s">
        <v>3176</v>
      </c>
      <c r="D37" s="102" t="s">
        <v>291</v>
      </c>
      <c r="E37" s="102" t="s">
        <v>521</v>
      </c>
      <c r="F37" s="102" t="s">
        <v>522</v>
      </c>
      <c r="G37" s="102" t="s">
        <v>1987</v>
      </c>
      <c r="H37" s="102" t="s">
        <v>1988</v>
      </c>
      <c r="I37" s="102" t="s">
        <v>284</v>
      </c>
      <c r="J37" s="102" t="s">
        <v>34</v>
      </c>
      <c r="L37" s="229" t="s">
        <v>2980</v>
      </c>
      <c r="M37" s="229" t="s">
        <v>3690</v>
      </c>
      <c r="O37" s="230"/>
      <c r="S37" s="230"/>
      <c r="T37" s="244" t="str">
        <f>IF(ISNUMBER(MATCH(B37, 'Sprint 19'!B:B, 0)), "มาจาก Sprint 19", "")</f>
        <v/>
      </c>
      <c r="U37" s="244" t="str">
        <f t="array" ref="U37">IF(ISNUMBER(MATCH(B37, 'Sprint 19'!B:B, 0)), INDEX('Sprint 19'!J:J, MATCH(B37, 'Sprint 19'!B:B, 0)), "")</f>
        <v/>
      </c>
      <c r="W37" s="102" t="s">
        <v>1085</v>
      </c>
    </row>
    <row r="38">
      <c r="A38" s="102" t="s">
        <v>276</v>
      </c>
      <c r="B38" s="102" t="s">
        <v>2984</v>
      </c>
      <c r="C38" s="229" t="s">
        <v>2985</v>
      </c>
      <c r="D38" s="102" t="s">
        <v>291</v>
      </c>
      <c r="E38" s="102" t="s">
        <v>280</v>
      </c>
      <c r="F38" s="102" t="s">
        <v>281</v>
      </c>
      <c r="G38" s="102" t="s">
        <v>1987</v>
      </c>
      <c r="H38" s="102" t="s">
        <v>1988</v>
      </c>
      <c r="I38" s="102" t="s">
        <v>284</v>
      </c>
      <c r="J38" s="102" t="s">
        <v>34</v>
      </c>
      <c r="L38" s="229" t="s">
        <v>2980</v>
      </c>
      <c r="M38" s="229" t="s">
        <v>3691</v>
      </c>
      <c r="O38" s="230"/>
      <c r="S38" s="230"/>
      <c r="T38" s="244" t="str">
        <f>IF(ISNUMBER(MATCH(B38, 'Sprint 19'!B:B, 0)), "มาจาก Sprint 19", "")</f>
        <v/>
      </c>
      <c r="U38" s="244" t="str">
        <f t="array" ref="U38">IF(ISNUMBER(MATCH(B38, 'Sprint 19'!B:B, 0)), INDEX('Sprint 19'!J:J, MATCH(B38, 'Sprint 19'!B:B, 0)), "")</f>
        <v/>
      </c>
      <c r="W38" s="102" t="s">
        <v>1085</v>
      </c>
    </row>
    <row r="39">
      <c r="A39" s="102" t="s">
        <v>276</v>
      </c>
      <c r="B39" s="102" t="s">
        <v>3177</v>
      </c>
      <c r="C39" s="229" t="s">
        <v>3178</v>
      </c>
      <c r="D39" s="102" t="s">
        <v>291</v>
      </c>
      <c r="E39" s="102" t="s">
        <v>521</v>
      </c>
      <c r="F39" s="102" t="s">
        <v>522</v>
      </c>
      <c r="G39" s="102" t="s">
        <v>1987</v>
      </c>
      <c r="H39" s="102" t="s">
        <v>1988</v>
      </c>
      <c r="I39" s="102" t="s">
        <v>284</v>
      </c>
      <c r="J39" s="102" t="s">
        <v>34</v>
      </c>
      <c r="L39" s="229" t="s">
        <v>2980</v>
      </c>
      <c r="M39" s="229" t="s">
        <v>3692</v>
      </c>
      <c r="O39" s="230"/>
      <c r="S39" s="230"/>
      <c r="T39" s="244" t="str">
        <f>IF(ISNUMBER(MATCH(B39, 'Sprint 19'!B:B, 0)), "มาจาก Sprint 19", "")</f>
        <v/>
      </c>
      <c r="U39" s="244" t="str">
        <f t="array" ref="U39">IF(ISNUMBER(MATCH(B39, 'Sprint 19'!B:B, 0)), INDEX('Sprint 19'!J:J, MATCH(B39, 'Sprint 19'!B:B, 0)), "")</f>
        <v/>
      </c>
      <c r="W39" s="102" t="s">
        <v>1085</v>
      </c>
    </row>
    <row r="40">
      <c r="A40" s="102" t="s">
        <v>276</v>
      </c>
      <c r="B40" s="102" t="s">
        <v>2987</v>
      </c>
      <c r="C40" s="229" t="s">
        <v>2988</v>
      </c>
      <c r="D40" s="102" t="s">
        <v>291</v>
      </c>
      <c r="E40" s="102" t="s">
        <v>280</v>
      </c>
      <c r="F40" s="102" t="s">
        <v>281</v>
      </c>
      <c r="G40" s="102" t="s">
        <v>1987</v>
      </c>
      <c r="H40" s="102" t="s">
        <v>1988</v>
      </c>
      <c r="I40" s="102" t="s">
        <v>284</v>
      </c>
      <c r="J40" s="102" t="s">
        <v>34</v>
      </c>
      <c r="L40" s="229" t="s">
        <v>2980</v>
      </c>
      <c r="M40" s="229" t="s">
        <v>3693</v>
      </c>
      <c r="O40" s="230"/>
      <c r="S40" s="230"/>
      <c r="T40" s="244" t="str">
        <f>IF(ISNUMBER(MATCH(B40, 'Sprint 19'!B:B, 0)), "มาจาก Sprint 19", "")</f>
        <v/>
      </c>
      <c r="U40" s="244" t="str">
        <f t="array" ref="U40">IF(ISNUMBER(MATCH(B40, 'Sprint 19'!B:B, 0)), INDEX('Sprint 19'!J:J, MATCH(B40, 'Sprint 19'!B:B, 0)), "")</f>
        <v/>
      </c>
      <c r="W40" s="102" t="s">
        <v>1085</v>
      </c>
    </row>
    <row r="41">
      <c r="A41" s="102" t="s">
        <v>276</v>
      </c>
      <c r="B41" s="102" t="s">
        <v>3179</v>
      </c>
      <c r="C41" s="229" t="s">
        <v>3180</v>
      </c>
      <c r="D41" s="102" t="s">
        <v>291</v>
      </c>
      <c r="E41" s="102" t="s">
        <v>280</v>
      </c>
      <c r="F41" s="102" t="s">
        <v>281</v>
      </c>
      <c r="G41" s="102" t="s">
        <v>1987</v>
      </c>
      <c r="H41" s="102" t="s">
        <v>1988</v>
      </c>
      <c r="I41" s="102" t="s">
        <v>284</v>
      </c>
      <c r="J41" s="102" t="s">
        <v>355</v>
      </c>
      <c r="L41" s="229" t="s">
        <v>2980</v>
      </c>
      <c r="M41" s="229" t="s">
        <v>3694</v>
      </c>
      <c r="O41" s="230"/>
      <c r="S41" s="230"/>
      <c r="T41" s="244" t="str">
        <f>IF(ISNUMBER(MATCH(B41, 'Sprint 19'!B:B, 0)), "มาจาก Sprint 19", "")</f>
        <v/>
      </c>
      <c r="U41" s="244" t="str">
        <f t="array" ref="U41">IF(ISNUMBER(MATCH(B41, 'Sprint 19'!B:B, 0)), INDEX('Sprint 19'!J:J, MATCH(B41, 'Sprint 19'!B:B, 0)), "")</f>
        <v/>
      </c>
      <c r="W41" s="102" t="s">
        <v>1085</v>
      </c>
    </row>
    <row r="42">
      <c r="A42" s="102" t="s">
        <v>276</v>
      </c>
      <c r="B42" s="102" t="s">
        <v>2488</v>
      </c>
      <c r="C42" s="229" t="s">
        <v>2489</v>
      </c>
      <c r="D42" s="102" t="s">
        <v>347</v>
      </c>
      <c r="G42" s="102" t="s">
        <v>1987</v>
      </c>
      <c r="H42" s="102" t="s">
        <v>1988</v>
      </c>
      <c r="I42" s="102" t="s">
        <v>284</v>
      </c>
      <c r="J42" s="102" t="s">
        <v>63</v>
      </c>
      <c r="L42" s="229" t="s">
        <v>2490</v>
      </c>
      <c r="M42" s="229" t="s">
        <v>2477</v>
      </c>
      <c r="O42" s="230"/>
      <c r="S42" s="230"/>
      <c r="T42" s="244" t="str">
        <f>IF(ISNUMBER(MATCH(B42, 'Sprint 19'!B:B, 0)), "มาจาก Sprint 19", "")</f>
        <v/>
      </c>
      <c r="U42" s="244" t="str">
        <f t="array" ref="U42">IF(ISNUMBER(MATCH(B42, 'Sprint 19'!B:B, 0)), INDEX('Sprint 19'!J:J, MATCH(B42, 'Sprint 19'!B:B, 0)), "")</f>
        <v/>
      </c>
      <c r="W42" s="102" t="s">
        <v>1085</v>
      </c>
    </row>
    <row r="43">
      <c r="A43" s="102" t="s">
        <v>276</v>
      </c>
      <c r="B43" s="102" t="s">
        <v>2492</v>
      </c>
      <c r="C43" s="229" t="s">
        <v>2493</v>
      </c>
      <c r="D43" s="102" t="s">
        <v>2030</v>
      </c>
      <c r="E43" s="102" t="s">
        <v>2494</v>
      </c>
      <c r="F43" s="102" t="s">
        <v>2495</v>
      </c>
      <c r="G43" s="102" t="s">
        <v>1987</v>
      </c>
      <c r="H43" s="102" t="s">
        <v>1988</v>
      </c>
      <c r="I43" s="102" t="s">
        <v>284</v>
      </c>
      <c r="J43" s="102" t="s">
        <v>34</v>
      </c>
      <c r="L43" s="229" t="s">
        <v>2490</v>
      </c>
      <c r="M43" s="229" t="s">
        <v>2477</v>
      </c>
      <c r="O43" s="230"/>
      <c r="S43" s="230"/>
      <c r="T43" s="244" t="str">
        <f>IF(ISNUMBER(MATCH(B43, 'Sprint 19'!B:B, 0)), "มาจาก Sprint 19", "")</f>
        <v/>
      </c>
      <c r="U43" s="244" t="str">
        <f t="array" ref="U43">IF(ISNUMBER(MATCH(B43, 'Sprint 19'!B:B, 0)), INDEX('Sprint 19'!J:J, MATCH(B43, 'Sprint 19'!B:B, 0)), "")</f>
        <v/>
      </c>
      <c r="W43" s="102" t="s">
        <v>1085</v>
      </c>
    </row>
    <row r="44">
      <c r="A44" s="102" t="s">
        <v>276</v>
      </c>
      <c r="B44" s="102" t="s">
        <v>2497</v>
      </c>
      <c r="C44" s="229" t="s">
        <v>2498</v>
      </c>
      <c r="D44" s="102" t="s">
        <v>347</v>
      </c>
      <c r="G44" s="102" t="s">
        <v>1987</v>
      </c>
      <c r="H44" s="102" t="s">
        <v>1988</v>
      </c>
      <c r="I44" s="102" t="s">
        <v>284</v>
      </c>
      <c r="J44" s="102" t="s">
        <v>63</v>
      </c>
      <c r="L44" s="229" t="s">
        <v>2490</v>
      </c>
      <c r="M44" s="229" t="s">
        <v>2989</v>
      </c>
      <c r="O44" s="230"/>
      <c r="S44" s="230"/>
      <c r="T44" s="244" t="str">
        <f>IF(ISNUMBER(MATCH(B44, 'Sprint 19'!B:B, 0)), "มาจาก Sprint 19", "")</f>
        <v/>
      </c>
      <c r="U44" s="244" t="str">
        <f t="array" ref="U44">IF(ISNUMBER(MATCH(B44, 'Sprint 19'!B:B, 0)), INDEX('Sprint 19'!J:J, MATCH(B44, 'Sprint 19'!B:B, 0)), "")</f>
        <v/>
      </c>
      <c r="W44" s="102" t="s">
        <v>1085</v>
      </c>
    </row>
    <row r="45">
      <c r="A45" s="102" t="s">
        <v>276</v>
      </c>
      <c r="B45" s="102" t="s">
        <v>2500</v>
      </c>
      <c r="C45" s="229" t="s">
        <v>2501</v>
      </c>
      <c r="D45" s="102" t="s">
        <v>2030</v>
      </c>
      <c r="E45" s="102" t="s">
        <v>2494</v>
      </c>
      <c r="F45" s="102" t="s">
        <v>2495</v>
      </c>
      <c r="G45" s="102" t="s">
        <v>1987</v>
      </c>
      <c r="H45" s="102" t="s">
        <v>1988</v>
      </c>
      <c r="I45" s="102" t="s">
        <v>284</v>
      </c>
      <c r="J45" s="102" t="s">
        <v>34</v>
      </c>
      <c r="L45" s="229" t="s">
        <v>2490</v>
      </c>
      <c r="M45" s="229" t="s">
        <v>2989</v>
      </c>
      <c r="O45" s="230"/>
      <c r="S45" s="230"/>
      <c r="T45" s="244" t="str">
        <f>IF(ISNUMBER(MATCH(B45, 'Sprint 19'!B:B, 0)), "มาจาก Sprint 19", "")</f>
        <v/>
      </c>
      <c r="U45" s="244" t="str">
        <f t="array" ref="U45">IF(ISNUMBER(MATCH(B45, 'Sprint 19'!B:B, 0)), INDEX('Sprint 19'!J:J, MATCH(B45, 'Sprint 19'!B:B, 0)), "")</f>
        <v/>
      </c>
      <c r="W45" s="102" t="s">
        <v>1085</v>
      </c>
    </row>
    <row r="46">
      <c r="A46" s="102" t="s">
        <v>276</v>
      </c>
      <c r="B46" s="102" t="s">
        <v>3695</v>
      </c>
      <c r="C46" s="229" t="s">
        <v>3696</v>
      </c>
      <c r="D46" s="102" t="s">
        <v>398</v>
      </c>
      <c r="E46" s="102" t="s">
        <v>391</v>
      </c>
      <c r="F46" s="102" t="s">
        <v>392</v>
      </c>
      <c r="G46" s="102" t="s">
        <v>391</v>
      </c>
      <c r="H46" s="102" t="s">
        <v>392</v>
      </c>
      <c r="I46" s="102" t="s">
        <v>284</v>
      </c>
      <c r="J46" s="102" t="s">
        <v>26</v>
      </c>
      <c r="L46" s="229" t="s">
        <v>3697</v>
      </c>
      <c r="M46" s="229" t="s">
        <v>3698</v>
      </c>
      <c r="O46" s="230"/>
      <c r="S46" s="230"/>
      <c r="T46" s="244" t="str">
        <f>IF(ISNUMBER(MATCH(B46, 'Sprint 19'!B:B, 0)), "มาจาก Sprint 19", "")</f>
        <v/>
      </c>
      <c r="U46" s="244" t="str">
        <f t="array" ref="U46">IF(ISNUMBER(MATCH(B46, 'Sprint 19'!B:B, 0)), INDEX('Sprint 19'!J:J, MATCH(B46, 'Sprint 19'!B:B, 0)), "")</f>
        <v/>
      </c>
      <c r="W46" s="102" t="s">
        <v>2270</v>
      </c>
      <c r="X46" s="102" t="s">
        <v>2271</v>
      </c>
    </row>
    <row r="47">
      <c r="A47" s="102" t="s">
        <v>276</v>
      </c>
      <c r="B47" s="102" t="s">
        <v>3699</v>
      </c>
      <c r="C47" s="229" t="s">
        <v>3700</v>
      </c>
      <c r="D47" s="102" t="s">
        <v>398</v>
      </c>
      <c r="E47" s="102" t="s">
        <v>391</v>
      </c>
      <c r="F47" s="102" t="s">
        <v>392</v>
      </c>
      <c r="G47" s="102" t="s">
        <v>391</v>
      </c>
      <c r="H47" s="102" t="s">
        <v>392</v>
      </c>
      <c r="I47" s="102" t="s">
        <v>284</v>
      </c>
      <c r="J47" s="102" t="s">
        <v>26</v>
      </c>
      <c r="L47" s="229" t="s">
        <v>3697</v>
      </c>
      <c r="M47" s="229" t="s">
        <v>3701</v>
      </c>
      <c r="O47" s="230"/>
      <c r="S47" s="230"/>
      <c r="T47" s="244" t="str">
        <f>IF(ISNUMBER(MATCH(B47, 'Sprint 19'!B:B, 0)), "มาจาก Sprint 19", "")</f>
        <v/>
      </c>
      <c r="U47" s="244" t="str">
        <f t="array" ref="U47">IF(ISNUMBER(MATCH(B47, 'Sprint 19'!B:B, 0)), INDEX('Sprint 19'!J:J, MATCH(B47, 'Sprint 19'!B:B, 0)), "")</f>
        <v/>
      </c>
      <c r="W47" s="102" t="s">
        <v>2270</v>
      </c>
      <c r="X47" s="102" t="s">
        <v>2271</v>
      </c>
    </row>
    <row r="48">
      <c r="A48" s="102" t="s">
        <v>276</v>
      </c>
      <c r="B48" s="102" t="s">
        <v>3702</v>
      </c>
      <c r="C48" s="229" t="s">
        <v>3703</v>
      </c>
      <c r="D48" s="102" t="s">
        <v>398</v>
      </c>
      <c r="E48" s="102" t="s">
        <v>391</v>
      </c>
      <c r="F48" s="102" t="s">
        <v>392</v>
      </c>
      <c r="G48" s="102" t="s">
        <v>391</v>
      </c>
      <c r="H48" s="102" t="s">
        <v>392</v>
      </c>
      <c r="I48" s="102" t="s">
        <v>284</v>
      </c>
      <c r="J48" s="102" t="s">
        <v>26</v>
      </c>
      <c r="L48" s="229" t="s">
        <v>3697</v>
      </c>
      <c r="M48" s="229" t="s">
        <v>3704</v>
      </c>
      <c r="O48" s="230"/>
      <c r="S48" s="230"/>
      <c r="T48" s="244" t="str">
        <f>IF(ISNUMBER(MATCH(B48, 'Sprint 19'!B:B, 0)), "มาจาก Sprint 19", "")</f>
        <v/>
      </c>
      <c r="U48" s="244" t="str">
        <f t="array" ref="U48">IF(ISNUMBER(MATCH(B48, 'Sprint 19'!B:B, 0)), INDEX('Sprint 19'!J:J, MATCH(B48, 'Sprint 19'!B:B, 0)), "")</f>
        <v/>
      </c>
      <c r="W48" s="102" t="s">
        <v>2271</v>
      </c>
    </row>
    <row r="49">
      <c r="A49" s="102" t="s">
        <v>310</v>
      </c>
      <c r="B49" s="102" t="s">
        <v>3705</v>
      </c>
      <c r="C49" s="229" t="s">
        <v>3706</v>
      </c>
      <c r="D49" s="102" t="s">
        <v>3707</v>
      </c>
      <c r="E49" s="102" t="s">
        <v>556</v>
      </c>
      <c r="F49" s="102" t="s">
        <v>557</v>
      </c>
      <c r="G49" s="102" t="s">
        <v>282</v>
      </c>
      <c r="H49" s="102" t="s">
        <v>283</v>
      </c>
      <c r="I49" s="102" t="s">
        <v>284</v>
      </c>
      <c r="J49" s="102" t="s">
        <v>454</v>
      </c>
      <c r="L49" s="229" t="s">
        <v>3708</v>
      </c>
      <c r="M49" s="229" t="s">
        <v>3709</v>
      </c>
      <c r="N49" s="229" t="s">
        <v>2042</v>
      </c>
      <c r="O49" s="102">
        <v>2.0</v>
      </c>
      <c r="S49" s="102">
        <v>14400.0</v>
      </c>
      <c r="T49" s="244" t="str">
        <f>IF(ISNUMBER(MATCH(B49, 'Sprint 19'!B:B, 0)), "มาจาก Sprint 19", "")</f>
        <v/>
      </c>
      <c r="U49" s="244" t="str">
        <f t="array" ref="U49">IF(ISNUMBER(MATCH(B49, 'Sprint 19'!B:B, 0)), INDEX('Sprint 19'!J:J, MATCH(B49, 'Sprint 19'!B:B, 0)), "")</f>
        <v/>
      </c>
      <c r="W49" s="102" t="s">
        <v>1085</v>
      </c>
    </row>
    <row r="50">
      <c r="A50" s="102" t="s">
        <v>310</v>
      </c>
      <c r="B50" s="102" t="s">
        <v>3429</v>
      </c>
      <c r="C50" s="229" t="s">
        <v>3430</v>
      </c>
      <c r="D50" s="102" t="s">
        <v>3431</v>
      </c>
      <c r="E50" s="102" t="s">
        <v>513</v>
      </c>
      <c r="F50" s="102" t="s">
        <v>514</v>
      </c>
      <c r="G50" s="102" t="s">
        <v>282</v>
      </c>
      <c r="H50" s="102" t="s">
        <v>283</v>
      </c>
      <c r="I50" s="102" t="s">
        <v>284</v>
      </c>
      <c r="J50" s="102" t="s">
        <v>34</v>
      </c>
      <c r="L50" s="229" t="s">
        <v>3432</v>
      </c>
      <c r="M50" s="229" t="s">
        <v>3394</v>
      </c>
      <c r="O50" s="102">
        <v>5.0</v>
      </c>
      <c r="S50" s="102">
        <v>86400.0</v>
      </c>
      <c r="T50" s="244" t="str">
        <f>IF(ISNUMBER(MATCH(B50, 'Sprint 19'!B:B, 0)), "มาจาก Sprint 19", "")</f>
        <v/>
      </c>
      <c r="U50" s="244" t="str">
        <f t="array" ref="U50">IF(ISNUMBER(MATCH(B50, 'Sprint 19'!B:B, 0)), INDEX('Sprint 19'!J:J, MATCH(B50, 'Sprint 19'!B:B, 0)), "")</f>
        <v/>
      </c>
      <c r="W50" s="102" t="s">
        <v>1085</v>
      </c>
    </row>
    <row r="51">
      <c r="A51" s="102" t="s">
        <v>276</v>
      </c>
      <c r="B51" s="102" t="s">
        <v>3181</v>
      </c>
      <c r="C51" s="229" t="s">
        <v>3182</v>
      </c>
      <c r="D51" s="102" t="s">
        <v>279</v>
      </c>
      <c r="E51" s="102" t="s">
        <v>280</v>
      </c>
      <c r="F51" s="102" t="s">
        <v>281</v>
      </c>
      <c r="G51" s="102" t="s">
        <v>1987</v>
      </c>
      <c r="H51" s="102" t="s">
        <v>1988</v>
      </c>
      <c r="I51" s="102" t="s">
        <v>284</v>
      </c>
      <c r="J51" s="102" t="s">
        <v>63</v>
      </c>
      <c r="L51" s="229" t="s">
        <v>3183</v>
      </c>
      <c r="M51" s="229" t="s">
        <v>3183</v>
      </c>
      <c r="O51" s="230"/>
      <c r="S51" s="230"/>
      <c r="T51" s="244" t="str">
        <f>IF(ISNUMBER(MATCH(B51, 'Sprint 19'!B:B, 0)), "มาจาก Sprint 19", "")</f>
        <v/>
      </c>
      <c r="U51" s="244" t="str">
        <f t="array" ref="U51">IF(ISNUMBER(MATCH(B51, 'Sprint 19'!B:B, 0)), INDEX('Sprint 19'!J:J, MATCH(B51, 'Sprint 19'!B:B, 0)), "")</f>
        <v/>
      </c>
      <c r="W51" s="102" t="s">
        <v>1085</v>
      </c>
    </row>
    <row r="52">
      <c r="A52" s="102" t="s">
        <v>276</v>
      </c>
      <c r="B52" s="102" t="s">
        <v>3185</v>
      </c>
      <c r="C52" s="229" t="s">
        <v>3186</v>
      </c>
      <c r="D52" s="102" t="s">
        <v>291</v>
      </c>
      <c r="E52" s="102" t="s">
        <v>280</v>
      </c>
      <c r="F52" s="102" t="s">
        <v>281</v>
      </c>
      <c r="G52" s="102" t="s">
        <v>1987</v>
      </c>
      <c r="H52" s="102" t="s">
        <v>1988</v>
      </c>
      <c r="I52" s="102" t="s">
        <v>284</v>
      </c>
      <c r="J52" s="102" t="s">
        <v>355</v>
      </c>
      <c r="L52" s="229" t="s">
        <v>3183</v>
      </c>
      <c r="M52" s="229" t="s">
        <v>3710</v>
      </c>
      <c r="O52" s="230"/>
      <c r="S52" s="230"/>
      <c r="T52" s="244" t="str">
        <f>IF(ISNUMBER(MATCH(B52, 'Sprint 19'!B:B, 0)), "มาจาก Sprint 19", "")</f>
        <v/>
      </c>
      <c r="U52" s="244" t="str">
        <f t="array" ref="U52">IF(ISNUMBER(MATCH(B52, 'Sprint 19'!B:B, 0)), INDEX('Sprint 19'!J:J, MATCH(B52, 'Sprint 19'!B:B, 0)), "")</f>
        <v/>
      </c>
      <c r="W52" s="102" t="s">
        <v>1085</v>
      </c>
    </row>
    <row r="53">
      <c r="A53" s="102" t="s">
        <v>332</v>
      </c>
      <c r="B53" s="102" t="s">
        <v>3711</v>
      </c>
      <c r="C53" s="229" t="s">
        <v>3712</v>
      </c>
      <c r="D53" s="102" t="s">
        <v>3713</v>
      </c>
      <c r="E53" s="102" t="s">
        <v>495</v>
      </c>
      <c r="F53" s="102" t="s">
        <v>496</v>
      </c>
      <c r="G53" s="102" t="s">
        <v>2494</v>
      </c>
      <c r="H53" s="102" t="s">
        <v>2495</v>
      </c>
      <c r="I53" s="102" t="s">
        <v>284</v>
      </c>
      <c r="J53" s="102" t="s">
        <v>2318</v>
      </c>
      <c r="L53" s="229" t="s">
        <v>3714</v>
      </c>
      <c r="M53" s="229" t="s">
        <v>3715</v>
      </c>
      <c r="O53" s="230"/>
      <c r="S53" s="230"/>
      <c r="T53" s="244" t="str">
        <f>IF(ISNUMBER(MATCH(B53, 'Sprint 19'!B:B, 0)), "มาจาก Sprint 19", "")</f>
        <v/>
      </c>
      <c r="U53" s="244" t="str">
        <f t="array" ref="U53">IF(ISNUMBER(MATCH(B53, 'Sprint 19'!B:B, 0)), INDEX('Sprint 19'!J:J, MATCH(B53, 'Sprint 19'!B:B, 0)), "")</f>
        <v/>
      </c>
      <c r="W53" s="102" t="s">
        <v>1085</v>
      </c>
    </row>
    <row r="54">
      <c r="A54" s="102" t="s">
        <v>310</v>
      </c>
      <c r="B54" s="102" t="s">
        <v>3716</v>
      </c>
      <c r="C54" s="229" t="s">
        <v>3717</v>
      </c>
      <c r="D54" s="102" t="s">
        <v>3718</v>
      </c>
      <c r="E54" s="102" t="s">
        <v>556</v>
      </c>
      <c r="F54" s="102" t="s">
        <v>557</v>
      </c>
      <c r="G54" s="102" t="s">
        <v>353</v>
      </c>
      <c r="H54" s="102" t="s">
        <v>354</v>
      </c>
      <c r="I54" s="102" t="s">
        <v>284</v>
      </c>
      <c r="J54" s="102" t="s">
        <v>26</v>
      </c>
      <c r="L54" s="229" t="s">
        <v>3719</v>
      </c>
      <c r="M54" s="229" t="s">
        <v>3720</v>
      </c>
      <c r="N54" s="229" t="s">
        <v>1352</v>
      </c>
      <c r="O54" s="102">
        <v>2.0</v>
      </c>
      <c r="S54" s="102">
        <v>14400.0</v>
      </c>
      <c r="T54" s="244" t="str">
        <f>IF(ISNUMBER(MATCH(B54, 'Sprint 19'!B:B, 0)), "มาจาก Sprint 19", "")</f>
        <v/>
      </c>
      <c r="U54" s="244" t="str">
        <f t="array" ref="U54">IF(ISNUMBER(MATCH(B54, 'Sprint 19'!B:B, 0)), INDEX('Sprint 19'!J:J, MATCH(B54, 'Sprint 19'!B:B, 0)), "")</f>
        <v/>
      </c>
      <c r="W54" s="102" t="s">
        <v>1259</v>
      </c>
    </row>
    <row r="55">
      <c r="A55" s="102" t="s">
        <v>310</v>
      </c>
      <c r="B55" s="102" t="s">
        <v>3721</v>
      </c>
      <c r="C55" s="229" t="s">
        <v>3722</v>
      </c>
      <c r="D55" s="102" t="s">
        <v>3723</v>
      </c>
      <c r="E55" s="102" t="s">
        <v>282</v>
      </c>
      <c r="F55" s="102" t="s">
        <v>283</v>
      </c>
      <c r="G55" s="102" t="s">
        <v>282</v>
      </c>
      <c r="H55" s="102" t="s">
        <v>283</v>
      </c>
      <c r="I55" s="102" t="s">
        <v>284</v>
      </c>
      <c r="J55" s="102" t="s">
        <v>34</v>
      </c>
      <c r="L55" s="229" t="s">
        <v>3724</v>
      </c>
      <c r="M55" s="229" t="s">
        <v>3725</v>
      </c>
      <c r="O55" s="102">
        <v>13.0</v>
      </c>
      <c r="S55" s="230"/>
      <c r="T55" s="244" t="str">
        <f>IF(ISNUMBER(MATCH(B55, 'Sprint 19'!B:B, 0)), "มาจาก Sprint 19", "")</f>
        <v/>
      </c>
      <c r="U55" s="244" t="str">
        <f t="array" ref="U55">IF(ISNUMBER(MATCH(B55, 'Sprint 19'!B:B, 0)), INDEX('Sprint 19'!J:J, MATCH(B55, 'Sprint 19'!B:B, 0)), "")</f>
        <v/>
      </c>
      <c r="W55" s="102" t="s">
        <v>1085</v>
      </c>
    </row>
    <row r="56">
      <c r="A56" s="102" t="s">
        <v>310</v>
      </c>
      <c r="B56" s="102" t="s">
        <v>3726</v>
      </c>
      <c r="C56" s="229" t="s">
        <v>3727</v>
      </c>
      <c r="D56" s="102" t="s">
        <v>3728</v>
      </c>
      <c r="E56" s="102" t="s">
        <v>282</v>
      </c>
      <c r="F56" s="102" t="s">
        <v>283</v>
      </c>
      <c r="G56" s="102" t="s">
        <v>362</v>
      </c>
      <c r="H56" s="102" t="s">
        <v>363</v>
      </c>
      <c r="I56" s="102" t="s">
        <v>318</v>
      </c>
      <c r="J56" s="102" t="s">
        <v>26</v>
      </c>
      <c r="L56" s="229" t="s">
        <v>3729</v>
      </c>
      <c r="M56" s="229" t="s">
        <v>3730</v>
      </c>
      <c r="N56" s="229" t="s">
        <v>2019</v>
      </c>
      <c r="O56" s="102">
        <v>1.0</v>
      </c>
      <c r="P56" s="102" t="s">
        <v>366</v>
      </c>
      <c r="Q56" s="102" t="s">
        <v>433</v>
      </c>
      <c r="R56" s="102" t="s">
        <v>368</v>
      </c>
      <c r="S56" s="230"/>
      <c r="T56" s="244" t="str">
        <f>IF(ISNUMBER(MATCH(B56, 'Sprint 19'!B:B, 0)), "มาจาก Sprint 19", "")</f>
        <v/>
      </c>
      <c r="U56" s="244" t="str">
        <f t="array" ref="U56">IF(ISNUMBER(MATCH(B56, 'Sprint 19'!B:B, 0)), INDEX('Sprint 19'!J:J, MATCH(B56, 'Sprint 19'!B:B, 0)), "")</f>
        <v/>
      </c>
      <c r="W56" s="102" t="s">
        <v>1979</v>
      </c>
    </row>
    <row r="57">
      <c r="A57" s="102" t="s">
        <v>332</v>
      </c>
      <c r="B57" s="102" t="s">
        <v>3731</v>
      </c>
      <c r="C57" s="229" t="s">
        <v>3732</v>
      </c>
      <c r="D57" s="102" t="s">
        <v>3733</v>
      </c>
      <c r="E57" s="102" t="s">
        <v>584</v>
      </c>
      <c r="F57" s="102" t="s">
        <v>585</v>
      </c>
      <c r="G57" s="102" t="s">
        <v>3288</v>
      </c>
      <c r="H57" s="102" t="s">
        <v>3289</v>
      </c>
      <c r="I57" s="102" t="s">
        <v>284</v>
      </c>
      <c r="J57" s="102" t="s">
        <v>336</v>
      </c>
      <c r="L57" s="229" t="s">
        <v>3734</v>
      </c>
      <c r="M57" s="229" t="s">
        <v>3735</v>
      </c>
      <c r="O57" s="102">
        <v>1.0</v>
      </c>
      <c r="S57" s="230"/>
      <c r="T57" s="244" t="str">
        <f>IF(ISNUMBER(MATCH(B57, 'Sprint 19'!B:B, 0)), "มาจาก Sprint 19", "")</f>
        <v/>
      </c>
      <c r="U57" s="244" t="str">
        <f t="array" ref="U57">IF(ISNUMBER(MATCH(B57, 'Sprint 19'!B:B, 0)), INDEX('Sprint 19'!J:J, MATCH(B57, 'Sprint 19'!B:B, 0)), "")</f>
        <v/>
      </c>
      <c r="W57" s="102" t="s">
        <v>1979</v>
      </c>
    </row>
    <row r="58">
      <c r="A58" s="102" t="s">
        <v>310</v>
      </c>
      <c r="B58" s="102" t="s">
        <v>3188</v>
      </c>
      <c r="C58" s="229" t="s">
        <v>3189</v>
      </c>
      <c r="D58" s="102" t="s">
        <v>3190</v>
      </c>
      <c r="E58" s="102" t="s">
        <v>584</v>
      </c>
      <c r="F58" s="102" t="s">
        <v>585</v>
      </c>
      <c r="G58" s="102" t="s">
        <v>353</v>
      </c>
      <c r="H58" s="102" t="s">
        <v>354</v>
      </c>
      <c r="I58" s="102" t="s">
        <v>284</v>
      </c>
      <c r="J58" s="102" t="s">
        <v>678</v>
      </c>
      <c r="L58" s="229" t="s">
        <v>3191</v>
      </c>
      <c r="M58" s="229" t="s">
        <v>3736</v>
      </c>
      <c r="O58" s="102">
        <v>1.0</v>
      </c>
      <c r="S58" s="102">
        <v>3600.0</v>
      </c>
      <c r="T58" s="244" t="str">
        <f>IF(ISNUMBER(MATCH(B58, 'Sprint 19'!B:B, 0)), "มาจาก Sprint 19", "")</f>
        <v/>
      </c>
      <c r="U58" s="244" t="str">
        <f t="array" ref="U58">IF(ISNUMBER(MATCH(B58, 'Sprint 19'!B:B, 0)), INDEX('Sprint 19'!J:J, MATCH(B58, 'Sprint 19'!B:B, 0)), "")</f>
        <v/>
      </c>
      <c r="W58" s="102" t="s">
        <v>2271</v>
      </c>
    </row>
    <row r="59">
      <c r="A59" s="102" t="s">
        <v>310</v>
      </c>
      <c r="B59" s="102" t="s">
        <v>3737</v>
      </c>
      <c r="C59" s="229" t="s">
        <v>3738</v>
      </c>
      <c r="D59" s="102" t="s">
        <v>3739</v>
      </c>
      <c r="E59" s="102" t="s">
        <v>564</v>
      </c>
      <c r="F59" s="102" t="s">
        <v>565</v>
      </c>
      <c r="G59" s="102" t="s">
        <v>362</v>
      </c>
      <c r="H59" s="102" t="s">
        <v>363</v>
      </c>
      <c r="I59" s="102" t="s">
        <v>284</v>
      </c>
      <c r="J59" s="102" t="s">
        <v>26</v>
      </c>
      <c r="L59" s="229" t="s">
        <v>3740</v>
      </c>
      <c r="M59" s="229" t="s">
        <v>3730</v>
      </c>
      <c r="O59" s="230"/>
      <c r="P59" s="102" t="s">
        <v>366</v>
      </c>
      <c r="Q59" s="102" t="s">
        <v>368</v>
      </c>
      <c r="S59" s="230"/>
      <c r="T59" s="244" t="str">
        <f>IF(ISNUMBER(MATCH(B59, 'Sprint 19'!B:B, 0)), "มาจาก Sprint 19", "")</f>
        <v/>
      </c>
      <c r="U59" s="244" t="str">
        <f t="array" ref="U59">IF(ISNUMBER(MATCH(B59, 'Sprint 19'!B:B, 0)), INDEX('Sprint 19'!J:J, MATCH(B59, 'Sprint 19'!B:B, 0)), "")</f>
        <v/>
      </c>
      <c r="W59" s="102" t="s">
        <v>1979</v>
      </c>
    </row>
    <row r="60">
      <c r="A60" s="102" t="s">
        <v>310</v>
      </c>
      <c r="B60" s="102" t="s">
        <v>3741</v>
      </c>
      <c r="C60" s="229" t="s">
        <v>3742</v>
      </c>
      <c r="D60" s="102" t="s">
        <v>3743</v>
      </c>
      <c r="E60" s="102" t="s">
        <v>564</v>
      </c>
      <c r="F60" s="102" t="s">
        <v>565</v>
      </c>
      <c r="G60" s="102" t="s">
        <v>362</v>
      </c>
      <c r="H60" s="102" t="s">
        <v>363</v>
      </c>
      <c r="I60" s="102" t="s">
        <v>284</v>
      </c>
      <c r="J60" s="102" t="s">
        <v>26</v>
      </c>
      <c r="L60" s="229" t="s">
        <v>3744</v>
      </c>
      <c r="M60" s="229" t="s">
        <v>3745</v>
      </c>
      <c r="N60" s="229" t="s">
        <v>3026</v>
      </c>
      <c r="O60" s="230"/>
      <c r="P60" s="102" t="s">
        <v>366</v>
      </c>
      <c r="Q60" s="102" t="s">
        <v>433</v>
      </c>
      <c r="R60" s="102" t="s">
        <v>368</v>
      </c>
      <c r="S60" s="230"/>
      <c r="T60" s="244" t="str">
        <f>IF(ISNUMBER(MATCH(B60, 'Sprint 19'!B:B, 0)), "มาจาก Sprint 19", "")</f>
        <v/>
      </c>
      <c r="U60" s="244" t="str">
        <f t="array" ref="U60">IF(ISNUMBER(MATCH(B60, 'Sprint 19'!B:B, 0)), INDEX('Sprint 19'!J:J, MATCH(B60, 'Sprint 19'!B:B, 0)), "")</f>
        <v/>
      </c>
      <c r="W60" s="102" t="s">
        <v>1979</v>
      </c>
    </row>
    <row r="61">
      <c r="A61" s="102" t="s">
        <v>310</v>
      </c>
      <c r="B61" s="102" t="s">
        <v>3746</v>
      </c>
      <c r="C61" s="229" t="s">
        <v>3747</v>
      </c>
      <c r="D61" s="102" t="s">
        <v>3748</v>
      </c>
      <c r="E61" s="102" t="s">
        <v>564</v>
      </c>
      <c r="F61" s="102" t="s">
        <v>565</v>
      </c>
      <c r="G61" s="102" t="s">
        <v>3749</v>
      </c>
      <c r="H61" s="102" t="s">
        <v>3750</v>
      </c>
      <c r="I61" s="102" t="s">
        <v>284</v>
      </c>
      <c r="J61" s="102" t="s">
        <v>26</v>
      </c>
      <c r="L61" s="229" t="s">
        <v>3751</v>
      </c>
      <c r="M61" s="229" t="s">
        <v>3752</v>
      </c>
      <c r="O61" s="230"/>
      <c r="S61" s="230"/>
      <c r="T61" s="244" t="str">
        <f>IF(ISNUMBER(MATCH(B61, 'Sprint 19'!B:B, 0)), "มาจาก Sprint 19", "")</f>
        <v/>
      </c>
      <c r="U61" s="244" t="str">
        <f t="array" ref="U61">IF(ISNUMBER(MATCH(B61, 'Sprint 19'!B:B, 0)), INDEX('Sprint 19'!J:J, MATCH(B61, 'Sprint 19'!B:B, 0)), "")</f>
        <v/>
      </c>
      <c r="W61" s="102" t="s">
        <v>1979</v>
      </c>
    </row>
    <row r="62">
      <c r="A62" s="102" t="s">
        <v>332</v>
      </c>
      <c r="B62" s="102" t="s">
        <v>3753</v>
      </c>
      <c r="C62" s="229" t="s">
        <v>3754</v>
      </c>
      <c r="D62" s="102" t="s">
        <v>3755</v>
      </c>
      <c r="E62" s="102" t="s">
        <v>513</v>
      </c>
      <c r="F62" s="102" t="s">
        <v>514</v>
      </c>
      <c r="G62" s="102" t="s">
        <v>3749</v>
      </c>
      <c r="H62" s="102" t="s">
        <v>3750</v>
      </c>
      <c r="I62" s="102" t="s">
        <v>284</v>
      </c>
      <c r="J62" s="102" t="s">
        <v>922</v>
      </c>
      <c r="L62" s="229" t="s">
        <v>3756</v>
      </c>
      <c r="M62" s="229" t="s">
        <v>3757</v>
      </c>
      <c r="N62" s="229" t="s">
        <v>2019</v>
      </c>
      <c r="O62" s="230"/>
      <c r="S62" s="230"/>
      <c r="T62" s="244" t="str">
        <f>IF(ISNUMBER(MATCH(B62, 'Sprint 19'!B:B, 0)), "มาจาก Sprint 19", "")</f>
        <v/>
      </c>
      <c r="U62" s="244" t="str">
        <f t="array" ref="U62">IF(ISNUMBER(MATCH(B62, 'Sprint 19'!B:B, 0)), INDEX('Sprint 19'!J:J, MATCH(B62, 'Sprint 19'!B:B, 0)), "")</f>
        <v/>
      </c>
      <c r="W62" s="102" t="s">
        <v>1979</v>
      </c>
    </row>
    <row r="63">
      <c r="A63" s="102" t="s">
        <v>332</v>
      </c>
      <c r="B63" s="102" t="s">
        <v>3758</v>
      </c>
      <c r="C63" s="229" t="s">
        <v>3759</v>
      </c>
      <c r="D63" s="102" t="s">
        <v>3760</v>
      </c>
      <c r="E63" s="102" t="s">
        <v>328</v>
      </c>
      <c r="F63" s="102" t="s">
        <v>329</v>
      </c>
      <c r="G63" s="102" t="s">
        <v>280</v>
      </c>
      <c r="H63" s="102" t="s">
        <v>281</v>
      </c>
      <c r="I63" s="102" t="s">
        <v>284</v>
      </c>
      <c r="J63" s="102" t="s">
        <v>1738</v>
      </c>
      <c r="L63" s="229" t="s">
        <v>3761</v>
      </c>
      <c r="M63" s="229" t="s">
        <v>3735</v>
      </c>
      <c r="O63" s="230"/>
      <c r="S63" s="230"/>
      <c r="T63" s="244" t="str">
        <f>IF(ISNUMBER(MATCH(B63, 'Sprint 19'!B:B, 0)), "มาจาก Sprint 19", "")</f>
        <v/>
      </c>
      <c r="U63" s="244" t="str">
        <f t="array" ref="U63">IF(ISNUMBER(MATCH(B63, 'Sprint 19'!B:B, 0)), INDEX('Sprint 19'!J:J, MATCH(B63, 'Sprint 19'!B:B, 0)), "")</f>
        <v/>
      </c>
      <c r="W63" s="102" t="s">
        <v>1979</v>
      </c>
    </row>
    <row r="64">
      <c r="A64" s="102" t="s">
        <v>276</v>
      </c>
      <c r="B64" s="102" t="s">
        <v>3762</v>
      </c>
      <c r="C64" s="229" t="s">
        <v>3763</v>
      </c>
      <c r="D64" s="102" t="s">
        <v>3764</v>
      </c>
      <c r="E64" s="102" t="s">
        <v>391</v>
      </c>
      <c r="F64" s="102" t="s">
        <v>392</v>
      </c>
      <c r="G64" s="102" t="s">
        <v>391</v>
      </c>
      <c r="H64" s="102" t="s">
        <v>392</v>
      </c>
      <c r="I64" s="102" t="s">
        <v>284</v>
      </c>
      <c r="J64" s="102" t="s">
        <v>26</v>
      </c>
      <c r="L64" s="229" t="s">
        <v>3765</v>
      </c>
      <c r="M64" s="229" t="s">
        <v>3766</v>
      </c>
      <c r="O64" s="230"/>
      <c r="S64" s="230"/>
      <c r="T64" s="244" t="str">
        <f>IF(ISNUMBER(MATCH(B64, 'Sprint 19'!B:B, 0)), "มาจาก Sprint 19", "")</f>
        <v/>
      </c>
      <c r="U64" s="244" t="str">
        <f t="array" ref="U64">IF(ISNUMBER(MATCH(B64, 'Sprint 19'!B:B, 0)), INDEX('Sprint 19'!J:J, MATCH(B64, 'Sprint 19'!B:B, 0)), "")</f>
        <v/>
      </c>
      <c r="W64" s="102" t="s">
        <v>2270</v>
      </c>
      <c r="X64" s="102" t="s">
        <v>2271</v>
      </c>
    </row>
    <row r="65">
      <c r="A65" s="102" t="s">
        <v>276</v>
      </c>
      <c r="B65" s="102" t="s">
        <v>3767</v>
      </c>
      <c r="C65" s="229" t="s">
        <v>3768</v>
      </c>
      <c r="D65" s="102" t="s">
        <v>3764</v>
      </c>
      <c r="E65" s="102" t="s">
        <v>391</v>
      </c>
      <c r="F65" s="102" t="s">
        <v>392</v>
      </c>
      <c r="G65" s="102" t="s">
        <v>391</v>
      </c>
      <c r="H65" s="102" t="s">
        <v>392</v>
      </c>
      <c r="I65" s="102" t="s">
        <v>284</v>
      </c>
      <c r="J65" s="102" t="s">
        <v>26</v>
      </c>
      <c r="L65" s="229" t="s">
        <v>3769</v>
      </c>
      <c r="M65" s="229" t="s">
        <v>3770</v>
      </c>
      <c r="O65" s="230"/>
      <c r="S65" s="230"/>
      <c r="T65" s="244" t="str">
        <f>IF(ISNUMBER(MATCH(B65, 'Sprint 19'!B:B, 0)), "มาจาก Sprint 19", "")</f>
        <v/>
      </c>
      <c r="U65" s="244" t="str">
        <f t="array" ref="U65">IF(ISNUMBER(MATCH(B65, 'Sprint 19'!B:B, 0)), INDEX('Sprint 19'!J:J, MATCH(B65, 'Sprint 19'!B:B, 0)), "")</f>
        <v/>
      </c>
      <c r="W65" s="102" t="s">
        <v>2270</v>
      </c>
      <c r="X65" s="102" t="s">
        <v>2271</v>
      </c>
    </row>
    <row r="66">
      <c r="A66" s="102" t="s">
        <v>276</v>
      </c>
      <c r="B66" s="102" t="s">
        <v>3771</v>
      </c>
      <c r="C66" s="229" t="s">
        <v>3772</v>
      </c>
      <c r="D66" s="102" t="s">
        <v>3764</v>
      </c>
      <c r="E66" s="102" t="s">
        <v>391</v>
      </c>
      <c r="F66" s="102" t="s">
        <v>392</v>
      </c>
      <c r="G66" s="102" t="s">
        <v>391</v>
      </c>
      <c r="H66" s="102" t="s">
        <v>392</v>
      </c>
      <c r="I66" s="102" t="s">
        <v>284</v>
      </c>
      <c r="J66" s="102" t="s">
        <v>26</v>
      </c>
      <c r="L66" s="229" t="s">
        <v>3769</v>
      </c>
      <c r="M66" s="229" t="s">
        <v>3773</v>
      </c>
      <c r="O66" s="230"/>
      <c r="S66" s="230"/>
      <c r="T66" s="244" t="str">
        <f>IF(ISNUMBER(MATCH(B66, 'Sprint 19'!B:B, 0)), "มาจาก Sprint 19", "")</f>
        <v/>
      </c>
      <c r="U66" s="244" t="str">
        <f t="array" ref="U66">IF(ISNUMBER(MATCH(B66, 'Sprint 19'!B:B, 0)), INDEX('Sprint 19'!J:J, MATCH(B66, 'Sprint 19'!B:B, 0)), "")</f>
        <v/>
      </c>
      <c r="W66" s="102" t="s">
        <v>2270</v>
      </c>
      <c r="X66" s="102" t="s">
        <v>2271</v>
      </c>
    </row>
    <row r="67">
      <c r="A67" s="102" t="s">
        <v>310</v>
      </c>
      <c r="B67" s="102" t="s">
        <v>3774</v>
      </c>
      <c r="C67" s="229" t="s">
        <v>3775</v>
      </c>
      <c r="D67" s="102" t="s">
        <v>3776</v>
      </c>
      <c r="E67" s="102" t="s">
        <v>353</v>
      </c>
      <c r="F67" s="102" t="s">
        <v>354</v>
      </c>
      <c r="G67" s="102" t="s">
        <v>353</v>
      </c>
      <c r="H67" s="102" t="s">
        <v>354</v>
      </c>
      <c r="I67" s="102" t="s">
        <v>284</v>
      </c>
      <c r="J67" s="102" t="s">
        <v>26</v>
      </c>
      <c r="L67" s="229" t="s">
        <v>3777</v>
      </c>
      <c r="M67" s="229" t="s">
        <v>3399</v>
      </c>
      <c r="O67" s="102">
        <v>8.0</v>
      </c>
      <c r="S67" s="230"/>
      <c r="T67" s="244" t="str">
        <f>IF(ISNUMBER(MATCH(B67, 'Sprint 19'!B:B, 0)), "มาจาก Sprint 19", "")</f>
        <v/>
      </c>
      <c r="U67" s="244" t="str">
        <f t="array" ref="U67">IF(ISNUMBER(MATCH(B67, 'Sprint 19'!B:B, 0)), INDEX('Sprint 19'!J:J, MATCH(B67, 'Sprint 19'!B:B, 0)), "")</f>
        <v/>
      </c>
      <c r="W67" s="102" t="s">
        <v>3038</v>
      </c>
    </row>
    <row r="68">
      <c r="A68" s="102" t="s">
        <v>310</v>
      </c>
      <c r="B68" s="102" t="s">
        <v>3778</v>
      </c>
      <c r="C68" s="229" t="s">
        <v>3779</v>
      </c>
      <c r="D68" s="102" t="s">
        <v>3780</v>
      </c>
      <c r="E68" s="102" t="s">
        <v>513</v>
      </c>
      <c r="F68" s="102" t="s">
        <v>514</v>
      </c>
      <c r="G68" s="102" t="s">
        <v>314</v>
      </c>
      <c r="H68" s="102" t="s">
        <v>315</v>
      </c>
      <c r="I68" s="102" t="s">
        <v>284</v>
      </c>
      <c r="J68" s="102" t="s">
        <v>26</v>
      </c>
      <c r="L68" s="229" t="s">
        <v>3781</v>
      </c>
      <c r="M68" s="229" t="s">
        <v>2466</v>
      </c>
      <c r="O68" s="102">
        <v>3.0</v>
      </c>
      <c r="S68" s="102">
        <v>28800.0</v>
      </c>
      <c r="T68" s="244" t="str">
        <f>IF(ISNUMBER(MATCH(B68, 'Sprint 19'!B:B, 0)), "มาจาก Sprint 19", "")</f>
        <v/>
      </c>
      <c r="U68" s="244" t="str">
        <f t="array" ref="U68">IF(ISNUMBER(MATCH(B68, 'Sprint 19'!B:B, 0)), INDEX('Sprint 19'!J:J, MATCH(B68, 'Sprint 19'!B:B, 0)), "")</f>
        <v/>
      </c>
      <c r="W68" s="102" t="s">
        <v>1979</v>
      </c>
    </row>
    <row r="69">
      <c r="A69" s="102" t="s">
        <v>310</v>
      </c>
      <c r="B69" s="102" t="s">
        <v>3782</v>
      </c>
      <c r="C69" s="229" t="s">
        <v>3783</v>
      </c>
      <c r="D69" s="102" t="s">
        <v>3784</v>
      </c>
      <c r="E69" s="102" t="s">
        <v>495</v>
      </c>
      <c r="F69" s="102" t="s">
        <v>496</v>
      </c>
      <c r="G69" s="102" t="s">
        <v>282</v>
      </c>
      <c r="H69" s="102" t="s">
        <v>283</v>
      </c>
      <c r="I69" s="102" t="s">
        <v>284</v>
      </c>
      <c r="J69" s="102" t="s">
        <v>454</v>
      </c>
      <c r="L69" s="229" t="s">
        <v>3785</v>
      </c>
      <c r="M69" s="229" t="s">
        <v>3620</v>
      </c>
      <c r="O69" s="102">
        <v>3.0</v>
      </c>
      <c r="S69" s="102">
        <v>28800.0</v>
      </c>
      <c r="T69" s="244" t="str">
        <f>IF(ISNUMBER(MATCH(B69, 'Sprint 19'!B:B, 0)), "มาจาก Sprint 19", "")</f>
        <v/>
      </c>
      <c r="U69" s="244" t="str">
        <f t="array" ref="U69">IF(ISNUMBER(MATCH(B69, 'Sprint 19'!B:B, 0)), INDEX('Sprint 19'!J:J, MATCH(B69, 'Sprint 19'!B:B, 0)), "")</f>
        <v/>
      </c>
      <c r="W69" s="102" t="s">
        <v>1085</v>
      </c>
    </row>
    <row r="70">
      <c r="A70" s="102" t="s">
        <v>310</v>
      </c>
      <c r="B70" s="102" t="s">
        <v>2511</v>
      </c>
      <c r="C70" s="229" t="s">
        <v>2512</v>
      </c>
      <c r="D70" s="102" t="s">
        <v>2513</v>
      </c>
      <c r="E70" s="102" t="s">
        <v>584</v>
      </c>
      <c r="F70" s="102" t="s">
        <v>585</v>
      </c>
      <c r="G70" s="102" t="s">
        <v>353</v>
      </c>
      <c r="H70" s="102" t="s">
        <v>354</v>
      </c>
      <c r="I70" s="102" t="s">
        <v>284</v>
      </c>
      <c r="J70" s="102" t="s">
        <v>34</v>
      </c>
      <c r="L70" s="229" t="s">
        <v>2514</v>
      </c>
      <c r="M70" s="229" t="s">
        <v>3786</v>
      </c>
      <c r="O70" s="102">
        <v>8.0</v>
      </c>
      <c r="S70" s="230"/>
      <c r="T70" s="244" t="str">
        <f>IF(ISNUMBER(MATCH(B70, 'Sprint 19'!B:B, 0)), "มาจาก Sprint 19", "")</f>
        <v/>
      </c>
      <c r="U70" s="244" t="str">
        <f t="array" ref="U70">IF(ISNUMBER(MATCH(B70, 'Sprint 19'!B:B, 0)), INDEX('Sprint 19'!J:J, MATCH(B70, 'Sprint 19'!B:B, 0)), "")</f>
        <v/>
      </c>
      <c r="W70" s="102" t="s">
        <v>2271</v>
      </c>
    </row>
    <row r="71">
      <c r="A71" s="102" t="s">
        <v>310</v>
      </c>
      <c r="B71" s="102" t="s">
        <v>3787</v>
      </c>
      <c r="C71" s="229" t="s">
        <v>3788</v>
      </c>
      <c r="D71" s="102" t="s">
        <v>3789</v>
      </c>
      <c r="E71" s="102" t="s">
        <v>353</v>
      </c>
      <c r="F71" s="102" t="s">
        <v>354</v>
      </c>
      <c r="G71" s="102" t="s">
        <v>353</v>
      </c>
      <c r="H71" s="102" t="s">
        <v>354</v>
      </c>
      <c r="I71" s="102" t="s">
        <v>284</v>
      </c>
      <c r="J71" s="102" t="s">
        <v>26</v>
      </c>
      <c r="L71" s="229" t="s">
        <v>3790</v>
      </c>
      <c r="M71" s="229" t="s">
        <v>3791</v>
      </c>
      <c r="O71" s="102">
        <v>8.0</v>
      </c>
      <c r="S71" s="230"/>
      <c r="T71" s="244" t="str">
        <f>IF(ISNUMBER(MATCH(B71, 'Sprint 19'!B:B, 0)), "มาจาก Sprint 19", "")</f>
        <v/>
      </c>
      <c r="U71" s="244" t="str">
        <f t="array" ref="U71">IF(ISNUMBER(MATCH(B71, 'Sprint 19'!B:B, 0)), INDEX('Sprint 19'!J:J, MATCH(B71, 'Sprint 19'!B:B, 0)), "")</f>
        <v/>
      </c>
      <c r="W71" s="102" t="s">
        <v>3792</v>
      </c>
    </row>
    <row r="72">
      <c r="A72" s="102" t="s">
        <v>310</v>
      </c>
      <c r="B72" s="102" t="s">
        <v>3793</v>
      </c>
      <c r="C72" s="229" t="s">
        <v>3794</v>
      </c>
      <c r="D72" s="102" t="s">
        <v>3795</v>
      </c>
      <c r="E72" s="102" t="s">
        <v>282</v>
      </c>
      <c r="F72" s="102" t="s">
        <v>283</v>
      </c>
      <c r="G72" s="102" t="s">
        <v>282</v>
      </c>
      <c r="H72" s="102" t="s">
        <v>283</v>
      </c>
      <c r="I72" s="102" t="s">
        <v>284</v>
      </c>
      <c r="J72" s="102" t="s">
        <v>34</v>
      </c>
      <c r="L72" s="229" t="s">
        <v>3796</v>
      </c>
      <c r="M72" s="229" t="s">
        <v>3797</v>
      </c>
      <c r="O72" s="102">
        <v>8.0</v>
      </c>
      <c r="S72" s="230"/>
      <c r="T72" s="244" t="str">
        <f>IF(ISNUMBER(MATCH(B72, 'Sprint 19'!B:B, 0)), "มาจาก Sprint 19", "")</f>
        <v/>
      </c>
      <c r="U72" s="244" t="str">
        <f t="array" ref="U72">IF(ISNUMBER(MATCH(B72, 'Sprint 19'!B:B, 0)), INDEX('Sprint 19'!J:J, MATCH(B72, 'Sprint 19'!B:B, 0)), "")</f>
        <v/>
      </c>
      <c r="W72" s="102" t="s">
        <v>1085</v>
      </c>
    </row>
    <row r="73">
      <c r="A73" s="102" t="s">
        <v>332</v>
      </c>
      <c r="B73" s="102" t="s">
        <v>3798</v>
      </c>
      <c r="C73" s="229" t="s">
        <v>3799</v>
      </c>
      <c r="D73" s="102" t="s">
        <v>3800</v>
      </c>
      <c r="E73" s="102" t="s">
        <v>353</v>
      </c>
      <c r="F73" s="102" t="s">
        <v>354</v>
      </c>
      <c r="G73" s="102" t="s">
        <v>316</v>
      </c>
      <c r="H73" s="102" t="s">
        <v>317</v>
      </c>
      <c r="I73" s="102" t="s">
        <v>284</v>
      </c>
      <c r="J73" s="102" t="s">
        <v>336</v>
      </c>
      <c r="L73" s="229" t="s">
        <v>3801</v>
      </c>
      <c r="M73" s="229" t="s">
        <v>3649</v>
      </c>
      <c r="O73" s="230"/>
      <c r="S73" s="230"/>
      <c r="T73" s="244" t="str">
        <f>IF(ISNUMBER(MATCH(B73, 'Sprint 19'!B:B, 0)), "มาจาก Sprint 19", "")</f>
        <v/>
      </c>
      <c r="U73" s="244" t="str">
        <f t="array" ref="U73">IF(ISNUMBER(MATCH(B73, 'Sprint 19'!B:B, 0)), INDEX('Sprint 19'!J:J, MATCH(B73, 'Sprint 19'!B:B, 0)), "")</f>
        <v/>
      </c>
      <c r="W73" s="102" t="s">
        <v>1979</v>
      </c>
    </row>
    <row r="74">
      <c r="A74" s="102" t="s">
        <v>310</v>
      </c>
      <c r="B74" s="102" t="s">
        <v>3802</v>
      </c>
      <c r="C74" s="229" t="s">
        <v>3803</v>
      </c>
      <c r="D74" s="102" t="s">
        <v>3804</v>
      </c>
      <c r="E74" s="102" t="s">
        <v>584</v>
      </c>
      <c r="F74" s="102" t="s">
        <v>585</v>
      </c>
      <c r="G74" s="102" t="s">
        <v>353</v>
      </c>
      <c r="H74" s="102" t="s">
        <v>354</v>
      </c>
      <c r="I74" s="102" t="s">
        <v>284</v>
      </c>
      <c r="J74" s="102" t="s">
        <v>26</v>
      </c>
      <c r="L74" s="229" t="s">
        <v>3805</v>
      </c>
      <c r="M74" s="229" t="s">
        <v>3806</v>
      </c>
      <c r="O74" s="102">
        <v>3.0</v>
      </c>
      <c r="S74" s="102">
        <v>28800.0</v>
      </c>
      <c r="T74" s="244" t="str">
        <f>IF(ISNUMBER(MATCH(B74, 'Sprint 19'!B:B, 0)), "มาจาก Sprint 19", "")</f>
        <v/>
      </c>
      <c r="U74" s="244" t="str">
        <f t="array" ref="U74">IF(ISNUMBER(MATCH(B74, 'Sprint 19'!B:B, 0)), INDEX('Sprint 19'!J:J, MATCH(B74, 'Sprint 19'!B:B, 0)), "")</f>
        <v/>
      </c>
      <c r="W74" s="102" t="s">
        <v>2271</v>
      </c>
    </row>
    <row r="75">
      <c r="A75" s="102" t="s">
        <v>310</v>
      </c>
      <c r="B75" s="102" t="s">
        <v>3807</v>
      </c>
      <c r="C75" s="229" t="s">
        <v>3808</v>
      </c>
      <c r="D75" s="102" t="s">
        <v>3809</v>
      </c>
      <c r="E75" s="102" t="s">
        <v>584</v>
      </c>
      <c r="F75" s="102" t="s">
        <v>585</v>
      </c>
      <c r="G75" s="102" t="s">
        <v>353</v>
      </c>
      <c r="H75" s="102" t="s">
        <v>354</v>
      </c>
      <c r="I75" s="102" t="s">
        <v>284</v>
      </c>
      <c r="J75" s="102" t="s">
        <v>454</v>
      </c>
      <c r="L75" s="229" t="s">
        <v>3810</v>
      </c>
      <c r="M75" s="229" t="s">
        <v>3811</v>
      </c>
      <c r="O75" s="102">
        <v>5.0</v>
      </c>
      <c r="S75" s="102">
        <v>57600.0</v>
      </c>
      <c r="T75" s="244" t="str">
        <f>IF(ISNUMBER(MATCH(B75, 'Sprint 19'!B:B, 0)), "มาจาก Sprint 19", "")</f>
        <v/>
      </c>
      <c r="U75" s="244" t="str">
        <f t="array" ref="U75">IF(ISNUMBER(MATCH(B75, 'Sprint 19'!B:B, 0)), INDEX('Sprint 19'!J:J, MATCH(B75, 'Sprint 19'!B:B, 0)), "")</f>
        <v/>
      </c>
      <c r="W75" s="102" t="s">
        <v>2271</v>
      </c>
    </row>
    <row r="76">
      <c r="A76" s="102" t="s">
        <v>310</v>
      </c>
      <c r="B76" s="102" t="s">
        <v>3812</v>
      </c>
      <c r="C76" s="229" t="s">
        <v>3813</v>
      </c>
      <c r="D76" s="102" t="s">
        <v>3814</v>
      </c>
      <c r="E76" s="102" t="s">
        <v>584</v>
      </c>
      <c r="F76" s="102" t="s">
        <v>585</v>
      </c>
      <c r="G76" s="102" t="s">
        <v>353</v>
      </c>
      <c r="H76" s="102" t="s">
        <v>354</v>
      </c>
      <c r="I76" s="102" t="s">
        <v>284</v>
      </c>
      <c r="J76" s="102" t="s">
        <v>26</v>
      </c>
      <c r="L76" s="229" t="s">
        <v>3815</v>
      </c>
      <c r="M76" s="229" t="s">
        <v>3811</v>
      </c>
      <c r="O76" s="102">
        <v>3.0</v>
      </c>
      <c r="S76" s="102">
        <v>28800.0</v>
      </c>
      <c r="T76" s="244" t="str">
        <f>IF(ISNUMBER(MATCH(B76, 'Sprint 19'!B:B, 0)), "มาจาก Sprint 19", "")</f>
        <v/>
      </c>
      <c r="U76" s="244" t="str">
        <f t="array" ref="U76">IF(ISNUMBER(MATCH(B76, 'Sprint 19'!B:B, 0)), INDEX('Sprint 19'!J:J, MATCH(B76, 'Sprint 19'!B:B, 0)), "")</f>
        <v/>
      </c>
      <c r="W76" s="102" t="s">
        <v>2271</v>
      </c>
    </row>
    <row r="77">
      <c r="A77" s="102" t="s">
        <v>310</v>
      </c>
      <c r="B77" s="102" t="s">
        <v>3816</v>
      </c>
      <c r="C77" s="229" t="s">
        <v>3817</v>
      </c>
      <c r="D77" s="102" t="s">
        <v>3818</v>
      </c>
      <c r="E77" s="102" t="s">
        <v>495</v>
      </c>
      <c r="F77" s="102" t="s">
        <v>496</v>
      </c>
      <c r="G77" s="102" t="s">
        <v>353</v>
      </c>
      <c r="H77" s="102" t="s">
        <v>354</v>
      </c>
      <c r="I77" s="102" t="s">
        <v>284</v>
      </c>
      <c r="J77" s="102" t="s">
        <v>26</v>
      </c>
      <c r="L77" s="229" t="s">
        <v>3819</v>
      </c>
      <c r="M77" s="229" t="s">
        <v>3735</v>
      </c>
      <c r="O77" s="102">
        <v>3.0</v>
      </c>
      <c r="S77" s="102">
        <v>0.0</v>
      </c>
      <c r="T77" s="244" t="str">
        <f>IF(ISNUMBER(MATCH(B77, 'Sprint 19'!B:B, 0)), "มาจาก Sprint 19", "")</f>
        <v>มาจาก Sprint 19</v>
      </c>
      <c r="U77" s="244" t="str">
        <f t="array" ref="U77">IF(ISNUMBER(MATCH(B77, 'Sprint 19'!B:B, 0)), INDEX('Sprint 19'!J:J, MATCH(B77, 'Sprint 19'!B:B, 0)), "")</f>
        <v>In Review</v>
      </c>
      <c r="V77" s="102">
        <v>28800.0</v>
      </c>
      <c r="W77" s="102" t="s">
        <v>2270</v>
      </c>
      <c r="X77" s="102" t="s">
        <v>2271</v>
      </c>
    </row>
    <row r="78">
      <c r="A78" s="102" t="s">
        <v>310</v>
      </c>
      <c r="B78" s="102" t="s">
        <v>3820</v>
      </c>
      <c r="C78" s="229" t="s">
        <v>3821</v>
      </c>
      <c r="D78" s="102" t="s">
        <v>3822</v>
      </c>
      <c r="E78" s="102" t="s">
        <v>584</v>
      </c>
      <c r="F78" s="102" t="s">
        <v>585</v>
      </c>
      <c r="G78" s="102" t="s">
        <v>353</v>
      </c>
      <c r="H78" s="102" t="s">
        <v>354</v>
      </c>
      <c r="I78" s="102" t="s">
        <v>284</v>
      </c>
      <c r="J78" s="102" t="s">
        <v>26</v>
      </c>
      <c r="L78" s="229" t="s">
        <v>3823</v>
      </c>
      <c r="M78" s="229" t="s">
        <v>3806</v>
      </c>
      <c r="N78" s="229" t="s">
        <v>1257</v>
      </c>
      <c r="O78" s="102">
        <v>8.0</v>
      </c>
      <c r="S78" s="102">
        <v>43200.0</v>
      </c>
      <c r="T78" s="244" t="str">
        <f>IF(ISNUMBER(MATCH(B78, 'Sprint 19'!B:B, 0)), "มาจาก Sprint 19", "")</f>
        <v>มาจาก Sprint 19</v>
      </c>
      <c r="U78" s="244" t="str">
        <f t="array" ref="U78">IF(ISNUMBER(MATCH(B78, 'Sprint 19'!B:B, 0)), INDEX('Sprint 19'!J:J, MATCH(B78, 'Sprint 19'!B:B, 0)), "")</f>
        <v>In Progress</v>
      </c>
      <c r="V78" s="102" t="s">
        <v>3434</v>
      </c>
      <c r="W78" s="102" t="s">
        <v>2270</v>
      </c>
      <c r="X78" s="102" t="s">
        <v>2271</v>
      </c>
    </row>
    <row r="79">
      <c r="A79" s="102" t="s">
        <v>276</v>
      </c>
      <c r="B79" s="102" t="s">
        <v>3824</v>
      </c>
      <c r="C79" s="229" t="s">
        <v>3825</v>
      </c>
      <c r="D79" s="102" t="s">
        <v>3826</v>
      </c>
      <c r="G79" s="102" t="s">
        <v>353</v>
      </c>
      <c r="H79" s="102" t="s">
        <v>354</v>
      </c>
      <c r="I79" s="102" t="s">
        <v>284</v>
      </c>
      <c r="J79" s="102" t="s">
        <v>34</v>
      </c>
      <c r="L79" s="229" t="s">
        <v>3827</v>
      </c>
      <c r="M79" s="229" t="s">
        <v>3827</v>
      </c>
      <c r="O79" s="230"/>
      <c r="S79" s="230"/>
      <c r="T79" s="244" t="str">
        <f>IF(ISNUMBER(MATCH(B79, 'Sprint 19'!B:B, 0)), "มาจาก Sprint 19", "")</f>
        <v>มาจาก Sprint 19</v>
      </c>
      <c r="U79" s="244" t="str">
        <f t="array" ref="U79">IF(ISNUMBER(MATCH(B79, 'Sprint 19'!B:B, 0)), INDEX('Sprint 19'!J:J, MATCH(B79, 'Sprint 19'!B:B, 0)), "")</f>
        <v>In Progress</v>
      </c>
      <c r="W79" s="102" t="s">
        <v>2270</v>
      </c>
      <c r="X79" s="102" t="s">
        <v>2271</v>
      </c>
    </row>
    <row r="80">
      <c r="A80" s="102" t="s">
        <v>276</v>
      </c>
      <c r="B80" s="102" t="s">
        <v>3828</v>
      </c>
      <c r="C80" s="229" t="s">
        <v>3829</v>
      </c>
      <c r="D80" s="102" t="s">
        <v>3830</v>
      </c>
      <c r="E80" s="102" t="s">
        <v>353</v>
      </c>
      <c r="F80" s="102" t="s">
        <v>354</v>
      </c>
      <c r="G80" s="102" t="s">
        <v>353</v>
      </c>
      <c r="H80" s="102" t="s">
        <v>354</v>
      </c>
      <c r="I80" s="102" t="s">
        <v>284</v>
      </c>
      <c r="J80" s="102" t="s">
        <v>355</v>
      </c>
      <c r="L80" s="229" t="s">
        <v>3831</v>
      </c>
      <c r="M80" s="229" t="s">
        <v>3832</v>
      </c>
      <c r="O80" s="230"/>
      <c r="S80" s="230"/>
      <c r="T80" s="244" t="str">
        <f>IF(ISNUMBER(MATCH(B80, 'Sprint 19'!B:B, 0)), "มาจาก Sprint 19", "")</f>
        <v>มาจาก Sprint 19</v>
      </c>
      <c r="U80" s="244" t="str">
        <f t="array" ref="U80">IF(ISNUMBER(MATCH(B80, 'Sprint 19'!B:B, 0)), INDEX('Sprint 19'!J:J, MATCH(B80, 'Sprint 19'!B:B, 0)), "")</f>
        <v>In Progress</v>
      </c>
      <c r="W80" s="102" t="s">
        <v>2270</v>
      </c>
      <c r="X80" s="102" t="s">
        <v>2271</v>
      </c>
    </row>
    <row r="81">
      <c r="A81" s="102" t="s">
        <v>276</v>
      </c>
      <c r="B81" s="102" t="s">
        <v>3833</v>
      </c>
      <c r="C81" s="229" t="s">
        <v>3834</v>
      </c>
      <c r="D81" s="102" t="s">
        <v>3835</v>
      </c>
      <c r="E81" s="102" t="s">
        <v>353</v>
      </c>
      <c r="F81" s="102" t="s">
        <v>354</v>
      </c>
      <c r="G81" s="102" t="s">
        <v>353</v>
      </c>
      <c r="H81" s="102" t="s">
        <v>354</v>
      </c>
      <c r="I81" s="102" t="s">
        <v>284</v>
      </c>
      <c r="J81" s="102" t="s">
        <v>26</v>
      </c>
      <c r="L81" s="229" t="s">
        <v>3831</v>
      </c>
      <c r="M81" s="229" t="s">
        <v>3827</v>
      </c>
      <c r="O81" s="230"/>
      <c r="S81" s="230"/>
      <c r="T81" s="244" t="str">
        <f>IF(ISNUMBER(MATCH(B81, 'Sprint 19'!B:B, 0)), "มาจาก Sprint 19", "")</f>
        <v>มาจาก Sprint 19</v>
      </c>
      <c r="U81" s="244" t="str">
        <f t="array" ref="U81">IF(ISNUMBER(MATCH(B81, 'Sprint 19'!B:B, 0)), INDEX('Sprint 19'!J:J, MATCH(B81, 'Sprint 19'!B:B, 0)), "")</f>
        <v>Done</v>
      </c>
      <c r="W81" s="102" t="s">
        <v>2270</v>
      </c>
      <c r="X81" s="102" t="s">
        <v>2271</v>
      </c>
    </row>
    <row r="82">
      <c r="A82" s="102" t="s">
        <v>332</v>
      </c>
      <c r="B82" s="102" t="s">
        <v>3836</v>
      </c>
      <c r="C82" s="229" t="s">
        <v>3837</v>
      </c>
      <c r="D82" s="102" t="s">
        <v>3838</v>
      </c>
      <c r="E82" s="102" t="s">
        <v>304</v>
      </c>
      <c r="F82" s="102" t="s">
        <v>305</v>
      </c>
      <c r="G82" s="102" t="s">
        <v>316</v>
      </c>
      <c r="H82" s="102" t="s">
        <v>317</v>
      </c>
      <c r="I82" s="102" t="s">
        <v>284</v>
      </c>
      <c r="J82" s="102" t="s">
        <v>478</v>
      </c>
      <c r="L82" s="229" t="s">
        <v>3839</v>
      </c>
      <c r="M82" s="229" t="s">
        <v>3730</v>
      </c>
      <c r="O82" s="230"/>
      <c r="S82" s="230"/>
      <c r="T82" s="244" t="str">
        <f>IF(ISNUMBER(MATCH(B82, 'Sprint 19'!B:B, 0)), "มาจาก Sprint 19", "")</f>
        <v/>
      </c>
      <c r="U82" s="244" t="str">
        <f t="array" ref="U82">IF(ISNUMBER(MATCH(B82, 'Sprint 19'!B:B, 0)), INDEX('Sprint 19'!J:J, MATCH(B82, 'Sprint 19'!B:B, 0)), "")</f>
        <v/>
      </c>
      <c r="W82" s="102" t="s">
        <v>1979</v>
      </c>
    </row>
    <row r="83">
      <c r="A83" s="102" t="s">
        <v>310</v>
      </c>
      <c r="B83" s="102" t="s">
        <v>3840</v>
      </c>
      <c r="C83" s="229" t="s">
        <v>3841</v>
      </c>
      <c r="D83" s="102" t="s">
        <v>3842</v>
      </c>
      <c r="E83" s="102" t="s">
        <v>513</v>
      </c>
      <c r="F83" s="102" t="s">
        <v>514</v>
      </c>
      <c r="G83" s="102" t="s">
        <v>316</v>
      </c>
      <c r="H83" s="102" t="s">
        <v>317</v>
      </c>
      <c r="I83" s="102" t="s">
        <v>318</v>
      </c>
      <c r="J83" s="102" t="s">
        <v>26</v>
      </c>
      <c r="L83" s="229" t="s">
        <v>3843</v>
      </c>
      <c r="M83" s="229" t="s">
        <v>3730</v>
      </c>
      <c r="N83" s="229" t="s">
        <v>2089</v>
      </c>
      <c r="O83" s="102">
        <v>1.0</v>
      </c>
      <c r="P83" s="102" t="s">
        <v>366</v>
      </c>
      <c r="Q83" s="102" t="s">
        <v>433</v>
      </c>
      <c r="R83" s="102" t="s">
        <v>368</v>
      </c>
      <c r="S83" s="230"/>
      <c r="T83" s="244" t="str">
        <f>IF(ISNUMBER(MATCH(B83, 'Sprint 19'!B:B, 0)), "มาจาก Sprint 19", "")</f>
        <v/>
      </c>
      <c r="U83" s="244" t="str">
        <f t="array" ref="U83">IF(ISNUMBER(MATCH(B83, 'Sprint 19'!B:B, 0)), INDEX('Sprint 19'!J:J, MATCH(B83, 'Sprint 19'!B:B, 0)), "")</f>
        <v/>
      </c>
      <c r="W83" s="102" t="s">
        <v>1979</v>
      </c>
    </row>
    <row r="84">
      <c r="A84" s="102" t="s">
        <v>310</v>
      </c>
      <c r="B84" s="102" t="s">
        <v>3844</v>
      </c>
      <c r="C84" s="229" t="s">
        <v>3845</v>
      </c>
      <c r="D84" s="102" t="s">
        <v>3846</v>
      </c>
      <c r="G84" s="102" t="s">
        <v>316</v>
      </c>
      <c r="H84" s="102" t="s">
        <v>317</v>
      </c>
      <c r="I84" s="102" t="s">
        <v>284</v>
      </c>
      <c r="J84" s="102" t="s">
        <v>26</v>
      </c>
      <c r="L84" s="229" t="s">
        <v>3847</v>
      </c>
      <c r="M84" s="229" t="s">
        <v>3848</v>
      </c>
      <c r="N84" s="229" t="s">
        <v>1257</v>
      </c>
      <c r="O84" s="230"/>
      <c r="P84" s="102" t="s">
        <v>433</v>
      </c>
      <c r="Q84" s="102" t="s">
        <v>783</v>
      </c>
      <c r="S84" s="230"/>
      <c r="T84" s="244" t="str">
        <f>IF(ISNUMBER(MATCH(B84, 'Sprint 19'!B:B, 0)), "มาจาก Sprint 19", "")</f>
        <v/>
      </c>
      <c r="U84" s="244" t="str">
        <f t="array" ref="U84">IF(ISNUMBER(MATCH(B84, 'Sprint 19'!B:B, 0)), INDEX('Sprint 19'!J:J, MATCH(B84, 'Sprint 19'!B:B, 0)), "")</f>
        <v/>
      </c>
      <c r="W84" s="102" t="s">
        <v>1979</v>
      </c>
    </row>
    <row r="85">
      <c r="A85" s="102" t="s">
        <v>332</v>
      </c>
      <c r="B85" s="102" t="s">
        <v>1973</v>
      </c>
      <c r="C85" s="229" t="s">
        <v>1974</v>
      </c>
      <c r="D85" s="102" t="s">
        <v>1975</v>
      </c>
      <c r="E85" s="102" t="s">
        <v>282</v>
      </c>
      <c r="F85" s="102" t="s">
        <v>283</v>
      </c>
      <c r="G85" s="102" t="s">
        <v>316</v>
      </c>
      <c r="H85" s="102" t="s">
        <v>317</v>
      </c>
      <c r="I85" s="102" t="s">
        <v>284</v>
      </c>
      <c r="J85" s="102" t="s">
        <v>1075</v>
      </c>
      <c r="L85" s="229" t="s">
        <v>1976</v>
      </c>
      <c r="M85" s="229" t="s">
        <v>3649</v>
      </c>
      <c r="N85" s="229" t="s">
        <v>1978</v>
      </c>
      <c r="O85" s="230"/>
      <c r="P85" s="102" t="s">
        <v>783</v>
      </c>
      <c r="S85" s="230"/>
      <c r="T85" s="244" t="str">
        <f>IF(ISNUMBER(MATCH(B85, 'Sprint 19'!B:B, 0)), "มาจาก Sprint 19", "")</f>
        <v/>
      </c>
      <c r="U85" s="244" t="str">
        <f t="array" ref="U85">IF(ISNUMBER(MATCH(B85, 'Sprint 19'!B:B, 0)), INDEX('Sprint 19'!J:J, MATCH(B85, 'Sprint 19'!B:B, 0)), "")</f>
        <v/>
      </c>
      <c r="W85" s="102" t="s">
        <v>1979</v>
      </c>
    </row>
    <row r="86">
      <c r="A86" s="102" t="s">
        <v>276</v>
      </c>
      <c r="B86" s="102" t="s">
        <v>3849</v>
      </c>
      <c r="C86" s="229" t="s">
        <v>3850</v>
      </c>
      <c r="D86" s="102" t="s">
        <v>279</v>
      </c>
      <c r="E86" s="102" t="s">
        <v>280</v>
      </c>
      <c r="F86" s="102" t="s">
        <v>281</v>
      </c>
      <c r="G86" s="102" t="s">
        <v>1987</v>
      </c>
      <c r="H86" s="102" t="s">
        <v>1988</v>
      </c>
      <c r="I86" s="102" t="s">
        <v>284</v>
      </c>
      <c r="J86" s="102" t="s">
        <v>34</v>
      </c>
      <c r="L86" s="229" t="s">
        <v>3851</v>
      </c>
      <c r="M86" s="229" t="s">
        <v>3852</v>
      </c>
      <c r="O86" s="230"/>
      <c r="S86" s="230"/>
      <c r="T86" s="244" t="str">
        <f>IF(ISNUMBER(MATCH(B86, 'Sprint 19'!B:B, 0)), "มาจาก Sprint 19", "")</f>
        <v>มาจาก Sprint 19</v>
      </c>
      <c r="U86" s="244" t="str">
        <f t="array" ref="U86">IF(ISNUMBER(MATCH(B86, 'Sprint 19'!B:B, 0)), INDEX('Sprint 19'!J:J, MATCH(B86, 'Sprint 19'!B:B, 0)), "")</f>
        <v>To Do</v>
      </c>
      <c r="W86" s="102" t="s">
        <v>1992</v>
      </c>
      <c r="X86" s="102" t="s">
        <v>1085</v>
      </c>
    </row>
    <row r="87">
      <c r="A87" s="102" t="s">
        <v>276</v>
      </c>
      <c r="B87" s="102" t="s">
        <v>3853</v>
      </c>
      <c r="C87" s="229" t="s">
        <v>3854</v>
      </c>
      <c r="D87" s="102" t="s">
        <v>291</v>
      </c>
      <c r="E87" s="102" t="s">
        <v>280</v>
      </c>
      <c r="F87" s="102" t="s">
        <v>281</v>
      </c>
      <c r="G87" s="102" t="s">
        <v>1987</v>
      </c>
      <c r="H87" s="102" t="s">
        <v>1988</v>
      </c>
      <c r="I87" s="102" t="s">
        <v>284</v>
      </c>
      <c r="J87" s="102" t="s">
        <v>26</v>
      </c>
      <c r="L87" s="229" t="s">
        <v>3851</v>
      </c>
      <c r="M87" s="229" t="s">
        <v>1995</v>
      </c>
      <c r="O87" s="230"/>
      <c r="S87" s="230"/>
      <c r="T87" s="244" t="str">
        <f>IF(ISNUMBER(MATCH(B87, 'Sprint 19'!B:B, 0)), "มาจาก Sprint 19", "")</f>
        <v>มาจาก Sprint 19</v>
      </c>
      <c r="U87" s="244" t="str">
        <f t="array" ref="U87">IF(ISNUMBER(MATCH(B87, 'Sprint 19'!B:B, 0)), INDEX('Sprint 19'!J:J, MATCH(B87, 'Sprint 19'!B:B, 0)), "")</f>
        <v>In Review</v>
      </c>
      <c r="W87" s="102" t="s">
        <v>1992</v>
      </c>
      <c r="X87" s="102" t="s">
        <v>1085</v>
      </c>
    </row>
    <row r="88">
      <c r="A88" s="102" t="s">
        <v>310</v>
      </c>
      <c r="B88" s="102" t="s">
        <v>3855</v>
      </c>
      <c r="C88" s="229" t="s">
        <v>3856</v>
      </c>
      <c r="D88" s="102" t="s">
        <v>3857</v>
      </c>
      <c r="E88" s="102" t="s">
        <v>495</v>
      </c>
      <c r="F88" s="102" t="s">
        <v>496</v>
      </c>
      <c r="G88" s="102" t="s">
        <v>282</v>
      </c>
      <c r="H88" s="102" t="s">
        <v>283</v>
      </c>
      <c r="I88" s="102" t="s">
        <v>284</v>
      </c>
      <c r="J88" s="102" t="s">
        <v>454</v>
      </c>
      <c r="L88" s="229" t="s">
        <v>3858</v>
      </c>
      <c r="M88" s="229" t="s">
        <v>3811</v>
      </c>
      <c r="O88" s="230"/>
      <c r="S88" s="102">
        <v>0.0</v>
      </c>
      <c r="T88" s="244" t="str">
        <f>IF(ISNUMBER(MATCH(B88, 'Sprint 19'!B:B, 0)), "มาจาก Sprint 19", "")</f>
        <v>มาจาก Sprint 19</v>
      </c>
      <c r="U88" s="244" t="str">
        <f t="array" ref="U88">IF(ISNUMBER(MATCH(B88, 'Sprint 19'!B:B, 0)), INDEX('Sprint 19'!J:J, MATCH(B88, 'Sprint 19'!B:B, 0)), "")</f>
        <v>Ready to Staging</v>
      </c>
      <c r="V88" s="102">
        <v>7200.0</v>
      </c>
      <c r="W88" s="102" t="s">
        <v>1992</v>
      </c>
      <c r="X88" s="102" t="s">
        <v>1085</v>
      </c>
    </row>
    <row r="89">
      <c r="A89" s="102" t="s">
        <v>276</v>
      </c>
      <c r="B89" s="102" t="s">
        <v>3859</v>
      </c>
      <c r="C89" s="229" t="s">
        <v>3860</v>
      </c>
      <c r="D89" s="102" t="s">
        <v>279</v>
      </c>
      <c r="E89" s="102" t="s">
        <v>280</v>
      </c>
      <c r="F89" s="102" t="s">
        <v>281</v>
      </c>
      <c r="G89" s="102" t="s">
        <v>1987</v>
      </c>
      <c r="H89" s="102" t="s">
        <v>1988</v>
      </c>
      <c r="I89" s="102" t="s">
        <v>284</v>
      </c>
      <c r="J89" s="102" t="s">
        <v>26</v>
      </c>
      <c r="L89" s="229" t="s">
        <v>1989</v>
      </c>
      <c r="M89" s="229" t="s">
        <v>3861</v>
      </c>
      <c r="O89" s="230"/>
      <c r="S89" s="230"/>
      <c r="T89" s="244" t="str">
        <f>IF(ISNUMBER(MATCH(B89, 'Sprint 19'!B:B, 0)), "มาจาก Sprint 19", "")</f>
        <v>มาจาก Sprint 19</v>
      </c>
      <c r="U89" s="244" t="str">
        <f t="array" ref="U89">IF(ISNUMBER(MATCH(B89, 'Sprint 19'!B:B, 0)), INDEX('Sprint 19'!J:J, MATCH(B89, 'Sprint 19'!B:B, 0)), "")</f>
        <v>To Do</v>
      </c>
      <c r="W89" s="102" t="s">
        <v>1991</v>
      </c>
      <c r="X89" s="102" t="s">
        <v>1992</v>
      </c>
      <c r="Y89" s="102" t="s">
        <v>1085</v>
      </c>
    </row>
    <row r="90">
      <c r="A90" s="102" t="s">
        <v>276</v>
      </c>
      <c r="B90" s="102" t="s">
        <v>3862</v>
      </c>
      <c r="C90" s="229" t="s">
        <v>3863</v>
      </c>
      <c r="D90" s="102" t="s">
        <v>279</v>
      </c>
      <c r="E90" s="102" t="s">
        <v>2494</v>
      </c>
      <c r="F90" s="102" t="s">
        <v>2495</v>
      </c>
      <c r="G90" s="102" t="s">
        <v>1987</v>
      </c>
      <c r="H90" s="102" t="s">
        <v>1988</v>
      </c>
      <c r="I90" s="102" t="s">
        <v>284</v>
      </c>
      <c r="J90" s="102" t="s">
        <v>26</v>
      </c>
      <c r="L90" s="229" t="s">
        <v>1989</v>
      </c>
      <c r="M90" s="229" t="s">
        <v>3864</v>
      </c>
      <c r="O90" s="230"/>
      <c r="S90" s="230"/>
      <c r="T90" s="244" t="str">
        <f>IF(ISNUMBER(MATCH(B90, 'Sprint 19'!B:B, 0)), "มาจาก Sprint 19", "")</f>
        <v>มาจาก Sprint 19</v>
      </c>
      <c r="U90" s="244" t="str">
        <f t="array" ref="U90">IF(ISNUMBER(MATCH(B90, 'Sprint 19'!B:B, 0)), INDEX('Sprint 19'!J:J, MATCH(B90, 'Sprint 19'!B:B, 0)), "")</f>
        <v>To Do</v>
      </c>
      <c r="W90" s="102" t="s">
        <v>1991</v>
      </c>
      <c r="X90" s="102" t="s">
        <v>1992</v>
      </c>
      <c r="Y90" s="102" t="s">
        <v>1085</v>
      </c>
    </row>
    <row r="91">
      <c r="A91" s="102" t="s">
        <v>276</v>
      </c>
      <c r="B91" s="102" t="s">
        <v>3865</v>
      </c>
      <c r="C91" s="229" t="s">
        <v>3866</v>
      </c>
      <c r="D91" s="102" t="s">
        <v>279</v>
      </c>
      <c r="E91" s="102" t="s">
        <v>280</v>
      </c>
      <c r="F91" s="102" t="s">
        <v>281</v>
      </c>
      <c r="G91" s="102" t="s">
        <v>1987</v>
      </c>
      <c r="H91" s="102" t="s">
        <v>1988</v>
      </c>
      <c r="I91" s="102" t="s">
        <v>284</v>
      </c>
      <c r="J91" s="102" t="s">
        <v>26</v>
      </c>
      <c r="L91" s="229" t="s">
        <v>1989</v>
      </c>
      <c r="M91" s="229" t="s">
        <v>3867</v>
      </c>
      <c r="O91" s="230"/>
      <c r="S91" s="230"/>
      <c r="T91" s="244" t="str">
        <f>IF(ISNUMBER(MATCH(B91, 'Sprint 19'!B:B, 0)), "มาจาก Sprint 19", "")</f>
        <v>มาจาก Sprint 19</v>
      </c>
      <c r="U91" s="244" t="str">
        <f t="array" ref="U91">IF(ISNUMBER(MATCH(B91, 'Sprint 19'!B:B, 0)), INDEX('Sprint 19'!J:J, MATCH(B91, 'Sprint 19'!B:B, 0)), "")</f>
        <v>To Do</v>
      </c>
      <c r="W91" s="102" t="s">
        <v>1991</v>
      </c>
      <c r="X91" s="102" t="s">
        <v>1992</v>
      </c>
      <c r="Y91" s="102" t="s">
        <v>1085</v>
      </c>
    </row>
    <row r="92">
      <c r="A92" s="102" t="s">
        <v>276</v>
      </c>
      <c r="B92" s="102" t="s">
        <v>3868</v>
      </c>
      <c r="C92" s="229" t="s">
        <v>3869</v>
      </c>
      <c r="D92" s="102" t="s">
        <v>279</v>
      </c>
      <c r="E92" s="102" t="s">
        <v>280</v>
      </c>
      <c r="F92" s="102" t="s">
        <v>281</v>
      </c>
      <c r="G92" s="102" t="s">
        <v>1987</v>
      </c>
      <c r="H92" s="102" t="s">
        <v>1988</v>
      </c>
      <c r="I92" s="102" t="s">
        <v>284</v>
      </c>
      <c r="J92" s="102" t="s">
        <v>26</v>
      </c>
      <c r="L92" s="229" t="s">
        <v>1989</v>
      </c>
      <c r="M92" s="229" t="s">
        <v>3870</v>
      </c>
      <c r="O92" s="230"/>
      <c r="S92" s="230"/>
      <c r="T92" s="244" t="str">
        <f>IF(ISNUMBER(MATCH(B92, 'Sprint 19'!B:B, 0)), "มาจาก Sprint 19", "")</f>
        <v>มาจาก Sprint 19</v>
      </c>
      <c r="U92" s="244" t="str">
        <f t="array" ref="U92">IF(ISNUMBER(MATCH(B92, 'Sprint 19'!B:B, 0)), INDEX('Sprint 19'!J:J, MATCH(B92, 'Sprint 19'!B:B, 0)), "")</f>
        <v>To Do</v>
      </c>
      <c r="W92" s="102" t="s">
        <v>1991</v>
      </c>
      <c r="X92" s="102" t="s">
        <v>1992</v>
      </c>
      <c r="Y92" s="102" t="s">
        <v>1085</v>
      </c>
    </row>
    <row r="93">
      <c r="A93" s="102" t="s">
        <v>276</v>
      </c>
      <c r="B93" s="102" t="s">
        <v>1985</v>
      </c>
      <c r="C93" s="229" t="s">
        <v>1986</v>
      </c>
      <c r="D93" s="102" t="s">
        <v>279</v>
      </c>
      <c r="E93" s="102" t="s">
        <v>280</v>
      </c>
      <c r="F93" s="102" t="s">
        <v>281</v>
      </c>
      <c r="G93" s="102" t="s">
        <v>1987</v>
      </c>
      <c r="H93" s="102" t="s">
        <v>1988</v>
      </c>
      <c r="I93" s="102" t="s">
        <v>284</v>
      </c>
      <c r="J93" s="102" t="s">
        <v>63</v>
      </c>
      <c r="L93" s="229" t="s">
        <v>1989</v>
      </c>
      <c r="M93" s="229" t="s">
        <v>2517</v>
      </c>
      <c r="O93" s="230"/>
      <c r="S93" s="230"/>
      <c r="T93" s="244" t="str">
        <f>IF(ISNUMBER(MATCH(B93, 'Sprint 19'!B:B, 0)), "มาจาก Sprint 19", "")</f>
        <v>มาจาก Sprint 19</v>
      </c>
      <c r="U93" s="244" t="str">
        <f t="array" ref="U93">IF(ISNUMBER(MATCH(B93, 'Sprint 19'!B:B, 0)), INDEX('Sprint 19'!J:J, MATCH(B93, 'Sprint 19'!B:B, 0)), "")</f>
        <v>To Do</v>
      </c>
      <c r="W93" s="102" t="s">
        <v>1991</v>
      </c>
      <c r="X93" s="102" t="s">
        <v>1992</v>
      </c>
      <c r="Y93" s="102" t="s">
        <v>1085</v>
      </c>
    </row>
    <row r="94">
      <c r="A94" s="102" t="s">
        <v>276</v>
      </c>
      <c r="B94" s="102" t="s">
        <v>3871</v>
      </c>
      <c r="C94" s="229" t="s">
        <v>3872</v>
      </c>
      <c r="D94" s="102" t="s">
        <v>279</v>
      </c>
      <c r="E94" s="102" t="s">
        <v>280</v>
      </c>
      <c r="F94" s="102" t="s">
        <v>281</v>
      </c>
      <c r="G94" s="102" t="s">
        <v>1987</v>
      </c>
      <c r="H94" s="102" t="s">
        <v>1988</v>
      </c>
      <c r="I94" s="102" t="s">
        <v>284</v>
      </c>
      <c r="J94" s="102" t="s">
        <v>26</v>
      </c>
      <c r="L94" s="229" t="s">
        <v>1989</v>
      </c>
      <c r="M94" s="229" t="s">
        <v>3873</v>
      </c>
      <c r="O94" s="230"/>
      <c r="S94" s="230"/>
      <c r="T94" s="244" t="str">
        <f>IF(ISNUMBER(MATCH(B94, 'Sprint 19'!B:B, 0)), "มาจาก Sprint 19", "")</f>
        <v>มาจาก Sprint 19</v>
      </c>
      <c r="U94" s="244" t="str">
        <f t="array" ref="U94">IF(ISNUMBER(MATCH(B94, 'Sprint 19'!B:B, 0)), INDEX('Sprint 19'!J:J, MATCH(B94, 'Sprint 19'!B:B, 0)), "")</f>
        <v>To Do</v>
      </c>
      <c r="W94" s="102" t="s">
        <v>1991</v>
      </c>
      <c r="X94" s="102" t="s">
        <v>1992</v>
      </c>
      <c r="Y94" s="102" t="s">
        <v>1085</v>
      </c>
    </row>
    <row r="95">
      <c r="A95" s="102" t="s">
        <v>276</v>
      </c>
      <c r="B95" s="102" t="s">
        <v>3874</v>
      </c>
      <c r="C95" s="229" t="s">
        <v>3875</v>
      </c>
      <c r="D95" s="102" t="s">
        <v>279</v>
      </c>
      <c r="E95" s="102" t="s">
        <v>2494</v>
      </c>
      <c r="F95" s="102" t="s">
        <v>2495</v>
      </c>
      <c r="G95" s="102" t="s">
        <v>1987</v>
      </c>
      <c r="H95" s="102" t="s">
        <v>1988</v>
      </c>
      <c r="I95" s="102" t="s">
        <v>284</v>
      </c>
      <c r="J95" s="102" t="s">
        <v>26</v>
      </c>
      <c r="L95" s="229" t="s">
        <v>1989</v>
      </c>
      <c r="M95" s="229" t="s">
        <v>3864</v>
      </c>
      <c r="O95" s="230"/>
      <c r="S95" s="230"/>
      <c r="T95" s="244" t="str">
        <f>IF(ISNUMBER(MATCH(B95, 'Sprint 19'!B:B, 0)), "มาจาก Sprint 19", "")</f>
        <v>มาจาก Sprint 19</v>
      </c>
      <c r="U95" s="244" t="str">
        <f t="array" ref="U95">IF(ISNUMBER(MATCH(B95, 'Sprint 19'!B:B, 0)), INDEX('Sprint 19'!J:J, MATCH(B95, 'Sprint 19'!B:B, 0)), "")</f>
        <v>To Do</v>
      </c>
      <c r="W95" s="102" t="s">
        <v>1991</v>
      </c>
      <c r="X95" s="102" t="s">
        <v>1992</v>
      </c>
      <c r="Y95" s="102" t="s">
        <v>1085</v>
      </c>
    </row>
    <row r="96">
      <c r="A96" s="102" t="s">
        <v>276</v>
      </c>
      <c r="B96" s="102" t="s">
        <v>3876</v>
      </c>
      <c r="C96" s="229" t="s">
        <v>3877</v>
      </c>
      <c r="D96" s="102" t="s">
        <v>291</v>
      </c>
      <c r="E96" s="102" t="s">
        <v>280</v>
      </c>
      <c r="F96" s="102" t="s">
        <v>281</v>
      </c>
      <c r="G96" s="102" t="s">
        <v>1987</v>
      </c>
      <c r="H96" s="102" t="s">
        <v>1988</v>
      </c>
      <c r="I96" s="102" t="s">
        <v>284</v>
      </c>
      <c r="J96" s="102" t="s">
        <v>26</v>
      </c>
      <c r="L96" s="229" t="s">
        <v>1989</v>
      </c>
      <c r="M96" s="229" t="s">
        <v>1995</v>
      </c>
      <c r="O96" s="230"/>
      <c r="S96" s="230"/>
      <c r="T96" s="244" t="str">
        <f>IF(ISNUMBER(MATCH(B96, 'Sprint 19'!B:B, 0)), "มาจาก Sprint 19", "")</f>
        <v>มาจาก Sprint 19</v>
      </c>
      <c r="U96" s="244" t="str">
        <f t="array" ref="U96">IF(ISNUMBER(MATCH(B96, 'Sprint 19'!B:B, 0)), INDEX('Sprint 19'!J:J, MATCH(B96, 'Sprint 19'!B:B, 0)), "")</f>
        <v>In Review</v>
      </c>
      <c r="W96" s="102" t="s">
        <v>1991</v>
      </c>
      <c r="X96" s="102" t="s">
        <v>1992</v>
      </c>
      <c r="Y96" s="102" t="s">
        <v>1085</v>
      </c>
    </row>
    <row r="97">
      <c r="A97" s="102" t="s">
        <v>276</v>
      </c>
      <c r="B97" s="102" t="s">
        <v>3878</v>
      </c>
      <c r="C97" s="229" t="s">
        <v>3879</v>
      </c>
      <c r="D97" s="102" t="s">
        <v>291</v>
      </c>
      <c r="E97" s="102" t="s">
        <v>280</v>
      </c>
      <c r="F97" s="102" t="s">
        <v>281</v>
      </c>
      <c r="G97" s="102" t="s">
        <v>1987</v>
      </c>
      <c r="H97" s="102" t="s">
        <v>1988</v>
      </c>
      <c r="I97" s="102" t="s">
        <v>284</v>
      </c>
      <c r="J97" s="102" t="s">
        <v>26</v>
      </c>
      <c r="L97" s="229" t="s">
        <v>1989</v>
      </c>
      <c r="M97" s="229" t="s">
        <v>1995</v>
      </c>
      <c r="O97" s="230"/>
      <c r="S97" s="230"/>
      <c r="T97" s="244" t="str">
        <f>IF(ISNUMBER(MATCH(B97, 'Sprint 19'!B:B, 0)), "มาจาก Sprint 19", "")</f>
        <v>มาจาก Sprint 19</v>
      </c>
      <c r="U97" s="244" t="str">
        <f t="array" ref="U97">IF(ISNUMBER(MATCH(B97, 'Sprint 19'!B:B, 0)), INDEX('Sprint 19'!J:J, MATCH(B97, 'Sprint 19'!B:B, 0)), "")</f>
        <v>In Review</v>
      </c>
      <c r="W97" s="102" t="s">
        <v>1991</v>
      </c>
      <c r="X97" s="102" t="s">
        <v>1992</v>
      </c>
      <c r="Y97" s="102" t="s">
        <v>1085</v>
      </c>
    </row>
    <row r="98">
      <c r="A98" s="102" t="s">
        <v>276</v>
      </c>
      <c r="B98" s="102" t="s">
        <v>3880</v>
      </c>
      <c r="C98" s="229" t="s">
        <v>3881</v>
      </c>
      <c r="D98" s="102" t="s">
        <v>291</v>
      </c>
      <c r="E98" s="102" t="s">
        <v>280</v>
      </c>
      <c r="F98" s="102" t="s">
        <v>281</v>
      </c>
      <c r="G98" s="102" t="s">
        <v>1987</v>
      </c>
      <c r="H98" s="102" t="s">
        <v>1988</v>
      </c>
      <c r="I98" s="102" t="s">
        <v>284</v>
      </c>
      <c r="J98" s="102" t="s">
        <v>26</v>
      </c>
      <c r="L98" s="229" t="s">
        <v>1989</v>
      </c>
      <c r="M98" s="229" t="s">
        <v>1995</v>
      </c>
      <c r="O98" s="230"/>
      <c r="S98" s="230"/>
      <c r="T98" s="244" t="str">
        <f>IF(ISNUMBER(MATCH(B98, 'Sprint 19'!B:B, 0)), "มาจาก Sprint 19", "")</f>
        <v>มาจาก Sprint 19</v>
      </c>
      <c r="U98" s="244" t="str">
        <f t="array" ref="U98">IF(ISNUMBER(MATCH(B98, 'Sprint 19'!B:B, 0)), INDEX('Sprint 19'!J:J, MATCH(B98, 'Sprint 19'!B:B, 0)), "")</f>
        <v>To Do</v>
      </c>
      <c r="W98" s="102" t="s">
        <v>1991</v>
      </c>
      <c r="X98" s="102" t="s">
        <v>1992</v>
      </c>
      <c r="Y98" s="102" t="s">
        <v>1085</v>
      </c>
      <c r="AC98" s="231"/>
    </row>
    <row r="99">
      <c r="A99" s="102" t="s">
        <v>276</v>
      </c>
      <c r="B99" s="102" t="s">
        <v>3882</v>
      </c>
      <c r="C99" s="229" t="s">
        <v>3883</v>
      </c>
      <c r="D99" s="102" t="s">
        <v>291</v>
      </c>
      <c r="E99" s="102" t="s">
        <v>280</v>
      </c>
      <c r="F99" s="102" t="s">
        <v>281</v>
      </c>
      <c r="G99" s="102" t="s">
        <v>1987</v>
      </c>
      <c r="H99" s="102" t="s">
        <v>1988</v>
      </c>
      <c r="I99" s="102" t="s">
        <v>284</v>
      </c>
      <c r="J99" s="102" t="s">
        <v>26</v>
      </c>
      <c r="L99" s="229" t="s">
        <v>1989</v>
      </c>
      <c r="M99" s="229" t="s">
        <v>1995</v>
      </c>
      <c r="O99" s="230"/>
      <c r="S99" s="230"/>
      <c r="T99" s="244" t="str">
        <f>IF(ISNUMBER(MATCH(B99, 'Sprint 19'!B:B, 0)), "มาจาก Sprint 19", "")</f>
        <v>มาจาก Sprint 19</v>
      </c>
      <c r="U99" s="244" t="str">
        <f t="array" ref="U99">IF(ISNUMBER(MATCH(B99, 'Sprint 19'!B:B, 0)), INDEX('Sprint 19'!J:J, MATCH(B99, 'Sprint 19'!B:B, 0)), "")</f>
        <v>In Review</v>
      </c>
      <c r="W99" s="102" t="s">
        <v>1991</v>
      </c>
      <c r="X99" s="102" t="s">
        <v>1992</v>
      </c>
      <c r="Y99" s="102" t="s">
        <v>1085</v>
      </c>
    </row>
    <row r="100">
      <c r="A100" s="102" t="s">
        <v>276</v>
      </c>
      <c r="B100" s="102" t="s">
        <v>3884</v>
      </c>
      <c r="C100" s="229" t="s">
        <v>3885</v>
      </c>
      <c r="D100" s="102" t="s">
        <v>291</v>
      </c>
      <c r="E100" s="102" t="s">
        <v>280</v>
      </c>
      <c r="F100" s="102" t="s">
        <v>281</v>
      </c>
      <c r="G100" s="102" t="s">
        <v>1987</v>
      </c>
      <c r="H100" s="102" t="s">
        <v>1988</v>
      </c>
      <c r="I100" s="102" t="s">
        <v>284</v>
      </c>
      <c r="J100" s="102" t="s">
        <v>26</v>
      </c>
      <c r="L100" s="229" t="s">
        <v>1989</v>
      </c>
      <c r="M100" s="229" t="s">
        <v>1995</v>
      </c>
      <c r="O100" s="230"/>
      <c r="S100" s="230"/>
      <c r="T100" s="244" t="str">
        <f>IF(ISNUMBER(MATCH(B100, 'Sprint 19'!B:B, 0)), "มาจาก Sprint 19", "")</f>
        <v>มาจาก Sprint 19</v>
      </c>
      <c r="U100" s="244" t="str">
        <f t="array" ref="U100">IF(ISNUMBER(MATCH(B100, 'Sprint 19'!B:B, 0)), INDEX('Sprint 19'!J:J, MATCH(B100, 'Sprint 19'!B:B, 0)), "")</f>
        <v>To Do</v>
      </c>
      <c r="W100" s="102" t="s">
        <v>1991</v>
      </c>
      <c r="X100" s="102" t="s">
        <v>1992</v>
      </c>
      <c r="Y100" s="102" t="s">
        <v>1085</v>
      </c>
    </row>
    <row r="101">
      <c r="A101" s="102" t="s">
        <v>276</v>
      </c>
      <c r="B101" s="102" t="s">
        <v>3886</v>
      </c>
      <c r="C101" s="229" t="s">
        <v>3887</v>
      </c>
      <c r="D101" s="102" t="s">
        <v>291</v>
      </c>
      <c r="E101" s="102" t="s">
        <v>280</v>
      </c>
      <c r="F101" s="102" t="s">
        <v>281</v>
      </c>
      <c r="G101" s="102" t="s">
        <v>1987</v>
      </c>
      <c r="H101" s="102" t="s">
        <v>1988</v>
      </c>
      <c r="I101" s="102" t="s">
        <v>284</v>
      </c>
      <c r="J101" s="102" t="s">
        <v>26</v>
      </c>
      <c r="L101" s="229" t="s">
        <v>1989</v>
      </c>
      <c r="M101" s="229" t="s">
        <v>1995</v>
      </c>
      <c r="O101" s="230"/>
      <c r="S101" s="230"/>
      <c r="T101" s="244" t="str">
        <f>IF(ISNUMBER(MATCH(B101, 'Sprint 19'!B:B, 0)), "มาจาก Sprint 19", "")</f>
        <v>มาจาก Sprint 19</v>
      </c>
      <c r="U101" s="244" t="str">
        <f t="array" ref="U101">IF(ISNUMBER(MATCH(B101, 'Sprint 19'!B:B, 0)), INDEX('Sprint 19'!J:J, MATCH(B101, 'Sprint 19'!B:B, 0)), "")</f>
        <v>In Review</v>
      </c>
      <c r="W101" s="102" t="s">
        <v>1991</v>
      </c>
      <c r="X101" s="102" t="s">
        <v>1992</v>
      </c>
      <c r="Y101" s="102" t="s">
        <v>1085</v>
      </c>
    </row>
    <row r="102">
      <c r="A102" s="102" t="s">
        <v>276</v>
      </c>
      <c r="B102" s="102" t="s">
        <v>1993</v>
      </c>
      <c r="C102" s="229" t="s">
        <v>1994</v>
      </c>
      <c r="D102" s="102" t="s">
        <v>291</v>
      </c>
      <c r="E102" s="102" t="s">
        <v>280</v>
      </c>
      <c r="F102" s="102" t="s">
        <v>281</v>
      </c>
      <c r="G102" s="102" t="s">
        <v>1987</v>
      </c>
      <c r="H102" s="102" t="s">
        <v>1988</v>
      </c>
      <c r="I102" s="102" t="s">
        <v>284</v>
      </c>
      <c r="J102" s="102" t="s">
        <v>26</v>
      </c>
      <c r="L102" s="229" t="s">
        <v>1989</v>
      </c>
      <c r="M102" s="229" t="s">
        <v>1995</v>
      </c>
      <c r="O102" s="230"/>
      <c r="S102" s="230"/>
      <c r="T102" s="244" t="str">
        <f>IF(ISNUMBER(MATCH(B102, 'Sprint 19'!B:B, 0)), "มาจาก Sprint 19", "")</f>
        <v>มาจาก Sprint 19</v>
      </c>
      <c r="U102" s="244" t="str">
        <f t="array" ref="U102">IF(ISNUMBER(MATCH(B102, 'Sprint 19'!B:B, 0)), INDEX('Sprint 19'!J:J, MATCH(B102, 'Sprint 19'!B:B, 0)), "")</f>
        <v>In Progress</v>
      </c>
      <c r="W102" s="102" t="s">
        <v>1991</v>
      </c>
      <c r="X102" s="102" t="s">
        <v>1992</v>
      </c>
      <c r="Y102" s="102" t="s">
        <v>1085</v>
      </c>
    </row>
    <row r="103">
      <c r="A103" s="102" t="s">
        <v>276</v>
      </c>
      <c r="B103" s="102" t="s">
        <v>2518</v>
      </c>
      <c r="C103" s="229" t="s">
        <v>2519</v>
      </c>
      <c r="D103" s="102" t="s">
        <v>279</v>
      </c>
      <c r="E103" s="102" t="s">
        <v>280</v>
      </c>
      <c r="F103" s="102" t="s">
        <v>281</v>
      </c>
      <c r="G103" s="102" t="s">
        <v>1987</v>
      </c>
      <c r="H103" s="102" t="s">
        <v>1988</v>
      </c>
      <c r="I103" s="102" t="s">
        <v>284</v>
      </c>
      <c r="J103" s="102" t="s">
        <v>63</v>
      </c>
      <c r="L103" s="229" t="s">
        <v>1989</v>
      </c>
      <c r="M103" s="229" t="s">
        <v>2520</v>
      </c>
      <c r="O103" s="230"/>
      <c r="S103" s="230"/>
      <c r="T103" s="244" t="str">
        <f>IF(ISNUMBER(MATCH(B103, 'Sprint 19'!B:B, 0)), "มาจาก Sprint 19", "")</f>
        <v>มาจาก Sprint 19</v>
      </c>
      <c r="U103" s="244" t="str">
        <f t="array" ref="U103">IF(ISNUMBER(MATCH(B103, 'Sprint 19'!B:B, 0)), INDEX('Sprint 19'!J:J, MATCH(B103, 'Sprint 19'!B:B, 0)), "")</f>
        <v>To Do</v>
      </c>
      <c r="W103" s="102" t="s">
        <v>1991</v>
      </c>
      <c r="X103" s="102" t="s">
        <v>1992</v>
      </c>
      <c r="Y103" s="102" t="s">
        <v>1085</v>
      </c>
    </row>
    <row r="104">
      <c r="A104" s="102" t="s">
        <v>276</v>
      </c>
      <c r="B104" s="102" t="s">
        <v>2521</v>
      </c>
      <c r="C104" s="229" t="s">
        <v>2522</v>
      </c>
      <c r="D104" s="102" t="s">
        <v>279</v>
      </c>
      <c r="E104" s="102" t="s">
        <v>280</v>
      </c>
      <c r="F104" s="102" t="s">
        <v>281</v>
      </c>
      <c r="G104" s="102" t="s">
        <v>1987</v>
      </c>
      <c r="H104" s="102" t="s">
        <v>1988</v>
      </c>
      <c r="I104" s="102" t="s">
        <v>284</v>
      </c>
      <c r="J104" s="102" t="s">
        <v>63</v>
      </c>
      <c r="L104" s="229" t="s">
        <v>1989</v>
      </c>
      <c r="M104" s="229" t="s">
        <v>2523</v>
      </c>
      <c r="O104" s="230"/>
      <c r="S104" s="230"/>
      <c r="T104" s="244" t="str">
        <f>IF(ISNUMBER(MATCH(B104, 'Sprint 19'!B:B, 0)), "มาจาก Sprint 19", "")</f>
        <v>มาจาก Sprint 19</v>
      </c>
      <c r="U104" s="244" t="str">
        <f t="array" ref="U104">IF(ISNUMBER(MATCH(B104, 'Sprint 19'!B:B, 0)), INDEX('Sprint 19'!J:J, MATCH(B104, 'Sprint 19'!B:B, 0)), "")</f>
        <v>To Do</v>
      </c>
      <c r="W104" s="102" t="s">
        <v>1991</v>
      </c>
      <c r="X104" s="102" t="s">
        <v>1992</v>
      </c>
      <c r="Y104" s="102" t="s">
        <v>1085</v>
      </c>
    </row>
    <row r="105">
      <c r="A105" s="102" t="s">
        <v>276</v>
      </c>
      <c r="B105" s="102" t="s">
        <v>2524</v>
      </c>
      <c r="C105" s="229" t="s">
        <v>2525</v>
      </c>
      <c r="D105" s="102" t="s">
        <v>279</v>
      </c>
      <c r="E105" s="102" t="s">
        <v>280</v>
      </c>
      <c r="F105" s="102" t="s">
        <v>281</v>
      </c>
      <c r="G105" s="102" t="s">
        <v>1987</v>
      </c>
      <c r="H105" s="102" t="s">
        <v>1988</v>
      </c>
      <c r="I105" s="102" t="s">
        <v>284</v>
      </c>
      <c r="J105" s="102" t="s">
        <v>63</v>
      </c>
      <c r="L105" s="229" t="s">
        <v>1989</v>
      </c>
      <c r="M105" s="229" t="s">
        <v>2526</v>
      </c>
      <c r="O105" s="230"/>
      <c r="S105" s="230"/>
      <c r="T105" s="244" t="str">
        <f>IF(ISNUMBER(MATCH(B105, 'Sprint 19'!B:B, 0)), "มาจาก Sprint 19", "")</f>
        <v>มาจาก Sprint 19</v>
      </c>
      <c r="U105" s="244" t="str">
        <f t="array" ref="U105">IF(ISNUMBER(MATCH(B105, 'Sprint 19'!B:B, 0)), INDEX('Sprint 19'!J:J, MATCH(B105, 'Sprint 19'!B:B, 0)), "")</f>
        <v>To Do</v>
      </c>
      <c r="W105" s="102" t="s">
        <v>1991</v>
      </c>
      <c r="X105" s="102" t="s">
        <v>1992</v>
      </c>
      <c r="Y105" s="102" t="s">
        <v>1085</v>
      </c>
    </row>
    <row r="106">
      <c r="A106" s="102" t="s">
        <v>276</v>
      </c>
      <c r="B106" s="102" t="s">
        <v>2527</v>
      </c>
      <c r="C106" s="229" t="s">
        <v>2528</v>
      </c>
      <c r="D106" s="102" t="s">
        <v>279</v>
      </c>
      <c r="E106" s="102" t="s">
        <v>280</v>
      </c>
      <c r="F106" s="102" t="s">
        <v>281</v>
      </c>
      <c r="G106" s="102" t="s">
        <v>1987</v>
      </c>
      <c r="H106" s="102" t="s">
        <v>1988</v>
      </c>
      <c r="I106" s="102" t="s">
        <v>284</v>
      </c>
      <c r="J106" s="102" t="s">
        <v>63</v>
      </c>
      <c r="L106" s="229" t="s">
        <v>1989</v>
      </c>
      <c r="M106" s="229" t="s">
        <v>2526</v>
      </c>
      <c r="O106" s="230"/>
      <c r="S106" s="230"/>
      <c r="T106" s="244" t="str">
        <f>IF(ISNUMBER(MATCH(B106, 'Sprint 19'!B:B, 0)), "มาจาก Sprint 19", "")</f>
        <v>มาจาก Sprint 19</v>
      </c>
      <c r="U106" s="244" t="str">
        <f t="array" ref="U106">IF(ISNUMBER(MATCH(B106, 'Sprint 19'!B:B, 0)), INDEX('Sprint 19'!J:J, MATCH(B106, 'Sprint 19'!B:B, 0)), "")</f>
        <v>To Do</v>
      </c>
      <c r="W106" s="102" t="s">
        <v>1991</v>
      </c>
      <c r="X106" s="102" t="s">
        <v>1992</v>
      </c>
      <c r="Y106" s="102" t="s">
        <v>1085</v>
      </c>
    </row>
    <row r="107">
      <c r="A107" s="102" t="s">
        <v>276</v>
      </c>
      <c r="B107" s="102" t="s">
        <v>2529</v>
      </c>
      <c r="C107" s="229" t="s">
        <v>2530</v>
      </c>
      <c r="D107" s="102" t="s">
        <v>279</v>
      </c>
      <c r="E107" s="102" t="s">
        <v>280</v>
      </c>
      <c r="F107" s="102" t="s">
        <v>281</v>
      </c>
      <c r="G107" s="102" t="s">
        <v>1987</v>
      </c>
      <c r="H107" s="102" t="s">
        <v>1988</v>
      </c>
      <c r="I107" s="102" t="s">
        <v>284</v>
      </c>
      <c r="J107" s="102" t="s">
        <v>63</v>
      </c>
      <c r="L107" s="229" t="s">
        <v>1989</v>
      </c>
      <c r="M107" s="229" t="s">
        <v>2526</v>
      </c>
      <c r="O107" s="230"/>
      <c r="S107" s="230"/>
      <c r="T107" s="244" t="str">
        <f>IF(ISNUMBER(MATCH(B107, 'Sprint 19'!B:B, 0)), "มาจาก Sprint 19", "")</f>
        <v>มาจาก Sprint 19</v>
      </c>
      <c r="U107" s="244" t="str">
        <f t="array" ref="U107">IF(ISNUMBER(MATCH(B107, 'Sprint 19'!B:B, 0)), INDEX('Sprint 19'!J:J, MATCH(B107, 'Sprint 19'!B:B, 0)), "")</f>
        <v>To Do</v>
      </c>
      <c r="W107" s="102" t="s">
        <v>1991</v>
      </c>
      <c r="X107" s="102" t="s">
        <v>1992</v>
      </c>
      <c r="Y107" s="102" t="s">
        <v>1085</v>
      </c>
    </row>
    <row r="108">
      <c r="A108" s="102" t="s">
        <v>276</v>
      </c>
      <c r="B108" s="102" t="s">
        <v>2531</v>
      </c>
      <c r="C108" s="229" t="s">
        <v>2532</v>
      </c>
      <c r="D108" s="102" t="s">
        <v>279</v>
      </c>
      <c r="E108" s="102" t="s">
        <v>280</v>
      </c>
      <c r="F108" s="102" t="s">
        <v>281</v>
      </c>
      <c r="G108" s="102" t="s">
        <v>1987</v>
      </c>
      <c r="H108" s="102" t="s">
        <v>1988</v>
      </c>
      <c r="I108" s="102" t="s">
        <v>284</v>
      </c>
      <c r="J108" s="102" t="s">
        <v>63</v>
      </c>
      <c r="L108" s="229" t="s">
        <v>1989</v>
      </c>
      <c r="M108" s="229" t="s">
        <v>2526</v>
      </c>
      <c r="O108" s="230"/>
      <c r="S108" s="230"/>
      <c r="T108" s="244" t="str">
        <f>IF(ISNUMBER(MATCH(B108, 'Sprint 19'!B:B, 0)), "มาจาก Sprint 19", "")</f>
        <v>มาจาก Sprint 19</v>
      </c>
      <c r="U108" s="244" t="str">
        <f t="array" ref="U108">IF(ISNUMBER(MATCH(B108, 'Sprint 19'!B:B, 0)), INDEX('Sprint 19'!J:J, MATCH(B108, 'Sprint 19'!B:B, 0)), "")</f>
        <v>To Do</v>
      </c>
      <c r="W108" s="102" t="s">
        <v>1991</v>
      </c>
      <c r="X108" s="102" t="s">
        <v>1992</v>
      </c>
      <c r="Y108" s="102" t="s">
        <v>1085</v>
      </c>
    </row>
    <row r="109">
      <c r="A109" s="102" t="s">
        <v>276</v>
      </c>
      <c r="B109" s="102" t="s">
        <v>3888</v>
      </c>
      <c r="C109" s="229" t="s">
        <v>3889</v>
      </c>
      <c r="D109" s="102" t="s">
        <v>3890</v>
      </c>
      <c r="G109" s="102" t="s">
        <v>1987</v>
      </c>
      <c r="H109" s="102" t="s">
        <v>1988</v>
      </c>
      <c r="I109" s="102" t="s">
        <v>284</v>
      </c>
      <c r="J109" s="102" t="s">
        <v>63</v>
      </c>
      <c r="L109" s="229" t="s">
        <v>1989</v>
      </c>
      <c r="M109" s="229" t="s">
        <v>3891</v>
      </c>
      <c r="O109" s="230"/>
      <c r="S109" s="230"/>
      <c r="T109" s="244" t="str">
        <f>IF(ISNUMBER(MATCH(B109, 'Sprint 19'!B:B, 0)), "มาจาก Sprint 19", "")</f>
        <v>มาจาก Sprint 19</v>
      </c>
      <c r="U109" s="244" t="str">
        <f t="array" ref="U109">IF(ISNUMBER(MATCH(B109, 'Sprint 19'!B:B, 0)), INDEX('Sprint 19'!J:J, MATCH(B109, 'Sprint 19'!B:B, 0)), "")</f>
        <v>To Do</v>
      </c>
      <c r="W109" s="102" t="s">
        <v>1991</v>
      </c>
      <c r="X109" s="102" t="s">
        <v>1992</v>
      </c>
      <c r="Y109" s="102" t="s">
        <v>1085</v>
      </c>
    </row>
    <row r="110">
      <c r="A110" s="102" t="s">
        <v>276</v>
      </c>
      <c r="B110" s="102" t="s">
        <v>2533</v>
      </c>
      <c r="C110" s="229" t="s">
        <v>2534</v>
      </c>
      <c r="D110" s="102" t="s">
        <v>279</v>
      </c>
      <c r="E110" s="102" t="s">
        <v>280</v>
      </c>
      <c r="F110" s="102" t="s">
        <v>281</v>
      </c>
      <c r="G110" s="102" t="s">
        <v>1987</v>
      </c>
      <c r="H110" s="102" t="s">
        <v>1988</v>
      </c>
      <c r="I110" s="102" t="s">
        <v>284</v>
      </c>
      <c r="J110" s="102" t="s">
        <v>63</v>
      </c>
      <c r="L110" s="229" t="s">
        <v>1989</v>
      </c>
      <c r="M110" s="229" t="s">
        <v>2523</v>
      </c>
      <c r="O110" s="230"/>
      <c r="S110" s="230"/>
      <c r="T110" s="244" t="str">
        <f>IF(ISNUMBER(MATCH(B110, 'Sprint 19'!B:B, 0)), "มาจาก Sprint 19", "")</f>
        <v>มาจาก Sprint 19</v>
      </c>
      <c r="U110" s="244" t="str">
        <f t="array" ref="U110">IF(ISNUMBER(MATCH(B110, 'Sprint 19'!B:B, 0)), INDEX('Sprint 19'!J:J, MATCH(B110, 'Sprint 19'!B:B, 0)), "")</f>
        <v>To Do</v>
      </c>
      <c r="W110" s="102" t="s">
        <v>1991</v>
      </c>
      <c r="X110" s="102" t="s">
        <v>1992</v>
      </c>
      <c r="Y110" s="102" t="s">
        <v>1085</v>
      </c>
    </row>
    <row r="111">
      <c r="A111" s="102" t="s">
        <v>276</v>
      </c>
      <c r="B111" s="102" t="s">
        <v>1996</v>
      </c>
      <c r="C111" s="229" t="s">
        <v>1997</v>
      </c>
      <c r="D111" s="102" t="s">
        <v>279</v>
      </c>
      <c r="E111" s="102" t="s">
        <v>280</v>
      </c>
      <c r="F111" s="102" t="s">
        <v>281</v>
      </c>
      <c r="G111" s="102" t="s">
        <v>1987</v>
      </c>
      <c r="H111" s="102" t="s">
        <v>1988</v>
      </c>
      <c r="I111" s="102" t="s">
        <v>284</v>
      </c>
      <c r="J111" s="102" t="s">
        <v>63</v>
      </c>
      <c r="L111" s="229" t="s">
        <v>1989</v>
      </c>
      <c r="M111" s="229" t="s">
        <v>2535</v>
      </c>
      <c r="O111" s="230"/>
      <c r="S111" s="230"/>
      <c r="T111" s="244" t="str">
        <f>IF(ISNUMBER(MATCH(B111, 'Sprint 19'!B:B, 0)), "มาจาก Sprint 19", "")</f>
        <v>มาจาก Sprint 19</v>
      </c>
      <c r="U111" s="244" t="str">
        <f t="array" ref="U111">IF(ISNUMBER(MATCH(B111, 'Sprint 19'!B:B, 0)), INDEX('Sprint 19'!J:J, MATCH(B111, 'Sprint 19'!B:B, 0)), "")</f>
        <v>To Do</v>
      </c>
      <c r="W111" s="102" t="s">
        <v>1991</v>
      </c>
      <c r="X111" s="102" t="s">
        <v>1992</v>
      </c>
      <c r="Y111" s="102" t="s">
        <v>1085</v>
      </c>
    </row>
    <row r="112">
      <c r="A112" s="102" t="s">
        <v>276</v>
      </c>
      <c r="B112" s="102" t="s">
        <v>3892</v>
      </c>
      <c r="C112" s="229" t="s">
        <v>3893</v>
      </c>
      <c r="D112" s="102" t="s">
        <v>279</v>
      </c>
      <c r="E112" s="102" t="s">
        <v>280</v>
      </c>
      <c r="F112" s="102" t="s">
        <v>281</v>
      </c>
      <c r="G112" s="102" t="s">
        <v>1987</v>
      </c>
      <c r="H112" s="102" t="s">
        <v>1988</v>
      </c>
      <c r="I112" s="102" t="s">
        <v>284</v>
      </c>
      <c r="J112" s="102" t="s">
        <v>26</v>
      </c>
      <c r="L112" s="229" t="s">
        <v>1989</v>
      </c>
      <c r="M112" s="229" t="s">
        <v>3894</v>
      </c>
      <c r="O112" s="230"/>
      <c r="S112" s="230"/>
      <c r="T112" s="244" t="str">
        <f>IF(ISNUMBER(MATCH(B112, 'Sprint 19'!B:B, 0)), "มาจาก Sprint 19", "")</f>
        <v>มาจาก Sprint 19</v>
      </c>
      <c r="U112" s="244" t="str">
        <f t="array" ref="U112">IF(ISNUMBER(MATCH(B112, 'Sprint 19'!B:B, 0)), INDEX('Sprint 19'!J:J, MATCH(B112, 'Sprint 19'!B:B, 0)), "")</f>
        <v>To Do</v>
      </c>
      <c r="W112" s="102" t="s">
        <v>1991</v>
      </c>
      <c r="X112" s="102" t="s">
        <v>1992</v>
      </c>
      <c r="Y112" s="102" t="s">
        <v>1085</v>
      </c>
    </row>
    <row r="113">
      <c r="A113" s="102" t="s">
        <v>276</v>
      </c>
      <c r="B113" s="102" t="s">
        <v>1998</v>
      </c>
      <c r="C113" s="229" t="s">
        <v>1999</v>
      </c>
      <c r="D113" s="102" t="s">
        <v>291</v>
      </c>
      <c r="E113" s="102" t="s">
        <v>280</v>
      </c>
      <c r="F113" s="102" t="s">
        <v>281</v>
      </c>
      <c r="G113" s="102" t="s">
        <v>1987</v>
      </c>
      <c r="H113" s="102" t="s">
        <v>1988</v>
      </c>
      <c r="I113" s="102" t="s">
        <v>284</v>
      </c>
      <c r="J113" s="102" t="s">
        <v>26</v>
      </c>
      <c r="L113" s="229" t="s">
        <v>1989</v>
      </c>
      <c r="M113" s="229" t="s">
        <v>1995</v>
      </c>
      <c r="O113" s="230"/>
      <c r="S113" s="230"/>
      <c r="T113" s="244" t="str">
        <f>IF(ISNUMBER(MATCH(B113, 'Sprint 19'!B:B, 0)), "มาจาก Sprint 19", "")</f>
        <v>มาจาก Sprint 19</v>
      </c>
      <c r="U113" s="244" t="str">
        <f t="array" ref="U113">IF(ISNUMBER(MATCH(B113, 'Sprint 19'!B:B, 0)), INDEX('Sprint 19'!J:J, MATCH(B113, 'Sprint 19'!B:B, 0)), "")</f>
        <v>To Do</v>
      </c>
      <c r="W113" s="102" t="s">
        <v>1991</v>
      </c>
      <c r="X113" s="102" t="s">
        <v>1992</v>
      </c>
      <c r="Y113" s="102" t="s">
        <v>1085</v>
      </c>
    </row>
    <row r="114">
      <c r="A114" s="102" t="s">
        <v>276</v>
      </c>
      <c r="B114" s="102" t="s">
        <v>2000</v>
      </c>
      <c r="C114" s="229" t="s">
        <v>2001</v>
      </c>
      <c r="D114" s="102" t="s">
        <v>291</v>
      </c>
      <c r="E114" s="102" t="s">
        <v>280</v>
      </c>
      <c r="F114" s="102" t="s">
        <v>281</v>
      </c>
      <c r="G114" s="102" t="s">
        <v>1987</v>
      </c>
      <c r="H114" s="102" t="s">
        <v>1988</v>
      </c>
      <c r="I114" s="102" t="s">
        <v>284</v>
      </c>
      <c r="J114" s="102" t="s">
        <v>26</v>
      </c>
      <c r="L114" s="229" t="s">
        <v>1989</v>
      </c>
      <c r="M114" s="229" t="s">
        <v>1995</v>
      </c>
      <c r="O114" s="230"/>
      <c r="S114" s="230"/>
      <c r="T114" s="244" t="str">
        <f>IF(ISNUMBER(MATCH(B114, 'Sprint 19'!B:B, 0)), "มาจาก Sprint 19", "")</f>
        <v>มาจาก Sprint 19</v>
      </c>
      <c r="U114" s="244" t="str">
        <f t="array" ref="U114">IF(ISNUMBER(MATCH(B114, 'Sprint 19'!B:B, 0)), INDEX('Sprint 19'!J:J, MATCH(B114, 'Sprint 19'!B:B, 0)), "")</f>
        <v>To Do</v>
      </c>
      <c r="W114" s="102" t="s">
        <v>1991</v>
      </c>
      <c r="X114" s="102" t="s">
        <v>1992</v>
      </c>
      <c r="Y114" s="102" t="s">
        <v>1085</v>
      </c>
    </row>
    <row r="115">
      <c r="A115" s="102" t="s">
        <v>276</v>
      </c>
      <c r="B115" s="102" t="s">
        <v>2002</v>
      </c>
      <c r="C115" s="229" t="s">
        <v>2003</v>
      </c>
      <c r="D115" s="102" t="s">
        <v>291</v>
      </c>
      <c r="E115" s="102" t="s">
        <v>280</v>
      </c>
      <c r="F115" s="102" t="s">
        <v>281</v>
      </c>
      <c r="G115" s="102" t="s">
        <v>1987</v>
      </c>
      <c r="H115" s="102" t="s">
        <v>1988</v>
      </c>
      <c r="I115" s="102" t="s">
        <v>284</v>
      </c>
      <c r="J115" s="102" t="s">
        <v>26</v>
      </c>
      <c r="L115" s="229" t="s">
        <v>1989</v>
      </c>
      <c r="M115" s="229" t="s">
        <v>1995</v>
      </c>
      <c r="O115" s="230"/>
      <c r="S115" s="230"/>
      <c r="T115" s="244" t="str">
        <f>IF(ISNUMBER(MATCH(B115, 'Sprint 19'!B:B, 0)), "มาจาก Sprint 19", "")</f>
        <v>มาจาก Sprint 19</v>
      </c>
      <c r="U115" s="244" t="str">
        <f t="array" ref="U115">IF(ISNUMBER(MATCH(B115, 'Sprint 19'!B:B, 0)), INDEX('Sprint 19'!J:J, MATCH(B115, 'Sprint 19'!B:B, 0)), "")</f>
        <v>To Do</v>
      </c>
      <c r="W115" s="102" t="s">
        <v>1991</v>
      </c>
      <c r="X115" s="102" t="s">
        <v>1992</v>
      </c>
      <c r="Y115" s="102" t="s">
        <v>1085</v>
      </c>
      <c r="AQ115" s="102"/>
    </row>
    <row r="116">
      <c r="A116" s="102" t="s">
        <v>276</v>
      </c>
      <c r="B116" s="102" t="s">
        <v>2004</v>
      </c>
      <c r="C116" s="229" t="s">
        <v>2005</v>
      </c>
      <c r="D116" s="102" t="s">
        <v>291</v>
      </c>
      <c r="E116" s="102" t="s">
        <v>280</v>
      </c>
      <c r="F116" s="102" t="s">
        <v>281</v>
      </c>
      <c r="G116" s="102" t="s">
        <v>1987</v>
      </c>
      <c r="H116" s="102" t="s">
        <v>1988</v>
      </c>
      <c r="I116" s="102" t="s">
        <v>284</v>
      </c>
      <c r="J116" s="102" t="s">
        <v>26</v>
      </c>
      <c r="L116" s="229" t="s">
        <v>1989</v>
      </c>
      <c r="M116" s="229" t="s">
        <v>1995</v>
      </c>
      <c r="O116" s="230"/>
      <c r="S116" s="230"/>
      <c r="T116" s="244" t="str">
        <f>IF(ISNUMBER(MATCH(B116, 'Sprint 19'!B:B, 0)), "มาจาก Sprint 19", "")</f>
        <v>มาจาก Sprint 19</v>
      </c>
      <c r="U116" s="244" t="str">
        <f t="array" ref="U116">IF(ISNUMBER(MATCH(B116, 'Sprint 19'!B:B, 0)), INDEX('Sprint 19'!J:J, MATCH(B116, 'Sprint 19'!B:B, 0)), "")</f>
        <v>To Do</v>
      </c>
      <c r="W116" s="102" t="s">
        <v>1991</v>
      </c>
      <c r="X116" s="102" t="s">
        <v>1992</v>
      </c>
      <c r="Y116" s="102" t="s">
        <v>1085</v>
      </c>
      <c r="AQ116" s="102"/>
    </row>
    <row r="117">
      <c r="A117" s="102" t="s">
        <v>276</v>
      </c>
      <c r="B117" s="102" t="s">
        <v>2006</v>
      </c>
      <c r="C117" s="229" t="s">
        <v>2007</v>
      </c>
      <c r="D117" s="102" t="s">
        <v>291</v>
      </c>
      <c r="E117" s="102" t="s">
        <v>280</v>
      </c>
      <c r="F117" s="102" t="s">
        <v>281</v>
      </c>
      <c r="G117" s="102" t="s">
        <v>1987</v>
      </c>
      <c r="H117" s="102" t="s">
        <v>1988</v>
      </c>
      <c r="I117" s="102" t="s">
        <v>284</v>
      </c>
      <c r="J117" s="102" t="s">
        <v>26</v>
      </c>
      <c r="L117" s="229" t="s">
        <v>1989</v>
      </c>
      <c r="M117" s="229" t="s">
        <v>1995</v>
      </c>
      <c r="O117" s="230"/>
      <c r="S117" s="230"/>
      <c r="T117" s="244" t="str">
        <f>IF(ISNUMBER(MATCH(B117, 'Sprint 19'!B:B, 0)), "มาจาก Sprint 19", "")</f>
        <v>มาจาก Sprint 19</v>
      </c>
      <c r="U117" s="244" t="str">
        <f t="array" ref="U117">IF(ISNUMBER(MATCH(B117, 'Sprint 19'!B:B, 0)), INDEX('Sprint 19'!J:J, MATCH(B117, 'Sprint 19'!B:B, 0)), "")</f>
        <v>To Do</v>
      </c>
      <c r="W117" s="102" t="s">
        <v>1991</v>
      </c>
      <c r="X117" s="102" t="s">
        <v>1992</v>
      </c>
      <c r="Y117" s="102" t="s">
        <v>1085</v>
      </c>
      <c r="AQ117" s="102"/>
    </row>
    <row r="118">
      <c r="A118" s="102" t="s">
        <v>276</v>
      </c>
      <c r="B118" s="102" t="s">
        <v>2008</v>
      </c>
      <c r="C118" s="229" t="s">
        <v>2009</v>
      </c>
      <c r="D118" s="102" t="s">
        <v>291</v>
      </c>
      <c r="E118" s="102" t="s">
        <v>280</v>
      </c>
      <c r="F118" s="102" t="s">
        <v>281</v>
      </c>
      <c r="G118" s="102" t="s">
        <v>1987</v>
      </c>
      <c r="H118" s="102" t="s">
        <v>1988</v>
      </c>
      <c r="I118" s="102" t="s">
        <v>284</v>
      </c>
      <c r="J118" s="102" t="s">
        <v>26</v>
      </c>
      <c r="L118" s="229" t="s">
        <v>1989</v>
      </c>
      <c r="M118" s="229" t="s">
        <v>1995</v>
      </c>
      <c r="O118" s="230"/>
      <c r="S118" s="230"/>
      <c r="T118" s="244" t="str">
        <f>IF(ISNUMBER(MATCH(B118, 'Sprint 19'!B:B, 0)), "มาจาก Sprint 19", "")</f>
        <v>มาจาก Sprint 19</v>
      </c>
      <c r="U118" s="244" t="str">
        <f t="array" ref="U118">IF(ISNUMBER(MATCH(B118, 'Sprint 19'!B:B, 0)), INDEX('Sprint 19'!J:J, MATCH(B118, 'Sprint 19'!B:B, 0)), "")</f>
        <v>To Do</v>
      </c>
      <c r="W118" s="102" t="s">
        <v>1991</v>
      </c>
      <c r="X118" s="102" t="s">
        <v>1992</v>
      </c>
      <c r="Y118" s="102" t="s">
        <v>1085</v>
      </c>
      <c r="AQ118" s="102"/>
    </row>
    <row r="119">
      <c r="A119" s="102" t="s">
        <v>276</v>
      </c>
      <c r="B119" s="102" t="s">
        <v>3895</v>
      </c>
      <c r="C119" s="229" t="s">
        <v>3896</v>
      </c>
      <c r="D119" s="102" t="s">
        <v>3890</v>
      </c>
      <c r="G119" s="102" t="s">
        <v>1987</v>
      </c>
      <c r="H119" s="102" t="s">
        <v>1988</v>
      </c>
      <c r="I119" s="102" t="s">
        <v>284</v>
      </c>
      <c r="J119" s="102" t="s">
        <v>26</v>
      </c>
      <c r="L119" s="229" t="s">
        <v>1989</v>
      </c>
      <c r="M119" s="229" t="s">
        <v>1995</v>
      </c>
      <c r="O119" s="230"/>
      <c r="S119" s="230"/>
      <c r="T119" s="244" t="str">
        <f>IF(ISNUMBER(MATCH(B119, 'Sprint 19'!B:B, 0)), "มาจาก Sprint 19", "")</f>
        <v>มาจาก Sprint 19</v>
      </c>
      <c r="U119" s="244" t="str">
        <f t="array" ref="U119">IF(ISNUMBER(MATCH(B119, 'Sprint 19'!B:B, 0)), INDEX('Sprint 19'!J:J, MATCH(B119, 'Sprint 19'!B:B, 0)), "")</f>
        <v>To Do</v>
      </c>
      <c r="W119" s="102" t="s">
        <v>1991</v>
      </c>
      <c r="X119" s="102" t="s">
        <v>1992</v>
      </c>
      <c r="Y119" s="102" t="s">
        <v>1085</v>
      </c>
      <c r="AQ119" s="102"/>
    </row>
    <row r="120">
      <c r="A120" s="102" t="s">
        <v>276</v>
      </c>
      <c r="B120" s="102" t="s">
        <v>3897</v>
      </c>
      <c r="C120" s="229" t="s">
        <v>3898</v>
      </c>
      <c r="D120" s="102" t="s">
        <v>291</v>
      </c>
      <c r="E120" s="102" t="s">
        <v>280</v>
      </c>
      <c r="F120" s="102" t="s">
        <v>281</v>
      </c>
      <c r="G120" s="102" t="s">
        <v>1987</v>
      </c>
      <c r="H120" s="102" t="s">
        <v>1988</v>
      </c>
      <c r="I120" s="102" t="s">
        <v>284</v>
      </c>
      <c r="J120" s="102" t="s">
        <v>26</v>
      </c>
      <c r="L120" s="229" t="s">
        <v>1989</v>
      </c>
      <c r="M120" s="229" t="s">
        <v>1995</v>
      </c>
      <c r="O120" s="230"/>
      <c r="S120" s="230"/>
      <c r="T120" s="244" t="str">
        <f>IF(ISNUMBER(MATCH(B120, 'Sprint 19'!B:B, 0)), "มาจาก Sprint 19", "")</f>
        <v>มาจาก Sprint 19</v>
      </c>
      <c r="U120" s="244" t="str">
        <f t="array" ref="U120">IF(ISNUMBER(MATCH(B120, 'Sprint 19'!B:B, 0)), INDEX('Sprint 19'!J:J, MATCH(B120, 'Sprint 19'!B:B, 0)), "")</f>
        <v>To Do</v>
      </c>
      <c r="W120" s="102" t="s">
        <v>1991</v>
      </c>
      <c r="X120" s="102" t="s">
        <v>1992</v>
      </c>
      <c r="Y120" s="102" t="s">
        <v>1085</v>
      </c>
    </row>
    <row r="121">
      <c r="A121" s="102" t="s">
        <v>276</v>
      </c>
      <c r="B121" s="102" t="s">
        <v>2010</v>
      </c>
      <c r="C121" s="229" t="s">
        <v>2011</v>
      </c>
      <c r="D121" s="102" t="s">
        <v>291</v>
      </c>
      <c r="E121" s="102" t="s">
        <v>280</v>
      </c>
      <c r="F121" s="102" t="s">
        <v>281</v>
      </c>
      <c r="G121" s="102" t="s">
        <v>1987</v>
      </c>
      <c r="H121" s="102" t="s">
        <v>1988</v>
      </c>
      <c r="I121" s="102" t="s">
        <v>284</v>
      </c>
      <c r="J121" s="102" t="s">
        <v>26</v>
      </c>
      <c r="L121" s="229" t="s">
        <v>1989</v>
      </c>
      <c r="M121" s="229" t="s">
        <v>1995</v>
      </c>
      <c r="O121" s="230"/>
      <c r="S121" s="230"/>
      <c r="T121" s="244" t="str">
        <f>IF(ISNUMBER(MATCH(B121, 'Sprint 19'!B:B, 0)), "มาจาก Sprint 19", "")</f>
        <v>มาจาก Sprint 19</v>
      </c>
      <c r="U121" s="244" t="str">
        <f t="array" ref="U121">IF(ISNUMBER(MATCH(B121, 'Sprint 19'!B:B, 0)), INDEX('Sprint 19'!J:J, MATCH(B121, 'Sprint 19'!B:B, 0)), "")</f>
        <v>To Do</v>
      </c>
      <c r="W121" s="102" t="s">
        <v>1991</v>
      </c>
      <c r="X121" s="102" t="s">
        <v>1992</v>
      </c>
      <c r="Y121" s="102" t="s">
        <v>1085</v>
      </c>
      <c r="AP121" s="102"/>
      <c r="AQ121" s="102"/>
      <c r="AR121" s="102"/>
    </row>
    <row r="122">
      <c r="A122" s="102" t="s">
        <v>276</v>
      </c>
      <c r="B122" s="102" t="s">
        <v>2012</v>
      </c>
      <c r="C122" s="229" t="s">
        <v>2013</v>
      </c>
      <c r="D122" s="102" t="s">
        <v>291</v>
      </c>
      <c r="E122" s="102" t="s">
        <v>280</v>
      </c>
      <c r="F122" s="102" t="s">
        <v>281</v>
      </c>
      <c r="G122" s="102" t="s">
        <v>1987</v>
      </c>
      <c r="H122" s="102" t="s">
        <v>1988</v>
      </c>
      <c r="I122" s="102" t="s">
        <v>284</v>
      </c>
      <c r="J122" s="102" t="s">
        <v>26</v>
      </c>
      <c r="L122" s="229" t="s">
        <v>1989</v>
      </c>
      <c r="M122" s="229" t="s">
        <v>1995</v>
      </c>
      <c r="O122" s="230"/>
      <c r="S122" s="230"/>
      <c r="T122" s="244" t="str">
        <f>IF(ISNUMBER(MATCH(B122, 'Sprint 19'!B:B, 0)), "มาจาก Sprint 19", "")</f>
        <v>มาจาก Sprint 19</v>
      </c>
      <c r="U122" s="244" t="str">
        <f t="array" ref="U122">IF(ISNUMBER(MATCH(B122, 'Sprint 19'!B:B, 0)), INDEX('Sprint 19'!J:J, MATCH(B122, 'Sprint 19'!B:B, 0)), "")</f>
        <v>To Do</v>
      </c>
      <c r="W122" s="102" t="s">
        <v>1991</v>
      </c>
      <c r="X122" s="102" t="s">
        <v>1992</v>
      </c>
      <c r="Y122" s="102" t="s">
        <v>1085</v>
      </c>
      <c r="AP122" s="102"/>
      <c r="AQ122" s="102"/>
      <c r="AR122" s="102"/>
    </row>
    <row r="123">
      <c r="A123" s="102" t="s">
        <v>276</v>
      </c>
      <c r="B123" s="102" t="s">
        <v>3453</v>
      </c>
      <c r="C123" s="229" t="s">
        <v>3454</v>
      </c>
      <c r="D123" s="102" t="s">
        <v>279</v>
      </c>
      <c r="E123" s="102" t="s">
        <v>280</v>
      </c>
      <c r="F123" s="102" t="s">
        <v>281</v>
      </c>
      <c r="G123" s="102" t="s">
        <v>1987</v>
      </c>
      <c r="H123" s="102" t="s">
        <v>1988</v>
      </c>
      <c r="I123" s="102" t="s">
        <v>284</v>
      </c>
      <c r="J123" s="102" t="s">
        <v>63</v>
      </c>
      <c r="L123" s="229" t="s">
        <v>3455</v>
      </c>
      <c r="M123" s="229" t="s">
        <v>3455</v>
      </c>
      <c r="O123" s="230"/>
      <c r="S123" s="230"/>
      <c r="T123" s="244" t="str">
        <f>IF(ISNUMBER(MATCH(B123, 'Sprint 19'!B:B, 0)), "มาจาก Sprint 19", "")</f>
        <v>มาจาก Sprint 19</v>
      </c>
      <c r="U123" s="244" t="str">
        <f t="array" ref="U123">IF(ISNUMBER(MATCH(B123, 'Sprint 19'!B:B, 0)), INDEX('Sprint 19'!J:J, MATCH(B123, 'Sprint 19'!B:B, 0)), "")</f>
        <v>To Do</v>
      </c>
      <c r="W123" s="102" t="s">
        <v>1992</v>
      </c>
      <c r="X123" s="102" t="s">
        <v>1085</v>
      </c>
    </row>
    <row r="124">
      <c r="A124" s="102" t="s">
        <v>276</v>
      </c>
      <c r="B124" s="102" t="s">
        <v>3456</v>
      </c>
      <c r="C124" s="229" t="s">
        <v>3457</v>
      </c>
      <c r="D124" s="102" t="s">
        <v>291</v>
      </c>
      <c r="E124" s="102" t="s">
        <v>280</v>
      </c>
      <c r="F124" s="102" t="s">
        <v>281</v>
      </c>
      <c r="G124" s="102" t="s">
        <v>1987</v>
      </c>
      <c r="H124" s="102" t="s">
        <v>1988</v>
      </c>
      <c r="I124" s="102" t="s">
        <v>284</v>
      </c>
      <c r="J124" s="102" t="s">
        <v>26</v>
      </c>
      <c r="L124" s="229" t="s">
        <v>3455</v>
      </c>
      <c r="M124" s="229" t="s">
        <v>3458</v>
      </c>
      <c r="O124" s="230"/>
      <c r="S124" s="230"/>
      <c r="T124" s="244" t="str">
        <f>IF(ISNUMBER(MATCH(B124, 'Sprint 19'!B:B, 0)), "มาจาก Sprint 19", "")</f>
        <v>มาจาก Sprint 19</v>
      </c>
      <c r="U124" s="244" t="str">
        <f t="array" ref="U124">IF(ISNUMBER(MATCH(B124, 'Sprint 19'!B:B, 0)), INDEX('Sprint 19'!J:J, MATCH(B124, 'Sprint 19'!B:B, 0)), "")</f>
        <v>To Do</v>
      </c>
      <c r="W124" s="102" t="s">
        <v>1992</v>
      </c>
      <c r="X124" s="102" t="s">
        <v>1085</v>
      </c>
      <c r="AP124" s="102"/>
      <c r="AQ124" s="102"/>
    </row>
    <row r="125">
      <c r="A125" s="102" t="s">
        <v>276</v>
      </c>
      <c r="B125" s="102" t="s">
        <v>3459</v>
      </c>
      <c r="C125" s="229" t="s">
        <v>3460</v>
      </c>
      <c r="D125" s="102" t="s">
        <v>279</v>
      </c>
      <c r="E125" s="102" t="s">
        <v>280</v>
      </c>
      <c r="F125" s="102" t="s">
        <v>281</v>
      </c>
      <c r="G125" s="102" t="s">
        <v>1987</v>
      </c>
      <c r="H125" s="102" t="s">
        <v>1988</v>
      </c>
      <c r="I125" s="102" t="s">
        <v>284</v>
      </c>
      <c r="J125" s="102" t="s">
        <v>63</v>
      </c>
      <c r="L125" s="229" t="s">
        <v>3455</v>
      </c>
      <c r="M125" s="229" t="s">
        <v>3455</v>
      </c>
      <c r="O125" s="230"/>
      <c r="S125" s="230"/>
      <c r="T125" s="244" t="str">
        <f>IF(ISNUMBER(MATCH(B125, 'Sprint 19'!B:B, 0)), "มาจาก Sprint 19", "")</f>
        <v>มาจาก Sprint 19</v>
      </c>
      <c r="U125" s="244" t="str">
        <f t="array" ref="U125">IF(ISNUMBER(MATCH(B125, 'Sprint 19'!B:B, 0)), INDEX('Sprint 19'!J:J, MATCH(B125, 'Sprint 19'!B:B, 0)), "")</f>
        <v>To Do</v>
      </c>
      <c r="W125" s="102" t="s">
        <v>1992</v>
      </c>
      <c r="X125" s="102" t="s">
        <v>1085</v>
      </c>
      <c r="AP125" s="102"/>
      <c r="AQ125" s="102"/>
    </row>
    <row r="126">
      <c r="A126" s="102" t="s">
        <v>276</v>
      </c>
      <c r="B126" s="102" t="s">
        <v>3462</v>
      </c>
      <c r="C126" s="229" t="s">
        <v>3463</v>
      </c>
      <c r="D126" s="102" t="s">
        <v>291</v>
      </c>
      <c r="E126" s="102" t="s">
        <v>280</v>
      </c>
      <c r="F126" s="102" t="s">
        <v>281</v>
      </c>
      <c r="G126" s="102" t="s">
        <v>1987</v>
      </c>
      <c r="H126" s="102" t="s">
        <v>1988</v>
      </c>
      <c r="I126" s="102" t="s">
        <v>284</v>
      </c>
      <c r="J126" s="102" t="s">
        <v>26</v>
      </c>
      <c r="L126" s="229" t="s">
        <v>3455</v>
      </c>
      <c r="M126" s="229" t="s">
        <v>3458</v>
      </c>
      <c r="O126" s="230"/>
      <c r="S126" s="230"/>
      <c r="T126" s="244" t="str">
        <f>IF(ISNUMBER(MATCH(B126, 'Sprint 19'!B:B, 0)), "มาจาก Sprint 19", "")</f>
        <v>มาจาก Sprint 19</v>
      </c>
      <c r="U126" s="244" t="str">
        <f t="array" ref="U126">IF(ISNUMBER(MATCH(B126, 'Sprint 19'!B:B, 0)), INDEX('Sprint 19'!J:J, MATCH(B126, 'Sprint 19'!B:B, 0)), "")</f>
        <v>To Do</v>
      </c>
      <c r="W126" s="102" t="s">
        <v>1992</v>
      </c>
      <c r="X126" s="102" t="s">
        <v>1085</v>
      </c>
      <c r="AP126" s="102"/>
      <c r="AQ126" s="102"/>
    </row>
    <row r="127">
      <c r="A127" s="102" t="s">
        <v>276</v>
      </c>
      <c r="B127" s="102" t="s">
        <v>3899</v>
      </c>
      <c r="C127" s="229" t="s">
        <v>3900</v>
      </c>
      <c r="D127" s="102" t="s">
        <v>279</v>
      </c>
      <c r="E127" s="102" t="s">
        <v>521</v>
      </c>
      <c r="F127" s="102" t="s">
        <v>522</v>
      </c>
      <c r="G127" s="102" t="s">
        <v>1987</v>
      </c>
      <c r="H127" s="102" t="s">
        <v>1988</v>
      </c>
      <c r="I127" s="102" t="s">
        <v>284</v>
      </c>
      <c r="J127" s="102" t="s">
        <v>34</v>
      </c>
      <c r="L127" s="229" t="s">
        <v>3455</v>
      </c>
      <c r="M127" s="229" t="s">
        <v>3901</v>
      </c>
      <c r="O127" s="230"/>
      <c r="S127" s="230"/>
      <c r="T127" s="244" t="str">
        <f>IF(ISNUMBER(MATCH(B127, 'Sprint 19'!B:B, 0)), "มาจาก Sprint 19", "")</f>
        <v>มาจาก Sprint 19</v>
      </c>
      <c r="U127" s="244" t="str">
        <f t="array" ref="U127">IF(ISNUMBER(MATCH(B127, 'Sprint 19'!B:B, 0)), INDEX('Sprint 19'!J:J, MATCH(B127, 'Sprint 19'!B:B, 0)), "")</f>
        <v>To Do</v>
      </c>
      <c r="W127" s="102" t="s">
        <v>1992</v>
      </c>
      <c r="X127" s="102" t="s">
        <v>1085</v>
      </c>
      <c r="AP127" s="102"/>
      <c r="AQ127" s="102"/>
    </row>
    <row r="128">
      <c r="A128" s="102" t="s">
        <v>276</v>
      </c>
      <c r="B128" s="102" t="s">
        <v>3902</v>
      </c>
      <c r="C128" s="229" t="s">
        <v>3903</v>
      </c>
      <c r="D128" s="102" t="s">
        <v>291</v>
      </c>
      <c r="E128" s="102" t="s">
        <v>280</v>
      </c>
      <c r="F128" s="102" t="s">
        <v>281</v>
      </c>
      <c r="G128" s="102" t="s">
        <v>1987</v>
      </c>
      <c r="H128" s="102" t="s">
        <v>1988</v>
      </c>
      <c r="I128" s="102" t="s">
        <v>284</v>
      </c>
      <c r="J128" s="102" t="s">
        <v>26</v>
      </c>
      <c r="L128" s="229" t="s">
        <v>3455</v>
      </c>
      <c r="M128" s="229" t="s">
        <v>3458</v>
      </c>
      <c r="O128" s="230"/>
      <c r="S128" s="230"/>
      <c r="T128" s="244" t="str">
        <f>IF(ISNUMBER(MATCH(B128, 'Sprint 19'!B:B, 0)), "มาจาก Sprint 19", "")</f>
        <v>มาจาก Sprint 19</v>
      </c>
      <c r="U128" s="244" t="str">
        <f t="array" ref="U128">IF(ISNUMBER(MATCH(B128, 'Sprint 19'!B:B, 0)), INDEX('Sprint 19'!J:J, MATCH(B128, 'Sprint 19'!B:B, 0)), "")</f>
        <v>In Review</v>
      </c>
      <c r="W128" s="102" t="s">
        <v>1992</v>
      </c>
      <c r="X128" s="102" t="s">
        <v>1085</v>
      </c>
      <c r="AP128" s="102"/>
      <c r="AQ128" s="102"/>
    </row>
    <row r="129">
      <c r="A129" s="102" t="s">
        <v>276</v>
      </c>
      <c r="B129" s="102" t="s">
        <v>3904</v>
      </c>
      <c r="C129" s="229" t="s">
        <v>3905</v>
      </c>
      <c r="D129" s="102" t="s">
        <v>279</v>
      </c>
      <c r="E129" s="102" t="s">
        <v>280</v>
      </c>
      <c r="F129" s="102" t="s">
        <v>281</v>
      </c>
      <c r="G129" s="102" t="s">
        <v>1987</v>
      </c>
      <c r="H129" s="102" t="s">
        <v>1988</v>
      </c>
      <c r="I129" s="102" t="s">
        <v>284</v>
      </c>
      <c r="J129" s="102" t="s">
        <v>63</v>
      </c>
      <c r="L129" s="229" t="s">
        <v>3455</v>
      </c>
      <c r="M129" s="229" t="s">
        <v>3455</v>
      </c>
      <c r="O129" s="230"/>
      <c r="S129" s="230"/>
      <c r="T129" s="244" t="str">
        <f>IF(ISNUMBER(MATCH(B129, 'Sprint 19'!B:B, 0)), "มาจาก Sprint 19", "")</f>
        <v>มาจาก Sprint 19</v>
      </c>
      <c r="U129" s="244" t="str">
        <f t="array" ref="U129">IF(ISNUMBER(MATCH(B129, 'Sprint 19'!B:B, 0)), INDEX('Sprint 19'!J:J, MATCH(B129, 'Sprint 19'!B:B, 0)), "")</f>
        <v>To Do</v>
      </c>
      <c r="W129" s="102" t="s">
        <v>1992</v>
      </c>
      <c r="X129" s="102" t="s">
        <v>1085</v>
      </c>
      <c r="AP129" s="102"/>
      <c r="AQ129" s="102"/>
    </row>
    <row r="130">
      <c r="A130" s="102" t="s">
        <v>276</v>
      </c>
      <c r="B130" s="102" t="s">
        <v>3906</v>
      </c>
      <c r="C130" s="229" t="s">
        <v>3907</v>
      </c>
      <c r="D130" s="102" t="s">
        <v>291</v>
      </c>
      <c r="E130" s="102" t="s">
        <v>280</v>
      </c>
      <c r="F130" s="102" t="s">
        <v>281</v>
      </c>
      <c r="G130" s="102" t="s">
        <v>1987</v>
      </c>
      <c r="H130" s="102" t="s">
        <v>1988</v>
      </c>
      <c r="I130" s="102" t="s">
        <v>284</v>
      </c>
      <c r="J130" s="102" t="s">
        <v>26</v>
      </c>
      <c r="L130" s="229" t="s">
        <v>3455</v>
      </c>
      <c r="M130" s="229" t="s">
        <v>3458</v>
      </c>
      <c r="O130" s="230"/>
      <c r="S130" s="230"/>
      <c r="T130" s="244" t="str">
        <f>IF(ISNUMBER(MATCH(B130, 'Sprint 19'!B:B, 0)), "มาจาก Sprint 19", "")</f>
        <v>มาจาก Sprint 19</v>
      </c>
      <c r="U130" s="244" t="str">
        <f t="array" ref="U130">IF(ISNUMBER(MATCH(B130, 'Sprint 19'!B:B, 0)), INDEX('Sprint 19'!J:J, MATCH(B130, 'Sprint 19'!B:B, 0)), "")</f>
        <v>To Do</v>
      </c>
      <c r="W130" s="102" t="s">
        <v>1992</v>
      </c>
      <c r="X130" s="102" t="s">
        <v>1085</v>
      </c>
      <c r="AP130" s="102"/>
      <c r="AQ130" s="102"/>
      <c r="AR130" s="102"/>
    </row>
    <row r="131">
      <c r="A131" s="102" t="s">
        <v>276</v>
      </c>
      <c r="B131" s="102" t="s">
        <v>3908</v>
      </c>
      <c r="C131" s="229" t="s">
        <v>3909</v>
      </c>
      <c r="D131" s="102" t="s">
        <v>279</v>
      </c>
      <c r="E131" s="102" t="s">
        <v>3288</v>
      </c>
      <c r="F131" s="102" t="s">
        <v>3289</v>
      </c>
      <c r="G131" s="102" t="s">
        <v>1987</v>
      </c>
      <c r="H131" s="102" t="s">
        <v>1988</v>
      </c>
      <c r="I131" s="102" t="s">
        <v>284</v>
      </c>
      <c r="J131" s="102" t="s">
        <v>63</v>
      </c>
      <c r="L131" s="229" t="s">
        <v>3455</v>
      </c>
      <c r="M131" s="229" t="s">
        <v>3901</v>
      </c>
      <c r="O131" s="230"/>
      <c r="S131" s="230"/>
      <c r="T131" s="244" t="str">
        <f>IF(ISNUMBER(MATCH(B131, 'Sprint 19'!B:B, 0)), "มาจาก Sprint 19", "")</f>
        <v>มาจาก Sprint 19</v>
      </c>
      <c r="U131" s="244" t="str">
        <f t="array" ref="U131">IF(ISNUMBER(MATCH(B131, 'Sprint 19'!B:B, 0)), INDEX('Sprint 19'!J:J, MATCH(B131, 'Sprint 19'!B:B, 0)), "")</f>
        <v>To Do</v>
      </c>
      <c r="W131" s="102" t="s">
        <v>1992</v>
      </c>
      <c r="X131" s="102" t="s">
        <v>1085</v>
      </c>
      <c r="AP131" s="102"/>
      <c r="AQ131" s="102"/>
      <c r="AR131" s="102"/>
    </row>
    <row r="132">
      <c r="A132" s="102" t="s">
        <v>276</v>
      </c>
      <c r="B132" s="102" t="s">
        <v>3910</v>
      </c>
      <c r="C132" s="229" t="s">
        <v>3911</v>
      </c>
      <c r="D132" s="102" t="s">
        <v>291</v>
      </c>
      <c r="E132" s="102" t="s">
        <v>280</v>
      </c>
      <c r="F132" s="102" t="s">
        <v>281</v>
      </c>
      <c r="G132" s="102" t="s">
        <v>1987</v>
      </c>
      <c r="H132" s="102" t="s">
        <v>1988</v>
      </c>
      <c r="I132" s="102" t="s">
        <v>284</v>
      </c>
      <c r="J132" s="102" t="s">
        <v>26</v>
      </c>
      <c r="L132" s="229" t="s">
        <v>3455</v>
      </c>
      <c r="M132" s="229" t="s">
        <v>3458</v>
      </c>
      <c r="O132" s="230"/>
      <c r="S132" s="230"/>
      <c r="T132" s="244" t="str">
        <f>IF(ISNUMBER(MATCH(B132, 'Sprint 19'!B:B, 0)), "มาจาก Sprint 19", "")</f>
        <v>มาจาก Sprint 19</v>
      </c>
      <c r="U132" s="244" t="str">
        <f t="array" ref="U132">IF(ISNUMBER(MATCH(B132, 'Sprint 19'!B:B, 0)), INDEX('Sprint 19'!J:J, MATCH(B132, 'Sprint 19'!B:B, 0)), "")</f>
        <v>In Review</v>
      </c>
      <c r="W132" s="102" t="s">
        <v>1992</v>
      </c>
      <c r="X132" s="102" t="s">
        <v>1085</v>
      </c>
      <c r="AP132" s="102"/>
      <c r="AQ132" s="102"/>
      <c r="AR132" s="102"/>
    </row>
    <row r="133">
      <c r="A133" s="102" t="s">
        <v>276</v>
      </c>
      <c r="B133" s="102" t="s">
        <v>3464</v>
      </c>
      <c r="C133" s="229" t="s">
        <v>3465</v>
      </c>
      <c r="D133" s="102" t="s">
        <v>279</v>
      </c>
      <c r="E133" s="102" t="s">
        <v>280</v>
      </c>
      <c r="F133" s="102" t="s">
        <v>281</v>
      </c>
      <c r="G133" s="102" t="s">
        <v>1987</v>
      </c>
      <c r="H133" s="102" t="s">
        <v>1988</v>
      </c>
      <c r="I133" s="102" t="s">
        <v>284</v>
      </c>
      <c r="J133" s="102" t="s">
        <v>63</v>
      </c>
      <c r="L133" s="229" t="s">
        <v>3466</v>
      </c>
      <c r="M133" s="229" t="s">
        <v>3466</v>
      </c>
      <c r="O133" s="230"/>
      <c r="S133" s="230"/>
      <c r="T133" s="244" t="str">
        <f>IF(ISNUMBER(MATCH(B133, 'Sprint 19'!B:B, 0)), "มาจาก Sprint 19", "")</f>
        <v>มาจาก Sprint 19</v>
      </c>
      <c r="U133" s="244" t="str">
        <f t="array" ref="U133">IF(ISNUMBER(MATCH(B133, 'Sprint 19'!B:B, 0)), INDEX('Sprint 19'!J:J, MATCH(B133, 'Sprint 19'!B:B, 0)), "")</f>
        <v>To Do</v>
      </c>
      <c r="W133" s="102" t="s">
        <v>1992</v>
      </c>
      <c r="X133" s="102" t="s">
        <v>1085</v>
      </c>
    </row>
    <row r="134">
      <c r="A134" s="102" t="s">
        <v>276</v>
      </c>
      <c r="B134" s="102" t="s">
        <v>3467</v>
      </c>
      <c r="C134" s="229" t="s">
        <v>3468</v>
      </c>
      <c r="D134" s="102" t="s">
        <v>291</v>
      </c>
      <c r="E134" s="102" t="s">
        <v>280</v>
      </c>
      <c r="F134" s="102" t="s">
        <v>281</v>
      </c>
      <c r="G134" s="102" t="s">
        <v>1987</v>
      </c>
      <c r="H134" s="102" t="s">
        <v>1988</v>
      </c>
      <c r="I134" s="102" t="s">
        <v>284</v>
      </c>
      <c r="J134" s="102" t="s">
        <v>26</v>
      </c>
      <c r="L134" s="229" t="s">
        <v>3466</v>
      </c>
      <c r="M134" s="229" t="s">
        <v>3458</v>
      </c>
      <c r="O134" s="230"/>
      <c r="S134" s="230"/>
      <c r="T134" s="244" t="str">
        <f>IF(ISNUMBER(MATCH(B134, 'Sprint 19'!B:B, 0)), "มาจาก Sprint 19", "")</f>
        <v>มาจาก Sprint 19</v>
      </c>
      <c r="U134" s="244" t="str">
        <f t="array" ref="U134">IF(ISNUMBER(MATCH(B134, 'Sprint 19'!B:B, 0)), INDEX('Sprint 19'!J:J, MATCH(B134, 'Sprint 19'!B:B, 0)), "")</f>
        <v>To Do</v>
      </c>
      <c r="W134" s="102" t="s">
        <v>1992</v>
      </c>
      <c r="X134" s="102" t="s">
        <v>1085</v>
      </c>
    </row>
    <row r="135">
      <c r="A135" s="102" t="s">
        <v>276</v>
      </c>
      <c r="B135" s="102" t="s">
        <v>3469</v>
      </c>
      <c r="C135" s="229" t="s">
        <v>3470</v>
      </c>
      <c r="D135" s="102" t="s">
        <v>279</v>
      </c>
      <c r="E135" s="102" t="s">
        <v>280</v>
      </c>
      <c r="F135" s="102" t="s">
        <v>281</v>
      </c>
      <c r="G135" s="102" t="s">
        <v>1987</v>
      </c>
      <c r="H135" s="102" t="s">
        <v>1988</v>
      </c>
      <c r="I135" s="102" t="s">
        <v>284</v>
      </c>
      <c r="J135" s="102" t="s">
        <v>63</v>
      </c>
      <c r="L135" s="229" t="s">
        <v>3471</v>
      </c>
      <c r="M135" s="229" t="s">
        <v>3912</v>
      </c>
      <c r="O135" s="230"/>
      <c r="S135" s="230"/>
      <c r="T135" s="244" t="str">
        <f>IF(ISNUMBER(MATCH(B135, 'Sprint 19'!B:B, 0)), "มาจาก Sprint 19", "")</f>
        <v>มาจาก Sprint 19</v>
      </c>
      <c r="U135" s="244" t="str">
        <f t="array" ref="U135">IF(ISNUMBER(MATCH(B135, 'Sprint 19'!B:B, 0)), INDEX('Sprint 19'!J:J, MATCH(B135, 'Sprint 19'!B:B, 0)), "")</f>
        <v>To Do</v>
      </c>
      <c r="W135" s="102" t="s">
        <v>1992</v>
      </c>
      <c r="X135" s="102" t="s">
        <v>1085</v>
      </c>
    </row>
    <row r="136">
      <c r="A136" s="102" t="s">
        <v>276</v>
      </c>
      <c r="B136" s="102" t="s">
        <v>3473</v>
      </c>
      <c r="C136" s="229" t="s">
        <v>3474</v>
      </c>
      <c r="D136" s="102" t="s">
        <v>291</v>
      </c>
      <c r="E136" s="102" t="s">
        <v>280</v>
      </c>
      <c r="F136" s="102" t="s">
        <v>281</v>
      </c>
      <c r="G136" s="102" t="s">
        <v>1987</v>
      </c>
      <c r="H136" s="102" t="s">
        <v>1988</v>
      </c>
      <c r="I136" s="102" t="s">
        <v>284</v>
      </c>
      <c r="J136" s="102" t="s">
        <v>26</v>
      </c>
      <c r="L136" s="229" t="s">
        <v>3471</v>
      </c>
      <c r="M136" s="229" t="s">
        <v>3458</v>
      </c>
      <c r="O136" s="230"/>
      <c r="S136" s="230"/>
      <c r="T136" s="244" t="str">
        <f>IF(ISNUMBER(MATCH(B136, 'Sprint 19'!B:B, 0)), "มาจาก Sprint 19", "")</f>
        <v>มาจาก Sprint 19</v>
      </c>
      <c r="U136" s="244" t="str">
        <f t="array" ref="U136">IF(ISNUMBER(MATCH(B136, 'Sprint 19'!B:B, 0)), INDEX('Sprint 19'!J:J, MATCH(B136, 'Sprint 19'!B:B, 0)), "")</f>
        <v>To Do</v>
      </c>
      <c r="W136" s="102" t="s">
        <v>1992</v>
      </c>
      <c r="X136" s="102" t="s">
        <v>1085</v>
      </c>
    </row>
    <row r="137">
      <c r="A137" s="102" t="s">
        <v>276</v>
      </c>
      <c r="B137" s="102" t="s">
        <v>3475</v>
      </c>
      <c r="C137" s="229" t="s">
        <v>3476</v>
      </c>
      <c r="D137" s="102" t="s">
        <v>291</v>
      </c>
      <c r="E137" s="102" t="s">
        <v>280</v>
      </c>
      <c r="F137" s="102" t="s">
        <v>281</v>
      </c>
      <c r="G137" s="102" t="s">
        <v>1987</v>
      </c>
      <c r="H137" s="102" t="s">
        <v>1988</v>
      </c>
      <c r="I137" s="102" t="s">
        <v>284</v>
      </c>
      <c r="J137" s="102" t="s">
        <v>63</v>
      </c>
      <c r="L137" s="229" t="s">
        <v>3477</v>
      </c>
      <c r="M137" s="229" t="s">
        <v>3477</v>
      </c>
      <c r="O137" s="230"/>
      <c r="S137" s="230"/>
      <c r="T137" s="244" t="str">
        <f>IF(ISNUMBER(MATCH(B137, 'Sprint 19'!B:B, 0)), "มาจาก Sprint 19", "")</f>
        <v>มาจาก Sprint 19</v>
      </c>
      <c r="U137" s="244" t="str">
        <f t="array" ref="U137">IF(ISNUMBER(MATCH(B137, 'Sprint 19'!B:B, 0)), INDEX('Sprint 19'!J:J, MATCH(B137, 'Sprint 19'!B:B, 0)), "")</f>
        <v>To Do</v>
      </c>
      <c r="W137" s="102" t="s">
        <v>1992</v>
      </c>
      <c r="X137" s="102" t="s">
        <v>1085</v>
      </c>
    </row>
    <row r="138">
      <c r="A138" s="102" t="s">
        <v>276</v>
      </c>
      <c r="B138" s="102" t="s">
        <v>3478</v>
      </c>
      <c r="C138" s="229" t="s">
        <v>3479</v>
      </c>
      <c r="D138" s="102" t="s">
        <v>279</v>
      </c>
      <c r="E138" s="102" t="s">
        <v>280</v>
      </c>
      <c r="F138" s="102" t="s">
        <v>281</v>
      </c>
      <c r="G138" s="102" t="s">
        <v>1987</v>
      </c>
      <c r="H138" s="102" t="s">
        <v>1988</v>
      </c>
      <c r="I138" s="102" t="s">
        <v>284</v>
      </c>
      <c r="J138" s="102" t="s">
        <v>26</v>
      </c>
      <c r="L138" s="229" t="s">
        <v>3477</v>
      </c>
      <c r="M138" s="229" t="s">
        <v>3458</v>
      </c>
      <c r="O138" s="230"/>
      <c r="S138" s="230"/>
      <c r="T138" s="244" t="str">
        <f>IF(ISNUMBER(MATCH(B138, 'Sprint 19'!B:B, 0)), "มาจาก Sprint 19", "")</f>
        <v>มาจาก Sprint 19</v>
      </c>
      <c r="U138" s="244" t="str">
        <f t="array" ref="U138">IF(ISNUMBER(MATCH(B138, 'Sprint 19'!B:B, 0)), INDEX('Sprint 19'!J:J, MATCH(B138, 'Sprint 19'!B:B, 0)), "")</f>
        <v>In Progress</v>
      </c>
      <c r="W138" s="102" t="s">
        <v>1992</v>
      </c>
      <c r="X138" s="102" t="s">
        <v>1085</v>
      </c>
    </row>
    <row r="139">
      <c r="A139" s="102" t="s">
        <v>276</v>
      </c>
      <c r="B139" s="102" t="s">
        <v>3913</v>
      </c>
      <c r="C139" s="229" t="s">
        <v>3914</v>
      </c>
      <c r="D139" s="102" t="s">
        <v>279</v>
      </c>
      <c r="E139" s="102" t="s">
        <v>3288</v>
      </c>
      <c r="F139" s="102" t="s">
        <v>3289</v>
      </c>
      <c r="G139" s="102" t="s">
        <v>1987</v>
      </c>
      <c r="H139" s="102" t="s">
        <v>1988</v>
      </c>
      <c r="I139" s="102" t="s">
        <v>284</v>
      </c>
      <c r="J139" s="102" t="s">
        <v>63</v>
      </c>
      <c r="L139" s="229" t="s">
        <v>3915</v>
      </c>
      <c r="M139" s="229" t="s">
        <v>3901</v>
      </c>
      <c r="O139" s="230"/>
      <c r="S139" s="230"/>
      <c r="T139" s="244" t="str">
        <f>IF(ISNUMBER(MATCH(B139, 'Sprint 19'!B:B, 0)), "มาจาก Sprint 19", "")</f>
        <v>มาจาก Sprint 19</v>
      </c>
      <c r="U139" s="244" t="str">
        <f t="array" ref="U139">IF(ISNUMBER(MATCH(B139, 'Sprint 19'!B:B, 0)), INDEX('Sprint 19'!J:J, MATCH(B139, 'Sprint 19'!B:B, 0)), "")</f>
        <v>To Do</v>
      </c>
      <c r="W139" s="102" t="s">
        <v>1992</v>
      </c>
      <c r="X139" s="102" t="s">
        <v>1085</v>
      </c>
    </row>
    <row r="140">
      <c r="A140" s="102" t="s">
        <v>276</v>
      </c>
      <c r="B140" s="102" t="s">
        <v>3916</v>
      </c>
      <c r="C140" s="229" t="s">
        <v>3917</v>
      </c>
      <c r="D140" s="102" t="s">
        <v>291</v>
      </c>
      <c r="E140" s="102" t="s">
        <v>280</v>
      </c>
      <c r="F140" s="102" t="s">
        <v>281</v>
      </c>
      <c r="G140" s="102" t="s">
        <v>1987</v>
      </c>
      <c r="H140" s="102" t="s">
        <v>1988</v>
      </c>
      <c r="I140" s="102" t="s">
        <v>284</v>
      </c>
      <c r="J140" s="102" t="s">
        <v>26</v>
      </c>
      <c r="L140" s="229" t="s">
        <v>3915</v>
      </c>
      <c r="M140" s="229" t="s">
        <v>3918</v>
      </c>
      <c r="O140" s="230"/>
      <c r="S140" s="230"/>
      <c r="T140" s="244" t="str">
        <f>IF(ISNUMBER(MATCH(B140, 'Sprint 19'!B:B, 0)), "มาจาก Sprint 19", "")</f>
        <v>มาจาก Sprint 19</v>
      </c>
      <c r="U140" s="244" t="str">
        <f t="array" ref="U140">IF(ISNUMBER(MATCH(B140, 'Sprint 19'!B:B, 0)), INDEX('Sprint 19'!J:J, MATCH(B140, 'Sprint 19'!B:B, 0)), "")</f>
        <v>In Review</v>
      </c>
      <c r="W140" s="102" t="s">
        <v>1992</v>
      </c>
      <c r="X140" s="102" t="s">
        <v>1085</v>
      </c>
    </row>
    <row r="141">
      <c r="A141" s="102" t="s">
        <v>276</v>
      </c>
      <c r="B141" s="102" t="s">
        <v>3919</v>
      </c>
      <c r="C141" s="229" t="s">
        <v>3920</v>
      </c>
      <c r="D141" s="102" t="s">
        <v>279</v>
      </c>
      <c r="E141" s="102" t="s">
        <v>3288</v>
      </c>
      <c r="F141" s="102" t="s">
        <v>3289</v>
      </c>
      <c r="G141" s="102" t="s">
        <v>1987</v>
      </c>
      <c r="H141" s="102" t="s">
        <v>1988</v>
      </c>
      <c r="I141" s="102" t="s">
        <v>284</v>
      </c>
      <c r="J141" s="102" t="s">
        <v>34</v>
      </c>
      <c r="L141" s="229" t="s">
        <v>3915</v>
      </c>
      <c r="M141" s="229" t="s">
        <v>3901</v>
      </c>
      <c r="O141" s="230"/>
      <c r="S141" s="230"/>
      <c r="T141" s="244" t="str">
        <f>IF(ISNUMBER(MATCH(B141, 'Sprint 19'!B:B, 0)), "มาจาก Sprint 19", "")</f>
        <v>มาจาก Sprint 19</v>
      </c>
      <c r="U141" s="244" t="str">
        <f t="array" ref="U141">IF(ISNUMBER(MATCH(B141, 'Sprint 19'!B:B, 0)), INDEX('Sprint 19'!J:J, MATCH(B141, 'Sprint 19'!B:B, 0)), "")</f>
        <v>To Do</v>
      </c>
      <c r="W141" s="102" t="s">
        <v>1992</v>
      </c>
      <c r="X141" s="102" t="s">
        <v>1085</v>
      </c>
    </row>
    <row r="142">
      <c r="A142" s="102" t="s">
        <v>276</v>
      </c>
      <c r="B142" s="102" t="s">
        <v>3921</v>
      </c>
      <c r="C142" s="229" t="s">
        <v>3922</v>
      </c>
      <c r="D142" s="102" t="s">
        <v>291</v>
      </c>
      <c r="E142" s="102" t="s">
        <v>280</v>
      </c>
      <c r="F142" s="102" t="s">
        <v>281</v>
      </c>
      <c r="G142" s="102" t="s">
        <v>1987</v>
      </c>
      <c r="H142" s="102" t="s">
        <v>1988</v>
      </c>
      <c r="I142" s="102" t="s">
        <v>284</v>
      </c>
      <c r="J142" s="102" t="s">
        <v>26</v>
      </c>
      <c r="L142" s="229" t="s">
        <v>3915</v>
      </c>
      <c r="M142" s="229" t="s">
        <v>3458</v>
      </c>
      <c r="O142" s="230"/>
      <c r="S142" s="230"/>
      <c r="T142" s="244" t="str">
        <f>IF(ISNUMBER(MATCH(B142, 'Sprint 19'!B:B, 0)), "มาจาก Sprint 19", "")</f>
        <v>มาจาก Sprint 19</v>
      </c>
      <c r="U142" s="244" t="str">
        <f t="array" ref="U142">IF(ISNUMBER(MATCH(B142, 'Sprint 19'!B:B, 0)), INDEX('Sprint 19'!J:J, MATCH(B142, 'Sprint 19'!B:B, 0)), "")</f>
        <v>In Review</v>
      </c>
      <c r="W142" s="102" t="s">
        <v>1992</v>
      </c>
      <c r="X142" s="102" t="s">
        <v>1085</v>
      </c>
    </row>
    <row r="143">
      <c r="A143" s="102" t="s">
        <v>276</v>
      </c>
      <c r="B143" s="102" t="s">
        <v>3480</v>
      </c>
      <c r="C143" s="229" t="s">
        <v>3481</v>
      </c>
      <c r="D143" s="102" t="s">
        <v>347</v>
      </c>
      <c r="E143" s="102" t="s">
        <v>280</v>
      </c>
      <c r="F143" s="102" t="s">
        <v>281</v>
      </c>
      <c r="G143" s="102" t="s">
        <v>280</v>
      </c>
      <c r="H143" s="102" t="s">
        <v>281</v>
      </c>
      <c r="I143" s="102" t="s">
        <v>284</v>
      </c>
      <c r="J143" s="102" t="s">
        <v>63</v>
      </c>
      <c r="L143" s="229" t="s">
        <v>3482</v>
      </c>
      <c r="M143" s="229" t="s">
        <v>3482</v>
      </c>
      <c r="O143" s="230"/>
      <c r="S143" s="230"/>
      <c r="T143" s="244" t="str">
        <f>IF(ISNUMBER(MATCH(B143, 'Sprint 19'!B:B, 0)), "มาจาก Sprint 19", "")</f>
        <v>มาจาก Sprint 19</v>
      </c>
      <c r="U143" s="244" t="str">
        <f t="array" ref="U143">IF(ISNUMBER(MATCH(B143, 'Sprint 19'!B:B, 0)), INDEX('Sprint 19'!J:J, MATCH(B143, 'Sprint 19'!B:B, 0)), "")</f>
        <v>To Do</v>
      </c>
      <c r="W143" s="102" t="s">
        <v>1992</v>
      </c>
      <c r="X143" s="102" t="s">
        <v>1085</v>
      </c>
    </row>
    <row r="144">
      <c r="A144" s="102" t="s">
        <v>276</v>
      </c>
      <c r="B144" s="102" t="s">
        <v>3484</v>
      </c>
      <c r="C144" s="229" t="s">
        <v>3485</v>
      </c>
      <c r="D144" s="102" t="s">
        <v>2030</v>
      </c>
      <c r="E144" s="102" t="s">
        <v>280</v>
      </c>
      <c r="F144" s="102" t="s">
        <v>281</v>
      </c>
      <c r="G144" s="102" t="s">
        <v>280</v>
      </c>
      <c r="H144" s="102" t="s">
        <v>281</v>
      </c>
      <c r="I144" s="102" t="s">
        <v>284</v>
      </c>
      <c r="J144" s="102" t="s">
        <v>26</v>
      </c>
      <c r="L144" s="229" t="s">
        <v>3486</v>
      </c>
      <c r="M144" s="229" t="s">
        <v>3487</v>
      </c>
      <c r="O144" s="230"/>
      <c r="S144" s="230"/>
      <c r="T144" s="244" t="str">
        <f>IF(ISNUMBER(MATCH(B144, 'Sprint 19'!B:B, 0)), "มาจาก Sprint 19", "")</f>
        <v>มาจาก Sprint 19</v>
      </c>
      <c r="U144" s="244" t="str">
        <f t="array" ref="U144">IF(ISNUMBER(MATCH(B144, 'Sprint 19'!B:B, 0)), INDEX('Sprint 19'!J:J, MATCH(B144, 'Sprint 19'!B:B, 0)), "")</f>
        <v>In Review</v>
      </c>
      <c r="W144" s="102" t="s">
        <v>1992</v>
      </c>
      <c r="X144" s="102" t="s">
        <v>1085</v>
      </c>
    </row>
    <row r="145">
      <c r="A145" s="102" t="s">
        <v>276</v>
      </c>
      <c r="B145" s="102" t="s">
        <v>3488</v>
      </c>
      <c r="C145" s="229" t="s">
        <v>3489</v>
      </c>
      <c r="D145" s="102" t="s">
        <v>347</v>
      </c>
      <c r="E145" s="102" t="s">
        <v>280</v>
      </c>
      <c r="F145" s="102" t="s">
        <v>281</v>
      </c>
      <c r="G145" s="102" t="s">
        <v>280</v>
      </c>
      <c r="H145" s="102" t="s">
        <v>281</v>
      </c>
      <c r="I145" s="102" t="s">
        <v>284</v>
      </c>
      <c r="J145" s="102" t="s">
        <v>63</v>
      </c>
      <c r="L145" s="229" t="s">
        <v>3486</v>
      </c>
      <c r="M145" s="229" t="s">
        <v>3486</v>
      </c>
      <c r="O145" s="230"/>
      <c r="S145" s="230"/>
      <c r="T145" s="244" t="str">
        <f>IF(ISNUMBER(MATCH(B145, 'Sprint 19'!B:B, 0)), "มาจาก Sprint 19", "")</f>
        <v>มาจาก Sprint 19</v>
      </c>
      <c r="U145" s="244" t="str">
        <f t="array" ref="U145">IF(ISNUMBER(MATCH(B145, 'Sprint 19'!B:B, 0)), INDEX('Sprint 19'!J:J, MATCH(B145, 'Sprint 19'!B:B, 0)), "")</f>
        <v>To Do</v>
      </c>
      <c r="W145" s="102" t="s">
        <v>1992</v>
      </c>
      <c r="X145" s="102" t="s">
        <v>1085</v>
      </c>
    </row>
    <row r="146">
      <c r="A146" s="102" t="s">
        <v>276</v>
      </c>
      <c r="B146" s="102" t="s">
        <v>3491</v>
      </c>
      <c r="C146" s="229" t="s">
        <v>3492</v>
      </c>
      <c r="D146" s="102" t="s">
        <v>2030</v>
      </c>
      <c r="E146" s="102" t="s">
        <v>280</v>
      </c>
      <c r="F146" s="102" t="s">
        <v>281</v>
      </c>
      <c r="G146" s="102" t="s">
        <v>280</v>
      </c>
      <c r="H146" s="102" t="s">
        <v>281</v>
      </c>
      <c r="I146" s="102" t="s">
        <v>284</v>
      </c>
      <c r="J146" s="102" t="s">
        <v>26</v>
      </c>
      <c r="L146" s="229" t="s">
        <v>3486</v>
      </c>
      <c r="M146" s="229" t="s">
        <v>3458</v>
      </c>
      <c r="O146" s="230"/>
      <c r="S146" s="230"/>
      <c r="T146" s="244" t="str">
        <f>IF(ISNUMBER(MATCH(B146, 'Sprint 19'!B:B, 0)), "มาจาก Sprint 19", "")</f>
        <v>มาจาก Sprint 19</v>
      </c>
      <c r="U146" s="244" t="str">
        <f t="array" ref="U146">IF(ISNUMBER(MATCH(B146, 'Sprint 19'!B:B, 0)), INDEX('Sprint 19'!J:J, MATCH(B146, 'Sprint 19'!B:B, 0)), "")</f>
        <v>In Review</v>
      </c>
      <c r="W146" s="102" t="s">
        <v>1992</v>
      </c>
      <c r="X146" s="102" t="s">
        <v>1085</v>
      </c>
    </row>
    <row r="147">
      <c r="A147" s="102" t="s">
        <v>276</v>
      </c>
      <c r="B147" s="102" t="s">
        <v>3493</v>
      </c>
      <c r="C147" s="229" t="s">
        <v>3494</v>
      </c>
      <c r="D147" s="102" t="s">
        <v>347</v>
      </c>
      <c r="E147" s="102" t="s">
        <v>280</v>
      </c>
      <c r="F147" s="102" t="s">
        <v>281</v>
      </c>
      <c r="G147" s="102" t="s">
        <v>280</v>
      </c>
      <c r="H147" s="102" t="s">
        <v>281</v>
      </c>
      <c r="I147" s="102" t="s">
        <v>284</v>
      </c>
      <c r="J147" s="102" t="s">
        <v>63</v>
      </c>
      <c r="L147" s="229" t="s">
        <v>3486</v>
      </c>
      <c r="M147" s="229" t="s">
        <v>3486</v>
      </c>
      <c r="O147" s="230"/>
      <c r="S147" s="230"/>
      <c r="T147" s="244" t="str">
        <f>IF(ISNUMBER(MATCH(B147, 'Sprint 19'!B:B, 0)), "มาจาก Sprint 19", "")</f>
        <v>มาจาก Sprint 19</v>
      </c>
      <c r="U147" s="244" t="str">
        <f t="array" ref="U147">IF(ISNUMBER(MATCH(B147, 'Sprint 19'!B:B, 0)), INDEX('Sprint 19'!J:J, MATCH(B147, 'Sprint 19'!B:B, 0)), "")</f>
        <v>To Do</v>
      </c>
      <c r="W147" s="102" t="s">
        <v>1992</v>
      </c>
      <c r="X147" s="102" t="s">
        <v>1085</v>
      </c>
    </row>
    <row r="148">
      <c r="A148" s="102" t="s">
        <v>276</v>
      </c>
      <c r="B148" s="102" t="s">
        <v>3496</v>
      </c>
      <c r="C148" s="229" t="s">
        <v>3497</v>
      </c>
      <c r="D148" s="102" t="s">
        <v>2030</v>
      </c>
      <c r="E148" s="102" t="s">
        <v>280</v>
      </c>
      <c r="F148" s="102" t="s">
        <v>281</v>
      </c>
      <c r="G148" s="102" t="s">
        <v>280</v>
      </c>
      <c r="H148" s="102" t="s">
        <v>281</v>
      </c>
      <c r="I148" s="102" t="s">
        <v>284</v>
      </c>
      <c r="J148" s="102" t="s">
        <v>26</v>
      </c>
      <c r="L148" s="229" t="s">
        <v>3498</v>
      </c>
      <c r="M148" s="229" t="s">
        <v>3458</v>
      </c>
      <c r="O148" s="230"/>
      <c r="S148" s="230"/>
      <c r="T148" s="244" t="str">
        <f>IF(ISNUMBER(MATCH(B148, 'Sprint 19'!B:B, 0)), "มาจาก Sprint 19", "")</f>
        <v>มาจาก Sprint 19</v>
      </c>
      <c r="U148" s="244" t="str">
        <f t="array" ref="U148">IF(ISNUMBER(MATCH(B148, 'Sprint 19'!B:B, 0)), INDEX('Sprint 19'!J:J, MATCH(B148, 'Sprint 19'!B:B, 0)), "")</f>
        <v>In Review</v>
      </c>
      <c r="W148" s="102" t="s">
        <v>1992</v>
      </c>
      <c r="X148" s="102" t="s">
        <v>1085</v>
      </c>
    </row>
    <row r="149">
      <c r="A149" s="102" t="s">
        <v>276</v>
      </c>
      <c r="B149" s="102" t="s">
        <v>3499</v>
      </c>
      <c r="C149" s="229" t="s">
        <v>3500</v>
      </c>
      <c r="D149" s="102" t="s">
        <v>347</v>
      </c>
      <c r="E149" s="102" t="s">
        <v>280</v>
      </c>
      <c r="F149" s="102" t="s">
        <v>281</v>
      </c>
      <c r="G149" s="102" t="s">
        <v>280</v>
      </c>
      <c r="H149" s="102" t="s">
        <v>281</v>
      </c>
      <c r="I149" s="102" t="s">
        <v>284</v>
      </c>
      <c r="J149" s="102" t="s">
        <v>63</v>
      </c>
      <c r="L149" s="229" t="s">
        <v>3501</v>
      </c>
      <c r="M149" s="229" t="s">
        <v>3501</v>
      </c>
      <c r="O149" s="230"/>
      <c r="S149" s="230"/>
      <c r="T149" s="244" t="str">
        <f>IF(ISNUMBER(MATCH(B149, 'Sprint 19'!B:B, 0)), "มาจาก Sprint 19", "")</f>
        <v>มาจาก Sprint 19</v>
      </c>
      <c r="U149" s="244" t="str">
        <f t="array" ref="U149">IF(ISNUMBER(MATCH(B149, 'Sprint 19'!B:B, 0)), INDEX('Sprint 19'!J:J, MATCH(B149, 'Sprint 19'!B:B, 0)), "")</f>
        <v>To Do</v>
      </c>
      <c r="W149" s="102" t="s">
        <v>1992</v>
      </c>
      <c r="X149" s="102" t="s">
        <v>1085</v>
      </c>
    </row>
    <row r="150">
      <c r="A150" s="102" t="s">
        <v>276</v>
      </c>
      <c r="B150" s="102" t="s">
        <v>3503</v>
      </c>
      <c r="C150" s="229" t="s">
        <v>3504</v>
      </c>
      <c r="D150" s="102" t="s">
        <v>2030</v>
      </c>
      <c r="E150" s="102" t="s">
        <v>280</v>
      </c>
      <c r="F150" s="102" t="s">
        <v>281</v>
      </c>
      <c r="G150" s="102" t="s">
        <v>280</v>
      </c>
      <c r="H150" s="102" t="s">
        <v>281</v>
      </c>
      <c r="I150" s="102" t="s">
        <v>284</v>
      </c>
      <c r="J150" s="102" t="s">
        <v>26</v>
      </c>
      <c r="L150" s="229" t="s">
        <v>3501</v>
      </c>
      <c r="M150" s="229" t="s">
        <v>3487</v>
      </c>
      <c r="O150" s="230"/>
      <c r="S150" s="230"/>
      <c r="T150" s="244" t="str">
        <f>IF(ISNUMBER(MATCH(B150, 'Sprint 19'!B:B, 0)), "มาจาก Sprint 19", "")</f>
        <v>มาจาก Sprint 19</v>
      </c>
      <c r="U150" s="244" t="str">
        <f t="array" ref="U150">IF(ISNUMBER(MATCH(B150, 'Sprint 19'!B:B, 0)), INDEX('Sprint 19'!J:J, MATCH(B150, 'Sprint 19'!B:B, 0)), "")</f>
        <v>In Review</v>
      </c>
      <c r="W150" s="102" t="s">
        <v>1992</v>
      </c>
      <c r="X150" s="102" t="s">
        <v>1085</v>
      </c>
    </row>
    <row r="151">
      <c r="A151" s="102" t="s">
        <v>276</v>
      </c>
      <c r="B151" s="102" t="s">
        <v>3505</v>
      </c>
      <c r="C151" s="229" t="s">
        <v>3506</v>
      </c>
      <c r="D151" s="102" t="s">
        <v>347</v>
      </c>
      <c r="E151" s="102" t="s">
        <v>280</v>
      </c>
      <c r="F151" s="102" t="s">
        <v>281</v>
      </c>
      <c r="G151" s="102" t="s">
        <v>280</v>
      </c>
      <c r="H151" s="102" t="s">
        <v>281</v>
      </c>
      <c r="I151" s="102" t="s">
        <v>284</v>
      </c>
      <c r="J151" s="102" t="s">
        <v>63</v>
      </c>
      <c r="L151" s="229" t="s">
        <v>3501</v>
      </c>
      <c r="M151" s="229" t="s">
        <v>2536</v>
      </c>
      <c r="O151" s="230"/>
      <c r="S151" s="230"/>
      <c r="T151" s="244" t="str">
        <f>IF(ISNUMBER(MATCH(B151, 'Sprint 19'!B:B, 0)), "มาจาก Sprint 19", "")</f>
        <v>มาจาก Sprint 19</v>
      </c>
      <c r="U151" s="244" t="str">
        <f t="array" ref="U151">IF(ISNUMBER(MATCH(B151, 'Sprint 19'!B:B, 0)), INDEX('Sprint 19'!J:J, MATCH(B151, 'Sprint 19'!B:B, 0)), "")</f>
        <v>To Do</v>
      </c>
      <c r="W151" s="102" t="s">
        <v>1992</v>
      </c>
      <c r="X151" s="102" t="s">
        <v>1085</v>
      </c>
    </row>
    <row r="152">
      <c r="A152" s="102" t="s">
        <v>276</v>
      </c>
      <c r="B152" s="102" t="s">
        <v>3508</v>
      </c>
      <c r="C152" s="229" t="s">
        <v>3509</v>
      </c>
      <c r="D152" s="102" t="s">
        <v>2030</v>
      </c>
      <c r="E152" s="102" t="s">
        <v>280</v>
      </c>
      <c r="F152" s="102" t="s">
        <v>281</v>
      </c>
      <c r="G152" s="102" t="s">
        <v>280</v>
      </c>
      <c r="H152" s="102" t="s">
        <v>281</v>
      </c>
      <c r="I152" s="102" t="s">
        <v>284</v>
      </c>
      <c r="J152" s="102" t="s">
        <v>26</v>
      </c>
      <c r="L152" s="229" t="s">
        <v>3501</v>
      </c>
      <c r="M152" s="229" t="s">
        <v>3458</v>
      </c>
      <c r="O152" s="230"/>
      <c r="S152" s="230"/>
      <c r="T152" s="244" t="str">
        <f>IF(ISNUMBER(MATCH(B152, 'Sprint 19'!B:B, 0)), "มาจาก Sprint 19", "")</f>
        <v>มาจาก Sprint 19</v>
      </c>
      <c r="U152" s="244" t="str">
        <f t="array" ref="U152">IF(ISNUMBER(MATCH(B152, 'Sprint 19'!B:B, 0)), INDEX('Sprint 19'!J:J, MATCH(B152, 'Sprint 19'!B:B, 0)), "")</f>
        <v>In Review</v>
      </c>
      <c r="W152" s="102" t="s">
        <v>1992</v>
      </c>
      <c r="X152" s="102" t="s">
        <v>1085</v>
      </c>
    </row>
    <row r="153">
      <c r="A153" s="102" t="s">
        <v>310</v>
      </c>
      <c r="B153" s="102" t="s">
        <v>3923</v>
      </c>
      <c r="C153" s="229" t="s">
        <v>3924</v>
      </c>
      <c r="D153" s="102" t="s">
        <v>3925</v>
      </c>
      <c r="E153" s="102" t="s">
        <v>282</v>
      </c>
      <c r="F153" s="102" t="s">
        <v>283</v>
      </c>
      <c r="G153" s="102" t="s">
        <v>282</v>
      </c>
      <c r="H153" s="102" t="s">
        <v>283</v>
      </c>
      <c r="I153" s="102" t="s">
        <v>284</v>
      </c>
      <c r="J153" s="102" t="s">
        <v>26</v>
      </c>
      <c r="L153" s="229" t="s">
        <v>3926</v>
      </c>
      <c r="M153" s="229" t="s">
        <v>3927</v>
      </c>
      <c r="O153" s="102">
        <v>13.0</v>
      </c>
      <c r="P153" s="102" t="s">
        <v>593</v>
      </c>
      <c r="S153" s="102">
        <v>43200.0</v>
      </c>
      <c r="T153" s="244" t="str">
        <f>IF(ISNUMBER(MATCH(B153, 'Sprint 19'!B:B, 0)), "มาจาก Sprint 19", "")</f>
        <v>มาจาก Sprint 19</v>
      </c>
      <c r="U153" s="244" t="str">
        <f t="array" ref="U153">IF(ISNUMBER(MATCH(B153, 'Sprint 19'!B:B, 0)), INDEX('Sprint 19'!J:J, MATCH(B153, 'Sprint 19'!B:B, 0)), "")</f>
        <v>In Progress</v>
      </c>
      <c r="V153" s="102" t="s">
        <v>3434</v>
      </c>
      <c r="W153" s="102" t="s">
        <v>1992</v>
      </c>
      <c r="X153" s="102" t="s">
        <v>1085</v>
      </c>
    </row>
    <row r="154">
      <c r="A154" s="102" t="s">
        <v>310</v>
      </c>
      <c r="B154" s="102" t="s">
        <v>3928</v>
      </c>
      <c r="C154" s="229" t="s">
        <v>3929</v>
      </c>
      <c r="D154" s="102" t="s">
        <v>3930</v>
      </c>
      <c r="E154" s="102" t="s">
        <v>304</v>
      </c>
      <c r="F154" s="102" t="s">
        <v>305</v>
      </c>
      <c r="G154" s="102" t="s">
        <v>282</v>
      </c>
      <c r="H154" s="102" t="s">
        <v>283</v>
      </c>
      <c r="I154" s="102" t="s">
        <v>284</v>
      </c>
      <c r="J154" s="102" t="s">
        <v>26</v>
      </c>
      <c r="L154" s="229" t="s">
        <v>3926</v>
      </c>
      <c r="M154" s="229" t="s">
        <v>3931</v>
      </c>
      <c r="O154" s="102">
        <v>2.0</v>
      </c>
      <c r="S154" s="230"/>
      <c r="T154" s="244" t="str">
        <f>IF(ISNUMBER(MATCH(B154, 'Sprint 19'!B:B, 0)), "มาจาก Sprint 19", "")</f>
        <v/>
      </c>
      <c r="U154" s="244" t="str">
        <f t="array" ref="U154">IF(ISNUMBER(MATCH(B154, 'Sprint 19'!B:B, 0)), INDEX('Sprint 19'!J:J, MATCH(B154, 'Sprint 19'!B:B, 0)), "")</f>
        <v/>
      </c>
      <c r="W154" s="102" t="s">
        <v>1085</v>
      </c>
    </row>
    <row r="155">
      <c r="A155" s="102" t="s">
        <v>276</v>
      </c>
      <c r="B155" s="102" t="s">
        <v>2024</v>
      </c>
      <c r="C155" s="229" t="s">
        <v>2025</v>
      </c>
      <c r="D155" s="102" t="s">
        <v>347</v>
      </c>
      <c r="E155" s="102" t="s">
        <v>280</v>
      </c>
      <c r="F155" s="102" t="s">
        <v>281</v>
      </c>
      <c r="G155" s="102" t="s">
        <v>280</v>
      </c>
      <c r="H155" s="102" t="s">
        <v>281</v>
      </c>
      <c r="I155" s="102" t="s">
        <v>284</v>
      </c>
      <c r="J155" s="102" t="s">
        <v>63</v>
      </c>
      <c r="L155" s="229" t="s">
        <v>2026</v>
      </c>
      <c r="M155" s="229" t="s">
        <v>2536</v>
      </c>
      <c r="O155" s="230"/>
      <c r="S155" s="230"/>
      <c r="T155" s="244" t="str">
        <f>IF(ISNUMBER(MATCH(B155, 'Sprint 19'!B:B, 0)), "มาจาก Sprint 19", "")</f>
        <v>มาจาก Sprint 19</v>
      </c>
      <c r="U155" s="244" t="str">
        <f t="array" ref="U155">IF(ISNUMBER(MATCH(B155, 'Sprint 19'!B:B, 0)), INDEX('Sprint 19'!J:J, MATCH(B155, 'Sprint 19'!B:B, 0)), "")</f>
        <v>To Do</v>
      </c>
      <c r="W155" s="102" t="s">
        <v>1991</v>
      </c>
      <c r="X155" s="102" t="s">
        <v>1992</v>
      </c>
      <c r="Y155" s="102" t="s">
        <v>1085</v>
      </c>
    </row>
    <row r="156">
      <c r="A156" s="102" t="s">
        <v>276</v>
      </c>
      <c r="B156" s="102" t="s">
        <v>2028</v>
      </c>
      <c r="C156" s="229" t="s">
        <v>2029</v>
      </c>
      <c r="D156" s="102" t="s">
        <v>2030</v>
      </c>
      <c r="E156" s="102" t="s">
        <v>280</v>
      </c>
      <c r="F156" s="102" t="s">
        <v>281</v>
      </c>
      <c r="G156" s="102" t="s">
        <v>280</v>
      </c>
      <c r="H156" s="102" t="s">
        <v>281</v>
      </c>
      <c r="I156" s="102" t="s">
        <v>284</v>
      </c>
      <c r="J156" s="102" t="s">
        <v>26</v>
      </c>
      <c r="L156" s="229" t="s">
        <v>2026</v>
      </c>
      <c r="M156" s="229" t="s">
        <v>1995</v>
      </c>
      <c r="O156" s="230"/>
      <c r="S156" s="230"/>
      <c r="T156" s="244" t="str">
        <f>IF(ISNUMBER(MATCH(B156, 'Sprint 19'!B:B, 0)), "มาจาก Sprint 19", "")</f>
        <v>มาจาก Sprint 19</v>
      </c>
      <c r="U156" s="244" t="str">
        <f t="array" ref="U156">IF(ISNUMBER(MATCH(B156, 'Sprint 19'!B:B, 0)), INDEX('Sprint 19'!J:J, MATCH(B156, 'Sprint 19'!B:B, 0)), "")</f>
        <v>In Review</v>
      </c>
      <c r="W156" s="102" t="s">
        <v>1991</v>
      </c>
      <c r="X156" s="102" t="s">
        <v>1992</v>
      </c>
      <c r="Y156" s="102" t="s">
        <v>1085</v>
      </c>
    </row>
    <row r="157">
      <c r="A157" s="102" t="s">
        <v>276</v>
      </c>
      <c r="B157" s="102" t="s">
        <v>3510</v>
      </c>
      <c r="C157" s="229" t="s">
        <v>3511</v>
      </c>
      <c r="D157" s="102" t="s">
        <v>347</v>
      </c>
      <c r="E157" s="102" t="s">
        <v>280</v>
      </c>
      <c r="F157" s="102" t="s">
        <v>281</v>
      </c>
      <c r="G157" s="102" t="s">
        <v>280</v>
      </c>
      <c r="H157" s="102" t="s">
        <v>281</v>
      </c>
      <c r="I157" s="102" t="s">
        <v>284</v>
      </c>
      <c r="J157" s="102" t="s">
        <v>63</v>
      </c>
      <c r="L157" s="229" t="s">
        <v>3512</v>
      </c>
      <c r="M157" s="229" t="s">
        <v>3512</v>
      </c>
      <c r="O157" s="230"/>
      <c r="S157" s="230"/>
      <c r="T157" s="244" t="str">
        <f>IF(ISNUMBER(MATCH(B157, 'Sprint 19'!B:B, 0)), "มาจาก Sprint 19", "")</f>
        <v>มาจาก Sprint 19</v>
      </c>
      <c r="U157" s="244" t="str">
        <f t="array" ref="U157">IF(ISNUMBER(MATCH(B157, 'Sprint 19'!B:B, 0)), INDEX('Sprint 19'!J:J, MATCH(B157, 'Sprint 19'!B:B, 0)), "")</f>
        <v>To Do</v>
      </c>
      <c r="W157" s="102" t="s">
        <v>1991</v>
      </c>
      <c r="X157" s="102" t="s">
        <v>1992</v>
      </c>
      <c r="Y157" s="102" t="s">
        <v>1085</v>
      </c>
    </row>
    <row r="158">
      <c r="A158" s="102" t="s">
        <v>276</v>
      </c>
      <c r="B158" s="102" t="s">
        <v>3514</v>
      </c>
      <c r="C158" s="229" t="s">
        <v>3515</v>
      </c>
      <c r="D158" s="102" t="s">
        <v>2030</v>
      </c>
      <c r="E158" s="102" t="s">
        <v>280</v>
      </c>
      <c r="F158" s="102" t="s">
        <v>281</v>
      </c>
      <c r="G158" s="102" t="s">
        <v>280</v>
      </c>
      <c r="H158" s="102" t="s">
        <v>281</v>
      </c>
      <c r="I158" s="102" t="s">
        <v>284</v>
      </c>
      <c r="J158" s="102" t="s">
        <v>26</v>
      </c>
      <c r="L158" s="229" t="s">
        <v>3512</v>
      </c>
      <c r="M158" s="229" t="s">
        <v>1995</v>
      </c>
      <c r="O158" s="230"/>
      <c r="S158" s="230"/>
      <c r="T158" s="244" t="str">
        <f>IF(ISNUMBER(MATCH(B158, 'Sprint 19'!B:B, 0)), "มาจาก Sprint 19", "")</f>
        <v>มาจาก Sprint 19</v>
      </c>
      <c r="U158" s="244" t="str">
        <f t="array" ref="U158">IF(ISNUMBER(MATCH(B158, 'Sprint 19'!B:B, 0)), INDEX('Sprint 19'!J:J, MATCH(B158, 'Sprint 19'!B:B, 0)), "")</f>
        <v>In Review</v>
      </c>
      <c r="W158" s="102" t="s">
        <v>1991</v>
      </c>
      <c r="X158" s="102" t="s">
        <v>1992</v>
      </c>
      <c r="Y158" s="102" t="s">
        <v>1085</v>
      </c>
    </row>
    <row r="159">
      <c r="A159" s="102" t="s">
        <v>310</v>
      </c>
      <c r="B159" s="102" t="s">
        <v>3932</v>
      </c>
      <c r="C159" s="229" t="s">
        <v>3933</v>
      </c>
      <c r="D159" s="102" t="s">
        <v>3934</v>
      </c>
      <c r="E159" s="102" t="s">
        <v>495</v>
      </c>
      <c r="F159" s="102" t="s">
        <v>496</v>
      </c>
      <c r="G159" s="102" t="s">
        <v>304</v>
      </c>
      <c r="H159" s="102" t="s">
        <v>305</v>
      </c>
      <c r="I159" s="102" t="s">
        <v>318</v>
      </c>
      <c r="J159" s="102" t="s">
        <v>26</v>
      </c>
      <c r="L159" s="229" t="s">
        <v>3935</v>
      </c>
      <c r="M159" s="229" t="s">
        <v>3936</v>
      </c>
      <c r="O159" s="102">
        <v>3.0</v>
      </c>
      <c r="P159" s="102" t="s">
        <v>593</v>
      </c>
      <c r="Q159" s="102" t="s">
        <v>331</v>
      </c>
      <c r="S159" s="102">
        <v>0.0</v>
      </c>
      <c r="T159" s="244" t="str">
        <f>IF(ISNUMBER(MATCH(B159, 'Sprint 19'!B:B, 0)), "มาจาก Sprint 19", "")</f>
        <v>มาจาก Sprint 19</v>
      </c>
      <c r="U159" s="244" t="str">
        <f t="array" ref="U159">IF(ISNUMBER(MATCH(B159, 'Sprint 19'!B:B, 0)), INDEX('Sprint 19'!J:J, MATCH(B159, 'Sprint 19'!B:B, 0)), "")</f>
        <v>Ready to Staging</v>
      </c>
      <c r="V159" s="102">
        <v>28800.0</v>
      </c>
      <c r="W159" s="102" t="s">
        <v>1992</v>
      </c>
      <c r="X159" s="102" t="s">
        <v>1085</v>
      </c>
    </row>
    <row r="160">
      <c r="A160" s="102" t="s">
        <v>276</v>
      </c>
      <c r="B160" s="102" t="s">
        <v>3937</v>
      </c>
      <c r="C160" s="229" t="s">
        <v>3938</v>
      </c>
      <c r="D160" s="102" t="s">
        <v>347</v>
      </c>
      <c r="E160" s="102" t="s">
        <v>280</v>
      </c>
      <c r="F160" s="102" t="s">
        <v>281</v>
      </c>
      <c r="G160" s="102" t="s">
        <v>280</v>
      </c>
      <c r="H160" s="102" t="s">
        <v>281</v>
      </c>
      <c r="I160" s="102" t="s">
        <v>284</v>
      </c>
      <c r="J160" s="102" t="s">
        <v>26</v>
      </c>
      <c r="L160" s="229" t="s">
        <v>3939</v>
      </c>
      <c r="M160" s="229" t="s">
        <v>3940</v>
      </c>
      <c r="O160" s="230"/>
      <c r="S160" s="230"/>
      <c r="T160" s="244" t="str">
        <f>IF(ISNUMBER(MATCH(B160, 'Sprint 19'!B:B, 0)), "มาจาก Sprint 19", "")</f>
        <v>มาจาก Sprint 19</v>
      </c>
      <c r="U160" s="244" t="str">
        <f t="array" ref="U160">IF(ISNUMBER(MATCH(B160, 'Sprint 19'!B:B, 0)), INDEX('Sprint 19'!J:J, MATCH(B160, 'Sprint 19'!B:B, 0)), "")</f>
        <v>To Do</v>
      </c>
      <c r="W160" s="102" t="s">
        <v>1991</v>
      </c>
      <c r="X160" s="102" t="s">
        <v>1992</v>
      </c>
      <c r="Y160" s="102" t="s">
        <v>1085</v>
      </c>
    </row>
    <row r="161">
      <c r="A161" s="102" t="s">
        <v>276</v>
      </c>
      <c r="B161" s="102" t="s">
        <v>3941</v>
      </c>
      <c r="C161" s="229" t="s">
        <v>3942</v>
      </c>
      <c r="D161" s="102" t="s">
        <v>2030</v>
      </c>
      <c r="E161" s="102" t="s">
        <v>280</v>
      </c>
      <c r="F161" s="102" t="s">
        <v>281</v>
      </c>
      <c r="G161" s="102" t="s">
        <v>280</v>
      </c>
      <c r="H161" s="102" t="s">
        <v>281</v>
      </c>
      <c r="I161" s="102" t="s">
        <v>284</v>
      </c>
      <c r="J161" s="102" t="s">
        <v>26</v>
      </c>
      <c r="L161" s="229" t="s">
        <v>3939</v>
      </c>
      <c r="M161" s="229" t="s">
        <v>1995</v>
      </c>
      <c r="O161" s="230"/>
      <c r="S161" s="230"/>
      <c r="T161" s="244" t="str">
        <f>IF(ISNUMBER(MATCH(B161, 'Sprint 19'!B:B, 0)), "มาจาก Sprint 19", "")</f>
        <v>มาจาก Sprint 19</v>
      </c>
      <c r="U161" s="244" t="str">
        <f t="array" ref="U161">IF(ISNUMBER(MATCH(B161, 'Sprint 19'!B:B, 0)), INDEX('Sprint 19'!J:J, MATCH(B161, 'Sprint 19'!B:B, 0)), "")</f>
        <v>In Review</v>
      </c>
      <c r="W161" s="102" t="s">
        <v>1991</v>
      </c>
      <c r="X161" s="102" t="s">
        <v>1992</v>
      </c>
      <c r="Y161" s="102" t="s">
        <v>1085</v>
      </c>
    </row>
    <row r="162">
      <c r="A162" s="102" t="s">
        <v>276</v>
      </c>
      <c r="B162" s="102" t="s">
        <v>3943</v>
      </c>
      <c r="C162" s="229" t="s">
        <v>3944</v>
      </c>
      <c r="D162" s="102" t="s">
        <v>347</v>
      </c>
      <c r="E162" s="102" t="s">
        <v>280</v>
      </c>
      <c r="F162" s="102" t="s">
        <v>281</v>
      </c>
      <c r="G162" s="102" t="s">
        <v>280</v>
      </c>
      <c r="H162" s="102" t="s">
        <v>281</v>
      </c>
      <c r="I162" s="102" t="s">
        <v>284</v>
      </c>
      <c r="J162" s="102" t="s">
        <v>26</v>
      </c>
      <c r="L162" s="229" t="s">
        <v>3939</v>
      </c>
      <c r="M162" s="229" t="s">
        <v>3945</v>
      </c>
      <c r="O162" s="230"/>
      <c r="S162" s="230"/>
      <c r="T162" s="244" t="str">
        <f>IF(ISNUMBER(MATCH(B162, 'Sprint 19'!B:B, 0)), "มาจาก Sprint 19", "")</f>
        <v>มาจาก Sprint 19</v>
      </c>
      <c r="U162" s="244" t="str">
        <f t="array" ref="U162">IF(ISNUMBER(MATCH(B162, 'Sprint 19'!B:B, 0)), INDEX('Sprint 19'!J:J, MATCH(B162, 'Sprint 19'!B:B, 0)), "")</f>
        <v>To Do</v>
      </c>
      <c r="W162" s="102" t="s">
        <v>1991</v>
      </c>
      <c r="X162" s="102" t="s">
        <v>1992</v>
      </c>
      <c r="Y162" s="102" t="s">
        <v>1085</v>
      </c>
      <c r="AF162" s="230"/>
      <c r="AG162" s="230"/>
      <c r="AH162" s="230"/>
      <c r="AI162" s="230"/>
    </row>
    <row r="163">
      <c r="A163" s="102" t="s">
        <v>276</v>
      </c>
      <c r="B163" s="102" t="s">
        <v>3946</v>
      </c>
      <c r="C163" s="229" t="s">
        <v>3947</v>
      </c>
      <c r="D163" s="102" t="s">
        <v>2030</v>
      </c>
      <c r="E163" s="102" t="s">
        <v>280</v>
      </c>
      <c r="F163" s="102" t="s">
        <v>281</v>
      </c>
      <c r="G163" s="102" t="s">
        <v>280</v>
      </c>
      <c r="H163" s="102" t="s">
        <v>281</v>
      </c>
      <c r="I163" s="102" t="s">
        <v>284</v>
      </c>
      <c r="J163" s="102" t="s">
        <v>26</v>
      </c>
      <c r="L163" s="229" t="s">
        <v>3939</v>
      </c>
      <c r="M163" s="229" t="s">
        <v>1995</v>
      </c>
      <c r="O163" s="230"/>
      <c r="S163" s="230"/>
      <c r="T163" s="244" t="str">
        <f>IF(ISNUMBER(MATCH(B163, 'Sprint 19'!B:B, 0)), "มาจาก Sprint 19", "")</f>
        <v>มาจาก Sprint 19</v>
      </c>
      <c r="U163" s="244" t="str">
        <f t="array" ref="U163">IF(ISNUMBER(MATCH(B163, 'Sprint 19'!B:B, 0)), INDEX('Sprint 19'!J:J, MATCH(B163, 'Sprint 19'!B:B, 0)), "")</f>
        <v>In Review</v>
      </c>
      <c r="W163" s="102" t="s">
        <v>1991</v>
      </c>
      <c r="X163" s="102" t="s">
        <v>1992</v>
      </c>
      <c r="Y163" s="102" t="s">
        <v>1085</v>
      </c>
      <c r="AF163" s="230"/>
      <c r="AG163" s="230"/>
      <c r="AH163" s="230"/>
      <c r="AI163" s="230"/>
    </row>
    <row r="164">
      <c r="A164" s="102" t="s">
        <v>310</v>
      </c>
      <c r="B164" s="102" t="s">
        <v>3516</v>
      </c>
      <c r="C164" s="229" t="s">
        <v>3517</v>
      </c>
      <c r="D164" s="102" t="s">
        <v>3518</v>
      </c>
      <c r="E164" s="102" t="s">
        <v>513</v>
      </c>
      <c r="F164" s="102" t="s">
        <v>514</v>
      </c>
      <c r="G164" s="102" t="s">
        <v>304</v>
      </c>
      <c r="H164" s="102" t="s">
        <v>305</v>
      </c>
      <c r="I164" s="102" t="s">
        <v>284</v>
      </c>
      <c r="J164" s="102" t="s">
        <v>454</v>
      </c>
      <c r="L164" s="229" t="s">
        <v>3519</v>
      </c>
      <c r="M164" s="229" t="s">
        <v>3948</v>
      </c>
      <c r="N164" s="229" t="s">
        <v>1257</v>
      </c>
      <c r="O164" s="102">
        <v>1.0</v>
      </c>
      <c r="P164" s="102" t="s">
        <v>331</v>
      </c>
      <c r="S164" s="102">
        <v>3600.0</v>
      </c>
      <c r="T164" s="244" t="str">
        <f>IF(ISNUMBER(MATCH(B164, 'Sprint 19'!B:B, 0)), "มาจาก Sprint 19", "")</f>
        <v>มาจาก Sprint 19</v>
      </c>
      <c r="U164" s="244" t="str">
        <f t="array" ref="U164">IF(ISNUMBER(MATCH(B164, 'Sprint 19'!B:B, 0)), INDEX('Sprint 19'!J:J, MATCH(B164, 'Sprint 19'!B:B, 0)), "")</f>
        <v>In Progress</v>
      </c>
      <c r="V164" s="102" t="s">
        <v>3949</v>
      </c>
      <c r="W164" s="102" t="s">
        <v>1992</v>
      </c>
      <c r="X164" s="102" t="s">
        <v>1085</v>
      </c>
      <c r="AF164" s="230"/>
      <c r="AG164" s="230"/>
      <c r="AH164" s="230"/>
      <c r="AI164" s="230"/>
    </row>
    <row r="165">
      <c r="A165" s="102" t="s">
        <v>310</v>
      </c>
      <c r="B165" s="102" t="s">
        <v>3520</v>
      </c>
      <c r="C165" s="229" t="s">
        <v>3521</v>
      </c>
      <c r="D165" s="102" t="s">
        <v>3522</v>
      </c>
      <c r="E165" s="102" t="s">
        <v>513</v>
      </c>
      <c r="F165" s="102" t="s">
        <v>514</v>
      </c>
      <c r="G165" s="102" t="s">
        <v>304</v>
      </c>
      <c r="H165" s="102" t="s">
        <v>305</v>
      </c>
      <c r="I165" s="102" t="s">
        <v>284</v>
      </c>
      <c r="J165" s="102" t="s">
        <v>678</v>
      </c>
      <c r="L165" s="229" t="s">
        <v>3523</v>
      </c>
      <c r="M165" s="229" t="s">
        <v>3950</v>
      </c>
      <c r="N165" s="229" t="s">
        <v>2089</v>
      </c>
      <c r="O165" s="102">
        <v>2.0</v>
      </c>
      <c r="P165" s="102" t="s">
        <v>331</v>
      </c>
      <c r="S165" s="102">
        <v>0.0</v>
      </c>
      <c r="T165" s="244" t="str">
        <f>IF(ISNUMBER(MATCH(B165, 'Sprint 19'!B:B, 0)), "มาจาก Sprint 19", "")</f>
        <v>มาจาก Sprint 19</v>
      </c>
      <c r="U165" s="244" t="str">
        <f t="array" ref="U165">IF(ISNUMBER(MATCH(B165, 'Sprint 19'!B:B, 0)), INDEX('Sprint 19'!J:J, MATCH(B165, 'Sprint 19'!B:B, 0)), "")</f>
        <v>Ready to Staging</v>
      </c>
      <c r="V165" s="102">
        <v>14400.0</v>
      </c>
      <c r="W165" s="102" t="s">
        <v>1992</v>
      </c>
      <c r="X165" s="102" t="s">
        <v>1085</v>
      </c>
      <c r="AF165" s="230"/>
      <c r="AG165" s="230"/>
      <c r="AH165" s="230"/>
      <c r="AI165" s="230"/>
    </row>
    <row r="166">
      <c r="A166" s="102" t="s">
        <v>310</v>
      </c>
      <c r="B166" s="102" t="s">
        <v>3951</v>
      </c>
      <c r="C166" s="229" t="s">
        <v>3952</v>
      </c>
      <c r="D166" s="102" t="s">
        <v>3953</v>
      </c>
      <c r="E166" s="102" t="s">
        <v>328</v>
      </c>
      <c r="F166" s="102" t="s">
        <v>329</v>
      </c>
      <c r="G166" s="102" t="s">
        <v>304</v>
      </c>
      <c r="H166" s="102" t="s">
        <v>305</v>
      </c>
      <c r="I166" s="102" t="s">
        <v>284</v>
      </c>
      <c r="J166" s="102" t="s">
        <v>454</v>
      </c>
      <c r="L166" s="229" t="s">
        <v>3954</v>
      </c>
      <c r="M166" s="229" t="s">
        <v>3955</v>
      </c>
      <c r="O166" s="102">
        <v>3.0</v>
      </c>
      <c r="P166" s="102" t="s">
        <v>331</v>
      </c>
      <c r="S166" s="230"/>
      <c r="T166" s="244" t="str">
        <f>IF(ISNUMBER(MATCH(B166, 'Sprint 19'!B:B, 0)), "มาจาก Sprint 19", "")</f>
        <v>มาจาก Sprint 19</v>
      </c>
      <c r="U166" s="244" t="str">
        <f t="array" ref="U166">IF(ISNUMBER(MATCH(B166, 'Sprint 19'!B:B, 0)), INDEX('Sprint 19'!J:J, MATCH(B166, 'Sprint 19'!B:B, 0)), "")</f>
        <v>Ready to Staging</v>
      </c>
      <c r="W166" s="102" t="s">
        <v>1992</v>
      </c>
      <c r="X166" s="102" t="s">
        <v>1085</v>
      </c>
      <c r="AF166" s="230"/>
      <c r="AG166" s="230"/>
      <c r="AH166" s="230"/>
      <c r="AI166" s="230"/>
    </row>
    <row r="167">
      <c r="A167" s="102" t="s">
        <v>310</v>
      </c>
      <c r="B167" s="102" t="s">
        <v>3956</v>
      </c>
      <c r="C167" s="229" t="s">
        <v>3957</v>
      </c>
      <c r="D167" s="102" t="s">
        <v>3958</v>
      </c>
      <c r="E167" s="102" t="s">
        <v>328</v>
      </c>
      <c r="F167" s="102" t="s">
        <v>329</v>
      </c>
      <c r="G167" s="102" t="s">
        <v>304</v>
      </c>
      <c r="H167" s="102" t="s">
        <v>305</v>
      </c>
      <c r="I167" s="102" t="s">
        <v>515</v>
      </c>
      <c r="J167" s="102" t="s">
        <v>26</v>
      </c>
      <c r="L167" s="229" t="s">
        <v>3959</v>
      </c>
      <c r="M167" s="229" t="s">
        <v>3936</v>
      </c>
      <c r="O167" s="102">
        <v>3.0</v>
      </c>
      <c r="P167" s="102" t="s">
        <v>593</v>
      </c>
      <c r="Q167" s="102" t="s">
        <v>331</v>
      </c>
      <c r="S167" s="230"/>
      <c r="T167" s="244" t="str">
        <f>IF(ISNUMBER(MATCH(B167, 'Sprint 19'!B:B, 0)), "มาจาก Sprint 19", "")</f>
        <v>มาจาก Sprint 19</v>
      </c>
      <c r="U167" s="244" t="str">
        <f t="array" ref="U167">IF(ISNUMBER(MATCH(B167, 'Sprint 19'!B:B, 0)), INDEX('Sprint 19'!J:J, MATCH(B167, 'Sprint 19'!B:B, 0)), "")</f>
        <v>Ready to Staging</v>
      </c>
      <c r="W167" s="102" t="s">
        <v>1992</v>
      </c>
      <c r="X167" s="102" t="s">
        <v>1085</v>
      </c>
      <c r="AF167" s="230"/>
      <c r="AG167" s="230"/>
      <c r="AH167" s="230"/>
      <c r="AI167" s="230"/>
    </row>
    <row r="168">
      <c r="A168" s="102" t="s">
        <v>276</v>
      </c>
      <c r="B168" s="102" t="s">
        <v>3960</v>
      </c>
      <c r="C168" s="229" t="s">
        <v>3961</v>
      </c>
      <c r="D168" s="102" t="s">
        <v>3962</v>
      </c>
      <c r="G168" s="102" t="s">
        <v>353</v>
      </c>
      <c r="H168" s="102" t="s">
        <v>354</v>
      </c>
      <c r="I168" s="102" t="s">
        <v>284</v>
      </c>
      <c r="J168" s="102" t="s">
        <v>63</v>
      </c>
      <c r="L168" s="229" t="s">
        <v>3963</v>
      </c>
      <c r="M168" s="229" t="s">
        <v>3963</v>
      </c>
      <c r="O168" s="230"/>
      <c r="S168" s="230"/>
      <c r="T168" s="244" t="str">
        <f>IF(ISNUMBER(MATCH(B168, 'Sprint 19'!B:B, 0)), "มาจาก Sprint 19", "")</f>
        <v>มาจาก Sprint 19</v>
      </c>
      <c r="U168" s="244" t="str">
        <f t="array" ref="U168">IF(ISNUMBER(MATCH(B168, 'Sprint 19'!B:B, 0)), INDEX('Sprint 19'!J:J, MATCH(B168, 'Sprint 19'!B:B, 0)), "")</f>
        <v>To Do</v>
      </c>
      <c r="W168" s="102" t="s">
        <v>1258</v>
      </c>
      <c r="X168" s="102" t="s">
        <v>1259</v>
      </c>
      <c r="AF168" s="230"/>
      <c r="AG168" s="230"/>
      <c r="AH168" s="230"/>
      <c r="AI168" s="230"/>
    </row>
    <row r="169">
      <c r="A169" s="102" t="s">
        <v>276</v>
      </c>
      <c r="B169" s="102" t="s">
        <v>3964</v>
      </c>
      <c r="C169" s="229" t="s">
        <v>3965</v>
      </c>
      <c r="D169" s="102" t="s">
        <v>3966</v>
      </c>
      <c r="G169" s="102" t="s">
        <v>353</v>
      </c>
      <c r="H169" s="102" t="s">
        <v>354</v>
      </c>
      <c r="I169" s="102" t="s">
        <v>284</v>
      </c>
      <c r="J169" s="102" t="s">
        <v>34</v>
      </c>
      <c r="L169" s="229" t="s">
        <v>3963</v>
      </c>
      <c r="M169" s="229" t="s">
        <v>3967</v>
      </c>
      <c r="O169" s="230"/>
      <c r="S169" s="230"/>
      <c r="T169" s="244" t="str">
        <f>IF(ISNUMBER(MATCH(B169, 'Sprint 19'!B:B, 0)), "มาจาก Sprint 19", "")</f>
        <v>มาจาก Sprint 19</v>
      </c>
      <c r="U169" s="244" t="str">
        <f t="array" ref="U169">IF(ISNUMBER(MATCH(B169, 'Sprint 19'!B:B, 0)), INDEX('Sprint 19'!J:J, MATCH(B169, 'Sprint 19'!B:B, 0)), "")</f>
        <v>In Progress</v>
      </c>
      <c r="W169" s="102" t="s">
        <v>1258</v>
      </c>
      <c r="X169" s="102" t="s">
        <v>1259</v>
      </c>
      <c r="AF169" s="230"/>
      <c r="AG169" s="230"/>
      <c r="AH169" s="230"/>
      <c r="AI169" s="230"/>
    </row>
    <row r="170">
      <c r="A170" s="102" t="s">
        <v>276</v>
      </c>
      <c r="B170" s="102" t="s">
        <v>3968</v>
      </c>
      <c r="C170" s="229" t="s">
        <v>3969</v>
      </c>
      <c r="D170" s="102" t="s">
        <v>3962</v>
      </c>
      <c r="G170" s="102" t="s">
        <v>353</v>
      </c>
      <c r="H170" s="102" t="s">
        <v>354</v>
      </c>
      <c r="I170" s="102" t="s">
        <v>284</v>
      </c>
      <c r="J170" s="102" t="s">
        <v>63</v>
      </c>
      <c r="L170" s="229" t="s">
        <v>3963</v>
      </c>
      <c r="M170" s="229" t="s">
        <v>3963</v>
      </c>
      <c r="O170" s="230"/>
      <c r="S170" s="230"/>
      <c r="T170" s="244" t="str">
        <f>IF(ISNUMBER(MATCH(B170, 'Sprint 19'!B:B, 0)), "มาจาก Sprint 19", "")</f>
        <v>มาจาก Sprint 19</v>
      </c>
      <c r="U170" s="244" t="str">
        <f t="array" ref="U170">IF(ISNUMBER(MATCH(B170, 'Sprint 19'!B:B, 0)), INDEX('Sprint 19'!J:J, MATCH(B170, 'Sprint 19'!B:B, 0)), "")</f>
        <v>To Do</v>
      </c>
      <c r="W170" s="102" t="s">
        <v>1258</v>
      </c>
      <c r="X170" s="102" t="s">
        <v>1259</v>
      </c>
      <c r="AF170" s="230"/>
      <c r="AG170" s="230"/>
      <c r="AH170" s="230"/>
      <c r="AI170" s="230"/>
    </row>
    <row r="171">
      <c r="A171" s="102" t="s">
        <v>276</v>
      </c>
      <c r="B171" s="102" t="s">
        <v>3970</v>
      </c>
      <c r="C171" s="229" t="s">
        <v>3971</v>
      </c>
      <c r="D171" s="102" t="s">
        <v>3966</v>
      </c>
      <c r="G171" s="102" t="s">
        <v>353</v>
      </c>
      <c r="H171" s="102" t="s">
        <v>354</v>
      </c>
      <c r="I171" s="102" t="s">
        <v>284</v>
      </c>
      <c r="J171" s="102" t="s">
        <v>355</v>
      </c>
      <c r="L171" s="229" t="s">
        <v>3972</v>
      </c>
      <c r="M171" s="229" t="s">
        <v>3973</v>
      </c>
      <c r="O171" s="230"/>
      <c r="S171" s="230"/>
      <c r="T171" s="244" t="str">
        <f>IF(ISNUMBER(MATCH(B171, 'Sprint 19'!B:B, 0)), "มาจาก Sprint 19", "")</f>
        <v>มาจาก Sprint 19</v>
      </c>
      <c r="U171" s="244" t="str">
        <f t="array" ref="U171">IF(ISNUMBER(MATCH(B171, 'Sprint 19'!B:B, 0)), INDEX('Sprint 19'!J:J, MATCH(B171, 'Sprint 19'!B:B, 0)), "")</f>
        <v>In Review</v>
      </c>
      <c r="W171" s="102" t="s">
        <v>1258</v>
      </c>
      <c r="X171" s="102" t="s">
        <v>1259</v>
      </c>
      <c r="AF171" s="230"/>
      <c r="AG171" s="230"/>
      <c r="AH171" s="230"/>
      <c r="AI171" s="230"/>
    </row>
    <row r="172">
      <c r="A172" s="102" t="s">
        <v>276</v>
      </c>
      <c r="B172" s="102" t="s">
        <v>3974</v>
      </c>
      <c r="C172" s="229" t="s">
        <v>3975</v>
      </c>
      <c r="D172" s="102" t="s">
        <v>3962</v>
      </c>
      <c r="G172" s="102" t="s">
        <v>353</v>
      </c>
      <c r="H172" s="102" t="s">
        <v>354</v>
      </c>
      <c r="I172" s="102" t="s">
        <v>284</v>
      </c>
      <c r="J172" s="102" t="s">
        <v>26</v>
      </c>
      <c r="L172" s="229" t="s">
        <v>3972</v>
      </c>
      <c r="M172" s="229" t="s">
        <v>3976</v>
      </c>
      <c r="O172" s="230"/>
      <c r="S172" s="230"/>
      <c r="T172" s="244" t="str">
        <f>IF(ISNUMBER(MATCH(B172, 'Sprint 19'!B:B, 0)), "มาจาก Sprint 19", "")</f>
        <v>มาจาก Sprint 19</v>
      </c>
      <c r="U172" s="244" t="str">
        <f t="array" ref="U172">IF(ISNUMBER(MATCH(B172, 'Sprint 19'!B:B, 0)), INDEX('Sprint 19'!J:J, MATCH(B172, 'Sprint 19'!B:B, 0)), "")</f>
        <v>Done</v>
      </c>
      <c r="W172" s="102" t="s">
        <v>1258</v>
      </c>
      <c r="X172" s="102" t="s">
        <v>1259</v>
      </c>
      <c r="AF172" s="230"/>
      <c r="AG172" s="230"/>
      <c r="AH172" s="230"/>
      <c r="AI172" s="230"/>
    </row>
    <row r="173">
      <c r="A173" s="102" t="s">
        <v>276</v>
      </c>
      <c r="B173" s="102" t="s">
        <v>3977</v>
      </c>
      <c r="C173" s="229" t="s">
        <v>3978</v>
      </c>
      <c r="D173" s="102" t="s">
        <v>3966</v>
      </c>
      <c r="G173" s="102" t="s">
        <v>353</v>
      </c>
      <c r="H173" s="102" t="s">
        <v>354</v>
      </c>
      <c r="I173" s="102" t="s">
        <v>284</v>
      </c>
      <c r="J173" s="102" t="s">
        <v>26</v>
      </c>
      <c r="L173" s="229" t="s">
        <v>3972</v>
      </c>
      <c r="M173" s="229" t="s">
        <v>3979</v>
      </c>
      <c r="O173" s="230"/>
      <c r="S173" s="230"/>
      <c r="T173" s="244" t="str">
        <f>IF(ISNUMBER(MATCH(B173, 'Sprint 19'!B:B, 0)), "มาจาก Sprint 19", "")</f>
        <v>มาจาก Sprint 19</v>
      </c>
      <c r="U173" s="244" t="str">
        <f t="array" ref="U173">IF(ISNUMBER(MATCH(B173, 'Sprint 19'!B:B, 0)), INDEX('Sprint 19'!J:J, MATCH(B173, 'Sprint 19'!B:B, 0)), "")</f>
        <v>Done</v>
      </c>
      <c r="W173" s="102" t="s">
        <v>1258</v>
      </c>
      <c r="X173" s="102" t="s">
        <v>1259</v>
      </c>
      <c r="AF173" s="230"/>
      <c r="AG173" s="230"/>
      <c r="AH173" s="230"/>
      <c r="AI173" s="230"/>
    </row>
    <row r="174">
      <c r="A174" s="102" t="s">
        <v>276</v>
      </c>
      <c r="B174" s="102" t="s">
        <v>3980</v>
      </c>
      <c r="C174" s="229" t="s">
        <v>3981</v>
      </c>
      <c r="D174" s="102" t="s">
        <v>3962</v>
      </c>
      <c r="E174" s="102" t="s">
        <v>564</v>
      </c>
      <c r="F174" s="102" t="s">
        <v>565</v>
      </c>
      <c r="G174" s="102" t="s">
        <v>353</v>
      </c>
      <c r="H174" s="102" t="s">
        <v>354</v>
      </c>
      <c r="I174" s="102" t="s">
        <v>284</v>
      </c>
      <c r="J174" s="102" t="s">
        <v>26</v>
      </c>
      <c r="L174" s="229" t="s">
        <v>3972</v>
      </c>
      <c r="M174" s="229" t="s">
        <v>3982</v>
      </c>
      <c r="O174" s="230"/>
      <c r="S174" s="230"/>
      <c r="T174" s="244" t="str">
        <f>IF(ISNUMBER(MATCH(B174, 'Sprint 19'!B:B, 0)), "มาจาก Sprint 19", "")</f>
        <v>มาจาก Sprint 19</v>
      </c>
      <c r="U174" s="244" t="str">
        <f t="array" ref="U174">IF(ISNUMBER(MATCH(B174, 'Sprint 19'!B:B, 0)), INDEX('Sprint 19'!J:J, MATCH(B174, 'Sprint 19'!B:B, 0)), "")</f>
        <v>In Review</v>
      </c>
      <c r="W174" s="102" t="s">
        <v>1258</v>
      </c>
      <c r="X174" s="102" t="s">
        <v>1259</v>
      </c>
      <c r="AF174" s="230"/>
      <c r="AG174" s="230"/>
      <c r="AH174" s="230"/>
      <c r="AI174" s="230"/>
    </row>
    <row r="175">
      <c r="A175" s="102" t="s">
        <v>276</v>
      </c>
      <c r="B175" s="102" t="s">
        <v>3983</v>
      </c>
      <c r="C175" s="229" t="s">
        <v>3984</v>
      </c>
      <c r="D175" s="102" t="s">
        <v>3966</v>
      </c>
      <c r="E175" s="102" t="s">
        <v>564</v>
      </c>
      <c r="F175" s="102" t="s">
        <v>565</v>
      </c>
      <c r="G175" s="102" t="s">
        <v>353</v>
      </c>
      <c r="H175" s="102" t="s">
        <v>354</v>
      </c>
      <c r="I175" s="102" t="s">
        <v>284</v>
      </c>
      <c r="J175" s="102" t="s">
        <v>26</v>
      </c>
      <c r="L175" s="229" t="s">
        <v>3972</v>
      </c>
      <c r="M175" s="229" t="s">
        <v>3982</v>
      </c>
      <c r="O175" s="230"/>
      <c r="S175" s="230"/>
      <c r="T175" s="244" t="str">
        <f>IF(ISNUMBER(MATCH(B175, 'Sprint 19'!B:B, 0)), "มาจาก Sprint 19", "")</f>
        <v>มาจาก Sprint 19</v>
      </c>
      <c r="U175" s="244" t="str">
        <f t="array" ref="U175">IF(ISNUMBER(MATCH(B175, 'Sprint 19'!B:B, 0)), INDEX('Sprint 19'!J:J, MATCH(B175, 'Sprint 19'!B:B, 0)), "")</f>
        <v>In Review</v>
      </c>
      <c r="W175" s="102" t="s">
        <v>1258</v>
      </c>
      <c r="X175" s="102" t="s">
        <v>1259</v>
      </c>
      <c r="AF175" s="230"/>
      <c r="AG175" s="230"/>
      <c r="AH175" s="230"/>
      <c r="AI175" s="230"/>
    </row>
    <row r="176">
      <c r="A176" s="102" t="s">
        <v>276</v>
      </c>
      <c r="B176" s="102" t="s">
        <v>3985</v>
      </c>
      <c r="C176" s="229" t="s">
        <v>3986</v>
      </c>
      <c r="D176" s="102" t="s">
        <v>3962</v>
      </c>
      <c r="E176" s="102" t="s">
        <v>564</v>
      </c>
      <c r="F176" s="102" t="s">
        <v>565</v>
      </c>
      <c r="G176" s="102" t="s">
        <v>353</v>
      </c>
      <c r="H176" s="102" t="s">
        <v>354</v>
      </c>
      <c r="I176" s="102" t="s">
        <v>284</v>
      </c>
      <c r="J176" s="102" t="s">
        <v>26</v>
      </c>
      <c r="L176" s="229" t="s">
        <v>3987</v>
      </c>
      <c r="M176" s="229" t="s">
        <v>3988</v>
      </c>
      <c r="O176" s="230"/>
      <c r="S176" s="230"/>
      <c r="T176" s="244" t="str">
        <f>IF(ISNUMBER(MATCH(B176, 'Sprint 19'!B:B, 0)), "มาจาก Sprint 19", "")</f>
        <v>มาจาก Sprint 19</v>
      </c>
      <c r="U176" s="244" t="str">
        <f t="array" ref="U176">IF(ISNUMBER(MATCH(B176, 'Sprint 19'!B:B, 0)), INDEX('Sprint 19'!J:J, MATCH(B176, 'Sprint 19'!B:B, 0)), "")</f>
        <v>Done</v>
      </c>
      <c r="W176" s="102" t="s">
        <v>1258</v>
      </c>
      <c r="X176" s="102" t="s">
        <v>1259</v>
      </c>
      <c r="AF176" s="230"/>
      <c r="AG176" s="230"/>
      <c r="AH176" s="230"/>
      <c r="AI176" s="230"/>
    </row>
    <row r="177">
      <c r="A177" s="102" t="s">
        <v>276</v>
      </c>
      <c r="B177" s="102" t="s">
        <v>3989</v>
      </c>
      <c r="C177" s="229" t="s">
        <v>3990</v>
      </c>
      <c r="D177" s="102" t="s">
        <v>3966</v>
      </c>
      <c r="E177" s="102" t="s">
        <v>564</v>
      </c>
      <c r="F177" s="102" t="s">
        <v>565</v>
      </c>
      <c r="G177" s="102" t="s">
        <v>353</v>
      </c>
      <c r="H177" s="102" t="s">
        <v>354</v>
      </c>
      <c r="I177" s="102" t="s">
        <v>284</v>
      </c>
      <c r="J177" s="102" t="s">
        <v>26</v>
      </c>
      <c r="L177" s="229" t="s">
        <v>3987</v>
      </c>
      <c r="M177" s="229" t="s">
        <v>3979</v>
      </c>
      <c r="O177" s="230"/>
      <c r="S177" s="230"/>
      <c r="T177" s="244" t="str">
        <f>IF(ISNUMBER(MATCH(B177, 'Sprint 19'!B:B, 0)), "มาจาก Sprint 19", "")</f>
        <v>มาจาก Sprint 19</v>
      </c>
      <c r="U177" s="244" t="str">
        <f t="array" ref="U177">IF(ISNUMBER(MATCH(B177, 'Sprint 19'!B:B, 0)), INDEX('Sprint 19'!J:J, MATCH(B177, 'Sprint 19'!B:B, 0)), "")</f>
        <v>Done</v>
      </c>
      <c r="W177" s="102" t="s">
        <v>1258</v>
      </c>
      <c r="X177" s="102" t="s">
        <v>1259</v>
      </c>
      <c r="AF177" s="230"/>
      <c r="AG177" s="230"/>
      <c r="AH177" s="230"/>
      <c r="AI177" s="230"/>
    </row>
    <row r="178">
      <c r="A178" s="102" t="s">
        <v>310</v>
      </c>
      <c r="B178" s="102" t="s">
        <v>3991</v>
      </c>
      <c r="C178" s="229" t="s">
        <v>3992</v>
      </c>
      <c r="D178" s="102" t="s">
        <v>3993</v>
      </c>
      <c r="E178" s="102" t="s">
        <v>556</v>
      </c>
      <c r="F178" s="102" t="s">
        <v>557</v>
      </c>
      <c r="G178" s="102" t="s">
        <v>353</v>
      </c>
      <c r="H178" s="102" t="s">
        <v>354</v>
      </c>
      <c r="I178" s="102" t="s">
        <v>284</v>
      </c>
      <c r="J178" s="102" t="s">
        <v>26</v>
      </c>
      <c r="L178" s="229" t="s">
        <v>3994</v>
      </c>
      <c r="M178" s="229" t="s">
        <v>3720</v>
      </c>
      <c r="N178" s="229" t="s">
        <v>1257</v>
      </c>
      <c r="O178" s="102">
        <v>5.0</v>
      </c>
      <c r="S178" s="102">
        <v>28800.0</v>
      </c>
      <c r="T178" s="244" t="str">
        <f>IF(ISNUMBER(MATCH(B178, 'Sprint 19'!B:B, 0)), "มาจาก Sprint 19", "")</f>
        <v>มาจาก Sprint 19</v>
      </c>
      <c r="U178" s="244" t="str">
        <f t="array" ref="U178">IF(ISNUMBER(MATCH(B178, 'Sprint 19'!B:B, 0)), INDEX('Sprint 19'!J:J, MATCH(B178, 'Sprint 19'!B:B, 0)), "")</f>
        <v>In Progress</v>
      </c>
      <c r="V178" s="102" t="s">
        <v>3995</v>
      </c>
      <c r="W178" s="102" t="s">
        <v>1258</v>
      </c>
      <c r="X178" s="102" t="s">
        <v>1259</v>
      </c>
      <c r="AF178" s="230"/>
      <c r="AG178" s="230"/>
      <c r="AH178" s="230"/>
      <c r="AI178" s="230"/>
    </row>
    <row r="179">
      <c r="A179" s="102" t="s">
        <v>310</v>
      </c>
      <c r="B179" s="102" t="s">
        <v>3996</v>
      </c>
      <c r="C179" s="229" t="s">
        <v>3997</v>
      </c>
      <c r="D179" s="102" t="s">
        <v>3998</v>
      </c>
      <c r="E179" s="102" t="s">
        <v>328</v>
      </c>
      <c r="F179" s="102" t="s">
        <v>329</v>
      </c>
      <c r="G179" s="102" t="s">
        <v>282</v>
      </c>
      <c r="H179" s="102" t="s">
        <v>283</v>
      </c>
      <c r="I179" s="102" t="s">
        <v>284</v>
      </c>
      <c r="J179" s="102" t="s">
        <v>454</v>
      </c>
      <c r="L179" s="229" t="s">
        <v>3999</v>
      </c>
      <c r="M179" s="229" t="s">
        <v>3955</v>
      </c>
      <c r="O179" s="102">
        <v>3.0</v>
      </c>
      <c r="P179" s="102" t="s">
        <v>331</v>
      </c>
      <c r="S179" s="230"/>
      <c r="T179" s="244" t="str">
        <f>IF(ISNUMBER(MATCH(B179, 'Sprint 19'!B:B, 0)), "มาจาก Sprint 19", "")</f>
        <v>มาจาก Sprint 19</v>
      </c>
      <c r="U179" s="244" t="str">
        <f t="array" ref="U179">IF(ISNUMBER(MATCH(B179, 'Sprint 19'!B:B, 0)), INDEX('Sprint 19'!J:J, MATCH(B179, 'Sprint 19'!B:B, 0)), "")</f>
        <v>Ready to Staging</v>
      </c>
      <c r="W179" s="102" t="s">
        <v>1992</v>
      </c>
      <c r="X179" s="102" t="s">
        <v>1085</v>
      </c>
      <c r="AF179" s="230"/>
      <c r="AG179" s="230"/>
      <c r="AH179" s="230"/>
      <c r="AI179" s="230"/>
    </row>
    <row r="180">
      <c r="A180" s="102" t="s">
        <v>332</v>
      </c>
      <c r="B180" s="102" t="s">
        <v>4000</v>
      </c>
      <c r="C180" s="229" t="s">
        <v>4001</v>
      </c>
      <c r="D180" s="102" t="s">
        <v>4002</v>
      </c>
      <c r="E180" s="102" t="s">
        <v>513</v>
      </c>
      <c r="F180" s="102" t="s">
        <v>514</v>
      </c>
      <c r="G180" s="102" t="s">
        <v>316</v>
      </c>
      <c r="H180" s="102" t="s">
        <v>317</v>
      </c>
      <c r="I180" s="102" t="s">
        <v>284</v>
      </c>
      <c r="J180" s="102" t="s">
        <v>922</v>
      </c>
      <c r="L180" s="229" t="s">
        <v>4003</v>
      </c>
      <c r="M180" s="229" t="s">
        <v>4004</v>
      </c>
      <c r="N180" s="229" t="s">
        <v>1356</v>
      </c>
      <c r="O180" s="102">
        <v>2.0</v>
      </c>
      <c r="P180" s="102" t="s">
        <v>367</v>
      </c>
      <c r="Q180" s="102" t="s">
        <v>2179</v>
      </c>
      <c r="R180" s="102" t="s">
        <v>2891</v>
      </c>
      <c r="S180" s="230"/>
      <c r="T180" s="244" t="str">
        <f>IF(ISNUMBER(MATCH(B180, 'Sprint 19'!B:B, 0)), "มาจาก Sprint 19", "")</f>
        <v>มาจาก Sprint 19</v>
      </c>
      <c r="U180" s="244" t="str">
        <f t="array" ref="U180">IF(ISNUMBER(MATCH(B180, 'Sprint 19'!B:B, 0)), INDEX('Sprint 19'!J:J, MATCH(B180, 'Sprint 19'!B:B, 0)), "")</f>
        <v>UNDER VALIDATION</v>
      </c>
      <c r="W180" s="102" t="s">
        <v>4005</v>
      </c>
      <c r="X180" s="102" t="s">
        <v>1979</v>
      </c>
      <c r="AF180" s="230"/>
      <c r="AG180" s="230"/>
      <c r="AH180" s="230"/>
      <c r="AI180" s="230"/>
    </row>
    <row r="181">
      <c r="A181" s="102" t="s">
        <v>276</v>
      </c>
      <c r="B181" s="102" t="s">
        <v>4006</v>
      </c>
      <c r="C181" s="229" t="s">
        <v>4007</v>
      </c>
      <c r="D181" s="102" t="s">
        <v>347</v>
      </c>
      <c r="E181" s="102" t="s">
        <v>280</v>
      </c>
      <c r="F181" s="102" t="s">
        <v>281</v>
      </c>
      <c r="G181" s="102" t="s">
        <v>280</v>
      </c>
      <c r="H181" s="102" t="s">
        <v>281</v>
      </c>
      <c r="I181" s="102" t="s">
        <v>284</v>
      </c>
      <c r="J181" s="102" t="s">
        <v>26</v>
      </c>
      <c r="L181" s="229" t="s">
        <v>4008</v>
      </c>
      <c r="M181" s="229" t="s">
        <v>3945</v>
      </c>
      <c r="O181" s="230"/>
      <c r="S181" s="230"/>
      <c r="T181" s="244" t="str">
        <f>IF(ISNUMBER(MATCH(B181, 'Sprint 19'!B:B, 0)), "มาจาก Sprint 19", "")</f>
        <v>มาจาก Sprint 19</v>
      </c>
      <c r="U181" s="244" t="str">
        <f t="array" ref="U181">IF(ISNUMBER(MATCH(B181, 'Sprint 19'!B:B, 0)), INDEX('Sprint 19'!J:J, MATCH(B181, 'Sprint 19'!B:B, 0)), "")</f>
        <v>To Do</v>
      </c>
      <c r="W181" s="102" t="s">
        <v>1991</v>
      </c>
      <c r="X181" s="102" t="s">
        <v>1992</v>
      </c>
      <c r="Y181" s="102" t="s">
        <v>1085</v>
      </c>
      <c r="AF181" s="230"/>
      <c r="AG181" s="230"/>
      <c r="AH181" s="230"/>
      <c r="AI181" s="230"/>
    </row>
    <row r="182">
      <c r="A182" s="102" t="s">
        <v>276</v>
      </c>
      <c r="B182" s="102" t="s">
        <v>4009</v>
      </c>
      <c r="C182" s="229" t="s">
        <v>4010</v>
      </c>
      <c r="D182" s="102" t="s">
        <v>2030</v>
      </c>
      <c r="E182" s="102" t="s">
        <v>280</v>
      </c>
      <c r="F182" s="102" t="s">
        <v>281</v>
      </c>
      <c r="G182" s="102" t="s">
        <v>280</v>
      </c>
      <c r="H182" s="102" t="s">
        <v>281</v>
      </c>
      <c r="I182" s="102" t="s">
        <v>284</v>
      </c>
      <c r="J182" s="102" t="s">
        <v>26</v>
      </c>
      <c r="L182" s="229" t="s">
        <v>4008</v>
      </c>
      <c r="M182" s="229" t="s">
        <v>1995</v>
      </c>
      <c r="O182" s="230"/>
      <c r="S182" s="230"/>
      <c r="T182" s="244" t="str">
        <f>IF(ISNUMBER(MATCH(B182, 'Sprint 19'!B:B, 0)), "มาจาก Sprint 19", "")</f>
        <v>มาจาก Sprint 19</v>
      </c>
      <c r="U182" s="244" t="str">
        <f t="array" ref="U182">IF(ISNUMBER(MATCH(B182, 'Sprint 19'!B:B, 0)), INDEX('Sprint 19'!J:J, MATCH(B182, 'Sprint 19'!B:B, 0)), "")</f>
        <v>In Review</v>
      </c>
      <c r="W182" s="102" t="s">
        <v>1991</v>
      </c>
      <c r="X182" s="102" t="s">
        <v>1992</v>
      </c>
      <c r="Y182" s="102" t="s">
        <v>1085</v>
      </c>
      <c r="AF182" s="230"/>
      <c r="AG182" s="230"/>
      <c r="AH182" s="230"/>
      <c r="AI182" s="230"/>
    </row>
    <row r="183">
      <c r="A183" s="102" t="s">
        <v>276</v>
      </c>
      <c r="B183" s="102" t="s">
        <v>4011</v>
      </c>
      <c r="C183" s="229" t="s">
        <v>4012</v>
      </c>
      <c r="D183" s="102" t="s">
        <v>347</v>
      </c>
      <c r="E183" s="102" t="s">
        <v>280</v>
      </c>
      <c r="F183" s="102" t="s">
        <v>281</v>
      </c>
      <c r="G183" s="102" t="s">
        <v>280</v>
      </c>
      <c r="H183" s="102" t="s">
        <v>281</v>
      </c>
      <c r="I183" s="102" t="s">
        <v>284</v>
      </c>
      <c r="J183" s="102" t="s">
        <v>26</v>
      </c>
      <c r="L183" s="229" t="s">
        <v>4008</v>
      </c>
      <c r="M183" s="229" t="s">
        <v>3945</v>
      </c>
      <c r="O183" s="230"/>
      <c r="S183" s="230"/>
      <c r="T183" s="244" t="str">
        <f>IF(ISNUMBER(MATCH(B183, 'Sprint 19'!B:B, 0)), "มาจาก Sprint 19", "")</f>
        <v>มาจาก Sprint 19</v>
      </c>
      <c r="U183" s="244" t="str">
        <f t="array" ref="U183">IF(ISNUMBER(MATCH(B183, 'Sprint 19'!B:B, 0)), INDEX('Sprint 19'!J:J, MATCH(B183, 'Sprint 19'!B:B, 0)), "")</f>
        <v>To Do</v>
      </c>
      <c r="W183" s="102" t="s">
        <v>1991</v>
      </c>
      <c r="X183" s="102" t="s">
        <v>1992</v>
      </c>
      <c r="Y183" s="102" t="s">
        <v>1085</v>
      </c>
      <c r="AF183" s="230"/>
      <c r="AG183" s="230"/>
      <c r="AH183" s="230"/>
      <c r="AI183" s="230"/>
    </row>
    <row r="184">
      <c r="A184" s="102" t="s">
        <v>276</v>
      </c>
      <c r="B184" s="102" t="s">
        <v>4013</v>
      </c>
      <c r="C184" s="229" t="s">
        <v>4014</v>
      </c>
      <c r="D184" s="102" t="s">
        <v>2030</v>
      </c>
      <c r="E184" s="102" t="s">
        <v>280</v>
      </c>
      <c r="F184" s="102" t="s">
        <v>281</v>
      </c>
      <c r="G184" s="102" t="s">
        <v>280</v>
      </c>
      <c r="H184" s="102" t="s">
        <v>281</v>
      </c>
      <c r="I184" s="102" t="s">
        <v>284</v>
      </c>
      <c r="J184" s="102" t="s">
        <v>26</v>
      </c>
      <c r="L184" s="229" t="s">
        <v>4008</v>
      </c>
      <c r="M184" s="229" t="s">
        <v>1995</v>
      </c>
      <c r="O184" s="230"/>
      <c r="S184" s="230"/>
      <c r="T184" s="244" t="str">
        <f>IF(ISNUMBER(MATCH(B184, 'Sprint 19'!B:B, 0)), "มาจาก Sprint 19", "")</f>
        <v>มาจาก Sprint 19</v>
      </c>
      <c r="U184" s="244" t="str">
        <f t="array" ref="U184">IF(ISNUMBER(MATCH(B184, 'Sprint 19'!B:B, 0)), INDEX('Sprint 19'!J:J, MATCH(B184, 'Sprint 19'!B:B, 0)), "")</f>
        <v>In Review</v>
      </c>
      <c r="W184" s="102" t="s">
        <v>1991</v>
      </c>
      <c r="X184" s="102" t="s">
        <v>1992</v>
      </c>
      <c r="Y184" s="102" t="s">
        <v>1085</v>
      </c>
      <c r="AF184" s="230"/>
      <c r="AG184" s="230"/>
      <c r="AH184" s="230"/>
      <c r="AI184" s="230"/>
    </row>
    <row r="185">
      <c r="A185" s="102" t="s">
        <v>310</v>
      </c>
      <c r="B185" s="102" t="s">
        <v>3524</v>
      </c>
      <c r="C185" s="229" t="s">
        <v>3525</v>
      </c>
      <c r="D185" s="102" t="s">
        <v>3526</v>
      </c>
      <c r="E185" s="102" t="s">
        <v>495</v>
      </c>
      <c r="F185" s="102" t="s">
        <v>496</v>
      </c>
      <c r="G185" s="102" t="s">
        <v>282</v>
      </c>
      <c r="H185" s="102" t="s">
        <v>283</v>
      </c>
      <c r="I185" s="102" t="s">
        <v>284</v>
      </c>
      <c r="J185" s="102" t="s">
        <v>454</v>
      </c>
      <c r="L185" s="229" t="s">
        <v>3527</v>
      </c>
      <c r="M185" s="229" t="s">
        <v>4015</v>
      </c>
      <c r="O185" s="102">
        <v>3.0</v>
      </c>
      <c r="P185" s="102" t="s">
        <v>331</v>
      </c>
      <c r="S185" s="102">
        <v>0.0</v>
      </c>
      <c r="T185" s="244" t="str">
        <f>IF(ISNUMBER(MATCH(B185, 'Sprint 19'!B:B, 0)), "มาจาก Sprint 19", "")</f>
        <v>มาจาก Sprint 19</v>
      </c>
      <c r="U185" s="244" t="str">
        <f t="array" ref="U185">IF(ISNUMBER(MATCH(B185, 'Sprint 19'!B:B, 0)), INDEX('Sprint 19'!J:J, MATCH(B185, 'Sprint 19'!B:B, 0)), "")</f>
        <v>Ready to Staging</v>
      </c>
      <c r="V185" s="102">
        <v>28800.0</v>
      </c>
      <c r="W185" s="102" t="s">
        <v>1992</v>
      </c>
      <c r="X185" s="102" t="s">
        <v>1085</v>
      </c>
      <c r="AF185" s="230"/>
      <c r="AG185" s="230"/>
      <c r="AH185" s="230"/>
      <c r="AI185" s="230"/>
    </row>
    <row r="186">
      <c r="A186" s="102" t="s">
        <v>310</v>
      </c>
      <c r="B186" s="102" t="s">
        <v>4016</v>
      </c>
      <c r="C186" s="229" t="s">
        <v>4017</v>
      </c>
      <c r="D186" s="102" t="s">
        <v>4018</v>
      </c>
      <c r="E186" s="102" t="s">
        <v>353</v>
      </c>
      <c r="F186" s="102" t="s">
        <v>354</v>
      </c>
      <c r="G186" s="102" t="s">
        <v>353</v>
      </c>
      <c r="H186" s="102" t="s">
        <v>354</v>
      </c>
      <c r="I186" s="102" t="s">
        <v>284</v>
      </c>
      <c r="J186" s="102" t="s">
        <v>26</v>
      </c>
      <c r="L186" s="229" t="s">
        <v>4019</v>
      </c>
      <c r="M186" s="229" t="s">
        <v>3832</v>
      </c>
      <c r="O186" s="102">
        <v>8.0</v>
      </c>
      <c r="S186" s="230"/>
      <c r="T186" s="244" t="str">
        <f>IF(ISNUMBER(MATCH(B186, 'Sprint 19'!B:B, 0)), "มาจาก Sprint 19", "")</f>
        <v>มาจาก Sprint 19</v>
      </c>
      <c r="U186" s="244" t="str">
        <f t="array" ref="U186">IF(ISNUMBER(MATCH(B186, 'Sprint 19'!B:B, 0)), INDEX('Sprint 19'!J:J, MATCH(B186, 'Sprint 19'!B:B, 0)), "")</f>
        <v>In Progress</v>
      </c>
      <c r="W186" s="102" t="s">
        <v>2270</v>
      </c>
      <c r="X186" s="102" t="s">
        <v>2271</v>
      </c>
      <c r="AF186" s="230"/>
      <c r="AG186" s="230"/>
      <c r="AH186" s="230"/>
      <c r="AI186" s="230"/>
    </row>
    <row r="187">
      <c r="A187" s="102" t="s">
        <v>310</v>
      </c>
      <c r="B187" s="102" t="s">
        <v>4020</v>
      </c>
      <c r="C187" s="229" t="s">
        <v>4021</v>
      </c>
      <c r="D187" s="102" t="s">
        <v>4022</v>
      </c>
      <c r="E187" s="102" t="s">
        <v>584</v>
      </c>
      <c r="F187" s="102" t="s">
        <v>585</v>
      </c>
      <c r="G187" s="102" t="s">
        <v>353</v>
      </c>
      <c r="H187" s="102" t="s">
        <v>354</v>
      </c>
      <c r="I187" s="102" t="s">
        <v>284</v>
      </c>
      <c r="J187" s="102" t="s">
        <v>454</v>
      </c>
      <c r="L187" s="229" t="s">
        <v>4023</v>
      </c>
      <c r="M187" s="229" t="s">
        <v>4024</v>
      </c>
      <c r="O187" s="102">
        <v>3.0</v>
      </c>
      <c r="S187" s="102">
        <v>0.0</v>
      </c>
      <c r="T187" s="244" t="str">
        <f>IF(ISNUMBER(MATCH(B187, 'Sprint 19'!B:B, 0)), "มาจาก Sprint 19", "")</f>
        <v>มาจาก Sprint 19</v>
      </c>
      <c r="U187" s="244" t="str">
        <f t="array" ref="U187">IF(ISNUMBER(MATCH(B187, 'Sprint 19'!B:B, 0)), INDEX('Sprint 19'!J:J, MATCH(B187, 'Sprint 19'!B:B, 0)), "")</f>
        <v>Ready to Staging</v>
      </c>
      <c r="V187" s="102">
        <v>28800.0</v>
      </c>
      <c r="W187" s="102" t="s">
        <v>2270</v>
      </c>
      <c r="X187" s="102" t="s">
        <v>2271</v>
      </c>
      <c r="AF187" s="230"/>
      <c r="AG187" s="230"/>
      <c r="AH187" s="230"/>
      <c r="AI187" s="230"/>
    </row>
    <row r="188">
      <c r="A188" s="102" t="s">
        <v>310</v>
      </c>
      <c r="B188" s="102" t="s">
        <v>4025</v>
      </c>
      <c r="C188" s="229" t="s">
        <v>4026</v>
      </c>
      <c r="D188" s="102" t="s">
        <v>4027</v>
      </c>
      <c r="E188" s="102" t="s">
        <v>584</v>
      </c>
      <c r="F188" s="102" t="s">
        <v>585</v>
      </c>
      <c r="G188" s="102" t="s">
        <v>353</v>
      </c>
      <c r="H188" s="102" t="s">
        <v>354</v>
      </c>
      <c r="I188" s="102" t="s">
        <v>284</v>
      </c>
      <c r="J188" s="102" t="s">
        <v>454</v>
      </c>
      <c r="L188" s="229" t="s">
        <v>4028</v>
      </c>
      <c r="M188" s="229" t="s">
        <v>4024</v>
      </c>
      <c r="O188" s="102">
        <v>2.0</v>
      </c>
      <c r="S188" s="102">
        <v>0.0</v>
      </c>
      <c r="T188" s="244" t="str">
        <f>IF(ISNUMBER(MATCH(B188, 'Sprint 19'!B:B, 0)), "มาจาก Sprint 19", "")</f>
        <v>มาจาก Sprint 19</v>
      </c>
      <c r="U188" s="244" t="str">
        <f t="array" ref="U188">IF(ISNUMBER(MATCH(B188, 'Sprint 19'!B:B, 0)), INDEX('Sprint 19'!J:J, MATCH(B188, 'Sprint 19'!B:B, 0)), "")</f>
        <v>Ready to Staging</v>
      </c>
      <c r="V188" s="102">
        <v>14400.0</v>
      </c>
      <c r="W188" s="102" t="s">
        <v>2270</v>
      </c>
      <c r="X188" s="102" t="s">
        <v>2271</v>
      </c>
      <c r="AF188" s="230"/>
      <c r="AG188" s="230"/>
      <c r="AH188" s="230"/>
      <c r="AI188" s="230"/>
    </row>
    <row r="189">
      <c r="A189" s="102" t="s">
        <v>310</v>
      </c>
      <c r="B189" s="102" t="s">
        <v>2031</v>
      </c>
      <c r="C189" s="229" t="s">
        <v>2032</v>
      </c>
      <c r="D189" s="102" t="s">
        <v>2033</v>
      </c>
      <c r="E189" s="102" t="s">
        <v>556</v>
      </c>
      <c r="F189" s="102" t="s">
        <v>557</v>
      </c>
      <c r="G189" s="102" t="s">
        <v>282</v>
      </c>
      <c r="H189" s="102" t="s">
        <v>283</v>
      </c>
      <c r="I189" s="102" t="s">
        <v>284</v>
      </c>
      <c r="J189" s="102" t="s">
        <v>454</v>
      </c>
      <c r="L189" s="229" t="s">
        <v>2034</v>
      </c>
      <c r="M189" s="229" t="s">
        <v>4029</v>
      </c>
      <c r="O189" s="102">
        <v>1.0</v>
      </c>
      <c r="S189" s="230"/>
      <c r="T189" s="244" t="str">
        <f>IF(ISNUMBER(MATCH(B189, 'Sprint 19'!B:B, 0)), "มาจาก Sprint 19", "")</f>
        <v>มาจาก Sprint 19</v>
      </c>
      <c r="U189" s="244" t="str">
        <f t="array" ref="U189">IF(ISNUMBER(MATCH(B189, 'Sprint 19'!B:B, 0)), INDEX('Sprint 19'!J:J, MATCH(B189, 'Sprint 19'!B:B, 0)), "")</f>
        <v>Ready to Staging</v>
      </c>
      <c r="V189" s="230"/>
      <c r="W189" s="102" t="s">
        <v>1991</v>
      </c>
      <c r="X189" s="102" t="s">
        <v>1992</v>
      </c>
      <c r="Y189" s="102" t="s">
        <v>1085</v>
      </c>
      <c r="AF189" s="230"/>
      <c r="AG189" s="230"/>
      <c r="AH189" s="230"/>
      <c r="AI189" s="230"/>
    </row>
    <row r="190">
      <c r="A190" s="102" t="s">
        <v>310</v>
      </c>
      <c r="B190" s="102" t="s">
        <v>4030</v>
      </c>
      <c r="C190" s="229" t="s">
        <v>4031</v>
      </c>
      <c r="D190" s="102" t="s">
        <v>4032</v>
      </c>
      <c r="E190" s="102" t="s">
        <v>556</v>
      </c>
      <c r="F190" s="102" t="s">
        <v>557</v>
      </c>
      <c r="G190" s="102" t="s">
        <v>282</v>
      </c>
      <c r="H190" s="102" t="s">
        <v>283</v>
      </c>
      <c r="I190" s="102" t="s">
        <v>284</v>
      </c>
      <c r="J190" s="102" t="s">
        <v>26</v>
      </c>
      <c r="L190" s="229" t="s">
        <v>2034</v>
      </c>
      <c r="M190" s="229" t="s">
        <v>4033</v>
      </c>
      <c r="O190" s="102">
        <v>1.0</v>
      </c>
      <c r="S190" s="230"/>
      <c r="T190" s="244" t="str">
        <f>IF(ISNUMBER(MATCH(B190, 'Sprint 19'!B:B, 0)), "มาจาก Sprint 19", "")</f>
        <v>มาจาก Sprint 19</v>
      </c>
      <c r="U190" s="244" t="str">
        <f t="array" ref="U190">IF(ISNUMBER(MATCH(B190, 'Sprint 19'!B:B, 0)), INDEX('Sprint 19'!J:J, MATCH(B190, 'Sprint 19'!B:B, 0)), "")</f>
        <v>Ready to Staging</v>
      </c>
      <c r="V190" s="230"/>
      <c r="W190" s="102" t="s">
        <v>1991</v>
      </c>
      <c r="X190" s="102" t="s">
        <v>1992</v>
      </c>
      <c r="Y190" s="102" t="s">
        <v>1085</v>
      </c>
      <c r="AF190" s="230"/>
      <c r="AG190" s="230"/>
      <c r="AH190" s="230"/>
      <c r="AI190" s="230"/>
    </row>
    <row r="191">
      <c r="A191" s="102" t="s">
        <v>310</v>
      </c>
      <c r="B191" s="102" t="s">
        <v>3192</v>
      </c>
      <c r="C191" s="229" t="s">
        <v>3193</v>
      </c>
      <c r="D191" s="102" t="s">
        <v>3194</v>
      </c>
      <c r="E191" s="102" t="s">
        <v>584</v>
      </c>
      <c r="F191" s="102" t="s">
        <v>585</v>
      </c>
      <c r="G191" s="102" t="s">
        <v>353</v>
      </c>
      <c r="H191" s="102" t="s">
        <v>354</v>
      </c>
      <c r="I191" s="102" t="s">
        <v>284</v>
      </c>
      <c r="J191" s="102" t="s">
        <v>454</v>
      </c>
      <c r="L191" s="229" t="s">
        <v>3195</v>
      </c>
      <c r="M191" s="229" t="s">
        <v>4034</v>
      </c>
      <c r="O191" s="102">
        <v>2.0</v>
      </c>
      <c r="S191" s="102">
        <v>0.0</v>
      </c>
      <c r="T191" s="244" t="str">
        <f>IF(ISNUMBER(MATCH(B191, 'Sprint 19'!B:B, 0)), "มาจาก Sprint 19", "")</f>
        <v>มาจาก Sprint 19</v>
      </c>
      <c r="U191" s="244" t="str">
        <f t="array" ref="U191">IF(ISNUMBER(MATCH(B191, 'Sprint 19'!B:B, 0)), INDEX('Sprint 19'!J:J, MATCH(B191, 'Sprint 19'!B:B, 0)), "")</f>
        <v>Ready to Staging</v>
      </c>
      <c r="V191" s="102">
        <v>14400.0</v>
      </c>
      <c r="W191" s="102" t="s">
        <v>2270</v>
      </c>
      <c r="X191" s="102" t="s">
        <v>2271</v>
      </c>
      <c r="AF191" s="230"/>
      <c r="AG191" s="230"/>
      <c r="AH191" s="230"/>
      <c r="AI191" s="230"/>
    </row>
    <row r="192">
      <c r="A192" s="102" t="s">
        <v>310</v>
      </c>
      <c r="B192" s="102" t="s">
        <v>3198</v>
      </c>
      <c r="C192" s="229" t="s">
        <v>3199</v>
      </c>
      <c r="D192" s="102" t="s">
        <v>3200</v>
      </c>
      <c r="E192" s="102" t="s">
        <v>584</v>
      </c>
      <c r="F192" s="102" t="s">
        <v>585</v>
      </c>
      <c r="G192" s="102" t="s">
        <v>353</v>
      </c>
      <c r="H192" s="102" t="s">
        <v>354</v>
      </c>
      <c r="I192" s="102" t="s">
        <v>284</v>
      </c>
      <c r="J192" s="102" t="s">
        <v>454</v>
      </c>
      <c r="L192" s="229" t="s">
        <v>3201</v>
      </c>
      <c r="M192" s="229" t="s">
        <v>4034</v>
      </c>
      <c r="O192" s="102">
        <v>2.0</v>
      </c>
      <c r="S192" s="102">
        <v>0.0</v>
      </c>
      <c r="T192" s="244" t="str">
        <f>IF(ISNUMBER(MATCH(B192, 'Sprint 19'!B:B, 0)), "มาจาก Sprint 19", "")</f>
        <v>มาจาก Sprint 19</v>
      </c>
      <c r="U192" s="244" t="str">
        <f t="array" ref="U192">IF(ISNUMBER(MATCH(B192, 'Sprint 19'!B:B, 0)), INDEX('Sprint 19'!J:J, MATCH(B192, 'Sprint 19'!B:B, 0)), "")</f>
        <v>Ready to Staging</v>
      </c>
      <c r="V192" s="102">
        <v>14400.0</v>
      </c>
      <c r="W192" s="102" t="s">
        <v>2270</v>
      </c>
      <c r="X192" s="102" t="s">
        <v>2271</v>
      </c>
      <c r="AF192" s="230"/>
      <c r="AG192" s="230"/>
      <c r="AH192" s="230"/>
      <c r="AI192" s="230"/>
    </row>
    <row r="193">
      <c r="A193" s="102" t="s">
        <v>310</v>
      </c>
      <c r="B193" s="102" t="s">
        <v>3534</v>
      </c>
      <c r="C193" s="229" t="s">
        <v>3535</v>
      </c>
      <c r="D193" s="102" t="s">
        <v>3536</v>
      </c>
      <c r="E193" s="102" t="s">
        <v>282</v>
      </c>
      <c r="F193" s="102" t="s">
        <v>283</v>
      </c>
      <c r="G193" s="102" t="s">
        <v>282</v>
      </c>
      <c r="H193" s="102" t="s">
        <v>283</v>
      </c>
      <c r="I193" s="102" t="s">
        <v>284</v>
      </c>
      <c r="J193" s="102" t="s">
        <v>34</v>
      </c>
      <c r="L193" s="229" t="s">
        <v>3537</v>
      </c>
      <c r="M193" s="229" t="s">
        <v>4035</v>
      </c>
      <c r="O193" s="102">
        <v>3.0</v>
      </c>
      <c r="P193" s="102" t="s">
        <v>593</v>
      </c>
      <c r="S193" s="230"/>
      <c r="T193" s="244" t="str">
        <f>IF(ISNUMBER(MATCH(B193, 'Sprint 19'!B:B, 0)), "มาจาก Sprint 19", "")</f>
        <v>มาจาก Sprint 19</v>
      </c>
      <c r="U193" s="244" t="str">
        <f t="array" ref="U193">IF(ISNUMBER(MATCH(B193, 'Sprint 19'!B:B, 0)), INDEX('Sprint 19'!J:J, MATCH(B193, 'Sprint 19'!B:B, 0)), "")</f>
        <v>In Progress</v>
      </c>
      <c r="W193" s="102" t="s">
        <v>1992</v>
      </c>
      <c r="X193" s="102" t="s">
        <v>1085</v>
      </c>
      <c r="AF193" s="230"/>
      <c r="AG193" s="230"/>
      <c r="AH193" s="230"/>
      <c r="AI193" s="230"/>
    </row>
    <row r="194">
      <c r="A194" s="102" t="s">
        <v>310</v>
      </c>
      <c r="B194" s="102" t="s">
        <v>3540</v>
      </c>
      <c r="C194" s="229" t="s">
        <v>3541</v>
      </c>
      <c r="D194" s="102" t="s">
        <v>3542</v>
      </c>
      <c r="E194" s="102" t="s">
        <v>282</v>
      </c>
      <c r="F194" s="102" t="s">
        <v>283</v>
      </c>
      <c r="G194" s="102" t="s">
        <v>282</v>
      </c>
      <c r="H194" s="102" t="s">
        <v>283</v>
      </c>
      <c r="I194" s="102" t="s">
        <v>284</v>
      </c>
      <c r="J194" s="102" t="s">
        <v>34</v>
      </c>
      <c r="L194" s="229" t="s">
        <v>3543</v>
      </c>
      <c r="M194" s="229" t="s">
        <v>4035</v>
      </c>
      <c r="O194" s="102">
        <v>3.0</v>
      </c>
      <c r="S194" s="230"/>
      <c r="T194" s="244" t="str">
        <f>IF(ISNUMBER(MATCH(B194, 'Sprint 19'!B:B, 0)), "มาจาก Sprint 19", "")</f>
        <v>มาจาก Sprint 19</v>
      </c>
      <c r="U194" s="244" t="str">
        <f t="array" ref="U194">IF(ISNUMBER(MATCH(B194, 'Sprint 19'!B:B, 0)), INDEX('Sprint 19'!J:J, MATCH(B194, 'Sprint 19'!B:B, 0)), "")</f>
        <v>To Do</v>
      </c>
      <c r="W194" s="102" t="s">
        <v>1992</v>
      </c>
      <c r="X194" s="102" t="s">
        <v>1085</v>
      </c>
      <c r="AF194" s="230"/>
      <c r="AG194" s="230"/>
      <c r="AH194" s="230"/>
      <c r="AI194" s="230"/>
    </row>
    <row r="195">
      <c r="A195" s="102" t="s">
        <v>310</v>
      </c>
      <c r="B195" s="102" t="s">
        <v>4036</v>
      </c>
      <c r="C195" s="229" t="s">
        <v>4037</v>
      </c>
      <c r="D195" s="102" t="s">
        <v>4038</v>
      </c>
      <c r="E195" s="102" t="s">
        <v>495</v>
      </c>
      <c r="F195" s="102" t="s">
        <v>496</v>
      </c>
      <c r="G195" s="102" t="s">
        <v>282</v>
      </c>
      <c r="H195" s="102" t="s">
        <v>283</v>
      </c>
      <c r="I195" s="102" t="s">
        <v>284</v>
      </c>
      <c r="J195" s="102" t="s">
        <v>26</v>
      </c>
      <c r="L195" s="229" t="s">
        <v>4039</v>
      </c>
      <c r="M195" s="229" t="s">
        <v>3811</v>
      </c>
      <c r="O195" s="102">
        <v>2.0</v>
      </c>
      <c r="S195" s="102">
        <v>0.0</v>
      </c>
      <c r="T195" s="244" t="str">
        <f>IF(ISNUMBER(MATCH(B195, 'Sprint 19'!B:B, 0)), "มาจาก Sprint 19", "")</f>
        <v>มาจาก Sprint 19</v>
      </c>
      <c r="U195" s="244" t="str">
        <f t="array" ref="U195">IF(ISNUMBER(MATCH(B195, 'Sprint 19'!B:B, 0)), INDEX('Sprint 19'!J:J, MATCH(B195, 'Sprint 19'!B:B, 0)), "")</f>
        <v>Ready to Staging</v>
      </c>
      <c r="V195" s="102">
        <v>7200.0</v>
      </c>
      <c r="W195" s="102" t="s">
        <v>1991</v>
      </c>
      <c r="X195" s="102" t="s">
        <v>1992</v>
      </c>
      <c r="Y195" s="102" t="s">
        <v>1085</v>
      </c>
      <c r="AF195" s="230"/>
      <c r="AG195" s="230"/>
      <c r="AH195" s="230"/>
      <c r="AI195" s="230"/>
    </row>
    <row r="196">
      <c r="A196" s="102" t="s">
        <v>332</v>
      </c>
      <c r="B196" s="102" t="s">
        <v>4040</v>
      </c>
      <c r="C196" s="229" t="s">
        <v>4041</v>
      </c>
      <c r="D196" s="102" t="s">
        <v>4042</v>
      </c>
      <c r="E196" s="102" t="s">
        <v>328</v>
      </c>
      <c r="F196" s="102" t="s">
        <v>329</v>
      </c>
      <c r="G196" s="102" t="s">
        <v>362</v>
      </c>
      <c r="H196" s="102" t="s">
        <v>363</v>
      </c>
      <c r="I196" s="102" t="s">
        <v>284</v>
      </c>
      <c r="J196" s="102" t="s">
        <v>1738</v>
      </c>
      <c r="L196" s="229" t="s">
        <v>4043</v>
      </c>
      <c r="M196" s="229" t="s">
        <v>3735</v>
      </c>
      <c r="N196" s="229" t="s">
        <v>4044</v>
      </c>
      <c r="O196" s="102">
        <v>3.0</v>
      </c>
      <c r="S196" s="230"/>
      <c r="T196" s="244" t="str">
        <f>IF(ISNUMBER(MATCH(B196, 'Sprint 19'!B:B, 0)), "มาจาก Sprint 19", "")</f>
        <v>มาจาก Sprint 19</v>
      </c>
      <c r="U196" s="244" t="str">
        <f t="array" ref="U196">IF(ISNUMBER(MATCH(B196, 'Sprint 19'!B:B, 0)), INDEX('Sprint 19'!J:J, MATCH(B196, 'Sprint 19'!B:B, 0)), "")</f>
        <v>Fixing</v>
      </c>
      <c r="W196" s="102" t="s">
        <v>4005</v>
      </c>
      <c r="X196" s="102" t="s">
        <v>1979</v>
      </c>
      <c r="AF196" s="230"/>
      <c r="AG196" s="230"/>
      <c r="AH196" s="230"/>
      <c r="AI196" s="230"/>
    </row>
    <row r="197">
      <c r="A197" s="102" t="s">
        <v>276</v>
      </c>
      <c r="B197" s="102" t="s">
        <v>4045</v>
      </c>
      <c r="C197" s="229" t="s">
        <v>4046</v>
      </c>
      <c r="D197" s="102" t="s">
        <v>347</v>
      </c>
      <c r="E197" s="102" t="s">
        <v>2494</v>
      </c>
      <c r="F197" s="102" t="s">
        <v>2495</v>
      </c>
      <c r="G197" s="102" t="s">
        <v>280</v>
      </c>
      <c r="H197" s="102" t="s">
        <v>281</v>
      </c>
      <c r="I197" s="102" t="s">
        <v>284</v>
      </c>
      <c r="J197" s="102" t="s">
        <v>26</v>
      </c>
      <c r="L197" s="229" t="s">
        <v>4047</v>
      </c>
      <c r="M197" s="229" t="s">
        <v>4048</v>
      </c>
      <c r="O197" s="230"/>
      <c r="S197" s="230"/>
      <c r="T197" s="244" t="str">
        <f>IF(ISNUMBER(MATCH(B197, 'Sprint 19'!B:B, 0)), "มาจาก Sprint 19", "")</f>
        <v>มาจาก Sprint 19</v>
      </c>
      <c r="U197" s="244" t="str">
        <f t="array" ref="U197">IF(ISNUMBER(MATCH(B197, 'Sprint 19'!B:B, 0)), INDEX('Sprint 19'!J:J, MATCH(B197, 'Sprint 19'!B:B, 0)), "")</f>
        <v>To Do</v>
      </c>
      <c r="W197" s="102" t="s">
        <v>3557</v>
      </c>
      <c r="X197" s="102" t="s">
        <v>1991</v>
      </c>
      <c r="Y197" s="102" t="s">
        <v>1992</v>
      </c>
      <c r="Z197" s="102" t="s">
        <v>1085</v>
      </c>
      <c r="AF197" s="230"/>
      <c r="AG197" s="230"/>
      <c r="AH197" s="230"/>
      <c r="AI197" s="230"/>
    </row>
    <row r="198">
      <c r="A198" s="102" t="s">
        <v>276</v>
      </c>
      <c r="B198" s="102" t="s">
        <v>4049</v>
      </c>
      <c r="C198" s="229" t="s">
        <v>4050</v>
      </c>
      <c r="D198" s="102" t="s">
        <v>2030</v>
      </c>
      <c r="E198" s="102" t="s">
        <v>280</v>
      </c>
      <c r="F198" s="102" t="s">
        <v>281</v>
      </c>
      <c r="G198" s="102" t="s">
        <v>280</v>
      </c>
      <c r="H198" s="102" t="s">
        <v>281</v>
      </c>
      <c r="I198" s="102" t="s">
        <v>284</v>
      </c>
      <c r="J198" s="102" t="s">
        <v>26</v>
      </c>
      <c r="L198" s="229" t="s">
        <v>4051</v>
      </c>
      <c r="M198" s="229" t="s">
        <v>1995</v>
      </c>
      <c r="O198" s="230"/>
      <c r="S198" s="230"/>
      <c r="T198" s="244" t="str">
        <f>IF(ISNUMBER(MATCH(B198, 'Sprint 19'!B:B, 0)), "มาจาก Sprint 19", "")</f>
        <v>มาจาก Sprint 19</v>
      </c>
      <c r="U198" s="244" t="str">
        <f t="array" ref="U198">IF(ISNUMBER(MATCH(B198, 'Sprint 19'!B:B, 0)), INDEX('Sprint 19'!J:J, MATCH(B198, 'Sprint 19'!B:B, 0)), "")</f>
        <v>In Review</v>
      </c>
      <c r="W198" s="102" t="s">
        <v>3557</v>
      </c>
      <c r="X198" s="102" t="s">
        <v>1991</v>
      </c>
      <c r="Y198" s="102" t="s">
        <v>1992</v>
      </c>
      <c r="Z198" s="102" t="s">
        <v>1085</v>
      </c>
      <c r="AF198" s="230"/>
      <c r="AG198" s="230"/>
      <c r="AH198" s="230"/>
      <c r="AI198" s="230"/>
    </row>
    <row r="199">
      <c r="A199" s="102" t="s">
        <v>276</v>
      </c>
      <c r="B199" s="102" t="s">
        <v>3544</v>
      </c>
      <c r="C199" s="229" t="s">
        <v>3545</v>
      </c>
      <c r="D199" s="102" t="s">
        <v>347</v>
      </c>
      <c r="E199" s="102" t="s">
        <v>280</v>
      </c>
      <c r="F199" s="102" t="s">
        <v>281</v>
      </c>
      <c r="G199" s="102" t="s">
        <v>280</v>
      </c>
      <c r="H199" s="102" t="s">
        <v>281</v>
      </c>
      <c r="I199" s="102" t="s">
        <v>284</v>
      </c>
      <c r="J199" s="102" t="s">
        <v>63</v>
      </c>
      <c r="L199" s="229" t="s">
        <v>3546</v>
      </c>
      <c r="M199" s="229" t="s">
        <v>4052</v>
      </c>
      <c r="O199" s="230"/>
      <c r="S199" s="230"/>
      <c r="T199" s="244" t="str">
        <f>IF(ISNUMBER(MATCH(B199, 'Sprint 19'!B:B, 0)), "มาจาก Sprint 19", "")</f>
        <v>มาจาก Sprint 19</v>
      </c>
      <c r="U199" s="244" t="str">
        <f t="array" ref="U199">IF(ISNUMBER(MATCH(B199, 'Sprint 19'!B:B, 0)), INDEX('Sprint 19'!J:J, MATCH(B199, 'Sprint 19'!B:B, 0)), "")</f>
        <v>To Do</v>
      </c>
      <c r="W199" s="102" t="s">
        <v>1991</v>
      </c>
      <c r="X199" s="102" t="s">
        <v>1992</v>
      </c>
      <c r="Y199" s="102" t="s">
        <v>1085</v>
      </c>
      <c r="AF199" s="230"/>
      <c r="AG199" s="230"/>
      <c r="AH199" s="230"/>
      <c r="AI199" s="230"/>
    </row>
    <row r="200">
      <c r="A200" s="102" t="s">
        <v>276</v>
      </c>
      <c r="B200" s="102" t="s">
        <v>3547</v>
      </c>
      <c r="C200" s="229" t="s">
        <v>3548</v>
      </c>
      <c r="D200" s="102" t="s">
        <v>2030</v>
      </c>
      <c r="E200" s="102" t="s">
        <v>280</v>
      </c>
      <c r="F200" s="102" t="s">
        <v>281</v>
      </c>
      <c r="G200" s="102" t="s">
        <v>280</v>
      </c>
      <c r="H200" s="102" t="s">
        <v>281</v>
      </c>
      <c r="I200" s="102" t="s">
        <v>284</v>
      </c>
      <c r="J200" s="102" t="s">
        <v>26</v>
      </c>
      <c r="L200" s="229" t="s">
        <v>3546</v>
      </c>
      <c r="M200" s="229" t="s">
        <v>1995</v>
      </c>
      <c r="O200" s="230"/>
      <c r="S200" s="230"/>
      <c r="T200" s="244" t="str">
        <f>IF(ISNUMBER(MATCH(B200, 'Sprint 19'!B:B, 0)), "มาจาก Sprint 19", "")</f>
        <v>มาจาก Sprint 19</v>
      </c>
      <c r="U200" s="244" t="str">
        <f t="array" ref="U200">IF(ISNUMBER(MATCH(B200, 'Sprint 19'!B:B, 0)), INDEX('Sprint 19'!J:J, MATCH(B200, 'Sprint 19'!B:B, 0)), "")</f>
        <v>In Review</v>
      </c>
      <c r="W200" s="102" t="s">
        <v>1991</v>
      </c>
      <c r="X200" s="102" t="s">
        <v>1992</v>
      </c>
      <c r="Y200" s="102" t="s">
        <v>1085</v>
      </c>
      <c r="AF200" s="230"/>
      <c r="AG200" s="230"/>
      <c r="AH200" s="230"/>
      <c r="AI200" s="230"/>
    </row>
    <row r="201">
      <c r="A201" s="102" t="s">
        <v>276</v>
      </c>
      <c r="B201" s="102" t="s">
        <v>3549</v>
      </c>
      <c r="C201" s="229" t="s">
        <v>3550</v>
      </c>
      <c r="D201" s="102" t="s">
        <v>347</v>
      </c>
      <c r="E201" s="102" t="s">
        <v>280</v>
      </c>
      <c r="F201" s="102" t="s">
        <v>281</v>
      </c>
      <c r="G201" s="102" t="s">
        <v>280</v>
      </c>
      <c r="H201" s="102" t="s">
        <v>281</v>
      </c>
      <c r="I201" s="102" t="s">
        <v>284</v>
      </c>
      <c r="J201" s="102" t="s">
        <v>63</v>
      </c>
      <c r="L201" s="229" t="s">
        <v>3546</v>
      </c>
      <c r="M201" s="229" t="s">
        <v>4052</v>
      </c>
      <c r="O201" s="230"/>
      <c r="S201" s="230"/>
      <c r="T201" s="244" t="str">
        <f>IF(ISNUMBER(MATCH(B201, 'Sprint 19'!B:B, 0)), "มาจาก Sprint 19", "")</f>
        <v>มาจาก Sprint 19</v>
      </c>
      <c r="U201" s="244" t="str">
        <f t="array" ref="U201">IF(ISNUMBER(MATCH(B201, 'Sprint 19'!B:B, 0)), INDEX('Sprint 19'!J:J, MATCH(B201, 'Sprint 19'!B:B, 0)), "")</f>
        <v>To Do</v>
      </c>
      <c r="W201" s="102" t="s">
        <v>1991</v>
      </c>
      <c r="X201" s="102" t="s">
        <v>1992</v>
      </c>
      <c r="Y201" s="102" t="s">
        <v>1085</v>
      </c>
      <c r="AF201" s="230"/>
      <c r="AG201" s="230"/>
      <c r="AH201" s="230"/>
      <c r="AI201" s="230"/>
    </row>
    <row r="202">
      <c r="A202" s="102" t="s">
        <v>276</v>
      </c>
      <c r="B202" s="102" t="s">
        <v>3552</v>
      </c>
      <c r="C202" s="229" t="s">
        <v>3553</v>
      </c>
      <c r="D202" s="102" t="s">
        <v>2030</v>
      </c>
      <c r="E202" s="102" t="s">
        <v>280</v>
      </c>
      <c r="F202" s="102" t="s">
        <v>281</v>
      </c>
      <c r="G202" s="102" t="s">
        <v>280</v>
      </c>
      <c r="H202" s="102" t="s">
        <v>281</v>
      </c>
      <c r="I202" s="102" t="s">
        <v>284</v>
      </c>
      <c r="J202" s="102" t="s">
        <v>26</v>
      </c>
      <c r="L202" s="229" t="s">
        <v>3546</v>
      </c>
      <c r="M202" s="229" t="s">
        <v>1995</v>
      </c>
      <c r="O202" s="230"/>
      <c r="S202" s="230"/>
      <c r="T202" s="244" t="str">
        <f>IF(ISNUMBER(MATCH(B202, 'Sprint 19'!B:B, 0)), "มาจาก Sprint 19", "")</f>
        <v>มาจาก Sprint 19</v>
      </c>
      <c r="U202" s="244" t="str">
        <f t="array" ref="U202">IF(ISNUMBER(MATCH(B202, 'Sprint 19'!B:B, 0)), INDEX('Sprint 19'!J:J, MATCH(B202, 'Sprint 19'!B:B, 0)), "")</f>
        <v>In Review</v>
      </c>
      <c r="W202" s="102" t="s">
        <v>1991</v>
      </c>
      <c r="X202" s="102" t="s">
        <v>1992</v>
      </c>
      <c r="Y202" s="102" t="s">
        <v>1085</v>
      </c>
      <c r="AF202" s="230"/>
      <c r="AG202" s="230"/>
      <c r="AH202" s="230"/>
      <c r="AI202" s="230"/>
    </row>
    <row r="203">
      <c r="A203" s="102" t="s">
        <v>276</v>
      </c>
      <c r="B203" s="102" t="s">
        <v>4053</v>
      </c>
      <c r="C203" s="229" t="s">
        <v>4054</v>
      </c>
      <c r="D203" s="102" t="s">
        <v>347</v>
      </c>
      <c r="E203" s="102" t="s">
        <v>2494</v>
      </c>
      <c r="F203" s="102" t="s">
        <v>2495</v>
      </c>
      <c r="G203" s="102" t="s">
        <v>280</v>
      </c>
      <c r="H203" s="102" t="s">
        <v>281</v>
      </c>
      <c r="I203" s="102" t="s">
        <v>284</v>
      </c>
      <c r="J203" s="102" t="s">
        <v>26</v>
      </c>
      <c r="L203" s="229" t="s">
        <v>4055</v>
      </c>
      <c r="M203" s="229" t="s">
        <v>4048</v>
      </c>
      <c r="O203" s="230"/>
      <c r="S203" s="230"/>
      <c r="T203" s="244" t="str">
        <f>IF(ISNUMBER(MATCH(B203, 'Sprint 19'!B:B, 0)), "มาจาก Sprint 19", "")</f>
        <v>มาจาก Sprint 19</v>
      </c>
      <c r="U203" s="244" t="str">
        <f t="array" ref="U203">IF(ISNUMBER(MATCH(B203, 'Sprint 19'!B:B, 0)), INDEX('Sprint 19'!J:J, MATCH(B203, 'Sprint 19'!B:B, 0)), "")</f>
        <v>To Do</v>
      </c>
      <c r="W203" s="102" t="s">
        <v>3557</v>
      </c>
      <c r="X203" s="102" t="s">
        <v>1991</v>
      </c>
      <c r="Y203" s="102" t="s">
        <v>1992</v>
      </c>
      <c r="Z203" s="102" t="s">
        <v>1085</v>
      </c>
      <c r="AF203" s="230"/>
      <c r="AG203" s="230"/>
      <c r="AH203" s="230"/>
      <c r="AI203" s="230"/>
    </row>
    <row r="204">
      <c r="A204" s="102" t="s">
        <v>276</v>
      </c>
      <c r="B204" s="102" t="s">
        <v>4056</v>
      </c>
      <c r="C204" s="229" t="s">
        <v>4057</v>
      </c>
      <c r="D204" s="102" t="s">
        <v>2030</v>
      </c>
      <c r="E204" s="102" t="s">
        <v>280</v>
      </c>
      <c r="F204" s="102" t="s">
        <v>281</v>
      </c>
      <c r="G204" s="102" t="s">
        <v>280</v>
      </c>
      <c r="H204" s="102" t="s">
        <v>281</v>
      </c>
      <c r="I204" s="102" t="s">
        <v>284</v>
      </c>
      <c r="J204" s="102" t="s">
        <v>26</v>
      </c>
      <c r="L204" s="229" t="s">
        <v>4055</v>
      </c>
      <c r="M204" s="229" t="s">
        <v>1995</v>
      </c>
      <c r="O204" s="230"/>
      <c r="S204" s="230"/>
      <c r="T204" s="244" t="str">
        <f>IF(ISNUMBER(MATCH(B204, 'Sprint 19'!B:B, 0)), "มาจาก Sprint 19", "")</f>
        <v>มาจาก Sprint 19</v>
      </c>
      <c r="U204" s="244" t="str">
        <f t="array" ref="U204">IF(ISNUMBER(MATCH(B204, 'Sprint 19'!B:B, 0)), INDEX('Sprint 19'!J:J, MATCH(B204, 'Sprint 19'!B:B, 0)), "")</f>
        <v>In Review</v>
      </c>
      <c r="W204" s="102" t="s">
        <v>3557</v>
      </c>
      <c r="X204" s="102" t="s">
        <v>1991</v>
      </c>
      <c r="Y204" s="102" t="s">
        <v>1992</v>
      </c>
      <c r="Z204" s="102" t="s">
        <v>1085</v>
      </c>
      <c r="AF204" s="230"/>
      <c r="AG204" s="230"/>
      <c r="AH204" s="230"/>
      <c r="AI204" s="230"/>
    </row>
    <row r="205">
      <c r="A205" s="102" t="s">
        <v>276</v>
      </c>
      <c r="B205" s="102" t="s">
        <v>4058</v>
      </c>
      <c r="C205" s="229" t="s">
        <v>4059</v>
      </c>
      <c r="D205" s="102" t="s">
        <v>347</v>
      </c>
      <c r="E205" s="102" t="s">
        <v>2494</v>
      </c>
      <c r="F205" s="102" t="s">
        <v>2495</v>
      </c>
      <c r="G205" s="102" t="s">
        <v>280</v>
      </c>
      <c r="H205" s="102" t="s">
        <v>281</v>
      </c>
      <c r="I205" s="102" t="s">
        <v>284</v>
      </c>
      <c r="J205" s="102" t="s">
        <v>26</v>
      </c>
      <c r="L205" s="229" t="s">
        <v>4060</v>
      </c>
      <c r="M205" s="229" t="s">
        <v>3487</v>
      </c>
      <c r="O205" s="230"/>
      <c r="S205" s="230"/>
      <c r="T205" s="244" t="str">
        <f>IF(ISNUMBER(MATCH(B205, 'Sprint 19'!B:B, 0)), "มาจาก Sprint 19", "")</f>
        <v>มาจาก Sprint 19</v>
      </c>
      <c r="U205" s="244" t="str">
        <f t="array" ref="U205">IF(ISNUMBER(MATCH(B205, 'Sprint 19'!B:B, 0)), INDEX('Sprint 19'!J:J, MATCH(B205, 'Sprint 19'!B:B, 0)), "")</f>
        <v>To Do</v>
      </c>
      <c r="W205" s="102" t="s">
        <v>3557</v>
      </c>
      <c r="X205" s="102" t="s">
        <v>1991</v>
      </c>
      <c r="Y205" s="102" t="s">
        <v>1992</v>
      </c>
      <c r="Z205" s="102" t="s">
        <v>1085</v>
      </c>
      <c r="AF205" s="230"/>
      <c r="AG205" s="230"/>
      <c r="AH205" s="230"/>
      <c r="AI205" s="230"/>
    </row>
    <row r="206">
      <c r="A206" s="102" t="s">
        <v>276</v>
      </c>
      <c r="B206" s="102" t="s">
        <v>4061</v>
      </c>
      <c r="C206" s="229" t="s">
        <v>4062</v>
      </c>
      <c r="D206" s="102" t="s">
        <v>2030</v>
      </c>
      <c r="E206" s="102" t="s">
        <v>280</v>
      </c>
      <c r="F206" s="102" t="s">
        <v>281</v>
      </c>
      <c r="G206" s="102" t="s">
        <v>280</v>
      </c>
      <c r="H206" s="102" t="s">
        <v>281</v>
      </c>
      <c r="I206" s="102" t="s">
        <v>284</v>
      </c>
      <c r="J206" s="102" t="s">
        <v>26</v>
      </c>
      <c r="L206" s="229" t="s">
        <v>4060</v>
      </c>
      <c r="M206" s="229" t="s">
        <v>1995</v>
      </c>
      <c r="O206" s="230"/>
      <c r="S206" s="230"/>
      <c r="T206" s="244" t="str">
        <f>IF(ISNUMBER(MATCH(B206, 'Sprint 19'!B:B, 0)), "มาจาก Sprint 19", "")</f>
        <v>มาจาก Sprint 19</v>
      </c>
      <c r="U206" s="244" t="str">
        <f t="array" ref="U206">IF(ISNUMBER(MATCH(B206, 'Sprint 19'!B:B, 0)), INDEX('Sprint 19'!J:J, MATCH(B206, 'Sprint 19'!B:B, 0)), "")</f>
        <v>In Progress</v>
      </c>
      <c r="W206" s="102" t="s">
        <v>3557</v>
      </c>
      <c r="X206" s="102" t="s">
        <v>1991</v>
      </c>
      <c r="Y206" s="102" t="s">
        <v>1992</v>
      </c>
      <c r="Z206" s="102" t="s">
        <v>1085</v>
      </c>
      <c r="AF206" s="230"/>
      <c r="AG206" s="230"/>
      <c r="AH206" s="230"/>
      <c r="AI206" s="230"/>
    </row>
    <row r="207">
      <c r="A207" s="102" t="s">
        <v>276</v>
      </c>
      <c r="B207" s="102" t="s">
        <v>3554</v>
      </c>
      <c r="C207" s="229" t="s">
        <v>3555</v>
      </c>
      <c r="D207" s="102" t="s">
        <v>347</v>
      </c>
      <c r="E207" s="102" t="s">
        <v>280</v>
      </c>
      <c r="F207" s="102" t="s">
        <v>281</v>
      </c>
      <c r="G207" s="102" t="s">
        <v>280</v>
      </c>
      <c r="H207" s="102" t="s">
        <v>281</v>
      </c>
      <c r="I207" s="102" t="s">
        <v>284</v>
      </c>
      <c r="J207" s="102" t="s">
        <v>63</v>
      </c>
      <c r="L207" s="229" t="s">
        <v>3556</v>
      </c>
      <c r="M207" s="229" t="s">
        <v>4052</v>
      </c>
      <c r="O207" s="230"/>
      <c r="S207" s="230"/>
      <c r="T207" s="244" t="str">
        <f>IF(ISNUMBER(MATCH(B207, 'Sprint 19'!B:B, 0)), "มาจาก Sprint 19", "")</f>
        <v>มาจาก Sprint 19</v>
      </c>
      <c r="U207" s="244" t="str">
        <f t="array" ref="U207">IF(ISNUMBER(MATCH(B207, 'Sprint 19'!B:B, 0)), INDEX('Sprint 19'!J:J, MATCH(B207, 'Sprint 19'!B:B, 0)), "")</f>
        <v>To Do</v>
      </c>
      <c r="W207" s="102" t="s">
        <v>3557</v>
      </c>
      <c r="X207" s="102" t="s">
        <v>1991</v>
      </c>
      <c r="Y207" s="102" t="s">
        <v>1992</v>
      </c>
      <c r="Z207" s="102" t="s">
        <v>1085</v>
      </c>
      <c r="AF207" s="230"/>
      <c r="AG207" s="230"/>
      <c r="AH207" s="230"/>
      <c r="AI207" s="230"/>
    </row>
    <row r="208">
      <c r="A208" s="102" t="s">
        <v>276</v>
      </c>
      <c r="B208" s="102" t="s">
        <v>3558</v>
      </c>
      <c r="C208" s="229" t="s">
        <v>3559</v>
      </c>
      <c r="D208" s="102" t="s">
        <v>2030</v>
      </c>
      <c r="E208" s="102" t="s">
        <v>280</v>
      </c>
      <c r="F208" s="102" t="s">
        <v>281</v>
      </c>
      <c r="G208" s="102" t="s">
        <v>280</v>
      </c>
      <c r="H208" s="102" t="s">
        <v>281</v>
      </c>
      <c r="I208" s="102" t="s">
        <v>284</v>
      </c>
      <c r="J208" s="102" t="s">
        <v>26</v>
      </c>
      <c r="L208" s="229" t="s">
        <v>3556</v>
      </c>
      <c r="M208" s="229" t="s">
        <v>3560</v>
      </c>
      <c r="O208" s="230"/>
      <c r="S208" s="230"/>
      <c r="T208" s="244" t="str">
        <f>IF(ISNUMBER(MATCH(B208, 'Sprint 19'!B:B, 0)), "มาจาก Sprint 19", "")</f>
        <v>มาจาก Sprint 19</v>
      </c>
      <c r="U208" s="244" t="str">
        <f t="array" ref="U208">IF(ISNUMBER(MATCH(B208, 'Sprint 19'!B:B, 0)), INDEX('Sprint 19'!J:J, MATCH(B208, 'Sprint 19'!B:B, 0)), "")</f>
        <v>In Review</v>
      </c>
      <c r="W208" s="102" t="s">
        <v>3557</v>
      </c>
      <c r="X208" s="102" t="s">
        <v>1991</v>
      </c>
      <c r="Y208" s="102" t="s">
        <v>1992</v>
      </c>
      <c r="Z208" s="102" t="s">
        <v>1085</v>
      </c>
      <c r="AF208" s="230"/>
      <c r="AG208" s="230"/>
      <c r="AH208" s="230"/>
      <c r="AI208" s="230"/>
    </row>
    <row r="209">
      <c r="A209" s="102" t="s">
        <v>310</v>
      </c>
      <c r="B209" s="102" t="s">
        <v>2537</v>
      </c>
      <c r="C209" s="229" t="s">
        <v>2538</v>
      </c>
      <c r="D209" s="102" t="s">
        <v>2539</v>
      </c>
      <c r="E209" s="102" t="s">
        <v>584</v>
      </c>
      <c r="F209" s="102" t="s">
        <v>585</v>
      </c>
      <c r="G209" s="102" t="s">
        <v>353</v>
      </c>
      <c r="H209" s="102" t="s">
        <v>354</v>
      </c>
      <c r="I209" s="102" t="s">
        <v>284</v>
      </c>
      <c r="J209" s="102" t="s">
        <v>678</v>
      </c>
      <c r="L209" s="229" t="s">
        <v>2540</v>
      </c>
      <c r="M209" s="229" t="s">
        <v>4063</v>
      </c>
      <c r="O209" s="102">
        <v>2.0</v>
      </c>
      <c r="S209" s="102">
        <v>14400.0</v>
      </c>
      <c r="T209" s="244" t="str">
        <f>IF(ISNUMBER(MATCH(B209, 'Sprint 19'!B:B, 0)), "มาจาก Sprint 19", "")</f>
        <v/>
      </c>
      <c r="U209" s="244" t="str">
        <f t="array" ref="U209">IF(ISNUMBER(MATCH(B209, 'Sprint 19'!B:B, 0)), INDEX('Sprint 19'!J:J, MATCH(B209, 'Sprint 19'!B:B, 0)), "")</f>
        <v/>
      </c>
      <c r="W209" s="102" t="s">
        <v>2271</v>
      </c>
      <c r="AF209" s="230"/>
      <c r="AG209" s="230"/>
      <c r="AH209" s="230"/>
      <c r="AI209" s="230"/>
    </row>
    <row r="210">
      <c r="A210" s="102" t="s">
        <v>310</v>
      </c>
      <c r="B210" s="102" t="s">
        <v>2035</v>
      </c>
      <c r="C210" s="229" t="s">
        <v>2036</v>
      </c>
      <c r="D210" s="102" t="s">
        <v>2037</v>
      </c>
      <c r="E210" s="102" t="s">
        <v>556</v>
      </c>
      <c r="F210" s="102" t="s">
        <v>557</v>
      </c>
      <c r="G210" s="102" t="s">
        <v>353</v>
      </c>
      <c r="H210" s="102" t="s">
        <v>354</v>
      </c>
      <c r="I210" s="102" t="s">
        <v>284</v>
      </c>
      <c r="J210" s="102" t="s">
        <v>678</v>
      </c>
      <c r="L210" s="229" t="s">
        <v>2038</v>
      </c>
      <c r="M210" s="229" t="s">
        <v>4064</v>
      </c>
      <c r="N210" s="229" t="s">
        <v>1978</v>
      </c>
      <c r="O210" s="102">
        <v>5.0</v>
      </c>
      <c r="S210" s="102">
        <v>57600.0</v>
      </c>
      <c r="T210" s="244" t="str">
        <f>IF(ISNUMBER(MATCH(B210, 'Sprint 19'!B:B, 0)), "มาจาก Sprint 19", "")</f>
        <v/>
      </c>
      <c r="U210" s="244" t="str">
        <f t="array" ref="U210">IF(ISNUMBER(MATCH(B210, 'Sprint 19'!B:B, 0)), INDEX('Sprint 19'!J:J, MATCH(B210, 'Sprint 19'!B:B, 0)), "")</f>
        <v/>
      </c>
      <c r="W210" s="102" t="s">
        <v>1259</v>
      </c>
      <c r="AF210" s="230"/>
      <c r="AG210" s="230"/>
      <c r="AH210" s="230"/>
      <c r="AI210" s="230"/>
    </row>
    <row r="211">
      <c r="A211" s="102" t="s">
        <v>310</v>
      </c>
      <c r="B211" s="102" t="s">
        <v>2039</v>
      </c>
      <c r="C211" s="229" t="s">
        <v>2040</v>
      </c>
      <c r="D211" s="102" t="s">
        <v>2041</v>
      </c>
      <c r="E211" s="102" t="s">
        <v>564</v>
      </c>
      <c r="F211" s="102" t="s">
        <v>565</v>
      </c>
      <c r="G211" s="102" t="s">
        <v>353</v>
      </c>
      <c r="H211" s="102" t="s">
        <v>354</v>
      </c>
      <c r="I211" s="102" t="s">
        <v>284</v>
      </c>
      <c r="J211" s="102" t="s">
        <v>678</v>
      </c>
      <c r="L211" s="229" t="s">
        <v>2038</v>
      </c>
      <c r="M211" s="229" t="s">
        <v>4065</v>
      </c>
      <c r="N211" s="229" t="s">
        <v>2042</v>
      </c>
      <c r="O211" s="102">
        <v>5.0</v>
      </c>
      <c r="S211" s="102">
        <v>57600.0</v>
      </c>
      <c r="T211" s="244" t="str">
        <f>IF(ISNUMBER(MATCH(B211, 'Sprint 19'!B:B, 0)), "มาจาก Sprint 19", "")</f>
        <v/>
      </c>
      <c r="U211" s="244" t="str">
        <f t="array" ref="U211">IF(ISNUMBER(MATCH(B211, 'Sprint 19'!B:B, 0)), INDEX('Sprint 19'!J:J, MATCH(B211, 'Sprint 19'!B:B, 0)), "")</f>
        <v/>
      </c>
      <c r="W211" s="102" t="s">
        <v>1259</v>
      </c>
      <c r="AF211" s="230"/>
      <c r="AG211" s="230"/>
      <c r="AH211" s="230"/>
      <c r="AI211" s="230"/>
    </row>
    <row r="212">
      <c r="A212" s="102" t="s">
        <v>310</v>
      </c>
      <c r="B212" s="102" t="s">
        <v>2043</v>
      </c>
      <c r="C212" s="229" t="s">
        <v>2044</v>
      </c>
      <c r="D212" s="102" t="s">
        <v>2045</v>
      </c>
      <c r="E212" s="102" t="s">
        <v>564</v>
      </c>
      <c r="F212" s="102" t="s">
        <v>565</v>
      </c>
      <c r="G212" s="102" t="s">
        <v>353</v>
      </c>
      <c r="H212" s="102" t="s">
        <v>354</v>
      </c>
      <c r="I212" s="102" t="s">
        <v>284</v>
      </c>
      <c r="J212" s="102" t="s">
        <v>678</v>
      </c>
      <c r="L212" s="229" t="s">
        <v>2046</v>
      </c>
      <c r="M212" s="229" t="s">
        <v>4066</v>
      </c>
      <c r="N212" s="229" t="s">
        <v>1978</v>
      </c>
      <c r="O212" s="102">
        <v>5.0</v>
      </c>
      <c r="S212" s="102">
        <v>57600.0</v>
      </c>
      <c r="T212" s="244" t="str">
        <f>IF(ISNUMBER(MATCH(B212, 'Sprint 19'!B:B, 0)), "มาจาก Sprint 19", "")</f>
        <v/>
      </c>
      <c r="U212" s="244" t="str">
        <f t="array" ref="U212">IF(ISNUMBER(MATCH(B212, 'Sprint 19'!B:B, 0)), INDEX('Sprint 19'!J:J, MATCH(B212, 'Sprint 19'!B:B, 0)), "")</f>
        <v/>
      </c>
      <c r="W212" s="102" t="s">
        <v>1259</v>
      </c>
      <c r="AF212" s="230"/>
      <c r="AG212" s="230"/>
      <c r="AH212" s="230"/>
      <c r="AI212" s="230"/>
    </row>
    <row r="213">
      <c r="A213" s="102" t="s">
        <v>310</v>
      </c>
      <c r="B213" s="102" t="s">
        <v>2047</v>
      </c>
      <c r="C213" s="229" t="s">
        <v>2048</v>
      </c>
      <c r="D213" s="102" t="s">
        <v>2049</v>
      </c>
      <c r="E213" s="102" t="s">
        <v>556</v>
      </c>
      <c r="F213" s="102" t="s">
        <v>557</v>
      </c>
      <c r="G213" s="102" t="s">
        <v>353</v>
      </c>
      <c r="H213" s="102" t="s">
        <v>354</v>
      </c>
      <c r="I213" s="102" t="s">
        <v>284</v>
      </c>
      <c r="J213" s="102" t="s">
        <v>678</v>
      </c>
      <c r="L213" s="229" t="s">
        <v>2046</v>
      </c>
      <c r="M213" s="229" t="s">
        <v>4067</v>
      </c>
      <c r="N213" s="229" t="s">
        <v>1978</v>
      </c>
      <c r="O213" s="102">
        <v>5.0</v>
      </c>
      <c r="S213" s="230"/>
      <c r="T213" s="244" t="str">
        <f>IF(ISNUMBER(MATCH(B213, 'Sprint 19'!B:B, 0)), "มาจาก Sprint 19", "")</f>
        <v/>
      </c>
      <c r="U213" s="244" t="str">
        <f t="array" ref="U213">IF(ISNUMBER(MATCH(B213, 'Sprint 19'!B:B, 0)), INDEX('Sprint 19'!J:J, MATCH(B213, 'Sprint 19'!B:B, 0)), "")</f>
        <v/>
      </c>
      <c r="W213" s="102" t="s">
        <v>1259</v>
      </c>
      <c r="AF213" s="230"/>
      <c r="AG213" s="230"/>
      <c r="AH213" s="230"/>
      <c r="AI213" s="230"/>
    </row>
    <row r="214">
      <c r="A214" s="102" t="s">
        <v>310</v>
      </c>
      <c r="B214" s="102" t="s">
        <v>2050</v>
      </c>
      <c r="C214" s="229" t="s">
        <v>2051</v>
      </c>
      <c r="D214" s="102" t="s">
        <v>2052</v>
      </c>
      <c r="E214" s="102" t="s">
        <v>564</v>
      </c>
      <c r="F214" s="102" t="s">
        <v>565</v>
      </c>
      <c r="G214" s="102" t="s">
        <v>353</v>
      </c>
      <c r="H214" s="102" t="s">
        <v>354</v>
      </c>
      <c r="I214" s="102" t="s">
        <v>284</v>
      </c>
      <c r="J214" s="102" t="s">
        <v>678</v>
      </c>
      <c r="L214" s="229" t="s">
        <v>2053</v>
      </c>
      <c r="M214" s="229" t="s">
        <v>4068</v>
      </c>
      <c r="N214" s="229" t="s">
        <v>2054</v>
      </c>
      <c r="O214" s="102">
        <v>5.0</v>
      </c>
      <c r="S214" s="102">
        <v>57600.0</v>
      </c>
      <c r="T214" s="244" t="str">
        <f>IF(ISNUMBER(MATCH(B214, 'Sprint 19'!B:B, 0)), "มาจาก Sprint 19", "")</f>
        <v/>
      </c>
      <c r="U214" s="244" t="str">
        <f t="array" ref="U214">IF(ISNUMBER(MATCH(B214, 'Sprint 19'!B:B, 0)), INDEX('Sprint 19'!J:J, MATCH(B214, 'Sprint 19'!B:B, 0)), "")</f>
        <v/>
      </c>
      <c r="W214" s="102" t="s">
        <v>1259</v>
      </c>
      <c r="AF214" s="230"/>
      <c r="AG214" s="230"/>
      <c r="AH214" s="230"/>
      <c r="AI214" s="230"/>
    </row>
    <row r="215">
      <c r="A215" s="102" t="s">
        <v>310</v>
      </c>
      <c r="B215" s="102" t="s">
        <v>2055</v>
      </c>
      <c r="C215" s="229" t="s">
        <v>2056</v>
      </c>
      <c r="D215" s="102" t="s">
        <v>2057</v>
      </c>
      <c r="E215" s="102" t="s">
        <v>556</v>
      </c>
      <c r="F215" s="102" t="s">
        <v>557</v>
      </c>
      <c r="G215" s="102" t="s">
        <v>353</v>
      </c>
      <c r="H215" s="102" t="s">
        <v>354</v>
      </c>
      <c r="I215" s="102" t="s">
        <v>284</v>
      </c>
      <c r="J215" s="102" t="s">
        <v>678</v>
      </c>
      <c r="L215" s="229" t="s">
        <v>2058</v>
      </c>
      <c r="M215" s="229" t="s">
        <v>4069</v>
      </c>
      <c r="N215" s="229" t="s">
        <v>1352</v>
      </c>
      <c r="O215" s="102">
        <v>5.0</v>
      </c>
      <c r="S215" s="102">
        <v>57600.0</v>
      </c>
      <c r="T215" s="244" t="str">
        <f>IF(ISNUMBER(MATCH(B215, 'Sprint 19'!B:B, 0)), "มาจาก Sprint 19", "")</f>
        <v/>
      </c>
      <c r="U215" s="244" t="str">
        <f t="array" ref="U215">IF(ISNUMBER(MATCH(B215, 'Sprint 19'!B:B, 0)), INDEX('Sprint 19'!J:J, MATCH(B215, 'Sprint 19'!B:B, 0)), "")</f>
        <v/>
      </c>
      <c r="W215" s="102" t="s">
        <v>1259</v>
      </c>
      <c r="AF215" s="230"/>
      <c r="AG215" s="230"/>
      <c r="AH215" s="230"/>
      <c r="AI215" s="230"/>
    </row>
    <row r="216">
      <c r="A216" s="102" t="s">
        <v>310</v>
      </c>
      <c r="B216" s="102" t="s">
        <v>4070</v>
      </c>
      <c r="C216" s="229" t="s">
        <v>4071</v>
      </c>
      <c r="D216" s="102" t="s">
        <v>4072</v>
      </c>
      <c r="E216" s="102" t="s">
        <v>564</v>
      </c>
      <c r="F216" s="102" t="s">
        <v>565</v>
      </c>
      <c r="G216" s="102" t="s">
        <v>353</v>
      </c>
      <c r="H216" s="102" t="s">
        <v>354</v>
      </c>
      <c r="I216" s="102" t="s">
        <v>284</v>
      </c>
      <c r="J216" s="102" t="s">
        <v>26</v>
      </c>
      <c r="L216" s="229" t="s">
        <v>2058</v>
      </c>
      <c r="M216" s="229" t="s">
        <v>4073</v>
      </c>
      <c r="N216" s="229" t="s">
        <v>3026</v>
      </c>
      <c r="O216" s="102">
        <v>2.0</v>
      </c>
      <c r="S216" s="102">
        <v>10800.0</v>
      </c>
      <c r="T216" s="244" t="str">
        <f>IF(ISNUMBER(MATCH(B216, 'Sprint 19'!B:B, 0)), "มาจาก Sprint 19", "")</f>
        <v/>
      </c>
      <c r="U216" s="244" t="str">
        <f t="array" ref="U216">IF(ISNUMBER(MATCH(B216, 'Sprint 19'!B:B, 0)), INDEX('Sprint 19'!J:J, MATCH(B216, 'Sprint 19'!B:B, 0)), "")</f>
        <v/>
      </c>
      <c r="W216" s="102" t="s">
        <v>1259</v>
      </c>
      <c r="AF216" s="230"/>
      <c r="AG216" s="230"/>
      <c r="AH216" s="230"/>
      <c r="AI216" s="230"/>
    </row>
    <row r="217">
      <c r="A217" s="102" t="s">
        <v>310</v>
      </c>
      <c r="B217" s="102" t="s">
        <v>4074</v>
      </c>
      <c r="C217" s="229" t="s">
        <v>4075</v>
      </c>
      <c r="D217" s="102" t="s">
        <v>4076</v>
      </c>
      <c r="E217" s="102" t="s">
        <v>564</v>
      </c>
      <c r="F217" s="102" t="s">
        <v>565</v>
      </c>
      <c r="G217" s="102" t="s">
        <v>353</v>
      </c>
      <c r="H217" s="102" t="s">
        <v>354</v>
      </c>
      <c r="I217" s="102" t="s">
        <v>284</v>
      </c>
      <c r="J217" s="102" t="s">
        <v>678</v>
      </c>
      <c r="L217" s="229" t="s">
        <v>2058</v>
      </c>
      <c r="M217" s="229" t="s">
        <v>4077</v>
      </c>
      <c r="N217" s="229" t="s">
        <v>3026</v>
      </c>
      <c r="O217" s="102">
        <v>2.0</v>
      </c>
      <c r="S217" s="102">
        <v>10800.0</v>
      </c>
      <c r="T217" s="244" t="str">
        <f>IF(ISNUMBER(MATCH(B217, 'Sprint 19'!B:B, 0)), "มาจาก Sprint 19", "")</f>
        <v/>
      </c>
      <c r="U217" s="244" t="str">
        <f t="array" ref="U217">IF(ISNUMBER(MATCH(B217, 'Sprint 19'!B:B, 0)), INDEX('Sprint 19'!J:J, MATCH(B217, 'Sprint 19'!B:B, 0)), "")</f>
        <v/>
      </c>
      <c r="W217" s="102" t="s">
        <v>1259</v>
      </c>
      <c r="AF217" s="230"/>
      <c r="AG217" s="230"/>
      <c r="AH217" s="230"/>
      <c r="AI217" s="230"/>
    </row>
    <row r="218">
      <c r="A218" s="102" t="s">
        <v>310</v>
      </c>
      <c r="B218" s="102" t="s">
        <v>4078</v>
      </c>
      <c r="C218" s="229" t="s">
        <v>4079</v>
      </c>
      <c r="D218" s="102" t="s">
        <v>4080</v>
      </c>
      <c r="E218" s="102" t="s">
        <v>556</v>
      </c>
      <c r="F218" s="102" t="s">
        <v>557</v>
      </c>
      <c r="G218" s="102" t="s">
        <v>353</v>
      </c>
      <c r="H218" s="102" t="s">
        <v>354</v>
      </c>
      <c r="I218" s="102" t="s">
        <v>284</v>
      </c>
      <c r="J218" s="102" t="s">
        <v>26</v>
      </c>
      <c r="L218" s="229" t="s">
        <v>4081</v>
      </c>
      <c r="M218" s="229" t="s">
        <v>4082</v>
      </c>
      <c r="N218" s="229" t="s">
        <v>2089</v>
      </c>
      <c r="O218" s="102">
        <v>5.0</v>
      </c>
      <c r="P218" s="102" t="s">
        <v>593</v>
      </c>
      <c r="Q218" s="102" t="s">
        <v>1855</v>
      </c>
      <c r="S218" s="102">
        <v>0.0</v>
      </c>
      <c r="T218" s="244" t="str">
        <f>IF(ISNUMBER(MATCH(B218, 'Sprint 19'!B:B, 0)), "มาจาก Sprint 19", "")</f>
        <v>มาจาก Sprint 19</v>
      </c>
      <c r="U218" s="244" t="str">
        <f t="array" ref="U218">IF(ISNUMBER(MATCH(B218, 'Sprint 19'!B:B, 0)), INDEX('Sprint 19'!J:J, MATCH(B218, 'Sprint 19'!B:B, 0)), "")</f>
        <v>In Review</v>
      </c>
      <c r="V218" s="102">
        <v>57600.0</v>
      </c>
      <c r="W218" s="102" t="s">
        <v>1258</v>
      </c>
      <c r="X218" s="102" t="s">
        <v>1259</v>
      </c>
      <c r="AF218" s="230"/>
      <c r="AG218" s="230"/>
      <c r="AH218" s="230"/>
      <c r="AI218" s="230"/>
    </row>
    <row r="219">
      <c r="A219" s="102" t="s">
        <v>310</v>
      </c>
      <c r="B219" s="102" t="s">
        <v>4083</v>
      </c>
      <c r="C219" s="229" t="s">
        <v>4084</v>
      </c>
      <c r="D219" s="102" t="s">
        <v>4085</v>
      </c>
      <c r="E219" s="102" t="s">
        <v>556</v>
      </c>
      <c r="F219" s="102" t="s">
        <v>557</v>
      </c>
      <c r="G219" s="102" t="s">
        <v>353</v>
      </c>
      <c r="H219" s="102" t="s">
        <v>354</v>
      </c>
      <c r="I219" s="102" t="s">
        <v>284</v>
      </c>
      <c r="J219" s="102" t="s">
        <v>26</v>
      </c>
      <c r="L219" s="229" t="s">
        <v>4081</v>
      </c>
      <c r="M219" s="229" t="s">
        <v>4086</v>
      </c>
      <c r="N219" s="229" t="s">
        <v>3565</v>
      </c>
      <c r="O219" s="102">
        <v>5.0</v>
      </c>
      <c r="P219" s="102" t="s">
        <v>593</v>
      </c>
      <c r="Q219" s="102" t="s">
        <v>1855</v>
      </c>
      <c r="S219" s="102">
        <v>0.0</v>
      </c>
      <c r="T219" s="244" t="str">
        <f>IF(ISNUMBER(MATCH(B219, 'Sprint 19'!B:B, 0)), "มาจาก Sprint 19", "")</f>
        <v>มาจาก Sprint 19</v>
      </c>
      <c r="U219" s="244" t="str">
        <f t="array" ref="U219">IF(ISNUMBER(MATCH(B219, 'Sprint 19'!B:B, 0)), INDEX('Sprint 19'!J:J, MATCH(B219, 'Sprint 19'!B:B, 0)), "")</f>
        <v>Ready to Staging</v>
      </c>
      <c r="V219" s="102">
        <v>57600.0</v>
      </c>
      <c r="W219" s="102" t="s">
        <v>1258</v>
      </c>
      <c r="X219" s="102" t="s">
        <v>1259</v>
      </c>
      <c r="AF219" s="230"/>
      <c r="AG219" s="230"/>
      <c r="AH219" s="230"/>
      <c r="AI219" s="230"/>
    </row>
    <row r="220">
      <c r="A220" s="102" t="s">
        <v>310</v>
      </c>
      <c r="B220" s="102" t="s">
        <v>4087</v>
      </c>
      <c r="C220" s="229" t="s">
        <v>4088</v>
      </c>
      <c r="D220" s="102" t="s">
        <v>4089</v>
      </c>
      <c r="E220" s="102" t="s">
        <v>564</v>
      </c>
      <c r="F220" s="102" t="s">
        <v>565</v>
      </c>
      <c r="G220" s="102" t="s">
        <v>353</v>
      </c>
      <c r="H220" s="102" t="s">
        <v>354</v>
      </c>
      <c r="I220" s="102" t="s">
        <v>284</v>
      </c>
      <c r="J220" s="102" t="s">
        <v>26</v>
      </c>
      <c r="L220" s="229" t="s">
        <v>4081</v>
      </c>
      <c r="M220" s="229" t="s">
        <v>4082</v>
      </c>
      <c r="N220" s="229" t="s">
        <v>2089</v>
      </c>
      <c r="O220" s="102">
        <v>5.0</v>
      </c>
      <c r="P220" s="102" t="s">
        <v>593</v>
      </c>
      <c r="Q220" s="102" t="s">
        <v>1855</v>
      </c>
      <c r="S220" s="102">
        <v>0.0</v>
      </c>
      <c r="T220" s="244" t="str">
        <f>IF(ISNUMBER(MATCH(B220, 'Sprint 19'!B:B, 0)), "มาจาก Sprint 19", "")</f>
        <v>มาจาก Sprint 19</v>
      </c>
      <c r="U220" s="244" t="str">
        <f t="array" ref="U220">IF(ISNUMBER(MATCH(B220, 'Sprint 19'!B:B, 0)), INDEX('Sprint 19'!J:J, MATCH(B220, 'Sprint 19'!B:B, 0)), "")</f>
        <v>In Review</v>
      </c>
      <c r="V220" s="102">
        <v>43200.0</v>
      </c>
      <c r="W220" s="102" t="s">
        <v>1258</v>
      </c>
      <c r="X220" s="102" t="s">
        <v>1259</v>
      </c>
      <c r="AF220" s="230"/>
      <c r="AG220" s="230"/>
      <c r="AH220" s="230"/>
      <c r="AI220" s="230"/>
    </row>
    <row r="221">
      <c r="A221" s="102" t="s">
        <v>310</v>
      </c>
      <c r="B221" s="102" t="s">
        <v>4090</v>
      </c>
      <c r="C221" s="229" t="s">
        <v>4091</v>
      </c>
      <c r="D221" s="102" t="s">
        <v>4092</v>
      </c>
      <c r="E221" s="102" t="s">
        <v>564</v>
      </c>
      <c r="F221" s="102" t="s">
        <v>565</v>
      </c>
      <c r="G221" s="102" t="s">
        <v>353</v>
      </c>
      <c r="H221" s="102" t="s">
        <v>354</v>
      </c>
      <c r="I221" s="102" t="s">
        <v>284</v>
      </c>
      <c r="J221" s="102" t="s">
        <v>26</v>
      </c>
      <c r="L221" s="229" t="s">
        <v>4093</v>
      </c>
      <c r="M221" s="229" t="s">
        <v>4094</v>
      </c>
      <c r="N221" s="229" t="s">
        <v>3569</v>
      </c>
      <c r="O221" s="102">
        <v>8.0</v>
      </c>
      <c r="S221" s="102">
        <v>0.0</v>
      </c>
      <c r="T221" s="244" t="str">
        <f>IF(ISNUMBER(MATCH(B221, 'Sprint 19'!B:B, 0)), "มาจาก Sprint 19", "")</f>
        <v>มาจาก Sprint 19</v>
      </c>
      <c r="U221" s="244" t="str">
        <f t="array" ref="U221">IF(ISNUMBER(MATCH(B221, 'Sprint 19'!B:B, 0)), INDEX('Sprint 19'!J:J, MATCH(B221, 'Sprint 19'!B:B, 0)), "")</f>
        <v>Ready to Staging</v>
      </c>
      <c r="V221" s="102">
        <v>72000.0</v>
      </c>
      <c r="W221" s="102" t="s">
        <v>1258</v>
      </c>
      <c r="X221" s="102" t="s">
        <v>1259</v>
      </c>
      <c r="AF221" s="230"/>
      <c r="AG221" s="230"/>
      <c r="AH221" s="230"/>
      <c r="AI221" s="230"/>
    </row>
    <row r="222">
      <c r="A222" s="102" t="s">
        <v>310</v>
      </c>
      <c r="B222" s="102" t="s">
        <v>4095</v>
      </c>
      <c r="C222" s="229" t="s">
        <v>4096</v>
      </c>
      <c r="D222" s="102" t="s">
        <v>4097</v>
      </c>
      <c r="E222" s="102" t="s">
        <v>564</v>
      </c>
      <c r="F222" s="102" t="s">
        <v>565</v>
      </c>
      <c r="G222" s="102" t="s">
        <v>353</v>
      </c>
      <c r="H222" s="102" t="s">
        <v>354</v>
      </c>
      <c r="I222" s="102" t="s">
        <v>284</v>
      </c>
      <c r="J222" s="102" t="s">
        <v>26</v>
      </c>
      <c r="L222" s="229" t="s">
        <v>4098</v>
      </c>
      <c r="M222" s="229" t="s">
        <v>4094</v>
      </c>
      <c r="N222" s="229" t="s">
        <v>4099</v>
      </c>
      <c r="O222" s="102">
        <v>5.0</v>
      </c>
      <c r="S222" s="102">
        <v>0.0</v>
      </c>
      <c r="T222" s="244" t="str">
        <f>IF(ISNUMBER(MATCH(B222, 'Sprint 19'!B:B, 0)), "มาจาก Sprint 19", "")</f>
        <v>มาจาก Sprint 19</v>
      </c>
      <c r="U222" s="244" t="str">
        <f t="array" ref="U222">IF(ISNUMBER(MATCH(B222, 'Sprint 19'!B:B, 0)), INDEX('Sprint 19'!J:J, MATCH(B222, 'Sprint 19'!B:B, 0)), "")</f>
        <v>Ready to Staging</v>
      </c>
      <c r="V222" s="102">
        <v>57600.0</v>
      </c>
      <c r="W222" s="102" t="s">
        <v>1258</v>
      </c>
      <c r="X222" s="102" t="s">
        <v>1259</v>
      </c>
      <c r="AF222" s="230"/>
      <c r="AG222" s="230"/>
      <c r="AH222" s="230"/>
      <c r="AI222" s="230"/>
    </row>
    <row r="223">
      <c r="A223" s="102" t="s">
        <v>310</v>
      </c>
      <c r="B223" s="102" t="s">
        <v>4100</v>
      </c>
      <c r="C223" s="229" t="s">
        <v>4101</v>
      </c>
      <c r="D223" s="102" t="s">
        <v>4102</v>
      </c>
      <c r="E223" s="102" t="s">
        <v>564</v>
      </c>
      <c r="F223" s="102" t="s">
        <v>565</v>
      </c>
      <c r="G223" s="102" t="s">
        <v>353</v>
      </c>
      <c r="H223" s="102" t="s">
        <v>354</v>
      </c>
      <c r="I223" s="102" t="s">
        <v>284</v>
      </c>
      <c r="J223" s="102" t="s">
        <v>26</v>
      </c>
      <c r="L223" s="229" t="s">
        <v>4103</v>
      </c>
      <c r="M223" s="229" t="s">
        <v>4104</v>
      </c>
      <c r="N223" s="229" t="s">
        <v>4105</v>
      </c>
      <c r="O223" s="102">
        <v>5.0</v>
      </c>
      <c r="S223" s="102">
        <v>0.0</v>
      </c>
      <c r="T223" s="244" t="str">
        <f>IF(ISNUMBER(MATCH(B223, 'Sprint 19'!B:B, 0)), "มาจาก Sprint 19", "")</f>
        <v>มาจาก Sprint 19</v>
      </c>
      <c r="U223" s="244" t="str">
        <f t="array" ref="U223">IF(ISNUMBER(MATCH(B223, 'Sprint 19'!B:B, 0)), INDEX('Sprint 19'!J:J, MATCH(B223, 'Sprint 19'!B:B, 0)), "")</f>
        <v>Ready to Staging</v>
      </c>
      <c r="V223" s="102">
        <v>57600.0</v>
      </c>
      <c r="W223" s="102" t="s">
        <v>1258</v>
      </c>
      <c r="X223" s="102" t="s">
        <v>1260</v>
      </c>
      <c r="Y223" s="102" t="s">
        <v>1259</v>
      </c>
      <c r="AF223" s="230"/>
      <c r="AG223" s="230"/>
      <c r="AH223" s="230"/>
      <c r="AI223" s="230"/>
    </row>
    <row r="224">
      <c r="A224" s="102" t="s">
        <v>630</v>
      </c>
      <c r="B224" s="102" t="s">
        <v>1253</v>
      </c>
      <c r="C224" s="229" t="s">
        <v>1254</v>
      </c>
      <c r="D224" s="102" t="s">
        <v>1255</v>
      </c>
      <c r="G224" s="102" t="s">
        <v>353</v>
      </c>
      <c r="H224" s="102" t="s">
        <v>354</v>
      </c>
      <c r="I224" s="102" t="s">
        <v>284</v>
      </c>
      <c r="J224" s="102" t="s">
        <v>63</v>
      </c>
      <c r="L224" s="229" t="s">
        <v>1256</v>
      </c>
      <c r="M224" s="229" t="s">
        <v>4106</v>
      </c>
      <c r="N224" s="229" t="s">
        <v>1257</v>
      </c>
      <c r="O224" s="230"/>
      <c r="S224" s="230"/>
      <c r="T224" s="244" t="str">
        <f>IF(ISNUMBER(MATCH(B224, 'Sprint 19'!B:B, 0)), "มาจาก Sprint 19", "")</f>
        <v>มาจาก Sprint 19</v>
      </c>
      <c r="U224" s="244" t="str">
        <f t="array" ref="U224">IF(ISNUMBER(MATCH(B224, 'Sprint 19'!B:B, 0)), INDEX('Sprint 19'!J:J, MATCH(B224, 'Sprint 19'!B:B, 0)), "")</f>
        <v>To Do</v>
      </c>
      <c r="V224" s="230"/>
      <c r="W224" s="102" t="s">
        <v>1258</v>
      </c>
      <c r="X224" s="102" t="s">
        <v>1260</v>
      </c>
      <c r="Y224" s="102" t="s">
        <v>1259</v>
      </c>
      <c r="AF224" s="230"/>
      <c r="AG224" s="230"/>
      <c r="AH224" s="230"/>
      <c r="AI224" s="230"/>
    </row>
    <row r="225">
      <c r="A225" s="102" t="s">
        <v>310</v>
      </c>
      <c r="B225" s="102" t="s">
        <v>4107</v>
      </c>
      <c r="C225" s="229" t="s">
        <v>4108</v>
      </c>
      <c r="D225" s="102" t="s">
        <v>4109</v>
      </c>
      <c r="E225" s="102" t="s">
        <v>564</v>
      </c>
      <c r="F225" s="102" t="s">
        <v>565</v>
      </c>
      <c r="G225" s="102" t="s">
        <v>353</v>
      </c>
      <c r="H225" s="102" t="s">
        <v>354</v>
      </c>
      <c r="I225" s="102" t="s">
        <v>284</v>
      </c>
      <c r="J225" s="102" t="s">
        <v>26</v>
      </c>
      <c r="L225" s="229" t="s">
        <v>4110</v>
      </c>
      <c r="M225" s="229" t="s">
        <v>4111</v>
      </c>
      <c r="N225" s="229" t="s">
        <v>4112</v>
      </c>
      <c r="O225" s="102">
        <v>5.0</v>
      </c>
      <c r="S225" s="102">
        <v>0.0</v>
      </c>
      <c r="T225" s="244" t="str">
        <f>IF(ISNUMBER(MATCH(B225, 'Sprint 19'!B:B, 0)), "มาจาก Sprint 19", "")</f>
        <v>มาจาก Sprint 19</v>
      </c>
      <c r="U225" s="244" t="str">
        <f t="array" ref="U225">IF(ISNUMBER(MATCH(B225, 'Sprint 19'!B:B, 0)), INDEX('Sprint 19'!J:J, MATCH(B225, 'Sprint 19'!B:B, 0)), "")</f>
        <v>Ready to Staging</v>
      </c>
      <c r="V225" s="102">
        <v>57600.0</v>
      </c>
      <c r="W225" s="102" t="s">
        <v>1258</v>
      </c>
      <c r="X225" s="102" t="s">
        <v>1260</v>
      </c>
      <c r="Y225" s="102" t="s">
        <v>1259</v>
      </c>
      <c r="AF225" s="230"/>
      <c r="AG225" s="230"/>
      <c r="AH225" s="230"/>
      <c r="AI225" s="230"/>
    </row>
    <row r="226">
      <c r="A226" s="102" t="s">
        <v>310</v>
      </c>
      <c r="B226" s="102" t="s">
        <v>3202</v>
      </c>
      <c r="C226" s="229" t="s">
        <v>3203</v>
      </c>
      <c r="D226" s="102" t="s">
        <v>3204</v>
      </c>
      <c r="E226" s="102" t="s">
        <v>584</v>
      </c>
      <c r="F226" s="102" t="s">
        <v>585</v>
      </c>
      <c r="G226" s="102" t="s">
        <v>353</v>
      </c>
      <c r="H226" s="102" t="s">
        <v>354</v>
      </c>
      <c r="I226" s="102" t="s">
        <v>284</v>
      </c>
      <c r="J226" s="102" t="s">
        <v>454</v>
      </c>
      <c r="L226" s="229" t="s">
        <v>3205</v>
      </c>
      <c r="M226" s="229" t="s">
        <v>4113</v>
      </c>
      <c r="O226" s="102">
        <v>8.0</v>
      </c>
      <c r="S226" s="102">
        <v>0.0</v>
      </c>
      <c r="T226" s="244" t="str">
        <f>IF(ISNUMBER(MATCH(B226, 'Sprint 19'!B:B, 0)), "มาจาก Sprint 19", "")</f>
        <v>มาจาก Sprint 19</v>
      </c>
      <c r="U226" s="244" t="str">
        <f t="array" ref="U226">IF(ISNUMBER(MATCH(B226, 'Sprint 19'!B:B, 0)), INDEX('Sprint 19'!J:J, MATCH(B226, 'Sprint 19'!B:B, 0)), "")</f>
        <v>Ready to Staging</v>
      </c>
      <c r="V226" s="102">
        <v>86400.0</v>
      </c>
      <c r="W226" s="102" t="s">
        <v>2269</v>
      </c>
      <c r="X226" s="102" t="s">
        <v>2270</v>
      </c>
      <c r="Y226" s="102" t="s">
        <v>2271</v>
      </c>
      <c r="AF226" s="230"/>
      <c r="AG226" s="230"/>
      <c r="AH226" s="230"/>
      <c r="AI226" s="230"/>
    </row>
    <row r="227">
      <c r="A227" s="102" t="s">
        <v>310</v>
      </c>
      <c r="B227" s="102" t="s">
        <v>4114</v>
      </c>
      <c r="C227" s="229" t="s">
        <v>4115</v>
      </c>
      <c r="D227" s="102" t="s">
        <v>4116</v>
      </c>
      <c r="E227" s="102" t="s">
        <v>513</v>
      </c>
      <c r="F227" s="102" t="s">
        <v>514</v>
      </c>
      <c r="G227" s="102" t="s">
        <v>282</v>
      </c>
      <c r="H227" s="102" t="s">
        <v>283</v>
      </c>
      <c r="I227" s="102" t="s">
        <v>515</v>
      </c>
      <c r="J227" s="102" t="s">
        <v>26</v>
      </c>
      <c r="L227" s="229" t="s">
        <v>4117</v>
      </c>
      <c r="M227" s="229" t="s">
        <v>4118</v>
      </c>
      <c r="O227" s="102">
        <v>3.0</v>
      </c>
      <c r="P227" s="102" t="s">
        <v>593</v>
      </c>
      <c r="S227" s="102">
        <v>0.0</v>
      </c>
      <c r="T227" s="244" t="str">
        <f>IF(ISNUMBER(MATCH(B227, 'Sprint 19'!B:B, 0)), "มาจาก Sprint 19", "")</f>
        <v>มาจาก Sprint 19</v>
      </c>
      <c r="U227" s="244" t="str">
        <f t="array" ref="U227">IF(ISNUMBER(MATCH(B227, 'Sprint 19'!B:B, 0)), INDEX('Sprint 19'!J:J, MATCH(B227, 'Sprint 19'!B:B, 0)), "")</f>
        <v>Ready to Staging</v>
      </c>
      <c r="V227" s="102">
        <v>7200.0</v>
      </c>
      <c r="W227" s="102" t="s">
        <v>1991</v>
      </c>
      <c r="X227" s="102" t="s">
        <v>1992</v>
      </c>
      <c r="Y227" s="102" t="s">
        <v>1085</v>
      </c>
      <c r="AF227" s="230"/>
      <c r="AG227" s="230"/>
      <c r="AH227" s="230"/>
      <c r="AI227" s="230"/>
    </row>
    <row r="228">
      <c r="A228" s="102" t="s">
        <v>310</v>
      </c>
      <c r="B228" s="102" t="s">
        <v>4119</v>
      </c>
      <c r="C228" s="229" t="s">
        <v>4120</v>
      </c>
      <c r="D228" s="102" t="s">
        <v>4121</v>
      </c>
      <c r="E228" s="102" t="s">
        <v>584</v>
      </c>
      <c r="F228" s="102" t="s">
        <v>585</v>
      </c>
      <c r="G228" s="102" t="s">
        <v>353</v>
      </c>
      <c r="H228" s="102" t="s">
        <v>354</v>
      </c>
      <c r="I228" s="102" t="s">
        <v>284</v>
      </c>
      <c r="J228" s="102" t="s">
        <v>454</v>
      </c>
      <c r="L228" s="229" t="s">
        <v>3210</v>
      </c>
      <c r="M228" s="229" t="s">
        <v>4024</v>
      </c>
      <c r="O228" s="102">
        <v>3.0</v>
      </c>
      <c r="S228" s="102">
        <v>0.0</v>
      </c>
      <c r="T228" s="244" t="str">
        <f>IF(ISNUMBER(MATCH(B228, 'Sprint 19'!B:B, 0)), "มาจาก Sprint 19", "")</f>
        <v>มาจาก Sprint 19</v>
      </c>
      <c r="U228" s="244" t="str">
        <f t="array" ref="U228">IF(ISNUMBER(MATCH(B228, 'Sprint 19'!B:B, 0)), INDEX('Sprint 19'!J:J, MATCH(B228, 'Sprint 19'!B:B, 0)), "")</f>
        <v>Ready to Staging</v>
      </c>
      <c r="V228" s="102">
        <v>28800.0</v>
      </c>
      <c r="W228" s="102" t="s">
        <v>2270</v>
      </c>
      <c r="X228" s="102" t="s">
        <v>2271</v>
      </c>
      <c r="AF228" s="230"/>
      <c r="AG228" s="230"/>
      <c r="AH228" s="230"/>
      <c r="AI228" s="230"/>
    </row>
    <row r="229">
      <c r="A229" s="102" t="s">
        <v>310</v>
      </c>
      <c r="B229" s="102" t="s">
        <v>3207</v>
      </c>
      <c r="C229" s="229" t="s">
        <v>3208</v>
      </c>
      <c r="D229" s="102" t="s">
        <v>3209</v>
      </c>
      <c r="E229" s="102" t="s">
        <v>495</v>
      </c>
      <c r="F229" s="102" t="s">
        <v>496</v>
      </c>
      <c r="G229" s="102" t="s">
        <v>353</v>
      </c>
      <c r="H229" s="102" t="s">
        <v>354</v>
      </c>
      <c r="I229" s="102" t="s">
        <v>284</v>
      </c>
      <c r="J229" s="102" t="s">
        <v>454</v>
      </c>
      <c r="L229" s="229" t="s">
        <v>3210</v>
      </c>
      <c r="M229" s="229" t="s">
        <v>4034</v>
      </c>
      <c r="O229" s="102">
        <v>5.0</v>
      </c>
      <c r="S229" s="102">
        <v>0.0</v>
      </c>
      <c r="T229" s="244" t="str">
        <f>IF(ISNUMBER(MATCH(B229, 'Sprint 19'!B:B, 0)), "มาจาก Sprint 19", "")</f>
        <v>มาจาก Sprint 19</v>
      </c>
      <c r="U229" s="244" t="str">
        <f t="array" ref="U229">IF(ISNUMBER(MATCH(B229, 'Sprint 19'!B:B, 0)), INDEX('Sprint 19'!J:J, MATCH(B229, 'Sprint 19'!B:B, 0)), "")</f>
        <v>Ready to Staging</v>
      </c>
      <c r="V229" s="102">
        <v>57600.0</v>
      </c>
      <c r="W229" s="102" t="s">
        <v>2269</v>
      </c>
      <c r="X229" s="102" t="s">
        <v>2270</v>
      </c>
      <c r="Y229" s="102" t="s">
        <v>2271</v>
      </c>
      <c r="AF229" s="230"/>
      <c r="AG229" s="230"/>
      <c r="AH229" s="230"/>
      <c r="AI229" s="230"/>
    </row>
    <row r="230">
      <c r="A230" s="102" t="s">
        <v>310</v>
      </c>
      <c r="B230" s="102" t="s">
        <v>3561</v>
      </c>
      <c r="C230" s="229" t="s">
        <v>3562</v>
      </c>
      <c r="D230" s="102" t="s">
        <v>3563</v>
      </c>
      <c r="E230" s="102" t="s">
        <v>513</v>
      </c>
      <c r="F230" s="102" t="s">
        <v>514</v>
      </c>
      <c r="G230" s="102" t="s">
        <v>282</v>
      </c>
      <c r="H230" s="102" t="s">
        <v>283</v>
      </c>
      <c r="I230" s="102" t="s">
        <v>284</v>
      </c>
      <c r="J230" s="102" t="s">
        <v>454</v>
      </c>
      <c r="L230" s="229" t="s">
        <v>3564</v>
      </c>
      <c r="M230" s="229" t="s">
        <v>3948</v>
      </c>
      <c r="N230" s="229" t="s">
        <v>3565</v>
      </c>
      <c r="O230" s="102">
        <v>3.0</v>
      </c>
      <c r="P230" s="102" t="s">
        <v>331</v>
      </c>
      <c r="S230" s="102">
        <v>0.0</v>
      </c>
      <c r="T230" s="244" t="str">
        <f>IF(ISNUMBER(MATCH(B230, 'Sprint 19'!B:B, 0)), "มาจาก Sprint 19", "")</f>
        <v>มาจาก Sprint 19</v>
      </c>
      <c r="U230" s="244" t="str">
        <f t="array" ref="U230">IF(ISNUMBER(MATCH(B230, 'Sprint 19'!B:B, 0)), INDEX('Sprint 19'!J:J, MATCH(B230, 'Sprint 19'!B:B, 0)), "")</f>
        <v>Ready to Staging</v>
      </c>
      <c r="V230" s="102">
        <v>28800.0</v>
      </c>
      <c r="W230" s="102" t="s">
        <v>1992</v>
      </c>
      <c r="X230" s="102" t="s">
        <v>1085</v>
      </c>
      <c r="AF230" s="230"/>
      <c r="AG230" s="230"/>
      <c r="AH230" s="230"/>
      <c r="AI230" s="230"/>
    </row>
    <row r="231">
      <c r="A231" s="102" t="s">
        <v>310</v>
      </c>
      <c r="B231" s="102" t="s">
        <v>3566</v>
      </c>
      <c r="C231" s="229" t="s">
        <v>3567</v>
      </c>
      <c r="D231" s="102" t="s">
        <v>3568</v>
      </c>
      <c r="E231" s="102" t="s">
        <v>513</v>
      </c>
      <c r="F231" s="102" t="s">
        <v>514</v>
      </c>
      <c r="G231" s="102" t="s">
        <v>282</v>
      </c>
      <c r="H231" s="102" t="s">
        <v>283</v>
      </c>
      <c r="I231" s="102" t="s">
        <v>284</v>
      </c>
      <c r="J231" s="102" t="s">
        <v>454</v>
      </c>
      <c r="L231" s="229" t="s">
        <v>3564</v>
      </c>
      <c r="M231" s="229" t="s">
        <v>3950</v>
      </c>
      <c r="N231" s="229" t="s">
        <v>3569</v>
      </c>
      <c r="O231" s="102">
        <v>3.0</v>
      </c>
      <c r="P231" s="102" t="s">
        <v>331</v>
      </c>
      <c r="S231" s="102">
        <v>0.0</v>
      </c>
      <c r="T231" s="244" t="str">
        <f>IF(ISNUMBER(MATCH(B231, 'Sprint 19'!B:B, 0)), "มาจาก Sprint 19", "")</f>
        <v>มาจาก Sprint 19</v>
      </c>
      <c r="U231" s="244" t="str">
        <f t="array" ref="U231">IF(ISNUMBER(MATCH(B231, 'Sprint 19'!B:B, 0)), INDEX('Sprint 19'!J:J, MATCH(B231, 'Sprint 19'!B:B, 0)), "")</f>
        <v>Ready to Staging</v>
      </c>
      <c r="V231" s="102">
        <v>28800.0</v>
      </c>
      <c r="W231" s="102" t="s">
        <v>1992</v>
      </c>
      <c r="X231" s="102" t="s">
        <v>1085</v>
      </c>
      <c r="AF231" s="230"/>
      <c r="AG231" s="230"/>
      <c r="AH231" s="230"/>
      <c r="AI231" s="230"/>
    </row>
    <row r="232">
      <c r="A232" s="102" t="s">
        <v>310</v>
      </c>
      <c r="B232" s="102" t="s">
        <v>3570</v>
      </c>
      <c r="C232" s="229" t="s">
        <v>3571</v>
      </c>
      <c r="D232" s="102" t="s">
        <v>3572</v>
      </c>
      <c r="E232" s="102" t="s">
        <v>513</v>
      </c>
      <c r="F232" s="102" t="s">
        <v>514</v>
      </c>
      <c r="G232" s="102" t="s">
        <v>282</v>
      </c>
      <c r="H232" s="102" t="s">
        <v>283</v>
      </c>
      <c r="I232" s="102" t="s">
        <v>284</v>
      </c>
      <c r="J232" s="102" t="s">
        <v>454</v>
      </c>
      <c r="L232" s="229" t="s">
        <v>3573</v>
      </c>
      <c r="M232" s="229" t="s">
        <v>3948</v>
      </c>
      <c r="N232" s="229" t="s">
        <v>3574</v>
      </c>
      <c r="O232" s="102">
        <v>3.0</v>
      </c>
      <c r="P232" s="102" t="s">
        <v>331</v>
      </c>
      <c r="S232" s="102">
        <v>0.0</v>
      </c>
      <c r="T232" s="244" t="str">
        <f>IF(ISNUMBER(MATCH(B232, 'Sprint 19'!B:B, 0)), "มาจาก Sprint 19", "")</f>
        <v>มาจาก Sprint 19</v>
      </c>
      <c r="U232" s="244" t="str">
        <f t="array" ref="U232">IF(ISNUMBER(MATCH(B232, 'Sprint 19'!B:B, 0)), INDEX('Sprint 19'!J:J, MATCH(B232, 'Sprint 19'!B:B, 0)), "")</f>
        <v>Ready to Staging</v>
      </c>
      <c r="V232" s="102">
        <v>28800.0</v>
      </c>
      <c r="W232" s="102" t="s">
        <v>1992</v>
      </c>
      <c r="X232" s="102" t="s">
        <v>1085</v>
      </c>
      <c r="AF232" s="230"/>
      <c r="AG232" s="230"/>
      <c r="AH232" s="230"/>
      <c r="AI232" s="230"/>
    </row>
    <row r="233">
      <c r="A233" s="102" t="s">
        <v>310</v>
      </c>
      <c r="B233" s="102" t="s">
        <v>3212</v>
      </c>
      <c r="C233" s="229" t="s">
        <v>3213</v>
      </c>
      <c r="D233" s="102" t="s">
        <v>3214</v>
      </c>
      <c r="E233" s="102" t="s">
        <v>495</v>
      </c>
      <c r="F233" s="102" t="s">
        <v>496</v>
      </c>
      <c r="G233" s="102" t="s">
        <v>282</v>
      </c>
      <c r="H233" s="102" t="s">
        <v>283</v>
      </c>
      <c r="I233" s="102" t="s">
        <v>284</v>
      </c>
      <c r="J233" s="102" t="s">
        <v>454</v>
      </c>
      <c r="L233" s="229" t="s">
        <v>2067</v>
      </c>
      <c r="M233" s="229" t="s">
        <v>4122</v>
      </c>
      <c r="N233" s="229" t="s">
        <v>2054</v>
      </c>
      <c r="O233" s="102">
        <v>5.0</v>
      </c>
      <c r="S233" s="102">
        <v>57600.0</v>
      </c>
      <c r="T233" s="244" t="str">
        <f>IF(ISNUMBER(MATCH(B233, 'Sprint 19'!B:B, 0)), "มาจาก Sprint 19", "")</f>
        <v/>
      </c>
      <c r="U233" s="244" t="str">
        <f t="array" ref="U233">IF(ISNUMBER(MATCH(B233, 'Sprint 19'!B:B, 0)), INDEX('Sprint 19'!J:J, MATCH(B233, 'Sprint 19'!B:B, 0)), "")</f>
        <v/>
      </c>
      <c r="W233" s="102" t="s">
        <v>1085</v>
      </c>
      <c r="AF233" s="230"/>
      <c r="AG233" s="230"/>
      <c r="AH233" s="230"/>
      <c r="AI233" s="230"/>
    </row>
    <row r="234">
      <c r="A234" s="102" t="s">
        <v>310</v>
      </c>
      <c r="B234" s="102" t="s">
        <v>4123</v>
      </c>
      <c r="C234" s="229" t="s">
        <v>4124</v>
      </c>
      <c r="D234" s="102" t="s">
        <v>4125</v>
      </c>
      <c r="E234" s="102" t="s">
        <v>328</v>
      </c>
      <c r="F234" s="102" t="s">
        <v>329</v>
      </c>
      <c r="G234" s="102" t="s">
        <v>282</v>
      </c>
      <c r="H234" s="102" t="s">
        <v>283</v>
      </c>
      <c r="I234" s="102" t="s">
        <v>284</v>
      </c>
      <c r="J234" s="102" t="s">
        <v>454</v>
      </c>
      <c r="L234" s="229" t="s">
        <v>4126</v>
      </c>
      <c r="M234" s="229" t="s">
        <v>4127</v>
      </c>
      <c r="O234" s="102">
        <v>3.0</v>
      </c>
      <c r="P234" s="102" t="s">
        <v>331</v>
      </c>
      <c r="S234" s="230"/>
      <c r="T234" s="244" t="str">
        <f>IF(ISNUMBER(MATCH(B234, 'Sprint 19'!B:B, 0)), "มาจาก Sprint 19", "")</f>
        <v>มาจาก Sprint 19</v>
      </c>
      <c r="U234" s="244" t="str">
        <f t="array" ref="U234">IF(ISNUMBER(MATCH(B234, 'Sprint 19'!B:B, 0)), INDEX('Sprint 19'!J:J, MATCH(B234, 'Sprint 19'!B:B, 0)), "")</f>
        <v>Ready to Staging</v>
      </c>
      <c r="V234" s="230"/>
      <c r="W234" s="102" t="s">
        <v>1992</v>
      </c>
      <c r="X234" s="102" t="s">
        <v>1085</v>
      </c>
      <c r="AF234" s="230"/>
      <c r="AG234" s="230"/>
      <c r="AH234" s="230"/>
      <c r="AI234" s="230"/>
    </row>
    <row r="235">
      <c r="A235" s="102" t="s">
        <v>310</v>
      </c>
      <c r="B235" s="102" t="s">
        <v>4128</v>
      </c>
      <c r="C235" s="229" t="s">
        <v>4129</v>
      </c>
      <c r="D235" s="102" t="s">
        <v>4130</v>
      </c>
      <c r="E235" s="102" t="s">
        <v>328</v>
      </c>
      <c r="F235" s="102" t="s">
        <v>329</v>
      </c>
      <c r="G235" s="102" t="s">
        <v>282</v>
      </c>
      <c r="H235" s="102" t="s">
        <v>283</v>
      </c>
      <c r="I235" s="102" t="s">
        <v>284</v>
      </c>
      <c r="J235" s="102" t="s">
        <v>454</v>
      </c>
      <c r="L235" s="229" t="s">
        <v>4126</v>
      </c>
      <c r="M235" s="229" t="s">
        <v>4131</v>
      </c>
      <c r="O235" s="102">
        <v>3.0</v>
      </c>
      <c r="P235" s="102" t="s">
        <v>331</v>
      </c>
      <c r="S235" s="230"/>
      <c r="T235" s="244" t="str">
        <f>IF(ISNUMBER(MATCH(B235, 'Sprint 19'!B:B, 0)), "มาจาก Sprint 19", "")</f>
        <v>มาจาก Sprint 19</v>
      </c>
      <c r="U235" s="244" t="str">
        <f t="array" ref="U235">IF(ISNUMBER(MATCH(B235, 'Sprint 19'!B:B, 0)), INDEX('Sprint 19'!J:J, MATCH(B235, 'Sprint 19'!B:B, 0)), "")</f>
        <v>Ready to Staging</v>
      </c>
      <c r="V235" s="230"/>
      <c r="W235" s="102" t="s">
        <v>1992</v>
      </c>
      <c r="X235" s="102" t="s">
        <v>1085</v>
      </c>
      <c r="AF235" s="230"/>
      <c r="AG235" s="230"/>
      <c r="AH235" s="230"/>
      <c r="AI235" s="230"/>
    </row>
    <row r="236">
      <c r="A236" s="102" t="s">
        <v>310</v>
      </c>
      <c r="B236" s="102" t="s">
        <v>4132</v>
      </c>
      <c r="C236" s="229" t="s">
        <v>4133</v>
      </c>
      <c r="D236" s="102" t="s">
        <v>4134</v>
      </c>
      <c r="E236" s="102" t="s">
        <v>282</v>
      </c>
      <c r="F236" s="102" t="s">
        <v>283</v>
      </c>
      <c r="G236" s="102" t="s">
        <v>282</v>
      </c>
      <c r="H236" s="102" t="s">
        <v>283</v>
      </c>
      <c r="I236" s="102" t="s">
        <v>284</v>
      </c>
      <c r="J236" s="102" t="s">
        <v>26</v>
      </c>
      <c r="L236" s="229" t="s">
        <v>4135</v>
      </c>
      <c r="M236" s="229" t="s">
        <v>4136</v>
      </c>
      <c r="O236" s="102">
        <v>13.0</v>
      </c>
      <c r="P236" s="102" t="s">
        <v>593</v>
      </c>
      <c r="S236" s="230"/>
      <c r="T236" s="244" t="str">
        <f>IF(ISNUMBER(MATCH(B236, 'Sprint 19'!B:B, 0)), "มาจาก Sprint 19", "")</f>
        <v>มาจาก Sprint 19</v>
      </c>
      <c r="U236" s="244" t="str">
        <f t="array" ref="U236">IF(ISNUMBER(MATCH(B236, 'Sprint 19'!B:B, 0)), INDEX('Sprint 19'!J:J, MATCH(B236, 'Sprint 19'!B:B, 0)), "")</f>
        <v>In Progress</v>
      </c>
      <c r="V236" s="230"/>
      <c r="W236" s="102" t="s">
        <v>1992</v>
      </c>
      <c r="X236" s="102" t="s">
        <v>1085</v>
      </c>
      <c r="AF236" s="230"/>
      <c r="AG236" s="230"/>
      <c r="AH236" s="230"/>
      <c r="AI236" s="230"/>
    </row>
    <row r="237">
      <c r="A237" s="102" t="s">
        <v>310</v>
      </c>
      <c r="B237" s="102" t="s">
        <v>3575</v>
      </c>
      <c r="C237" s="229" t="s">
        <v>3576</v>
      </c>
      <c r="D237" s="102" t="s">
        <v>3577</v>
      </c>
      <c r="E237" s="102" t="s">
        <v>495</v>
      </c>
      <c r="F237" s="102" t="s">
        <v>496</v>
      </c>
      <c r="G237" s="102" t="s">
        <v>282</v>
      </c>
      <c r="H237" s="102" t="s">
        <v>283</v>
      </c>
      <c r="I237" s="102" t="s">
        <v>284</v>
      </c>
      <c r="J237" s="102" t="s">
        <v>454</v>
      </c>
      <c r="L237" s="229" t="s">
        <v>3578</v>
      </c>
      <c r="M237" s="229" t="s">
        <v>4015</v>
      </c>
      <c r="O237" s="102">
        <v>3.0</v>
      </c>
      <c r="P237" s="102" t="s">
        <v>331</v>
      </c>
      <c r="S237" s="102">
        <v>0.0</v>
      </c>
      <c r="T237" s="244" t="str">
        <f>IF(ISNUMBER(MATCH(B237, 'Sprint 19'!B:B, 0)), "มาจาก Sprint 19", "")</f>
        <v>มาจาก Sprint 19</v>
      </c>
      <c r="U237" s="244" t="str">
        <f t="array" ref="U237">IF(ISNUMBER(MATCH(B237, 'Sprint 19'!B:B, 0)), INDEX('Sprint 19'!J:J, MATCH(B237, 'Sprint 19'!B:B, 0)), "")</f>
        <v>Ready to Staging</v>
      </c>
      <c r="V237" s="102">
        <v>28800.0</v>
      </c>
      <c r="W237" s="102" t="s">
        <v>1992</v>
      </c>
      <c r="X237" s="102" t="s">
        <v>1085</v>
      </c>
      <c r="AF237" s="230"/>
      <c r="AG237" s="230"/>
      <c r="AH237" s="230"/>
      <c r="AI237" s="230"/>
    </row>
    <row r="238">
      <c r="A238" s="102" t="s">
        <v>310</v>
      </c>
      <c r="B238" s="102" t="s">
        <v>4137</v>
      </c>
      <c r="C238" s="229" t="s">
        <v>4138</v>
      </c>
      <c r="D238" s="102" t="s">
        <v>4139</v>
      </c>
      <c r="E238" s="102" t="s">
        <v>304</v>
      </c>
      <c r="F238" s="102" t="s">
        <v>305</v>
      </c>
      <c r="G238" s="102" t="s">
        <v>282</v>
      </c>
      <c r="H238" s="102" t="s">
        <v>283</v>
      </c>
      <c r="I238" s="102" t="s">
        <v>515</v>
      </c>
      <c r="J238" s="102" t="s">
        <v>34</v>
      </c>
      <c r="L238" s="229" t="s">
        <v>3578</v>
      </c>
      <c r="M238" s="229" t="s">
        <v>3931</v>
      </c>
      <c r="O238" s="102">
        <v>5.0</v>
      </c>
      <c r="S238" s="230"/>
      <c r="T238" s="244" t="str">
        <f>IF(ISNUMBER(MATCH(B238, 'Sprint 19'!B:B, 0)), "มาจาก Sprint 19", "")</f>
        <v/>
      </c>
      <c r="U238" s="244" t="str">
        <f t="array" ref="U238">IF(ISNUMBER(MATCH(B238, 'Sprint 19'!B:B, 0)), INDEX('Sprint 19'!J:J, MATCH(B238, 'Sprint 19'!B:B, 0)), "")</f>
        <v/>
      </c>
      <c r="W238" s="102" t="s">
        <v>1085</v>
      </c>
      <c r="AF238" s="230"/>
      <c r="AG238" s="230"/>
      <c r="AH238" s="230"/>
      <c r="AI238" s="230"/>
    </row>
    <row r="239">
      <c r="A239" s="102" t="s">
        <v>310</v>
      </c>
      <c r="B239" s="102" t="s">
        <v>3580</v>
      </c>
      <c r="C239" s="229" t="s">
        <v>3581</v>
      </c>
      <c r="D239" s="102" t="s">
        <v>3582</v>
      </c>
      <c r="E239" s="102" t="s">
        <v>495</v>
      </c>
      <c r="F239" s="102" t="s">
        <v>496</v>
      </c>
      <c r="G239" s="102" t="s">
        <v>282</v>
      </c>
      <c r="H239" s="102" t="s">
        <v>283</v>
      </c>
      <c r="I239" s="102" t="s">
        <v>515</v>
      </c>
      <c r="J239" s="102" t="s">
        <v>454</v>
      </c>
      <c r="L239" s="229" t="s">
        <v>3578</v>
      </c>
      <c r="M239" s="229" t="s">
        <v>4015</v>
      </c>
      <c r="O239" s="102">
        <v>2.0</v>
      </c>
      <c r="P239" s="102" t="s">
        <v>331</v>
      </c>
      <c r="S239" s="102">
        <v>0.0</v>
      </c>
      <c r="T239" s="244" t="str">
        <f>IF(ISNUMBER(MATCH(B239, 'Sprint 19'!B:B, 0)), "มาจาก Sprint 19", "")</f>
        <v>มาจาก Sprint 19</v>
      </c>
      <c r="U239" s="244" t="str">
        <f t="array" ref="U239">IF(ISNUMBER(MATCH(B239, 'Sprint 19'!B:B, 0)), INDEX('Sprint 19'!J:J, MATCH(B239, 'Sprint 19'!B:B, 0)), "")</f>
        <v>Ready to Staging</v>
      </c>
      <c r="V239" s="102">
        <v>14400.0</v>
      </c>
      <c r="W239" s="102" t="s">
        <v>1992</v>
      </c>
      <c r="X239" s="102" t="s">
        <v>1085</v>
      </c>
      <c r="AF239" s="230"/>
      <c r="AG239" s="230"/>
      <c r="AH239" s="230"/>
      <c r="AI239" s="230"/>
    </row>
    <row r="240">
      <c r="A240" s="102" t="s">
        <v>310</v>
      </c>
      <c r="B240" s="102" t="s">
        <v>3584</v>
      </c>
      <c r="C240" s="229" t="s">
        <v>3585</v>
      </c>
      <c r="D240" s="102" t="s">
        <v>3586</v>
      </c>
      <c r="E240" s="102" t="s">
        <v>495</v>
      </c>
      <c r="F240" s="102" t="s">
        <v>496</v>
      </c>
      <c r="G240" s="102" t="s">
        <v>282</v>
      </c>
      <c r="H240" s="102" t="s">
        <v>283</v>
      </c>
      <c r="I240" s="102" t="s">
        <v>515</v>
      </c>
      <c r="J240" s="102" t="s">
        <v>454</v>
      </c>
      <c r="L240" s="229" t="s">
        <v>3578</v>
      </c>
      <c r="M240" s="229" t="s">
        <v>4015</v>
      </c>
      <c r="O240" s="102">
        <v>3.0</v>
      </c>
      <c r="P240" s="102" t="s">
        <v>331</v>
      </c>
      <c r="S240" s="102">
        <v>0.0</v>
      </c>
      <c r="T240" s="244" t="str">
        <f>IF(ISNUMBER(MATCH(B240, 'Sprint 19'!B:B, 0)), "มาจาก Sprint 19", "")</f>
        <v>มาจาก Sprint 19</v>
      </c>
      <c r="U240" s="244" t="str">
        <f t="array" ref="U240">IF(ISNUMBER(MATCH(B240, 'Sprint 19'!B:B, 0)), INDEX('Sprint 19'!J:J, MATCH(B240, 'Sprint 19'!B:B, 0)), "")</f>
        <v>Ready to Staging</v>
      </c>
      <c r="V240" s="102">
        <v>43200.0</v>
      </c>
      <c r="W240" s="102" t="s">
        <v>1992</v>
      </c>
      <c r="X240" s="102" t="s">
        <v>1085</v>
      </c>
      <c r="AF240" s="230"/>
      <c r="AG240" s="230"/>
      <c r="AH240" s="230"/>
      <c r="AI240" s="230"/>
    </row>
    <row r="241">
      <c r="A241" s="102" t="s">
        <v>310</v>
      </c>
      <c r="B241" s="102" t="s">
        <v>2070</v>
      </c>
      <c r="C241" s="229" t="s">
        <v>2071</v>
      </c>
      <c r="D241" s="102" t="s">
        <v>2072</v>
      </c>
      <c r="E241" s="102" t="s">
        <v>495</v>
      </c>
      <c r="F241" s="102" t="s">
        <v>496</v>
      </c>
      <c r="G241" s="102" t="s">
        <v>282</v>
      </c>
      <c r="H241" s="102" t="s">
        <v>283</v>
      </c>
      <c r="I241" s="102" t="s">
        <v>284</v>
      </c>
      <c r="J241" s="102" t="s">
        <v>454</v>
      </c>
      <c r="L241" s="229" t="s">
        <v>2073</v>
      </c>
      <c r="M241" s="229" t="s">
        <v>4140</v>
      </c>
      <c r="O241" s="102">
        <v>1.0</v>
      </c>
      <c r="P241" s="102" t="s">
        <v>435</v>
      </c>
      <c r="S241" s="102">
        <v>0.0</v>
      </c>
      <c r="T241" s="244" t="str">
        <f>IF(ISNUMBER(MATCH(B241, 'Sprint 19'!B:B, 0)), "มาจาก Sprint 19", "")</f>
        <v>มาจาก Sprint 19</v>
      </c>
      <c r="U241" s="244" t="str">
        <f t="array" ref="U241">IF(ISNUMBER(MATCH(B241, 'Sprint 19'!B:B, 0)), INDEX('Sprint 19'!J:J, MATCH(B241, 'Sprint 19'!B:B, 0)), "")</f>
        <v>Ready to Staging</v>
      </c>
      <c r="V241" s="102">
        <v>3600.0</v>
      </c>
      <c r="W241" s="102" t="s">
        <v>1991</v>
      </c>
      <c r="X241" s="102" t="s">
        <v>1992</v>
      </c>
      <c r="Y241" s="102" t="s">
        <v>1085</v>
      </c>
      <c r="AF241" s="230"/>
      <c r="AG241" s="230"/>
      <c r="AH241" s="230"/>
      <c r="AI241" s="230"/>
    </row>
    <row r="242">
      <c r="A242" s="102" t="s">
        <v>310</v>
      </c>
      <c r="B242" s="102" t="s">
        <v>2075</v>
      </c>
      <c r="C242" s="229" t="s">
        <v>2076</v>
      </c>
      <c r="D242" s="102" t="s">
        <v>2077</v>
      </c>
      <c r="E242" s="102" t="s">
        <v>495</v>
      </c>
      <c r="F242" s="102" t="s">
        <v>496</v>
      </c>
      <c r="G242" s="102" t="s">
        <v>282</v>
      </c>
      <c r="H242" s="102" t="s">
        <v>283</v>
      </c>
      <c r="I242" s="102" t="s">
        <v>284</v>
      </c>
      <c r="J242" s="102" t="s">
        <v>454</v>
      </c>
      <c r="L242" s="229" t="s">
        <v>2073</v>
      </c>
      <c r="M242" s="229" t="s">
        <v>4140</v>
      </c>
      <c r="O242" s="102">
        <v>1.0</v>
      </c>
      <c r="P242" s="102" t="s">
        <v>435</v>
      </c>
      <c r="S242" s="102">
        <v>0.0</v>
      </c>
      <c r="T242" s="244" t="str">
        <f>IF(ISNUMBER(MATCH(B242, 'Sprint 19'!B:B, 0)), "มาจาก Sprint 19", "")</f>
        <v>มาจาก Sprint 19</v>
      </c>
      <c r="U242" s="244" t="str">
        <f t="array" ref="U242">IF(ISNUMBER(MATCH(B242, 'Sprint 19'!B:B, 0)), INDEX('Sprint 19'!J:J, MATCH(B242, 'Sprint 19'!B:B, 0)), "")</f>
        <v>Ready to Staging</v>
      </c>
      <c r="V242" s="102">
        <v>7200.0</v>
      </c>
      <c r="W242" s="102" t="s">
        <v>1991</v>
      </c>
      <c r="X242" s="102" t="s">
        <v>1992</v>
      </c>
      <c r="Y242" s="102" t="s">
        <v>1085</v>
      </c>
      <c r="AF242" s="230"/>
      <c r="AG242" s="230"/>
      <c r="AH242" s="230"/>
      <c r="AI242" s="230"/>
    </row>
    <row r="243">
      <c r="A243" s="102" t="s">
        <v>310</v>
      </c>
      <c r="B243" s="102" t="s">
        <v>2078</v>
      </c>
      <c r="C243" s="229" t="s">
        <v>2079</v>
      </c>
      <c r="D243" s="102" t="s">
        <v>2080</v>
      </c>
      <c r="E243" s="102" t="s">
        <v>495</v>
      </c>
      <c r="F243" s="102" t="s">
        <v>496</v>
      </c>
      <c r="G243" s="102" t="s">
        <v>282</v>
      </c>
      <c r="H243" s="102" t="s">
        <v>283</v>
      </c>
      <c r="I243" s="102" t="s">
        <v>284</v>
      </c>
      <c r="J243" s="102" t="s">
        <v>454</v>
      </c>
      <c r="L243" s="229" t="s">
        <v>2073</v>
      </c>
      <c r="M243" s="229" t="s">
        <v>4140</v>
      </c>
      <c r="O243" s="102">
        <v>2.0</v>
      </c>
      <c r="P243" s="102" t="s">
        <v>435</v>
      </c>
      <c r="S243" s="102">
        <v>0.0</v>
      </c>
      <c r="T243" s="244" t="str">
        <f>IF(ISNUMBER(MATCH(B243, 'Sprint 19'!B:B, 0)), "มาจาก Sprint 19", "")</f>
        <v>มาจาก Sprint 19</v>
      </c>
      <c r="U243" s="244" t="str">
        <f t="array" ref="U243">IF(ISNUMBER(MATCH(B243, 'Sprint 19'!B:B, 0)), INDEX('Sprint 19'!J:J, MATCH(B243, 'Sprint 19'!B:B, 0)), "")</f>
        <v>Ready to Staging</v>
      </c>
      <c r="V243" s="102">
        <v>10800.0</v>
      </c>
      <c r="W243" s="102" t="s">
        <v>1991</v>
      </c>
      <c r="X243" s="102" t="s">
        <v>1992</v>
      </c>
      <c r="Y243" s="102" t="s">
        <v>1085</v>
      </c>
      <c r="AF243" s="230"/>
      <c r="AG243" s="230"/>
      <c r="AH243" s="230"/>
      <c r="AI243" s="230"/>
    </row>
    <row r="244">
      <c r="A244" s="102" t="s">
        <v>310</v>
      </c>
      <c r="B244" s="102" t="s">
        <v>2081</v>
      </c>
      <c r="C244" s="229" t="s">
        <v>2082</v>
      </c>
      <c r="D244" s="102" t="s">
        <v>2083</v>
      </c>
      <c r="E244" s="102" t="s">
        <v>513</v>
      </c>
      <c r="F244" s="102" t="s">
        <v>514</v>
      </c>
      <c r="G244" s="102" t="s">
        <v>282</v>
      </c>
      <c r="H244" s="102" t="s">
        <v>283</v>
      </c>
      <c r="I244" s="102" t="s">
        <v>284</v>
      </c>
      <c r="J244" s="102" t="s">
        <v>454</v>
      </c>
      <c r="L244" s="229" t="s">
        <v>2073</v>
      </c>
      <c r="M244" s="229" t="s">
        <v>2470</v>
      </c>
      <c r="O244" s="102">
        <v>1.0</v>
      </c>
      <c r="P244" s="102" t="s">
        <v>435</v>
      </c>
      <c r="S244" s="102">
        <v>0.0</v>
      </c>
      <c r="T244" s="244" t="str">
        <f>IF(ISNUMBER(MATCH(B244, 'Sprint 19'!B:B, 0)), "มาจาก Sprint 19", "")</f>
        <v>มาจาก Sprint 19</v>
      </c>
      <c r="U244" s="244" t="str">
        <f t="array" ref="U244">IF(ISNUMBER(MATCH(B244, 'Sprint 19'!B:B, 0)), INDEX('Sprint 19'!J:J, MATCH(B244, 'Sprint 19'!B:B, 0)), "")</f>
        <v>Ready to Staging</v>
      </c>
      <c r="V244" s="102">
        <v>7200.0</v>
      </c>
      <c r="W244" s="102" t="s">
        <v>1991</v>
      </c>
      <c r="X244" s="102" t="s">
        <v>1992</v>
      </c>
      <c r="Y244" s="102" t="s">
        <v>1085</v>
      </c>
      <c r="AF244" s="230"/>
      <c r="AG244" s="230"/>
      <c r="AH244" s="230"/>
      <c r="AI244" s="230"/>
    </row>
    <row r="245">
      <c r="A245" s="102" t="s">
        <v>310</v>
      </c>
      <c r="B245" s="102" t="s">
        <v>2085</v>
      </c>
      <c r="C245" s="229" t="s">
        <v>2086</v>
      </c>
      <c r="D245" s="102" t="s">
        <v>2087</v>
      </c>
      <c r="E245" s="102" t="s">
        <v>513</v>
      </c>
      <c r="F245" s="102" t="s">
        <v>514</v>
      </c>
      <c r="G245" s="102" t="s">
        <v>282</v>
      </c>
      <c r="H245" s="102" t="s">
        <v>283</v>
      </c>
      <c r="I245" s="102" t="s">
        <v>284</v>
      </c>
      <c r="J245" s="102" t="s">
        <v>454</v>
      </c>
      <c r="L245" s="229" t="s">
        <v>2088</v>
      </c>
      <c r="M245" s="229" t="s">
        <v>4141</v>
      </c>
      <c r="O245" s="102">
        <v>1.0</v>
      </c>
      <c r="P245" s="102" t="s">
        <v>435</v>
      </c>
      <c r="S245" s="230"/>
      <c r="T245" s="244" t="str">
        <f>IF(ISNUMBER(MATCH(B245, 'Sprint 19'!B:B, 0)), "มาจาก Sprint 19", "")</f>
        <v>มาจาก Sprint 19</v>
      </c>
      <c r="U245" s="244" t="str">
        <f t="array" ref="U245">IF(ISNUMBER(MATCH(B245, 'Sprint 19'!B:B, 0)), INDEX('Sprint 19'!J:J, MATCH(B245, 'Sprint 19'!B:B, 0)), "")</f>
        <v>Ready to Staging</v>
      </c>
      <c r="V245" s="230"/>
      <c r="W245" s="102" t="s">
        <v>1991</v>
      </c>
      <c r="X245" s="102" t="s">
        <v>1992</v>
      </c>
      <c r="Y245" s="102" t="s">
        <v>1085</v>
      </c>
      <c r="AF245" s="230"/>
      <c r="AG245" s="230"/>
      <c r="AH245" s="230"/>
      <c r="AI245" s="230"/>
    </row>
    <row r="246">
      <c r="A246" s="102" t="s">
        <v>310</v>
      </c>
      <c r="B246" s="102" t="s">
        <v>2090</v>
      </c>
      <c r="C246" s="229" t="s">
        <v>2091</v>
      </c>
      <c r="D246" s="102" t="s">
        <v>2092</v>
      </c>
      <c r="E246" s="102" t="s">
        <v>513</v>
      </c>
      <c r="F246" s="102" t="s">
        <v>514</v>
      </c>
      <c r="G246" s="102" t="s">
        <v>282</v>
      </c>
      <c r="H246" s="102" t="s">
        <v>283</v>
      </c>
      <c r="I246" s="102" t="s">
        <v>284</v>
      </c>
      <c r="J246" s="102" t="s">
        <v>454</v>
      </c>
      <c r="L246" s="229" t="s">
        <v>2088</v>
      </c>
      <c r="M246" s="229" t="s">
        <v>4141</v>
      </c>
      <c r="O246" s="102">
        <v>1.0</v>
      </c>
      <c r="P246" s="102" t="s">
        <v>435</v>
      </c>
      <c r="S246" s="102">
        <v>0.0</v>
      </c>
      <c r="T246" s="244" t="str">
        <f>IF(ISNUMBER(MATCH(B246, 'Sprint 19'!B:B, 0)), "มาจาก Sprint 19", "")</f>
        <v>มาจาก Sprint 19</v>
      </c>
      <c r="U246" s="244" t="str">
        <f t="array" ref="U246">IF(ISNUMBER(MATCH(B246, 'Sprint 19'!B:B, 0)), INDEX('Sprint 19'!J:J, MATCH(B246, 'Sprint 19'!B:B, 0)), "")</f>
        <v>Ready to Staging</v>
      </c>
      <c r="V246" s="102">
        <v>7200.0</v>
      </c>
      <c r="W246" s="102" t="s">
        <v>1991</v>
      </c>
      <c r="X246" s="102" t="s">
        <v>1992</v>
      </c>
      <c r="Y246" s="102" t="s">
        <v>1085</v>
      </c>
      <c r="AF246" s="230"/>
      <c r="AG246" s="230"/>
      <c r="AH246" s="230"/>
      <c r="AI246" s="230"/>
    </row>
    <row r="247">
      <c r="A247" s="102" t="s">
        <v>310</v>
      </c>
      <c r="B247" s="102" t="s">
        <v>2093</v>
      </c>
      <c r="C247" s="229" t="s">
        <v>2094</v>
      </c>
      <c r="D247" s="102" t="s">
        <v>2095</v>
      </c>
      <c r="E247" s="102" t="s">
        <v>513</v>
      </c>
      <c r="F247" s="102" t="s">
        <v>514</v>
      </c>
      <c r="G247" s="102" t="s">
        <v>282</v>
      </c>
      <c r="H247" s="102" t="s">
        <v>283</v>
      </c>
      <c r="I247" s="102" t="s">
        <v>284</v>
      </c>
      <c r="J247" s="102" t="s">
        <v>454</v>
      </c>
      <c r="L247" s="229" t="s">
        <v>2088</v>
      </c>
      <c r="M247" s="229" t="s">
        <v>4142</v>
      </c>
      <c r="N247" s="229" t="s">
        <v>2096</v>
      </c>
      <c r="O247" s="102">
        <v>2.0</v>
      </c>
      <c r="P247" s="102" t="s">
        <v>435</v>
      </c>
      <c r="S247" s="102">
        <v>0.0</v>
      </c>
      <c r="T247" s="244" t="str">
        <f>IF(ISNUMBER(MATCH(B247, 'Sprint 19'!B:B, 0)), "มาจาก Sprint 19", "")</f>
        <v>มาจาก Sprint 19</v>
      </c>
      <c r="U247" s="244" t="str">
        <f t="array" ref="U247">IF(ISNUMBER(MATCH(B247, 'Sprint 19'!B:B, 0)), INDEX('Sprint 19'!J:J, MATCH(B247, 'Sprint 19'!B:B, 0)), "")</f>
        <v>Ready to Staging</v>
      </c>
      <c r="V247" s="102">
        <v>14400.0</v>
      </c>
      <c r="W247" s="102" t="s">
        <v>1991</v>
      </c>
      <c r="X247" s="102" t="s">
        <v>1992</v>
      </c>
      <c r="Y247" s="102" t="s">
        <v>1085</v>
      </c>
      <c r="AF247" s="230"/>
      <c r="AG247" s="230"/>
      <c r="AH247" s="230"/>
      <c r="AI247" s="230"/>
    </row>
    <row r="248">
      <c r="A248" s="102" t="s">
        <v>310</v>
      </c>
      <c r="B248" s="102" t="s">
        <v>2120</v>
      </c>
      <c r="C248" s="229" t="s">
        <v>2121</v>
      </c>
      <c r="D248" s="102" t="s">
        <v>2122</v>
      </c>
      <c r="E248" s="102" t="s">
        <v>564</v>
      </c>
      <c r="F248" s="102" t="s">
        <v>565</v>
      </c>
      <c r="G248" s="102" t="s">
        <v>282</v>
      </c>
      <c r="H248" s="102" t="s">
        <v>283</v>
      </c>
      <c r="I248" s="102" t="s">
        <v>284</v>
      </c>
      <c r="J248" s="102" t="s">
        <v>454</v>
      </c>
      <c r="L248" s="229" t="s">
        <v>2123</v>
      </c>
      <c r="M248" s="229" t="s">
        <v>4143</v>
      </c>
      <c r="N248" s="229" t="s">
        <v>1352</v>
      </c>
      <c r="O248" s="102">
        <v>5.0</v>
      </c>
      <c r="S248" s="102">
        <v>57600.0</v>
      </c>
      <c r="T248" s="244" t="str">
        <f>IF(ISNUMBER(MATCH(B248, 'Sprint 19'!B:B, 0)), "มาจาก Sprint 19", "")</f>
        <v/>
      </c>
      <c r="U248" s="244" t="str">
        <f t="array" ref="U248">IF(ISNUMBER(MATCH(B248, 'Sprint 19'!B:B, 0)), INDEX('Sprint 19'!J:J, MATCH(B248, 'Sprint 19'!B:B, 0)), "")</f>
        <v/>
      </c>
      <c r="W248" s="102" t="s">
        <v>1085</v>
      </c>
      <c r="AF248" s="230"/>
      <c r="AG248" s="230"/>
      <c r="AH248" s="230"/>
      <c r="AI248" s="230"/>
    </row>
    <row r="249">
      <c r="A249" s="102" t="s">
        <v>332</v>
      </c>
      <c r="B249" s="102" t="s">
        <v>4144</v>
      </c>
      <c r="C249" s="229" t="s">
        <v>4145</v>
      </c>
      <c r="D249" s="102" t="s">
        <v>4146</v>
      </c>
      <c r="E249" s="102" t="s">
        <v>584</v>
      </c>
      <c r="F249" s="102" t="s">
        <v>585</v>
      </c>
      <c r="G249" s="102" t="s">
        <v>316</v>
      </c>
      <c r="H249" s="102" t="s">
        <v>317</v>
      </c>
      <c r="I249" s="102" t="s">
        <v>284</v>
      </c>
      <c r="J249" s="102" t="s">
        <v>1738</v>
      </c>
      <c r="L249" s="229" t="s">
        <v>4147</v>
      </c>
      <c r="M249" s="229" t="s">
        <v>4024</v>
      </c>
      <c r="N249" s="229" t="s">
        <v>4148</v>
      </c>
      <c r="O249" s="102">
        <v>2.0</v>
      </c>
      <c r="P249" s="102" t="s">
        <v>4149</v>
      </c>
      <c r="S249" s="230"/>
      <c r="T249" s="244" t="str">
        <f>IF(ISNUMBER(MATCH(B249, 'Sprint 19'!B:B, 0)), "มาจาก Sprint 19", "")</f>
        <v>มาจาก Sprint 19</v>
      </c>
      <c r="U249" s="244" t="str">
        <f t="array" ref="U249">IF(ISNUMBER(MATCH(B249, 'Sprint 19'!B:B, 0)), INDEX('Sprint 19'!J:J, MATCH(B249, 'Sprint 19'!B:B, 0)), "")</f>
        <v>Resolved</v>
      </c>
      <c r="V249" s="230"/>
      <c r="W249" s="102" t="s">
        <v>4150</v>
      </c>
      <c r="X249" s="102" t="s">
        <v>4005</v>
      </c>
      <c r="Y249" s="102" t="s">
        <v>1979</v>
      </c>
      <c r="AF249" s="230"/>
      <c r="AG249" s="230"/>
      <c r="AH249" s="230"/>
      <c r="AI249" s="230"/>
    </row>
    <row r="250">
      <c r="A250" s="102" t="s">
        <v>310</v>
      </c>
      <c r="B250" s="102" t="s">
        <v>2545</v>
      </c>
      <c r="C250" s="229" t="s">
        <v>2546</v>
      </c>
      <c r="D250" s="102" t="s">
        <v>2547</v>
      </c>
      <c r="E250" s="102" t="s">
        <v>328</v>
      </c>
      <c r="F250" s="102" t="s">
        <v>329</v>
      </c>
      <c r="G250" s="102" t="s">
        <v>282</v>
      </c>
      <c r="H250" s="102" t="s">
        <v>283</v>
      </c>
      <c r="I250" s="102" t="s">
        <v>284</v>
      </c>
      <c r="J250" s="102" t="s">
        <v>678</v>
      </c>
      <c r="L250" s="229" t="s">
        <v>1327</v>
      </c>
      <c r="M250" s="229" t="s">
        <v>4151</v>
      </c>
      <c r="O250" s="102">
        <v>3.0</v>
      </c>
      <c r="S250" s="230"/>
      <c r="T250" s="244" t="str">
        <f>IF(ISNUMBER(MATCH(B250, 'Sprint 19'!B:B, 0)), "มาจาก Sprint 19", "")</f>
        <v/>
      </c>
      <c r="U250" s="244" t="str">
        <f t="array" ref="U250">IF(ISNUMBER(MATCH(B250, 'Sprint 19'!B:B, 0)), INDEX('Sprint 19'!J:J, MATCH(B250, 'Sprint 19'!B:B, 0)), "")</f>
        <v/>
      </c>
      <c r="W250" s="102" t="s">
        <v>1085</v>
      </c>
      <c r="AF250" s="230"/>
      <c r="AG250" s="230"/>
      <c r="AH250" s="230"/>
      <c r="AI250" s="230"/>
    </row>
    <row r="251">
      <c r="A251" s="102" t="s">
        <v>310</v>
      </c>
      <c r="B251" s="102" t="s">
        <v>2548</v>
      </c>
      <c r="C251" s="229" t="s">
        <v>2549</v>
      </c>
      <c r="D251" s="102" t="s">
        <v>2550</v>
      </c>
      <c r="E251" s="102" t="s">
        <v>328</v>
      </c>
      <c r="F251" s="102" t="s">
        <v>329</v>
      </c>
      <c r="G251" s="102" t="s">
        <v>282</v>
      </c>
      <c r="H251" s="102" t="s">
        <v>283</v>
      </c>
      <c r="I251" s="102" t="s">
        <v>284</v>
      </c>
      <c r="J251" s="102" t="s">
        <v>678</v>
      </c>
      <c r="L251" s="229" t="s">
        <v>1327</v>
      </c>
      <c r="M251" s="229" t="s">
        <v>3664</v>
      </c>
      <c r="O251" s="102">
        <v>3.0</v>
      </c>
      <c r="S251" s="230"/>
      <c r="T251" s="244" t="str">
        <f>IF(ISNUMBER(MATCH(B251, 'Sprint 19'!B:B, 0)), "มาจาก Sprint 19", "")</f>
        <v/>
      </c>
      <c r="U251" s="244" t="str">
        <f t="array" ref="U251">IF(ISNUMBER(MATCH(B251, 'Sprint 19'!B:B, 0)), INDEX('Sprint 19'!J:J, MATCH(B251, 'Sprint 19'!B:B, 0)), "")</f>
        <v/>
      </c>
      <c r="W251" s="102" t="s">
        <v>1085</v>
      </c>
      <c r="AF251" s="230"/>
      <c r="AG251" s="230"/>
      <c r="AH251" s="230"/>
      <c r="AI251" s="230"/>
    </row>
    <row r="252">
      <c r="A252" s="102" t="s">
        <v>310</v>
      </c>
      <c r="B252" s="102" t="s">
        <v>2551</v>
      </c>
      <c r="C252" s="229" t="s">
        <v>2552</v>
      </c>
      <c r="D252" s="102" t="s">
        <v>2553</v>
      </c>
      <c r="E252" s="102" t="s">
        <v>328</v>
      </c>
      <c r="F252" s="102" t="s">
        <v>329</v>
      </c>
      <c r="G252" s="102" t="s">
        <v>282</v>
      </c>
      <c r="H252" s="102" t="s">
        <v>283</v>
      </c>
      <c r="I252" s="102" t="s">
        <v>284</v>
      </c>
      <c r="J252" s="102" t="s">
        <v>678</v>
      </c>
      <c r="L252" s="229" t="s">
        <v>1327</v>
      </c>
      <c r="M252" s="229" t="s">
        <v>4152</v>
      </c>
      <c r="O252" s="102">
        <v>3.0</v>
      </c>
      <c r="S252" s="230"/>
      <c r="T252" s="244" t="str">
        <f>IF(ISNUMBER(MATCH(B252, 'Sprint 19'!B:B, 0)), "มาจาก Sprint 19", "")</f>
        <v/>
      </c>
      <c r="U252" s="244" t="str">
        <f t="array" ref="U252">IF(ISNUMBER(MATCH(B252, 'Sprint 19'!B:B, 0)), INDEX('Sprint 19'!J:J, MATCH(B252, 'Sprint 19'!B:B, 0)), "")</f>
        <v/>
      </c>
      <c r="W252" s="102" t="s">
        <v>1085</v>
      </c>
      <c r="AF252" s="230"/>
      <c r="AG252" s="230"/>
      <c r="AH252" s="230"/>
      <c r="AI252" s="230"/>
    </row>
    <row r="253">
      <c r="A253" s="102" t="s">
        <v>310</v>
      </c>
      <c r="B253" s="102" t="s">
        <v>1339</v>
      </c>
      <c r="C253" s="229" t="s">
        <v>1340</v>
      </c>
      <c r="D253" s="102" t="s">
        <v>1341</v>
      </c>
      <c r="E253" s="102" t="s">
        <v>513</v>
      </c>
      <c r="F253" s="102" t="s">
        <v>514</v>
      </c>
      <c r="G253" s="102" t="s">
        <v>282</v>
      </c>
      <c r="H253" s="102" t="s">
        <v>283</v>
      </c>
      <c r="I253" s="102" t="s">
        <v>284</v>
      </c>
      <c r="J253" s="102" t="s">
        <v>678</v>
      </c>
      <c r="L253" s="229" t="s">
        <v>1342</v>
      </c>
      <c r="M253" s="229" t="s">
        <v>4153</v>
      </c>
      <c r="N253" s="229" t="s">
        <v>1343</v>
      </c>
      <c r="O253" s="102">
        <v>5.0</v>
      </c>
      <c r="P253" s="102" t="s">
        <v>1344</v>
      </c>
      <c r="S253" s="102">
        <v>57600.0</v>
      </c>
      <c r="T253" s="244" t="str">
        <f>IF(ISNUMBER(MATCH(B253, 'Sprint 19'!B:B, 0)), "มาจาก Sprint 19", "")</f>
        <v/>
      </c>
      <c r="U253" s="244" t="str">
        <f t="array" ref="U253">IF(ISNUMBER(MATCH(B253, 'Sprint 19'!B:B, 0)), INDEX('Sprint 19'!J:J, MATCH(B253, 'Sprint 19'!B:B, 0)), "")</f>
        <v/>
      </c>
      <c r="W253" s="102" t="s">
        <v>1085</v>
      </c>
      <c r="AF253" s="230"/>
      <c r="AG253" s="230"/>
      <c r="AH253" s="230"/>
      <c r="AI253" s="230"/>
    </row>
    <row r="254">
      <c r="A254" s="102" t="s">
        <v>310</v>
      </c>
      <c r="B254" s="102" t="s">
        <v>1345</v>
      </c>
      <c r="C254" s="229" t="s">
        <v>1346</v>
      </c>
      <c r="D254" s="102" t="s">
        <v>1347</v>
      </c>
      <c r="E254" s="102" t="s">
        <v>513</v>
      </c>
      <c r="F254" s="102" t="s">
        <v>514</v>
      </c>
      <c r="G254" s="102" t="s">
        <v>282</v>
      </c>
      <c r="H254" s="102" t="s">
        <v>283</v>
      </c>
      <c r="I254" s="102" t="s">
        <v>284</v>
      </c>
      <c r="J254" s="102" t="s">
        <v>678</v>
      </c>
      <c r="L254" s="229" t="s">
        <v>1342</v>
      </c>
      <c r="M254" s="229" t="s">
        <v>4154</v>
      </c>
      <c r="O254" s="102">
        <v>3.0</v>
      </c>
      <c r="P254" s="102" t="s">
        <v>1348</v>
      </c>
      <c r="S254" s="102">
        <v>28800.0</v>
      </c>
      <c r="T254" s="244" t="str">
        <f>IF(ISNUMBER(MATCH(B254, 'Sprint 19'!B:B, 0)), "มาจาก Sprint 19", "")</f>
        <v/>
      </c>
      <c r="U254" s="244" t="str">
        <f t="array" ref="U254">IF(ISNUMBER(MATCH(B254, 'Sprint 19'!B:B, 0)), INDEX('Sprint 19'!J:J, MATCH(B254, 'Sprint 19'!B:B, 0)), "")</f>
        <v/>
      </c>
      <c r="W254" s="102" t="s">
        <v>1085</v>
      </c>
      <c r="AF254" s="230"/>
      <c r="AG254" s="230"/>
      <c r="AH254" s="230"/>
      <c r="AI254" s="230"/>
    </row>
    <row r="255">
      <c r="A255" s="102" t="s">
        <v>310</v>
      </c>
      <c r="B255" s="102" t="s">
        <v>1349</v>
      </c>
      <c r="C255" s="229" t="s">
        <v>1350</v>
      </c>
      <c r="D255" s="102" t="s">
        <v>1351</v>
      </c>
      <c r="E255" s="102" t="s">
        <v>556</v>
      </c>
      <c r="F255" s="102" t="s">
        <v>557</v>
      </c>
      <c r="G255" s="102" t="s">
        <v>282</v>
      </c>
      <c r="H255" s="102" t="s">
        <v>283</v>
      </c>
      <c r="I255" s="102" t="s">
        <v>284</v>
      </c>
      <c r="J255" s="102" t="s">
        <v>678</v>
      </c>
      <c r="L255" s="229" t="s">
        <v>1342</v>
      </c>
      <c r="M255" s="229" t="s">
        <v>4155</v>
      </c>
      <c r="N255" s="229" t="s">
        <v>1352</v>
      </c>
      <c r="O255" s="102">
        <v>2.0</v>
      </c>
      <c r="P255" s="102" t="s">
        <v>1348</v>
      </c>
      <c r="S255" s="230"/>
      <c r="T255" s="244" t="str">
        <f>IF(ISNUMBER(MATCH(B255, 'Sprint 19'!B:B, 0)), "มาจาก Sprint 19", "")</f>
        <v/>
      </c>
      <c r="U255" s="244" t="str">
        <f t="array" ref="U255">IF(ISNUMBER(MATCH(B255, 'Sprint 19'!B:B, 0)), INDEX('Sprint 19'!J:J, MATCH(B255, 'Sprint 19'!B:B, 0)), "")</f>
        <v/>
      </c>
      <c r="W255" s="102" t="s">
        <v>1085</v>
      </c>
      <c r="AF255" s="230"/>
      <c r="AG255" s="230"/>
      <c r="AH255" s="230"/>
      <c r="AI255" s="230"/>
    </row>
    <row r="256">
      <c r="A256" s="102" t="s">
        <v>310</v>
      </c>
      <c r="B256" s="102" t="s">
        <v>1353</v>
      </c>
      <c r="C256" s="229" t="s">
        <v>1354</v>
      </c>
      <c r="D256" s="102" t="s">
        <v>1355</v>
      </c>
      <c r="E256" s="102" t="s">
        <v>513</v>
      </c>
      <c r="F256" s="102" t="s">
        <v>514</v>
      </c>
      <c r="G256" s="102" t="s">
        <v>282</v>
      </c>
      <c r="H256" s="102" t="s">
        <v>283</v>
      </c>
      <c r="I256" s="102" t="s">
        <v>284</v>
      </c>
      <c r="J256" s="102" t="s">
        <v>678</v>
      </c>
      <c r="L256" s="229" t="s">
        <v>1342</v>
      </c>
      <c r="M256" s="229" t="s">
        <v>4156</v>
      </c>
      <c r="N256" s="229" t="s">
        <v>1356</v>
      </c>
      <c r="O256" s="102">
        <v>3.0</v>
      </c>
      <c r="P256" s="102" t="s">
        <v>1348</v>
      </c>
      <c r="S256" s="102">
        <v>28800.0</v>
      </c>
      <c r="T256" s="244" t="str">
        <f>IF(ISNUMBER(MATCH(B256, 'Sprint 19'!B:B, 0)), "มาจาก Sprint 19", "")</f>
        <v/>
      </c>
      <c r="U256" s="244" t="str">
        <f t="array" ref="U256">IF(ISNUMBER(MATCH(B256, 'Sprint 19'!B:B, 0)), INDEX('Sprint 19'!J:J, MATCH(B256, 'Sprint 19'!B:B, 0)), "")</f>
        <v/>
      </c>
      <c r="W256" s="102" t="s">
        <v>1085</v>
      </c>
      <c r="AF256" s="230"/>
      <c r="AG256" s="230"/>
      <c r="AH256" s="230"/>
      <c r="AI256" s="230"/>
    </row>
    <row r="257">
      <c r="A257" s="102" t="s">
        <v>310</v>
      </c>
      <c r="B257" s="102" t="s">
        <v>4157</v>
      </c>
      <c r="C257" s="229" t="s">
        <v>4158</v>
      </c>
      <c r="D257" s="102" t="s">
        <v>4159</v>
      </c>
      <c r="E257" s="102" t="s">
        <v>584</v>
      </c>
      <c r="F257" s="102" t="s">
        <v>585</v>
      </c>
      <c r="G257" s="102" t="s">
        <v>353</v>
      </c>
      <c r="H257" s="102" t="s">
        <v>354</v>
      </c>
      <c r="I257" s="102" t="s">
        <v>284</v>
      </c>
      <c r="J257" s="102" t="s">
        <v>26</v>
      </c>
      <c r="L257" s="229" t="s">
        <v>4160</v>
      </c>
      <c r="M257" s="229" t="s">
        <v>4161</v>
      </c>
      <c r="O257" s="102">
        <v>2.0</v>
      </c>
      <c r="P257" s="102" t="s">
        <v>593</v>
      </c>
      <c r="Q257" s="102" t="s">
        <v>1855</v>
      </c>
      <c r="S257" s="102">
        <v>0.0</v>
      </c>
      <c r="T257" s="244" t="str">
        <f>IF(ISNUMBER(MATCH(B257, 'Sprint 19'!B:B, 0)), "มาจาก Sprint 19", "")</f>
        <v>มาจาก Sprint 19</v>
      </c>
      <c r="U257" s="244" t="str">
        <f t="array" ref="U257">IF(ISNUMBER(MATCH(B257, 'Sprint 19'!B:B, 0)), INDEX('Sprint 19'!J:J, MATCH(B257, 'Sprint 19'!B:B, 0)), "")</f>
        <v>Ready to Staging</v>
      </c>
      <c r="V257" s="102">
        <v>14400.0</v>
      </c>
      <c r="W257" s="102" t="s">
        <v>3035</v>
      </c>
      <c r="X257" s="102" t="s">
        <v>3036</v>
      </c>
      <c r="Y257" s="102" t="s">
        <v>3037</v>
      </c>
      <c r="Z257" s="102" t="s">
        <v>3038</v>
      </c>
      <c r="AF257" s="230"/>
      <c r="AG257" s="230"/>
      <c r="AH257" s="230"/>
      <c r="AI257" s="230"/>
    </row>
    <row r="258">
      <c r="A258" s="102" t="s">
        <v>310</v>
      </c>
      <c r="B258" s="102" t="s">
        <v>3216</v>
      </c>
      <c r="C258" s="229" t="s">
        <v>3217</v>
      </c>
      <c r="D258" s="102" t="s">
        <v>3218</v>
      </c>
      <c r="E258" s="102" t="s">
        <v>513</v>
      </c>
      <c r="F258" s="102" t="s">
        <v>514</v>
      </c>
      <c r="G258" s="102" t="s">
        <v>282</v>
      </c>
      <c r="H258" s="102" t="s">
        <v>283</v>
      </c>
      <c r="I258" s="102" t="s">
        <v>284</v>
      </c>
      <c r="J258" s="102" t="s">
        <v>678</v>
      </c>
      <c r="L258" s="229" t="s">
        <v>3219</v>
      </c>
      <c r="M258" s="229" t="s">
        <v>4162</v>
      </c>
      <c r="O258" s="102">
        <v>3.0</v>
      </c>
      <c r="S258" s="230"/>
      <c r="T258" s="244" t="str">
        <f>IF(ISNUMBER(MATCH(B258, 'Sprint 19'!B:B, 0)), "มาจาก Sprint 19", "")</f>
        <v/>
      </c>
      <c r="U258" s="244" t="str">
        <f t="array" ref="U258">IF(ISNUMBER(MATCH(B258, 'Sprint 19'!B:B, 0)), INDEX('Sprint 19'!J:J, MATCH(B258, 'Sprint 19'!B:B, 0)), "")</f>
        <v/>
      </c>
      <c r="W258" s="102" t="s">
        <v>1085</v>
      </c>
      <c r="AF258" s="230"/>
      <c r="AG258" s="230"/>
      <c r="AH258" s="230"/>
      <c r="AI258" s="230"/>
    </row>
    <row r="259">
      <c r="A259" s="102" t="s">
        <v>310</v>
      </c>
      <c r="B259" s="102" t="s">
        <v>3220</v>
      </c>
      <c r="C259" s="229" t="s">
        <v>3221</v>
      </c>
      <c r="D259" s="102" t="s">
        <v>3222</v>
      </c>
      <c r="E259" s="102" t="s">
        <v>513</v>
      </c>
      <c r="F259" s="102" t="s">
        <v>514</v>
      </c>
      <c r="G259" s="102" t="s">
        <v>282</v>
      </c>
      <c r="H259" s="102" t="s">
        <v>283</v>
      </c>
      <c r="I259" s="102" t="s">
        <v>284</v>
      </c>
      <c r="J259" s="102" t="s">
        <v>678</v>
      </c>
      <c r="L259" s="229" t="s">
        <v>3223</v>
      </c>
      <c r="M259" s="229" t="s">
        <v>4163</v>
      </c>
      <c r="N259" s="229" t="s">
        <v>2054</v>
      </c>
      <c r="O259" s="102">
        <v>3.0</v>
      </c>
      <c r="P259" s="102" t="s">
        <v>473</v>
      </c>
      <c r="S259" s="102">
        <v>28800.0</v>
      </c>
      <c r="T259" s="244" t="str">
        <f>IF(ISNUMBER(MATCH(B259, 'Sprint 19'!B:B, 0)), "มาจาก Sprint 19", "")</f>
        <v/>
      </c>
      <c r="U259" s="244" t="str">
        <f t="array" ref="U259">IF(ISNUMBER(MATCH(B259, 'Sprint 19'!B:B, 0)), INDEX('Sprint 19'!J:J, MATCH(B259, 'Sprint 19'!B:B, 0)), "")</f>
        <v/>
      </c>
      <c r="W259" s="102" t="s">
        <v>1085</v>
      </c>
      <c r="AF259" s="230"/>
      <c r="AG259" s="230"/>
      <c r="AH259" s="230"/>
      <c r="AI259" s="230"/>
    </row>
    <row r="260">
      <c r="A260" s="102" t="s">
        <v>310</v>
      </c>
      <c r="B260" s="102" t="s">
        <v>3224</v>
      </c>
      <c r="C260" s="229" t="s">
        <v>3225</v>
      </c>
      <c r="D260" s="102" t="s">
        <v>3226</v>
      </c>
      <c r="E260" s="102" t="s">
        <v>328</v>
      </c>
      <c r="F260" s="102" t="s">
        <v>329</v>
      </c>
      <c r="G260" s="102" t="s">
        <v>282</v>
      </c>
      <c r="H260" s="102" t="s">
        <v>283</v>
      </c>
      <c r="I260" s="102" t="s">
        <v>284</v>
      </c>
      <c r="J260" s="102" t="s">
        <v>678</v>
      </c>
      <c r="L260" s="229" t="s">
        <v>3223</v>
      </c>
      <c r="M260" s="229" t="s">
        <v>4164</v>
      </c>
      <c r="O260" s="102">
        <v>3.0</v>
      </c>
      <c r="S260" s="230"/>
      <c r="T260" s="244" t="str">
        <f>IF(ISNUMBER(MATCH(B260, 'Sprint 19'!B:B, 0)), "มาจาก Sprint 19", "")</f>
        <v/>
      </c>
      <c r="U260" s="244" t="str">
        <f t="array" ref="U260">IF(ISNUMBER(MATCH(B260, 'Sprint 19'!B:B, 0)), INDEX('Sprint 19'!J:J, MATCH(B260, 'Sprint 19'!B:B, 0)), "")</f>
        <v/>
      </c>
      <c r="W260" s="102" t="s">
        <v>1085</v>
      </c>
      <c r="AF260" s="230"/>
      <c r="AG260" s="230"/>
      <c r="AH260" s="230"/>
      <c r="AI260" s="230"/>
    </row>
    <row r="261">
      <c r="A261" s="102" t="s">
        <v>310</v>
      </c>
      <c r="B261" s="102" t="s">
        <v>3228</v>
      </c>
      <c r="C261" s="229" t="s">
        <v>3229</v>
      </c>
      <c r="D261" s="102" t="s">
        <v>3230</v>
      </c>
      <c r="E261" s="102" t="s">
        <v>513</v>
      </c>
      <c r="F261" s="102" t="s">
        <v>514</v>
      </c>
      <c r="G261" s="102" t="s">
        <v>282</v>
      </c>
      <c r="H261" s="102" t="s">
        <v>283</v>
      </c>
      <c r="I261" s="102" t="s">
        <v>284</v>
      </c>
      <c r="J261" s="102" t="s">
        <v>678</v>
      </c>
      <c r="L261" s="229" t="s">
        <v>3223</v>
      </c>
      <c r="M261" s="229" t="s">
        <v>4165</v>
      </c>
      <c r="N261" s="229" t="s">
        <v>1352</v>
      </c>
      <c r="O261" s="102">
        <v>3.0</v>
      </c>
      <c r="P261" s="102" t="s">
        <v>473</v>
      </c>
      <c r="S261" s="102">
        <v>28800.0</v>
      </c>
      <c r="T261" s="244" t="str">
        <f>IF(ISNUMBER(MATCH(B261, 'Sprint 19'!B:B, 0)), "มาจาก Sprint 19", "")</f>
        <v/>
      </c>
      <c r="U261" s="244" t="str">
        <f t="array" ref="U261">IF(ISNUMBER(MATCH(B261, 'Sprint 19'!B:B, 0)), INDEX('Sprint 19'!J:J, MATCH(B261, 'Sprint 19'!B:B, 0)), "")</f>
        <v/>
      </c>
      <c r="W261" s="102" t="s">
        <v>1085</v>
      </c>
      <c r="AF261" s="230"/>
      <c r="AG261" s="230"/>
      <c r="AH261" s="230"/>
      <c r="AI261" s="230"/>
    </row>
    <row r="262">
      <c r="A262" s="102" t="s">
        <v>310</v>
      </c>
      <c r="B262" s="102" t="s">
        <v>2156</v>
      </c>
      <c r="C262" s="229" t="s">
        <v>2157</v>
      </c>
      <c r="D262" s="102" t="s">
        <v>2158</v>
      </c>
      <c r="E262" s="102" t="s">
        <v>556</v>
      </c>
      <c r="F262" s="102" t="s">
        <v>557</v>
      </c>
      <c r="G262" s="102" t="s">
        <v>282</v>
      </c>
      <c r="H262" s="102" t="s">
        <v>283</v>
      </c>
      <c r="I262" s="102" t="s">
        <v>648</v>
      </c>
      <c r="J262" s="102" t="s">
        <v>454</v>
      </c>
      <c r="L262" s="229" t="s">
        <v>2159</v>
      </c>
      <c r="M262" s="229" t="s">
        <v>4029</v>
      </c>
      <c r="O262" s="102">
        <v>5.0</v>
      </c>
      <c r="P262" s="102" t="s">
        <v>593</v>
      </c>
      <c r="Q262" s="102" t="s">
        <v>435</v>
      </c>
      <c r="S262" s="102">
        <v>0.0</v>
      </c>
      <c r="T262" s="244" t="str">
        <f>IF(ISNUMBER(MATCH(B262, 'Sprint 19'!B:B, 0)), "มาจาก Sprint 19", "")</f>
        <v>มาจาก Sprint 19</v>
      </c>
      <c r="U262" s="244" t="str">
        <f t="array" ref="U262">IF(ISNUMBER(MATCH(B262, 'Sprint 19'!B:B, 0)), INDEX('Sprint 19'!J:J, MATCH(B262, 'Sprint 19'!B:B, 0)), "")</f>
        <v>Ready to Staging</v>
      </c>
      <c r="V262" s="102">
        <v>57600.0</v>
      </c>
      <c r="W262" s="102" t="s">
        <v>1991</v>
      </c>
      <c r="X262" s="102" t="s">
        <v>1992</v>
      </c>
      <c r="Y262" s="102" t="s">
        <v>1085</v>
      </c>
      <c r="AF262" s="230"/>
      <c r="AG262" s="230"/>
      <c r="AH262" s="230"/>
      <c r="AI262" s="230"/>
    </row>
    <row r="263">
      <c r="A263" s="102" t="s">
        <v>310</v>
      </c>
      <c r="B263" s="102" t="s">
        <v>4166</v>
      </c>
      <c r="C263" s="229" t="s">
        <v>4167</v>
      </c>
      <c r="D263" s="102" t="s">
        <v>4168</v>
      </c>
      <c r="E263" s="102" t="s">
        <v>556</v>
      </c>
      <c r="F263" s="102" t="s">
        <v>557</v>
      </c>
      <c r="G263" s="102" t="s">
        <v>282</v>
      </c>
      <c r="H263" s="102" t="s">
        <v>283</v>
      </c>
      <c r="I263" s="102" t="s">
        <v>284</v>
      </c>
      <c r="J263" s="102" t="s">
        <v>26</v>
      </c>
      <c r="L263" s="229" t="s">
        <v>2159</v>
      </c>
      <c r="M263" s="229" t="s">
        <v>3945</v>
      </c>
      <c r="O263" s="102">
        <v>2.0</v>
      </c>
      <c r="P263" s="102" t="s">
        <v>435</v>
      </c>
      <c r="S263" s="102">
        <v>0.0</v>
      </c>
      <c r="T263" s="244" t="str">
        <f>IF(ISNUMBER(MATCH(B263, 'Sprint 19'!B:B, 0)), "มาจาก Sprint 19", "")</f>
        <v>มาจาก Sprint 19</v>
      </c>
      <c r="U263" s="244" t="str">
        <f t="array" ref="U263">IF(ISNUMBER(MATCH(B263, 'Sprint 19'!B:B, 0)), INDEX('Sprint 19'!J:J, MATCH(B263, 'Sprint 19'!B:B, 0)), "")</f>
        <v>Ready to Staging</v>
      </c>
      <c r="V263" s="102">
        <v>14400.0</v>
      </c>
      <c r="W263" s="102" t="s">
        <v>1991</v>
      </c>
      <c r="X263" s="102" t="s">
        <v>1992</v>
      </c>
      <c r="Y263" s="102" t="s">
        <v>1085</v>
      </c>
      <c r="AF263" s="230"/>
      <c r="AG263" s="230"/>
      <c r="AH263" s="230"/>
      <c r="AI263" s="230"/>
    </row>
    <row r="264">
      <c r="A264" s="102" t="s">
        <v>310</v>
      </c>
      <c r="B264" s="102" t="s">
        <v>4169</v>
      </c>
      <c r="C264" s="229" t="s">
        <v>4170</v>
      </c>
      <c r="D264" s="102" t="s">
        <v>4171</v>
      </c>
      <c r="E264" s="102" t="s">
        <v>556</v>
      </c>
      <c r="F264" s="102" t="s">
        <v>557</v>
      </c>
      <c r="G264" s="102" t="s">
        <v>282</v>
      </c>
      <c r="H264" s="102" t="s">
        <v>283</v>
      </c>
      <c r="I264" s="102" t="s">
        <v>284</v>
      </c>
      <c r="J264" s="102" t="s">
        <v>26</v>
      </c>
      <c r="L264" s="229" t="s">
        <v>2159</v>
      </c>
      <c r="M264" s="229" t="s">
        <v>3945</v>
      </c>
      <c r="O264" s="102">
        <v>2.0</v>
      </c>
      <c r="P264" s="102" t="s">
        <v>435</v>
      </c>
      <c r="S264" s="102">
        <v>0.0</v>
      </c>
      <c r="T264" s="244" t="str">
        <f>IF(ISNUMBER(MATCH(B264, 'Sprint 19'!B:B, 0)), "มาจาก Sprint 19", "")</f>
        <v>มาจาก Sprint 19</v>
      </c>
      <c r="U264" s="244" t="str">
        <f t="array" ref="U264">IF(ISNUMBER(MATCH(B264, 'Sprint 19'!B:B, 0)), INDEX('Sprint 19'!J:J, MATCH(B264, 'Sprint 19'!B:B, 0)), "")</f>
        <v>Ready to Staging</v>
      </c>
      <c r="V264" s="102">
        <v>14400.0</v>
      </c>
      <c r="W264" s="102" t="s">
        <v>1991</v>
      </c>
      <c r="X264" s="102" t="s">
        <v>1992</v>
      </c>
      <c r="Y264" s="102" t="s">
        <v>1085</v>
      </c>
      <c r="AF264" s="230"/>
      <c r="AG264" s="230"/>
      <c r="AH264" s="230"/>
      <c r="AI264" s="230"/>
    </row>
    <row r="265">
      <c r="A265" s="102" t="s">
        <v>310</v>
      </c>
      <c r="B265" s="102" t="s">
        <v>4172</v>
      </c>
      <c r="C265" s="229" t="s">
        <v>4173</v>
      </c>
      <c r="D265" s="102" t="s">
        <v>4174</v>
      </c>
      <c r="E265" s="102" t="s">
        <v>556</v>
      </c>
      <c r="F265" s="102" t="s">
        <v>557</v>
      </c>
      <c r="G265" s="102" t="s">
        <v>282</v>
      </c>
      <c r="H265" s="102" t="s">
        <v>283</v>
      </c>
      <c r="I265" s="102" t="s">
        <v>284</v>
      </c>
      <c r="J265" s="102" t="s">
        <v>26</v>
      </c>
      <c r="L265" s="229" t="s">
        <v>4175</v>
      </c>
      <c r="M265" s="229" t="s">
        <v>3945</v>
      </c>
      <c r="N265" s="229" t="s">
        <v>2165</v>
      </c>
      <c r="O265" s="102">
        <v>1.0</v>
      </c>
      <c r="P265" s="102" t="s">
        <v>435</v>
      </c>
      <c r="S265" s="102">
        <v>0.0</v>
      </c>
      <c r="T265" s="244" t="str">
        <f>IF(ISNUMBER(MATCH(B265, 'Sprint 19'!B:B, 0)), "มาจาก Sprint 19", "")</f>
        <v>มาจาก Sprint 19</v>
      </c>
      <c r="U265" s="244" t="str">
        <f t="array" ref="U265">IF(ISNUMBER(MATCH(B265, 'Sprint 19'!B:B, 0)), INDEX('Sprint 19'!J:J, MATCH(B265, 'Sprint 19'!B:B, 0)), "")</f>
        <v>Ready to Staging</v>
      </c>
      <c r="V265" s="102">
        <v>7200.0</v>
      </c>
      <c r="W265" s="102" t="s">
        <v>1991</v>
      </c>
      <c r="X265" s="102" t="s">
        <v>1992</v>
      </c>
      <c r="Y265" s="102" t="s">
        <v>1085</v>
      </c>
      <c r="AF265" s="230"/>
      <c r="AG265" s="230"/>
      <c r="AH265" s="230"/>
      <c r="AI265" s="230"/>
    </row>
    <row r="266">
      <c r="A266" s="102" t="s">
        <v>310</v>
      </c>
      <c r="B266" s="102" t="s">
        <v>4176</v>
      </c>
      <c r="C266" s="229" t="s">
        <v>4177</v>
      </c>
      <c r="D266" s="102" t="s">
        <v>4178</v>
      </c>
      <c r="E266" s="102" t="s">
        <v>556</v>
      </c>
      <c r="F266" s="102" t="s">
        <v>557</v>
      </c>
      <c r="G266" s="102" t="s">
        <v>282</v>
      </c>
      <c r="H266" s="102" t="s">
        <v>283</v>
      </c>
      <c r="I266" s="102" t="s">
        <v>284</v>
      </c>
      <c r="J266" s="102" t="s">
        <v>26</v>
      </c>
      <c r="L266" s="229" t="s">
        <v>2164</v>
      </c>
      <c r="M266" s="229" t="s">
        <v>3940</v>
      </c>
      <c r="O266" s="102">
        <v>1.0</v>
      </c>
      <c r="P266" s="102" t="s">
        <v>435</v>
      </c>
      <c r="S266" s="102">
        <v>0.0</v>
      </c>
      <c r="T266" s="244" t="str">
        <f>IF(ISNUMBER(MATCH(B266, 'Sprint 19'!B:B, 0)), "มาจาก Sprint 19", "")</f>
        <v>มาจาก Sprint 19</v>
      </c>
      <c r="U266" s="244" t="str">
        <f t="array" ref="U266">IF(ISNUMBER(MATCH(B266, 'Sprint 19'!B:B, 0)), INDEX('Sprint 19'!J:J, MATCH(B266, 'Sprint 19'!B:B, 0)), "")</f>
        <v>Ready to Staging</v>
      </c>
      <c r="V266" s="102">
        <v>7200.0</v>
      </c>
      <c r="W266" s="102" t="s">
        <v>1991</v>
      </c>
      <c r="X266" s="102" t="s">
        <v>1992</v>
      </c>
      <c r="Y266" s="102" t="s">
        <v>1085</v>
      </c>
      <c r="AF266" s="230"/>
      <c r="AG266" s="230"/>
      <c r="AH266" s="230"/>
      <c r="AI266" s="230"/>
    </row>
    <row r="267">
      <c r="A267" s="102" t="s">
        <v>310</v>
      </c>
      <c r="B267" s="102" t="s">
        <v>4179</v>
      </c>
      <c r="C267" s="229" t="s">
        <v>4180</v>
      </c>
      <c r="D267" s="102" t="s">
        <v>4181</v>
      </c>
      <c r="E267" s="102" t="s">
        <v>556</v>
      </c>
      <c r="F267" s="102" t="s">
        <v>557</v>
      </c>
      <c r="G267" s="102" t="s">
        <v>282</v>
      </c>
      <c r="H267" s="102" t="s">
        <v>283</v>
      </c>
      <c r="I267" s="102" t="s">
        <v>284</v>
      </c>
      <c r="J267" s="102" t="s">
        <v>26</v>
      </c>
      <c r="L267" s="229" t="s">
        <v>2164</v>
      </c>
      <c r="M267" s="229" t="s">
        <v>4182</v>
      </c>
      <c r="O267" s="102">
        <v>2.0</v>
      </c>
      <c r="P267" s="102" t="s">
        <v>435</v>
      </c>
      <c r="S267" s="230"/>
      <c r="T267" s="244" t="str">
        <f>IF(ISNUMBER(MATCH(B267, 'Sprint 19'!B:B, 0)), "มาจาก Sprint 19", "")</f>
        <v>มาจาก Sprint 19</v>
      </c>
      <c r="U267" s="244" t="str">
        <f t="array" ref="U267">IF(ISNUMBER(MATCH(B267, 'Sprint 19'!B:B, 0)), INDEX('Sprint 19'!J:J, MATCH(B267, 'Sprint 19'!B:B, 0)), "")</f>
        <v>Ready to Staging</v>
      </c>
      <c r="V267" s="230"/>
      <c r="W267" s="102" t="s">
        <v>1991</v>
      </c>
      <c r="X267" s="102" t="s">
        <v>1992</v>
      </c>
      <c r="Y267" s="102" t="s">
        <v>1085</v>
      </c>
      <c r="Z267" s="230"/>
      <c r="AA267" s="230"/>
      <c r="AB267" s="230"/>
      <c r="AC267" s="230"/>
      <c r="AD267" s="230"/>
      <c r="AE267" s="230"/>
      <c r="AF267" s="230"/>
      <c r="AG267" s="230"/>
      <c r="AH267" s="230"/>
      <c r="AI267" s="230"/>
    </row>
    <row r="268">
      <c r="A268" s="102" t="s">
        <v>310</v>
      </c>
      <c r="B268" s="102" t="s">
        <v>2161</v>
      </c>
      <c r="C268" s="229" t="s">
        <v>2162</v>
      </c>
      <c r="D268" s="102" t="s">
        <v>2163</v>
      </c>
      <c r="E268" s="102" t="s">
        <v>556</v>
      </c>
      <c r="F268" s="102" t="s">
        <v>557</v>
      </c>
      <c r="G268" s="102" t="s">
        <v>282</v>
      </c>
      <c r="H268" s="102" t="s">
        <v>283</v>
      </c>
      <c r="I268" s="102" t="s">
        <v>284</v>
      </c>
      <c r="J268" s="102" t="s">
        <v>454</v>
      </c>
      <c r="L268" s="229" t="s">
        <v>2164</v>
      </c>
      <c r="M268" s="229" t="s">
        <v>4183</v>
      </c>
      <c r="N268" s="229" t="s">
        <v>2165</v>
      </c>
      <c r="O268" s="102">
        <v>1.0</v>
      </c>
      <c r="P268" s="102" t="s">
        <v>435</v>
      </c>
      <c r="S268" s="102">
        <v>0.0</v>
      </c>
      <c r="T268" s="244" t="str">
        <f>IF(ISNUMBER(MATCH(B268, 'Sprint 19'!B:B, 0)), "มาจาก Sprint 19", "")</f>
        <v>มาจาก Sprint 19</v>
      </c>
      <c r="U268" s="244" t="str">
        <f t="array" ref="U268">IF(ISNUMBER(MATCH(B268, 'Sprint 19'!B:B, 0)), INDEX('Sprint 19'!J:J, MATCH(B268, 'Sprint 19'!B:B, 0)), "")</f>
        <v>Ready to Staging</v>
      </c>
      <c r="V268" s="102">
        <v>7200.0</v>
      </c>
      <c r="W268" s="102" t="s">
        <v>1991</v>
      </c>
      <c r="X268" s="102" t="s">
        <v>1992</v>
      </c>
      <c r="Y268" s="102" t="s">
        <v>1085</v>
      </c>
      <c r="Z268" s="230"/>
      <c r="AA268" s="230"/>
      <c r="AB268" s="230"/>
      <c r="AC268" s="230"/>
      <c r="AD268" s="230"/>
      <c r="AE268" s="230"/>
      <c r="AF268" s="230"/>
      <c r="AG268" s="230"/>
      <c r="AH268" s="230"/>
      <c r="AI268" s="230"/>
    </row>
    <row r="269">
      <c r="A269" s="102" t="s">
        <v>310</v>
      </c>
      <c r="B269" s="102" t="s">
        <v>3231</v>
      </c>
      <c r="C269" s="229" t="s">
        <v>3232</v>
      </c>
      <c r="D269" s="102" t="s">
        <v>3233</v>
      </c>
      <c r="E269" s="102" t="s">
        <v>495</v>
      </c>
      <c r="F269" s="102" t="s">
        <v>496</v>
      </c>
      <c r="G269" s="102" t="s">
        <v>282</v>
      </c>
      <c r="H269" s="102" t="s">
        <v>283</v>
      </c>
      <c r="I269" s="102" t="s">
        <v>284</v>
      </c>
      <c r="J269" s="102" t="s">
        <v>678</v>
      </c>
      <c r="L269" s="229" t="s">
        <v>3234</v>
      </c>
      <c r="M269" s="229" t="s">
        <v>4122</v>
      </c>
      <c r="N269" s="229" t="s">
        <v>1352</v>
      </c>
      <c r="O269" s="102">
        <v>3.0</v>
      </c>
      <c r="P269" s="102" t="s">
        <v>473</v>
      </c>
      <c r="S269" s="102">
        <v>28800.0</v>
      </c>
      <c r="T269" s="244" t="str">
        <f>IF(ISNUMBER(MATCH(B269, 'Sprint 19'!B:B, 0)), "มาจาก Sprint 19", "")</f>
        <v/>
      </c>
      <c r="U269" s="244" t="str">
        <f t="array" ref="U269">IF(ISNUMBER(MATCH(B269, 'Sprint 19'!B:B, 0)), INDEX('Sprint 19'!J:J, MATCH(B269, 'Sprint 19'!B:B, 0)), "")</f>
        <v/>
      </c>
      <c r="W269" s="102" t="s">
        <v>1085</v>
      </c>
      <c r="X269" s="230"/>
      <c r="Y269" s="230"/>
      <c r="Z269" s="230"/>
      <c r="AA269" s="230"/>
      <c r="AB269" s="230"/>
      <c r="AC269" s="230"/>
      <c r="AD269" s="230"/>
      <c r="AE269" s="230"/>
      <c r="AF269" s="230"/>
      <c r="AG269" s="230"/>
      <c r="AH269" s="230"/>
      <c r="AI269" s="230"/>
    </row>
    <row r="270">
      <c r="A270" s="102" t="s">
        <v>310</v>
      </c>
      <c r="B270" s="102" t="s">
        <v>3236</v>
      </c>
      <c r="C270" s="229" t="s">
        <v>3237</v>
      </c>
      <c r="D270" s="102" t="s">
        <v>3238</v>
      </c>
      <c r="E270" s="102" t="s">
        <v>495</v>
      </c>
      <c r="F270" s="102" t="s">
        <v>496</v>
      </c>
      <c r="G270" s="102" t="s">
        <v>282</v>
      </c>
      <c r="H270" s="102" t="s">
        <v>283</v>
      </c>
      <c r="I270" s="102" t="s">
        <v>284</v>
      </c>
      <c r="J270" s="102" t="s">
        <v>678</v>
      </c>
      <c r="L270" s="229" t="s">
        <v>3234</v>
      </c>
      <c r="M270" s="229" t="s">
        <v>4122</v>
      </c>
      <c r="N270" s="229" t="s">
        <v>1352</v>
      </c>
      <c r="O270" s="102">
        <v>5.0</v>
      </c>
      <c r="P270" s="102" t="s">
        <v>473</v>
      </c>
      <c r="S270" s="102">
        <v>57600.0</v>
      </c>
      <c r="T270" s="244" t="str">
        <f>IF(ISNUMBER(MATCH(B270, 'Sprint 19'!B:B, 0)), "มาจาก Sprint 19", "")</f>
        <v/>
      </c>
      <c r="U270" s="244" t="str">
        <f t="array" ref="U270">IF(ISNUMBER(MATCH(B270, 'Sprint 19'!B:B, 0)), INDEX('Sprint 19'!J:J, MATCH(B270, 'Sprint 19'!B:B, 0)), "")</f>
        <v/>
      </c>
      <c r="W270" s="102" t="s">
        <v>1085</v>
      </c>
      <c r="X270" s="230"/>
      <c r="Y270" s="230"/>
      <c r="Z270" s="230"/>
      <c r="AA270" s="230"/>
      <c r="AB270" s="230"/>
      <c r="AC270" s="230"/>
      <c r="AD270" s="230"/>
      <c r="AE270" s="230"/>
      <c r="AF270" s="230"/>
      <c r="AG270" s="230"/>
      <c r="AH270" s="230"/>
      <c r="AI270" s="230"/>
    </row>
    <row r="271">
      <c r="A271" s="102" t="s">
        <v>310</v>
      </c>
      <c r="B271" s="102" t="s">
        <v>3022</v>
      </c>
      <c r="C271" s="229" t="s">
        <v>3023</v>
      </c>
      <c r="D271" s="102" t="s">
        <v>3024</v>
      </c>
      <c r="E271" s="102" t="s">
        <v>495</v>
      </c>
      <c r="F271" s="102" t="s">
        <v>496</v>
      </c>
      <c r="G271" s="102" t="s">
        <v>282</v>
      </c>
      <c r="H271" s="102" t="s">
        <v>283</v>
      </c>
      <c r="I271" s="102" t="s">
        <v>284</v>
      </c>
      <c r="J271" s="102" t="s">
        <v>454</v>
      </c>
      <c r="L271" s="229" t="s">
        <v>3025</v>
      </c>
      <c r="M271" s="229" t="s">
        <v>4122</v>
      </c>
      <c r="N271" s="229" t="s">
        <v>3026</v>
      </c>
      <c r="O271" s="102">
        <v>3.0</v>
      </c>
      <c r="P271" s="102" t="s">
        <v>473</v>
      </c>
      <c r="S271" s="102">
        <v>28800.0</v>
      </c>
      <c r="T271" s="244" t="str">
        <f>IF(ISNUMBER(MATCH(B271, 'Sprint 19'!B:B, 0)), "มาจาก Sprint 19", "")</f>
        <v/>
      </c>
      <c r="U271" s="244" t="str">
        <f t="array" ref="U271">IF(ISNUMBER(MATCH(B271, 'Sprint 19'!B:B, 0)), INDEX('Sprint 19'!J:J, MATCH(B271, 'Sprint 19'!B:B, 0)), "")</f>
        <v/>
      </c>
      <c r="W271" s="102" t="s">
        <v>1085</v>
      </c>
      <c r="X271" s="230"/>
      <c r="Y271" s="230"/>
      <c r="Z271" s="230"/>
      <c r="AA271" s="230"/>
      <c r="AB271" s="230"/>
      <c r="AC271" s="230"/>
      <c r="AD271" s="230"/>
      <c r="AE271" s="230"/>
      <c r="AF271" s="230"/>
      <c r="AG271" s="230"/>
      <c r="AH271" s="230"/>
      <c r="AI271" s="230"/>
    </row>
    <row r="272">
      <c r="A272" s="102" t="s">
        <v>310</v>
      </c>
      <c r="B272" s="102" t="s">
        <v>3027</v>
      </c>
      <c r="C272" s="229" t="s">
        <v>3028</v>
      </c>
      <c r="D272" s="102" t="s">
        <v>3029</v>
      </c>
      <c r="E272" s="102" t="s">
        <v>328</v>
      </c>
      <c r="F272" s="102" t="s">
        <v>329</v>
      </c>
      <c r="G272" s="102" t="s">
        <v>282</v>
      </c>
      <c r="H272" s="102" t="s">
        <v>283</v>
      </c>
      <c r="I272" s="102" t="s">
        <v>284</v>
      </c>
      <c r="J272" s="102" t="s">
        <v>678</v>
      </c>
      <c r="L272" s="229" t="s">
        <v>3030</v>
      </c>
      <c r="M272" s="229" t="s">
        <v>4184</v>
      </c>
      <c r="N272" s="229" t="s">
        <v>1356</v>
      </c>
      <c r="O272" s="102">
        <v>5.0</v>
      </c>
      <c r="P272" s="102" t="s">
        <v>473</v>
      </c>
      <c r="S272" s="230"/>
      <c r="T272" s="244" t="str">
        <f>IF(ISNUMBER(MATCH(B272, 'Sprint 19'!B:B, 0)), "มาจาก Sprint 19", "")</f>
        <v/>
      </c>
      <c r="U272" s="244" t="str">
        <f t="array" ref="U272">IF(ISNUMBER(MATCH(B272, 'Sprint 19'!B:B, 0)), INDEX('Sprint 19'!J:J, MATCH(B272, 'Sprint 19'!B:B, 0)), "")</f>
        <v/>
      </c>
      <c r="W272" s="102" t="s">
        <v>1085</v>
      </c>
      <c r="X272" s="230"/>
      <c r="Y272" s="230"/>
      <c r="Z272" s="230"/>
      <c r="AA272" s="230"/>
      <c r="AB272" s="230"/>
      <c r="AC272" s="230"/>
      <c r="AD272" s="230"/>
      <c r="AE272" s="230"/>
      <c r="AF272" s="230"/>
      <c r="AG272" s="230"/>
      <c r="AH272" s="230"/>
      <c r="AI272" s="230"/>
    </row>
    <row r="273">
      <c r="A273" s="102" t="s">
        <v>310</v>
      </c>
      <c r="B273" s="102" t="s">
        <v>4185</v>
      </c>
      <c r="C273" s="229" t="s">
        <v>4186</v>
      </c>
      <c r="D273" s="102" t="s">
        <v>4187</v>
      </c>
      <c r="E273" s="102" t="s">
        <v>495</v>
      </c>
      <c r="F273" s="102" t="s">
        <v>496</v>
      </c>
      <c r="G273" s="102" t="s">
        <v>282</v>
      </c>
      <c r="H273" s="102" t="s">
        <v>283</v>
      </c>
      <c r="I273" s="102" t="s">
        <v>284</v>
      </c>
      <c r="J273" s="102" t="s">
        <v>26</v>
      </c>
      <c r="L273" s="229" t="s">
        <v>4188</v>
      </c>
      <c r="M273" s="229" t="s">
        <v>4048</v>
      </c>
      <c r="O273" s="102">
        <v>1.0</v>
      </c>
      <c r="P273" s="102" t="s">
        <v>435</v>
      </c>
      <c r="S273" s="102">
        <v>0.0</v>
      </c>
      <c r="T273" s="244" t="str">
        <f>IF(ISNUMBER(MATCH(B273, 'Sprint 19'!B:B, 0)), "มาจาก Sprint 19", "")</f>
        <v>มาจาก Sprint 19</v>
      </c>
      <c r="U273" s="244" t="str">
        <f t="array" ref="U273">IF(ISNUMBER(MATCH(B273, 'Sprint 19'!B:B, 0)), INDEX('Sprint 19'!J:J, MATCH(B273, 'Sprint 19'!B:B, 0)), "")</f>
        <v>Ready to Staging</v>
      </c>
      <c r="V273" s="102">
        <v>7200.0</v>
      </c>
      <c r="W273" s="102" t="s">
        <v>3557</v>
      </c>
      <c r="X273" s="102" t="s">
        <v>1991</v>
      </c>
      <c r="Y273" s="102" t="s">
        <v>1992</v>
      </c>
      <c r="Z273" s="102" t="s">
        <v>1085</v>
      </c>
      <c r="AA273" s="230"/>
      <c r="AB273" s="230"/>
      <c r="AC273" s="230"/>
      <c r="AD273" s="230"/>
      <c r="AE273" s="230"/>
      <c r="AF273" s="230"/>
      <c r="AG273" s="230"/>
      <c r="AH273" s="230"/>
      <c r="AI273" s="230"/>
    </row>
    <row r="274">
      <c r="A274" s="102" t="s">
        <v>310</v>
      </c>
      <c r="B274" s="102" t="s">
        <v>4189</v>
      </c>
      <c r="C274" s="229" t="s">
        <v>4190</v>
      </c>
      <c r="D274" s="102" t="s">
        <v>4191</v>
      </c>
      <c r="E274" s="102" t="s">
        <v>495</v>
      </c>
      <c r="F274" s="102" t="s">
        <v>496</v>
      </c>
      <c r="G274" s="102" t="s">
        <v>282</v>
      </c>
      <c r="H274" s="102" t="s">
        <v>283</v>
      </c>
      <c r="I274" s="102" t="s">
        <v>284</v>
      </c>
      <c r="J274" s="102" t="s">
        <v>26</v>
      </c>
      <c r="L274" s="229" t="s">
        <v>4192</v>
      </c>
      <c r="M274" s="229" t="s">
        <v>4048</v>
      </c>
      <c r="O274" s="102">
        <v>1.0</v>
      </c>
      <c r="P274" s="102" t="s">
        <v>435</v>
      </c>
      <c r="S274" s="102">
        <v>0.0</v>
      </c>
      <c r="T274" s="244" t="str">
        <f>IF(ISNUMBER(MATCH(B274, 'Sprint 19'!B:B, 0)), "มาจาก Sprint 19", "")</f>
        <v>มาจาก Sprint 19</v>
      </c>
      <c r="U274" s="244" t="str">
        <f t="array" ref="U274">IF(ISNUMBER(MATCH(B274, 'Sprint 19'!B:B, 0)), INDEX('Sprint 19'!J:J, MATCH(B274, 'Sprint 19'!B:B, 0)), "")</f>
        <v>Ready to Staging</v>
      </c>
      <c r="V274" s="102">
        <v>7200.0</v>
      </c>
      <c r="W274" s="102" t="s">
        <v>3557</v>
      </c>
      <c r="X274" s="102" t="s">
        <v>1991</v>
      </c>
      <c r="Y274" s="102" t="s">
        <v>1992</v>
      </c>
      <c r="Z274" s="102" t="s">
        <v>1085</v>
      </c>
      <c r="AA274" s="230"/>
      <c r="AB274" s="230"/>
      <c r="AC274" s="230"/>
      <c r="AD274" s="230"/>
      <c r="AE274" s="230"/>
      <c r="AF274" s="230"/>
      <c r="AG274" s="230"/>
      <c r="AH274" s="230"/>
      <c r="AI274" s="230"/>
    </row>
    <row r="275">
      <c r="A275" s="102" t="s">
        <v>310</v>
      </c>
      <c r="B275" s="102" t="s">
        <v>4193</v>
      </c>
      <c r="C275" s="229" t="s">
        <v>4194</v>
      </c>
      <c r="D275" s="102" t="s">
        <v>4195</v>
      </c>
      <c r="E275" s="102" t="s">
        <v>556</v>
      </c>
      <c r="F275" s="102" t="s">
        <v>557</v>
      </c>
      <c r="G275" s="102" t="s">
        <v>282</v>
      </c>
      <c r="H275" s="102" t="s">
        <v>283</v>
      </c>
      <c r="I275" s="102" t="s">
        <v>284</v>
      </c>
      <c r="J275" s="102" t="s">
        <v>26</v>
      </c>
      <c r="L275" s="229" t="s">
        <v>4192</v>
      </c>
      <c r="M275" s="229" t="s">
        <v>3852</v>
      </c>
      <c r="N275" s="229" t="s">
        <v>4196</v>
      </c>
      <c r="O275" s="102">
        <v>2.0</v>
      </c>
      <c r="P275" s="102" t="s">
        <v>435</v>
      </c>
      <c r="S275" s="102">
        <v>0.0</v>
      </c>
      <c r="T275" s="244" t="str">
        <f>IF(ISNUMBER(MATCH(B275, 'Sprint 19'!B:B, 0)), "มาจาก Sprint 19", "")</f>
        <v>มาจาก Sprint 19</v>
      </c>
      <c r="U275" s="244" t="str">
        <f t="array" ref="U275">IF(ISNUMBER(MATCH(B275, 'Sprint 19'!B:B, 0)), INDEX('Sprint 19'!J:J, MATCH(B275, 'Sprint 19'!B:B, 0)), "")</f>
        <v>Ready to Staging</v>
      </c>
      <c r="V275" s="102">
        <v>14400.0</v>
      </c>
      <c r="W275" s="102" t="s">
        <v>3557</v>
      </c>
      <c r="X275" s="102" t="s">
        <v>1991</v>
      </c>
      <c r="Y275" s="102" t="s">
        <v>1992</v>
      </c>
      <c r="Z275" s="102" t="s">
        <v>1085</v>
      </c>
      <c r="AA275" s="230"/>
      <c r="AB275" s="230"/>
      <c r="AC275" s="230"/>
      <c r="AD275" s="230"/>
      <c r="AE275" s="230"/>
      <c r="AF275" s="230"/>
      <c r="AG275" s="230"/>
      <c r="AH275" s="230"/>
      <c r="AI275" s="230"/>
    </row>
    <row r="276">
      <c r="A276" s="102" t="s">
        <v>310</v>
      </c>
      <c r="B276" s="102" t="s">
        <v>4197</v>
      </c>
      <c r="C276" s="229" t="s">
        <v>4198</v>
      </c>
      <c r="D276" s="102" t="s">
        <v>4199</v>
      </c>
      <c r="E276" s="102" t="s">
        <v>556</v>
      </c>
      <c r="F276" s="102" t="s">
        <v>557</v>
      </c>
      <c r="G276" s="102" t="s">
        <v>282</v>
      </c>
      <c r="H276" s="102" t="s">
        <v>283</v>
      </c>
      <c r="I276" s="102" t="s">
        <v>284</v>
      </c>
      <c r="J276" s="102" t="s">
        <v>26</v>
      </c>
      <c r="L276" s="229" t="s">
        <v>4192</v>
      </c>
      <c r="M276" s="229" t="s">
        <v>4200</v>
      </c>
      <c r="O276" s="102">
        <v>2.0</v>
      </c>
      <c r="P276" s="102" t="s">
        <v>435</v>
      </c>
      <c r="S276" s="102">
        <v>0.0</v>
      </c>
      <c r="T276" s="244" t="str">
        <f>IF(ISNUMBER(MATCH(B276, 'Sprint 19'!B:B, 0)), "มาจาก Sprint 19", "")</f>
        <v>มาจาก Sprint 19</v>
      </c>
      <c r="U276" s="244" t="str">
        <f t="array" ref="U276">IF(ISNUMBER(MATCH(B276, 'Sprint 19'!B:B, 0)), INDEX('Sprint 19'!J:J, MATCH(B276, 'Sprint 19'!B:B, 0)), "")</f>
        <v>Ready to Staging</v>
      </c>
      <c r="V276" s="102">
        <v>14400.0</v>
      </c>
      <c r="W276" s="102" t="s">
        <v>1991</v>
      </c>
      <c r="X276" s="102" t="s">
        <v>1992</v>
      </c>
      <c r="Y276" s="102" t="s">
        <v>1085</v>
      </c>
      <c r="Z276" s="230"/>
      <c r="AA276" s="230"/>
      <c r="AB276" s="230"/>
      <c r="AC276" s="230"/>
      <c r="AD276" s="230"/>
      <c r="AE276" s="230"/>
      <c r="AF276" s="230"/>
      <c r="AG276" s="230"/>
      <c r="AH276" s="230"/>
      <c r="AI276" s="230"/>
    </row>
    <row r="277">
      <c r="A277" s="102" t="s">
        <v>310</v>
      </c>
      <c r="B277" s="102" t="s">
        <v>4201</v>
      </c>
      <c r="C277" s="229" t="s">
        <v>4202</v>
      </c>
      <c r="D277" s="102" t="s">
        <v>4203</v>
      </c>
      <c r="E277" s="102" t="s">
        <v>556</v>
      </c>
      <c r="F277" s="102" t="s">
        <v>557</v>
      </c>
      <c r="G277" s="102" t="s">
        <v>282</v>
      </c>
      <c r="H277" s="102" t="s">
        <v>283</v>
      </c>
      <c r="I277" s="102" t="s">
        <v>284</v>
      </c>
      <c r="J277" s="102" t="s">
        <v>26</v>
      </c>
      <c r="L277" s="229" t="s">
        <v>4192</v>
      </c>
      <c r="M277" s="229" t="s">
        <v>3864</v>
      </c>
      <c r="O277" s="102">
        <v>2.0</v>
      </c>
      <c r="P277" s="102" t="s">
        <v>435</v>
      </c>
      <c r="S277" s="102">
        <v>0.0</v>
      </c>
      <c r="T277" s="244" t="str">
        <f>IF(ISNUMBER(MATCH(B277, 'Sprint 19'!B:B, 0)), "มาจาก Sprint 19", "")</f>
        <v>มาจาก Sprint 19</v>
      </c>
      <c r="U277" s="244" t="str">
        <f t="array" ref="U277">IF(ISNUMBER(MATCH(B277, 'Sprint 19'!B:B, 0)), INDEX('Sprint 19'!J:J, MATCH(B277, 'Sprint 19'!B:B, 0)), "")</f>
        <v>Ready to Staging</v>
      </c>
      <c r="V277" s="102">
        <v>14400.0</v>
      </c>
      <c r="W277" s="102" t="s">
        <v>1991</v>
      </c>
      <c r="X277" s="102" t="s">
        <v>1992</v>
      </c>
      <c r="Y277" s="102" t="s">
        <v>1085</v>
      </c>
      <c r="Z277" s="230"/>
      <c r="AA277" s="230"/>
      <c r="AB277" s="230"/>
      <c r="AC277" s="230"/>
      <c r="AD277" s="230"/>
      <c r="AE277" s="230"/>
      <c r="AF277" s="230"/>
      <c r="AG277" s="230"/>
      <c r="AH277" s="230"/>
      <c r="AI277" s="230"/>
    </row>
    <row r="278">
      <c r="A278" s="102" t="s">
        <v>310</v>
      </c>
      <c r="B278" s="102" t="s">
        <v>4204</v>
      </c>
      <c r="C278" s="229" t="s">
        <v>4205</v>
      </c>
      <c r="D278" s="102" t="s">
        <v>4206</v>
      </c>
      <c r="E278" s="102" t="s">
        <v>556</v>
      </c>
      <c r="F278" s="102" t="s">
        <v>557</v>
      </c>
      <c r="G278" s="102" t="s">
        <v>282</v>
      </c>
      <c r="H278" s="102" t="s">
        <v>283</v>
      </c>
      <c r="I278" s="102" t="s">
        <v>284</v>
      </c>
      <c r="J278" s="102" t="s">
        <v>26</v>
      </c>
      <c r="L278" s="229" t="s">
        <v>4207</v>
      </c>
      <c r="M278" s="229" t="s">
        <v>3945</v>
      </c>
      <c r="O278" s="102">
        <v>2.0</v>
      </c>
      <c r="P278" s="102" t="s">
        <v>435</v>
      </c>
      <c r="S278" s="102">
        <v>0.0</v>
      </c>
      <c r="T278" s="244" t="str">
        <f>IF(ISNUMBER(MATCH(B278, 'Sprint 19'!B:B, 0)), "มาจาก Sprint 19", "")</f>
        <v>มาจาก Sprint 19</v>
      </c>
      <c r="U278" s="244" t="str">
        <f t="array" ref="U278">IF(ISNUMBER(MATCH(B278, 'Sprint 19'!B:B, 0)), INDEX('Sprint 19'!J:J, MATCH(B278, 'Sprint 19'!B:B, 0)), "")</f>
        <v>Ready to Staging</v>
      </c>
      <c r="V278" s="102">
        <v>14400.0</v>
      </c>
      <c r="W278" s="102" t="s">
        <v>1991</v>
      </c>
      <c r="X278" s="102" t="s">
        <v>1992</v>
      </c>
      <c r="Y278" s="102" t="s">
        <v>1085</v>
      </c>
      <c r="Z278" s="230"/>
      <c r="AA278" s="230"/>
      <c r="AB278" s="230"/>
      <c r="AC278" s="230"/>
      <c r="AD278" s="230"/>
      <c r="AE278" s="230"/>
      <c r="AF278" s="230"/>
      <c r="AG278" s="230"/>
      <c r="AH278" s="230"/>
      <c r="AI278" s="230"/>
    </row>
    <row r="279">
      <c r="A279" s="102" t="s">
        <v>310</v>
      </c>
      <c r="B279" s="102" t="s">
        <v>4208</v>
      </c>
      <c r="C279" s="229" t="s">
        <v>4209</v>
      </c>
      <c r="D279" s="102" t="s">
        <v>4210</v>
      </c>
      <c r="E279" s="102" t="s">
        <v>495</v>
      </c>
      <c r="F279" s="102" t="s">
        <v>496</v>
      </c>
      <c r="G279" s="102" t="s">
        <v>282</v>
      </c>
      <c r="H279" s="102" t="s">
        <v>283</v>
      </c>
      <c r="I279" s="102" t="s">
        <v>284</v>
      </c>
      <c r="J279" s="102" t="s">
        <v>26</v>
      </c>
      <c r="L279" s="229" t="s">
        <v>4207</v>
      </c>
      <c r="M279" s="229" t="s">
        <v>3867</v>
      </c>
      <c r="O279" s="102">
        <v>2.0</v>
      </c>
      <c r="P279" s="102" t="s">
        <v>435</v>
      </c>
      <c r="S279" s="102">
        <v>0.0</v>
      </c>
      <c r="T279" s="244" t="str">
        <f>IF(ISNUMBER(MATCH(B279, 'Sprint 19'!B:B, 0)), "มาจาก Sprint 19", "")</f>
        <v>มาจาก Sprint 19</v>
      </c>
      <c r="U279" s="244" t="str">
        <f t="array" ref="U279">IF(ISNUMBER(MATCH(B279, 'Sprint 19'!B:B, 0)), INDEX('Sprint 19'!J:J, MATCH(B279, 'Sprint 19'!B:B, 0)), "")</f>
        <v>Ready to Staging</v>
      </c>
      <c r="V279" s="102">
        <v>3600.0</v>
      </c>
      <c r="W279" s="102" t="s">
        <v>1991</v>
      </c>
      <c r="X279" s="102" t="s">
        <v>1992</v>
      </c>
      <c r="Y279" s="102" t="s">
        <v>1085</v>
      </c>
      <c r="Z279" s="230"/>
      <c r="AA279" s="230"/>
      <c r="AB279" s="230"/>
      <c r="AC279" s="230"/>
      <c r="AD279" s="230"/>
      <c r="AE279" s="230"/>
      <c r="AF279" s="230"/>
      <c r="AG279" s="230"/>
      <c r="AH279" s="230"/>
      <c r="AI279" s="230"/>
    </row>
    <row r="280">
      <c r="A280" s="102" t="s">
        <v>310</v>
      </c>
      <c r="B280" s="102" t="s">
        <v>4211</v>
      </c>
      <c r="C280" s="229" t="s">
        <v>4212</v>
      </c>
      <c r="D280" s="102" t="s">
        <v>4213</v>
      </c>
      <c r="E280" s="102" t="s">
        <v>495</v>
      </c>
      <c r="F280" s="102" t="s">
        <v>496</v>
      </c>
      <c r="G280" s="102" t="s">
        <v>282</v>
      </c>
      <c r="H280" s="102" t="s">
        <v>283</v>
      </c>
      <c r="I280" s="102" t="s">
        <v>284</v>
      </c>
      <c r="J280" s="102" t="s">
        <v>26</v>
      </c>
      <c r="L280" s="229" t="s">
        <v>2169</v>
      </c>
      <c r="M280" s="229" t="s">
        <v>4214</v>
      </c>
      <c r="O280" s="102">
        <v>2.0</v>
      </c>
      <c r="P280" s="102" t="s">
        <v>435</v>
      </c>
      <c r="S280" s="102">
        <v>0.0</v>
      </c>
      <c r="T280" s="244" t="str">
        <f>IF(ISNUMBER(MATCH(B280, 'Sprint 19'!B:B, 0)), "มาจาก Sprint 19", "")</f>
        <v>มาจาก Sprint 19</v>
      </c>
      <c r="U280" s="244" t="str">
        <f t="array" ref="U280">IF(ISNUMBER(MATCH(B280, 'Sprint 19'!B:B, 0)), INDEX('Sprint 19'!J:J, MATCH(B280, 'Sprint 19'!B:B, 0)), "")</f>
        <v>Ready to Staging</v>
      </c>
      <c r="V280" s="102">
        <v>3600.0</v>
      </c>
      <c r="W280" s="102" t="s">
        <v>1991</v>
      </c>
      <c r="X280" s="102" t="s">
        <v>1992</v>
      </c>
      <c r="Y280" s="102" t="s">
        <v>1085</v>
      </c>
      <c r="Z280" s="230"/>
      <c r="AA280" s="230"/>
      <c r="AB280" s="230"/>
      <c r="AC280" s="230"/>
      <c r="AD280" s="230"/>
      <c r="AE280" s="230"/>
      <c r="AF280" s="230"/>
      <c r="AG280" s="230"/>
      <c r="AH280" s="230"/>
      <c r="AI280" s="230"/>
    </row>
    <row r="281">
      <c r="A281" s="102" t="s">
        <v>310</v>
      </c>
      <c r="B281" s="102" t="s">
        <v>3589</v>
      </c>
      <c r="C281" s="229" t="s">
        <v>3590</v>
      </c>
      <c r="D281" s="102" t="s">
        <v>3591</v>
      </c>
      <c r="E281" s="102" t="s">
        <v>495</v>
      </c>
      <c r="F281" s="102" t="s">
        <v>496</v>
      </c>
      <c r="G281" s="102" t="s">
        <v>282</v>
      </c>
      <c r="H281" s="102" t="s">
        <v>283</v>
      </c>
      <c r="I281" s="102" t="s">
        <v>515</v>
      </c>
      <c r="J281" s="102" t="s">
        <v>454</v>
      </c>
      <c r="L281" s="229" t="s">
        <v>2169</v>
      </c>
      <c r="M281" s="229" t="s">
        <v>4015</v>
      </c>
      <c r="O281" s="102">
        <v>2.0</v>
      </c>
      <c r="P281" s="102" t="s">
        <v>331</v>
      </c>
      <c r="S281" s="102">
        <v>0.0</v>
      </c>
      <c r="T281" s="244" t="str">
        <f>IF(ISNUMBER(MATCH(B281, 'Sprint 19'!B:B, 0)), "มาจาก Sprint 19", "")</f>
        <v>มาจาก Sprint 19</v>
      </c>
      <c r="U281" s="244" t="str">
        <f t="array" ref="U281">IF(ISNUMBER(MATCH(B281, 'Sprint 19'!B:B, 0)), INDEX('Sprint 19'!J:J, MATCH(B281, 'Sprint 19'!B:B, 0)), "")</f>
        <v>Ready to Staging</v>
      </c>
      <c r="V281" s="102">
        <v>28800.0</v>
      </c>
      <c r="W281" s="102" t="s">
        <v>1992</v>
      </c>
      <c r="X281" s="102" t="s">
        <v>1085</v>
      </c>
      <c r="Y281" s="230"/>
      <c r="Z281" s="230"/>
      <c r="AA281" s="230"/>
      <c r="AB281" s="230"/>
      <c r="AC281" s="230"/>
      <c r="AD281" s="230"/>
      <c r="AE281" s="230"/>
      <c r="AF281" s="230"/>
      <c r="AG281" s="230"/>
      <c r="AH281" s="230"/>
      <c r="AI281" s="230"/>
    </row>
    <row r="282">
      <c r="A282" s="102" t="s">
        <v>310</v>
      </c>
      <c r="B282" s="102" t="s">
        <v>3593</v>
      </c>
      <c r="C282" s="229" t="s">
        <v>3594</v>
      </c>
      <c r="D282" s="102" t="s">
        <v>3595</v>
      </c>
      <c r="E282" s="102" t="s">
        <v>495</v>
      </c>
      <c r="F282" s="102" t="s">
        <v>496</v>
      </c>
      <c r="G282" s="102" t="s">
        <v>282</v>
      </c>
      <c r="H282" s="102" t="s">
        <v>283</v>
      </c>
      <c r="I282" s="102" t="s">
        <v>284</v>
      </c>
      <c r="J282" s="102" t="s">
        <v>454</v>
      </c>
      <c r="L282" s="229" t="s">
        <v>2169</v>
      </c>
      <c r="M282" s="229" t="s">
        <v>4215</v>
      </c>
      <c r="O282" s="102">
        <v>2.0</v>
      </c>
      <c r="P282" s="102" t="s">
        <v>435</v>
      </c>
      <c r="S282" s="102">
        <v>0.0</v>
      </c>
      <c r="T282" s="244" t="str">
        <f>IF(ISNUMBER(MATCH(B282, 'Sprint 19'!B:B, 0)), "มาจาก Sprint 19", "")</f>
        <v>มาจาก Sprint 19</v>
      </c>
      <c r="U282" s="244" t="str">
        <f t="array" ref="U282">IF(ISNUMBER(MATCH(B282, 'Sprint 19'!B:B, 0)), INDEX('Sprint 19'!J:J, MATCH(B282, 'Sprint 19'!B:B, 0)), "")</f>
        <v>Ready to Staging</v>
      </c>
      <c r="V282" s="102">
        <v>7200.0</v>
      </c>
      <c r="W282" s="102" t="s">
        <v>1991</v>
      </c>
      <c r="X282" s="102" t="s">
        <v>1992</v>
      </c>
      <c r="Y282" s="102" t="s">
        <v>1085</v>
      </c>
      <c r="Z282" s="230"/>
      <c r="AA282" s="230"/>
      <c r="AB282" s="230"/>
      <c r="AC282" s="230"/>
      <c r="AD282" s="230"/>
      <c r="AE282" s="230"/>
      <c r="AF282" s="230"/>
      <c r="AG282" s="230"/>
      <c r="AH282" s="230"/>
      <c r="AI282" s="230"/>
    </row>
    <row r="283">
      <c r="A283" s="102" t="s">
        <v>310</v>
      </c>
      <c r="B283" s="102" t="s">
        <v>2166</v>
      </c>
      <c r="C283" s="229" t="s">
        <v>2167</v>
      </c>
      <c r="D283" s="102" t="s">
        <v>2168</v>
      </c>
      <c r="E283" s="102" t="s">
        <v>495</v>
      </c>
      <c r="F283" s="102" t="s">
        <v>496</v>
      </c>
      <c r="G283" s="102" t="s">
        <v>282</v>
      </c>
      <c r="H283" s="102" t="s">
        <v>283</v>
      </c>
      <c r="I283" s="102" t="s">
        <v>284</v>
      </c>
      <c r="J283" s="102" t="s">
        <v>454</v>
      </c>
      <c r="L283" s="229" t="s">
        <v>2169</v>
      </c>
      <c r="M283" s="229" t="s">
        <v>4215</v>
      </c>
      <c r="O283" s="102">
        <v>2.0</v>
      </c>
      <c r="P283" s="102" t="s">
        <v>435</v>
      </c>
      <c r="S283" s="102">
        <v>0.0</v>
      </c>
      <c r="T283" s="244" t="str">
        <f>IF(ISNUMBER(MATCH(B283, 'Sprint 19'!B:B, 0)), "มาจาก Sprint 19", "")</f>
        <v>มาจาก Sprint 19</v>
      </c>
      <c r="U283" s="244" t="str">
        <f t="array" ref="U283">IF(ISNUMBER(MATCH(B283, 'Sprint 19'!B:B, 0)), INDEX('Sprint 19'!J:J, MATCH(B283, 'Sprint 19'!B:B, 0)), "")</f>
        <v>Ready to Staging</v>
      </c>
      <c r="V283" s="102">
        <v>7200.0</v>
      </c>
      <c r="W283" s="102" t="s">
        <v>1991</v>
      </c>
      <c r="X283" s="102" t="s">
        <v>1992</v>
      </c>
      <c r="Y283" s="102" t="s">
        <v>1085</v>
      </c>
      <c r="Z283" s="230"/>
      <c r="AA283" s="230"/>
      <c r="AB283" s="230"/>
      <c r="AC283" s="230"/>
      <c r="AD283" s="230"/>
      <c r="AE283" s="230"/>
      <c r="AF283" s="230"/>
      <c r="AG283" s="230"/>
      <c r="AH283" s="230"/>
      <c r="AI283" s="230"/>
    </row>
    <row r="284">
      <c r="A284" s="102" t="s">
        <v>310</v>
      </c>
      <c r="B284" s="102" t="s">
        <v>3596</v>
      </c>
      <c r="C284" s="229" t="s">
        <v>3597</v>
      </c>
      <c r="D284" s="102" t="s">
        <v>3598</v>
      </c>
      <c r="E284" s="102" t="s">
        <v>556</v>
      </c>
      <c r="F284" s="102" t="s">
        <v>557</v>
      </c>
      <c r="G284" s="102" t="s">
        <v>282</v>
      </c>
      <c r="H284" s="102" t="s">
        <v>283</v>
      </c>
      <c r="I284" s="102" t="s">
        <v>284</v>
      </c>
      <c r="J284" s="102" t="s">
        <v>454</v>
      </c>
      <c r="L284" s="229" t="s">
        <v>3599</v>
      </c>
      <c r="M284" s="229" t="s">
        <v>4216</v>
      </c>
      <c r="N284" s="229" t="s">
        <v>3600</v>
      </c>
      <c r="O284" s="102">
        <v>3.0</v>
      </c>
      <c r="P284" s="102" t="s">
        <v>435</v>
      </c>
      <c r="S284" s="102">
        <v>0.0</v>
      </c>
      <c r="T284" s="244" t="str">
        <f>IF(ISNUMBER(MATCH(B284, 'Sprint 19'!B:B, 0)), "มาจาก Sprint 19", "")</f>
        <v>มาจาก Sprint 19</v>
      </c>
      <c r="U284" s="244" t="str">
        <f t="array" ref="U284">IF(ISNUMBER(MATCH(B284, 'Sprint 19'!B:B, 0)), INDEX('Sprint 19'!J:J, MATCH(B284, 'Sprint 19'!B:B, 0)), "")</f>
        <v>Ready to Staging</v>
      </c>
      <c r="V284" s="102">
        <v>28800.0</v>
      </c>
      <c r="W284" s="102" t="s">
        <v>3557</v>
      </c>
      <c r="X284" s="102" t="s">
        <v>1991</v>
      </c>
      <c r="Y284" s="102" t="s">
        <v>1992</v>
      </c>
      <c r="Z284" s="102" t="s">
        <v>1085</v>
      </c>
      <c r="AA284" s="230"/>
      <c r="AB284" s="230"/>
      <c r="AC284" s="230"/>
      <c r="AD284" s="230"/>
      <c r="AE284" s="230"/>
      <c r="AF284" s="230"/>
      <c r="AG284" s="230"/>
      <c r="AH284" s="230"/>
      <c r="AI284" s="230"/>
    </row>
    <row r="285">
      <c r="A285" s="102" t="s">
        <v>310</v>
      </c>
      <c r="B285" s="102" t="s">
        <v>3601</v>
      </c>
      <c r="C285" s="229" t="s">
        <v>3602</v>
      </c>
      <c r="D285" s="102" t="s">
        <v>3603</v>
      </c>
      <c r="E285" s="102" t="s">
        <v>513</v>
      </c>
      <c r="F285" s="102" t="s">
        <v>514</v>
      </c>
      <c r="G285" s="102" t="s">
        <v>282</v>
      </c>
      <c r="H285" s="102" t="s">
        <v>283</v>
      </c>
      <c r="I285" s="102" t="s">
        <v>284</v>
      </c>
      <c r="J285" s="102" t="s">
        <v>454</v>
      </c>
      <c r="L285" s="229" t="s">
        <v>3599</v>
      </c>
      <c r="M285" s="229" t="s">
        <v>4142</v>
      </c>
      <c r="N285" s="229" t="s">
        <v>2096</v>
      </c>
      <c r="O285" s="102">
        <v>3.0</v>
      </c>
      <c r="P285" s="102" t="s">
        <v>435</v>
      </c>
      <c r="S285" s="102">
        <v>0.0</v>
      </c>
      <c r="T285" s="244" t="str">
        <f>IF(ISNUMBER(MATCH(B285, 'Sprint 19'!B:B, 0)), "มาจาก Sprint 19", "")</f>
        <v>มาจาก Sprint 19</v>
      </c>
      <c r="U285" s="244" t="str">
        <f t="array" ref="U285">IF(ISNUMBER(MATCH(B285, 'Sprint 19'!B:B, 0)), INDEX('Sprint 19'!J:J, MATCH(B285, 'Sprint 19'!B:B, 0)), "")</f>
        <v>Ready to Staging</v>
      </c>
      <c r="V285" s="102">
        <v>28800.0</v>
      </c>
      <c r="W285" s="102" t="s">
        <v>1991</v>
      </c>
      <c r="X285" s="102" t="s">
        <v>1992</v>
      </c>
      <c r="Y285" s="102" t="s">
        <v>1085</v>
      </c>
      <c r="Z285" s="230"/>
      <c r="AA285" s="230"/>
      <c r="AB285" s="230"/>
      <c r="AC285" s="230"/>
      <c r="AD285" s="230"/>
      <c r="AE285" s="230"/>
      <c r="AF285" s="230"/>
      <c r="AG285" s="230"/>
      <c r="AH285" s="230"/>
      <c r="AI285" s="230"/>
    </row>
    <row r="286">
      <c r="A286" s="102" t="s">
        <v>310</v>
      </c>
      <c r="B286" s="102" t="s">
        <v>3604</v>
      </c>
      <c r="C286" s="229" t="s">
        <v>3605</v>
      </c>
      <c r="D286" s="102" t="s">
        <v>3606</v>
      </c>
      <c r="E286" s="102" t="s">
        <v>513</v>
      </c>
      <c r="F286" s="102" t="s">
        <v>514</v>
      </c>
      <c r="G286" s="102" t="s">
        <v>282</v>
      </c>
      <c r="H286" s="102" t="s">
        <v>283</v>
      </c>
      <c r="I286" s="102" t="s">
        <v>284</v>
      </c>
      <c r="J286" s="102" t="s">
        <v>454</v>
      </c>
      <c r="L286" s="229" t="s">
        <v>3599</v>
      </c>
      <c r="M286" s="229" t="s">
        <v>4142</v>
      </c>
      <c r="N286" s="229" t="s">
        <v>2570</v>
      </c>
      <c r="O286" s="102">
        <v>3.0</v>
      </c>
      <c r="P286" s="102" t="s">
        <v>435</v>
      </c>
      <c r="S286" s="102">
        <v>0.0</v>
      </c>
      <c r="T286" s="244" t="str">
        <f>IF(ISNUMBER(MATCH(B286, 'Sprint 19'!B:B, 0)), "มาจาก Sprint 19", "")</f>
        <v>มาจาก Sprint 19</v>
      </c>
      <c r="U286" s="244" t="str">
        <f t="array" ref="U286">IF(ISNUMBER(MATCH(B286, 'Sprint 19'!B:B, 0)), INDEX('Sprint 19'!J:J, MATCH(B286, 'Sprint 19'!B:B, 0)), "")</f>
        <v>Ready to Staging</v>
      </c>
      <c r="V286" s="102">
        <v>28800.0</v>
      </c>
      <c r="W286" s="102" t="s">
        <v>1991</v>
      </c>
      <c r="X286" s="102" t="s">
        <v>1992</v>
      </c>
      <c r="Y286" s="102" t="s">
        <v>1085</v>
      </c>
      <c r="Z286" s="230"/>
      <c r="AA286" s="230"/>
      <c r="AB286" s="230"/>
      <c r="AC286" s="230"/>
      <c r="AD286" s="230"/>
      <c r="AE286" s="230"/>
      <c r="AF286" s="230"/>
      <c r="AG286" s="230"/>
      <c r="AH286" s="230"/>
      <c r="AI286" s="230"/>
    </row>
    <row r="287">
      <c r="A287" s="102" t="s">
        <v>310</v>
      </c>
      <c r="B287" s="102" t="s">
        <v>4217</v>
      </c>
      <c r="C287" s="229" t="s">
        <v>4218</v>
      </c>
      <c r="D287" s="102" t="s">
        <v>4219</v>
      </c>
      <c r="E287" s="102" t="s">
        <v>564</v>
      </c>
      <c r="F287" s="102" t="s">
        <v>565</v>
      </c>
      <c r="G287" s="102" t="s">
        <v>353</v>
      </c>
      <c r="H287" s="102" t="s">
        <v>354</v>
      </c>
      <c r="I287" s="102" t="s">
        <v>284</v>
      </c>
      <c r="J287" s="102" t="s">
        <v>26</v>
      </c>
      <c r="L287" s="229" t="s">
        <v>4220</v>
      </c>
      <c r="M287" s="229" t="s">
        <v>4221</v>
      </c>
      <c r="N287" s="229" t="s">
        <v>4222</v>
      </c>
      <c r="O287" s="102">
        <v>2.0</v>
      </c>
      <c r="P287" s="102" t="s">
        <v>593</v>
      </c>
      <c r="Q287" s="102" t="s">
        <v>1855</v>
      </c>
      <c r="S287" s="102">
        <v>0.0</v>
      </c>
      <c r="T287" s="244" t="str">
        <f>IF(ISNUMBER(MATCH(B287, 'Sprint 19'!B:B, 0)), "มาจาก Sprint 19", "")</f>
        <v>มาจาก Sprint 19</v>
      </c>
      <c r="U287" s="244" t="str">
        <f t="array" ref="U287">IF(ISNUMBER(MATCH(B287, 'Sprint 19'!B:B, 0)), INDEX('Sprint 19'!J:J, MATCH(B287, 'Sprint 19'!B:B, 0)), "")</f>
        <v>Ready to Staging</v>
      </c>
      <c r="V287" s="102">
        <v>10800.0</v>
      </c>
      <c r="W287" s="102" t="s">
        <v>3035</v>
      </c>
      <c r="X287" s="102" t="s">
        <v>3036</v>
      </c>
      <c r="Y287" s="102" t="s">
        <v>3037</v>
      </c>
      <c r="Z287" s="102" t="s">
        <v>3038</v>
      </c>
      <c r="AA287" s="230"/>
      <c r="AB287" s="230"/>
      <c r="AC287" s="230"/>
      <c r="AD287" s="230"/>
      <c r="AE287" s="230"/>
      <c r="AF287" s="230"/>
      <c r="AG287" s="230"/>
      <c r="AH287" s="230"/>
      <c r="AI287" s="230"/>
    </row>
    <row r="288">
      <c r="A288" s="102" t="s">
        <v>310</v>
      </c>
      <c r="B288" s="102" t="s">
        <v>4223</v>
      </c>
      <c r="C288" s="229" t="s">
        <v>4224</v>
      </c>
      <c r="D288" s="102" t="s">
        <v>4225</v>
      </c>
      <c r="E288" s="102" t="s">
        <v>564</v>
      </c>
      <c r="F288" s="102" t="s">
        <v>565</v>
      </c>
      <c r="G288" s="102" t="s">
        <v>353</v>
      </c>
      <c r="H288" s="102" t="s">
        <v>354</v>
      </c>
      <c r="I288" s="102" t="s">
        <v>284</v>
      </c>
      <c r="J288" s="102" t="s">
        <v>26</v>
      </c>
      <c r="L288" s="229" t="s">
        <v>4226</v>
      </c>
      <c r="M288" s="229" t="s">
        <v>4221</v>
      </c>
      <c r="N288" s="229" t="s">
        <v>4222</v>
      </c>
      <c r="O288" s="102">
        <v>2.0</v>
      </c>
      <c r="S288" s="102">
        <v>0.0</v>
      </c>
      <c r="T288" s="244" t="str">
        <f>IF(ISNUMBER(MATCH(B288, 'Sprint 19'!B:B, 0)), "มาจาก Sprint 19", "")</f>
        <v>มาจาก Sprint 19</v>
      </c>
      <c r="U288" s="244" t="str">
        <f t="array" ref="U288">IF(ISNUMBER(MATCH(B288, 'Sprint 19'!B:B, 0)), INDEX('Sprint 19'!J:J, MATCH(B288, 'Sprint 19'!B:B, 0)), "")</f>
        <v>Ready to Staging</v>
      </c>
      <c r="V288" s="102">
        <v>14400.0</v>
      </c>
      <c r="W288" s="102" t="s">
        <v>3035</v>
      </c>
      <c r="X288" s="102" t="s">
        <v>3036</v>
      </c>
      <c r="Y288" s="102" t="s">
        <v>3037</v>
      </c>
      <c r="Z288" s="102" t="s">
        <v>3038</v>
      </c>
      <c r="AA288" s="230"/>
      <c r="AB288" s="230"/>
      <c r="AC288" s="230"/>
      <c r="AD288" s="230"/>
      <c r="AE288" s="230"/>
      <c r="AF288" s="230"/>
      <c r="AG288" s="230"/>
      <c r="AH288" s="230"/>
      <c r="AI288" s="230"/>
    </row>
    <row r="289">
      <c r="A289" s="102" t="s">
        <v>310</v>
      </c>
      <c r="B289" s="102" t="s">
        <v>4227</v>
      </c>
      <c r="C289" s="229" t="s">
        <v>4228</v>
      </c>
      <c r="D289" s="102" t="s">
        <v>4229</v>
      </c>
      <c r="E289" s="102" t="s">
        <v>556</v>
      </c>
      <c r="F289" s="102" t="s">
        <v>557</v>
      </c>
      <c r="G289" s="102" t="s">
        <v>353</v>
      </c>
      <c r="H289" s="102" t="s">
        <v>354</v>
      </c>
      <c r="I289" s="102" t="s">
        <v>284</v>
      </c>
      <c r="J289" s="102" t="s">
        <v>26</v>
      </c>
      <c r="L289" s="229" t="s">
        <v>4230</v>
      </c>
      <c r="M289" s="229" t="s">
        <v>3730</v>
      </c>
      <c r="O289" s="102">
        <v>3.0</v>
      </c>
      <c r="S289" s="102">
        <v>0.0</v>
      </c>
      <c r="T289" s="244" t="str">
        <f>IF(ISNUMBER(MATCH(B289, 'Sprint 19'!B:B, 0)), "มาจาก Sprint 19", "")</f>
        <v>มาจาก Sprint 19</v>
      </c>
      <c r="U289" s="244" t="str">
        <f t="array" ref="U289">IF(ISNUMBER(MATCH(B289, 'Sprint 19'!B:B, 0)), INDEX('Sprint 19'!J:J, MATCH(B289, 'Sprint 19'!B:B, 0)), "")</f>
        <v>Ready to Staging</v>
      </c>
      <c r="V289" s="102">
        <v>28800.0</v>
      </c>
      <c r="W289" s="102" t="s">
        <v>3037</v>
      </c>
      <c r="X289" s="102" t="s">
        <v>3038</v>
      </c>
      <c r="Y289" s="230"/>
      <c r="Z289" s="230"/>
      <c r="AA289" s="230"/>
      <c r="AB289" s="230"/>
      <c r="AC289" s="230"/>
      <c r="AD289" s="230"/>
      <c r="AE289" s="230"/>
      <c r="AF289" s="230"/>
      <c r="AG289" s="230"/>
      <c r="AH289" s="230"/>
      <c r="AI289" s="230"/>
    </row>
    <row r="290">
      <c r="A290" s="102" t="s">
        <v>310</v>
      </c>
      <c r="B290" s="102" t="s">
        <v>4231</v>
      </c>
      <c r="C290" s="229" t="s">
        <v>4232</v>
      </c>
      <c r="D290" s="102" t="s">
        <v>4233</v>
      </c>
      <c r="E290" s="102" t="s">
        <v>495</v>
      </c>
      <c r="F290" s="102" t="s">
        <v>496</v>
      </c>
      <c r="G290" s="102" t="s">
        <v>353</v>
      </c>
      <c r="H290" s="102" t="s">
        <v>354</v>
      </c>
      <c r="I290" s="102" t="s">
        <v>284</v>
      </c>
      <c r="J290" s="102" t="s">
        <v>26</v>
      </c>
      <c r="L290" s="229" t="s">
        <v>4234</v>
      </c>
      <c r="M290" s="229" t="s">
        <v>4235</v>
      </c>
      <c r="O290" s="102">
        <v>1.0</v>
      </c>
      <c r="P290" s="102" t="s">
        <v>593</v>
      </c>
      <c r="Q290" s="102" t="s">
        <v>1855</v>
      </c>
      <c r="S290" s="102">
        <v>0.0</v>
      </c>
      <c r="T290" s="244" t="str">
        <f>IF(ISNUMBER(MATCH(B290, 'Sprint 19'!B:B, 0)), "มาจาก Sprint 19", "")</f>
        <v>มาจาก Sprint 19</v>
      </c>
      <c r="U290" s="244" t="str">
        <f t="array" ref="U290">IF(ISNUMBER(MATCH(B290, 'Sprint 19'!B:B, 0)), INDEX('Sprint 19'!J:J, MATCH(B290, 'Sprint 19'!B:B, 0)), "")</f>
        <v>Ready to Staging</v>
      </c>
      <c r="V290" s="102">
        <v>14400.0</v>
      </c>
      <c r="W290" s="102" t="s">
        <v>3035</v>
      </c>
      <c r="X290" s="102" t="s">
        <v>3036</v>
      </c>
      <c r="Y290" s="102" t="s">
        <v>3037</v>
      </c>
      <c r="Z290" s="102" t="s">
        <v>3038</v>
      </c>
      <c r="AA290" s="230"/>
      <c r="AB290" s="230"/>
      <c r="AC290" s="230"/>
      <c r="AD290" s="230"/>
      <c r="AE290" s="230"/>
      <c r="AF290" s="230"/>
      <c r="AG290" s="230"/>
      <c r="AH290" s="230"/>
      <c r="AI290" s="230"/>
    </row>
    <row r="291">
      <c r="A291" s="102" t="s">
        <v>310</v>
      </c>
      <c r="B291" s="102" t="s">
        <v>3031</v>
      </c>
      <c r="C291" s="229" t="s">
        <v>3032</v>
      </c>
      <c r="D291" s="102" t="s">
        <v>3033</v>
      </c>
      <c r="E291" s="102" t="s">
        <v>495</v>
      </c>
      <c r="F291" s="102" t="s">
        <v>496</v>
      </c>
      <c r="G291" s="102" t="s">
        <v>353</v>
      </c>
      <c r="H291" s="102" t="s">
        <v>354</v>
      </c>
      <c r="I291" s="102" t="s">
        <v>284</v>
      </c>
      <c r="J291" s="102" t="s">
        <v>678</v>
      </c>
      <c r="L291" s="229" t="s">
        <v>3034</v>
      </c>
      <c r="M291" s="229" t="s">
        <v>4161</v>
      </c>
      <c r="O291" s="102">
        <v>3.0</v>
      </c>
      <c r="S291" s="102">
        <v>0.0</v>
      </c>
      <c r="T291" s="244" t="str">
        <f>IF(ISNUMBER(MATCH(B291, 'Sprint 19'!B:B, 0)), "มาจาก Sprint 19", "")</f>
        <v>มาจาก Sprint 19</v>
      </c>
      <c r="U291" s="244" t="str">
        <f t="array" ref="U291">IF(ISNUMBER(MATCH(B291, 'Sprint 19'!B:B, 0)), INDEX('Sprint 19'!J:J, MATCH(B291, 'Sprint 19'!B:B, 0)), "")</f>
        <v>Ready to Staging</v>
      </c>
      <c r="V291" s="102">
        <v>28800.0</v>
      </c>
      <c r="W291" s="102" t="s">
        <v>3035</v>
      </c>
      <c r="X291" s="102" t="s">
        <v>3036</v>
      </c>
      <c r="Y291" s="102" t="s">
        <v>3037</v>
      </c>
      <c r="Z291" s="102" t="s">
        <v>3038</v>
      </c>
      <c r="AA291" s="230"/>
      <c r="AB291" s="230"/>
      <c r="AC291" s="230"/>
      <c r="AD291" s="230"/>
      <c r="AE291" s="230"/>
      <c r="AF291" s="230"/>
      <c r="AG291" s="230"/>
      <c r="AH291" s="230"/>
      <c r="AI291" s="230"/>
    </row>
    <row r="292">
      <c r="A292" s="102" t="s">
        <v>310</v>
      </c>
      <c r="B292" s="102" t="s">
        <v>4236</v>
      </c>
      <c r="C292" s="229" t="s">
        <v>4237</v>
      </c>
      <c r="D292" s="102" t="s">
        <v>2057</v>
      </c>
      <c r="E292" s="102" t="s">
        <v>495</v>
      </c>
      <c r="F292" s="102" t="s">
        <v>496</v>
      </c>
      <c r="G292" s="102" t="s">
        <v>353</v>
      </c>
      <c r="H292" s="102" t="s">
        <v>354</v>
      </c>
      <c r="I292" s="102" t="s">
        <v>284</v>
      </c>
      <c r="J292" s="102" t="s">
        <v>26</v>
      </c>
      <c r="L292" s="229" t="s">
        <v>4238</v>
      </c>
      <c r="M292" s="229" t="s">
        <v>4239</v>
      </c>
      <c r="O292" s="102">
        <v>2.0</v>
      </c>
      <c r="P292" s="102" t="s">
        <v>593</v>
      </c>
      <c r="Q292" s="102" t="s">
        <v>4240</v>
      </c>
      <c r="S292" s="102">
        <v>0.0</v>
      </c>
      <c r="T292" s="244" t="str">
        <f>IF(ISNUMBER(MATCH(B292, 'Sprint 19'!B:B, 0)), "มาจาก Sprint 19", "")</f>
        <v>มาจาก Sprint 19</v>
      </c>
      <c r="U292" s="244" t="str">
        <f t="array" ref="U292">IF(ISNUMBER(MATCH(B292, 'Sprint 19'!B:B, 0)), INDEX('Sprint 19'!J:J, MATCH(B292, 'Sprint 19'!B:B, 0)), "")</f>
        <v>Ready to Staging</v>
      </c>
      <c r="V292" s="102">
        <v>14400.0</v>
      </c>
      <c r="W292" s="102" t="s">
        <v>3043</v>
      </c>
      <c r="X292" s="102" t="s">
        <v>3035</v>
      </c>
      <c r="Y292" s="102" t="s">
        <v>3036</v>
      </c>
      <c r="Z292" s="102" t="s">
        <v>3037</v>
      </c>
      <c r="AA292" s="102" t="s">
        <v>3038</v>
      </c>
      <c r="AB292" s="230"/>
      <c r="AC292" s="230"/>
      <c r="AD292" s="230"/>
      <c r="AE292" s="230"/>
      <c r="AF292" s="230"/>
      <c r="AG292" s="230"/>
      <c r="AH292" s="230"/>
      <c r="AI292" s="230"/>
    </row>
    <row r="293">
      <c r="A293" s="102" t="s">
        <v>310</v>
      </c>
      <c r="B293" s="102" t="s">
        <v>4241</v>
      </c>
      <c r="C293" s="229" t="s">
        <v>4242</v>
      </c>
      <c r="D293" s="102" t="s">
        <v>4243</v>
      </c>
      <c r="E293" s="102" t="s">
        <v>564</v>
      </c>
      <c r="F293" s="102" t="s">
        <v>565</v>
      </c>
      <c r="G293" s="102" t="s">
        <v>282</v>
      </c>
      <c r="H293" s="102" t="s">
        <v>283</v>
      </c>
      <c r="I293" s="102" t="s">
        <v>284</v>
      </c>
      <c r="J293" s="102" t="s">
        <v>454</v>
      </c>
      <c r="L293" s="229" t="s">
        <v>4244</v>
      </c>
      <c r="M293" s="229" t="s">
        <v>4245</v>
      </c>
      <c r="N293" s="229" t="s">
        <v>4246</v>
      </c>
      <c r="O293" s="102">
        <v>5.0</v>
      </c>
      <c r="P293" s="102" t="s">
        <v>593</v>
      </c>
      <c r="S293" s="102">
        <v>0.0</v>
      </c>
      <c r="T293" s="244" t="str">
        <f>IF(ISNUMBER(MATCH(B293, 'Sprint 19'!B:B, 0)), "มาจาก Sprint 19", "")</f>
        <v>มาจาก Sprint 19</v>
      </c>
      <c r="U293" s="244" t="str">
        <f t="array" ref="U293">IF(ISNUMBER(MATCH(B293, 'Sprint 19'!B:B, 0)), INDEX('Sprint 19'!J:J, MATCH(B293, 'Sprint 19'!B:B, 0)), "")</f>
        <v>Ready To Test</v>
      </c>
      <c r="V293" s="102">
        <v>57600.0</v>
      </c>
      <c r="W293" s="102" t="s">
        <v>4247</v>
      </c>
      <c r="X293" s="102" t="s">
        <v>4248</v>
      </c>
      <c r="Y293" s="102" t="s">
        <v>4249</v>
      </c>
      <c r="Z293" s="102" t="s">
        <v>4250</v>
      </c>
      <c r="AA293" s="102" t="s">
        <v>3792</v>
      </c>
      <c r="AB293" s="230"/>
      <c r="AC293" s="230"/>
      <c r="AD293" s="230"/>
      <c r="AE293" s="230"/>
      <c r="AF293" s="230"/>
      <c r="AG293" s="230"/>
      <c r="AH293" s="230"/>
      <c r="AI293" s="230"/>
    </row>
    <row r="294">
      <c r="A294" s="102" t="s">
        <v>310</v>
      </c>
      <c r="B294" s="102" t="s">
        <v>4251</v>
      </c>
      <c r="C294" s="229" t="s">
        <v>4252</v>
      </c>
      <c r="D294" s="102" t="s">
        <v>4253</v>
      </c>
      <c r="E294" s="102" t="s">
        <v>556</v>
      </c>
      <c r="F294" s="102" t="s">
        <v>557</v>
      </c>
      <c r="G294" s="102" t="s">
        <v>353</v>
      </c>
      <c r="H294" s="102" t="s">
        <v>354</v>
      </c>
      <c r="I294" s="102" t="s">
        <v>284</v>
      </c>
      <c r="J294" s="102" t="s">
        <v>26</v>
      </c>
      <c r="L294" s="229" t="s">
        <v>4254</v>
      </c>
      <c r="M294" s="229" t="s">
        <v>4255</v>
      </c>
      <c r="O294" s="230"/>
      <c r="P294" s="102" t="s">
        <v>593</v>
      </c>
      <c r="Q294" s="102" t="s">
        <v>1855</v>
      </c>
      <c r="S294" s="230"/>
      <c r="T294" s="244" t="str">
        <f>IF(ISNUMBER(MATCH(B294, 'Sprint 19'!B:B, 0)), "มาจาก Sprint 19", "")</f>
        <v>มาจาก Sprint 19</v>
      </c>
      <c r="U294" s="244" t="str">
        <f t="array" ref="U294">IF(ISNUMBER(MATCH(B294, 'Sprint 19'!B:B, 0)), INDEX('Sprint 19'!J:J, MATCH(B294, 'Sprint 19'!B:B, 0)), "")</f>
        <v>Ready to Staging</v>
      </c>
      <c r="V294" s="230"/>
      <c r="W294" s="102" t="s">
        <v>3043</v>
      </c>
      <c r="X294" s="102" t="s">
        <v>3035</v>
      </c>
      <c r="Y294" s="102" t="s">
        <v>3036</v>
      </c>
      <c r="Z294" s="102" t="s">
        <v>3037</v>
      </c>
      <c r="AA294" s="102" t="s">
        <v>3038</v>
      </c>
      <c r="AB294" s="230"/>
      <c r="AC294" s="230"/>
      <c r="AD294" s="230"/>
      <c r="AE294" s="230"/>
      <c r="AF294" s="230"/>
      <c r="AG294" s="230"/>
      <c r="AH294" s="230"/>
      <c r="AI294" s="230"/>
    </row>
    <row r="295">
      <c r="A295" s="102" t="s">
        <v>310</v>
      </c>
      <c r="B295" s="102" t="s">
        <v>4256</v>
      </c>
      <c r="C295" s="229" t="s">
        <v>4257</v>
      </c>
      <c r="D295" s="102" t="s">
        <v>4258</v>
      </c>
      <c r="E295" s="102" t="s">
        <v>556</v>
      </c>
      <c r="F295" s="102" t="s">
        <v>557</v>
      </c>
      <c r="G295" s="102" t="s">
        <v>353</v>
      </c>
      <c r="H295" s="102" t="s">
        <v>354</v>
      </c>
      <c r="I295" s="102" t="s">
        <v>284</v>
      </c>
      <c r="J295" s="102" t="s">
        <v>26</v>
      </c>
      <c r="L295" s="229" t="s">
        <v>4259</v>
      </c>
      <c r="M295" s="229" t="s">
        <v>4260</v>
      </c>
      <c r="O295" s="102">
        <v>3.0</v>
      </c>
      <c r="S295" s="230"/>
      <c r="T295" s="244" t="str">
        <f>IF(ISNUMBER(MATCH(B295, 'Sprint 19'!B:B, 0)), "มาจาก Sprint 19", "")</f>
        <v>มาจาก Sprint 19</v>
      </c>
      <c r="U295" s="244" t="str">
        <f t="array" ref="U295">IF(ISNUMBER(MATCH(B295, 'Sprint 19'!B:B, 0)), INDEX('Sprint 19'!J:J, MATCH(B295, 'Sprint 19'!B:B, 0)), "")</f>
        <v>Ready to Staging</v>
      </c>
      <c r="V295" s="230"/>
      <c r="W295" s="102" t="s">
        <v>3043</v>
      </c>
      <c r="X295" s="102" t="s">
        <v>3035</v>
      </c>
      <c r="Y295" s="102" t="s">
        <v>3036</v>
      </c>
      <c r="Z295" s="102" t="s">
        <v>3037</v>
      </c>
      <c r="AA295" s="102" t="s">
        <v>3038</v>
      </c>
      <c r="AB295" s="230"/>
      <c r="AC295" s="230"/>
      <c r="AD295" s="230"/>
      <c r="AE295" s="230"/>
      <c r="AF295" s="230"/>
      <c r="AG295" s="230"/>
      <c r="AH295" s="230"/>
      <c r="AI295" s="230"/>
    </row>
    <row r="296">
      <c r="A296" s="102" t="s">
        <v>310</v>
      </c>
      <c r="B296" s="102" t="s">
        <v>4261</v>
      </c>
      <c r="C296" s="229" t="s">
        <v>4262</v>
      </c>
      <c r="D296" s="102" t="s">
        <v>4263</v>
      </c>
      <c r="E296" s="102" t="s">
        <v>556</v>
      </c>
      <c r="F296" s="102" t="s">
        <v>557</v>
      </c>
      <c r="G296" s="102" t="s">
        <v>353</v>
      </c>
      <c r="H296" s="102" t="s">
        <v>354</v>
      </c>
      <c r="I296" s="102" t="s">
        <v>284</v>
      </c>
      <c r="J296" s="102" t="s">
        <v>26</v>
      </c>
      <c r="L296" s="229" t="s">
        <v>4264</v>
      </c>
      <c r="M296" s="229" t="s">
        <v>4260</v>
      </c>
      <c r="O296" s="102">
        <v>3.0</v>
      </c>
      <c r="P296" s="102" t="s">
        <v>593</v>
      </c>
      <c r="Q296" s="102" t="s">
        <v>1855</v>
      </c>
      <c r="S296" s="230"/>
      <c r="T296" s="244" t="str">
        <f>IF(ISNUMBER(MATCH(B296, 'Sprint 19'!B:B, 0)), "มาจาก Sprint 19", "")</f>
        <v>มาจาก Sprint 19</v>
      </c>
      <c r="U296" s="244" t="str">
        <f t="array" ref="U296">IF(ISNUMBER(MATCH(B296, 'Sprint 19'!B:B, 0)), INDEX('Sprint 19'!J:J, MATCH(B296, 'Sprint 19'!B:B, 0)), "")</f>
        <v>Ready to Staging</v>
      </c>
      <c r="V296" s="230"/>
      <c r="W296" s="102" t="s">
        <v>3043</v>
      </c>
      <c r="X296" s="102" t="s">
        <v>3035</v>
      </c>
      <c r="Y296" s="102" t="s">
        <v>3036</v>
      </c>
      <c r="Z296" s="102" t="s">
        <v>3037</v>
      </c>
      <c r="AA296" s="102" t="s">
        <v>3038</v>
      </c>
      <c r="AB296" s="230"/>
      <c r="AC296" s="230"/>
      <c r="AD296" s="230"/>
      <c r="AE296" s="230"/>
      <c r="AF296" s="230"/>
      <c r="AG296" s="230"/>
      <c r="AH296" s="230"/>
      <c r="AI296" s="230"/>
    </row>
    <row r="297">
      <c r="A297" s="102" t="s">
        <v>310</v>
      </c>
      <c r="B297" s="102" t="s">
        <v>4265</v>
      </c>
      <c r="C297" s="229" t="s">
        <v>4266</v>
      </c>
      <c r="D297" s="102" t="s">
        <v>4267</v>
      </c>
      <c r="E297" s="102" t="s">
        <v>564</v>
      </c>
      <c r="F297" s="102" t="s">
        <v>565</v>
      </c>
      <c r="G297" s="102" t="s">
        <v>353</v>
      </c>
      <c r="H297" s="102" t="s">
        <v>354</v>
      </c>
      <c r="I297" s="102" t="s">
        <v>284</v>
      </c>
      <c r="J297" s="102" t="s">
        <v>26</v>
      </c>
      <c r="L297" s="229" t="s">
        <v>4264</v>
      </c>
      <c r="M297" s="229" t="s">
        <v>4255</v>
      </c>
      <c r="N297" s="229" t="s">
        <v>4268</v>
      </c>
      <c r="O297" s="102">
        <v>3.0</v>
      </c>
      <c r="P297" s="102" t="s">
        <v>593</v>
      </c>
      <c r="Q297" s="102" t="s">
        <v>1855</v>
      </c>
      <c r="S297" s="102">
        <v>0.0</v>
      </c>
      <c r="T297" s="244" t="str">
        <f>IF(ISNUMBER(MATCH(B297, 'Sprint 19'!B:B, 0)), "มาจาก Sprint 19", "")</f>
        <v>มาจาก Sprint 19</v>
      </c>
      <c r="U297" s="244" t="str">
        <f t="array" ref="U297">IF(ISNUMBER(MATCH(B297, 'Sprint 19'!B:B, 0)), INDEX('Sprint 19'!J:J, MATCH(B297, 'Sprint 19'!B:B, 0)), "")</f>
        <v>Ready to Staging</v>
      </c>
      <c r="V297" s="102">
        <v>28800.0</v>
      </c>
      <c r="W297" s="102" t="s">
        <v>3043</v>
      </c>
      <c r="X297" s="102" t="s">
        <v>3035</v>
      </c>
      <c r="Y297" s="102" t="s">
        <v>3036</v>
      </c>
      <c r="Z297" s="102" t="s">
        <v>3037</v>
      </c>
      <c r="AA297" s="102" t="s">
        <v>3038</v>
      </c>
      <c r="AB297" s="230"/>
      <c r="AC297" s="230"/>
      <c r="AD297" s="230"/>
      <c r="AE297" s="230"/>
      <c r="AF297" s="230"/>
      <c r="AG297" s="230"/>
      <c r="AH297" s="230"/>
      <c r="AI297" s="230"/>
    </row>
    <row r="298">
      <c r="A298" s="102" t="s">
        <v>310</v>
      </c>
      <c r="B298" s="102" t="s">
        <v>3039</v>
      </c>
      <c r="C298" s="229" t="s">
        <v>3040</v>
      </c>
      <c r="D298" s="102" t="s">
        <v>3041</v>
      </c>
      <c r="E298" s="102" t="s">
        <v>584</v>
      </c>
      <c r="F298" s="102" t="s">
        <v>585</v>
      </c>
      <c r="G298" s="102" t="s">
        <v>353</v>
      </c>
      <c r="H298" s="102" t="s">
        <v>354</v>
      </c>
      <c r="I298" s="102" t="s">
        <v>284</v>
      </c>
      <c r="J298" s="102" t="s">
        <v>454</v>
      </c>
      <c r="L298" s="229" t="s">
        <v>3042</v>
      </c>
      <c r="M298" s="229" t="s">
        <v>4260</v>
      </c>
      <c r="O298" s="102">
        <v>5.0</v>
      </c>
      <c r="P298" s="102" t="s">
        <v>1855</v>
      </c>
      <c r="S298" s="102">
        <v>0.0</v>
      </c>
      <c r="T298" s="244" t="str">
        <f>IF(ISNUMBER(MATCH(B298, 'Sprint 19'!B:B, 0)), "มาจาก Sprint 19", "")</f>
        <v>มาจาก Sprint 19</v>
      </c>
      <c r="U298" s="244" t="str">
        <f t="array" ref="U298">IF(ISNUMBER(MATCH(B298, 'Sprint 19'!B:B, 0)), INDEX('Sprint 19'!J:J, MATCH(B298, 'Sprint 19'!B:B, 0)), "")</f>
        <v>Ready to Staging</v>
      </c>
      <c r="V298" s="102">
        <v>86400.0</v>
      </c>
      <c r="W298" s="102" t="s">
        <v>3043</v>
      </c>
      <c r="X298" s="102" t="s">
        <v>3035</v>
      </c>
      <c r="Y298" s="102" t="s">
        <v>3036</v>
      </c>
      <c r="Z298" s="102" t="s">
        <v>3037</v>
      </c>
      <c r="AA298" s="102" t="s">
        <v>3038</v>
      </c>
      <c r="AB298" s="230"/>
      <c r="AC298" s="230"/>
      <c r="AD298" s="230"/>
      <c r="AE298" s="230"/>
      <c r="AF298" s="230"/>
      <c r="AG298" s="230"/>
      <c r="AH298" s="230"/>
      <c r="AI298" s="230"/>
    </row>
    <row r="299">
      <c r="A299" s="102" t="s">
        <v>310</v>
      </c>
      <c r="B299" s="102" t="s">
        <v>4269</v>
      </c>
      <c r="C299" s="229" t="s">
        <v>4270</v>
      </c>
      <c r="D299" s="102" t="s">
        <v>4271</v>
      </c>
      <c r="E299" s="102" t="s">
        <v>556</v>
      </c>
      <c r="F299" s="102" t="s">
        <v>557</v>
      </c>
      <c r="G299" s="102" t="s">
        <v>353</v>
      </c>
      <c r="H299" s="102" t="s">
        <v>354</v>
      </c>
      <c r="I299" s="102" t="s">
        <v>284</v>
      </c>
      <c r="J299" s="102" t="s">
        <v>26</v>
      </c>
      <c r="L299" s="229" t="s">
        <v>4272</v>
      </c>
      <c r="M299" s="229" t="s">
        <v>4239</v>
      </c>
      <c r="O299" s="102">
        <v>5.0</v>
      </c>
      <c r="P299" s="102" t="s">
        <v>593</v>
      </c>
      <c r="Q299" s="102" t="s">
        <v>4240</v>
      </c>
      <c r="S299" s="230"/>
      <c r="T299" s="244" t="str">
        <f>IF(ISNUMBER(MATCH(B299, 'Sprint 19'!B:B, 0)), "มาจาก Sprint 19", "")</f>
        <v>มาจาก Sprint 19</v>
      </c>
      <c r="U299" s="244" t="str">
        <f t="array" ref="U299">IF(ISNUMBER(MATCH(B299, 'Sprint 19'!B:B, 0)), INDEX('Sprint 19'!J:J, MATCH(B299, 'Sprint 19'!B:B, 0)), "")</f>
        <v>Ready to Staging</v>
      </c>
      <c r="V299" s="230"/>
      <c r="W299" s="102" t="s">
        <v>3043</v>
      </c>
      <c r="X299" s="102" t="s">
        <v>3035</v>
      </c>
      <c r="Y299" s="102" t="s">
        <v>3036</v>
      </c>
      <c r="Z299" s="102" t="s">
        <v>3037</v>
      </c>
      <c r="AA299" s="102" t="s">
        <v>3038</v>
      </c>
      <c r="AB299" s="230"/>
      <c r="AC299" s="230"/>
      <c r="AD299" s="230"/>
      <c r="AE299" s="230"/>
      <c r="AF299" s="230"/>
      <c r="AG299" s="230"/>
      <c r="AH299" s="230"/>
      <c r="AI299" s="230"/>
    </row>
    <row r="300">
      <c r="A300" s="102" t="s">
        <v>310</v>
      </c>
      <c r="B300" s="102" t="s">
        <v>2563</v>
      </c>
      <c r="C300" s="229" t="s">
        <v>2564</v>
      </c>
      <c r="D300" s="102" t="s">
        <v>2565</v>
      </c>
      <c r="E300" s="102" t="s">
        <v>564</v>
      </c>
      <c r="F300" s="102" t="s">
        <v>565</v>
      </c>
      <c r="G300" s="102" t="s">
        <v>282</v>
      </c>
      <c r="H300" s="102" t="s">
        <v>283</v>
      </c>
      <c r="I300" s="102" t="s">
        <v>515</v>
      </c>
      <c r="J300" s="102" t="s">
        <v>678</v>
      </c>
      <c r="L300" s="229" t="s">
        <v>2566</v>
      </c>
      <c r="M300" s="229" t="s">
        <v>4273</v>
      </c>
      <c r="N300" s="229" t="s">
        <v>2165</v>
      </c>
      <c r="O300" s="102">
        <v>3.0</v>
      </c>
      <c r="S300" s="102">
        <v>0.0</v>
      </c>
      <c r="T300" s="244" t="str">
        <f>IF(ISNUMBER(MATCH(B300, 'Sprint 19'!B:B, 0)), "มาจาก Sprint 19", "")</f>
        <v>มาจาก Sprint 19</v>
      </c>
      <c r="U300" s="244" t="str">
        <f t="array" ref="U300">IF(ISNUMBER(MATCH(B300, 'Sprint 19'!B:B, 0)), INDEX('Sprint 19'!J:J, MATCH(B300, 'Sprint 19'!B:B, 0)), "")</f>
        <v>Ready to Staging</v>
      </c>
      <c r="V300" s="102">
        <v>28800.0</v>
      </c>
      <c r="W300" s="102" t="s">
        <v>2269</v>
      </c>
      <c r="X300" s="102" t="s">
        <v>2270</v>
      </c>
      <c r="Y300" s="102" t="s">
        <v>2271</v>
      </c>
      <c r="Z300" s="230"/>
      <c r="AA300" s="230"/>
      <c r="AB300" s="230"/>
      <c r="AC300" s="230"/>
      <c r="AD300" s="230"/>
      <c r="AE300" s="230"/>
      <c r="AF300" s="230"/>
      <c r="AG300" s="230"/>
      <c r="AH300" s="230"/>
      <c r="AI300" s="230"/>
    </row>
    <row r="301">
      <c r="A301" s="102" t="s">
        <v>310</v>
      </c>
      <c r="B301" s="102" t="s">
        <v>2567</v>
      </c>
      <c r="C301" s="229" t="s">
        <v>2568</v>
      </c>
      <c r="D301" s="102" t="s">
        <v>2569</v>
      </c>
      <c r="E301" s="102" t="s">
        <v>564</v>
      </c>
      <c r="F301" s="102" t="s">
        <v>565</v>
      </c>
      <c r="G301" s="102" t="s">
        <v>282</v>
      </c>
      <c r="H301" s="102" t="s">
        <v>283</v>
      </c>
      <c r="I301" s="102" t="s">
        <v>515</v>
      </c>
      <c r="J301" s="102" t="s">
        <v>678</v>
      </c>
      <c r="L301" s="229" t="s">
        <v>2566</v>
      </c>
      <c r="M301" s="229" t="s">
        <v>4274</v>
      </c>
      <c r="N301" s="229" t="s">
        <v>2570</v>
      </c>
      <c r="O301" s="102">
        <v>3.0</v>
      </c>
      <c r="S301" s="102">
        <v>0.0</v>
      </c>
      <c r="T301" s="244" t="str">
        <f>IF(ISNUMBER(MATCH(B301, 'Sprint 19'!B:B, 0)), "มาจาก Sprint 19", "")</f>
        <v>มาจาก Sprint 19</v>
      </c>
      <c r="U301" s="244" t="str">
        <f t="array" ref="U301">IF(ISNUMBER(MATCH(B301, 'Sprint 19'!B:B, 0)), INDEX('Sprint 19'!J:J, MATCH(B301, 'Sprint 19'!B:B, 0)), "")</f>
        <v>Ready to Staging</v>
      </c>
      <c r="V301" s="102">
        <v>28800.0</v>
      </c>
      <c r="W301" s="102" t="s">
        <v>2269</v>
      </c>
      <c r="X301" s="102" t="s">
        <v>2270</v>
      </c>
      <c r="Y301" s="102" t="s">
        <v>2271</v>
      </c>
      <c r="Z301" s="230"/>
      <c r="AA301" s="230"/>
      <c r="AB301" s="230"/>
      <c r="AC301" s="230"/>
      <c r="AD301" s="230"/>
      <c r="AE301" s="230"/>
      <c r="AF301" s="230"/>
      <c r="AG301" s="230"/>
      <c r="AH301" s="230"/>
      <c r="AI301" s="230"/>
    </row>
    <row r="302">
      <c r="A302" s="102" t="s">
        <v>310</v>
      </c>
      <c r="B302" s="102" t="s">
        <v>2571</v>
      </c>
      <c r="C302" s="229" t="s">
        <v>2572</v>
      </c>
      <c r="D302" s="102" t="s">
        <v>2573</v>
      </c>
      <c r="E302" s="102" t="s">
        <v>564</v>
      </c>
      <c r="F302" s="102" t="s">
        <v>565</v>
      </c>
      <c r="G302" s="102" t="s">
        <v>282</v>
      </c>
      <c r="H302" s="102" t="s">
        <v>283</v>
      </c>
      <c r="I302" s="102" t="s">
        <v>515</v>
      </c>
      <c r="J302" s="102" t="s">
        <v>678</v>
      </c>
      <c r="L302" s="229" t="s">
        <v>2574</v>
      </c>
      <c r="M302" s="229" t="s">
        <v>4273</v>
      </c>
      <c r="N302" s="229" t="s">
        <v>2575</v>
      </c>
      <c r="O302" s="102">
        <v>3.0</v>
      </c>
      <c r="S302" s="102">
        <v>0.0</v>
      </c>
      <c r="T302" s="244" t="str">
        <f>IF(ISNUMBER(MATCH(B302, 'Sprint 19'!B:B, 0)), "มาจาก Sprint 19", "")</f>
        <v>มาจาก Sprint 19</v>
      </c>
      <c r="U302" s="244" t="str">
        <f t="array" ref="U302">IF(ISNUMBER(MATCH(B302, 'Sprint 19'!B:B, 0)), INDEX('Sprint 19'!J:J, MATCH(B302, 'Sprint 19'!B:B, 0)), "")</f>
        <v>Ready to Staging</v>
      </c>
      <c r="V302" s="102">
        <v>28800.0</v>
      </c>
      <c r="W302" s="102" t="s">
        <v>2266</v>
      </c>
      <c r="X302" s="102" t="s">
        <v>2267</v>
      </c>
      <c r="Y302" s="102" t="s">
        <v>2268</v>
      </c>
      <c r="Z302" s="102" t="s">
        <v>2269</v>
      </c>
      <c r="AA302" s="102" t="s">
        <v>2270</v>
      </c>
      <c r="AB302" s="102" t="s">
        <v>2271</v>
      </c>
      <c r="AC302" s="230"/>
      <c r="AD302" s="230"/>
      <c r="AE302" s="230"/>
      <c r="AF302" s="230"/>
      <c r="AG302" s="230"/>
      <c r="AH302" s="230"/>
      <c r="AI302" s="230"/>
    </row>
    <row r="303">
      <c r="A303" s="102" t="s">
        <v>630</v>
      </c>
      <c r="B303" s="102" t="s">
        <v>2180</v>
      </c>
      <c r="C303" s="229" t="s">
        <v>2181</v>
      </c>
      <c r="D303" s="102" t="s">
        <v>2182</v>
      </c>
      <c r="G303" s="102" t="s">
        <v>304</v>
      </c>
      <c r="H303" s="102" t="s">
        <v>305</v>
      </c>
      <c r="I303" s="102" t="s">
        <v>284</v>
      </c>
      <c r="J303" s="102" t="s">
        <v>63</v>
      </c>
      <c r="L303" s="229" t="s">
        <v>2183</v>
      </c>
      <c r="M303" s="229" t="s">
        <v>4275</v>
      </c>
      <c r="O303" s="230"/>
      <c r="S303" s="230"/>
      <c r="T303" s="244" t="str">
        <f>IF(ISNUMBER(MATCH(B303, 'Sprint 19'!B:B, 0)), "มาจาก Sprint 19", "")</f>
        <v/>
      </c>
      <c r="U303" s="244" t="str">
        <f t="array" ref="U303">IF(ISNUMBER(MATCH(B303, 'Sprint 19'!B:B, 0)), INDEX('Sprint 19'!J:J, MATCH(B303, 'Sprint 19'!B:B, 0)), "")</f>
        <v/>
      </c>
      <c r="W303" s="102" t="s">
        <v>2185</v>
      </c>
      <c r="X303" s="102" t="s">
        <v>2186</v>
      </c>
      <c r="Y303" s="102" t="s">
        <v>2187</v>
      </c>
      <c r="Z303" s="230"/>
      <c r="AA303" s="230"/>
      <c r="AB303" s="230"/>
      <c r="AC303" s="230"/>
      <c r="AD303" s="230"/>
      <c r="AE303" s="230"/>
      <c r="AF303" s="230"/>
      <c r="AG303" s="230"/>
      <c r="AH303" s="230"/>
      <c r="AI303" s="230"/>
    </row>
    <row r="304">
      <c r="A304" s="102" t="s">
        <v>332</v>
      </c>
      <c r="B304" s="102" t="s">
        <v>3053</v>
      </c>
      <c r="C304" s="229" t="s">
        <v>3054</v>
      </c>
      <c r="D304" s="102" t="s">
        <v>3055</v>
      </c>
      <c r="E304" s="102" t="s">
        <v>495</v>
      </c>
      <c r="F304" s="102" t="s">
        <v>496</v>
      </c>
      <c r="G304" s="102" t="s">
        <v>304</v>
      </c>
      <c r="H304" s="102" t="s">
        <v>305</v>
      </c>
      <c r="I304" s="102" t="s">
        <v>284</v>
      </c>
      <c r="J304" s="102" t="s">
        <v>922</v>
      </c>
      <c r="L304" s="229" t="s">
        <v>3056</v>
      </c>
      <c r="M304" s="229" t="s">
        <v>4275</v>
      </c>
      <c r="O304" s="102">
        <v>2.0</v>
      </c>
      <c r="S304" s="230"/>
      <c r="T304" s="244" t="str">
        <f>IF(ISNUMBER(MATCH(B304, 'Sprint 19'!B:B, 0)), "มาจาก Sprint 19", "")</f>
        <v/>
      </c>
      <c r="U304" s="244" t="str">
        <f t="array" ref="U304">IF(ISNUMBER(MATCH(B304, 'Sprint 19'!B:B, 0)), INDEX('Sprint 19'!J:J, MATCH(B304, 'Sprint 19'!B:B, 0)), "")</f>
        <v/>
      </c>
      <c r="W304" s="102" t="s">
        <v>2185</v>
      </c>
      <c r="X304" s="102" t="s">
        <v>2186</v>
      </c>
      <c r="Y304" s="102" t="s">
        <v>2187</v>
      </c>
      <c r="Z304" s="230"/>
      <c r="AA304" s="230"/>
      <c r="AB304" s="230"/>
      <c r="AC304" s="230"/>
      <c r="AD304" s="230"/>
      <c r="AE304" s="230"/>
      <c r="AF304" s="230"/>
      <c r="AG304" s="230"/>
      <c r="AH304" s="230"/>
      <c r="AI304" s="230"/>
    </row>
    <row r="305">
      <c r="A305" s="102" t="s">
        <v>310</v>
      </c>
      <c r="B305" s="102" t="s">
        <v>4276</v>
      </c>
      <c r="C305" s="229" t="s">
        <v>4277</v>
      </c>
      <c r="D305" s="102" t="s">
        <v>4278</v>
      </c>
      <c r="E305" s="102" t="s">
        <v>564</v>
      </c>
      <c r="F305" s="102" t="s">
        <v>565</v>
      </c>
      <c r="G305" s="102" t="s">
        <v>316</v>
      </c>
      <c r="H305" s="102" t="s">
        <v>317</v>
      </c>
      <c r="I305" s="102" t="s">
        <v>284</v>
      </c>
      <c r="J305" s="102" t="s">
        <v>26</v>
      </c>
      <c r="L305" s="229" t="s">
        <v>4279</v>
      </c>
      <c r="M305" s="229" t="s">
        <v>4280</v>
      </c>
      <c r="O305" s="102">
        <v>1.0</v>
      </c>
      <c r="P305" s="102" t="s">
        <v>433</v>
      </c>
      <c r="Q305" s="102" t="s">
        <v>368</v>
      </c>
      <c r="S305" s="230"/>
      <c r="T305" s="244" t="str">
        <f>IF(ISNUMBER(MATCH(B305, 'Sprint 19'!B:B, 0)), "มาจาก Sprint 19", "")</f>
        <v>มาจาก Sprint 19</v>
      </c>
      <c r="U305" s="244" t="str">
        <f t="array" ref="U305">IF(ISNUMBER(MATCH(B305, 'Sprint 19'!B:B, 0)), INDEX('Sprint 19'!J:J, MATCH(B305, 'Sprint 19'!B:B, 0)), "")</f>
        <v>To Do</v>
      </c>
      <c r="W305" s="102" t="s">
        <v>4150</v>
      </c>
      <c r="X305" s="102" t="s">
        <v>4005</v>
      </c>
      <c r="Y305" s="102" t="s">
        <v>1979</v>
      </c>
      <c r="Z305" s="230"/>
      <c r="AA305" s="230"/>
      <c r="AB305" s="230"/>
      <c r="AC305" s="230"/>
      <c r="AD305" s="230"/>
      <c r="AE305" s="230"/>
      <c r="AF305" s="230"/>
      <c r="AG305" s="230"/>
      <c r="AH305" s="230"/>
      <c r="AI305" s="230"/>
    </row>
    <row r="306">
      <c r="A306" s="102" t="s">
        <v>1465</v>
      </c>
      <c r="B306" s="102" t="s">
        <v>3241</v>
      </c>
      <c r="C306" s="229" t="s">
        <v>3242</v>
      </c>
      <c r="D306" s="102" t="s">
        <v>3243</v>
      </c>
      <c r="G306" s="102" t="s">
        <v>521</v>
      </c>
      <c r="H306" s="102" t="s">
        <v>522</v>
      </c>
      <c r="I306" s="102" t="s">
        <v>284</v>
      </c>
      <c r="J306" s="102" t="s">
        <v>63</v>
      </c>
      <c r="L306" s="229" t="s">
        <v>3244</v>
      </c>
      <c r="M306" s="229" t="s">
        <v>4275</v>
      </c>
      <c r="O306" s="230"/>
      <c r="S306" s="230"/>
      <c r="T306" s="244" t="str">
        <f>IF(ISNUMBER(MATCH(B306, 'Sprint 19'!B:B, 0)), "มาจาก Sprint 19", "")</f>
        <v/>
      </c>
      <c r="U306" s="244" t="str">
        <f t="array" ref="U306">IF(ISNUMBER(MATCH(B306, 'Sprint 19'!B:B, 0)), INDEX('Sprint 19'!J:J, MATCH(B306, 'Sprint 19'!B:B, 0)), "")</f>
        <v/>
      </c>
      <c r="W306" s="102" t="s">
        <v>2196</v>
      </c>
      <c r="X306" s="102" t="s">
        <v>2185</v>
      </c>
      <c r="Y306" s="102" t="s">
        <v>2186</v>
      </c>
      <c r="Z306" s="102" t="s">
        <v>2187</v>
      </c>
      <c r="AA306" s="230"/>
      <c r="AB306" s="230"/>
      <c r="AC306" s="230"/>
      <c r="AD306" s="230"/>
      <c r="AE306" s="230"/>
      <c r="AF306" s="230"/>
      <c r="AG306" s="230"/>
      <c r="AH306" s="230"/>
      <c r="AI306" s="230"/>
    </row>
    <row r="307">
      <c r="A307" s="102" t="s">
        <v>630</v>
      </c>
      <c r="B307" s="102" t="s">
        <v>2192</v>
      </c>
      <c r="C307" s="229" t="s">
        <v>2193</v>
      </c>
      <c r="D307" s="102" t="s">
        <v>2194</v>
      </c>
      <c r="G307" s="102" t="s">
        <v>304</v>
      </c>
      <c r="H307" s="102" t="s">
        <v>305</v>
      </c>
      <c r="I307" s="102" t="s">
        <v>284</v>
      </c>
      <c r="J307" s="102" t="s">
        <v>63</v>
      </c>
      <c r="L307" s="229" t="s">
        <v>2195</v>
      </c>
      <c r="M307" s="229" t="s">
        <v>4275</v>
      </c>
      <c r="O307" s="230"/>
      <c r="S307" s="230"/>
      <c r="T307" s="244" t="str">
        <f>IF(ISNUMBER(MATCH(B307, 'Sprint 19'!B:B, 0)), "มาจาก Sprint 19", "")</f>
        <v/>
      </c>
      <c r="U307" s="244" t="str">
        <f t="array" ref="U307">IF(ISNUMBER(MATCH(B307, 'Sprint 19'!B:B, 0)), INDEX('Sprint 19'!J:J, MATCH(B307, 'Sprint 19'!B:B, 0)), "")</f>
        <v/>
      </c>
      <c r="W307" s="102" t="s">
        <v>2196</v>
      </c>
      <c r="X307" s="102" t="s">
        <v>2185</v>
      </c>
      <c r="Y307" s="102" t="s">
        <v>2186</v>
      </c>
      <c r="Z307" s="102" t="s">
        <v>2187</v>
      </c>
      <c r="AA307" s="230"/>
      <c r="AB307" s="230"/>
      <c r="AC307" s="230"/>
      <c r="AD307" s="230"/>
      <c r="AE307" s="230"/>
      <c r="AF307" s="230"/>
      <c r="AG307" s="230"/>
      <c r="AH307" s="230"/>
      <c r="AI307" s="230"/>
    </row>
    <row r="308">
      <c r="A308" s="102" t="s">
        <v>630</v>
      </c>
      <c r="B308" s="102" t="s">
        <v>2197</v>
      </c>
      <c r="C308" s="229" t="s">
        <v>2198</v>
      </c>
      <c r="D308" s="102" t="s">
        <v>2199</v>
      </c>
      <c r="G308" s="102" t="s">
        <v>304</v>
      </c>
      <c r="H308" s="102" t="s">
        <v>305</v>
      </c>
      <c r="I308" s="102" t="s">
        <v>284</v>
      </c>
      <c r="J308" s="102" t="s">
        <v>63</v>
      </c>
      <c r="L308" s="229" t="s">
        <v>2200</v>
      </c>
      <c r="M308" s="229" t="s">
        <v>4275</v>
      </c>
      <c r="O308" s="230"/>
      <c r="S308" s="230"/>
      <c r="T308" s="244" t="str">
        <f>IF(ISNUMBER(MATCH(B308, 'Sprint 19'!B:B, 0)), "มาจาก Sprint 19", "")</f>
        <v/>
      </c>
      <c r="U308" s="244" t="str">
        <f t="array" ref="U308">IF(ISNUMBER(MATCH(B308, 'Sprint 19'!B:B, 0)), INDEX('Sprint 19'!J:J, MATCH(B308, 'Sprint 19'!B:B, 0)), "")</f>
        <v/>
      </c>
      <c r="W308" s="102" t="s">
        <v>2196</v>
      </c>
      <c r="X308" s="102" t="s">
        <v>2185</v>
      </c>
      <c r="Y308" s="102" t="s">
        <v>2186</v>
      </c>
      <c r="Z308" s="102" t="s">
        <v>2187</v>
      </c>
      <c r="AA308" s="230"/>
      <c r="AB308" s="230"/>
      <c r="AC308" s="230"/>
      <c r="AD308" s="230"/>
      <c r="AE308" s="230"/>
      <c r="AF308" s="230"/>
      <c r="AG308" s="230"/>
      <c r="AH308" s="230"/>
      <c r="AI308" s="230"/>
    </row>
    <row r="309">
      <c r="A309" s="102" t="s">
        <v>630</v>
      </c>
      <c r="B309" s="102" t="s">
        <v>2201</v>
      </c>
      <c r="C309" s="229" t="s">
        <v>2202</v>
      </c>
      <c r="D309" s="102" t="s">
        <v>2203</v>
      </c>
      <c r="G309" s="102" t="s">
        <v>304</v>
      </c>
      <c r="H309" s="102" t="s">
        <v>305</v>
      </c>
      <c r="I309" s="102" t="s">
        <v>284</v>
      </c>
      <c r="J309" s="102" t="s">
        <v>63</v>
      </c>
      <c r="L309" s="229" t="s">
        <v>2204</v>
      </c>
      <c r="M309" s="229" t="s">
        <v>4275</v>
      </c>
      <c r="O309" s="230"/>
      <c r="S309" s="230"/>
      <c r="T309" s="244" t="str">
        <f>IF(ISNUMBER(MATCH(B309, 'Sprint 19'!B:B, 0)), "มาจาก Sprint 19", "")</f>
        <v/>
      </c>
      <c r="U309" s="244" t="str">
        <f t="array" ref="U309">IF(ISNUMBER(MATCH(B309, 'Sprint 19'!B:B, 0)), INDEX('Sprint 19'!J:J, MATCH(B309, 'Sprint 19'!B:B, 0)), "")</f>
        <v/>
      </c>
      <c r="W309" s="102" t="s">
        <v>2205</v>
      </c>
      <c r="X309" s="102" t="s">
        <v>2196</v>
      </c>
      <c r="Y309" s="102" t="s">
        <v>2185</v>
      </c>
      <c r="Z309" s="102" t="s">
        <v>2186</v>
      </c>
      <c r="AA309" s="102" t="s">
        <v>2187</v>
      </c>
      <c r="AB309" s="230"/>
      <c r="AC309" s="230"/>
      <c r="AD309" s="230"/>
      <c r="AE309" s="230"/>
      <c r="AF309" s="230"/>
      <c r="AG309" s="230"/>
      <c r="AH309" s="230"/>
      <c r="AI309" s="230"/>
    </row>
    <row r="310">
      <c r="A310" s="102" t="s">
        <v>630</v>
      </c>
      <c r="B310" s="102" t="s">
        <v>2206</v>
      </c>
      <c r="C310" s="229" t="s">
        <v>2207</v>
      </c>
      <c r="D310" s="102" t="s">
        <v>2208</v>
      </c>
      <c r="G310" s="102" t="s">
        <v>304</v>
      </c>
      <c r="H310" s="102" t="s">
        <v>305</v>
      </c>
      <c r="I310" s="102" t="s">
        <v>284</v>
      </c>
      <c r="J310" s="102" t="s">
        <v>63</v>
      </c>
      <c r="L310" s="229" t="s">
        <v>2209</v>
      </c>
      <c r="M310" s="229" t="s">
        <v>4275</v>
      </c>
      <c r="O310" s="230"/>
      <c r="P310" s="102" t="s">
        <v>1808</v>
      </c>
      <c r="S310" s="230"/>
      <c r="T310" s="244" t="str">
        <f>IF(ISNUMBER(MATCH(B310, 'Sprint 19'!B:B, 0)), "มาจาก Sprint 19", "")</f>
        <v/>
      </c>
      <c r="U310" s="244" t="str">
        <f t="array" ref="U310">IF(ISNUMBER(MATCH(B310, 'Sprint 19'!B:B, 0)), INDEX('Sprint 19'!J:J, MATCH(B310, 'Sprint 19'!B:B, 0)), "")</f>
        <v/>
      </c>
      <c r="W310" s="102" t="s">
        <v>2205</v>
      </c>
      <c r="X310" s="102" t="s">
        <v>2196</v>
      </c>
      <c r="Y310" s="102" t="s">
        <v>2185</v>
      </c>
      <c r="Z310" s="102" t="s">
        <v>2186</v>
      </c>
      <c r="AA310" s="102" t="s">
        <v>2187</v>
      </c>
      <c r="AB310" s="230"/>
      <c r="AC310" s="230"/>
      <c r="AD310" s="230"/>
      <c r="AE310" s="230"/>
      <c r="AF310" s="230"/>
      <c r="AG310" s="230"/>
      <c r="AH310" s="230"/>
      <c r="AI310" s="230"/>
    </row>
    <row r="311">
      <c r="O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  <c r="AI311" s="230"/>
    </row>
    <row r="312">
      <c r="O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  <c r="AI312" s="230"/>
    </row>
    <row r="313">
      <c r="O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  <c r="AI313" s="230"/>
    </row>
    <row r="314">
      <c r="O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  <c r="AI314" s="230"/>
    </row>
    <row r="315">
      <c r="O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  <c r="AI315" s="230"/>
    </row>
    <row r="316">
      <c r="O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  <c r="AI316" s="230"/>
    </row>
    <row r="317">
      <c r="O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  <c r="AI317" s="230"/>
    </row>
    <row r="318">
      <c r="O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  <c r="AI318" s="230"/>
    </row>
    <row r="319">
      <c r="O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  <c r="AI319" s="230"/>
    </row>
    <row r="320">
      <c r="O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  <c r="AI320" s="230"/>
    </row>
    <row r="321">
      <c r="O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</row>
    <row r="322">
      <c r="O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</row>
    <row r="323">
      <c r="O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  <c r="AI323" s="230"/>
    </row>
    <row r="324">
      <c r="O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</row>
    <row r="325">
      <c r="O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  <c r="AI325" s="230"/>
    </row>
    <row r="326">
      <c r="O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  <c r="AI326" s="230"/>
    </row>
    <row r="327">
      <c r="O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  <c r="AI327" s="230"/>
    </row>
    <row r="328">
      <c r="O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</row>
    <row r="329">
      <c r="O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</row>
    <row r="330">
      <c r="O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  <c r="AI330" s="230"/>
    </row>
    <row r="331">
      <c r="O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</row>
    <row r="332">
      <c r="O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  <c r="AI332" s="230"/>
    </row>
    <row r="333">
      <c r="O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  <c r="AI333" s="230"/>
    </row>
    <row r="334">
      <c r="O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  <c r="AI334" s="230"/>
    </row>
    <row r="335">
      <c r="O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  <c r="AI335" s="230"/>
    </row>
    <row r="336">
      <c r="O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  <c r="AI336" s="230"/>
    </row>
    <row r="337">
      <c r="O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  <c r="AI337" s="230"/>
    </row>
    <row r="338">
      <c r="O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</row>
    <row r="339">
      <c r="O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  <c r="AI339" s="230"/>
    </row>
    <row r="340">
      <c r="O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  <c r="AI340" s="230"/>
    </row>
    <row r="341">
      <c r="O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  <c r="AI341" s="230"/>
    </row>
    <row r="342">
      <c r="O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  <c r="AI342" s="230"/>
    </row>
    <row r="343">
      <c r="O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  <c r="AI343" s="230"/>
    </row>
    <row r="344">
      <c r="O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</row>
    <row r="345">
      <c r="O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</row>
    <row r="346">
      <c r="O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</row>
    <row r="347">
      <c r="O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</row>
    <row r="348">
      <c r="O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</row>
    <row r="349">
      <c r="O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</row>
    <row r="350">
      <c r="O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</row>
    <row r="351">
      <c r="O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</row>
    <row r="352">
      <c r="O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</row>
    <row r="353">
      <c r="O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</row>
    <row r="354">
      <c r="O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  <c r="AI354" s="230"/>
    </row>
    <row r="355">
      <c r="O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  <c r="AI355" s="230"/>
    </row>
    <row r="356">
      <c r="O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  <c r="AI356" s="230"/>
    </row>
    <row r="357">
      <c r="O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  <c r="AI357" s="230"/>
    </row>
    <row r="358">
      <c r="O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  <c r="AI358" s="230"/>
    </row>
    <row r="359">
      <c r="O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  <c r="AI359" s="230"/>
    </row>
    <row r="360">
      <c r="O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  <c r="AI360" s="230"/>
    </row>
    <row r="361">
      <c r="O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</row>
    <row r="362">
      <c r="O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  <c r="AI362" s="230"/>
    </row>
    <row r="363">
      <c r="O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  <c r="AI363" s="230"/>
    </row>
    <row r="364">
      <c r="O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  <c r="AI364" s="230"/>
    </row>
    <row r="365">
      <c r="O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  <c r="AI365" s="230"/>
    </row>
    <row r="366">
      <c r="O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  <c r="AI366" s="230"/>
    </row>
    <row r="367">
      <c r="O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  <c r="AI367" s="230"/>
    </row>
    <row r="368">
      <c r="O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  <c r="AI368" s="230"/>
    </row>
    <row r="369">
      <c r="O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  <c r="AI369" s="230"/>
    </row>
    <row r="370">
      <c r="O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</row>
    <row r="371">
      <c r="O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  <c r="AI371" s="230"/>
    </row>
    <row r="372">
      <c r="O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  <c r="AI372" s="230"/>
    </row>
    <row r="373">
      <c r="O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  <c r="AI373" s="230"/>
    </row>
    <row r="374">
      <c r="O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  <c r="AI374" s="230"/>
    </row>
    <row r="375">
      <c r="O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</row>
    <row r="376">
      <c r="O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  <c r="AI376" s="230"/>
    </row>
    <row r="377">
      <c r="O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  <c r="AI377" s="230"/>
    </row>
    <row r="378">
      <c r="O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  <c r="AI378" s="230"/>
    </row>
    <row r="379">
      <c r="O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  <c r="AI379" s="230"/>
    </row>
    <row r="380">
      <c r="O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  <c r="AI380" s="230"/>
    </row>
    <row r="381">
      <c r="O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</row>
    <row r="382">
      <c r="O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  <c r="AI382" s="230"/>
    </row>
    <row r="383">
      <c r="O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</row>
    <row r="384">
      <c r="O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  <c r="AI384" s="230"/>
    </row>
    <row r="385">
      <c r="O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  <c r="AI385" s="230"/>
    </row>
    <row r="386">
      <c r="O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  <c r="AI386" s="230"/>
    </row>
    <row r="387">
      <c r="O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  <c r="AI387" s="230"/>
    </row>
    <row r="388">
      <c r="O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  <c r="AI388" s="230"/>
    </row>
    <row r="389">
      <c r="O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  <c r="AI389" s="230"/>
    </row>
    <row r="390">
      <c r="O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  <c r="AI390" s="230"/>
    </row>
    <row r="391">
      <c r="O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  <c r="AI391" s="230"/>
    </row>
    <row r="392">
      <c r="O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  <c r="AI392" s="230"/>
    </row>
    <row r="393">
      <c r="O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  <c r="AI393" s="230"/>
    </row>
    <row r="394">
      <c r="O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  <c r="AI394" s="230"/>
    </row>
    <row r="395">
      <c r="O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  <c r="AI395" s="230"/>
    </row>
    <row r="396">
      <c r="O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  <c r="AI396" s="230"/>
    </row>
    <row r="397">
      <c r="O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</row>
    <row r="398">
      <c r="O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  <c r="AI398" s="230"/>
    </row>
    <row r="399">
      <c r="O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  <c r="AI399" s="230"/>
    </row>
    <row r="400">
      <c r="O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  <c r="AI400" s="230"/>
    </row>
    <row r="401">
      <c r="O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  <c r="AI401" s="230"/>
    </row>
    <row r="402">
      <c r="O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  <c r="AI402" s="230"/>
    </row>
    <row r="403">
      <c r="O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  <c r="AI403" s="230"/>
    </row>
    <row r="404">
      <c r="O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  <c r="AI404" s="230"/>
    </row>
    <row r="405">
      <c r="O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  <c r="AI405" s="230"/>
    </row>
    <row r="406">
      <c r="O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  <c r="AI406" s="230"/>
    </row>
    <row r="407">
      <c r="O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  <c r="AI407" s="230"/>
    </row>
    <row r="408">
      <c r="O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  <c r="AI408" s="230"/>
    </row>
    <row r="409">
      <c r="O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  <c r="AI409" s="230"/>
    </row>
    <row r="410">
      <c r="O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  <c r="AI410" s="230"/>
    </row>
    <row r="411">
      <c r="O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  <c r="AI411" s="230"/>
    </row>
    <row r="412">
      <c r="O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  <c r="AI412" s="230"/>
    </row>
    <row r="413">
      <c r="O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  <c r="AI413" s="230"/>
    </row>
    <row r="414">
      <c r="O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  <c r="AI414" s="230"/>
    </row>
    <row r="415">
      <c r="O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  <c r="AI415" s="230"/>
    </row>
    <row r="416">
      <c r="O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  <c r="AI416" s="230"/>
    </row>
    <row r="417">
      <c r="O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  <c r="AI417" s="230"/>
    </row>
    <row r="418">
      <c r="O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  <c r="AI418" s="230"/>
    </row>
    <row r="419">
      <c r="O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</row>
    <row r="420">
      <c r="O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  <c r="AI420" s="230"/>
    </row>
    <row r="421">
      <c r="O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  <c r="AI421" s="230"/>
    </row>
    <row r="422">
      <c r="O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</row>
    <row r="423">
      <c r="O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  <c r="AI423" s="230"/>
    </row>
    <row r="424">
      <c r="O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  <c r="AI424" s="230"/>
    </row>
    <row r="425">
      <c r="O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  <c r="AI425" s="230"/>
    </row>
    <row r="426">
      <c r="O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  <c r="AI426" s="230"/>
    </row>
    <row r="427">
      <c r="O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</row>
    <row r="428">
      <c r="O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</row>
    <row r="429">
      <c r="O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  <c r="AI429" s="230"/>
    </row>
    <row r="430">
      <c r="O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  <c r="AI430" s="230"/>
    </row>
    <row r="431">
      <c r="O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  <c r="AI431" s="230"/>
    </row>
    <row r="432">
      <c r="O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  <c r="AI432" s="230"/>
    </row>
    <row r="433">
      <c r="O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</row>
    <row r="434">
      <c r="O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</row>
    <row r="435">
      <c r="O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  <c r="AI435" s="230"/>
    </row>
    <row r="436">
      <c r="O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  <c r="AI436" s="230"/>
    </row>
    <row r="437">
      <c r="O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</row>
    <row r="438">
      <c r="O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  <c r="AI438" s="230"/>
    </row>
    <row r="439">
      <c r="O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  <c r="AI439" s="230"/>
    </row>
    <row r="440">
      <c r="O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  <c r="AI440" s="230"/>
    </row>
    <row r="441">
      <c r="O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</row>
    <row r="442">
      <c r="O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  <c r="AI442" s="230"/>
    </row>
    <row r="443">
      <c r="O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  <c r="AI443" s="230"/>
    </row>
    <row r="444">
      <c r="O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  <c r="AI444" s="230"/>
    </row>
    <row r="445">
      <c r="O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  <c r="AI445" s="230"/>
    </row>
    <row r="446">
      <c r="O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  <c r="AI446" s="230"/>
    </row>
    <row r="447">
      <c r="O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  <c r="AI447" s="230"/>
    </row>
    <row r="448">
      <c r="O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  <c r="AI448" s="230"/>
    </row>
    <row r="449">
      <c r="O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  <c r="AI449" s="230"/>
    </row>
    <row r="450">
      <c r="O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  <c r="AI450" s="230"/>
    </row>
    <row r="451">
      <c r="O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  <c r="AI451" s="230"/>
    </row>
    <row r="452">
      <c r="O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  <c r="AI452" s="230"/>
    </row>
    <row r="453">
      <c r="O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  <c r="AI453" s="230"/>
    </row>
    <row r="454">
      <c r="O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  <c r="AI454" s="230"/>
    </row>
    <row r="455">
      <c r="O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  <c r="AI455" s="230"/>
    </row>
    <row r="456">
      <c r="O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  <c r="AI456" s="230"/>
    </row>
    <row r="457">
      <c r="O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  <c r="AI457" s="230"/>
    </row>
    <row r="458">
      <c r="O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  <c r="AI458" s="230"/>
    </row>
    <row r="459">
      <c r="O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  <c r="AI459" s="230"/>
    </row>
    <row r="460">
      <c r="O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  <c r="AI460" s="230"/>
    </row>
    <row r="461">
      <c r="O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  <c r="AI461" s="230"/>
    </row>
    <row r="462">
      <c r="O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  <c r="AI462" s="230"/>
    </row>
    <row r="463">
      <c r="O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</row>
    <row r="464">
      <c r="O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  <c r="AI464" s="230"/>
    </row>
    <row r="465">
      <c r="O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  <c r="AI465" s="230"/>
    </row>
    <row r="466">
      <c r="O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  <c r="AI466" s="230"/>
    </row>
    <row r="467">
      <c r="O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  <c r="AI467" s="230"/>
    </row>
    <row r="468">
      <c r="O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  <c r="AI468" s="230"/>
    </row>
    <row r="469">
      <c r="O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  <c r="AI469" s="230"/>
    </row>
    <row r="470">
      <c r="O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  <c r="AI470" s="230"/>
    </row>
    <row r="471">
      <c r="O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  <c r="AI471" s="230"/>
    </row>
    <row r="472">
      <c r="O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  <c r="AI472" s="230"/>
    </row>
    <row r="473">
      <c r="O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  <c r="AI473" s="230"/>
    </row>
    <row r="474">
      <c r="O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  <c r="AI474" s="230"/>
    </row>
    <row r="475">
      <c r="O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  <c r="AI475" s="230"/>
    </row>
    <row r="476">
      <c r="O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  <c r="AI476" s="230"/>
    </row>
    <row r="477">
      <c r="O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  <c r="AI477" s="230"/>
    </row>
    <row r="478">
      <c r="O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  <c r="AI478" s="230"/>
    </row>
    <row r="479">
      <c r="O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  <c r="AI479" s="230"/>
    </row>
    <row r="480">
      <c r="O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  <c r="AI480" s="230"/>
    </row>
    <row r="481">
      <c r="O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  <c r="AI481" s="230"/>
    </row>
    <row r="482">
      <c r="O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  <c r="AI482" s="230"/>
    </row>
    <row r="483">
      <c r="O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  <c r="AI483" s="230"/>
    </row>
    <row r="484">
      <c r="O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  <c r="AI484" s="230"/>
    </row>
    <row r="485">
      <c r="O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</row>
    <row r="486">
      <c r="O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  <c r="AI486" s="230"/>
    </row>
    <row r="487">
      <c r="O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  <c r="AI487" s="230"/>
    </row>
    <row r="488">
      <c r="O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  <c r="AI488" s="230"/>
    </row>
    <row r="489">
      <c r="O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</row>
    <row r="490">
      <c r="O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  <c r="AI490" s="230"/>
    </row>
    <row r="491">
      <c r="O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</row>
    <row r="492">
      <c r="O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</row>
    <row r="493">
      <c r="O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  <c r="AI493" s="230"/>
    </row>
    <row r="494">
      <c r="O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  <c r="AI494" s="230"/>
    </row>
    <row r="495">
      <c r="O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  <c r="AI495" s="230"/>
    </row>
    <row r="496">
      <c r="O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  <c r="AI496" s="230"/>
    </row>
    <row r="497">
      <c r="O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  <c r="AI497" s="230"/>
    </row>
    <row r="498">
      <c r="O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  <c r="AI498" s="230"/>
    </row>
    <row r="499">
      <c r="O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  <c r="AI499" s="230"/>
    </row>
    <row r="500">
      <c r="O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  <c r="AI500" s="230"/>
    </row>
    <row r="501">
      <c r="O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  <c r="AI501" s="230"/>
    </row>
    <row r="502">
      <c r="O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  <c r="AI502" s="230"/>
    </row>
    <row r="503">
      <c r="O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  <c r="AI503" s="230"/>
    </row>
    <row r="504">
      <c r="O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  <c r="AI504" s="230"/>
    </row>
    <row r="505">
      <c r="O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  <c r="AI505" s="230"/>
    </row>
    <row r="506">
      <c r="O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  <c r="AI506" s="230"/>
    </row>
    <row r="507">
      <c r="O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</row>
    <row r="508">
      <c r="O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  <c r="AI508" s="230"/>
    </row>
    <row r="509">
      <c r="O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  <c r="AI509" s="230"/>
    </row>
    <row r="510">
      <c r="O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  <c r="AI510" s="230"/>
    </row>
    <row r="511">
      <c r="O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  <c r="AI511" s="230"/>
    </row>
    <row r="512">
      <c r="O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  <c r="AI512" s="230"/>
    </row>
    <row r="513">
      <c r="O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  <c r="AI513" s="230"/>
    </row>
    <row r="514">
      <c r="O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  <c r="AI514" s="230"/>
    </row>
    <row r="515">
      <c r="O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  <c r="AI515" s="230"/>
    </row>
    <row r="516">
      <c r="O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  <c r="AI516" s="230"/>
    </row>
    <row r="517">
      <c r="O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  <c r="AI517" s="230"/>
    </row>
    <row r="518">
      <c r="O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  <c r="AI518" s="230"/>
    </row>
    <row r="519">
      <c r="O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  <c r="AI519" s="230"/>
    </row>
    <row r="520">
      <c r="O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</row>
    <row r="521">
      <c r="O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</row>
    <row r="522">
      <c r="O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</row>
    <row r="523">
      <c r="O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</row>
    <row r="524">
      <c r="O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</row>
    <row r="525">
      <c r="O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</row>
    <row r="526">
      <c r="O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</row>
    <row r="527">
      <c r="O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</row>
    <row r="528">
      <c r="O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  <c r="AI528" s="230"/>
    </row>
    <row r="529">
      <c r="O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</row>
    <row r="530">
      <c r="O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  <c r="AI530" s="230"/>
    </row>
    <row r="531">
      <c r="O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  <c r="AI531" s="230"/>
    </row>
    <row r="532">
      <c r="O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  <c r="AI532" s="230"/>
    </row>
    <row r="533">
      <c r="O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  <c r="AI533" s="230"/>
    </row>
    <row r="534">
      <c r="O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  <c r="AI534" s="230"/>
    </row>
    <row r="535">
      <c r="O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  <c r="AI535" s="230"/>
    </row>
    <row r="536">
      <c r="O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  <c r="AI536" s="230"/>
    </row>
    <row r="537">
      <c r="O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  <c r="AI537" s="230"/>
    </row>
    <row r="538">
      <c r="O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  <c r="AI538" s="230"/>
    </row>
    <row r="539">
      <c r="O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  <c r="AI539" s="230"/>
    </row>
    <row r="540">
      <c r="O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  <c r="AI540" s="230"/>
    </row>
    <row r="541">
      <c r="O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  <c r="AI541" s="230"/>
    </row>
    <row r="542">
      <c r="O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  <c r="AI542" s="230"/>
    </row>
    <row r="543">
      <c r="O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  <c r="AI543" s="230"/>
    </row>
    <row r="544">
      <c r="O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</row>
    <row r="545">
      <c r="O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  <c r="AI545" s="230"/>
    </row>
    <row r="546">
      <c r="O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  <c r="AI546" s="230"/>
    </row>
    <row r="547">
      <c r="O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</row>
    <row r="548">
      <c r="O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  <c r="AI548" s="230"/>
    </row>
    <row r="549">
      <c r="O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  <c r="AI549" s="230"/>
    </row>
    <row r="550">
      <c r="O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  <c r="AI550" s="230"/>
    </row>
    <row r="551">
      <c r="O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</row>
    <row r="552">
      <c r="O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  <c r="AI552" s="230"/>
    </row>
    <row r="553">
      <c r="O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  <c r="AI553" s="230"/>
    </row>
    <row r="554">
      <c r="O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  <c r="AI554" s="230"/>
    </row>
    <row r="555">
      <c r="O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  <c r="AI555" s="230"/>
    </row>
    <row r="556">
      <c r="O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  <c r="AI556" s="230"/>
    </row>
    <row r="557">
      <c r="O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  <c r="AI557" s="230"/>
    </row>
    <row r="558">
      <c r="O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  <c r="AI558" s="230"/>
    </row>
    <row r="559">
      <c r="O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  <c r="AI559" s="230"/>
    </row>
    <row r="560">
      <c r="O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  <c r="AI560" s="230"/>
    </row>
    <row r="561">
      <c r="O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  <c r="AI561" s="230"/>
    </row>
    <row r="562">
      <c r="O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  <c r="AI562" s="230"/>
    </row>
    <row r="563">
      <c r="O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  <c r="AI563" s="230"/>
    </row>
    <row r="564">
      <c r="O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  <c r="AI564" s="230"/>
    </row>
    <row r="565">
      <c r="O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  <c r="AI565" s="230"/>
    </row>
    <row r="566">
      <c r="O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  <c r="AI566" s="230"/>
    </row>
    <row r="567">
      <c r="O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  <c r="AI567" s="230"/>
    </row>
    <row r="568">
      <c r="O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  <c r="AI568" s="230"/>
    </row>
    <row r="569">
      <c r="O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  <c r="AI569" s="230"/>
    </row>
    <row r="570">
      <c r="O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</row>
    <row r="571">
      <c r="O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</row>
    <row r="572">
      <c r="O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</row>
    <row r="573">
      <c r="O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</row>
    <row r="574">
      <c r="O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  <c r="AI574" s="230"/>
    </row>
    <row r="575">
      <c r="O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  <c r="AI575" s="230"/>
    </row>
    <row r="576">
      <c r="O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  <c r="AI576" s="230"/>
    </row>
    <row r="577">
      <c r="O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  <c r="AI577" s="230"/>
    </row>
    <row r="578">
      <c r="O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  <c r="AI578" s="230"/>
    </row>
    <row r="579">
      <c r="O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  <c r="AI579" s="230"/>
    </row>
    <row r="580">
      <c r="O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  <c r="AI580" s="230"/>
    </row>
    <row r="581">
      <c r="O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  <c r="AI581" s="230"/>
    </row>
    <row r="582">
      <c r="O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  <c r="AI582" s="230"/>
    </row>
    <row r="583">
      <c r="O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  <c r="AI583" s="230"/>
    </row>
    <row r="584">
      <c r="O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  <c r="AI584" s="230"/>
    </row>
    <row r="585">
      <c r="O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  <c r="AI585" s="230"/>
    </row>
    <row r="586">
      <c r="O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  <c r="AI586" s="230"/>
    </row>
    <row r="587">
      <c r="O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  <c r="AI587" s="230"/>
    </row>
    <row r="588">
      <c r="O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  <c r="AI588" s="230"/>
    </row>
    <row r="589">
      <c r="O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  <c r="AI589" s="230"/>
    </row>
    <row r="590">
      <c r="O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  <c r="AI590" s="230"/>
    </row>
    <row r="591">
      <c r="O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  <c r="AI591" s="230"/>
    </row>
    <row r="592">
      <c r="O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  <c r="AI592" s="230"/>
    </row>
    <row r="593">
      <c r="O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  <c r="AI593" s="230"/>
    </row>
    <row r="594">
      <c r="O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  <c r="AI594" s="230"/>
    </row>
    <row r="595">
      <c r="O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</row>
    <row r="596">
      <c r="O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  <c r="AI596" s="230"/>
    </row>
    <row r="597">
      <c r="O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  <c r="AI597" s="230"/>
    </row>
    <row r="598">
      <c r="O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  <c r="AI598" s="230"/>
    </row>
    <row r="599">
      <c r="O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  <c r="AI599" s="230"/>
    </row>
    <row r="600">
      <c r="O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  <c r="AI600" s="230"/>
    </row>
    <row r="601">
      <c r="O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  <c r="AI601" s="230"/>
    </row>
    <row r="602">
      <c r="O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  <c r="AI602" s="230"/>
    </row>
    <row r="603">
      <c r="O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  <c r="AI603" s="230"/>
    </row>
    <row r="604">
      <c r="O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  <c r="AI604" s="230"/>
    </row>
    <row r="605">
      <c r="O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  <c r="AI605" s="230"/>
    </row>
    <row r="606">
      <c r="O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  <c r="AI606" s="230"/>
    </row>
    <row r="607">
      <c r="O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  <c r="AI607" s="230"/>
    </row>
    <row r="608">
      <c r="O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  <c r="AI608" s="230"/>
    </row>
    <row r="609">
      <c r="O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  <c r="AI609" s="230"/>
    </row>
    <row r="610">
      <c r="O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  <c r="AI610" s="230"/>
    </row>
    <row r="611">
      <c r="O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  <c r="AI611" s="230"/>
    </row>
    <row r="612">
      <c r="O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  <c r="AI612" s="230"/>
    </row>
    <row r="613">
      <c r="O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  <c r="AI613" s="230"/>
    </row>
    <row r="614">
      <c r="O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  <c r="AI614" s="230"/>
    </row>
    <row r="615">
      <c r="O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  <c r="AI615" s="230"/>
    </row>
    <row r="616">
      <c r="O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  <c r="AI616" s="230"/>
    </row>
    <row r="617">
      <c r="O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</row>
    <row r="618">
      <c r="O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</row>
    <row r="619">
      <c r="O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  <c r="AI619" s="230"/>
    </row>
    <row r="620">
      <c r="O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</row>
    <row r="621">
      <c r="O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  <c r="AI621" s="230"/>
    </row>
    <row r="622">
      <c r="O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  <c r="AI622" s="230"/>
    </row>
    <row r="623">
      <c r="O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  <c r="AI623" s="230"/>
    </row>
    <row r="624">
      <c r="O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</row>
    <row r="625">
      <c r="O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  <c r="AI625" s="230"/>
    </row>
    <row r="626">
      <c r="O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  <c r="AI626" s="230"/>
    </row>
    <row r="627">
      <c r="O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  <c r="AI627" s="230"/>
    </row>
    <row r="628">
      <c r="O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  <c r="AI628" s="230"/>
    </row>
    <row r="629">
      <c r="O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  <c r="AI629" s="230"/>
    </row>
    <row r="630">
      <c r="O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  <c r="AI630" s="230"/>
    </row>
    <row r="631">
      <c r="O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  <c r="AI631" s="230"/>
    </row>
    <row r="632">
      <c r="O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  <c r="AI632" s="230"/>
    </row>
    <row r="633">
      <c r="O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  <c r="AI633" s="230"/>
    </row>
    <row r="634">
      <c r="O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  <c r="AI634" s="230"/>
    </row>
    <row r="635">
      <c r="O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  <c r="AI635" s="230"/>
    </row>
    <row r="636">
      <c r="O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  <c r="AI636" s="230"/>
    </row>
    <row r="637">
      <c r="O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  <c r="AI637" s="230"/>
    </row>
    <row r="638">
      <c r="O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  <c r="AI638" s="230"/>
    </row>
    <row r="639">
      <c r="O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</row>
    <row r="640">
      <c r="O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  <c r="AI640" s="230"/>
    </row>
    <row r="641">
      <c r="O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  <c r="AI641" s="230"/>
    </row>
    <row r="642">
      <c r="O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  <c r="AI642" s="230"/>
    </row>
    <row r="643">
      <c r="O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  <c r="AI643" s="230"/>
    </row>
    <row r="644">
      <c r="O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  <c r="AI644" s="230"/>
    </row>
    <row r="645">
      <c r="O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  <c r="AI645" s="230"/>
    </row>
    <row r="646">
      <c r="O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  <c r="AI646" s="230"/>
    </row>
    <row r="647">
      <c r="O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  <c r="AI647" s="230"/>
    </row>
    <row r="648">
      <c r="O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  <c r="AI648" s="230"/>
    </row>
    <row r="649">
      <c r="O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  <c r="AI649" s="230"/>
    </row>
    <row r="650">
      <c r="O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  <c r="AI650" s="230"/>
    </row>
    <row r="651">
      <c r="O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  <c r="AI651" s="230"/>
    </row>
    <row r="652">
      <c r="O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  <c r="AI652" s="230"/>
    </row>
    <row r="653">
      <c r="O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  <c r="AI653" s="230"/>
    </row>
    <row r="654">
      <c r="O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  <c r="AI654" s="230"/>
    </row>
    <row r="655">
      <c r="O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  <c r="AI655" s="230"/>
    </row>
    <row r="656">
      <c r="O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  <c r="AI656" s="230"/>
    </row>
    <row r="657">
      <c r="O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  <c r="AI657" s="230"/>
    </row>
    <row r="658">
      <c r="O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  <c r="AI658" s="230"/>
    </row>
    <row r="659">
      <c r="O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  <c r="AI659" s="230"/>
    </row>
    <row r="660">
      <c r="O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  <c r="AI660" s="230"/>
    </row>
    <row r="661">
      <c r="O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</row>
    <row r="662">
      <c r="O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  <c r="AI662" s="230"/>
    </row>
    <row r="663">
      <c r="O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  <c r="AI663" s="230"/>
    </row>
    <row r="664">
      <c r="O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  <c r="AI664" s="230"/>
    </row>
    <row r="665">
      <c r="O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  <c r="AI665" s="230"/>
    </row>
    <row r="666">
      <c r="O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  <c r="AI666" s="230"/>
    </row>
    <row r="667">
      <c r="O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  <c r="AI667" s="230"/>
    </row>
    <row r="668">
      <c r="O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  <c r="AI668" s="230"/>
    </row>
    <row r="669">
      <c r="O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  <c r="AI669" s="230"/>
    </row>
    <row r="670">
      <c r="O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  <c r="AI670" s="230"/>
    </row>
    <row r="671">
      <c r="O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  <c r="AI671" s="230"/>
    </row>
    <row r="672">
      <c r="O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  <c r="AI672" s="230"/>
    </row>
    <row r="673">
      <c r="O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  <c r="AI673" s="230"/>
    </row>
    <row r="674">
      <c r="O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  <c r="AI674" s="230"/>
    </row>
    <row r="675">
      <c r="O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  <c r="AI675" s="230"/>
    </row>
    <row r="676">
      <c r="O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  <c r="AI676" s="230"/>
    </row>
    <row r="677">
      <c r="O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  <c r="AI677" s="230"/>
    </row>
    <row r="678">
      <c r="O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  <c r="AI678" s="230"/>
    </row>
    <row r="679">
      <c r="O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  <c r="AI679" s="230"/>
    </row>
    <row r="680">
      <c r="O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  <c r="AI680" s="230"/>
    </row>
    <row r="681">
      <c r="O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  <c r="AI681" s="230"/>
    </row>
    <row r="682">
      <c r="O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  <c r="AI682" s="230"/>
    </row>
    <row r="683">
      <c r="O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</row>
    <row r="684">
      <c r="O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  <c r="AI684" s="230"/>
    </row>
    <row r="685">
      <c r="O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  <c r="AI685" s="230"/>
    </row>
    <row r="686">
      <c r="O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  <c r="AI686" s="230"/>
    </row>
    <row r="687">
      <c r="O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  <c r="AI687" s="230"/>
    </row>
    <row r="688">
      <c r="O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  <c r="AI688" s="230"/>
    </row>
    <row r="689">
      <c r="O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  <c r="AI689" s="230"/>
    </row>
    <row r="690">
      <c r="O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  <c r="AI690" s="230"/>
    </row>
    <row r="691">
      <c r="O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  <c r="AI691" s="230"/>
    </row>
    <row r="692">
      <c r="O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  <c r="AI692" s="230"/>
    </row>
    <row r="693">
      <c r="O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  <c r="AI693" s="230"/>
    </row>
    <row r="694">
      <c r="O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  <c r="AI694" s="230"/>
    </row>
    <row r="695">
      <c r="O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  <c r="AI695" s="230"/>
    </row>
    <row r="696">
      <c r="O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  <c r="AI696" s="230"/>
    </row>
    <row r="697">
      <c r="O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  <c r="AI697" s="230"/>
    </row>
    <row r="698">
      <c r="O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  <c r="AI698" s="230"/>
    </row>
    <row r="699">
      <c r="O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  <c r="AI699" s="230"/>
    </row>
    <row r="700">
      <c r="O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  <c r="AI700" s="230"/>
    </row>
    <row r="701">
      <c r="O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  <c r="AI701" s="230"/>
    </row>
    <row r="702">
      <c r="O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  <c r="AI702" s="230"/>
    </row>
    <row r="703">
      <c r="O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  <c r="AI703" s="230"/>
    </row>
    <row r="704">
      <c r="O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  <c r="AI704" s="230"/>
    </row>
    <row r="705">
      <c r="O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  <c r="AI705" s="230"/>
    </row>
    <row r="706">
      <c r="O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  <c r="AI706" s="230"/>
    </row>
    <row r="707">
      <c r="O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  <c r="AI707" s="230"/>
    </row>
    <row r="708">
      <c r="O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  <c r="AI708" s="230"/>
    </row>
    <row r="709">
      <c r="O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  <c r="AI709" s="230"/>
    </row>
    <row r="710">
      <c r="O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  <c r="AI710" s="230"/>
    </row>
    <row r="711">
      <c r="O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  <c r="AI711" s="230"/>
    </row>
    <row r="712">
      <c r="O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  <c r="AI712" s="230"/>
    </row>
    <row r="713">
      <c r="O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  <c r="AI713" s="230"/>
    </row>
    <row r="714">
      <c r="O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  <c r="AI714" s="230"/>
    </row>
    <row r="715">
      <c r="O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  <c r="AI715" s="230"/>
    </row>
    <row r="716">
      <c r="O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  <c r="AI716" s="230"/>
    </row>
    <row r="717">
      <c r="O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  <c r="AI717" s="230"/>
    </row>
    <row r="718">
      <c r="O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  <c r="AI718" s="230"/>
    </row>
    <row r="719">
      <c r="O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  <c r="AI719" s="230"/>
    </row>
    <row r="720">
      <c r="O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  <c r="AI720" s="230"/>
    </row>
    <row r="721">
      <c r="O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  <c r="AI721" s="230"/>
    </row>
    <row r="722">
      <c r="O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  <c r="AI722" s="230"/>
    </row>
    <row r="723">
      <c r="O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  <c r="AI723" s="230"/>
    </row>
    <row r="724">
      <c r="O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  <c r="AI724" s="230"/>
    </row>
    <row r="725">
      <c r="O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  <c r="AI725" s="230"/>
    </row>
    <row r="726">
      <c r="O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  <c r="AI726" s="230"/>
    </row>
    <row r="727">
      <c r="O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  <c r="AI727" s="230"/>
    </row>
    <row r="728">
      <c r="O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  <c r="AI728" s="230"/>
    </row>
    <row r="729">
      <c r="O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  <c r="AI729" s="230"/>
    </row>
    <row r="730">
      <c r="O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  <c r="AI730" s="230"/>
    </row>
    <row r="731">
      <c r="O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  <c r="AI731" s="230"/>
    </row>
    <row r="732">
      <c r="O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  <c r="AI732" s="230"/>
    </row>
    <row r="733">
      <c r="O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</row>
    <row r="734">
      <c r="O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</row>
    <row r="735">
      <c r="O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</row>
    <row r="736">
      <c r="O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</row>
    <row r="737">
      <c r="O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</row>
    <row r="738">
      <c r="O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</row>
    <row r="739">
      <c r="O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</row>
    <row r="740">
      <c r="O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</row>
    <row r="741">
      <c r="O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</row>
    <row r="742">
      <c r="O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</row>
    <row r="743">
      <c r="O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</row>
    <row r="744">
      <c r="O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</row>
    <row r="745">
      <c r="O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</row>
    <row r="746">
      <c r="O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</row>
    <row r="747">
      <c r="O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</row>
    <row r="748">
      <c r="O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</row>
    <row r="749">
      <c r="O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  <c r="AI749" s="230"/>
    </row>
    <row r="750">
      <c r="O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  <c r="AI750" s="230"/>
    </row>
    <row r="751">
      <c r="O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  <c r="AI751" s="230"/>
    </row>
    <row r="752">
      <c r="O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  <c r="AI752" s="230"/>
    </row>
    <row r="753">
      <c r="O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  <c r="AI753" s="230"/>
    </row>
    <row r="754">
      <c r="O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  <c r="AI754" s="230"/>
    </row>
    <row r="755">
      <c r="O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  <c r="AI755" s="230"/>
    </row>
    <row r="756">
      <c r="O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  <c r="AI756" s="230"/>
    </row>
    <row r="757">
      <c r="O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  <c r="AI757" s="230"/>
    </row>
    <row r="758">
      <c r="O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  <c r="AI758" s="230"/>
    </row>
    <row r="759">
      <c r="O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  <c r="AI759" s="230"/>
    </row>
    <row r="760">
      <c r="O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  <c r="AI760" s="230"/>
    </row>
    <row r="761">
      <c r="O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  <c r="AI761" s="230"/>
    </row>
    <row r="762">
      <c r="O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  <c r="AI762" s="230"/>
    </row>
    <row r="763">
      <c r="O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  <c r="AI763" s="230"/>
    </row>
    <row r="764">
      <c r="O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  <c r="AI764" s="230"/>
    </row>
    <row r="765">
      <c r="O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  <c r="AI765" s="230"/>
    </row>
    <row r="766">
      <c r="O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  <c r="AI766" s="230"/>
    </row>
    <row r="767">
      <c r="O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  <c r="AI767" s="230"/>
    </row>
    <row r="768">
      <c r="O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  <c r="AI768" s="230"/>
    </row>
    <row r="769">
      <c r="O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  <c r="AI769" s="230"/>
    </row>
    <row r="770">
      <c r="O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  <c r="AI770" s="230"/>
    </row>
    <row r="771">
      <c r="O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  <c r="AI771" s="230"/>
    </row>
    <row r="772">
      <c r="O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  <c r="AI772" s="230"/>
    </row>
    <row r="773">
      <c r="O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  <c r="AI773" s="230"/>
    </row>
    <row r="774">
      <c r="O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  <c r="AI774" s="230"/>
    </row>
    <row r="775">
      <c r="O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  <c r="AI775" s="230"/>
    </row>
    <row r="776">
      <c r="O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  <c r="AI776" s="230"/>
    </row>
    <row r="777">
      <c r="O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  <c r="AI777" s="230"/>
    </row>
    <row r="778">
      <c r="O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  <c r="AI778" s="230"/>
    </row>
    <row r="779">
      <c r="O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  <c r="AI779" s="230"/>
    </row>
    <row r="780">
      <c r="O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  <c r="AI780" s="230"/>
    </row>
    <row r="781">
      <c r="O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  <c r="AI781" s="230"/>
    </row>
    <row r="782">
      <c r="O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  <c r="AI782" s="230"/>
    </row>
    <row r="783">
      <c r="O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</row>
    <row r="784">
      <c r="O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  <c r="AI784" s="230"/>
    </row>
    <row r="785">
      <c r="O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  <c r="AI785" s="230"/>
    </row>
    <row r="786">
      <c r="O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  <c r="AI786" s="230"/>
    </row>
    <row r="787">
      <c r="O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  <c r="AI787" s="230"/>
    </row>
    <row r="788">
      <c r="O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  <c r="AI788" s="230"/>
    </row>
    <row r="789">
      <c r="O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  <c r="AI789" s="230"/>
    </row>
    <row r="790">
      <c r="O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  <c r="AI790" s="230"/>
    </row>
    <row r="791">
      <c r="O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</row>
    <row r="792">
      <c r="O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  <c r="AI792" s="230"/>
    </row>
    <row r="793">
      <c r="O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  <c r="AI793" s="230"/>
    </row>
    <row r="794">
      <c r="O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  <c r="AI794" s="230"/>
    </row>
    <row r="795">
      <c r="O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  <c r="AI795" s="230"/>
    </row>
    <row r="796">
      <c r="O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  <c r="AI796" s="230"/>
    </row>
    <row r="797">
      <c r="O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  <c r="AI797" s="230"/>
    </row>
    <row r="798">
      <c r="O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  <c r="AI798" s="230"/>
    </row>
    <row r="799">
      <c r="O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  <c r="AI799" s="230"/>
    </row>
    <row r="800">
      <c r="O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  <c r="AI800" s="230"/>
    </row>
    <row r="801">
      <c r="O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  <c r="AI801" s="230"/>
    </row>
    <row r="802">
      <c r="O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  <c r="AI802" s="230"/>
    </row>
    <row r="803">
      <c r="O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  <c r="AI803" s="230"/>
    </row>
    <row r="804">
      <c r="O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  <c r="AI804" s="230"/>
    </row>
    <row r="805">
      <c r="O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  <c r="AI805" s="230"/>
    </row>
    <row r="806">
      <c r="O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  <c r="AI806" s="230"/>
    </row>
    <row r="807">
      <c r="O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  <c r="AI807" s="230"/>
    </row>
    <row r="808">
      <c r="O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  <c r="AI808" s="230"/>
    </row>
    <row r="809">
      <c r="O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  <c r="AI809" s="230"/>
    </row>
    <row r="810">
      <c r="O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  <c r="AI810" s="230"/>
    </row>
    <row r="811">
      <c r="O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  <c r="AI811" s="230"/>
    </row>
    <row r="812">
      <c r="O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  <c r="AI812" s="230"/>
    </row>
    <row r="813">
      <c r="O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  <c r="AI813" s="230"/>
    </row>
    <row r="814">
      <c r="O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  <c r="AI814" s="230"/>
    </row>
    <row r="815">
      <c r="O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  <c r="AI815" s="230"/>
    </row>
    <row r="816">
      <c r="O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  <c r="AI816" s="230"/>
    </row>
    <row r="817">
      <c r="O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  <c r="AI817" s="230"/>
    </row>
    <row r="818">
      <c r="O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  <c r="AI818" s="230"/>
    </row>
    <row r="819">
      <c r="O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  <c r="AI819" s="230"/>
    </row>
    <row r="820">
      <c r="O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  <c r="AI820" s="230"/>
    </row>
    <row r="821">
      <c r="O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  <c r="AI821" s="230"/>
    </row>
    <row r="822">
      <c r="O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  <c r="AI822" s="230"/>
    </row>
    <row r="823">
      <c r="O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  <c r="AI823" s="230"/>
    </row>
    <row r="824">
      <c r="O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  <c r="AI824" s="230"/>
    </row>
    <row r="825">
      <c r="O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  <c r="AI825" s="230"/>
    </row>
    <row r="826">
      <c r="O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  <c r="AI826" s="230"/>
    </row>
    <row r="827">
      <c r="O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  <c r="AI827" s="230"/>
    </row>
    <row r="828">
      <c r="O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  <c r="AI828" s="230"/>
    </row>
    <row r="829">
      <c r="O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  <c r="AI829" s="230"/>
    </row>
    <row r="830">
      <c r="O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  <c r="AI830" s="230"/>
    </row>
    <row r="831">
      <c r="O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</row>
    <row r="832">
      <c r="O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  <c r="AI832" s="230"/>
    </row>
    <row r="833">
      <c r="O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  <c r="AI833" s="230"/>
    </row>
    <row r="834">
      <c r="O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  <c r="AI834" s="230"/>
    </row>
    <row r="835">
      <c r="O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  <c r="AI835" s="230"/>
    </row>
    <row r="836">
      <c r="O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  <c r="AI836" s="230"/>
    </row>
    <row r="837">
      <c r="O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  <c r="AI837" s="230"/>
    </row>
    <row r="838">
      <c r="O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  <c r="AI838" s="230"/>
    </row>
    <row r="839">
      <c r="O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  <c r="AI839" s="230"/>
    </row>
    <row r="840">
      <c r="O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  <c r="AI840" s="230"/>
    </row>
    <row r="841">
      <c r="O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  <c r="AI841" s="230"/>
    </row>
    <row r="842">
      <c r="O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  <c r="AI842" s="230"/>
    </row>
    <row r="843">
      <c r="O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  <c r="AI843" s="230"/>
    </row>
    <row r="844">
      <c r="O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  <c r="AI844" s="230"/>
    </row>
    <row r="845">
      <c r="O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  <c r="AI845" s="230"/>
    </row>
    <row r="846">
      <c r="O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  <c r="AI846" s="230"/>
    </row>
    <row r="847">
      <c r="O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  <c r="AI847" s="230"/>
    </row>
    <row r="848">
      <c r="O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  <c r="AI848" s="230"/>
    </row>
    <row r="849">
      <c r="O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  <c r="AI849" s="230"/>
    </row>
    <row r="850">
      <c r="O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  <c r="AI850" s="230"/>
    </row>
    <row r="851">
      <c r="O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  <c r="AI851" s="230"/>
    </row>
    <row r="852">
      <c r="O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  <c r="AI852" s="230"/>
    </row>
    <row r="853">
      <c r="O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  <c r="AI853" s="230"/>
    </row>
    <row r="854">
      <c r="O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  <c r="AI854" s="230"/>
    </row>
    <row r="855">
      <c r="O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  <c r="AI855" s="230"/>
    </row>
    <row r="856">
      <c r="O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  <c r="AI856" s="230"/>
    </row>
    <row r="857">
      <c r="O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  <c r="AI857" s="230"/>
    </row>
    <row r="858">
      <c r="O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  <c r="AI858" s="230"/>
    </row>
    <row r="859">
      <c r="O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  <c r="AI859" s="230"/>
    </row>
    <row r="860">
      <c r="O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  <c r="AI860" s="230"/>
    </row>
    <row r="861">
      <c r="O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  <c r="AI861" s="230"/>
    </row>
    <row r="862">
      <c r="O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  <c r="AI862" s="230"/>
    </row>
    <row r="863">
      <c r="O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  <c r="AI863" s="230"/>
    </row>
    <row r="864">
      <c r="O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  <c r="AI864" s="230"/>
    </row>
    <row r="865">
      <c r="O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  <c r="AI865" s="230"/>
    </row>
    <row r="866">
      <c r="O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  <c r="AI866" s="230"/>
    </row>
    <row r="867">
      <c r="O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  <c r="AI867" s="230"/>
    </row>
    <row r="868">
      <c r="O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  <c r="AI868" s="230"/>
    </row>
    <row r="869">
      <c r="O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  <c r="AI869" s="230"/>
    </row>
    <row r="870">
      <c r="O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  <c r="AI870" s="230"/>
    </row>
    <row r="871">
      <c r="O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  <c r="AI871" s="230"/>
    </row>
    <row r="872">
      <c r="O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  <c r="AI872" s="230"/>
    </row>
    <row r="873">
      <c r="O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  <c r="AI873" s="230"/>
    </row>
    <row r="874">
      <c r="O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  <c r="AI874" s="230"/>
    </row>
    <row r="875">
      <c r="O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  <c r="AI875" s="230"/>
    </row>
    <row r="876">
      <c r="O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  <c r="AI876" s="230"/>
    </row>
    <row r="877">
      <c r="O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  <c r="AI877" s="230"/>
    </row>
    <row r="878">
      <c r="O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  <c r="AI878" s="230"/>
    </row>
    <row r="879">
      <c r="O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  <c r="AI879" s="230"/>
    </row>
    <row r="880">
      <c r="O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  <c r="AI880" s="230"/>
    </row>
    <row r="881">
      <c r="O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  <c r="AI881" s="230"/>
    </row>
    <row r="882">
      <c r="O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  <c r="AI882" s="230"/>
    </row>
    <row r="883">
      <c r="O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  <c r="AI883" s="230"/>
    </row>
    <row r="884">
      <c r="O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  <c r="AI884" s="230"/>
    </row>
    <row r="885">
      <c r="O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  <c r="AI885" s="230"/>
    </row>
    <row r="886">
      <c r="O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  <c r="AI886" s="230"/>
    </row>
    <row r="887">
      <c r="O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  <c r="AI887" s="230"/>
    </row>
    <row r="888">
      <c r="O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  <c r="AI888" s="230"/>
    </row>
    <row r="889">
      <c r="O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  <c r="AI889" s="230"/>
    </row>
    <row r="890">
      <c r="O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  <c r="AI890" s="230"/>
    </row>
    <row r="891">
      <c r="O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  <c r="AI891" s="230"/>
    </row>
    <row r="892">
      <c r="O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  <c r="AI892" s="230"/>
    </row>
    <row r="893">
      <c r="O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  <c r="AI893" s="230"/>
    </row>
    <row r="894">
      <c r="O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  <c r="AI894" s="230"/>
    </row>
    <row r="895">
      <c r="O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  <c r="AI895" s="230"/>
    </row>
    <row r="896">
      <c r="O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  <c r="AI896" s="230"/>
    </row>
    <row r="897">
      <c r="O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  <c r="AI897" s="230"/>
    </row>
    <row r="898">
      <c r="O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  <c r="AI898" s="230"/>
    </row>
    <row r="899">
      <c r="O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  <c r="AI899" s="230"/>
    </row>
    <row r="900">
      <c r="O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  <c r="AI900" s="230"/>
    </row>
    <row r="901">
      <c r="O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  <c r="AI901" s="230"/>
    </row>
    <row r="902">
      <c r="O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  <c r="AI902" s="230"/>
    </row>
    <row r="903">
      <c r="O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  <c r="AI903" s="230"/>
    </row>
    <row r="904">
      <c r="O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  <c r="AI904" s="230"/>
    </row>
    <row r="905">
      <c r="O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  <c r="AI905" s="230"/>
    </row>
    <row r="906">
      <c r="O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  <c r="AI906" s="230"/>
    </row>
    <row r="907">
      <c r="O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  <c r="AI907" s="230"/>
    </row>
    <row r="908">
      <c r="O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  <c r="AI908" s="230"/>
    </row>
    <row r="909">
      <c r="O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  <c r="AI909" s="230"/>
    </row>
    <row r="910">
      <c r="O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  <c r="AI910" s="230"/>
    </row>
    <row r="911">
      <c r="O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  <c r="AI911" s="230"/>
    </row>
    <row r="912">
      <c r="O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  <c r="AI912" s="230"/>
    </row>
    <row r="913">
      <c r="O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  <c r="AI913" s="230"/>
    </row>
    <row r="914">
      <c r="O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  <c r="AI914" s="230"/>
    </row>
    <row r="915">
      <c r="O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  <c r="AI915" s="230"/>
    </row>
    <row r="916">
      <c r="O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  <c r="AI916" s="230"/>
    </row>
    <row r="917">
      <c r="O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  <c r="AI917" s="230"/>
    </row>
    <row r="918">
      <c r="O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  <c r="AI918" s="230"/>
    </row>
    <row r="919">
      <c r="O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  <c r="AI919" s="230"/>
    </row>
    <row r="920">
      <c r="O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  <c r="AI920" s="230"/>
    </row>
    <row r="921">
      <c r="O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  <c r="AI921" s="230"/>
    </row>
    <row r="922">
      <c r="O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  <c r="AI922" s="230"/>
    </row>
    <row r="923">
      <c r="O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</row>
    <row r="924">
      <c r="O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  <c r="AI924" s="230"/>
    </row>
    <row r="925">
      <c r="O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  <c r="AI925" s="230"/>
    </row>
    <row r="926">
      <c r="O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  <c r="AI926" s="230"/>
    </row>
    <row r="927">
      <c r="O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  <c r="AI927" s="230"/>
    </row>
    <row r="928">
      <c r="O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  <c r="AI928" s="230"/>
    </row>
    <row r="929">
      <c r="O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  <c r="AI929" s="230"/>
    </row>
    <row r="930">
      <c r="O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  <c r="AI930" s="230"/>
    </row>
    <row r="931">
      <c r="O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  <c r="AI931" s="230"/>
    </row>
    <row r="932">
      <c r="O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  <c r="AI932" s="230"/>
    </row>
    <row r="933">
      <c r="O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</row>
    <row r="934">
      <c r="O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</row>
    <row r="935">
      <c r="O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</row>
    <row r="936">
      <c r="O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</row>
    <row r="937">
      <c r="O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</row>
    <row r="938">
      <c r="O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</row>
    <row r="939">
      <c r="O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</row>
    <row r="940">
      <c r="O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</row>
    <row r="941">
      <c r="O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</row>
    <row r="942">
      <c r="O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</row>
    <row r="943">
      <c r="O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</row>
    <row r="944">
      <c r="O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</row>
    <row r="945">
      <c r="O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</row>
    <row r="946">
      <c r="O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</row>
    <row r="947">
      <c r="O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</row>
    <row r="948">
      <c r="O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  <c r="AI948" s="230"/>
    </row>
    <row r="949">
      <c r="O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  <c r="AI949" s="230"/>
    </row>
    <row r="950">
      <c r="O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  <c r="AI950" s="230"/>
    </row>
    <row r="951">
      <c r="O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  <c r="AI951" s="230"/>
    </row>
    <row r="952">
      <c r="O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  <c r="AI952" s="230"/>
    </row>
    <row r="953">
      <c r="O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  <c r="AI953" s="230"/>
    </row>
    <row r="954">
      <c r="O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  <c r="AI954" s="230"/>
    </row>
    <row r="955">
      <c r="O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  <c r="AI955" s="230"/>
    </row>
    <row r="956">
      <c r="O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  <c r="AI956" s="230"/>
    </row>
    <row r="957">
      <c r="O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  <c r="AI957" s="230"/>
    </row>
    <row r="958">
      <c r="O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  <c r="AI958" s="230"/>
    </row>
    <row r="959">
      <c r="O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  <c r="AI959" s="230"/>
    </row>
    <row r="960">
      <c r="O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  <c r="AI960" s="230"/>
    </row>
    <row r="961">
      <c r="O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  <c r="AI961" s="230"/>
    </row>
    <row r="962">
      <c r="O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  <c r="AI962" s="230"/>
    </row>
    <row r="963">
      <c r="O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  <c r="AI963" s="230"/>
    </row>
    <row r="964">
      <c r="O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  <c r="AI964" s="230"/>
    </row>
    <row r="965">
      <c r="O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  <c r="AI965" s="230"/>
    </row>
    <row r="966">
      <c r="O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  <c r="AI966" s="230"/>
    </row>
    <row r="967">
      <c r="O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  <c r="AI967" s="230"/>
    </row>
    <row r="968">
      <c r="O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  <c r="AI968" s="230"/>
    </row>
    <row r="969">
      <c r="O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  <c r="AI969" s="230"/>
    </row>
    <row r="970">
      <c r="O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  <c r="AI970" s="230"/>
    </row>
    <row r="971">
      <c r="O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  <c r="AI971" s="230"/>
    </row>
    <row r="972">
      <c r="O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  <c r="AI972" s="230"/>
    </row>
    <row r="973">
      <c r="O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  <c r="AI973" s="230"/>
    </row>
    <row r="974">
      <c r="O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  <c r="AI974" s="230"/>
    </row>
    <row r="975">
      <c r="O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  <c r="AI975" s="230"/>
    </row>
    <row r="976">
      <c r="O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  <c r="AI976" s="230"/>
    </row>
    <row r="977">
      <c r="O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  <c r="AI977" s="230"/>
    </row>
    <row r="978">
      <c r="O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  <c r="AI978" s="230"/>
    </row>
    <row r="979">
      <c r="O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  <c r="AI979" s="230"/>
    </row>
    <row r="980">
      <c r="O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  <c r="AI980" s="230"/>
    </row>
    <row r="981">
      <c r="O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  <c r="AI981" s="230"/>
    </row>
    <row r="982">
      <c r="O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  <c r="AI982" s="230"/>
    </row>
    <row r="983">
      <c r="O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  <c r="AI983" s="230"/>
    </row>
    <row r="984">
      <c r="O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  <c r="AI984" s="230"/>
    </row>
    <row r="985">
      <c r="O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  <c r="AI985" s="230"/>
    </row>
    <row r="986">
      <c r="O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  <c r="AI986" s="230"/>
    </row>
    <row r="987">
      <c r="O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  <c r="AI987" s="230"/>
    </row>
    <row r="988">
      <c r="O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  <c r="AI988" s="230"/>
    </row>
    <row r="989">
      <c r="O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  <c r="AI989" s="230"/>
    </row>
    <row r="990">
      <c r="O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  <c r="AI990" s="230"/>
    </row>
    <row r="991">
      <c r="O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  <c r="AI991" s="230"/>
    </row>
    <row r="992">
      <c r="O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  <c r="AI992" s="230"/>
    </row>
    <row r="993">
      <c r="O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  <c r="AI993" s="230"/>
    </row>
    <row r="994">
      <c r="O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  <c r="AI994" s="230"/>
    </row>
    <row r="995">
      <c r="O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  <c r="AI995" s="230"/>
    </row>
    <row r="996">
      <c r="O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  <c r="AI996" s="230"/>
    </row>
    <row r="997">
      <c r="O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  <c r="AI997" s="230"/>
    </row>
    <row r="998">
      <c r="O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  <c r="AI998" s="230"/>
    </row>
    <row r="999">
      <c r="O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  <c r="AI999" s="230"/>
    </row>
    <row r="1000">
      <c r="O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  <c r="AI1000" s="230"/>
    </row>
    <row r="1001">
      <c r="O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  <c r="AI1001" s="230"/>
    </row>
    <row r="1002">
      <c r="O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  <c r="AI1002" s="230"/>
    </row>
    <row r="1003">
      <c r="O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  <c r="AI1003" s="230"/>
    </row>
    <row r="1004">
      <c r="O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  <c r="AI1004" s="230"/>
    </row>
    <row r="1005">
      <c r="O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  <c r="AI1005" s="230"/>
    </row>
    <row r="1006">
      <c r="O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  <c r="AI1006" s="230"/>
    </row>
    <row r="1007">
      <c r="O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  <c r="AI1007" s="230"/>
    </row>
    <row r="1008">
      <c r="O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  <c r="AI1008" s="230"/>
    </row>
    <row r="1009">
      <c r="O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  <c r="AI1009" s="230"/>
    </row>
    <row r="1010">
      <c r="O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  <c r="AI1010" s="230"/>
    </row>
    <row r="1011">
      <c r="O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  <c r="AI1011" s="230"/>
    </row>
    <row r="1012">
      <c r="O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  <c r="AI1012" s="230"/>
    </row>
    <row r="1013">
      <c r="O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  <c r="AI1013" s="230"/>
    </row>
    <row r="1014">
      <c r="O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  <c r="AI1014" s="230"/>
    </row>
    <row r="1015">
      <c r="O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  <c r="AI1015" s="230"/>
    </row>
    <row r="1016">
      <c r="O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  <c r="AI1016" s="230"/>
    </row>
    <row r="1017">
      <c r="O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  <c r="AI1017" s="230"/>
    </row>
    <row r="1018">
      <c r="O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  <c r="AI1018" s="230"/>
    </row>
    <row r="1019">
      <c r="O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  <c r="AI1019" s="230"/>
    </row>
    <row r="1020">
      <c r="O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  <c r="AI1020" s="230"/>
    </row>
    <row r="1021">
      <c r="O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  <c r="AI1021" s="230"/>
    </row>
    <row r="1022">
      <c r="O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  <c r="AI1022" s="230"/>
    </row>
    <row r="1023">
      <c r="O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  <c r="AI1023" s="230"/>
    </row>
    <row r="1024">
      <c r="O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  <c r="AI1024" s="230"/>
    </row>
    <row r="1025">
      <c r="O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  <c r="AI1025" s="230"/>
    </row>
    <row r="1026">
      <c r="O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  <c r="AI1026" s="230"/>
    </row>
    <row r="1027">
      <c r="O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  <c r="AI1027" s="230"/>
    </row>
    <row r="1028">
      <c r="O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  <c r="AI1028" s="230"/>
    </row>
    <row r="1029">
      <c r="O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  <c r="AI1029" s="230"/>
    </row>
    <row r="1030">
      <c r="O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  <c r="AI1030" s="230"/>
    </row>
    <row r="1031">
      <c r="O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  <c r="AI1031" s="230"/>
    </row>
    <row r="1032">
      <c r="O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  <c r="AI1032" s="230"/>
    </row>
    <row r="1033">
      <c r="O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  <c r="AI1033" s="230"/>
    </row>
    <row r="1034">
      <c r="O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  <c r="AI1034" s="230"/>
    </row>
    <row r="1035">
      <c r="O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  <c r="AI1035" s="230"/>
    </row>
    <row r="1036">
      <c r="O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  <c r="AI1036" s="230"/>
    </row>
    <row r="1037">
      <c r="O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  <c r="AI1037" s="230"/>
    </row>
    <row r="1038">
      <c r="O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  <c r="AI1038" s="230"/>
    </row>
    <row r="1039">
      <c r="O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  <c r="AI1039" s="230"/>
    </row>
    <row r="1040">
      <c r="O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  <c r="AI1040" s="230"/>
    </row>
    <row r="1041">
      <c r="O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  <c r="AI1041" s="230"/>
    </row>
    <row r="1042">
      <c r="O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  <c r="AI1042" s="230"/>
    </row>
    <row r="1043">
      <c r="O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  <c r="AI1043" s="230"/>
    </row>
    <row r="1044">
      <c r="O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  <c r="AI1044" s="230"/>
    </row>
    <row r="1045">
      <c r="O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  <c r="AI1045" s="230"/>
    </row>
    <row r="1046">
      <c r="O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  <c r="AI1046" s="230"/>
    </row>
    <row r="1047">
      <c r="O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  <c r="AI1047" s="230"/>
    </row>
    <row r="1048">
      <c r="O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  <c r="AI1048" s="230"/>
    </row>
    <row r="1049">
      <c r="O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  <c r="AI1049" s="230"/>
    </row>
    <row r="1050">
      <c r="O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  <c r="AI1050" s="230"/>
    </row>
    <row r="1051">
      <c r="O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  <c r="AI1051" s="230"/>
    </row>
    <row r="1052">
      <c r="O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  <c r="AI1052" s="230"/>
    </row>
    <row r="1053">
      <c r="O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  <c r="AI1053" s="230"/>
    </row>
    <row r="1054">
      <c r="O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  <c r="AI1054" s="230"/>
    </row>
    <row r="1055">
      <c r="O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  <c r="AI1055" s="230"/>
    </row>
    <row r="1056">
      <c r="O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  <c r="AI1056" s="230"/>
    </row>
    <row r="1057">
      <c r="O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  <c r="AI1057" s="230"/>
    </row>
    <row r="1058">
      <c r="O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  <c r="AI1058" s="230"/>
    </row>
    <row r="1059">
      <c r="O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  <c r="AI1059" s="230"/>
    </row>
    <row r="1060">
      <c r="O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  <c r="AI1060" s="230"/>
    </row>
    <row r="1061">
      <c r="O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  <c r="AI1061" s="230"/>
    </row>
    <row r="1062">
      <c r="O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  <c r="AI1062" s="230"/>
    </row>
    <row r="1063">
      <c r="O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  <c r="AI1063" s="230"/>
    </row>
    <row r="1064">
      <c r="O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  <c r="AI1064" s="230"/>
    </row>
    <row r="1065">
      <c r="O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  <c r="AI1065" s="230"/>
    </row>
    <row r="1066">
      <c r="O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  <c r="AI1066" s="230"/>
    </row>
    <row r="1067">
      <c r="O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  <c r="AI1067" s="230"/>
    </row>
    <row r="1068">
      <c r="O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  <c r="AI1068" s="230"/>
    </row>
    <row r="1069">
      <c r="O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  <c r="AI1069" s="230"/>
    </row>
    <row r="1070">
      <c r="O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  <c r="AI1070" s="230"/>
    </row>
    <row r="1071">
      <c r="O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  <c r="AI1071" s="230"/>
    </row>
    <row r="1072">
      <c r="O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  <c r="AI1072" s="230"/>
    </row>
    <row r="1073">
      <c r="O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  <c r="AI1073" s="230"/>
    </row>
    <row r="1074">
      <c r="O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  <c r="AI1074" s="230"/>
    </row>
    <row r="1075">
      <c r="O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  <c r="AI1075" s="230"/>
    </row>
    <row r="1076">
      <c r="O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  <c r="AI1076" s="230"/>
    </row>
    <row r="1077">
      <c r="O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  <c r="AI1077" s="230"/>
    </row>
    <row r="1078">
      <c r="O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  <c r="AI1078" s="230"/>
    </row>
    <row r="1079">
      <c r="O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  <c r="AI1079" s="230"/>
    </row>
    <row r="1080">
      <c r="O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  <c r="AI1080" s="230"/>
    </row>
    <row r="1081">
      <c r="O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  <c r="AI1081" s="230"/>
    </row>
    <row r="1082">
      <c r="O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  <c r="AI1082" s="230"/>
    </row>
    <row r="1083">
      <c r="O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  <c r="AI1083" s="230"/>
    </row>
    <row r="1084">
      <c r="O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  <c r="AI1084" s="230"/>
    </row>
    <row r="1085">
      <c r="O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  <c r="AI1085" s="230"/>
    </row>
    <row r="1086">
      <c r="O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  <c r="AI1086" s="230"/>
    </row>
    <row r="1087">
      <c r="O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  <c r="AI1087" s="230"/>
    </row>
    <row r="1088">
      <c r="O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  <c r="AI1088" s="230"/>
    </row>
    <row r="1089">
      <c r="O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  <c r="AI1089" s="230"/>
    </row>
    <row r="1090">
      <c r="O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  <c r="AI1090" s="230"/>
    </row>
    <row r="1091">
      <c r="O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  <c r="AI1091" s="230"/>
    </row>
    <row r="1092">
      <c r="O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  <c r="AI1092" s="230"/>
    </row>
    <row r="1093">
      <c r="O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  <c r="AI1093" s="230"/>
    </row>
    <row r="1094">
      <c r="O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  <c r="AI1094" s="230"/>
    </row>
    <row r="1095">
      <c r="O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  <c r="AI1095" s="230"/>
    </row>
    <row r="1096">
      <c r="O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  <c r="AI1096" s="230"/>
    </row>
    <row r="1097">
      <c r="O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  <c r="AI1097" s="230"/>
    </row>
    <row r="1098">
      <c r="O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  <c r="AI1098" s="230"/>
    </row>
    <row r="1099">
      <c r="O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  <c r="AI1099" s="230"/>
    </row>
    <row r="1100">
      <c r="O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  <c r="AI1100" s="230"/>
    </row>
    <row r="1101">
      <c r="O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  <c r="AI1101" s="230"/>
    </row>
    <row r="1102">
      <c r="O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  <c r="AI1102" s="230"/>
    </row>
    <row r="1103">
      <c r="O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  <c r="AI1103" s="230"/>
    </row>
    <row r="1104">
      <c r="O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  <c r="AI1104" s="230"/>
    </row>
    <row r="1105">
      <c r="O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  <c r="AI1105" s="230"/>
    </row>
    <row r="1106">
      <c r="O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  <c r="AI1106" s="230"/>
    </row>
    <row r="1107">
      <c r="O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  <c r="AI1107" s="230"/>
    </row>
    <row r="1108">
      <c r="O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  <c r="AI1108" s="230"/>
    </row>
    <row r="1109">
      <c r="O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  <c r="AI1109" s="230"/>
    </row>
    <row r="1110">
      <c r="O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  <c r="AI1110" s="230"/>
    </row>
    <row r="1111">
      <c r="O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  <c r="AI1111" s="230"/>
    </row>
    <row r="1112">
      <c r="O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  <c r="AI1112" s="230"/>
    </row>
    <row r="1113">
      <c r="O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  <c r="AI1113" s="230"/>
    </row>
    <row r="1114">
      <c r="O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  <c r="AI1114" s="230"/>
    </row>
    <row r="1115">
      <c r="O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  <c r="AI1115" s="230"/>
    </row>
    <row r="1116">
      <c r="O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  <c r="AI1116" s="230"/>
    </row>
    <row r="1117">
      <c r="O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  <c r="AI1117" s="230"/>
    </row>
    <row r="1118">
      <c r="O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  <c r="AI1118" s="230"/>
    </row>
    <row r="1119">
      <c r="O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  <c r="AI1119" s="230"/>
    </row>
    <row r="1120">
      <c r="O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  <c r="AI1120" s="230"/>
    </row>
    <row r="1121">
      <c r="O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  <c r="AI1121" s="230"/>
    </row>
    <row r="1122">
      <c r="O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  <c r="AI1122" s="230"/>
    </row>
    <row r="1123">
      <c r="O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  <c r="AI1123" s="230"/>
    </row>
    <row r="1124">
      <c r="O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  <c r="AI1124" s="230"/>
    </row>
    <row r="1125">
      <c r="O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  <c r="AI1125" s="230"/>
    </row>
    <row r="1126">
      <c r="O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  <c r="AI1126" s="230"/>
    </row>
    <row r="1127">
      <c r="O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  <c r="AI1127" s="230"/>
    </row>
    <row r="1128">
      <c r="O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  <c r="AI1128" s="230"/>
    </row>
    <row r="1129">
      <c r="O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  <c r="AI1129" s="230"/>
    </row>
    <row r="1130">
      <c r="O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  <c r="AI1130" s="230"/>
    </row>
    <row r="1131">
      <c r="O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  <c r="AI1131" s="230"/>
    </row>
    <row r="1132">
      <c r="O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  <c r="AI1132" s="230"/>
    </row>
    <row r="1133">
      <c r="O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  <c r="AI1133" s="230"/>
    </row>
    <row r="1134">
      <c r="O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  <c r="AI1134" s="230"/>
    </row>
    <row r="1135">
      <c r="O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  <c r="AI1135" s="230"/>
    </row>
    <row r="1136">
      <c r="O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  <c r="AI1136" s="230"/>
    </row>
    <row r="1137">
      <c r="O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  <c r="AI1137" s="230"/>
    </row>
    <row r="1138">
      <c r="O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  <c r="AI1138" s="230"/>
    </row>
    <row r="1139">
      <c r="O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  <c r="AI1139" s="230"/>
    </row>
    <row r="1140">
      <c r="O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  <c r="AI1140" s="230"/>
    </row>
    <row r="1141">
      <c r="O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  <c r="AI1141" s="230"/>
    </row>
    <row r="1142">
      <c r="O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  <c r="AI1142" s="230"/>
    </row>
    <row r="1143">
      <c r="O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  <c r="AI1143" s="230"/>
    </row>
    <row r="1144">
      <c r="O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  <c r="AI1144" s="230"/>
    </row>
    <row r="1145">
      <c r="O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  <c r="AI1145" s="230"/>
    </row>
    <row r="1146">
      <c r="O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  <c r="AI1146" s="230"/>
    </row>
    <row r="1147">
      <c r="O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  <c r="AI1147" s="230"/>
    </row>
    <row r="1148">
      <c r="O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  <c r="AI1148" s="230"/>
    </row>
    <row r="1149">
      <c r="O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  <c r="AI1149" s="230"/>
    </row>
    <row r="1150">
      <c r="O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  <c r="AI1150" s="230"/>
    </row>
    <row r="1151">
      <c r="O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  <c r="AI1151" s="230"/>
    </row>
    <row r="1152">
      <c r="O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  <c r="AI1152" s="230"/>
    </row>
    <row r="1153">
      <c r="O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  <c r="AI1153" s="230"/>
    </row>
    <row r="1154">
      <c r="O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  <c r="AI1154" s="230"/>
    </row>
    <row r="1155">
      <c r="O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  <c r="AI1155" s="230"/>
    </row>
    <row r="1156">
      <c r="O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  <c r="AI1156" s="230"/>
    </row>
    <row r="1157">
      <c r="O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  <c r="AI1157" s="230"/>
    </row>
    <row r="1158">
      <c r="O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  <c r="AI1158" s="230"/>
    </row>
    <row r="1159">
      <c r="O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  <c r="AI1159" s="230"/>
    </row>
    <row r="1160">
      <c r="O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  <c r="AI1160" s="230"/>
    </row>
    <row r="1161">
      <c r="O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  <c r="AI1161" s="230"/>
    </row>
    <row r="1162">
      <c r="O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  <c r="AI1162" s="230"/>
    </row>
    <row r="1163">
      <c r="O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  <c r="AI1163" s="230"/>
    </row>
    <row r="1164">
      <c r="O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  <c r="AI1164" s="230"/>
    </row>
    <row r="1165">
      <c r="O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  <c r="AI1165" s="230"/>
    </row>
    <row r="1166">
      <c r="O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  <c r="AI1166" s="230"/>
    </row>
    <row r="1167">
      <c r="O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  <c r="AI1167" s="230"/>
    </row>
    <row r="1168">
      <c r="O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  <c r="AI1168" s="230"/>
    </row>
    <row r="1169">
      <c r="O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  <c r="AI1169" s="230"/>
    </row>
    <row r="1170">
      <c r="O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  <c r="AI1170" s="230"/>
    </row>
    <row r="1171">
      <c r="O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  <c r="AI1171" s="230"/>
    </row>
    <row r="1172">
      <c r="O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  <c r="AI1172" s="230"/>
    </row>
    <row r="1173">
      <c r="O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  <c r="AI1173" s="230"/>
    </row>
    <row r="1174">
      <c r="O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  <c r="AI1174" s="230"/>
    </row>
    <row r="1175">
      <c r="O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  <c r="AI1175" s="230"/>
    </row>
    <row r="1176">
      <c r="O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  <c r="AI1176" s="230"/>
    </row>
    <row r="1177">
      <c r="O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  <c r="AI1177" s="230"/>
    </row>
    <row r="1178">
      <c r="O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  <c r="AI1178" s="230"/>
    </row>
    <row r="1179">
      <c r="O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  <c r="AI1179" s="230"/>
    </row>
    <row r="1180">
      <c r="O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  <c r="AI1180" s="230"/>
    </row>
    <row r="1181">
      <c r="O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  <c r="AI1181" s="230"/>
    </row>
    <row r="1182">
      <c r="O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  <c r="AI1182" s="230"/>
    </row>
    <row r="1183">
      <c r="O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  <c r="AI1183" s="230"/>
    </row>
    <row r="1184">
      <c r="O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  <c r="AI1184" s="230"/>
    </row>
    <row r="1185">
      <c r="O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  <c r="AI1185" s="230"/>
    </row>
    <row r="1186">
      <c r="O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  <c r="AI1186" s="230"/>
    </row>
    <row r="1187">
      <c r="O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  <c r="AI1187" s="230"/>
    </row>
    <row r="1188">
      <c r="O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  <c r="AI1188" s="230"/>
    </row>
    <row r="1189">
      <c r="O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  <c r="AI1189" s="230"/>
    </row>
    <row r="1190">
      <c r="O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  <c r="AI1190" s="230"/>
    </row>
    <row r="1191">
      <c r="O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  <c r="AI1191" s="230"/>
    </row>
    <row r="1192">
      <c r="O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  <c r="AI1192" s="230"/>
    </row>
    <row r="1193">
      <c r="O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  <c r="AI1193" s="230"/>
    </row>
    <row r="1194">
      <c r="O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  <c r="AI1194" s="230"/>
    </row>
    <row r="1195">
      <c r="O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  <c r="AI1195" s="230"/>
    </row>
    <row r="1196">
      <c r="O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  <c r="AI1196" s="230"/>
    </row>
    <row r="1197">
      <c r="O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  <c r="AI1197" s="230"/>
    </row>
    <row r="1198">
      <c r="O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  <c r="AI1198" s="230"/>
    </row>
    <row r="1199">
      <c r="O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  <c r="AI1199" s="230"/>
    </row>
    <row r="1200">
      <c r="O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  <c r="AI1200" s="230"/>
    </row>
    <row r="1201">
      <c r="O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  <c r="AI1201" s="230"/>
    </row>
    <row r="1202">
      <c r="O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  <c r="AI1202" s="230"/>
    </row>
    <row r="1203">
      <c r="O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  <c r="AI1203" s="230"/>
    </row>
    <row r="1204">
      <c r="O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  <c r="AI1204" s="230"/>
    </row>
    <row r="1205">
      <c r="O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  <c r="AI1205" s="230"/>
    </row>
    <row r="1206">
      <c r="O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  <c r="AI1206" s="230"/>
    </row>
    <row r="1207">
      <c r="O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  <c r="AI1207" s="230"/>
    </row>
    <row r="1208">
      <c r="O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  <c r="AI1208" s="230"/>
    </row>
    <row r="1209">
      <c r="O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  <c r="AI1209" s="230"/>
    </row>
    <row r="1210">
      <c r="O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  <c r="AI1210" s="230"/>
    </row>
    <row r="1211">
      <c r="O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  <c r="AI1211" s="230"/>
    </row>
    <row r="1212">
      <c r="O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  <c r="AI1212" s="230"/>
    </row>
    <row r="1213">
      <c r="O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  <c r="AI1213" s="230"/>
    </row>
    <row r="1214">
      <c r="O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  <c r="AI1214" s="230"/>
    </row>
    <row r="1215">
      <c r="O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  <c r="AI1215" s="230"/>
    </row>
    <row r="1216">
      <c r="O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  <c r="AI1216" s="230"/>
    </row>
    <row r="1217">
      <c r="O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  <c r="AI1217" s="230"/>
    </row>
    <row r="1218">
      <c r="O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  <c r="AI1218" s="230"/>
    </row>
    <row r="1219">
      <c r="O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  <c r="AI1219" s="230"/>
    </row>
    <row r="1220">
      <c r="O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  <c r="AI1220" s="230"/>
    </row>
    <row r="1221">
      <c r="O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  <c r="AI1221" s="230"/>
    </row>
    <row r="1222">
      <c r="O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  <c r="AI1222" s="230"/>
    </row>
    <row r="1223">
      <c r="O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  <c r="AI1223" s="230"/>
    </row>
    <row r="1224">
      <c r="O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  <c r="AI1224" s="230"/>
    </row>
    <row r="1225">
      <c r="O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  <c r="AI1225" s="230"/>
    </row>
    <row r="1226">
      <c r="O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  <c r="AI1226" s="230"/>
    </row>
    <row r="1227">
      <c r="O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  <c r="AI1227" s="230"/>
    </row>
    <row r="1228">
      <c r="O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  <c r="AI1228" s="230"/>
    </row>
    <row r="1229">
      <c r="O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  <c r="AI1229" s="230"/>
    </row>
    <row r="1230">
      <c r="O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  <c r="AI1230" s="230"/>
    </row>
    <row r="1231">
      <c r="O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  <c r="AI1231" s="230"/>
    </row>
    <row r="1232">
      <c r="O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  <c r="AI1232" s="230"/>
    </row>
    <row r="1233">
      <c r="O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  <c r="AI1233" s="230"/>
    </row>
    <row r="1234">
      <c r="O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  <c r="AI1234" s="230"/>
    </row>
    <row r="1235">
      <c r="O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  <c r="AI1235" s="230"/>
    </row>
    <row r="1236">
      <c r="O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  <c r="AI1236" s="230"/>
    </row>
    <row r="1237">
      <c r="O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  <c r="AI1237" s="230"/>
    </row>
    <row r="1238">
      <c r="O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  <c r="AI1238" s="230"/>
    </row>
    <row r="1239">
      <c r="O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  <c r="AI1239" s="230"/>
    </row>
    <row r="1240">
      <c r="O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  <c r="AI1240" s="230"/>
    </row>
    <row r="1241">
      <c r="O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  <c r="AI1241" s="230"/>
    </row>
    <row r="1242">
      <c r="O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  <c r="AI1242" s="230"/>
    </row>
    <row r="1243">
      <c r="O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  <c r="AI1243" s="230"/>
    </row>
    <row r="1244">
      <c r="O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  <c r="AI1244" s="230"/>
    </row>
    <row r="1245">
      <c r="O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  <c r="AI1245" s="230"/>
    </row>
    <row r="1246">
      <c r="O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  <c r="AI1246" s="230"/>
    </row>
    <row r="1247">
      <c r="O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  <c r="AI1247" s="230"/>
    </row>
    <row r="1248">
      <c r="O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  <c r="AI1248" s="230"/>
    </row>
    <row r="1249">
      <c r="O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  <c r="AI1249" s="230"/>
    </row>
    <row r="1250">
      <c r="O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  <c r="AI1250" s="230"/>
    </row>
    <row r="1251">
      <c r="O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  <c r="AI1251" s="230"/>
    </row>
    <row r="1252">
      <c r="O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  <c r="AI1252" s="230"/>
    </row>
    <row r="1253">
      <c r="O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  <c r="AI1253" s="230"/>
    </row>
    <row r="1254">
      <c r="O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  <c r="AI1254" s="230"/>
    </row>
    <row r="1255">
      <c r="O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  <c r="AI1255" s="230"/>
    </row>
    <row r="1256">
      <c r="O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  <c r="AI1256" s="230"/>
    </row>
    <row r="1257">
      <c r="O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  <c r="AI1257" s="230"/>
    </row>
    <row r="1258">
      <c r="O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  <c r="AI1258" s="230"/>
    </row>
    <row r="1259">
      <c r="O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  <c r="AI1259" s="230"/>
    </row>
    <row r="1260">
      <c r="O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  <c r="AI1260" s="230"/>
    </row>
    <row r="1261">
      <c r="O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  <c r="AI1261" s="230"/>
    </row>
    <row r="1262">
      <c r="O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  <c r="AI1262" s="230"/>
    </row>
    <row r="1263">
      <c r="O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  <c r="AI1263" s="230"/>
    </row>
    <row r="1264">
      <c r="O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  <c r="AI1264" s="230"/>
    </row>
    <row r="1265">
      <c r="O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  <c r="AI1265" s="230"/>
    </row>
    <row r="1266">
      <c r="O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  <c r="AI1266" s="230"/>
    </row>
    <row r="1267">
      <c r="O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  <c r="AI1267" s="230"/>
    </row>
    <row r="1268">
      <c r="O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  <c r="AI1268" s="230"/>
    </row>
    <row r="1269">
      <c r="O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  <c r="AI1269" s="230"/>
    </row>
    <row r="1270">
      <c r="O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  <c r="AI1270" s="230"/>
    </row>
    <row r="1271">
      <c r="O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  <c r="AI1271" s="230"/>
    </row>
    <row r="1272">
      <c r="O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  <c r="AI1272" s="230"/>
    </row>
    <row r="1273">
      <c r="O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  <c r="AI1273" s="230"/>
    </row>
    <row r="1274">
      <c r="O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  <c r="AI1274" s="230"/>
    </row>
    <row r="1275">
      <c r="O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  <c r="AI1275" s="230"/>
    </row>
    <row r="1276">
      <c r="O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  <c r="AI1276" s="230"/>
    </row>
    <row r="1277">
      <c r="O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  <c r="AI1277" s="230"/>
    </row>
    <row r="1278">
      <c r="O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  <c r="AI1278" s="230"/>
    </row>
    <row r="1279">
      <c r="O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  <c r="AI1279" s="230"/>
    </row>
    <row r="1280">
      <c r="O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  <c r="AI1280" s="230"/>
    </row>
    <row r="1281">
      <c r="O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  <c r="AI1281" s="230"/>
    </row>
    <row r="1282">
      <c r="O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  <c r="AI1282" s="230"/>
    </row>
    <row r="1283">
      <c r="O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  <c r="AI1283" s="230"/>
    </row>
    <row r="1284">
      <c r="O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  <c r="AI1284" s="230"/>
    </row>
    <row r="1285">
      <c r="O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  <c r="AI1285" s="230"/>
    </row>
    <row r="1286">
      <c r="O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  <c r="AI1286" s="230"/>
    </row>
    <row r="1287">
      <c r="O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  <c r="AI1287" s="230"/>
    </row>
    <row r="1288">
      <c r="O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  <c r="AI1288" s="230"/>
    </row>
    <row r="1289">
      <c r="O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  <c r="AI1289" s="230"/>
    </row>
    <row r="1290">
      <c r="O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  <c r="AI1290" s="230"/>
    </row>
    <row r="1291">
      <c r="O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  <c r="AI1291" s="230"/>
    </row>
    <row r="1292">
      <c r="O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  <c r="AI1292" s="230"/>
    </row>
    <row r="1293">
      <c r="O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  <c r="AI1293" s="230"/>
    </row>
    <row r="1294">
      <c r="O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  <c r="AI1294" s="230"/>
    </row>
    <row r="1295">
      <c r="O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  <c r="AI1295" s="230"/>
    </row>
    <row r="1296">
      <c r="O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  <c r="AI1296" s="230"/>
    </row>
    <row r="1297">
      <c r="O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  <c r="AI1297" s="230"/>
    </row>
    <row r="1298">
      <c r="O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  <c r="AI1298" s="230"/>
    </row>
    <row r="1299">
      <c r="O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  <c r="AI1299" s="230"/>
    </row>
    <row r="1300">
      <c r="O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  <c r="AI1300" s="230"/>
    </row>
    <row r="1301">
      <c r="O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  <c r="AI1301" s="230"/>
    </row>
    <row r="1302">
      <c r="O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  <c r="AI1302" s="230"/>
    </row>
    <row r="1303">
      <c r="O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  <c r="AI1303" s="230"/>
    </row>
    <row r="1304">
      <c r="O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  <c r="AI1304" s="230"/>
    </row>
    <row r="1305">
      <c r="O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  <c r="AI1305" s="230"/>
    </row>
    <row r="1306">
      <c r="O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  <c r="AI1306" s="230"/>
    </row>
    <row r="1307">
      <c r="O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  <c r="AI1307" s="230"/>
    </row>
    <row r="1308">
      <c r="O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  <c r="AI1308" s="230"/>
    </row>
    <row r="1309">
      <c r="O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  <c r="AI1309" s="230"/>
    </row>
    <row r="1310">
      <c r="O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  <c r="AI1310" s="230"/>
    </row>
    <row r="1311">
      <c r="O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  <c r="AI1311" s="230"/>
    </row>
    <row r="1312">
      <c r="O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  <c r="AI1312" s="230"/>
    </row>
    <row r="1313">
      <c r="O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  <c r="AI1313" s="230"/>
    </row>
    <row r="1314">
      <c r="O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  <c r="AI1314" s="230"/>
    </row>
    <row r="1315">
      <c r="O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  <c r="AI1315" s="230"/>
    </row>
    <row r="1316">
      <c r="O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  <c r="AI1316" s="230"/>
    </row>
    <row r="1317">
      <c r="O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  <c r="AI1317" s="230"/>
    </row>
    <row r="1318">
      <c r="O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  <c r="AI1318" s="230"/>
    </row>
    <row r="1319">
      <c r="O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  <c r="AI1319" s="230"/>
    </row>
    <row r="1320">
      <c r="O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  <c r="AI1320" s="230"/>
    </row>
    <row r="1321">
      <c r="O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  <c r="AI1321" s="230"/>
    </row>
    <row r="1322">
      <c r="O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  <c r="AI1322" s="230"/>
    </row>
    <row r="1323">
      <c r="O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  <c r="AI1323" s="230"/>
    </row>
    <row r="1324">
      <c r="O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  <c r="AI1324" s="230"/>
    </row>
    <row r="1325">
      <c r="O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  <c r="AI1325" s="230"/>
    </row>
    <row r="1326">
      <c r="O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  <c r="AI1326" s="230"/>
    </row>
    <row r="1327">
      <c r="O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  <c r="AI1327" s="230"/>
    </row>
    <row r="1328">
      <c r="O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  <c r="AI1328" s="230"/>
    </row>
    <row r="1329">
      <c r="O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  <c r="AI1329" s="230"/>
    </row>
    <row r="1330">
      <c r="O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  <c r="AI1330" s="230"/>
    </row>
    <row r="1331">
      <c r="O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  <c r="AI1331" s="230"/>
    </row>
    <row r="1332">
      <c r="O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  <c r="AI1332" s="230"/>
    </row>
    <row r="1333">
      <c r="O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  <c r="AI1333" s="230"/>
    </row>
    <row r="1334">
      <c r="O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  <c r="AI1334" s="230"/>
    </row>
    <row r="1335">
      <c r="O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  <c r="AI1335" s="230"/>
    </row>
    <row r="1336">
      <c r="O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  <c r="AI1336" s="230"/>
    </row>
    <row r="1337">
      <c r="O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  <c r="AI1337" s="230"/>
    </row>
    <row r="1338">
      <c r="O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  <c r="AI1338" s="230"/>
    </row>
    <row r="1339">
      <c r="O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  <c r="AI1339" s="230"/>
    </row>
    <row r="1340">
      <c r="O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  <c r="AI1340" s="230"/>
    </row>
    <row r="1341">
      <c r="O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  <c r="AI1341" s="230"/>
    </row>
    <row r="1342">
      <c r="O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  <c r="AI1342" s="230"/>
    </row>
    <row r="1343">
      <c r="O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  <c r="AI1343" s="230"/>
    </row>
    <row r="1344">
      <c r="O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  <c r="AI1344" s="230"/>
    </row>
    <row r="1345">
      <c r="O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  <c r="AI1345" s="230"/>
    </row>
    <row r="1346">
      <c r="O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  <c r="AI1346" s="230"/>
    </row>
    <row r="1347">
      <c r="O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  <c r="AI1347" s="230"/>
    </row>
    <row r="1348">
      <c r="O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  <c r="AI1348" s="230"/>
    </row>
    <row r="1349">
      <c r="O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  <c r="AI1349" s="230"/>
    </row>
    <row r="1350">
      <c r="O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  <c r="AI1350" s="230"/>
    </row>
    <row r="1351">
      <c r="O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  <c r="AI1351" s="230"/>
    </row>
    <row r="1352">
      <c r="O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  <c r="AI1352" s="230"/>
    </row>
    <row r="1353">
      <c r="O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  <c r="AI1353" s="230"/>
    </row>
    <row r="1354">
      <c r="O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  <c r="AI1354" s="230"/>
    </row>
    <row r="1355">
      <c r="O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  <c r="AI1355" s="230"/>
    </row>
    <row r="1356">
      <c r="O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  <c r="AI1356" s="230"/>
    </row>
    <row r="1357">
      <c r="O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  <c r="AI1357" s="230"/>
    </row>
    <row r="1358">
      <c r="O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  <c r="AI1358" s="230"/>
    </row>
    <row r="1359">
      <c r="O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  <c r="AI1359" s="230"/>
    </row>
    <row r="1360">
      <c r="O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  <c r="AI1360" s="230"/>
    </row>
    <row r="1361">
      <c r="O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  <c r="AI1361" s="230"/>
    </row>
    <row r="1362">
      <c r="O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  <c r="AI1362" s="230"/>
    </row>
    <row r="1363">
      <c r="O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  <c r="AI1363" s="230"/>
    </row>
    <row r="1364">
      <c r="O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  <c r="AI1364" s="230"/>
    </row>
    <row r="1365">
      <c r="O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  <c r="AI1365" s="230"/>
    </row>
    <row r="1366">
      <c r="O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  <c r="AI1366" s="230"/>
    </row>
    <row r="1367">
      <c r="O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  <c r="AI1367" s="230"/>
    </row>
    <row r="1368">
      <c r="O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  <c r="AI1368" s="230"/>
    </row>
    <row r="1369">
      <c r="O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  <c r="AI1369" s="230"/>
    </row>
    <row r="1370">
      <c r="O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  <c r="AI1370" s="230"/>
    </row>
    <row r="1371">
      <c r="O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  <c r="AI1371" s="230"/>
    </row>
    <row r="1372">
      <c r="O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  <c r="AI1372" s="230"/>
    </row>
    <row r="1373">
      <c r="O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  <c r="AI1373" s="230"/>
    </row>
    <row r="1374">
      <c r="O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  <c r="AI1374" s="230"/>
    </row>
    <row r="1375">
      <c r="O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  <c r="AI1375" s="230"/>
    </row>
    <row r="1376">
      <c r="O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  <c r="AI1376" s="230"/>
    </row>
    <row r="1377">
      <c r="O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  <c r="AI1377" s="230"/>
    </row>
    <row r="1378">
      <c r="O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  <c r="AI1378" s="230"/>
    </row>
    <row r="1379">
      <c r="O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  <c r="AI1379" s="230"/>
    </row>
    <row r="1380">
      <c r="O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  <c r="AI1380" s="230"/>
    </row>
    <row r="1381">
      <c r="O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  <c r="AI1381" s="230"/>
    </row>
    <row r="1382">
      <c r="O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  <c r="AI1382" s="230"/>
    </row>
    <row r="1383">
      <c r="O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  <c r="AI1383" s="230"/>
    </row>
    <row r="1384">
      <c r="O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  <c r="AI1384" s="230"/>
    </row>
    <row r="1385">
      <c r="O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  <c r="AI1385" s="230"/>
    </row>
    <row r="1386">
      <c r="O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  <c r="AI1386" s="230"/>
    </row>
    <row r="1387">
      <c r="O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  <c r="AI1387" s="230"/>
    </row>
    <row r="1388">
      <c r="O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  <c r="AI1388" s="230"/>
    </row>
    <row r="1389">
      <c r="O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  <c r="AI1389" s="230"/>
    </row>
    <row r="1390">
      <c r="O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  <c r="AI1390" s="230"/>
    </row>
    <row r="1391">
      <c r="O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  <c r="AI1391" s="230"/>
    </row>
    <row r="1392">
      <c r="O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  <c r="AI1392" s="230"/>
    </row>
    <row r="1393">
      <c r="O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  <c r="AI1393" s="230"/>
    </row>
    <row r="1394">
      <c r="O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  <c r="AI1394" s="230"/>
    </row>
    <row r="1395">
      <c r="O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  <c r="AI1395" s="230"/>
    </row>
    <row r="1396">
      <c r="O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  <c r="AI1396" s="230"/>
    </row>
    <row r="1397">
      <c r="O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  <c r="AI1397" s="230"/>
    </row>
    <row r="1398">
      <c r="O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  <c r="AI1398" s="230"/>
    </row>
    <row r="1399">
      <c r="O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  <c r="AI1399" s="230"/>
    </row>
    <row r="1400">
      <c r="O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  <c r="AI1400" s="230"/>
    </row>
    <row r="1401">
      <c r="O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  <c r="AI1401" s="230"/>
    </row>
    <row r="1402">
      <c r="O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  <c r="AI1402" s="230"/>
    </row>
    <row r="1403">
      <c r="O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  <c r="AI1403" s="230"/>
    </row>
    <row r="1404">
      <c r="O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  <c r="AI1404" s="230"/>
    </row>
    <row r="1405">
      <c r="O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  <c r="AI1405" s="230"/>
    </row>
    <row r="1406">
      <c r="O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  <c r="AI1406" s="230"/>
    </row>
    <row r="1407">
      <c r="O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  <c r="AI1407" s="230"/>
    </row>
    <row r="1408">
      <c r="O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  <c r="AI1408" s="230"/>
    </row>
    <row r="1409">
      <c r="O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  <c r="AI1409" s="230"/>
    </row>
    <row r="1410">
      <c r="O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  <c r="AI1410" s="230"/>
    </row>
    <row r="1411">
      <c r="O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  <c r="AI1411" s="230"/>
    </row>
    <row r="1412">
      <c r="O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  <c r="AI1412" s="230"/>
    </row>
    <row r="1413">
      <c r="O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  <c r="AI1413" s="230"/>
    </row>
    <row r="1414">
      <c r="O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  <c r="AI1414" s="230"/>
    </row>
    <row r="1415">
      <c r="O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  <c r="AI1415" s="230"/>
    </row>
    <row r="1416">
      <c r="O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  <c r="AI1416" s="230"/>
    </row>
    <row r="1417">
      <c r="O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  <c r="AI1417" s="230"/>
    </row>
    <row r="1418">
      <c r="O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  <c r="AI1418" s="230"/>
    </row>
    <row r="1419">
      <c r="O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  <c r="AI1419" s="230"/>
    </row>
    <row r="1420">
      <c r="O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  <c r="AI1420" s="230"/>
    </row>
    <row r="1421">
      <c r="O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  <c r="AI1421" s="230"/>
    </row>
    <row r="1422">
      <c r="O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  <c r="AI1422" s="230"/>
    </row>
    <row r="1423">
      <c r="O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  <c r="AI1423" s="230"/>
    </row>
    <row r="1424">
      <c r="O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  <c r="AI1424" s="230"/>
    </row>
    <row r="1425">
      <c r="O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  <c r="AI1425" s="230"/>
    </row>
    <row r="1426">
      <c r="O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  <c r="AI1426" s="230"/>
    </row>
    <row r="1427">
      <c r="O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  <c r="AI1427" s="230"/>
    </row>
    <row r="1428">
      <c r="O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  <c r="AI1428" s="230"/>
    </row>
    <row r="1429">
      <c r="O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  <c r="AI1429" s="230"/>
    </row>
    <row r="1430">
      <c r="O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  <c r="AI1430" s="230"/>
    </row>
    <row r="1431">
      <c r="O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  <c r="AI1431" s="230"/>
    </row>
    <row r="1432">
      <c r="O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  <c r="AI1432" s="230"/>
    </row>
    <row r="1433">
      <c r="O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  <c r="AI1433" s="230"/>
    </row>
    <row r="1434">
      <c r="O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  <c r="AI1434" s="230"/>
    </row>
    <row r="1435">
      <c r="O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  <c r="AI1435" s="230"/>
    </row>
    <row r="1436">
      <c r="O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  <c r="AI1436" s="230"/>
    </row>
    <row r="1437">
      <c r="O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  <c r="AI1437" s="230"/>
    </row>
    <row r="1438">
      <c r="O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  <c r="AI1438" s="230"/>
    </row>
    <row r="1439">
      <c r="O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  <c r="AI1439" s="230"/>
    </row>
    <row r="1440">
      <c r="O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  <c r="AI1440" s="230"/>
    </row>
    <row r="1441">
      <c r="O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  <c r="AI1441" s="230"/>
    </row>
    <row r="1442">
      <c r="O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  <c r="AI1442" s="230"/>
    </row>
    <row r="1443">
      <c r="O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  <c r="AI1443" s="230"/>
    </row>
    <row r="1444">
      <c r="O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  <c r="AI1444" s="230"/>
    </row>
    <row r="1445">
      <c r="O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  <c r="AI1445" s="230"/>
    </row>
    <row r="1446">
      <c r="O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  <c r="AI1446" s="230"/>
    </row>
    <row r="1447">
      <c r="O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  <c r="AI1447" s="230"/>
    </row>
    <row r="1448">
      <c r="O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  <c r="AI1448" s="230"/>
    </row>
    <row r="1449">
      <c r="O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  <c r="AI1449" s="230"/>
    </row>
    <row r="1450">
      <c r="O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  <c r="AI1450" s="230"/>
    </row>
    <row r="1451">
      <c r="O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  <c r="AI1451" s="230"/>
    </row>
    <row r="1452">
      <c r="O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  <c r="AI1452" s="230"/>
    </row>
    <row r="1453">
      <c r="O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  <c r="AI1453" s="230"/>
    </row>
    <row r="1454">
      <c r="O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  <c r="AI1454" s="230"/>
    </row>
    <row r="1455">
      <c r="O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  <c r="AI1455" s="230"/>
    </row>
    <row r="1456">
      <c r="O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  <c r="AI1456" s="230"/>
    </row>
    <row r="1457">
      <c r="O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  <c r="AI1457" s="230"/>
    </row>
    <row r="1458">
      <c r="O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  <c r="AI1458" s="230"/>
    </row>
    <row r="1459">
      <c r="O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  <c r="AI1459" s="230"/>
    </row>
    <row r="1460">
      <c r="O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  <c r="AI1460" s="230"/>
    </row>
    <row r="1461">
      <c r="O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  <c r="AI1461" s="230"/>
    </row>
    <row r="1462">
      <c r="O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  <c r="AI1462" s="230"/>
    </row>
    <row r="1463">
      <c r="O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  <c r="AI1463" s="230"/>
    </row>
    <row r="1464">
      <c r="O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  <c r="AI1464" s="230"/>
    </row>
    <row r="1465">
      <c r="O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  <c r="AI1465" s="230"/>
    </row>
    <row r="1466">
      <c r="O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  <c r="AI1466" s="230"/>
    </row>
    <row r="1467">
      <c r="O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  <c r="AI1467" s="230"/>
    </row>
    <row r="1468">
      <c r="O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  <c r="AI1468" s="230"/>
    </row>
    <row r="1469">
      <c r="O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  <c r="AI1469" s="230"/>
    </row>
    <row r="1470">
      <c r="O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  <c r="AI1470" s="230"/>
    </row>
    <row r="1471">
      <c r="O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  <c r="AI1471" s="230"/>
    </row>
    <row r="1472">
      <c r="O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  <c r="AI1472" s="230"/>
    </row>
    <row r="1473">
      <c r="O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  <c r="AI1473" s="230"/>
    </row>
    <row r="1474">
      <c r="O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  <c r="AI1474" s="230"/>
    </row>
    <row r="1475">
      <c r="O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  <c r="AI1475" s="230"/>
    </row>
    <row r="1476">
      <c r="O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  <c r="AI1476" s="230"/>
    </row>
    <row r="1477">
      <c r="O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  <c r="AI1477" s="230"/>
    </row>
    <row r="1478">
      <c r="O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  <c r="AI1478" s="230"/>
    </row>
    <row r="1479">
      <c r="O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  <c r="AI1479" s="230"/>
    </row>
    <row r="1480">
      <c r="O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  <c r="AI1480" s="230"/>
    </row>
    <row r="1481">
      <c r="O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  <c r="AI1481" s="230"/>
    </row>
    <row r="1482">
      <c r="O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  <c r="AI1482" s="230"/>
    </row>
    <row r="1483">
      <c r="O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  <c r="AI1483" s="230"/>
    </row>
    <row r="1484">
      <c r="O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  <c r="AI1484" s="230"/>
    </row>
    <row r="1485">
      <c r="O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  <c r="AI1485" s="230"/>
    </row>
    <row r="1486">
      <c r="O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  <c r="AI1486" s="230"/>
    </row>
    <row r="1487">
      <c r="O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  <c r="AI1487" s="230"/>
    </row>
    <row r="1488">
      <c r="O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  <c r="AI1488" s="230"/>
    </row>
    <row r="1489">
      <c r="O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  <c r="AI1489" s="230"/>
    </row>
    <row r="1490">
      <c r="O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  <c r="AI1490" s="230"/>
    </row>
    <row r="1491">
      <c r="O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  <c r="AI1491" s="230"/>
    </row>
    <row r="1492">
      <c r="O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  <c r="AI1492" s="230"/>
    </row>
    <row r="1493">
      <c r="O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  <c r="AI1493" s="230"/>
    </row>
    <row r="1494">
      <c r="O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  <c r="AI1494" s="230"/>
    </row>
    <row r="1495">
      <c r="O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  <c r="AI1495" s="230"/>
    </row>
    <row r="1496">
      <c r="O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  <c r="AI1496" s="230"/>
    </row>
    <row r="1497">
      <c r="O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  <c r="AI1497" s="230"/>
    </row>
    <row r="1498">
      <c r="O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  <c r="AI1498" s="230"/>
    </row>
    <row r="1499">
      <c r="O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  <c r="AI1499" s="230"/>
    </row>
    <row r="1500">
      <c r="O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  <c r="AI1500" s="230"/>
    </row>
    <row r="1501">
      <c r="O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  <c r="AI1501" s="230"/>
    </row>
    <row r="1502">
      <c r="O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  <c r="AI1502" s="230"/>
    </row>
    <row r="1503">
      <c r="O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  <c r="AI1503" s="230"/>
    </row>
    <row r="1504">
      <c r="O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  <c r="AI1504" s="230"/>
    </row>
    <row r="1505">
      <c r="O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  <c r="AI1505" s="230"/>
    </row>
    <row r="1506">
      <c r="O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  <c r="AI1506" s="230"/>
    </row>
    <row r="1507">
      <c r="O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  <c r="AI1507" s="230"/>
    </row>
    <row r="1508">
      <c r="O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  <c r="AI1508" s="230"/>
    </row>
    <row r="1509">
      <c r="O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  <c r="AI1509" s="230"/>
    </row>
    <row r="1510">
      <c r="O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  <c r="AI1510" s="230"/>
    </row>
    <row r="1511">
      <c r="O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  <c r="AI1511" s="230"/>
    </row>
    <row r="1512">
      <c r="O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  <c r="AI1512" s="230"/>
    </row>
    <row r="1513">
      <c r="O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  <c r="AI1513" s="230"/>
    </row>
    <row r="1514">
      <c r="O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  <c r="AI1514" s="230"/>
    </row>
    <row r="1515">
      <c r="O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  <c r="AI1515" s="230"/>
    </row>
    <row r="1516">
      <c r="O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  <c r="AI1516" s="230"/>
    </row>
    <row r="1517">
      <c r="O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  <c r="AI1517" s="230"/>
    </row>
    <row r="1518">
      <c r="O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  <c r="AI1518" s="230"/>
    </row>
    <row r="1519">
      <c r="O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  <c r="AI1519" s="230"/>
    </row>
    <row r="1520">
      <c r="O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  <c r="AI1520" s="230"/>
    </row>
    <row r="1521">
      <c r="O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  <c r="AI1521" s="230"/>
    </row>
    <row r="1522">
      <c r="O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  <c r="AI1522" s="230"/>
    </row>
    <row r="1523">
      <c r="O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  <c r="AI1523" s="230"/>
    </row>
    <row r="1524">
      <c r="O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  <c r="AI1524" s="230"/>
    </row>
    <row r="1525">
      <c r="O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  <c r="AI1525" s="230"/>
    </row>
    <row r="1526">
      <c r="O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  <c r="AI1526" s="230"/>
    </row>
    <row r="1527">
      <c r="O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  <c r="AI1527" s="230"/>
    </row>
    <row r="1528">
      <c r="O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  <c r="AI1528" s="230"/>
    </row>
    <row r="1529">
      <c r="O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  <c r="AI1529" s="230"/>
    </row>
    <row r="1530">
      <c r="O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  <c r="AI1530" s="230"/>
    </row>
    <row r="1531">
      <c r="O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  <c r="AI1531" s="230"/>
    </row>
    <row r="1532">
      <c r="O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  <c r="AI1532" s="230"/>
    </row>
    <row r="1533">
      <c r="O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  <c r="AI1533" s="230"/>
    </row>
    <row r="1534">
      <c r="O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  <c r="AI1534" s="230"/>
    </row>
    <row r="1535">
      <c r="O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  <c r="AI1535" s="230"/>
    </row>
    <row r="1536">
      <c r="O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  <c r="AI1536" s="230"/>
    </row>
    <row r="1537">
      <c r="O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  <c r="AI1537" s="230"/>
    </row>
    <row r="1538">
      <c r="O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  <c r="AI1538" s="230"/>
    </row>
    <row r="1539">
      <c r="O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  <c r="AI1539" s="230"/>
    </row>
    <row r="1540">
      <c r="O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  <c r="AI1540" s="230"/>
    </row>
    <row r="1541">
      <c r="O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  <c r="AI1541" s="230"/>
    </row>
    <row r="1542">
      <c r="O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  <c r="AI1542" s="230"/>
    </row>
    <row r="1543">
      <c r="O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  <c r="AI1543" s="230"/>
    </row>
    <row r="1544">
      <c r="O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  <c r="AI1544" s="230"/>
    </row>
    <row r="1545">
      <c r="O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  <c r="AI1545" s="230"/>
    </row>
    <row r="1546">
      <c r="O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  <c r="AI1546" s="230"/>
    </row>
    <row r="1547">
      <c r="O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  <c r="AI1547" s="230"/>
    </row>
    <row r="1548">
      <c r="O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  <c r="AI1548" s="230"/>
    </row>
    <row r="1549">
      <c r="O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  <c r="AI1549" s="230"/>
    </row>
    <row r="1550">
      <c r="O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  <c r="AI1550" s="230"/>
    </row>
    <row r="1551">
      <c r="O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  <c r="AI1551" s="230"/>
    </row>
    <row r="1552">
      <c r="O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  <c r="AI1552" s="230"/>
    </row>
    <row r="1553">
      <c r="O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  <c r="AI1553" s="230"/>
    </row>
    <row r="1554">
      <c r="O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  <c r="AI1554" s="230"/>
    </row>
    <row r="1555">
      <c r="O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  <c r="AI1555" s="230"/>
    </row>
    <row r="1556">
      <c r="O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  <c r="AI1556" s="230"/>
    </row>
    <row r="1557">
      <c r="O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  <c r="AI1557" s="230"/>
    </row>
    <row r="1558">
      <c r="O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  <c r="AI1558" s="230"/>
    </row>
    <row r="1559">
      <c r="O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  <c r="AI1559" s="230"/>
    </row>
    <row r="1560">
      <c r="O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  <c r="AI1560" s="230"/>
    </row>
    <row r="1561">
      <c r="O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  <c r="AI1561" s="230"/>
    </row>
    <row r="1562">
      <c r="O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  <c r="AI1562" s="230"/>
    </row>
    <row r="1563">
      <c r="O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  <c r="AI1563" s="230"/>
    </row>
    <row r="1564">
      <c r="O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  <c r="AI1564" s="230"/>
    </row>
    <row r="1565">
      <c r="O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  <c r="AI1565" s="230"/>
    </row>
    <row r="1566">
      <c r="O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  <c r="AI1566" s="230"/>
    </row>
    <row r="1567">
      <c r="O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  <c r="AI1567" s="230"/>
    </row>
    <row r="1568">
      <c r="O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  <c r="AI1568" s="230"/>
    </row>
    <row r="1569">
      <c r="O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  <c r="AI1569" s="230"/>
    </row>
    <row r="1570">
      <c r="O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  <c r="AI1570" s="230"/>
    </row>
    <row r="1571">
      <c r="O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  <c r="AI1571" s="230"/>
    </row>
    <row r="1572">
      <c r="O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  <c r="AI1572" s="230"/>
    </row>
    <row r="1573">
      <c r="O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  <c r="AI1573" s="230"/>
    </row>
    <row r="1574">
      <c r="O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  <c r="AI1574" s="230"/>
    </row>
    <row r="1575">
      <c r="O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  <c r="AI1575" s="230"/>
    </row>
    <row r="1576">
      <c r="O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  <c r="AI1576" s="230"/>
    </row>
    <row r="1577">
      <c r="O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  <c r="AI1577" s="230"/>
    </row>
    <row r="1578">
      <c r="O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  <c r="AI1578" s="230"/>
    </row>
    <row r="1579">
      <c r="O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  <c r="AI1579" s="230"/>
    </row>
    <row r="1580">
      <c r="O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  <c r="AI1580" s="230"/>
    </row>
    <row r="1581">
      <c r="O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  <c r="AI1581" s="230"/>
    </row>
    <row r="1582">
      <c r="O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  <c r="AI1582" s="230"/>
    </row>
    <row r="1583">
      <c r="O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  <c r="AI1583" s="230"/>
    </row>
    <row r="1584">
      <c r="O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  <c r="AI1584" s="230"/>
    </row>
    <row r="1585">
      <c r="O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  <c r="AI1585" s="230"/>
    </row>
    <row r="1586">
      <c r="O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  <c r="AI1586" s="230"/>
    </row>
    <row r="1587">
      <c r="O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  <c r="AI1587" s="230"/>
    </row>
    <row r="1588">
      <c r="O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  <c r="AI1588" s="230"/>
    </row>
    <row r="1589">
      <c r="O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  <c r="AI1589" s="230"/>
    </row>
    <row r="1590">
      <c r="O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  <c r="AI1590" s="230"/>
    </row>
    <row r="1591">
      <c r="O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  <c r="AI1591" s="230"/>
    </row>
    <row r="1592">
      <c r="O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  <c r="AI1592" s="230"/>
    </row>
    <row r="1593">
      <c r="O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  <c r="AI1593" s="230"/>
    </row>
    <row r="1594">
      <c r="O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  <c r="AI1594" s="230"/>
    </row>
    <row r="1595">
      <c r="O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  <c r="AI1595" s="230"/>
    </row>
    <row r="1596">
      <c r="O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  <c r="AI1596" s="230"/>
    </row>
    <row r="1597">
      <c r="O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  <c r="AI1597" s="230"/>
    </row>
    <row r="1598">
      <c r="O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  <c r="AI1598" s="230"/>
    </row>
    <row r="1599">
      <c r="O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  <c r="AI1599" s="230"/>
    </row>
    <row r="1600">
      <c r="O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  <c r="AI1600" s="230"/>
    </row>
    <row r="1601">
      <c r="O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  <c r="AI1601" s="230"/>
    </row>
    <row r="1602">
      <c r="O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  <c r="AI1602" s="230"/>
    </row>
    <row r="1603">
      <c r="O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  <c r="AI1603" s="230"/>
    </row>
    <row r="1604">
      <c r="O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  <c r="AI1604" s="230"/>
    </row>
    <row r="1605">
      <c r="O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  <c r="AI1605" s="230"/>
    </row>
    <row r="1606">
      <c r="O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  <c r="AI1606" s="230"/>
    </row>
    <row r="1607">
      <c r="O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  <c r="AI1607" s="230"/>
    </row>
    <row r="1608">
      <c r="O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  <c r="AI1608" s="230"/>
    </row>
    <row r="1609">
      <c r="O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  <c r="AI1609" s="230"/>
    </row>
    <row r="1610">
      <c r="O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  <c r="AI1610" s="230"/>
    </row>
    <row r="1611">
      <c r="O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  <c r="AI1611" s="230"/>
    </row>
    <row r="1612">
      <c r="O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  <c r="AI1612" s="230"/>
    </row>
    <row r="1613">
      <c r="O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  <c r="AI1613" s="230"/>
    </row>
    <row r="1614">
      <c r="O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  <c r="AI1614" s="230"/>
    </row>
    <row r="1615">
      <c r="O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  <c r="AI1615" s="230"/>
    </row>
    <row r="1616">
      <c r="O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  <c r="AI1616" s="230"/>
    </row>
    <row r="1617">
      <c r="O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  <c r="AI1617" s="230"/>
    </row>
    <row r="1618">
      <c r="O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  <c r="AI1618" s="230"/>
    </row>
    <row r="1619">
      <c r="O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  <c r="AI1619" s="230"/>
    </row>
    <row r="1620">
      <c r="O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  <c r="AI1620" s="230"/>
    </row>
    <row r="1621">
      <c r="O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  <c r="AI1621" s="230"/>
    </row>
    <row r="1622">
      <c r="O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  <c r="AI1622" s="230"/>
    </row>
    <row r="1623">
      <c r="O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  <c r="AI1623" s="230"/>
    </row>
    <row r="1624">
      <c r="O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  <c r="AI1624" s="230"/>
    </row>
    <row r="1625">
      <c r="O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  <c r="AI1625" s="230"/>
    </row>
    <row r="1626">
      <c r="O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  <c r="AI1626" s="230"/>
    </row>
    <row r="1627">
      <c r="O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  <c r="AI1627" s="230"/>
    </row>
    <row r="1628">
      <c r="O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  <c r="AI1628" s="230"/>
    </row>
    <row r="1629">
      <c r="O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  <c r="AI1629" s="230"/>
    </row>
    <row r="1630">
      <c r="O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  <c r="AI1630" s="230"/>
    </row>
    <row r="1631">
      <c r="O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  <c r="AI1631" s="230"/>
    </row>
    <row r="1632">
      <c r="O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  <c r="AI1632" s="230"/>
    </row>
    <row r="1633">
      <c r="O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  <c r="AI1633" s="230"/>
    </row>
    <row r="1634">
      <c r="O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  <c r="AI1634" s="230"/>
    </row>
    <row r="1635">
      <c r="O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  <c r="AI1635" s="230"/>
    </row>
    <row r="1636">
      <c r="O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  <c r="AI1636" s="230"/>
    </row>
    <row r="1637">
      <c r="O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  <c r="AI1637" s="230"/>
    </row>
    <row r="1638">
      <c r="O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  <c r="AI1638" s="230"/>
    </row>
    <row r="1639">
      <c r="O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  <c r="AI1639" s="230"/>
    </row>
    <row r="1640">
      <c r="O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  <c r="AI1640" s="230"/>
    </row>
    <row r="1641">
      <c r="O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  <c r="AI1641" s="230"/>
    </row>
    <row r="1642">
      <c r="O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  <c r="AI1642" s="230"/>
    </row>
    <row r="1643">
      <c r="O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  <c r="AI1643" s="230"/>
    </row>
    <row r="1644">
      <c r="O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  <c r="AI1644" s="230"/>
    </row>
    <row r="1645">
      <c r="O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  <c r="AI1645" s="230"/>
    </row>
    <row r="1646">
      <c r="O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  <c r="AI1646" s="230"/>
    </row>
    <row r="1647">
      <c r="O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  <c r="AI1647" s="230"/>
    </row>
    <row r="1648">
      <c r="O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  <c r="AI1648" s="230"/>
    </row>
    <row r="1649">
      <c r="O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  <c r="AI1649" s="230"/>
    </row>
    <row r="1650">
      <c r="O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  <c r="AI1650" s="230"/>
    </row>
    <row r="1651">
      <c r="O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  <c r="AI1651" s="230"/>
    </row>
    <row r="1652">
      <c r="O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  <c r="AI1652" s="230"/>
    </row>
    <row r="1653">
      <c r="O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  <c r="AI1653" s="230"/>
    </row>
    <row r="1654">
      <c r="O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  <c r="AI1654" s="230"/>
    </row>
    <row r="1655">
      <c r="O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  <c r="AI1655" s="230"/>
    </row>
    <row r="1656">
      <c r="O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  <c r="AI1656" s="230"/>
    </row>
    <row r="1657">
      <c r="O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  <c r="AI1657" s="230"/>
    </row>
    <row r="1658">
      <c r="O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  <c r="AI1658" s="230"/>
    </row>
    <row r="1659">
      <c r="O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  <c r="AI1659" s="230"/>
    </row>
    <row r="1660">
      <c r="O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  <c r="AI1660" s="230"/>
    </row>
    <row r="1661">
      <c r="O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  <c r="AI1661" s="230"/>
    </row>
    <row r="1662">
      <c r="O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  <c r="AI1662" s="230"/>
    </row>
    <row r="1663">
      <c r="O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  <c r="AI1663" s="230"/>
    </row>
    <row r="1664">
      <c r="O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  <c r="AI1664" s="230"/>
    </row>
    <row r="1665">
      <c r="O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  <c r="AI1665" s="230"/>
    </row>
    <row r="1666">
      <c r="O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  <c r="AI1666" s="230"/>
    </row>
    <row r="1667">
      <c r="O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  <c r="AI1667" s="230"/>
    </row>
    <row r="1668">
      <c r="O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  <c r="AI1668" s="230"/>
    </row>
    <row r="1669">
      <c r="O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  <c r="AI1669" s="230"/>
    </row>
    <row r="1670">
      <c r="O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  <c r="AI1670" s="230"/>
    </row>
    <row r="1671">
      <c r="O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  <c r="AI1671" s="230"/>
    </row>
    <row r="1672">
      <c r="O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  <c r="AI1672" s="230"/>
    </row>
    <row r="1673">
      <c r="O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  <c r="AI1673" s="230"/>
    </row>
    <row r="1674">
      <c r="O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  <c r="AI1674" s="230"/>
    </row>
    <row r="1675">
      <c r="O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  <c r="AI1675" s="230"/>
    </row>
    <row r="1676">
      <c r="O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  <c r="AI1676" s="230"/>
    </row>
    <row r="1677">
      <c r="O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  <c r="AI1677" s="230"/>
    </row>
    <row r="1678">
      <c r="O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  <c r="AI1678" s="230"/>
    </row>
    <row r="1679">
      <c r="O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  <c r="AI1679" s="230"/>
    </row>
    <row r="1680">
      <c r="O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  <c r="AI1680" s="230"/>
    </row>
    <row r="1681">
      <c r="O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  <c r="AI1681" s="230"/>
    </row>
    <row r="1682">
      <c r="O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  <c r="AI1682" s="230"/>
    </row>
    <row r="1683">
      <c r="O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  <c r="AI1683" s="230"/>
    </row>
    <row r="1684">
      <c r="O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  <c r="AI1684" s="230"/>
    </row>
    <row r="1685">
      <c r="O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  <c r="AI1685" s="230"/>
    </row>
    <row r="1686">
      <c r="O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  <c r="AI1686" s="230"/>
    </row>
    <row r="1687">
      <c r="O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  <c r="AI1687" s="230"/>
    </row>
    <row r="1688">
      <c r="O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  <c r="AI1688" s="230"/>
    </row>
    <row r="1689">
      <c r="O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  <c r="AI1689" s="230"/>
    </row>
    <row r="1690">
      <c r="O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  <c r="AI1690" s="230"/>
    </row>
    <row r="1691">
      <c r="O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  <c r="AI1691" s="230"/>
    </row>
    <row r="1692">
      <c r="O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  <c r="AI1692" s="230"/>
    </row>
    <row r="1693">
      <c r="O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  <c r="AI1693" s="230"/>
    </row>
    <row r="1694">
      <c r="O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  <c r="AI1694" s="230"/>
    </row>
    <row r="1695">
      <c r="O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  <c r="AI1695" s="230"/>
    </row>
    <row r="1696">
      <c r="O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  <c r="AI1696" s="230"/>
    </row>
    <row r="1697">
      <c r="O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  <c r="AI1697" s="230"/>
    </row>
    <row r="1698">
      <c r="O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  <c r="AI1698" s="230"/>
    </row>
    <row r="1699">
      <c r="O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  <c r="AI1699" s="230"/>
    </row>
    <row r="1700">
      <c r="O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  <c r="AI1700" s="230"/>
    </row>
    <row r="1701">
      <c r="O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  <c r="AI1701" s="230"/>
    </row>
    <row r="1702">
      <c r="O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  <c r="AI1702" s="230"/>
    </row>
    <row r="1703">
      <c r="O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  <c r="AI1703" s="230"/>
    </row>
    <row r="1704">
      <c r="O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  <c r="AI1704" s="230"/>
    </row>
    <row r="1705">
      <c r="O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  <c r="AI1705" s="230"/>
    </row>
    <row r="1706">
      <c r="O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  <c r="AI1706" s="230"/>
    </row>
    <row r="1707">
      <c r="O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  <c r="AI1707" s="230"/>
    </row>
    <row r="1708">
      <c r="O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  <c r="AI1708" s="230"/>
    </row>
    <row r="1709">
      <c r="O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  <c r="AI1709" s="230"/>
    </row>
    <row r="1710">
      <c r="O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  <c r="AI1710" s="230"/>
    </row>
    <row r="1711">
      <c r="O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  <c r="AI1711" s="230"/>
    </row>
    <row r="1712">
      <c r="O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  <c r="AI1712" s="230"/>
    </row>
    <row r="1713">
      <c r="O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  <c r="AI1713" s="230"/>
    </row>
    <row r="1714">
      <c r="O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  <c r="AI1714" s="230"/>
    </row>
    <row r="1715">
      <c r="O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  <c r="AI1715" s="230"/>
    </row>
    <row r="1716">
      <c r="O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  <c r="AI1716" s="230"/>
    </row>
    <row r="1717">
      <c r="O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  <c r="AI1717" s="230"/>
    </row>
    <row r="1718">
      <c r="O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  <c r="AI1718" s="230"/>
    </row>
    <row r="1719">
      <c r="O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  <c r="AI1719" s="230"/>
    </row>
    <row r="1720">
      <c r="O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  <c r="AI1720" s="230"/>
    </row>
    <row r="1721">
      <c r="O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  <c r="AI1721" s="230"/>
    </row>
    <row r="1722">
      <c r="O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  <c r="AI1722" s="230"/>
    </row>
    <row r="1723">
      <c r="O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  <c r="AI1723" s="230"/>
    </row>
    <row r="1724">
      <c r="O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  <c r="AI1724" s="230"/>
    </row>
    <row r="1725">
      <c r="O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  <c r="AI1725" s="230"/>
    </row>
    <row r="1726">
      <c r="O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  <c r="AI1726" s="230"/>
    </row>
    <row r="1727">
      <c r="O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  <c r="AI1727" s="230"/>
    </row>
    <row r="1728">
      <c r="O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  <c r="AI1728" s="230"/>
    </row>
    <row r="1729">
      <c r="O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  <c r="AI1729" s="230"/>
    </row>
    <row r="1730">
      <c r="O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  <c r="AI1730" s="230"/>
    </row>
    <row r="1731">
      <c r="O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  <c r="AI1731" s="230"/>
    </row>
    <row r="1732">
      <c r="O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  <c r="AI1732" s="230"/>
    </row>
    <row r="1733">
      <c r="O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  <c r="AI1733" s="230"/>
    </row>
    <row r="1734">
      <c r="O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  <c r="AI1734" s="230"/>
    </row>
    <row r="1735">
      <c r="O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  <c r="AI1735" s="230"/>
    </row>
    <row r="1736">
      <c r="O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  <c r="AI1736" s="230"/>
    </row>
    <row r="1737">
      <c r="O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  <c r="AI1737" s="230"/>
    </row>
    <row r="1738">
      <c r="O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  <c r="AI1738" s="230"/>
    </row>
    <row r="1739">
      <c r="O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  <c r="AI1739" s="230"/>
    </row>
    <row r="1740">
      <c r="O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  <c r="AI1740" s="230"/>
    </row>
    <row r="1741">
      <c r="O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  <c r="AI1741" s="230"/>
    </row>
    <row r="1742">
      <c r="O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  <c r="AI1742" s="230"/>
    </row>
    <row r="1743">
      <c r="O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  <c r="AI1743" s="230"/>
    </row>
    <row r="1744">
      <c r="O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  <c r="AI1744" s="230"/>
    </row>
    <row r="1745">
      <c r="O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  <c r="AI1745" s="230"/>
    </row>
    <row r="1746">
      <c r="O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  <c r="AI1746" s="230"/>
    </row>
    <row r="1747">
      <c r="O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  <c r="AI1747" s="230"/>
    </row>
    <row r="1748">
      <c r="O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  <c r="AI1748" s="230"/>
    </row>
    <row r="1749">
      <c r="O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  <c r="AI1749" s="230"/>
    </row>
    <row r="1750">
      <c r="O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  <c r="AI1750" s="230"/>
    </row>
    <row r="1751">
      <c r="O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  <c r="AI1751" s="230"/>
    </row>
    <row r="1752">
      <c r="O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  <c r="AI1752" s="230"/>
    </row>
    <row r="1753">
      <c r="O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  <c r="AI1753" s="230"/>
    </row>
    <row r="1754">
      <c r="O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  <c r="AI1754" s="230"/>
    </row>
    <row r="1755">
      <c r="O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  <c r="AI1755" s="230"/>
    </row>
    <row r="1756">
      <c r="O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  <c r="AI1756" s="230"/>
    </row>
    <row r="1757">
      <c r="O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  <c r="AI1757" s="230"/>
    </row>
    <row r="1758">
      <c r="O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  <c r="AI1758" s="230"/>
    </row>
    <row r="1759">
      <c r="O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  <c r="AI1759" s="230"/>
    </row>
    <row r="1760">
      <c r="O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  <c r="AI1760" s="230"/>
    </row>
    <row r="1761">
      <c r="O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  <c r="AI1761" s="230"/>
    </row>
    <row r="1762">
      <c r="O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  <c r="AI1762" s="230"/>
    </row>
    <row r="1763">
      <c r="O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  <c r="AI1763" s="230"/>
    </row>
    <row r="1764">
      <c r="O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  <c r="AI1764" s="230"/>
    </row>
    <row r="1765">
      <c r="O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  <c r="AI1765" s="230"/>
    </row>
    <row r="1766">
      <c r="O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  <c r="AI1766" s="230"/>
    </row>
    <row r="1767">
      <c r="O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  <c r="AI1767" s="230"/>
    </row>
    <row r="1768">
      <c r="O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  <c r="AI1768" s="230"/>
    </row>
    <row r="1769">
      <c r="O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  <c r="AI1769" s="230"/>
    </row>
    <row r="1770">
      <c r="O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  <c r="AI1770" s="230"/>
    </row>
    <row r="1771">
      <c r="O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  <c r="AI1771" s="230"/>
    </row>
    <row r="1772">
      <c r="O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  <c r="AI1772" s="230"/>
    </row>
    <row r="1773">
      <c r="O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  <c r="AI1773" s="230"/>
    </row>
    <row r="1774">
      <c r="O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  <c r="AI1774" s="230"/>
    </row>
    <row r="1775">
      <c r="O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  <c r="AI1775" s="230"/>
    </row>
    <row r="1776">
      <c r="O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  <c r="AI1776" s="230"/>
    </row>
    <row r="1777">
      <c r="O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  <c r="AI1777" s="230"/>
    </row>
    <row r="1778">
      <c r="O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  <c r="AI1778" s="230"/>
    </row>
    <row r="1779">
      <c r="O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  <c r="AI1779" s="230"/>
    </row>
    <row r="1780">
      <c r="O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  <c r="AI1780" s="230"/>
    </row>
    <row r="1781">
      <c r="O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  <c r="AI1781" s="230"/>
    </row>
    <row r="1782">
      <c r="O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  <c r="AI1782" s="230"/>
    </row>
    <row r="1783">
      <c r="O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  <c r="AI1783" s="230"/>
    </row>
    <row r="1784">
      <c r="O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  <c r="AI1784" s="230"/>
    </row>
    <row r="1785">
      <c r="O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  <c r="AI1785" s="230"/>
    </row>
    <row r="1786">
      <c r="O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  <c r="AI1786" s="230"/>
    </row>
    <row r="1787">
      <c r="O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  <c r="AI1787" s="230"/>
    </row>
    <row r="1788">
      <c r="O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  <c r="AI1788" s="230"/>
    </row>
    <row r="1789">
      <c r="O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  <c r="AI1789" s="230"/>
    </row>
    <row r="1790">
      <c r="O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  <c r="AI1790" s="230"/>
    </row>
    <row r="1791">
      <c r="O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  <c r="AI1791" s="230"/>
    </row>
    <row r="1792">
      <c r="O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  <c r="AI1792" s="230"/>
    </row>
    <row r="1793">
      <c r="O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  <c r="AI1793" s="230"/>
    </row>
    <row r="1794">
      <c r="O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  <c r="AI1794" s="230"/>
    </row>
    <row r="1795">
      <c r="O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  <c r="AI1795" s="230"/>
    </row>
    <row r="1796">
      <c r="O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  <c r="AI1796" s="230"/>
    </row>
    <row r="1797">
      <c r="O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  <c r="AI1797" s="230"/>
    </row>
    <row r="1798">
      <c r="O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  <c r="AI1798" s="230"/>
    </row>
    <row r="1799">
      <c r="O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  <c r="AI1799" s="230"/>
    </row>
    <row r="1800">
      <c r="O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  <c r="AI1800" s="230"/>
    </row>
    <row r="1801">
      <c r="O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  <c r="AI1801" s="230"/>
    </row>
    <row r="1802">
      <c r="O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  <c r="AI1802" s="230"/>
    </row>
    <row r="1803">
      <c r="O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  <c r="AI1803" s="230"/>
    </row>
    <row r="1804">
      <c r="O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  <c r="AI1804" s="230"/>
    </row>
    <row r="1805">
      <c r="O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  <c r="AI1805" s="230"/>
    </row>
    <row r="1806">
      <c r="O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  <c r="AI1806" s="230"/>
    </row>
    <row r="1807">
      <c r="O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  <c r="AI1807" s="230"/>
    </row>
    <row r="1808">
      <c r="O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  <c r="AI1808" s="230"/>
    </row>
    <row r="1809">
      <c r="O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  <c r="AI1809" s="230"/>
    </row>
    <row r="1810">
      <c r="O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  <c r="AI1810" s="230"/>
    </row>
    <row r="1811">
      <c r="O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  <c r="AI1811" s="230"/>
    </row>
    <row r="1812">
      <c r="O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  <c r="AI1812" s="230"/>
    </row>
    <row r="1813">
      <c r="O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  <c r="AI1813" s="230"/>
    </row>
    <row r="1814">
      <c r="O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  <c r="AI1814" s="230"/>
    </row>
    <row r="1815">
      <c r="O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  <c r="AI1815" s="230"/>
    </row>
    <row r="1816">
      <c r="O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  <c r="AI1816" s="230"/>
    </row>
    <row r="1817">
      <c r="O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  <c r="AI1817" s="230"/>
    </row>
    <row r="1818">
      <c r="O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  <c r="AI1818" s="230"/>
    </row>
    <row r="1819">
      <c r="O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  <c r="AI1819" s="230"/>
    </row>
    <row r="1820">
      <c r="O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  <c r="AI1820" s="230"/>
    </row>
    <row r="1821">
      <c r="O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  <c r="AI1821" s="230"/>
    </row>
    <row r="1822">
      <c r="O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  <c r="AI1822" s="230"/>
    </row>
    <row r="1823">
      <c r="O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  <c r="AI1823" s="230"/>
    </row>
    <row r="1824">
      <c r="O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  <c r="AI1824" s="230"/>
    </row>
    <row r="1825">
      <c r="O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  <c r="AI1825" s="230"/>
    </row>
    <row r="1826">
      <c r="O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  <c r="AI1826" s="230"/>
    </row>
    <row r="1827">
      <c r="O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  <c r="AI1827" s="230"/>
    </row>
    <row r="1828">
      <c r="O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  <c r="AI1828" s="230"/>
    </row>
    <row r="1829">
      <c r="O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  <c r="AI1829" s="230"/>
    </row>
    <row r="1830">
      <c r="O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  <c r="AI1830" s="230"/>
    </row>
    <row r="1831">
      <c r="O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  <c r="AI1831" s="230"/>
    </row>
    <row r="1832">
      <c r="O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  <c r="AI1832" s="230"/>
    </row>
    <row r="1833">
      <c r="O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  <c r="AI1833" s="230"/>
    </row>
    <row r="1834">
      <c r="O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  <c r="AI1834" s="230"/>
    </row>
    <row r="1835">
      <c r="O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  <c r="AI1835" s="230"/>
    </row>
    <row r="1836">
      <c r="O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  <c r="AI1836" s="230"/>
    </row>
    <row r="1837">
      <c r="O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  <c r="AI1837" s="230"/>
    </row>
    <row r="1838">
      <c r="O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  <c r="AI1838" s="230"/>
    </row>
    <row r="1839">
      <c r="O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  <c r="AI1839" s="230"/>
    </row>
    <row r="1840">
      <c r="O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  <c r="AI1840" s="230"/>
    </row>
    <row r="1841">
      <c r="O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  <c r="AI1841" s="230"/>
    </row>
    <row r="1842">
      <c r="O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  <c r="AI1842" s="230"/>
    </row>
    <row r="1843">
      <c r="O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  <c r="AI1843" s="230"/>
    </row>
    <row r="1844">
      <c r="O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  <c r="AI1844" s="230"/>
    </row>
    <row r="1845">
      <c r="O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  <c r="AI1845" s="230"/>
    </row>
    <row r="1846">
      <c r="O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  <c r="AI1846" s="230"/>
    </row>
    <row r="1847">
      <c r="O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  <c r="AI1847" s="230"/>
    </row>
    <row r="1848">
      <c r="O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  <c r="AI1848" s="230"/>
    </row>
    <row r="1849">
      <c r="O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  <c r="AI1849" s="230"/>
    </row>
    <row r="1850">
      <c r="O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  <c r="AI1850" s="230"/>
    </row>
    <row r="1851">
      <c r="O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  <c r="AI1851" s="230"/>
    </row>
    <row r="1852">
      <c r="O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  <c r="AI1852" s="230"/>
    </row>
    <row r="1853">
      <c r="O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  <c r="AI1853" s="230"/>
    </row>
    <row r="1854">
      <c r="O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  <c r="AI1854" s="230"/>
    </row>
    <row r="1855">
      <c r="O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  <c r="AI1855" s="230"/>
    </row>
    <row r="1856">
      <c r="O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  <c r="AI1856" s="230"/>
    </row>
    <row r="1857">
      <c r="O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  <c r="AI1857" s="230"/>
    </row>
    <row r="1858">
      <c r="O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  <c r="AI1858" s="230"/>
    </row>
    <row r="1859">
      <c r="O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  <c r="AI1859" s="230"/>
    </row>
    <row r="1860">
      <c r="O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  <c r="AI1860" s="230"/>
    </row>
    <row r="1861">
      <c r="O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  <c r="AI1861" s="230"/>
    </row>
    <row r="1862">
      <c r="O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  <c r="AI1862" s="230"/>
    </row>
    <row r="1863">
      <c r="O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  <c r="AI1863" s="230"/>
    </row>
    <row r="1864">
      <c r="O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  <c r="AI1864" s="230"/>
    </row>
    <row r="1865">
      <c r="O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  <c r="AI1865" s="230"/>
    </row>
    <row r="1866">
      <c r="O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  <c r="AI1866" s="230"/>
    </row>
    <row r="1867">
      <c r="O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  <c r="AI1867" s="230"/>
    </row>
    <row r="1868">
      <c r="O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  <c r="AI1868" s="230"/>
    </row>
    <row r="1869">
      <c r="O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  <c r="AI1869" s="230"/>
    </row>
    <row r="1870">
      <c r="O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  <c r="AI1870" s="230"/>
    </row>
    <row r="1871">
      <c r="O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  <c r="AI1871" s="230"/>
    </row>
    <row r="1872">
      <c r="O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  <c r="AI1872" s="230"/>
    </row>
    <row r="1873">
      <c r="O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  <c r="AI1873" s="230"/>
    </row>
    <row r="1874">
      <c r="O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  <c r="AI1874" s="230"/>
    </row>
    <row r="1875">
      <c r="O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  <c r="AI1875" s="230"/>
    </row>
    <row r="1876">
      <c r="O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  <c r="AI1876" s="230"/>
    </row>
    <row r="1877">
      <c r="O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  <c r="AI1877" s="230"/>
    </row>
    <row r="1878">
      <c r="O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  <c r="AI1878" s="230"/>
    </row>
    <row r="1879">
      <c r="O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  <c r="AI1879" s="230"/>
    </row>
    <row r="1880">
      <c r="O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  <c r="AI1880" s="230"/>
    </row>
    <row r="1881">
      <c r="O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  <c r="AI1881" s="230"/>
    </row>
    <row r="1882">
      <c r="O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  <c r="AI1882" s="230"/>
    </row>
    <row r="1883">
      <c r="O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  <c r="AI1883" s="230"/>
    </row>
    <row r="1884">
      <c r="O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  <c r="AI1884" s="230"/>
    </row>
    <row r="1885">
      <c r="O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  <c r="AI1885" s="230"/>
    </row>
    <row r="1886">
      <c r="O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  <c r="AI1886" s="230"/>
    </row>
    <row r="1887">
      <c r="O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  <c r="AI1887" s="230"/>
    </row>
    <row r="1888">
      <c r="O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  <c r="AI1888" s="230"/>
    </row>
    <row r="1889">
      <c r="O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  <c r="AI1889" s="230"/>
    </row>
    <row r="1890">
      <c r="O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  <c r="AI1890" s="230"/>
    </row>
    <row r="1891">
      <c r="O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  <c r="AI1891" s="230"/>
    </row>
    <row r="1892">
      <c r="O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  <c r="AI1892" s="230"/>
    </row>
    <row r="1893">
      <c r="O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  <c r="AI1893" s="230"/>
    </row>
    <row r="1894">
      <c r="O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  <c r="AI1894" s="230"/>
    </row>
    <row r="1895">
      <c r="O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  <c r="AI1895" s="230"/>
    </row>
    <row r="1896">
      <c r="O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  <c r="AI1896" s="230"/>
    </row>
    <row r="1897">
      <c r="O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  <c r="AI1897" s="230"/>
    </row>
    <row r="1898">
      <c r="O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  <c r="AI1898" s="230"/>
    </row>
    <row r="1899">
      <c r="O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  <c r="AI1899" s="230"/>
    </row>
    <row r="1900">
      <c r="O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  <c r="AI1900" s="230"/>
    </row>
    <row r="1901">
      <c r="O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  <c r="AI1901" s="230"/>
    </row>
    <row r="1902">
      <c r="O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  <c r="AI1902" s="230"/>
    </row>
    <row r="1903">
      <c r="O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  <c r="AI1903" s="230"/>
    </row>
    <row r="1904">
      <c r="O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  <c r="AI1904" s="230"/>
    </row>
    <row r="1905">
      <c r="O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  <c r="AI1905" s="230"/>
    </row>
    <row r="1906">
      <c r="O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  <c r="AI1906" s="230"/>
    </row>
    <row r="1907">
      <c r="O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  <c r="AI1907" s="230"/>
    </row>
    <row r="1908">
      <c r="O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  <c r="AI1908" s="230"/>
    </row>
    <row r="1909">
      <c r="O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  <c r="AI1909" s="230"/>
    </row>
    <row r="1910">
      <c r="O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  <c r="AI1910" s="230"/>
    </row>
    <row r="1911">
      <c r="O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  <c r="AI1911" s="230"/>
    </row>
    <row r="1912">
      <c r="O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  <c r="AI1912" s="230"/>
    </row>
    <row r="1913">
      <c r="O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  <c r="AI1913" s="230"/>
    </row>
    <row r="1914">
      <c r="O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  <c r="AI1914" s="230"/>
    </row>
    <row r="1915">
      <c r="O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  <c r="AI1915" s="230"/>
    </row>
    <row r="1916">
      <c r="O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  <c r="AI1916" s="230"/>
    </row>
    <row r="1917">
      <c r="O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  <c r="AI1917" s="230"/>
    </row>
    <row r="1918">
      <c r="O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  <c r="AI1918" s="230"/>
    </row>
    <row r="1919">
      <c r="O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  <c r="AI1919" s="230"/>
    </row>
    <row r="1920">
      <c r="O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  <c r="AI1920" s="230"/>
    </row>
    <row r="1921">
      <c r="O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  <c r="AI1921" s="230"/>
    </row>
    <row r="1922">
      <c r="O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  <c r="AI1922" s="230"/>
    </row>
    <row r="1923">
      <c r="O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  <c r="AI1923" s="230"/>
    </row>
    <row r="1924">
      <c r="O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  <c r="AI1924" s="230"/>
    </row>
    <row r="1925">
      <c r="O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  <c r="AI1925" s="230"/>
    </row>
    <row r="1926">
      <c r="O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  <c r="AI1926" s="230"/>
    </row>
    <row r="1927">
      <c r="O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  <c r="AI1927" s="230"/>
    </row>
    <row r="1928">
      <c r="O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  <c r="AI1928" s="230"/>
    </row>
    <row r="1929">
      <c r="O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  <c r="AI1929" s="230"/>
    </row>
    <row r="1930">
      <c r="O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  <c r="AI1930" s="230"/>
    </row>
    <row r="1931">
      <c r="O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  <c r="AI1931" s="230"/>
    </row>
    <row r="1932">
      <c r="O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  <c r="AI1932" s="230"/>
    </row>
    <row r="1933">
      <c r="O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  <c r="AI1933" s="230"/>
    </row>
    <row r="1934">
      <c r="O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  <c r="AI1934" s="230"/>
    </row>
    <row r="1935">
      <c r="O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  <c r="AI1935" s="230"/>
    </row>
    <row r="1936">
      <c r="O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  <c r="AI1936" s="230"/>
    </row>
    <row r="1937">
      <c r="O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  <c r="AI1937" s="230"/>
    </row>
    <row r="1938">
      <c r="O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  <c r="AI1938" s="230"/>
    </row>
    <row r="1939">
      <c r="O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  <c r="AI1939" s="230"/>
    </row>
    <row r="1940">
      <c r="O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  <c r="AI1940" s="230"/>
    </row>
    <row r="1941">
      <c r="O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  <c r="AI1941" s="230"/>
    </row>
    <row r="1942">
      <c r="O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  <c r="AI1942" s="230"/>
    </row>
    <row r="1943">
      <c r="O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  <c r="AI1943" s="230"/>
    </row>
    <row r="1944">
      <c r="O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  <c r="AI1944" s="230"/>
    </row>
    <row r="1945">
      <c r="O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  <c r="AI1945" s="230"/>
    </row>
    <row r="1946">
      <c r="O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  <c r="AI1946" s="230"/>
    </row>
    <row r="1947">
      <c r="O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  <c r="AI1947" s="230"/>
    </row>
    <row r="1948">
      <c r="O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  <c r="AI1948" s="230"/>
    </row>
    <row r="1949">
      <c r="O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  <c r="AI1949" s="230"/>
    </row>
    <row r="1950">
      <c r="O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  <c r="AI1950" s="230"/>
    </row>
    <row r="1951">
      <c r="O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  <c r="AI1951" s="230"/>
    </row>
    <row r="1952">
      <c r="O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  <c r="AI1952" s="230"/>
    </row>
    <row r="1953">
      <c r="O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  <c r="AI1953" s="230"/>
    </row>
    <row r="1954">
      <c r="O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  <c r="AI1954" s="230"/>
    </row>
    <row r="1955">
      <c r="O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  <c r="AI1955" s="230"/>
    </row>
    <row r="1956">
      <c r="O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  <c r="AI1956" s="230"/>
    </row>
    <row r="1957">
      <c r="O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  <c r="AI1957" s="230"/>
    </row>
    <row r="1958">
      <c r="O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  <c r="AI1958" s="230"/>
    </row>
    <row r="1959">
      <c r="O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  <c r="AI1959" s="230"/>
    </row>
    <row r="1960">
      <c r="O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  <c r="AI1960" s="230"/>
    </row>
    <row r="1961">
      <c r="O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  <c r="AI1961" s="230"/>
    </row>
    <row r="1962">
      <c r="O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  <c r="AI1962" s="230"/>
    </row>
    <row r="1963">
      <c r="O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  <c r="AI1963" s="230"/>
    </row>
    <row r="1964">
      <c r="O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  <c r="AI1964" s="230"/>
    </row>
    <row r="1965">
      <c r="O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  <c r="AI1965" s="230"/>
    </row>
    <row r="1966">
      <c r="O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  <c r="AI1966" s="230"/>
    </row>
    <row r="1967">
      <c r="O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  <c r="AI1967" s="230"/>
    </row>
    <row r="1968">
      <c r="O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  <c r="AI1968" s="230"/>
    </row>
    <row r="1969">
      <c r="O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  <c r="AI1969" s="230"/>
    </row>
    <row r="1970">
      <c r="O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  <c r="AI1970" s="230"/>
    </row>
    <row r="1971">
      <c r="O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  <c r="AI1971" s="230"/>
    </row>
    <row r="1972">
      <c r="O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  <c r="AI1972" s="230"/>
    </row>
    <row r="1973">
      <c r="O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  <c r="AI1973" s="230"/>
    </row>
    <row r="1974">
      <c r="O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  <c r="AI1974" s="230"/>
    </row>
    <row r="1975">
      <c r="O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  <c r="AI1975" s="230"/>
    </row>
    <row r="1976">
      <c r="O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  <c r="AI1976" s="230"/>
    </row>
    <row r="1977">
      <c r="O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  <c r="AI1977" s="230"/>
    </row>
    <row r="1978">
      <c r="O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  <c r="AI1978" s="230"/>
    </row>
    <row r="1979">
      <c r="O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  <c r="AI1979" s="230"/>
    </row>
    <row r="1980">
      <c r="O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  <c r="AI1980" s="230"/>
    </row>
    <row r="1981">
      <c r="O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  <c r="AI1981" s="230"/>
    </row>
    <row r="1982">
      <c r="O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  <c r="AI1982" s="230"/>
    </row>
    <row r="1983">
      <c r="O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  <c r="AI1983" s="230"/>
    </row>
    <row r="1984">
      <c r="O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  <c r="AI1984" s="230"/>
    </row>
    <row r="1985">
      <c r="O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  <c r="AI1985" s="230"/>
    </row>
    <row r="1986">
      <c r="O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  <c r="AI1986" s="230"/>
    </row>
    <row r="1987">
      <c r="O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  <c r="AI1987" s="230"/>
    </row>
    <row r="1988">
      <c r="O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  <c r="AI1988" s="230"/>
    </row>
    <row r="1989">
      <c r="O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  <c r="AI1989" s="230"/>
    </row>
    <row r="1990">
      <c r="O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  <c r="AI1990" s="230"/>
    </row>
    <row r="1991">
      <c r="O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  <c r="AI1991" s="230"/>
    </row>
    <row r="1992">
      <c r="O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  <c r="AI1992" s="230"/>
    </row>
    <row r="1993">
      <c r="O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  <c r="AI1993" s="230"/>
    </row>
    <row r="1994">
      <c r="O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  <c r="AI1994" s="230"/>
    </row>
    <row r="1995">
      <c r="O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  <c r="AI1995" s="230"/>
    </row>
    <row r="1996">
      <c r="O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  <c r="AI1996" s="230"/>
    </row>
    <row r="1997">
      <c r="O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  <c r="AI1997" s="230"/>
    </row>
    <row r="1998">
      <c r="O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  <c r="AI1998" s="230"/>
    </row>
    <row r="1999">
      <c r="O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  <c r="AI1999" s="230"/>
    </row>
    <row r="2000">
      <c r="O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  <c r="AI2000" s="230"/>
    </row>
    <row r="2001">
      <c r="O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  <c r="AI2001" s="230"/>
    </row>
    <row r="2002">
      <c r="O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  <c r="AI2002" s="230"/>
    </row>
    <row r="2003">
      <c r="O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  <c r="AI2003" s="230"/>
    </row>
    <row r="2004">
      <c r="O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  <c r="AI2004" s="230"/>
    </row>
  </sheetData>
  <autoFilter ref="$A$1:$BM$2004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127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21.0</v>
      </c>
      <c r="C3" s="219">
        <v>444.5</v>
      </c>
      <c r="D3" s="216"/>
      <c r="E3" s="212"/>
      <c r="F3" s="217"/>
    </row>
    <row r="4" ht="22.5" customHeight="1">
      <c r="A4" s="218" t="s">
        <v>250</v>
      </c>
      <c r="B4" s="216"/>
      <c r="C4" s="212">
        <v>43.5</v>
      </c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1.0</v>
      </c>
      <c r="D6" s="212"/>
      <c r="E6" s="212"/>
      <c r="F6" s="221" t="s">
        <v>2577</v>
      </c>
    </row>
    <row r="7" ht="22.5" customHeight="1">
      <c r="A7" s="218" t="s">
        <v>255</v>
      </c>
      <c r="B7" s="216">
        <f>SUM('Sprint 19'!O:O)</f>
        <v>364</v>
      </c>
      <c r="C7" s="212">
        <f>ROUND(SUM('Sprint 19'!T:T)/3600,2)</f>
        <v>214.5</v>
      </c>
      <c r="D7" s="216">
        <f>SUMIF('Sprint 19'!J:J, "Done", 'Sprint 19'!O:O)</f>
        <v>19</v>
      </c>
      <c r="E7" s="212">
        <f>ROUND(SUMIF('Sprint 19'!J:J, "Done", 'Sprint 19'!T:T)/3600,2)</f>
        <v>23.5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19'!T:T, ('Sprint 19'!Q:Q = ""mid-sprint"")))/3600,0),2)"),0.0)</f>
        <v>0</v>
      </c>
      <c r="D9" s="212">
        <f>IFERROR(__xludf.DUMMYFUNCTION("IFERROR(SUM(FILTER('Sprint 19'!O:O, (('Sprint 19'!J:J = ""Done"")) * ('Sprint 19'!Q:Q = ""mid-sprint""))),0)"),0.0)</f>
        <v>0</v>
      </c>
      <c r="E9" s="212">
        <f>IFERROR(__xludf.DUMMYFUNCTION("ROUND(IFERROR(SUM(FILTER('Sprint 19'!T:T, (('Sprint 19'!J:J = ""Done"")) * ('Sprint 19'!P:P = ""mid-sprint"")))/3600,0),2)"),0.0)</f>
        <v>0</v>
      </c>
      <c r="F9" s="225" t="s">
        <v>257</v>
      </c>
    </row>
    <row r="10" ht="22.5" customHeight="1">
      <c r="A10" s="218" t="s">
        <v>258</v>
      </c>
      <c r="B10" s="212">
        <f>IFERROR(__xludf.DUMMYFUNCTION("ROUND(IFERROR(SUM(FILTER('Sprint 19'!T:T, ('Sprint 19'!Q:Q = ""change-request"")))/3600,0),2)"),0.0)</f>
        <v>0</v>
      </c>
      <c r="D10" s="212">
        <f>IFERROR(__xludf.DUMMYFUNCTION("IFERROR(SUM(FILTER('Sprint 19'!O:O, (('Sprint 19'!J:J = ""Done"")) * ('Sprint 19'!Q:Q = ""change-request""))),0)"),0.0)</f>
        <v>0</v>
      </c>
      <c r="E10" s="212">
        <f>IFERROR(__xludf.DUMMYFUNCTION("ROUND(IFERROR(SUM(FILTER('Sprint 19'!T:T, (('Sprint 19'!J:J = ""Done"")) * ('Sprint 19'!Q:Q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19'!O:O, ('Sprint 19'!E:E = ""Aek:Atiphat Nanthachitvanich""))),0)"),8.0)</f>
        <v>8</v>
      </c>
      <c r="C12" s="223">
        <f>IFERROR(__xludf.DUMMYFUNCTION("ROUND(IFERROR(SUM(FILTER('Sprint 19'!T:T, ('Sprint 19'!E:E = ""Aek:Atiphat Nanthachitvanich"")))/3600,0),2)"),8.0)</f>
        <v>8</v>
      </c>
      <c r="D12" s="216">
        <f>IFERROR(__xludf.DUMMYFUNCTION("IFERROR(SUM(FILTER('Sprint 19'!O:O, (('Sprint 19'!J:J = ""Done"")) * ('Sprint 19'!E:E = ""Aek:Atiphat Nanthachitvanich""))),0)"),7.0)</f>
        <v>7</v>
      </c>
      <c r="E12" s="223">
        <f>IFERROR(__xludf.DUMMYFUNCTION("ROUND(IFERROR(SUM(FILTER('Sprint 19'!T:T, (('Sprint 19'!J:J = ""Done"")) * ('Sprint 19'!E:E = ""Aek:Atiphat Nanthachitvanich"")))/3600,0),2)"),8.0)</f>
        <v>8</v>
      </c>
      <c r="F12" s="224"/>
    </row>
    <row r="13" ht="22.5" customHeight="1">
      <c r="A13" s="218" t="s">
        <v>32</v>
      </c>
      <c r="B13" s="216">
        <f>IFERROR(__xludf.DUMMYFUNCTION("IFERROR(SUM(FILTER('Sprint 19'!O:O, ('Sprint 19'!E:E = ""A:Phongthorn""))),0)"),34.0)</f>
        <v>34</v>
      </c>
      <c r="C13" s="223">
        <f>IFERROR(__xludf.DUMMYFUNCTION("ROUND(IFERROR(SUM(FILTER('Sprint 19'!T:T, ('Sprint 19'!E:E = ""A:Phongthorn"")))/3600,0),2)"),29.0)</f>
        <v>29</v>
      </c>
      <c r="D13" s="216">
        <f>IFERROR(__xludf.DUMMYFUNCTION("IFERROR(SUM(FILTER('Sprint 19'!O:O, (('Sprint 19'!J:J = ""Done"")) * ('Sprint 19'!E:E = ""A:Phongthorn""))),0)"),6.0)</f>
        <v>6</v>
      </c>
      <c r="E13" s="223">
        <f>IFERROR(__xludf.DUMMYFUNCTION("ROUND(IFERROR(SUM(FILTER('Sprint 19'!T:T, (('Sprint 19'!J:J = ""Done"")) * ('Sprint 19'!E:E = ""A:Phongthorn"")))/3600,0),2)"),14.0)</f>
        <v>14</v>
      </c>
      <c r="F13" s="224"/>
    </row>
    <row r="14" ht="22.5" customHeight="1">
      <c r="A14" s="218" t="s">
        <v>72</v>
      </c>
      <c r="B14" s="216">
        <f>IFERROR(__xludf.DUMMYFUNCTION("IFERROR(SUM(FILTER('Sprint 19'!O:O, ('Sprint 19'!E:E = ""Aom: Pornsawan Polnyiem""))),0)"),35.0)</f>
        <v>35</v>
      </c>
      <c r="C14" s="223">
        <f>IFERROR(__xludf.DUMMYFUNCTION("ROUND(IFERROR(SUM(FILTER('Sprint 19'!T:T, ('Sprint 19'!E:E = ""Aom: Pornsawan Polnyiem"")))/3600,0),2)"),1.5)</f>
        <v>1.5</v>
      </c>
      <c r="D14" s="216">
        <f>IFERROR(__xludf.DUMMYFUNCTION("IFERROR(SUM(FILTER('Sprint 19'!O:O, (('Sprint 19'!J:J = ""Done"")) * ('Sprint 19'!E:E = ""Aom: Pornsawan Polnyiem""))),0)"),3.0)</f>
        <v>3</v>
      </c>
      <c r="E14" s="223">
        <f>IFERROR(__xludf.DUMMYFUNCTION("ROUND(IFERROR(SUM(FILTER('Sprint 19'!T:T, (('Sprint 19'!J:J = ""Done"")) * ('Sprint 19'!E:E = ""Aom: Pornsawan Polnyiem"")))/3600,0),2)"),1.5)</f>
        <v>1.5</v>
      </c>
      <c r="F14" s="224"/>
    </row>
    <row r="15" ht="22.5" customHeight="1">
      <c r="A15" s="218" t="s">
        <v>24</v>
      </c>
      <c r="B15" s="216">
        <f>IFERROR(__xludf.DUMMYFUNCTION("IFERROR(SUM(FILTER('Sprint 19'!O:O, ('Sprint 19'!E:E = ""Zan : Isarapong Bulan""))),0)"),8.0)</f>
        <v>8</v>
      </c>
      <c r="C15" s="223">
        <f>IFERROR(__xludf.DUMMYFUNCTION("ROUND(IFERROR(SUM(FILTER('Sprint 19'!T:T, ('Sprint 19'!E:E = ""Zan : Isarapong Bulan"")))/3600,0),2)"),0.0)</f>
        <v>0</v>
      </c>
      <c r="D15" s="216">
        <f>IFERROR(__xludf.DUMMYFUNCTION("IFERROR(SUM(FILTER('Sprint 19'!O:O, (('Sprint 19'!J:J = ""Done"")) * ('Sprint 19'!E:E = ""Zan : Isarapong Bulan""))),0)"),0.0)</f>
        <v>0</v>
      </c>
      <c r="E15" s="223">
        <f>IFERROR(__xludf.DUMMYFUNCTION("ROUND(IFERROR(SUM(FILTER('Sprint 19'!T:T, (('Sprint 19'!J:J = ""Done"")) * ('Sprint 19'!E:E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19'!O:O, ('Sprint 19'!E:E = ""Mai:Sateta Abvanawong""))),0)"),61.0)</f>
        <v>61</v>
      </c>
      <c r="C16" s="223">
        <f>IFERROR(__xludf.DUMMYFUNCTION("ROUND(IFERROR(SUM(FILTER('Sprint 19'!T:T, ('Sprint 19'!E:E = ""Mai:Sateta Abvanawong"")))/3600,0),2)"),64.0)</f>
        <v>64</v>
      </c>
      <c r="D16" s="216">
        <f>IFERROR(__xludf.DUMMYFUNCTION("IFERROR(SUM(FILTER('Sprint 19'!O:O, (('Sprint 19'!J:J = ""Done"")) * ('Sprint 19'!E:E = ""Mai:Sateta Abvanawong""))),0)"),0.0)</f>
        <v>0</v>
      </c>
      <c r="E16" s="223">
        <f>IFERROR(__xludf.DUMMYFUNCTION("ROUND(IFERROR(SUM(FILTER('Sprint 19'!T:T, (('Sprint 19'!J:J = ""Done"")) * ('Sprint 19'!E:E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19'!O:O, ('Sprint 19'!E:E = ""Mac: Jarupong Pawichpongkul""))),0)"),69.0)</f>
        <v>69</v>
      </c>
      <c r="C17" s="223">
        <f>IFERROR(__xludf.DUMMYFUNCTION("ROUND(IFERROR(SUM(FILTER('Sprint 19'!T:T, ('Sprint 19'!E:E = ""Mac: Jarupong Pawichpongkul"")))/3600,0),2)"),48.0)</f>
        <v>48</v>
      </c>
      <c r="D17" s="216">
        <f>IFERROR(__xludf.DUMMYFUNCTION("IFERROR(SUM(FILTER('Sprint 19'!O:O, (('Sprint 19'!J:J = ""Done"")) * ('Sprint 19'!E:E = ""Mac: Jarupong Pawichpongkul""))),0)"),3.0)</f>
        <v>3</v>
      </c>
      <c r="E17" s="223">
        <f>IFERROR(__xludf.DUMMYFUNCTION("ROUND(IFERROR(SUM(FILTER('Sprint 19'!T:T, (('Sprint 19'!J:J = ""Done"")) * ('Sprint 19'!E:E = ""Mac: 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19'!O:O, ('Sprint 19'!E:E = ""Moss : Kittapath Sangvikukit""))),0)"),67.0)</f>
        <v>67</v>
      </c>
      <c r="C18" s="223">
        <f>IFERROR(__xludf.DUMMYFUNCTION("ROUND(IFERROR(SUM(FILTER('Sprint 19'!T:T, ('Sprint 19'!E:E = ""Moss : Kittapath Sangvikukit"")))/3600,0),2)"),48.0)</f>
        <v>48</v>
      </c>
      <c r="D18" s="216">
        <f>IFERROR(__xludf.DUMMYFUNCTION("IFERROR(SUM(FILTER('Sprint 19'!O:O, (('Sprint 19'!J:J = ""Done"")) * ('Sprint 19'!E:E = ""Moss : Kittapath Sangvikukit""))),0)"),0.0)</f>
        <v>0</v>
      </c>
      <c r="E18" s="223">
        <f>IFERROR(__xludf.DUMMYFUNCTION("ROUND(IFERROR(SUM(FILTER('Sprint 19'!T:T, (('Sprint 19'!J:J = ""Done"")) * ('Sprint 19'!E:E = ""Moss : Kittapath Sangvikukit"")))/3600,0),2)"),0.0)</f>
        <v>0</v>
      </c>
      <c r="F18" s="224"/>
    </row>
    <row r="19" ht="22.5" customHeight="1">
      <c r="A19" s="218" t="s">
        <v>28</v>
      </c>
      <c r="B19" s="216">
        <f>IFERROR(__xludf.DUMMYFUNCTION("IFERROR(SUM(FILTER('Sprint 19'!O:O, ('Sprint 19'!E:E = ""Jack: Warin Kesorn""))),0)"),0.0)</f>
        <v>0</v>
      </c>
      <c r="C19" s="223">
        <f>IFERROR(__xludf.DUMMYFUNCTION("ROUND(IFERROR(SUM(FILTER('Sprint 19'!T:T, ('Sprint 19'!E:E = ""Jack: Warin Kesorn"")))/3600,0),2)"),0.0)</f>
        <v>0</v>
      </c>
      <c r="D19" s="216">
        <f>IFERROR(__xludf.DUMMYFUNCTION("IFERROR(SUM(FILTER('Sprint 19'!O:O, (('Sprint 19'!J:J = ""Done"")) * ('Sprint 19'!E:E = ""Jack: Warin Kesorn""))),0)"),0.0)</f>
        <v>0</v>
      </c>
      <c r="E19" s="223">
        <f>IFERROR(__xludf.DUMMYFUNCTION("ROUND(IFERROR(SUM(FILTER('Sprint 19'!T:T, (('Sprint 19'!J:J = ""Done"")) * ('Sprint 19'!E:E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19'!O:O, ('Sprint 19'!E:E = ""Nim : muthita munmueang""))),0)"),59.0)</f>
        <v>59</v>
      </c>
      <c r="C20" s="223">
        <f>IFERROR(__xludf.DUMMYFUNCTION("ROUND(IFERROR(SUM(FILTER('Sprint 19'!T:T, ('Sprint 19'!E:E = ""Nim : muthita munmueang"")))/3600,0),2)"),16.0)</f>
        <v>16</v>
      </c>
      <c r="D20" s="216">
        <f>IFERROR(__xludf.DUMMYFUNCTION("IFERROR(SUM(FILTER('Sprint 19'!O:O, (('Sprint 19'!J:J = ""Done"")) * ('Sprint 19'!E:E = ""Nim : muthita munmueang""))),0)"),0.0)</f>
        <v>0</v>
      </c>
      <c r="E20" s="223">
        <f>IFERROR(__xludf.DUMMYFUNCTION("ROUND(IFERROR(SUM(FILTER('Sprint 19'!T:T, (('Sprint 19'!J:J = ""Done"")) * ('Sprint 19'!E:E = ""Nim : muthita munmueang"")))/3600,0),2)"),0.0)</f>
        <v>0</v>
      </c>
      <c r="F20" s="224"/>
    </row>
    <row r="21" ht="22.5" customHeight="1">
      <c r="A21" s="221" t="s">
        <v>77</v>
      </c>
      <c r="B21" s="224">
        <f>IFERROR(__xludf.DUMMYFUNCTION("IFERROR(SUM(FILTER('Sprint 19'!O:O, ('Sprint 19'!E:E = ""Arm:Worawat Chotipongchoawalit""))),0)"),23.0)</f>
        <v>23</v>
      </c>
      <c r="C21" s="223">
        <f>IFERROR(__xludf.DUMMYFUNCTION("ROUND(IFERROR(SUM(FILTER('Sprint 19'!T:T, ('Sprint 19'!E:E = ""Arm:Worawat Chotipongchoawalit"")))/3600,0),2)"),0.0)</f>
        <v>0</v>
      </c>
      <c r="D21" s="216">
        <f>IFERROR(__xludf.DUMMYFUNCTION("IFERROR(SUM(FILTER('Sprint 19'!O:O, (('Sprint 19'!J:J = ""Done"")) * ('Sprint 19'!E:E = ""Arm:Worawat Chotipongchoawalit""))),0)"),0.0)</f>
        <v>0</v>
      </c>
      <c r="E21" s="223">
        <f>IFERROR(__xludf.DUMMYFUNCTION("ROUND(IFERROR(SUM(FILTER('Sprint 19'!T:T, (('Sprint 19'!J:J = ""Done"")) * ('Sprint 19'!E:E = ""Arm:Worawat Chotipongchoawalit"")))/3600,0),2)"),0.0)</f>
        <v>0</v>
      </c>
      <c r="F21" s="224"/>
    </row>
    <row r="22">
      <c r="C22" s="125"/>
    </row>
    <row r="23">
      <c r="A23" s="127" t="s">
        <v>4281</v>
      </c>
      <c r="B23" s="128"/>
      <c r="C23" s="129"/>
      <c r="D23" s="88"/>
      <c r="E23" s="88"/>
      <c r="F23" s="88"/>
    </row>
    <row r="24">
      <c r="A24" s="130" t="str">
        <f>"Capacity รวมทั้งทีม "&amp;SUM(C35:C40)&amp;" SP"</f>
        <v>Capacity รวมทั้งทีม 118.5 SP</v>
      </c>
      <c r="B24" s="128">
        <f>SUM(C35:C40)</f>
        <v>118.5</v>
      </c>
      <c r="C24" s="131"/>
      <c r="D24" s="132"/>
      <c r="E24" s="132"/>
      <c r="H24" s="132"/>
      <c r="J24" s="132"/>
      <c r="L24" s="132"/>
      <c r="N24" s="132"/>
    </row>
    <row r="25">
      <c r="A25" s="133" t="s">
        <v>155</v>
      </c>
      <c r="B25" s="134">
        <f>SUM(H41,J41,L41,N41, P41)</f>
        <v>70</v>
      </c>
      <c r="C25" s="131"/>
      <c r="D25" s="132"/>
      <c r="E25" s="132"/>
      <c r="H25" s="132"/>
      <c r="J25" s="132"/>
      <c r="L25" s="132"/>
      <c r="N25" s="132"/>
    </row>
    <row r="26">
      <c r="A26" s="133" t="s">
        <v>156</v>
      </c>
      <c r="B26" s="131">
        <f>B24-B25</f>
        <v>48.5</v>
      </c>
      <c r="C26" s="131"/>
      <c r="D26" s="132"/>
      <c r="E26" s="132"/>
      <c r="H26" s="132"/>
      <c r="J26" s="102"/>
      <c r="L26" s="132"/>
      <c r="N26" s="132"/>
    </row>
    <row r="27">
      <c r="A27" s="135" t="s">
        <v>48</v>
      </c>
      <c r="B27" s="129">
        <f>F41</f>
        <v>45</v>
      </c>
      <c r="C27" s="129">
        <v>3.0</v>
      </c>
      <c r="D27" s="88"/>
      <c r="E27" s="88"/>
      <c r="F27" s="88"/>
    </row>
    <row r="28">
      <c r="A28" s="135" t="s">
        <v>44</v>
      </c>
      <c r="B28" s="129">
        <f>H41</f>
        <v>24</v>
      </c>
      <c r="C28" s="129">
        <v>1.0</v>
      </c>
      <c r="D28" s="88"/>
      <c r="E28" s="88"/>
      <c r="F28" s="88"/>
    </row>
    <row r="29">
      <c r="A29" s="135" t="s">
        <v>157</v>
      </c>
      <c r="B29" s="129">
        <f>J41</f>
        <v>33</v>
      </c>
      <c r="C29" s="129">
        <v>2.0</v>
      </c>
      <c r="D29" s="88"/>
      <c r="E29" s="88"/>
      <c r="F29" s="88"/>
    </row>
    <row r="30">
      <c r="A30" s="135" t="s">
        <v>158</v>
      </c>
      <c r="B30" s="129">
        <f>L41</f>
        <v>3</v>
      </c>
      <c r="C30" s="129">
        <v>1.0</v>
      </c>
      <c r="D30" s="88"/>
      <c r="E30" s="88"/>
      <c r="F30" s="88"/>
    </row>
    <row r="31">
      <c r="A31" s="135" t="s">
        <v>159</v>
      </c>
      <c r="B31" s="129">
        <f>N41</f>
        <v>3</v>
      </c>
      <c r="C31" s="129">
        <v>1.0</v>
      </c>
      <c r="D31" s="88"/>
      <c r="E31" s="88"/>
      <c r="F31" s="88"/>
    </row>
    <row r="32">
      <c r="A32" s="135" t="s">
        <v>160</v>
      </c>
      <c r="B32" s="129">
        <f>P41</f>
        <v>7</v>
      </c>
      <c r="C32" s="129">
        <v>3.0</v>
      </c>
      <c r="D32" s="88"/>
      <c r="E32" s="88"/>
      <c r="F32" s="88"/>
    </row>
    <row r="33">
      <c r="A33" s="136" t="s">
        <v>161</v>
      </c>
      <c r="B33" s="129">
        <f>C41-D41</f>
        <v>3.5</v>
      </c>
      <c r="C33" s="129"/>
      <c r="D33" s="88"/>
      <c r="E33" s="88"/>
      <c r="F33" s="88"/>
    </row>
    <row r="34">
      <c r="A34" s="137" t="s">
        <v>162</v>
      </c>
      <c r="B34" s="138" t="s">
        <v>163</v>
      </c>
      <c r="C34" s="138" t="s">
        <v>164</v>
      </c>
      <c r="D34" s="138" t="s">
        <v>165</v>
      </c>
      <c r="E34" s="138" t="s">
        <v>156</v>
      </c>
      <c r="F34" s="138" t="s">
        <v>166</v>
      </c>
      <c r="G34" s="137" t="s">
        <v>3611</v>
      </c>
      <c r="H34" s="137" t="s">
        <v>167</v>
      </c>
      <c r="I34" s="137" t="s">
        <v>3612</v>
      </c>
      <c r="J34" s="137" t="s">
        <v>168</v>
      </c>
      <c r="K34" s="137" t="s">
        <v>4282</v>
      </c>
      <c r="L34" s="137" t="s">
        <v>169</v>
      </c>
      <c r="M34" s="137" t="s">
        <v>3613</v>
      </c>
      <c r="N34" s="137" t="s">
        <v>170</v>
      </c>
      <c r="O34" s="139" t="s">
        <v>160</v>
      </c>
      <c r="P34" s="139" t="s">
        <v>171</v>
      </c>
    </row>
    <row r="35">
      <c r="A35" s="140" t="s">
        <v>32</v>
      </c>
      <c r="B35" s="101">
        <v>7.0</v>
      </c>
      <c r="C35" s="101">
        <f t="shared" ref="C35:C40" si="1">3*B35</f>
        <v>21</v>
      </c>
      <c r="D35" s="140">
        <f t="shared" ref="D35:D40" si="2">SUM(F35,H35,J35,L35,N35,P35)</f>
        <v>20</v>
      </c>
      <c r="E35" s="140">
        <v>5.0</v>
      </c>
      <c r="F35" s="141">
        <f t="shared" ref="F35:F41" si="3">3*E35</f>
        <v>15</v>
      </c>
      <c r="G35" s="99"/>
      <c r="H35" s="142">
        <f t="shared" ref="H35:H41" si="4">3*G35</f>
        <v>0</v>
      </c>
      <c r="I35" s="99"/>
      <c r="J35" s="140">
        <f t="shared" ref="J35:J37" si="5">3*I35</f>
        <v>0</v>
      </c>
      <c r="K35" s="99"/>
      <c r="L35" s="140">
        <f t="shared" ref="L35:L40" si="6">3*K35</f>
        <v>0</v>
      </c>
      <c r="M35" s="101">
        <v>1.0</v>
      </c>
      <c r="N35" s="140">
        <f t="shared" ref="N35:N36" si="7">3*M35</f>
        <v>3</v>
      </c>
      <c r="O35" s="241">
        <v>0.0</v>
      </c>
      <c r="P35" s="143">
        <v>2.0</v>
      </c>
    </row>
    <row r="36">
      <c r="A36" s="140" t="s">
        <v>74</v>
      </c>
      <c r="B36" s="101">
        <v>6.0</v>
      </c>
      <c r="C36" s="101">
        <f t="shared" si="1"/>
        <v>18</v>
      </c>
      <c r="D36" s="140">
        <f t="shared" si="2"/>
        <v>18</v>
      </c>
      <c r="E36" s="140"/>
      <c r="F36" s="141">
        <f t="shared" si="3"/>
        <v>0</v>
      </c>
      <c r="G36" s="101"/>
      <c r="H36" s="141">
        <f t="shared" si="4"/>
        <v>0</v>
      </c>
      <c r="I36" s="101">
        <v>6.0</v>
      </c>
      <c r="J36" s="140">
        <f t="shared" si="5"/>
        <v>18</v>
      </c>
      <c r="K36" s="101"/>
      <c r="L36" s="140">
        <f t="shared" si="6"/>
        <v>0</v>
      </c>
      <c r="M36" s="101"/>
      <c r="N36" s="140">
        <f t="shared" si="7"/>
        <v>0</v>
      </c>
      <c r="O36" s="241">
        <v>0.0</v>
      </c>
      <c r="P36" s="143">
        <f t="shared" ref="P36:P38" si="8">3*O36</f>
        <v>0</v>
      </c>
    </row>
    <row r="37">
      <c r="A37" s="140" t="s">
        <v>73</v>
      </c>
      <c r="B37" s="101">
        <v>6.0</v>
      </c>
      <c r="C37" s="101">
        <f t="shared" si="1"/>
        <v>18</v>
      </c>
      <c r="D37" s="140">
        <f t="shared" si="2"/>
        <v>18</v>
      </c>
      <c r="E37" s="140"/>
      <c r="F37" s="141">
        <f t="shared" si="3"/>
        <v>0</v>
      </c>
      <c r="G37" s="99"/>
      <c r="H37" s="142">
        <f t="shared" si="4"/>
        <v>0</v>
      </c>
      <c r="I37" s="101">
        <v>5.0</v>
      </c>
      <c r="J37" s="140">
        <f t="shared" si="5"/>
        <v>15</v>
      </c>
      <c r="K37" s="101">
        <v>1.0</v>
      </c>
      <c r="L37" s="140">
        <f t="shared" si="6"/>
        <v>3</v>
      </c>
      <c r="M37" s="101"/>
      <c r="N37" s="140"/>
      <c r="O37" s="241">
        <v>0.0</v>
      </c>
      <c r="P37" s="143">
        <f t="shared" si="8"/>
        <v>0</v>
      </c>
    </row>
    <row r="38">
      <c r="A38" s="140" t="s">
        <v>75</v>
      </c>
      <c r="B38" s="101">
        <v>7.0</v>
      </c>
      <c r="C38" s="101">
        <f t="shared" si="1"/>
        <v>21</v>
      </c>
      <c r="D38" s="140">
        <f t="shared" si="2"/>
        <v>18</v>
      </c>
      <c r="E38" s="140">
        <v>5.0</v>
      </c>
      <c r="F38" s="141">
        <f t="shared" si="3"/>
        <v>15</v>
      </c>
      <c r="G38" s="101">
        <v>1.0</v>
      </c>
      <c r="H38" s="142">
        <f t="shared" si="4"/>
        <v>3</v>
      </c>
      <c r="I38" s="99"/>
      <c r="J38" s="99"/>
      <c r="K38" s="99"/>
      <c r="L38" s="140">
        <f t="shared" si="6"/>
        <v>0</v>
      </c>
      <c r="M38" s="99"/>
      <c r="N38" s="99"/>
      <c r="O38" s="241">
        <v>0.0</v>
      </c>
      <c r="P38" s="143">
        <f t="shared" si="8"/>
        <v>0</v>
      </c>
    </row>
    <row r="39">
      <c r="A39" s="140" t="s">
        <v>76</v>
      </c>
      <c r="B39" s="101">
        <v>7.0</v>
      </c>
      <c r="C39" s="101">
        <f t="shared" si="1"/>
        <v>21</v>
      </c>
      <c r="D39" s="140">
        <f t="shared" si="2"/>
        <v>23</v>
      </c>
      <c r="E39" s="140"/>
      <c r="F39" s="141">
        <f t="shared" si="3"/>
        <v>0</v>
      </c>
      <c r="G39" s="101">
        <v>7.0</v>
      </c>
      <c r="H39" s="142">
        <f t="shared" si="4"/>
        <v>21</v>
      </c>
      <c r="I39" s="101"/>
      <c r="J39" s="140"/>
      <c r="K39" s="101"/>
      <c r="L39" s="140">
        <f t="shared" si="6"/>
        <v>0</v>
      </c>
      <c r="M39" s="101"/>
      <c r="N39" s="140"/>
      <c r="O39" s="241">
        <v>0.0</v>
      </c>
      <c r="P39" s="143">
        <v>2.0</v>
      </c>
    </row>
    <row r="40">
      <c r="A40" s="140" t="s">
        <v>77</v>
      </c>
      <c r="B40" s="140">
        <v>6.5</v>
      </c>
      <c r="C40" s="101">
        <f t="shared" si="1"/>
        <v>19.5</v>
      </c>
      <c r="D40" s="140">
        <f t="shared" si="2"/>
        <v>18</v>
      </c>
      <c r="E40" s="140">
        <v>5.0</v>
      </c>
      <c r="F40" s="141">
        <f t="shared" si="3"/>
        <v>15</v>
      </c>
      <c r="G40" s="101"/>
      <c r="H40" s="142">
        <f t="shared" si="4"/>
        <v>0</v>
      </c>
      <c r="I40" s="99"/>
      <c r="J40" s="99"/>
      <c r="K40" s="99"/>
      <c r="L40" s="140">
        <f t="shared" si="6"/>
        <v>0</v>
      </c>
      <c r="M40" s="99"/>
      <c r="N40" s="99"/>
      <c r="O40" s="241">
        <v>0.0</v>
      </c>
      <c r="P40" s="143">
        <v>3.0</v>
      </c>
    </row>
    <row r="41">
      <c r="A41" s="127" t="s">
        <v>172</v>
      </c>
      <c r="B41" s="144"/>
      <c r="C41" s="144">
        <f t="shared" ref="C41:E41" si="9">SUM(C35:C40)</f>
        <v>118.5</v>
      </c>
      <c r="D41" s="145">
        <f t="shared" si="9"/>
        <v>115</v>
      </c>
      <c r="E41" s="144">
        <f t="shared" si="9"/>
        <v>15</v>
      </c>
      <c r="F41" s="146">
        <f t="shared" si="3"/>
        <v>45</v>
      </c>
      <c r="G41" s="144">
        <f>SUM(G35:G40)</f>
        <v>8</v>
      </c>
      <c r="H41" s="147">
        <f t="shared" si="4"/>
        <v>24</v>
      </c>
      <c r="I41" s="144">
        <f t="shared" ref="I41:P41" si="10">SUM(I35:I40)</f>
        <v>11</v>
      </c>
      <c r="J41" s="144">
        <f t="shared" si="10"/>
        <v>33</v>
      </c>
      <c r="K41" s="144">
        <f t="shared" si="10"/>
        <v>1</v>
      </c>
      <c r="L41" s="144">
        <f t="shared" si="10"/>
        <v>3</v>
      </c>
      <c r="M41" s="144">
        <f t="shared" si="10"/>
        <v>1</v>
      </c>
      <c r="N41" s="144">
        <f t="shared" si="10"/>
        <v>3</v>
      </c>
      <c r="O41" s="148">
        <f t="shared" si="10"/>
        <v>0</v>
      </c>
      <c r="P41" s="148">
        <f t="shared" si="10"/>
        <v>7</v>
      </c>
    </row>
    <row r="42">
      <c r="C42" s="125"/>
    </row>
    <row r="43">
      <c r="C43" s="125"/>
    </row>
    <row r="44" ht="24.75" hidden="1" customHeight="1">
      <c r="A44" s="232"/>
      <c r="B44" s="233" t="s">
        <v>2210</v>
      </c>
      <c r="C44" s="234"/>
      <c r="D44" s="234"/>
      <c r="E44" s="235"/>
      <c r="F44" s="236" t="s">
        <v>2211</v>
      </c>
      <c r="G44" s="234"/>
      <c r="H44" s="235"/>
      <c r="I44" s="242" t="s">
        <v>3615</v>
      </c>
      <c r="J44" s="234"/>
      <c r="K44" s="234"/>
      <c r="L44" s="234"/>
      <c r="M44" s="235"/>
    </row>
    <row r="45" ht="20.25" hidden="1" customHeight="1">
      <c r="A45" s="239" t="s">
        <v>2214</v>
      </c>
      <c r="B45" s="243" t="s">
        <v>30</v>
      </c>
      <c r="C45" s="243" t="s">
        <v>24</v>
      </c>
      <c r="D45" s="243" t="s">
        <v>72</v>
      </c>
      <c r="E45" s="243" t="s">
        <v>28</v>
      </c>
      <c r="F45" s="243" t="s">
        <v>32</v>
      </c>
      <c r="G45" s="243" t="s">
        <v>3616</v>
      </c>
      <c r="H45" s="243" t="s">
        <v>73</v>
      </c>
      <c r="I45" s="243" t="s">
        <v>3617</v>
      </c>
      <c r="J45" s="243" t="s">
        <v>74</v>
      </c>
      <c r="K45" s="243" t="s">
        <v>76</v>
      </c>
      <c r="L45" s="243" t="s">
        <v>75</v>
      </c>
      <c r="M45" s="243" t="s">
        <v>77</v>
      </c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</row>
    <row r="46" hidden="1">
      <c r="A46" s="101"/>
      <c r="B46" s="99">
        <f>IFERROR(__xludf.DUMMYFUNCTION("IFERROR(
  SUM(
    FILTER(
      'Sprint 19'!O:O,
      ('Sprint 19'!E:E = ""Aek:Atiphat Nanthachitvanich"") *
      (LEFT('Sprint 19'!B:B,7) = ""RDTHANA"")
    )
  ),
0)"),0.0)</f>
        <v>0</v>
      </c>
      <c r="C46" s="99">
        <f>IFERROR(__xludf.DUMMYFUNCTION("IFERROR(
  SUM(
    FILTER(
      'Sprint 19'!O:O,
      ('Sprint 19'!E:E = ""Zan : Isarapong Bulan"") *
      (LEFT('Sprint 19'!B:B,7) = ""RDTHANA"")
    )
  ),
0)"),0.0)</f>
        <v>0</v>
      </c>
      <c r="D46" s="99">
        <f>IFERROR(__xludf.DUMMYFUNCTION("IFERROR(
  SUM(
    FILTER(
      'Sprint 19'!O:O,
      ('Sprint 19'!E:E = ""Aom: Pornsawan Polnyiem"") *
      (LEFT('Sprint 19'!B:B,7) = ""RDTHANA"")
    )
  ),
0)"),0.0)</f>
        <v>0</v>
      </c>
      <c r="E46" s="99">
        <f>IFERROR(__xludf.DUMMYFUNCTION("IFERROR(
  SUM(
    FILTER(
      'Sprint 19'!O:O,
      ('Sprint 19'!E:E = ""Jack: Warin Kesorn"") *
      (LEFT('Sprint 19'!B:B,7) = ""RDTHANA"")
    )
  ),
0)"),0.0)</f>
        <v>0</v>
      </c>
      <c r="F46" s="99">
        <f>IFERROR(__xludf.DUMMYFUNCTION("IFERROR(
  SUM(
    FILTER(
      'Sprint 19'!O:O,
      ('Sprint 19'!E:E = ""A:Phongthorn"") *
      (LEFT('Sprint 19'!B:B,7) = ""RDTHANA"")
    )
  ),
0)"),0.0)</f>
        <v>0</v>
      </c>
      <c r="G46" s="99">
        <f>IFERROR(__xludf.DUMMYFUNCTION("IFERROR(
  SUM(
    FILTER(
      'Sprint 19'!O:O,
      ('Sprint 19'!E:E = ""Art: Narupontp"") *
      (LEFT('Sprint 19'!B:B,7) = ""RDTHANA"")
    )
  ),
0)"),0.0)</f>
        <v>0</v>
      </c>
      <c r="H46" s="99">
        <f>IFERROR(__xludf.DUMMYFUNCTION("IFERROR(
  SUM(
    FILTER(
      'Sprint 19'!O:O,
      ('Sprint 19'!E:E = ""Mai:Sateta Abvanawong"") *
      (LEFT('Sprint 19'!B:B,7) = ""RDTHANA"")
    )
  ),
0)"),15.0)</f>
        <v>15</v>
      </c>
      <c r="I46" s="99">
        <f>IFERROR(__xludf.DUMMYFUNCTION("IFERROR(
  SUM(
    FILTER(
      'Sprint 19'!O:O,
      ('Sprint 19'!E:E = ""Kae: Pimonrath Jaiyen"") *
      (LEFT('Sprint 19'!B:B,7) = ""RDTHANA"")
    )
  ),
0)"),0.0)</f>
        <v>0</v>
      </c>
      <c r="J46" s="99">
        <f>IFERROR(__xludf.DUMMYFUNCTION("IFERROR(
  SUM(
    FILTER(
      'Sprint 19'!O:O,
      ('Sprint 19'!E:E = ""Mac: Jarupong Pawichpongkul"") *
      (LEFT('Sprint 19'!B:B,7) = ""RDTHANA"")
    )
  ),
0)"),28.0)</f>
        <v>28</v>
      </c>
      <c r="K46" s="99">
        <f>IFERROR(__xludf.DUMMYFUNCTION("IFERROR(
  SUM(
    FILTER(
      'Sprint 19'!O:O,
      ('Sprint 19'!E:E = ""Nim : muthita munmueang"") *
      (LEFT('Sprint 19'!B:B,7) = ""RDTHANA"")
    )
  ),
0)"),0.0)</f>
        <v>0</v>
      </c>
      <c r="L46" s="99">
        <f>IFERROR(__xludf.DUMMYFUNCTION("IFERROR(
  SUM(
    FILTER(
      'Sprint 19'!O:O,
      ('Sprint 19'!E:E = ""Moss : Kittapath Sangvikukit"") *
      (LEFT('Sprint 19'!B:B,7) = ""RDTHANA"")
    )
  ),
0)"),0.0)</f>
        <v>0</v>
      </c>
      <c r="M46" s="99">
        <f>IFERROR(__xludf.DUMMYFUNCTION("IFERROR(
  SUM(
    FILTER(
      'Sprint 19'!O:O,
      ('Sprint 19'!E:E = ""Arm:Worawat Chotipongchoawalit"") *
      (LEFT('Sprint 19'!B:B,7) = ""RDTHANA"")
    )
  ),
0)"),0.0)</f>
        <v>0</v>
      </c>
    </row>
    <row r="47" hidden="1">
      <c r="A47" s="101"/>
      <c r="B47" s="99">
        <f>IFERROR(__xludf.DUMMYFUNCTION("IFERROR(
  SUM(
    FILTER(
      'Sprint 19'!O:O,
      ('Sprint 19'!E:E = ""Aek:Atiphat Nanthachitvanich"") *
      (LEFT('Sprint 19'!B:B,9) = ""DEVRDECOM"")
    )
  ),
0)"),0.0)</f>
        <v>0</v>
      </c>
      <c r="C47" s="99">
        <f>IFERROR(__xludf.DUMMYFUNCTION("IFERROR(
  SUM(
    FILTER(
      'Sprint 19'!O:O,
      ('Sprint 19'!E:E = ""Zan : Isarapong Bulan"") *
      (LEFT('Sprint 19'!B:B,9) = ""DEVRDECOM"")
    )
  ),
0)"),0.0)</f>
        <v>0</v>
      </c>
      <c r="D47" s="99">
        <f>IFERROR(__xludf.DUMMYFUNCTION("IFERROR(
  SUM(
    FILTER(
      'Sprint 19'!O:O,
      ('Sprint 19'!E:E = ""Aom: Pornsawan Polnyiem"") *
      (LEFT('Sprint 19'!B:B,9) = ""DEVRDECOM"")
    )
  ),
0)"),0.0)</f>
        <v>0</v>
      </c>
      <c r="E47" s="99">
        <f>IFERROR(__xludf.DUMMYFUNCTION("IFERROR(
  SUM(
    FILTER(
      'Sprint 19'!O:O,
      ('Sprint 19'!E:E = ""Jack: Warin Kesorn"") *
      (LEFT('Sprint 19'!B:B,9) = ""DEVRDECOM"")
    )
  ),
0)"),0.0)</f>
        <v>0</v>
      </c>
      <c r="F47" s="99">
        <f>IFERROR(__xludf.DUMMYFUNCTION("IFERROR(
  SUM(
    FILTER(
      'Sprint 19'!O:O,
      ('Sprint 19'!E:E = ""A:Phongthorn"") *
      (LEFT('Sprint 19'!B:B,9) = ""DEVRDECOM"")
    )
  ),
0)"),0.0)</f>
        <v>0</v>
      </c>
      <c r="G47" s="99">
        <f>IFERROR(__xludf.DUMMYFUNCTION("IFERROR(
  SUM(
    FILTER(
      'Sprint 19'!O:O,
      ('Sprint 19'!E:E = ""Art: Narupontp"") *
      (LEFT('Sprint 19'!B:B,9) = ""DEVRDECOM"")
    )
  ),
0)"),0.0)</f>
        <v>0</v>
      </c>
      <c r="H47" s="99">
        <f>IFERROR(__xludf.DUMMYFUNCTION("IFERROR(
  SUM(
    FILTER(
      'Sprint 19'!O:O,
      ('Sprint 19'!E:E = ""Mai:Sateta Abvanawong"") *
      (LEFT('Sprint 19'!B:B,9) = ""DEVRDECOM"")
    )
  ),
0)"),0.0)</f>
        <v>0</v>
      </c>
      <c r="I47" s="99">
        <f>IFERROR(__xludf.DUMMYFUNCTION("IFERROR(
  SUM(
    FILTER(
      'Sprint 19'!O:O,
      ('Sprint 19'!E:E = ""Kae: Pimonrath Jaiyen"") *
      (LEFT('Sprint 19'!B:B,9) = ""DEVRDECOM"")
    )
  ),
0)"),0.0)</f>
        <v>0</v>
      </c>
      <c r="J47" s="99">
        <f>IFERROR(__xludf.DUMMYFUNCTION("IFERROR(
  SUM(
    FILTER(
      'Sprint 19'!O:O,
      ('Sprint 19'!E:E = ""Mac: Jarupong Pawichpongkul"") *
      (LEFT('Sprint 19'!B:B,9) = ""DEVRDECOM"")
    )
  ),
0)"),0.0)</f>
        <v>0</v>
      </c>
      <c r="K47" s="99">
        <f>IFERROR(__xludf.DUMMYFUNCTION("IFERROR(
  SUM(
    FILTER(
      'Sprint 19'!O:O,
      ('Sprint 19'!E:E = ""Nim : muthita munmueang"") *
      (LEFT('Sprint 19'!B:B,9) = ""DEVRDECOM"")
    )
  ),
0)"),0.0)</f>
        <v>0</v>
      </c>
      <c r="L47" s="99">
        <f>IFERROR(__xludf.DUMMYFUNCTION("IFERROR(
  SUM(
    FILTER(
      'Sprint 19'!O:O,
      ('Sprint 19'!E:E = ""Moss : Kittapath Sangvikukit"") *
      (LEFT('Sprint 19'!B:B,9) = ""DEVRDECOM"")
    )
  ),
0)"),0.0)</f>
        <v>0</v>
      </c>
      <c r="M47" s="99">
        <f>IFERROR(__xludf.DUMMYFUNCTION("IFERROR(
  SUM(
    FILTER(
      'Sprint 19'!O:O,
      ('Sprint 19'!E:E = ""Arm:Worawat Chotipongchoawalit"") *
      (LEFT('Sprint 19'!B:B,9) = ""DEVRDECOM"")
    )
  ),
0)"),0.0)</f>
        <v>0</v>
      </c>
    </row>
    <row r="48" ht="32.25" hidden="1" customHeight="1">
      <c r="A48" s="101"/>
      <c r="B48" s="99">
        <f>IFERROR(__xludf.DUMMYFUNCTION("IFERROR(
  SUM(
    FILTER(
      'Sprint 19'!O:O,
      ('Sprint 19'!E:E = ""Aek:Atiphat Nanthachitvanich"") *
      (LEFT('Sprint 19'!B:B,7) = ""DEVRDCT"")
    )
  ),
0)"),0.0)</f>
        <v>0</v>
      </c>
      <c r="C48" s="99">
        <f>IFERROR(__xludf.DUMMYFUNCTION("IFERROR(
  SUM(
    FILTER(
      'Sprint 19'!O:O,
      ('Sprint 19'!E:E = ""Zan : Isarapong Bulan"") *
      (LEFT('Sprint 19'!B:B,7) = ""DEVRDCT"")
    )
  ),
0)"),0.0)</f>
        <v>0</v>
      </c>
      <c r="D48" s="99">
        <f>IFERROR(__xludf.DUMMYFUNCTION("IFERROR(
  SUM(
    FILTER(
      'Sprint 19'!O:O,
      ('Sprint 19'!E:E = ""Aom: Pornsawan Polnyiem"") *
      (LEFT('Sprint 19'!B:B,7) = ""DEVRDCT"")
    )
  ),
0)"),0.0)</f>
        <v>0</v>
      </c>
      <c r="E48" s="99">
        <f>IFERROR(__xludf.DUMMYFUNCTION("IFERROR(
  SUM(
    FILTER(
      'Sprint 19'!O:O,
      ('Sprint 19'!E:E = ""Jack: Warin Kesorn"") *
      (LEFT('Sprint 19'!B:B,7) = ""DEVRDCT"")
    )
  ),
0)"),0.0)</f>
        <v>0</v>
      </c>
      <c r="F48" s="99">
        <f>IFERROR(__xludf.DUMMYFUNCTION("IFERROR(
  SUM(
    FILTER(
      'Sprint 19'!O:O,
      ('Sprint 19'!E:E = ""A:Phongthorn"") *
      (LEFT('Sprint 19'!B:B,7) = ""DEVRDCT"")
    )
  ),
0)"),0.0)</f>
        <v>0</v>
      </c>
      <c r="G48" s="99">
        <f>IFERROR(__xludf.DUMMYFUNCTION("IFERROR(
  SUM(
    FILTER(
      'Sprint 19'!O:O,
      ('Sprint 19'!E:E = ""Art: Narupontp"") *
      (LEFT('Sprint 19'!B:B,7) = ""DEVRDCT"")
    )
  ),
0)"),0.0)</f>
        <v>0</v>
      </c>
      <c r="H48" s="99">
        <f>IFERROR(__xludf.DUMMYFUNCTION("IFERROR(
  SUM(
    FILTER(
      'Sprint 19'!O:O,
      ('Sprint 19'!E:E = ""Mai:Sateta Abvanawong"") *
      (LEFT('Sprint 19'!B:B,7) = ""DEVRDCT"")
    )
  ),
0)"),0.0)</f>
        <v>0</v>
      </c>
      <c r="I48" s="99">
        <f>IFERROR(__xludf.DUMMYFUNCTION("IFERROR(
  SUM(
    FILTER(
      'Sprint 19'!O:O,
      ('Sprint 19'!E:E = ""Moss : Kittapath Sangvikukit"") *
      (LEFT('Sprint 19'!B:B,7) = ""DEVRDCT"")
    )
  ),
0)"),0.0)</f>
        <v>0</v>
      </c>
      <c r="J48" s="99">
        <f>IFERROR(__xludf.DUMMYFUNCTION("IFERROR(
  SUM(
    FILTER(
      'Sprint 19'!O:O,
      ('Sprint 19'!E:E = ""Mac: Jarupong Pawichpongkul"") *
      (LEFT('Sprint 19'!B:B,7) = ""DEVRDCT"")
    )
  ),
0)"),0.0)</f>
        <v>0</v>
      </c>
      <c r="K48" s="99">
        <f>IFERROR(__xludf.DUMMYFUNCTION("IFERROR(
  SUM(
    FILTER(
      'Sprint 19'!O:O,
      ('Sprint 19'!E:E = ""Moss : Kittapath Sangvikukit"") *
      (LEFT('Sprint 19'!B:B,7) = ""DEVRDCT"")
    )
  ),
0)"),0.0)</f>
        <v>0</v>
      </c>
      <c r="L48" s="99">
        <f>IFERROR(__xludf.DUMMYFUNCTION("IFERROR(
  SUM(
    FILTER(
      'Sprint 19'!O:O,
      ('Sprint 19'!E:E = ""Moss : Kittapath Sangvikukit"") *
      (LEFT('Sprint 19'!B:B,7) = ""DEVRDCT"")
    )
  ),
0)"),0.0)</f>
        <v>0</v>
      </c>
      <c r="M48" s="99">
        <f>IFERROR(__xludf.DUMMYFUNCTION("IFERROR(
  SUM(
    FILTER(
      'Sprint 19'!O:O,
      ('Sprint 19'!E:E = ""Arm:Worawat Chotipongchoawalit"") *
      (LEFT('Sprint 19'!B:B,7) = ""DEVRDCT"")
    )
  ),
0)"),0.0)</f>
        <v>0</v>
      </c>
    </row>
    <row r="49" ht="22.5" hidden="1" customHeight="1">
      <c r="A49" s="101"/>
      <c r="B49" s="99">
        <f>IFERROR(__xludf.DUMMYFUNCTION("IFERROR(
  SUM(
    FILTER(
      'Sprint 19'!O:O,
      ('Sprint 19'!E:E = ""Aek:Atiphat Nanthachitvanich"") *
      (LEFT('Sprint 19'!B:B,8) = ""DEVRDADJ"")
    )
  ),
0)"),0.0)</f>
        <v>0</v>
      </c>
      <c r="C49" s="99">
        <f>IFERROR(__xludf.DUMMYFUNCTION("IFERROR(
  SUM(
    FILTER(
      'Sprint 19'!O:O,
      ('Sprint 19'!E:E = ""Zan : Isarapong Bulan"") *
      (LEFT('Sprint 19'!B:B,8) = ""DEVRDADJ"")
    )
  ),
0)"),0.0)</f>
        <v>0</v>
      </c>
      <c r="D49" s="99">
        <f>IFERROR(__xludf.DUMMYFUNCTION("IFERROR(
  SUM(
    FILTER(
      'Sprint 19'!O:O,
      ('Sprint 19'!E:E = ""Aom: Pornsawan Polnyiem"") *
      (LEFT('Sprint 19'!B:B,8) = ""DEVRDADJ"")
    )
  ),
0)"),0.0)</f>
        <v>0</v>
      </c>
      <c r="E49" s="99">
        <f>IFERROR(__xludf.DUMMYFUNCTION("IFERROR(
  SUM(
    FILTER(
      'Sprint 19'!O:O,
      ('Sprint 19'!E:E = ""Jack: Warin Kesorn"") *
      (LEFT('Sprint 19'!B:B,8) = ""DEVRDADJ"")
    )
  ),
0)"),0.0)</f>
        <v>0</v>
      </c>
      <c r="F49" s="99">
        <f>IFERROR(__xludf.DUMMYFUNCTION("IFERROR(
  SUM(
    FILTER(
      'Sprint 19'!O:O,
      ('Sprint 19'!E:E = ""A:Phongthorn"") *
      (LEFT('Sprint 19'!B:B,8) = ""DEVRDADJ"")
    )
  ),
0)"),0.0)</f>
        <v>0</v>
      </c>
      <c r="G49" s="99">
        <f>IFERROR(__xludf.DUMMYFUNCTION("IFERROR(
  SUM(
    FILTER(
      'Sprint 19'!O:O,
      ('Sprint 19'!E:E = ""Art: Narupontp"") *
      (LEFT('Sprint 19'!B:B,8) = ""DEVRDADJ"")
    )
  ),
0)"),0.0)</f>
        <v>0</v>
      </c>
      <c r="H49" s="99">
        <f>IFERROR(__xludf.DUMMYFUNCTION("IFERROR(
  SUM(
    FILTER(
      'Sprint 19'!O:O,
      ('Sprint 19'!E:E = ""Mai:Sateta Abvanawong"") *
      (LEFT('Sprint 19'!B:B,8) = ""DEVRDADJ"")
    )
  ),
0)"),0.0)</f>
        <v>0</v>
      </c>
      <c r="I49" s="99">
        <f>IFERROR(__xludf.DUMMYFUNCTION("IFERROR(
  SUM(
    FILTER(
      'Sprint 19'!O:O,
      ('Sprint 19'!E:E = ""Kae: Pimonrath Jaiyen"") *
      (LEFT('Sprint 19'!B:B,8) = ""DEVRDADJ"")
    )
  ),
0)"),0.0)</f>
        <v>0</v>
      </c>
      <c r="J49" s="99">
        <f>IFERROR(__xludf.DUMMYFUNCTION("IFERROR(
  SUM(
    FILTER(
      'Sprint 19'!O:O,
      ('Sprint 19'!E:E = ""Mac: Jarupong Pawichpongkul"") *
      (LEFT('Sprint 19'!B:B,8) = ""DEVRDADJ"")
    )
  ),
0)"),0.0)</f>
        <v>0</v>
      </c>
      <c r="K49" s="99">
        <f>IFERROR(__xludf.DUMMYFUNCTION("IFERROR(
  SUM(
    FILTER(
      'Sprint 19'!O:O,
      ('Sprint 19'!E:E = ""Nim : muthita munmueang"") *
      (LEFT('Sprint 19'!B:B,8) = ""DEVRDADJ"")
    )
  ),
0)"),0.0)</f>
        <v>0</v>
      </c>
      <c r="L49" s="99">
        <f>IFERROR(__xludf.DUMMYFUNCTION("IFERROR(
  SUM(
    FILTER(
      'Sprint 19'!O:O,
      ('Sprint 19'!E:E = ""Moss : Kittapath Sangvikukit"") *
      (LEFT('Sprint 19'!B:B,8) = ""DEVRDADJ"")
    )
  ),
0)"),0.0)</f>
        <v>0</v>
      </c>
      <c r="M49" s="99">
        <f>IFERROR(__xludf.DUMMYFUNCTION("IFERROR(
  SUM(
    FILTER(
      'Sprint 19'!O:O,
      ('Sprint 19'!E:E = ""Arm:Worawat Chotipongchoawalit"") *
      (LEFT('Sprint 19'!B:B,8) = ""DEVRDADJ"")
    )
  ),
0)"),0.0)</f>
        <v>0</v>
      </c>
    </row>
    <row r="50" hidden="1">
      <c r="A50" s="101"/>
      <c r="B50" s="101">
        <f>IFERROR(__xludf.DUMMYFUNCTION("IFERROR(
  SUM(
    FILTER(
      'Sprint 19'!O:O,
      ('Sprint 19'!E:E = ""Aek:Atiphat Nanthachitvanich"") *
      (LEFT('Sprint 19'!B:B,5) = ""RDAPS"")
    )
  ),
0)"),1.0)</f>
        <v>1</v>
      </c>
      <c r="C50" s="99">
        <f>IFERROR(__xludf.DUMMYFUNCTION("IFERROR(
  SUM(
    FILTER(
      'Sprint 19'!O:O,
      ('Sprint 19'!E:E = ""Zan : Isarapong Bulan"") *
      (LEFT('Sprint 19'!B:B,5) = ""RDAPS"")
    )
  ),
0)"),0.0)</f>
        <v>0</v>
      </c>
      <c r="D50" s="99">
        <f>IFERROR(__xludf.DUMMYFUNCTION("IFERROR(
  SUM(
    FILTER(
      'Sprint 19'!O:O,
      ('Sprint 19'!E:E = ""Aom: Pornsawan Polnyiem"") *
      (LEFT('Sprint 19'!B:B,5) = ""RDAPS"")
    )
  ),
0)"),0.0)</f>
        <v>0</v>
      </c>
      <c r="E50" s="99">
        <f>IFERROR(__xludf.DUMMYFUNCTION("IFERROR(
  SUM(
    FILTER(
      'Sprint 19'!O:O,
      ('Sprint 19'!E:E = ""Jack: Warin Kesorn"") *
      (LEFT('Sprint 19'!B:B,5) = ""RDAPS"")
    )
  ),
0)"),0.0)</f>
        <v>0</v>
      </c>
      <c r="F50" s="99">
        <f>IFERROR(__xludf.DUMMYFUNCTION("IFERROR(
  SUM(
    FILTER(
      'Sprint 19'!O:O,
      ('Sprint 19'!E:E = ""A:Phongthorn"") *
      (LEFT('Sprint 19'!B:B,5) = ""RDAPS"")
    )
  ),
0)"),0.0)</f>
        <v>0</v>
      </c>
      <c r="G50" s="99">
        <f>IFERROR(__xludf.DUMMYFUNCTION("IFERROR(
  SUM(
    FILTER(
      'Sprint 19'!O:O,
      ('Sprint 19'!E:E = ""Art: Narupontp"") *
      (LEFT('Sprint 19'!B:B,5) = ""RDAPS"")
    )
  ),
0)"),0.0)</f>
        <v>0</v>
      </c>
      <c r="H50" s="99">
        <f>IFERROR(__xludf.DUMMYFUNCTION("IFERROR(
  SUM(
    FILTER(
      'Sprint 19'!O:O,
      ('Sprint 19'!E:E = ""Mai:Sateta Abvanawong"") *
      (LEFT('Sprint 19'!B:B,5) = ""RDAPS"")
    )
  ),
0)"),0.0)</f>
        <v>0</v>
      </c>
      <c r="I50" s="99">
        <f>IFERROR(__xludf.DUMMYFUNCTION("IFERROR(
  SUM(
    FILTER(
      'Sprint 19'!O:O,
      ('Sprint 19'!E:E = ""Kae: Pimonrath Jaiyen"") *
      (LEFT('Sprint 19'!B:B,5) = ""RDAPS"")
    )
  ),
0)"),0.0)</f>
        <v>0</v>
      </c>
      <c r="J50" s="99">
        <f>IFERROR(__xludf.DUMMYFUNCTION("IFERROR(
  SUM(
    FILTER(
      'Sprint 19'!O:O,
      ('Sprint 19'!E:E = ""Mac: Jarupong Pawichpongkul"") *
      (LEFT('Sprint 19'!B:B,5) = ""RDAPS"")
    )
  ),
0)"),0.0)</f>
        <v>0</v>
      </c>
      <c r="K50" s="99">
        <f>IFERROR(__xludf.DUMMYFUNCTION("IFERROR(
  SUM(
    FILTER(
      'Sprint 19'!O:O,
      ('Sprint 19'!E:E = ""Moss : Kittapath Sangvikukitฃ"") *
      (LEFT('Sprint 19'!B:B,5) = ""RDAPS"")
    )
  ),
0)"),0.0)</f>
        <v>0</v>
      </c>
      <c r="L50" s="99">
        <f>IFERROR(__xludf.DUMMYFUNCTION("IFERROR(
  SUM(
    FILTER(
      'Sprint 19'!O:O,
      ('Sprint 19'!E:E = ""Moss : Kittapath Sangvikukit"") *
      (LEFT('Sprint 19'!B:B,5) = ""RDAPS"")
    )
  ),
0)"),0.0)</f>
        <v>0</v>
      </c>
      <c r="M50" s="99">
        <f>IFERROR(__xludf.DUMMYFUNCTION("IFERROR(
  SUM(
    FILTER(
      'Sprint 19'!O:O,
      ('Sprint 19'!E:E = ""Arm:Worawat Chotipongchoawalit"") *
      (LEFT('Sprint 19'!B:B,5) = ""RDAPS"")
    )
  ),
0)"),0.0)</f>
        <v>0</v>
      </c>
    </row>
    <row r="51" ht="21.0" hidden="1" customHeight="1">
      <c r="A51" s="101"/>
      <c r="B51" s="101">
        <f>IFERROR(__xludf.DUMMYFUNCTION("IFERROR(
  SUM(
    FILTER(
      'Sprint 19'!O:O,
      ('Sprint 19'!E:E = ""Aek:Atiphat Nanthachitvanich"") *
      (LEFT('Sprint 19'!B:B,8) = ""DEVRDSUP"")
    )
  ),
0)"),6.0)</f>
        <v>6</v>
      </c>
      <c r="C51" s="99">
        <f>IFERROR(__xludf.DUMMYFUNCTION("IFERROR(
  SUM(
    FILTER(
      'Sprint 19'!O:O,
      ('Sprint 19'!E:E = ""Zan : Isarapong Bulan"") *
      (LEFT('Sprint 19'!B:B,8) = ""DEVRDSUP"")
    )
  ),
0)"),0.0)</f>
        <v>0</v>
      </c>
      <c r="D51" s="99">
        <f>IFERROR(__xludf.DUMMYFUNCTION("IFERROR(
  SUM(
    FILTER(
      'Sprint 19'!O:O,
      ('Sprint 19'!E:E = ""Aom: Pornsawan Polnyiem"") *
      (LEFT('Sprint 19'!B:B,8) = ""DEVRDSUP"")
    )
  ),
0)"),3.0)</f>
        <v>3</v>
      </c>
      <c r="E51" s="99">
        <f>IFERROR(__xludf.DUMMYFUNCTION("IFERROR(
  SUM(
    FILTER(
      'Sprint 19'!O:O,
      ('Sprint 19'!E:E = ""Jack: Warin Kesorn"") *
      (LEFT('Sprint 19'!B:B,8) = ""DEVRDSUP"")
    )
  ),
0)"),0.0)</f>
        <v>0</v>
      </c>
      <c r="F51" s="101">
        <f>IFERROR(__xludf.DUMMYFUNCTION("IFERROR(
  SUM(
    FILTER(
      'Sprint 19'!P:P,
      ('Sprint 19'!F:F = ""A:Phongthorn"") *
      (LEFT('Sprint 19'!C:C,8) = ""DEVRDSUP"")
    )
  ),
0)"),0.0)</f>
        <v>0</v>
      </c>
      <c r="G51" s="99">
        <f>IFERROR(__xludf.DUMMYFUNCTION("IFERROR(
  SUM(
    FILTER(
      'Sprint 19'!O:O,
      ('Sprint 19'!E:E = ""Art: Narupontp"") *
      (LEFT('Sprint 19'!B:B,8) = ""DEVRDSUP"")
    )
  ),
0)"),0.0)</f>
        <v>0</v>
      </c>
      <c r="H51" s="99">
        <f>IFERROR(__xludf.DUMMYFUNCTION("IFERROR(
  SUM(
    FILTER(
      'Sprint 19'!O:O,
      ('Sprint 19'!E:E = ""Mai:Sateta Abvanawong"") *
      (LEFT('Sprint 19'!B:B,8) = ""DEVRDSUP"")
    )
  ),
0)"),0.0)</f>
        <v>0</v>
      </c>
      <c r="I51" s="99">
        <f>IFERROR(__xludf.DUMMYFUNCTION("IFERROR(
  SUM(
    FILTER(
      'Sprint 19'!O:O,
      ('Sprint 19'!E:E = ""Kae: Pimonrath Jaiyen"") *
      (LEFT('Sprint 19'!B:B,8) = ""DEVRDSUP"")
    )
  ),
0)"),0.0)</f>
        <v>0</v>
      </c>
      <c r="J51" s="99">
        <f>IFERROR(__xludf.DUMMYFUNCTION("IFERROR(
  SUM(
    FILTER(
      'Sprint 19'!O:O,
      ('Sprint 19'!E:E = ""Mac: Jarupong Pawichpongkul"") *
      (LEFT('Sprint 19'!B:B,8) = ""DEVRDSUP"")
    )
  ),
0)"),3.0)</f>
        <v>3</v>
      </c>
      <c r="K51" s="99">
        <f>IFERROR(__xludf.DUMMYFUNCTION("IFERROR(
  SUM(
    FILTER(
      'Sprint 19'!O:O,
      ('Sprint 19'!E:E = ""Nim : muthita munmueang"") *
      (LEFT('Sprint 19'!B:B,8) = ""DEVRDSUP"")
    )
  ),
0)"),2.0)</f>
        <v>2</v>
      </c>
      <c r="L51" s="99">
        <f>IFERROR(__xludf.DUMMYFUNCTION("IFERROR(
  SUM(
    FILTER(
      'Sprint 19'!O:O,
      ('Sprint 19'!E:E = ""Moss : Kittapath Sangvikukit"") *
      (LEFT('Sprint 19'!B:B,8) = ""DEVRDSUP"")
    )
  ),
0)"),0.0)</f>
        <v>0</v>
      </c>
      <c r="M51" s="99">
        <f>IFERROR(__xludf.DUMMYFUNCTION("IFERROR(
  SUM(
    FILTER(
      'Sprint 19'!O:O,
      ('Sprint 19'!E:E = ""Arm:Worawat Chotipongchoawalit"") *
      (LEFT('Sprint 19'!B:B,8) = ""DEVRDSUP"")
    )
  ),
0)"),3.0)</f>
        <v>3</v>
      </c>
    </row>
    <row r="52" hidden="1">
      <c r="C52" s="125"/>
    </row>
    <row r="53" hidden="1">
      <c r="C53" s="125"/>
    </row>
    <row r="54" ht="24.75" hidden="1" customHeight="1">
      <c r="A54" s="232"/>
      <c r="B54" s="233" t="s">
        <v>2210</v>
      </c>
      <c r="C54" s="234"/>
      <c r="D54" s="234"/>
      <c r="E54" s="235"/>
      <c r="F54" s="236" t="s">
        <v>2211</v>
      </c>
      <c r="G54" s="234"/>
      <c r="H54" s="235"/>
      <c r="I54" s="242" t="s">
        <v>3615</v>
      </c>
      <c r="J54" s="234"/>
      <c r="K54" s="234"/>
      <c r="L54" s="234"/>
      <c r="M54" s="235"/>
    </row>
    <row r="55" ht="20.25" hidden="1" customHeight="1">
      <c r="A55" s="239" t="s">
        <v>3618</v>
      </c>
      <c r="B55" s="243" t="s">
        <v>30</v>
      </c>
      <c r="C55" s="243" t="s">
        <v>24</v>
      </c>
      <c r="D55" s="243" t="s">
        <v>72</v>
      </c>
      <c r="E55" s="243" t="s">
        <v>28</v>
      </c>
      <c r="F55" s="243" t="s">
        <v>32</v>
      </c>
      <c r="G55" s="243" t="s">
        <v>3616</v>
      </c>
      <c r="H55" s="243" t="s">
        <v>73</v>
      </c>
      <c r="I55" s="243" t="s">
        <v>3617</v>
      </c>
      <c r="J55" s="243" t="s">
        <v>74</v>
      </c>
      <c r="K55" s="243" t="s">
        <v>76</v>
      </c>
      <c r="L55" s="243" t="s">
        <v>75</v>
      </c>
      <c r="M55" s="243" t="s">
        <v>77</v>
      </c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</row>
    <row r="56" hidden="1">
      <c r="A56" s="101"/>
      <c r="B56" s="99">
        <f>IFERROR(__xludf.DUMMYFUNCTION("ROUND(
  IFERROR(
    SUM(
      FILTER(
        'Sprint 19'!T:T,
        ('Sprint 19'!E:E = ""Aek:Atiphat Nanthachitvanich"") *
        (LEFT('Sprint 19'!B:B,7) = ""RDTHANA"")
      )
    ) / 3600,
    0
  ),
  2
)"),0.0)</f>
        <v>0</v>
      </c>
      <c r="C56" s="99">
        <f>IFERROR(__xludf.DUMMYFUNCTION("ROUND(
  IFERROR(
    SUM(
      FILTER(
        'Sprint 19'!T:T,
        ('Sprint 19'!E:E = ""Zan : Isarapong Bulan"") *
        (LEFT('Sprint 19'!B:B,7) = ""RDTHANA"")
      )
    ) / 3600,
    0
  ),
  2
)"),0.0)</f>
        <v>0</v>
      </c>
      <c r="D56" s="99">
        <f>IFERROR(__xludf.DUMMYFUNCTION("ROUND(
  IFERROR(
    SUM(
      FILTER(
        'Sprint 19'!T:T,
        ('Sprint 19'!E:E = ""Aom: Pornsawan Polnyiem"") *
        (LEFT('Sprint 19'!B:B,7) = ""RDTHANA"")
      )
    ) / 3600,
    0
  ),
  2
)"),0.0)</f>
        <v>0</v>
      </c>
      <c r="E56" s="99">
        <f>IFERROR(__xludf.DUMMYFUNCTION("ROUND(
  IFERROR(
    SUM(
      FILTER(
        'Sprint 19'!T:T,
        ('Sprint 19'!E:E = ""Jack: Warin Kesorn"") *
        (LEFT('Sprint 19'!B:B,7) = ""RDTHANA"")
      )
    ) / 3600,
    0
  ),
  2
)"),0.0)</f>
        <v>0</v>
      </c>
      <c r="F56" s="99">
        <f>IFERROR(__xludf.DUMMYFUNCTION("ROUND(
  IFERROR(
    SUM(
      FILTER(
        'Sprint 19'!T:T,
        ('Sprint 19'!E:E = ""A:Phongthorn"") *
        (LEFT('Sprint 19'!B:B,7) = ""RDTHANA"")
      )
    ) / 3600,
    0
  ),
  2
)"),0.0)</f>
        <v>0</v>
      </c>
      <c r="G56" s="99">
        <f>IFERROR(__xludf.DUMMYFUNCTION("ROUND(
  IFERROR(
    SUM(
      FILTER(
        'Sprint 19'!T:T,
        ('Sprint 19'!E:E = ""Art: Narupontp"") *
        (LEFT('Sprint 19'!B:B,7) = ""RDTHANA"")
      )
    ) / 3600,
    0
  ),
  2
)"),0.0)</f>
        <v>0</v>
      </c>
      <c r="H56" s="99">
        <f>IFERROR(__xludf.DUMMYFUNCTION("ROUND(
  IFERROR(
    SUM(
      FILTER(
        'Sprint 19'!T:T,
        ('Sprint 19'!E:E = ""Mai:Sateta Abvanawong"") *
        (LEFT('Sprint 19'!B:B,7) = ""RDTHANA"")
      )
    ) / 3600,
    0
  ),
  2
)"),48.0)</f>
        <v>48</v>
      </c>
      <c r="I56" s="99">
        <f>IFERROR(__xludf.DUMMYFUNCTION("ROUND(
  IFERROR(
    SUM(
      FILTER(
        'Sprint 19'!T:T,
        ('Sprint 19'!E:E = ""Kae: Pimonrath Jaiyen"") *
        (LEFT('Sprint 19'!B:B,7) = ""RDTHANA"")
      )
    ) / 3600,
    0
  ),
  2
)"),0.0)</f>
        <v>0</v>
      </c>
      <c r="J56" s="99">
        <f>IFERROR(__xludf.DUMMYFUNCTION("ROUND(
  IFERROR(
    SUM(
      FILTER(
        'Sprint 19'!T:T,
        ('Sprint 19'!E:E = ""Mac: Jarupong Pawichpongkul"") *
        (LEFT('Sprint 19'!B:B,7) = ""RDTHANA"")
      )
    ) / 3600,
    0
  ),
  2
)"),48.0)</f>
        <v>48</v>
      </c>
      <c r="K56" s="99">
        <f>IFERROR(__xludf.DUMMYFUNCTION("ROUND(
  IFERROR(
    SUM(
      FILTER(
        'Sprint 19'!T:T,
        ('Sprint 19'!E:E = ""Nim : muthita munmueang"") *
        (LEFT('Sprint 19'!B:B,7) = ""RDTHANA"")
      )
    ) / 3600,
    0
  ),
  2
)"),0.0)</f>
        <v>0</v>
      </c>
      <c r="L56" s="99">
        <f>IFERROR(__xludf.DUMMYFUNCTION("ROUND(
  IFERROR(
    SUM(
      FILTER(
        'Sprint 19'!T:T,
        ('Sprint 19'!E:E = ""Moss : Kittapath Sangvikukit"") *
        (LEFT('Sprint 19'!B:B,7) = ""RDTHANA"")
      )
    ) / 3600,
    0
  ),
  2
)"),0.0)</f>
        <v>0</v>
      </c>
      <c r="M56" s="99">
        <f>IFERROR(__xludf.DUMMYFUNCTION("ROUND(
  IFERROR(
    SUM(
      FILTER(
        'Sprint 19'!T:T,
        ('Sprint 19'!E:E = ""Arm:Worawat Chotipongchoawalit"") *
        (LEFT('Sprint 19'!B:B,7) = ""RDTHANA"")
      )
    ) / 3600,
    0
  ),
  2
)"),0.0)</f>
        <v>0</v>
      </c>
    </row>
    <row r="57" hidden="1">
      <c r="A57" s="101"/>
      <c r="B57" s="99">
        <f>IFERROR(__xludf.DUMMYFUNCTION("ROUND(
  IFERROR(
    SUM(
      FILTER(
        'Sprint 19'!T:T,
        ('Sprint 19'!E:E = ""Aek:Atiphat Nanthachitvanich"") *
        (LEFT('Sprint 19'!B:B,9) = ""DEVRDECOM"")
      )
    ) / 3600,
    0
  ),
  2
)"),0.0)</f>
        <v>0</v>
      </c>
      <c r="C57" s="99">
        <f>IFERROR(__xludf.DUMMYFUNCTION("ROUND(
  IFERROR(
    SUM(
      FILTER(
        'Sprint 19'!T:T,
        ('Sprint 19'!E:E = ""Zan : Isarapong Bulan"") *
        (LEFT('Sprint 19'!B:B,9) = ""DEVRDECOM"")
      )
    ) / 3600,
    0
  ),
  2
)"),0.0)</f>
        <v>0</v>
      </c>
      <c r="D57" s="99">
        <f>IFERROR(__xludf.DUMMYFUNCTION("ROUND(
  IFERROR(
    SUM(
      FILTER(
        'Sprint 19'!T:T,
        ('Sprint 19'!E:E = ""Aom: Pornsawan Polnyiem"") *
        (LEFT('Sprint 19'!B:B,9) = ""DEVRDECOM"")
      )
    ) / 3600,
    0
  ),
  2
)"),0.0)</f>
        <v>0</v>
      </c>
      <c r="E57" s="99">
        <f>IFERROR(__xludf.DUMMYFUNCTION("ROUND(
  IFERROR(
    SUM(
      FILTER(
        'Sprint 19'!T:T,
        ('Sprint 19'!E:E = ""Jack: Warin Kesorn"") *
        (LEFT('Sprint 19'!B:B,9) = ""DEVRDECOM"")
      )
    ) / 3600,
    0
  ),
  2
)"),0.0)</f>
        <v>0</v>
      </c>
      <c r="F57" s="99">
        <f>IFERROR(__xludf.DUMMYFUNCTION("ROUND(
  IFERROR(
    SUM(
      FILTER(
        'Sprint 19'!T:T,
        ('Sprint 19'!E:E = ""A:Phongthorn"") *
        (LEFT('Sprint 19'!B:B,9) = ""DEVRDECOM"")
      )
    ) / 3600,
    0
  ),
  2
)"),0.0)</f>
        <v>0</v>
      </c>
      <c r="G57" s="99">
        <f>IFERROR(__xludf.DUMMYFUNCTION("ROUND(
  IFERROR(
    SUM(
      FILTER(
        'Sprint 19'!T:T,
        ('Sprint 19'!E:E = ""Art: Narupontp"") *
        (LEFT('Sprint 19'!B:B,9) = ""DEVRDECOM"")
      )
    ) / 3600,
    0
  ),
  2
)"),0.0)</f>
        <v>0</v>
      </c>
      <c r="H57" s="99">
        <f>IFERROR(__xludf.DUMMYFUNCTION("ROUND(
  IFERROR(
    SUM(
      FILTER(
        'Sprint 19'!T:T,
        ('Sprint 19'!E:E = ""Mai:Sateta Abvanawong"") *
        (LEFT('Sprint 19'!B:B,9) = ""DEVRDECOM"")
      )
    ) / 3600,
    0
  ),
  2
)"),0.0)</f>
        <v>0</v>
      </c>
      <c r="I57" s="99">
        <f>IFERROR(__xludf.DUMMYFUNCTION("ROUND(
  IFERROR(
    SUM(
      FILTER(
        'Sprint 19'!T:T,
        ('Sprint 19'!E:E = ""Kae: Pimonrath Jaiyen"") *
        (LEFT('Sprint 19'!B:B,9) = ""DEVRDECOM"")
      )
    ) / 3600,
    0
  ),
  2
)"),0.0)</f>
        <v>0</v>
      </c>
      <c r="J57" s="99">
        <f>IFERROR(__xludf.DUMMYFUNCTION("ROUND(
  IFERROR(
    SUM(
      FILTER(
        'Sprint 19'!T:T,
        ('Sprint 19'!E:E = ""Mac: Jarupong Pawichpongkul"") *
        (LEFT('Sprint 19'!B:B,9) = ""DEVRDECOM"")
      )
    ) / 3600,
    0
  ),
  2
)"),0.0)</f>
        <v>0</v>
      </c>
      <c r="K57" s="99">
        <f>IFERROR(__xludf.DUMMYFUNCTION("ROUND(
  IFERROR(
    SUM(
      FILTER(
        'Sprint 19'!T:T,
        ('Sprint 19'!E:E = ""Nim : muthita munmueang"") *
        (LEFT('Sprint 19'!B:B,9) = ""DEVRDECOM"")
      )
    ) / 3600,
    0
  ),
  2
)"),0.0)</f>
        <v>0</v>
      </c>
      <c r="L57" s="99">
        <f>IFERROR(__xludf.DUMMYFUNCTION("ROUND(
  IFERROR(
    SUM(
      FILTER(
        'Sprint 19'!T:T,
        ('Sprint 19'!E:E = ""Moss : Kittapath Sangvikukit"") *
        (LEFT('Sprint 19'!B:B,9) = ""DEVRDECOM"")
      )
    ) / 3600,
    0
  ),
  2
)"),0.0)</f>
        <v>0</v>
      </c>
      <c r="M57" s="99">
        <f>IFERROR(__xludf.DUMMYFUNCTION("ROUND(
  IFERROR(
    SUM(
      FILTER(
        'Sprint 19'!T:T,
        ('Sprint 19'!E:E = ""Arm:Worawat Chotipongchoawalit"") *
        (LEFT('Sprint 19'!B:B,9) = ""DEVRDECOM"")
      )
    ) / 3600,
    0
  ),
  2
)"),0.0)</f>
        <v>0</v>
      </c>
    </row>
    <row r="58" ht="32.25" hidden="1" customHeight="1">
      <c r="A58" s="101"/>
      <c r="B58" s="99">
        <f>IFERROR(__xludf.DUMMYFUNCTION("ROUND(
  IFERROR(
    SUM(
      FILTER(
        'Sprint 19'!T:T,
        ('Sprint 19'!E:E = ""Aek:Atiphat Nanthachitvanich"") *
        (LEFT('Sprint 19'!B:B,7) = ""DEVRDCT"")
      )
    ) / 3600,
    0
  ),
  2
)"),0.0)</f>
        <v>0</v>
      </c>
      <c r="C58" s="99">
        <f>IFERROR(__xludf.DUMMYFUNCTION("ROUND(
  IFERROR(
    SUM(
      FILTER(
        'Sprint 19'!T:T,
        ('Sprint 19'!E:E = ""Zan : Isarapong Bulan"") *
        (LEFT('Sprint 19'!B:B,7) = ""DEVRDCT"")
      )
    ) / 3600,
    0
  ),
  2
)"),0.0)</f>
        <v>0</v>
      </c>
      <c r="D58" s="99">
        <f>IFERROR(__xludf.DUMMYFUNCTION("ROUND(
  IFERROR(
    SUM(
      FILTER(
        'Sprint 19'!T:T,
        ('Sprint 19'!E:E = ""Aom: Pornsawan Polnyiem"") *
        (LEFT('Sprint 19'!B:B,7) = ""DEVRDCT"")
      )
    ) / 3600,
    0
  ),
  2
)"),0.0)</f>
        <v>0</v>
      </c>
      <c r="E58" s="99">
        <f>IFERROR(__xludf.DUMMYFUNCTION("ROUND(
  IFERROR(
    SUM(
      FILTER(
        'Sprint 19'!T:T,
        ('Sprint 19'!E:E = ""Jack: Warin Kesorn"") *
        (LEFT('Sprint 19'!B:B,7) = ""DEVRDCT"")
      )
    ) / 3600,
    0
  ),
  2
)"),0.0)</f>
        <v>0</v>
      </c>
      <c r="F58" s="99">
        <f>IFERROR(__xludf.DUMMYFUNCTION("ROUND(
  IFERROR(
    SUM(
      FILTER(
        'Sprint 19'!T:T,
        ('Sprint 19'!E:E = ""A:Phongthorn"") *
        (LEFT('Sprint 19'!B:B,7) = ""DEVRDCT"")
      )
    ) / 3600,
    0
  ),
  2
)"),0.0)</f>
        <v>0</v>
      </c>
      <c r="G58" s="99">
        <f>IFERROR(__xludf.DUMMYFUNCTION("ROUND(
  IFERROR(
    SUM(
      FILTER(
        'Sprint 19'!T:T,
        ('Sprint 19'!E:E = ""Art: Narupontp"") *
        (LEFT('Sprint 19'!B:B,7) = ""DEVRDCT"")
      )
    ) / 3600,
    0
  ),
  2
)"),0.0)</f>
        <v>0</v>
      </c>
      <c r="H58" s="99">
        <f>IFERROR(__xludf.DUMMYFUNCTION("ROUND(
  IFERROR(
    SUM(
      FILTER(
        'Sprint 19'!T:T,
        ('Sprint 19'!E:E = ""Mai:Sateta Abvanawong"") *
        (LEFT('Sprint 19'!B:B,7) = ""DEVRDCT"")
      )
    ) / 3600,
    0
  ),
  2
)"),0.0)</f>
        <v>0</v>
      </c>
      <c r="I58" s="99">
        <f>IFERROR(__xludf.DUMMYFUNCTION("ROUND(
  IFERROR(
    SUM(
      FILTER(
        'Sprint 19'!T:T,
        ('Sprint 19'!E:E = ""Kae: Pimonrath Jaiyen"") *
        (LEFT('Sprint 19'!B:B,7) = ""DEVRDCT"")
      )
    ) / 3600,
    0
  ),
  2
)"),0.0)</f>
        <v>0</v>
      </c>
      <c r="J58" s="99">
        <f>IFERROR(__xludf.DUMMYFUNCTION("ROUND(
  IFERROR(
    SUM(
      FILTER(
        'Sprint 19'!T:T,
        ('Sprint 19'!E:E = ""Mac: Jarupong Pawichpongkul"") *
        (LEFT('Sprint 19'!B:B,7) = ""DEVRDCT"")
      )
    ) / 3600,
    0
  ),
  2
)"),0.0)</f>
        <v>0</v>
      </c>
      <c r="K58" s="99">
        <f>IFERROR(__xludf.DUMMYFUNCTION("ROUND(
  IFERROR(
    SUM(
      FILTER(
        'Sprint 19'!T:T,
        ('Sprint 19'!E:E = ""Nim : muthita munmueang"") *
        (LEFT('Sprint 19'!B:B,7) = ""DEVRDCT"")
      )
    ) / 3600,
    0
  ),
  2
)"),0.0)</f>
        <v>0</v>
      </c>
      <c r="L58" s="99">
        <f>IFERROR(__xludf.DUMMYFUNCTION("ROUND(
  IFERROR(
    SUM(
      FILTER(
        'Sprint 19'!T:T,
        ('Sprint 19'!E:E = ""Moss : Kittapath Sangvikukit"") *
        (LEFT('Sprint 19'!B:B,7) = ""DEVRDCT"")
      )
    ) / 3600,
    0
  ),
  2
)"),0.0)</f>
        <v>0</v>
      </c>
      <c r="M58" s="99">
        <f>IFERROR(__xludf.DUMMYFUNCTION("ROUND(
  IFERROR(
    SUM(
      FILTER(
        'Sprint 19'!T:T,
        ('Sprint 19'!E:E = ""Arm:Worawat Chotipongchoawalit"") *
        (LEFT('Sprint 19'!B:B,7) = ""DEVRDCT"")
      )
    ) / 3600,
    0
  ),
  2
)"),0.0)</f>
        <v>0</v>
      </c>
    </row>
    <row r="59" ht="22.5" hidden="1" customHeight="1">
      <c r="A59" s="101"/>
      <c r="B59" s="99">
        <f>IFERROR(__xludf.DUMMYFUNCTION("ROUND(
  IFERROR(
    SUM(
      FILTER(
        'Sprint 19'!T:T,
        ('Sprint 19'!E:E = ""Aek:Atiphat Nanthachitvanich"") *
        (LEFT('Sprint 19'!B:B,8) = ""DEVRDADJ"")
      )
    ) / 3600,
    0
  ),
  2
)"),0.0)</f>
        <v>0</v>
      </c>
      <c r="C59" s="99">
        <f>IFERROR(__xludf.DUMMYFUNCTION("ROUND(
  IFERROR(
    SUM(
      FILTER(
        'Sprint 19'!T:T,
        ('Sprint 19'!E:E = ""Zan : Isarapong Bulan"") *
        (LEFT('Sprint 19'!B:B,8) = ""DEVRDADJ"")
      )
    ) / 3600,
    0
  ),
  2
)"),0.0)</f>
        <v>0</v>
      </c>
      <c r="D59" s="99">
        <f>IFERROR(__xludf.DUMMYFUNCTION("ROUND(
  IFERROR(
    SUM(
      FILTER(
        'Sprint 19'!T:T,
        ('Sprint 19'!E:E = ""Aom: Pornsawan Polnyiem"") *
        (LEFT('Sprint 19'!B:B,8) = ""DEVRDADJ"")
      )
    ) / 3600,
    0
  ),
  2
)"),0.0)</f>
        <v>0</v>
      </c>
      <c r="E59" s="99">
        <f>IFERROR(__xludf.DUMMYFUNCTION("ROUND(
  IFERROR(
    SUM(
      FILTER(
        'Sprint 19'!T:T,
        ('Sprint 19'!E:E = ""Jack: Warin Kesorn"") *
        (LEFT('Sprint 19'!B:B,8) = ""DEVRDADJ"")
      )
    ) / 3600,
    0
  ),
  2
)"),0.0)</f>
        <v>0</v>
      </c>
      <c r="F59" s="99">
        <f>IFERROR(__xludf.DUMMYFUNCTION("ROUND(
  IFERROR(
    SUM(
      FILTER(
        'Sprint 19'!T:T,
        ('Sprint 19'!E:E = ""A:Phongthorn"") *
        (LEFT('Sprint 19'!B:B,8) = ""DEVRDADJ"")
      )
    ) / 3600,
    0
  ),
  2
)"),0.0)</f>
        <v>0</v>
      </c>
      <c r="G59" s="99">
        <f>IFERROR(__xludf.DUMMYFUNCTION("ROUND(
  IFERROR(
    SUM(
      FILTER(
        'Sprint 19'!T:T,
        ('Sprint 19'!E:E = ""Aek:Atiphat Nanthachitvanich"") *
        (LEFT('Sprint 19'!B:B,8) = ""DEVRDADJ"")
      )
    ) / 3600,
    0
  ),
  2
)"),0.0)</f>
        <v>0</v>
      </c>
      <c r="H59" s="99">
        <f>IFERROR(__xludf.DUMMYFUNCTION("ROUND(
  IFERROR(
    SUM(
      FILTER(
        'Sprint 19'!T:T,
        ('Sprint 19'!E:E = ""Mai:Sateta Abvanawong"") *
        (LEFT('Sprint 19'!B:B,8) = ""DEVRDADJ"")
      )
    ) / 3600,
    0
  ),
  2
)"),0.0)</f>
        <v>0</v>
      </c>
      <c r="I59" s="99">
        <f>IFERROR(__xludf.DUMMYFUNCTION("ROUND(
  IFERROR(
    SUM(
      FILTER(
        'Sprint 19'!T:T,
        ('Sprint 19'!E:E = ""Kae: Pimonrath Jaiyen"") *
        (LEFT('Sprint 19'!B:B,8) = ""DEVRDADJ"")
      )
    ) / 3600,
    0
  ),
  2
)"),0.0)</f>
        <v>0</v>
      </c>
      <c r="J59" s="99">
        <f>IFERROR(__xludf.DUMMYFUNCTION("ROUND(
  IFERROR(
    SUM(
      FILTER(
        'Sprint 19'!T:T,
        ('Sprint 19'!E:E = ""Mac: Jarupong Pawichpongkul"") *
        (LEFT('Sprint 19'!B:B,8) = ""DEVRDADJ"")
      )
    ) / 3600,
    0
  ),
  2
)"),0.0)</f>
        <v>0</v>
      </c>
      <c r="K59" s="99">
        <f>IFERROR(__xludf.DUMMYFUNCTION("ROUND(
  IFERROR(
    SUM(
      FILTER(
        'Sprint 19'!T:T,
        ('Sprint 19'!E:E = ""Aek:Atiphat Nanthachitvanich"") *
        (LEFT('Sprint 19'!B:B,8) = ""DEVRDADJ"")
      )
    ) / 3600,
    0
  ),
  2
)"),0.0)</f>
        <v>0</v>
      </c>
      <c r="L59" s="99">
        <f>IFERROR(__xludf.DUMMYFUNCTION("ROUND(
  IFERROR(
    SUM(
      FILTER(
        'Sprint 19'!T:T,
        ('Sprint 19'!E:E = ""Moss : Kittapath Sangvikukit"") *
        (LEFT('Sprint 19'!B:B,8) = ""DEVRDADJ"")
      )
    ) / 3600,
    0
  ),
  2
)"),0.0)</f>
        <v>0</v>
      </c>
      <c r="M59" s="99">
        <f>IFERROR(__xludf.DUMMYFUNCTION("ROUND(
  IFERROR(
    SUM(
      FILTER(
        'Sprint 19'!T:T,
        ('Sprint 19'!E:E = ""Arm:Worawat Chotipongchoawalit"") *
        (LEFT('Sprint 19'!B:B,8) = ""DEVRDADJ"")
      )
    ) / 3600,
    0
  ),
  2
)"),0.0)</f>
        <v>0</v>
      </c>
    </row>
    <row r="60" hidden="1">
      <c r="A60" s="101"/>
      <c r="B60" s="101">
        <f>IFERROR(__xludf.DUMMYFUNCTION("ROUND(
  IFERROR(
    SUM(
      FILTER(
        'Sprint 19'!T:T,
        ('Sprint 19'!E:E = ""Aek:Atiphat Nanthachitvanich"") *
        (LEFT('Sprint 19'!B:B,5) = ""RDAPS"")
      )
    ) / 3600,
    0
  ),
  2
)"),0.0)</f>
        <v>0</v>
      </c>
      <c r="C60" s="99">
        <f>IFERROR(__xludf.DUMMYFUNCTION("ROUND(
  IFERROR(
    SUM(
      FILTER(
        'Sprint 19'!T:T,
        ('Sprint 19'!E:E = ""Zan : Isarapong Bulan"") *
        (LEFT('Sprint 19'!B:B,5) = ""RDAPS"")
      )
    ) / 3600,
    0
  ),
  2
)"),0.0)</f>
        <v>0</v>
      </c>
      <c r="D60" s="99">
        <f>IFERROR(__xludf.DUMMYFUNCTION("ROUND(
  IFERROR(
    SUM(
      FILTER(
        'Sprint 19'!T:T,
        ('Sprint 19'!E:E = ""Aom: Pornsawan Polnyiem"") *
        (LEFT('Sprint 19'!B:B,5) = ""RDAPS"")
      )
    ) / 3600,
    0
  ),
  2
)"),0.0)</f>
        <v>0</v>
      </c>
      <c r="E60" s="99">
        <f>IFERROR(__xludf.DUMMYFUNCTION("ROUND(
  IFERROR(
    SUM(
      FILTER(
        'Sprint 19'!T:T,
        ('Sprint 19'!E:E = ""Jack: Warin Kesorn"") *
        (LEFT('Sprint 19'!B:B,5) = ""RDAPS"")
      )
    ) / 3600,
    0
  ),
  2
)"),0.0)</f>
        <v>0</v>
      </c>
      <c r="F60" s="99">
        <f>IFERROR(__xludf.DUMMYFUNCTION("ROUND(
  IFERROR(
    SUM(
      FILTER(
        'Sprint 19'!T:T,
        ('Sprint 19'!E:E = ""A:Phongthorn"") *
        (LEFT('Sprint 19'!B:B,5) = ""RDAPS"")
      )
    ) / 3600,
    0
  ),
  2
)"),0.0)</f>
        <v>0</v>
      </c>
      <c r="G60" s="99">
        <f>IFERROR(__xludf.DUMMYFUNCTION("ROUND(
  IFERROR(
    SUM(
      FILTER(
        'Sprint 19'!T:T,
        ('Sprint 19'!E:E = ""Art: Narupontp"") *
        (LEFT('Sprint 19'!B:B,5) = ""RDAPS"")
      )
    ) / 3600,
    0
  ),
  2
)"),0.0)</f>
        <v>0</v>
      </c>
      <c r="H60" s="99">
        <f>IFERROR(__xludf.DUMMYFUNCTION("ROUND(
  IFERROR(
    SUM(
      FILTER(
        'Sprint 19'!T:T,
        ('Sprint 19'!E:E = ""Mai:Sateta Abvanawong"") *
        (LEFT('Sprint 19'!B:B,5) = ""RDAPS"")
      )
    ) / 3600,
    0
  ),
  2
)"),0.0)</f>
        <v>0</v>
      </c>
      <c r="I60" s="99">
        <f>IFERROR(__xludf.DUMMYFUNCTION("ROUND(
  IFERROR(
    SUM(
      FILTER(
        'Sprint 19'!T:T,
        ('Sprint 19'!E:E = ""Kae: Pimonrath Jaiyen"") *
        (LEFT('Sprint 19'!B:B,5) = ""RDAPS"")
      )
    ) / 3600,
    0
  ),
  2
)"),0.0)</f>
        <v>0</v>
      </c>
      <c r="J60" s="99">
        <f>IFERROR(__xludf.DUMMYFUNCTION("ROUND(
  IFERROR(
    SUM(
      FILTER(
        'Sprint 19'!T:T,
        ('Sprint 19'!E:E = ""Mac: Jarupong Pawichpongkul"") *
        (LEFT('Sprint 19'!B:B,5) = ""RDAPS"")
      )
    ) / 3600,
    0
  ),
  2
)"),0.0)</f>
        <v>0</v>
      </c>
      <c r="K60" s="99">
        <f>IFERROR(__xludf.DUMMYFUNCTION("ROUND(
  IFERROR(
    SUM(
      FILTER(
        'Sprint 19'!T:T,
        ('Sprint 19'!E:E = ""Nim : muthita munmueang"") *
        (LEFT('Sprint 19'!B:B,5) = ""RDAPS"")
      )
    ) / 3600,
    0
  ),
  2
)"),0.0)</f>
        <v>0</v>
      </c>
      <c r="L60" s="99">
        <f>IFERROR(__xludf.DUMMYFUNCTION("ROUND(
  IFERROR(
    SUM(
      FILTER(
        'Sprint 19'!T:T,
        ('Sprint 19'!E:E = ""Moss : Kittapath Sangvikukit"") *
        (LEFT('Sprint 19'!B:B,5) = ""RDAPS"")
      )
    ) / 3600,
    0
  ),
  2
)"),0.0)</f>
        <v>0</v>
      </c>
      <c r="M60" s="99">
        <f>IFERROR(__xludf.DUMMYFUNCTION("ROUND(
  IFERROR(
    SUM(
      FILTER(
        'Sprint 19'!T:T,
        ('Sprint 19'!E:E = ""Arm:Worawat Chotipongchoawalit"") *
        (LEFT('Sprint 19'!B:B,5) = ""RDAPS"")
      )
    ) / 3600,
    0
  ),
  2
)"),0.0)</f>
        <v>0</v>
      </c>
    </row>
    <row r="61" ht="21.0" hidden="1" customHeight="1">
      <c r="A61" s="101"/>
      <c r="B61" s="101">
        <f>IFERROR(__xludf.DUMMYFUNCTION("ROUND(
  IFERROR(
    SUM(
      FILTER(
        'Sprint 19'!T:T,
        ('Sprint 19'!E:E = ""Aek:Atiphat Nanthachitvanich"") *
        (LEFT('Sprint 19'!B:B,8) = ""DEVRDSUP"")
      )
    ) / 3600,
    0
  ),
  2
)"),7.0)</f>
        <v>7</v>
      </c>
      <c r="C61" s="99">
        <f>IFERROR(__xludf.DUMMYFUNCTION("ROUND(
  IFERROR(
    SUM(
      FILTER(
        'Sprint 19'!T:T,
        ('Sprint 19'!E:E = ""Zan : Isarapong Bulan"") *
        (LEFT('Sprint 19'!B:B,8) = ""DEVRDSUP"")
      )
    ) / 3600,
    0
  ),
  2
)"),0.0)</f>
        <v>0</v>
      </c>
      <c r="D61" s="99">
        <f>IFERROR(__xludf.DUMMYFUNCTION("ROUND(
  IFERROR(
    SUM(
      FILTER(
        'Sprint 19'!T:T,
        ('Sprint 19'!E:E = ""Aom: Pornsawan Polnyiem"") *
        (LEFT('Sprint 19'!B:B,8) = ""DEVRDSUP"")
      )
    ) / 3600,
    0
  ),
  2
)"),1.5)</f>
        <v>1.5</v>
      </c>
      <c r="E61" s="99">
        <f>IFERROR(__xludf.DUMMYFUNCTION("ROUND(
  IFERROR(
    SUM(
      FILTER(
        'Sprint 19'!T:T,
        ('Sprint 19'!E:E = ""Jack: Warin Kesorn"") *
        (LEFT('Sprint 19'!B:B,8) = ""DEVRDSUP"")
      )
    ) / 3600,
    0
  ),
  2
)"),0.0)</f>
        <v>0</v>
      </c>
      <c r="F61" s="101">
        <f>IFERROR(__xludf.DUMMYFUNCTION("ROUND(
  IFERROR(
    SUM(
      FILTER(
        'Sprint 19'!T:T,
        ('Sprint 19'!E:E = ""A:Phongthorn"") *
        (LEFT('Sprint 19'!B:B,8) = ""DEVRDSUP"")
      )
    ) / 3600,
    0
  ),
  2
)"),0.0)</f>
        <v>0</v>
      </c>
      <c r="G61" s="99">
        <f>IFERROR(__xludf.DUMMYFUNCTION("ROUND(
  IFERROR(
    SUM(
      FILTER(
        'Sprint 19'!T:T,
        ('Sprint 19'!E:E = ""Art: Narupontp"") *
        (LEFT('Sprint 19'!B:B,8) = ""DEVRDSUP"")
      )
    ) / 3600,
    0
  ),
  2
)"),0.0)</f>
        <v>0</v>
      </c>
      <c r="H61" s="99">
        <f>IFERROR(__xludf.DUMMYFUNCTION("ROUND(
  IFERROR(
    SUM(
      FILTER(
        'Sprint 19'!T:T,
        ('Sprint 19'!E:E = ""Mai:Sateta Abvanawong"") *
        (LEFT('Sprint 19'!B:B,8) = ""DEVRDSUP"")
      )
    ) / 3600,
    0
  ),
  2
)"),0.0)</f>
        <v>0</v>
      </c>
      <c r="I61" s="99">
        <f>IFERROR(__xludf.DUMMYFUNCTION("ROUND(
  IFERROR(
    SUM(
      FILTER(
        'Sprint 19'!T:T,
        ('Sprint 19'!E:E = ""Kae: Pimonrath Jaiyen"") *
        (LEFT('Sprint 19'!B:B,8) = ""DEVRDSUP"")
      )
    ) / 3600,
    0
  ),
  2
)"),0.0)</f>
        <v>0</v>
      </c>
      <c r="J61" s="99">
        <f>IFERROR(__xludf.DUMMYFUNCTION("ROUND(
  IFERROR(
    SUM(
      FILTER(
        'Sprint 19'!T:T,
        ('Sprint 19'!E:E = ""Mac: Jarupong Pawichpongkul"") *
        (LEFT('Sprint 19'!B:B,8) = ""DEVRDSUP"")
      )
    ) / 3600,
    0
  ),
  2
)"),0.0)</f>
        <v>0</v>
      </c>
      <c r="K61" s="99">
        <f>IFERROR(__xludf.DUMMYFUNCTION("ROUND(
  IFERROR(
    SUM(
      FILTER(
        'Sprint 19'!T:T,
        ('Sprint 19'!E:E = ""Nim : muthita munmueang"") *
        (LEFT('Sprint 19'!B:B,8) = ""DEVRDSUP"")
      )
    ) / 3600,
    0
  ),
  2
)"),0.0)</f>
        <v>0</v>
      </c>
      <c r="L61" s="99">
        <f>IFERROR(__xludf.DUMMYFUNCTION("ROUND(
  IFERROR(
    SUM(
      FILTER(
        'Sprint 19'!T:T,
        ('Sprint 19'!E:E = ""Moss : Kittapath Sangvikukit"") *
        (LEFT('Sprint 19'!B:B,8) = ""DEVRDSUP"")
      )
    ) / 3600,
    0
  ),
  2
)"),0.0)</f>
        <v>0</v>
      </c>
      <c r="M61" s="99">
        <f>IFERROR(__xludf.DUMMYFUNCTION("ROUND(
  IFERROR(
    SUM(
      FILTER(
        'Sprint 19'!T:T,
        ('Sprint 19'!E:E = ""Arm:Worawat Chotipongchoawalit"") *
        (LEFT('Sprint 19'!B:B,8) = ""DEVRDSUP"")
      )
    ) / 3600,
    0
  ),
  2
)"),0.0)</f>
        <v>0</v>
      </c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</sheetData>
  <mergeCells count="6">
    <mergeCell ref="B44:E44"/>
    <mergeCell ref="F44:H44"/>
    <mergeCell ref="I44:M44"/>
    <mergeCell ref="B54:E54"/>
    <mergeCell ref="F54:H54"/>
    <mergeCell ref="I54:M54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36" width="17.5"/>
    <col customWidth="1" min="37" max="37" width="21.38"/>
    <col customWidth="1" min="38" max="40" width="17.5"/>
    <col customWidth="1" min="41" max="41" width="21.25"/>
    <col customWidth="1" min="42" max="42" width="17.5"/>
    <col customWidth="1" min="43" max="43" width="21.25"/>
    <col customWidth="1" min="44" max="44" width="20.13"/>
    <col customWidth="1" min="45" max="45" width="21.25"/>
    <col customWidth="1" min="46" max="46" width="20.13"/>
    <col customWidth="1" min="47" max="47" width="21.25"/>
    <col customWidth="1" min="48" max="48" width="20.13"/>
    <col customWidth="1" min="50" max="50" width="17.5"/>
    <col customWidth="1" min="51" max="51" width="21.25"/>
    <col customWidth="1" min="52" max="52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274</v>
      </c>
      <c r="T1" s="102" t="s">
        <v>275</v>
      </c>
      <c r="U1" s="149" t="s">
        <v>3245</v>
      </c>
      <c r="V1" s="115" t="s">
        <v>4283</v>
      </c>
      <c r="W1" s="115" t="s">
        <v>6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N1" s="102"/>
      <c r="AO1" s="102"/>
      <c r="BI1" s="88"/>
      <c r="BJ1" s="88"/>
    </row>
    <row r="2">
      <c r="A2" s="102" t="s">
        <v>276</v>
      </c>
      <c r="B2" s="102" t="s">
        <v>4284</v>
      </c>
      <c r="C2" s="229" t="s">
        <v>4285</v>
      </c>
      <c r="D2" s="102" t="s">
        <v>4286</v>
      </c>
      <c r="E2" s="102" t="s">
        <v>391</v>
      </c>
      <c r="F2" s="102" t="s">
        <v>392</v>
      </c>
      <c r="G2" s="102" t="s">
        <v>391</v>
      </c>
      <c r="H2" s="102" t="s">
        <v>392</v>
      </c>
      <c r="I2" s="102" t="s">
        <v>284</v>
      </c>
      <c r="J2" s="102" t="s">
        <v>34</v>
      </c>
      <c r="L2" s="229" t="s">
        <v>4287</v>
      </c>
      <c r="M2" s="229" t="s">
        <v>4287</v>
      </c>
      <c r="O2" s="230"/>
      <c r="T2" s="230"/>
      <c r="U2" s="230" t="str">
        <f>IF(ISNUMBER(MATCH(B2, 'Sprint 18'!B:B, 0)), "มาจาก Sprint 18", "")</f>
        <v/>
      </c>
      <c r="V2" s="230" t="str">
        <f t="array" ref="V2">IF(ISNUMBER(MATCH(B2, 'Sprint 18'!B:B, 0)), INDEX('Sprint 18'!J:J, MATCH(B2, 'Sprint 18'!B:B, 0)), "")</f>
        <v/>
      </c>
      <c r="W2" s="230"/>
      <c r="X2" s="102" t="s">
        <v>2269</v>
      </c>
      <c r="Y2" s="102" t="s">
        <v>2270</v>
      </c>
    </row>
    <row r="3">
      <c r="A3" s="102" t="s">
        <v>276</v>
      </c>
      <c r="B3" s="102" t="s">
        <v>4288</v>
      </c>
      <c r="C3" s="229" t="s">
        <v>4289</v>
      </c>
      <c r="D3" s="102" t="s">
        <v>4286</v>
      </c>
      <c r="E3" s="102" t="s">
        <v>391</v>
      </c>
      <c r="F3" s="102" t="s">
        <v>392</v>
      </c>
      <c r="G3" s="102" t="s">
        <v>391</v>
      </c>
      <c r="H3" s="102" t="s">
        <v>392</v>
      </c>
      <c r="I3" s="102" t="s">
        <v>284</v>
      </c>
      <c r="J3" s="102" t="s">
        <v>34</v>
      </c>
      <c r="L3" s="229" t="s">
        <v>4287</v>
      </c>
      <c r="M3" s="229" t="s">
        <v>4287</v>
      </c>
      <c r="O3" s="230"/>
      <c r="T3" s="230"/>
      <c r="U3" s="230" t="str">
        <f>IF(ISNUMBER(MATCH(B3, 'Sprint 18'!B:B, 0)), "มาจาก Sprint 18", "")</f>
        <v/>
      </c>
      <c r="V3" s="230" t="str">
        <f t="array" ref="V3">IF(ISNUMBER(MATCH(B3, 'Sprint 18'!B:B, 0)), INDEX('Sprint 18'!J:J, MATCH(B3, 'Sprint 18'!B:B, 0)), "")</f>
        <v/>
      </c>
      <c r="W3" s="230"/>
      <c r="X3" s="102" t="s">
        <v>2269</v>
      </c>
      <c r="Y3" s="102" t="s">
        <v>2270</v>
      </c>
    </row>
    <row r="4">
      <c r="A4" s="102" t="s">
        <v>276</v>
      </c>
      <c r="B4" s="102" t="s">
        <v>4290</v>
      </c>
      <c r="C4" s="229" t="s">
        <v>4291</v>
      </c>
      <c r="D4" s="102" t="s">
        <v>4286</v>
      </c>
      <c r="E4" s="102" t="s">
        <v>391</v>
      </c>
      <c r="F4" s="102" t="s">
        <v>392</v>
      </c>
      <c r="G4" s="102" t="s">
        <v>391</v>
      </c>
      <c r="H4" s="102" t="s">
        <v>392</v>
      </c>
      <c r="I4" s="102" t="s">
        <v>284</v>
      </c>
      <c r="J4" s="102" t="s">
        <v>34</v>
      </c>
      <c r="L4" s="229" t="s">
        <v>4292</v>
      </c>
      <c r="M4" s="229" t="s">
        <v>4292</v>
      </c>
      <c r="O4" s="230"/>
      <c r="T4" s="230"/>
      <c r="U4" s="230" t="str">
        <f>IF(ISNUMBER(MATCH(B4, 'Sprint 18'!B:B, 0)), "มาจาก Sprint 18", "")</f>
        <v/>
      </c>
      <c r="V4" s="230" t="str">
        <f t="array" ref="V4">IF(ISNUMBER(MATCH(B4, 'Sprint 18'!B:B, 0)), INDEX('Sprint 18'!J:J, MATCH(B4, 'Sprint 18'!B:B, 0)), "")</f>
        <v/>
      </c>
      <c r="W4" s="230"/>
      <c r="X4" s="102" t="s">
        <v>2269</v>
      </c>
      <c r="Y4" s="102" t="s">
        <v>2270</v>
      </c>
    </row>
    <row r="5">
      <c r="A5" s="102" t="s">
        <v>276</v>
      </c>
      <c r="B5" s="102" t="s">
        <v>4293</v>
      </c>
      <c r="C5" s="229" t="s">
        <v>4294</v>
      </c>
      <c r="D5" s="102" t="s">
        <v>4286</v>
      </c>
      <c r="E5" s="102" t="s">
        <v>391</v>
      </c>
      <c r="F5" s="102" t="s">
        <v>392</v>
      </c>
      <c r="G5" s="102" t="s">
        <v>391</v>
      </c>
      <c r="H5" s="102" t="s">
        <v>392</v>
      </c>
      <c r="I5" s="102" t="s">
        <v>284</v>
      </c>
      <c r="J5" s="102" t="s">
        <v>34</v>
      </c>
      <c r="L5" s="229" t="s">
        <v>4292</v>
      </c>
      <c r="M5" s="229" t="s">
        <v>4292</v>
      </c>
      <c r="O5" s="230"/>
      <c r="T5" s="230"/>
      <c r="U5" s="230" t="str">
        <f>IF(ISNUMBER(MATCH(B5, 'Sprint 18'!B:B, 0)), "มาจาก Sprint 18", "")</f>
        <v/>
      </c>
      <c r="V5" s="230" t="str">
        <f t="array" ref="V5">IF(ISNUMBER(MATCH(B5, 'Sprint 18'!B:B, 0)), INDEX('Sprint 18'!J:J, MATCH(B5, 'Sprint 18'!B:B, 0)), "")</f>
        <v/>
      </c>
      <c r="W5" s="230"/>
      <c r="X5" s="102" t="s">
        <v>2269</v>
      </c>
      <c r="Y5" s="102" t="s">
        <v>2270</v>
      </c>
    </row>
    <row r="6">
      <c r="A6" s="102" t="s">
        <v>276</v>
      </c>
      <c r="B6" s="102" t="s">
        <v>4295</v>
      </c>
      <c r="C6" s="229" t="s">
        <v>4296</v>
      </c>
      <c r="D6" s="102" t="s">
        <v>4286</v>
      </c>
      <c r="E6" s="102" t="s">
        <v>391</v>
      </c>
      <c r="F6" s="102" t="s">
        <v>392</v>
      </c>
      <c r="G6" s="102" t="s">
        <v>391</v>
      </c>
      <c r="H6" s="102" t="s">
        <v>392</v>
      </c>
      <c r="I6" s="102" t="s">
        <v>284</v>
      </c>
      <c r="J6" s="102" t="s">
        <v>34</v>
      </c>
      <c r="L6" s="229" t="s">
        <v>4292</v>
      </c>
      <c r="M6" s="229" t="s">
        <v>4292</v>
      </c>
      <c r="O6" s="230"/>
      <c r="T6" s="230"/>
      <c r="U6" s="230" t="str">
        <f>IF(ISNUMBER(MATCH(B6, 'Sprint 18'!B:B, 0)), "มาจาก Sprint 18", "")</f>
        <v/>
      </c>
      <c r="V6" s="230" t="str">
        <f t="array" ref="V6">IF(ISNUMBER(MATCH(B6, 'Sprint 18'!B:B, 0)), INDEX('Sprint 18'!J:J, MATCH(B6, 'Sprint 18'!B:B, 0)), "")</f>
        <v/>
      </c>
      <c r="W6" s="230"/>
      <c r="X6" s="102" t="s">
        <v>2269</v>
      </c>
      <c r="Y6" s="102" t="s">
        <v>2270</v>
      </c>
    </row>
    <row r="7">
      <c r="A7" s="102" t="s">
        <v>332</v>
      </c>
      <c r="B7" s="102" t="s">
        <v>4297</v>
      </c>
      <c r="C7" s="229" t="s">
        <v>4298</v>
      </c>
      <c r="D7" s="102" t="s">
        <v>4299</v>
      </c>
      <c r="E7" s="102" t="s">
        <v>328</v>
      </c>
      <c r="F7" s="102" t="s">
        <v>329</v>
      </c>
      <c r="G7" s="102" t="s">
        <v>521</v>
      </c>
      <c r="H7" s="102" t="s">
        <v>522</v>
      </c>
      <c r="I7" s="102" t="s">
        <v>648</v>
      </c>
      <c r="J7" s="102" t="s">
        <v>2231</v>
      </c>
      <c r="L7" s="229" t="s">
        <v>4300</v>
      </c>
      <c r="M7" s="229" t="s">
        <v>4301</v>
      </c>
      <c r="O7" s="230"/>
      <c r="T7" s="230"/>
      <c r="U7" s="230" t="str">
        <f>IF(ISNUMBER(MATCH(B7, 'Sprint 18'!B:B, 0)), "มาจาก Sprint 18", "")</f>
        <v/>
      </c>
      <c r="V7" s="230" t="str">
        <f t="array" ref="V7">IF(ISNUMBER(MATCH(B7, 'Sprint 18'!B:B, 0)), INDEX('Sprint 18'!J:J, MATCH(B7, 'Sprint 18'!B:B, 0)), "")</f>
        <v/>
      </c>
      <c r="W7" s="230"/>
      <c r="X7" s="102" t="s">
        <v>4249</v>
      </c>
    </row>
    <row r="8">
      <c r="A8" s="102" t="s">
        <v>1465</v>
      </c>
      <c r="B8" s="102" t="s">
        <v>4302</v>
      </c>
      <c r="C8" s="229" t="s">
        <v>4303</v>
      </c>
      <c r="D8" s="102" t="s">
        <v>4304</v>
      </c>
      <c r="G8" s="102" t="s">
        <v>521</v>
      </c>
      <c r="H8" s="102" t="s">
        <v>522</v>
      </c>
      <c r="I8" s="102" t="s">
        <v>284</v>
      </c>
      <c r="J8" s="102" t="s">
        <v>63</v>
      </c>
      <c r="L8" s="229" t="s">
        <v>4305</v>
      </c>
      <c r="M8" s="229" t="s">
        <v>4305</v>
      </c>
      <c r="O8" s="230"/>
      <c r="T8" s="230"/>
      <c r="U8" s="230" t="str">
        <f>IF(ISNUMBER(MATCH(B8, 'Sprint 18'!B:B, 0)), "มาจาก Sprint 18", "")</f>
        <v/>
      </c>
      <c r="V8" s="230" t="str">
        <f t="array" ref="V8">IF(ISNUMBER(MATCH(B8, 'Sprint 18'!B:B, 0)), INDEX('Sprint 18'!J:J, MATCH(B8, 'Sprint 18'!B:B, 0)), "")</f>
        <v/>
      </c>
      <c r="W8" s="230"/>
      <c r="X8" s="102" t="s">
        <v>4249</v>
      </c>
    </row>
    <row r="9">
      <c r="A9" s="102" t="s">
        <v>4306</v>
      </c>
      <c r="B9" s="102" t="s">
        <v>4307</v>
      </c>
      <c r="C9" s="229" t="s">
        <v>4308</v>
      </c>
      <c r="D9" s="102" t="s">
        <v>4309</v>
      </c>
      <c r="G9" s="102" t="s">
        <v>521</v>
      </c>
      <c r="H9" s="102" t="s">
        <v>522</v>
      </c>
      <c r="I9" s="102" t="s">
        <v>284</v>
      </c>
      <c r="J9" s="102" t="s">
        <v>63</v>
      </c>
      <c r="L9" s="229" t="s">
        <v>4310</v>
      </c>
      <c r="M9" s="229" t="s">
        <v>4311</v>
      </c>
      <c r="O9" s="230"/>
      <c r="T9" s="230"/>
      <c r="U9" s="230" t="str">
        <f>IF(ISNUMBER(MATCH(B9, 'Sprint 18'!B:B, 0)), "มาจาก Sprint 18", "")</f>
        <v/>
      </c>
      <c r="V9" s="230" t="str">
        <f t="array" ref="V9">IF(ISNUMBER(MATCH(B9, 'Sprint 18'!B:B, 0)), INDEX('Sprint 18'!J:J, MATCH(B9, 'Sprint 18'!B:B, 0)), "")</f>
        <v/>
      </c>
      <c r="W9" s="230"/>
      <c r="X9" s="102" t="s">
        <v>4249</v>
      </c>
    </row>
    <row r="10">
      <c r="A10" s="102" t="s">
        <v>310</v>
      </c>
      <c r="B10" s="102" t="s">
        <v>4312</v>
      </c>
      <c r="C10" s="229" t="s">
        <v>4313</v>
      </c>
      <c r="D10" s="102" t="s">
        <v>4314</v>
      </c>
      <c r="E10" s="102" t="s">
        <v>282</v>
      </c>
      <c r="F10" s="102" t="s">
        <v>283</v>
      </c>
      <c r="G10" s="102" t="s">
        <v>316</v>
      </c>
      <c r="H10" s="102" t="s">
        <v>317</v>
      </c>
      <c r="I10" s="102" t="s">
        <v>318</v>
      </c>
      <c r="J10" s="102" t="s">
        <v>26</v>
      </c>
      <c r="L10" s="229" t="s">
        <v>4315</v>
      </c>
      <c r="M10" s="229" t="s">
        <v>4316</v>
      </c>
      <c r="N10" s="229" t="s">
        <v>3569</v>
      </c>
      <c r="O10" s="230"/>
      <c r="P10" s="102" t="s">
        <v>433</v>
      </c>
      <c r="T10" s="102">
        <v>1800.0</v>
      </c>
      <c r="U10" s="230" t="str">
        <f>IF(ISNUMBER(MATCH(B10, 'Sprint 18'!B:B, 0)), "มาจาก Sprint 18", "")</f>
        <v/>
      </c>
      <c r="V10" s="230" t="str">
        <f t="array" ref="V10">IF(ISNUMBER(MATCH(B10, 'Sprint 18'!B:B, 0)), INDEX('Sprint 18'!J:J, MATCH(B10, 'Sprint 18'!B:B, 0)), "")</f>
        <v/>
      </c>
      <c r="W10" s="102"/>
      <c r="X10" s="102" t="s">
        <v>4005</v>
      </c>
    </row>
    <row r="11">
      <c r="A11" s="102" t="s">
        <v>310</v>
      </c>
      <c r="B11" s="102" t="s">
        <v>3816</v>
      </c>
      <c r="C11" s="229" t="s">
        <v>3817</v>
      </c>
      <c r="D11" s="102" t="s">
        <v>3818</v>
      </c>
      <c r="E11" s="102" t="s">
        <v>495</v>
      </c>
      <c r="F11" s="102" t="s">
        <v>496</v>
      </c>
      <c r="G11" s="102" t="s">
        <v>353</v>
      </c>
      <c r="H11" s="102" t="s">
        <v>354</v>
      </c>
      <c r="I11" s="102" t="s">
        <v>284</v>
      </c>
      <c r="J11" s="102" t="s">
        <v>355</v>
      </c>
      <c r="L11" s="229" t="s">
        <v>3819</v>
      </c>
      <c r="M11" s="229" t="s">
        <v>4317</v>
      </c>
      <c r="O11" s="102">
        <v>3.0</v>
      </c>
      <c r="T11" s="230"/>
      <c r="U11" s="230" t="str">
        <f>IF(ISNUMBER(MATCH(B11, 'Sprint 18'!B:B, 0)), "มาจาก Sprint 18", "")</f>
        <v/>
      </c>
      <c r="V11" s="230" t="str">
        <f t="array" ref="V11">IF(ISNUMBER(MATCH(B11, 'Sprint 18'!B:B, 0)), INDEX('Sprint 18'!J:J, MATCH(B11, 'Sprint 18'!B:B, 0)), "")</f>
        <v/>
      </c>
      <c r="W11" s="230"/>
      <c r="X11" s="102" t="s">
        <v>2270</v>
      </c>
    </row>
    <row r="12">
      <c r="A12" s="102" t="s">
        <v>310</v>
      </c>
      <c r="B12" s="102" t="s">
        <v>3820</v>
      </c>
      <c r="C12" s="229" t="s">
        <v>3821</v>
      </c>
      <c r="D12" s="102" t="s">
        <v>3822</v>
      </c>
      <c r="E12" s="102" t="s">
        <v>584</v>
      </c>
      <c r="F12" s="102" t="s">
        <v>585</v>
      </c>
      <c r="G12" s="102" t="s">
        <v>353</v>
      </c>
      <c r="H12" s="102" t="s">
        <v>354</v>
      </c>
      <c r="I12" s="102" t="s">
        <v>284</v>
      </c>
      <c r="J12" s="102" t="s">
        <v>34</v>
      </c>
      <c r="L12" s="229" t="s">
        <v>3823</v>
      </c>
      <c r="M12" s="229" t="s">
        <v>4318</v>
      </c>
      <c r="N12" s="229" t="s">
        <v>1257</v>
      </c>
      <c r="O12" s="102">
        <v>8.0</v>
      </c>
      <c r="T12" s="230"/>
      <c r="U12" s="230" t="str">
        <f>IF(ISNUMBER(MATCH(B12, 'Sprint 18'!B:B, 0)), "มาจาก Sprint 18", "")</f>
        <v/>
      </c>
      <c r="V12" s="230" t="str">
        <f t="array" ref="V12">IF(ISNUMBER(MATCH(B12, 'Sprint 18'!B:B, 0)), INDEX('Sprint 18'!J:J, MATCH(B12, 'Sprint 18'!B:B, 0)), "")</f>
        <v/>
      </c>
      <c r="W12" s="230"/>
      <c r="X12" s="102" t="s">
        <v>2270</v>
      </c>
    </row>
    <row r="13">
      <c r="A13" s="102" t="s">
        <v>276</v>
      </c>
      <c r="B13" s="102" t="s">
        <v>3824</v>
      </c>
      <c r="C13" s="229" t="s">
        <v>3825</v>
      </c>
      <c r="D13" s="102" t="s">
        <v>3826</v>
      </c>
      <c r="G13" s="102" t="s">
        <v>353</v>
      </c>
      <c r="H13" s="102" t="s">
        <v>354</v>
      </c>
      <c r="I13" s="102" t="s">
        <v>284</v>
      </c>
      <c r="J13" s="102" t="s">
        <v>34</v>
      </c>
      <c r="L13" s="229" t="s">
        <v>3827</v>
      </c>
      <c r="M13" s="229" t="s">
        <v>3827</v>
      </c>
      <c r="O13" s="230"/>
      <c r="T13" s="230"/>
      <c r="U13" s="230" t="str">
        <f>IF(ISNUMBER(MATCH(B13, 'Sprint 18'!B:B, 0)), "มาจาก Sprint 18", "")</f>
        <v/>
      </c>
      <c r="V13" s="230" t="str">
        <f t="array" ref="V13">IF(ISNUMBER(MATCH(B13, 'Sprint 18'!B:B, 0)), INDEX('Sprint 18'!J:J, MATCH(B13, 'Sprint 18'!B:B, 0)), "")</f>
        <v/>
      </c>
      <c r="W13" s="230"/>
      <c r="X13" s="102" t="s">
        <v>2270</v>
      </c>
    </row>
    <row r="14">
      <c r="A14" s="102" t="s">
        <v>276</v>
      </c>
      <c r="B14" s="102" t="s">
        <v>3828</v>
      </c>
      <c r="C14" s="229" t="s">
        <v>3829</v>
      </c>
      <c r="D14" s="102" t="s">
        <v>3830</v>
      </c>
      <c r="E14" s="102" t="s">
        <v>353</v>
      </c>
      <c r="F14" s="102" t="s">
        <v>354</v>
      </c>
      <c r="G14" s="102" t="s">
        <v>353</v>
      </c>
      <c r="H14" s="102" t="s">
        <v>354</v>
      </c>
      <c r="I14" s="102" t="s">
        <v>284</v>
      </c>
      <c r="J14" s="102" t="s">
        <v>34</v>
      </c>
      <c r="L14" s="229" t="s">
        <v>3831</v>
      </c>
      <c r="M14" s="229" t="s">
        <v>3827</v>
      </c>
      <c r="O14" s="230"/>
      <c r="T14" s="230"/>
      <c r="U14" s="230" t="str">
        <f>IF(ISNUMBER(MATCH(B14, 'Sprint 18'!B:B, 0)), "มาจาก Sprint 18", "")</f>
        <v/>
      </c>
      <c r="V14" s="230" t="str">
        <f t="array" ref="V14">IF(ISNUMBER(MATCH(B14, 'Sprint 18'!B:B, 0)), INDEX('Sprint 18'!J:J, MATCH(B14, 'Sprint 18'!B:B, 0)), "")</f>
        <v/>
      </c>
      <c r="W14" s="230"/>
      <c r="X14" s="102" t="s">
        <v>2270</v>
      </c>
    </row>
    <row r="15">
      <c r="A15" s="102" t="s">
        <v>276</v>
      </c>
      <c r="B15" s="102" t="s">
        <v>3833</v>
      </c>
      <c r="C15" s="229" t="s">
        <v>3834</v>
      </c>
      <c r="D15" s="102" t="s">
        <v>3835</v>
      </c>
      <c r="E15" s="102" t="s">
        <v>353</v>
      </c>
      <c r="F15" s="102" t="s">
        <v>354</v>
      </c>
      <c r="G15" s="102" t="s">
        <v>353</v>
      </c>
      <c r="H15" s="102" t="s">
        <v>354</v>
      </c>
      <c r="I15" s="102" t="s">
        <v>284</v>
      </c>
      <c r="J15" s="102" t="s">
        <v>26</v>
      </c>
      <c r="L15" s="229" t="s">
        <v>3831</v>
      </c>
      <c r="M15" s="229" t="s">
        <v>3827</v>
      </c>
      <c r="O15" s="230"/>
      <c r="T15" s="230"/>
      <c r="U15" s="230" t="str">
        <f>IF(ISNUMBER(MATCH(B15, 'Sprint 18'!B:B, 0)), "มาจาก Sprint 18", "")</f>
        <v/>
      </c>
      <c r="V15" s="230" t="str">
        <f t="array" ref="V15">IF(ISNUMBER(MATCH(B15, 'Sprint 18'!B:B, 0)), INDEX('Sprint 18'!J:J, MATCH(B15, 'Sprint 18'!B:B, 0)), "")</f>
        <v/>
      </c>
      <c r="W15" s="230"/>
      <c r="X15" s="102" t="s">
        <v>2270</v>
      </c>
    </row>
    <row r="16">
      <c r="A16" s="102" t="s">
        <v>276</v>
      </c>
      <c r="B16" s="102" t="s">
        <v>3849</v>
      </c>
      <c r="C16" s="229" t="s">
        <v>3850</v>
      </c>
      <c r="D16" s="102" t="s">
        <v>279</v>
      </c>
      <c r="E16" s="102" t="s">
        <v>280</v>
      </c>
      <c r="F16" s="102" t="s">
        <v>281</v>
      </c>
      <c r="G16" s="102" t="s">
        <v>1987</v>
      </c>
      <c r="H16" s="102" t="s">
        <v>1988</v>
      </c>
      <c r="I16" s="102" t="s">
        <v>284</v>
      </c>
      <c r="J16" s="102" t="s">
        <v>63</v>
      </c>
      <c r="L16" s="229" t="s">
        <v>3851</v>
      </c>
      <c r="M16" s="229" t="s">
        <v>4319</v>
      </c>
      <c r="O16" s="230"/>
      <c r="T16" s="230"/>
      <c r="U16" s="230" t="str">
        <f>IF(ISNUMBER(MATCH(B16, 'Sprint 18'!B:B, 0)), "มาจาก Sprint 18", "")</f>
        <v/>
      </c>
      <c r="V16" s="230" t="str">
        <f t="array" ref="V16">IF(ISNUMBER(MATCH(B16, 'Sprint 18'!B:B, 0)), INDEX('Sprint 18'!J:J, MATCH(B16, 'Sprint 18'!B:B, 0)), "")</f>
        <v/>
      </c>
      <c r="W16" s="230"/>
      <c r="X16" s="102" t="s">
        <v>1992</v>
      </c>
    </row>
    <row r="17">
      <c r="A17" s="102" t="s">
        <v>276</v>
      </c>
      <c r="B17" s="102" t="s">
        <v>3853</v>
      </c>
      <c r="C17" s="229" t="s">
        <v>3854</v>
      </c>
      <c r="D17" s="102" t="s">
        <v>291</v>
      </c>
      <c r="E17" s="102" t="s">
        <v>280</v>
      </c>
      <c r="F17" s="102" t="s">
        <v>281</v>
      </c>
      <c r="G17" s="102" t="s">
        <v>1987</v>
      </c>
      <c r="H17" s="102" t="s">
        <v>1988</v>
      </c>
      <c r="I17" s="102" t="s">
        <v>284</v>
      </c>
      <c r="J17" s="102" t="s">
        <v>355</v>
      </c>
      <c r="L17" s="229" t="s">
        <v>3851</v>
      </c>
      <c r="M17" s="229" t="s">
        <v>4320</v>
      </c>
      <c r="O17" s="230"/>
      <c r="T17" s="230"/>
      <c r="U17" s="230" t="str">
        <f>IF(ISNUMBER(MATCH(B17, 'Sprint 18'!B:B, 0)), "มาจาก Sprint 18", "")</f>
        <v/>
      </c>
      <c r="V17" s="230" t="str">
        <f t="array" ref="V17">IF(ISNUMBER(MATCH(B17, 'Sprint 18'!B:B, 0)), INDEX('Sprint 18'!J:J, MATCH(B17, 'Sprint 18'!B:B, 0)), "")</f>
        <v/>
      </c>
      <c r="W17" s="230"/>
      <c r="X17" s="102" t="s">
        <v>1992</v>
      </c>
    </row>
    <row r="18">
      <c r="A18" s="102" t="s">
        <v>310</v>
      </c>
      <c r="B18" s="102" t="s">
        <v>3855</v>
      </c>
      <c r="C18" s="229" t="s">
        <v>3856</v>
      </c>
      <c r="D18" s="102" t="s">
        <v>3857</v>
      </c>
      <c r="E18" s="102" t="s">
        <v>495</v>
      </c>
      <c r="F18" s="102" t="s">
        <v>496</v>
      </c>
      <c r="G18" s="102" t="s">
        <v>282</v>
      </c>
      <c r="H18" s="102" t="s">
        <v>283</v>
      </c>
      <c r="I18" s="102" t="s">
        <v>284</v>
      </c>
      <c r="J18" s="102" t="s">
        <v>678</v>
      </c>
      <c r="L18" s="229" t="s">
        <v>3858</v>
      </c>
      <c r="M18" s="229" t="s">
        <v>4321</v>
      </c>
      <c r="O18" s="230"/>
      <c r="T18" s="230"/>
      <c r="U18" s="230" t="str">
        <f>IF(ISNUMBER(MATCH(B18, 'Sprint 18'!B:B, 0)), "มาจาก Sprint 18", "")</f>
        <v/>
      </c>
      <c r="V18" s="230" t="str">
        <f t="array" ref="V18">IF(ISNUMBER(MATCH(B18, 'Sprint 18'!B:B, 0)), INDEX('Sprint 18'!J:J, MATCH(B18, 'Sprint 18'!B:B, 0)), "")</f>
        <v/>
      </c>
      <c r="W18" s="230"/>
      <c r="X18" s="102" t="s">
        <v>1992</v>
      </c>
    </row>
    <row r="19">
      <c r="A19" s="102" t="s">
        <v>310</v>
      </c>
      <c r="B19" s="102" t="s">
        <v>4322</v>
      </c>
      <c r="C19" s="229" t="s">
        <v>4323</v>
      </c>
      <c r="D19" s="102" t="s">
        <v>4324</v>
      </c>
      <c r="E19" s="102" t="s">
        <v>282</v>
      </c>
      <c r="F19" s="102" t="s">
        <v>283</v>
      </c>
      <c r="G19" s="102" t="s">
        <v>316</v>
      </c>
      <c r="H19" s="102" t="s">
        <v>317</v>
      </c>
      <c r="I19" s="102" t="s">
        <v>515</v>
      </c>
      <c r="J19" s="102" t="s">
        <v>26</v>
      </c>
      <c r="L19" s="229" t="s">
        <v>4325</v>
      </c>
      <c r="M19" s="229" t="s">
        <v>4326</v>
      </c>
      <c r="N19" s="229" t="s">
        <v>4099</v>
      </c>
      <c r="O19" s="230"/>
      <c r="P19" s="102" t="s">
        <v>366</v>
      </c>
      <c r="Q19" s="102" t="s">
        <v>368</v>
      </c>
      <c r="T19" s="102">
        <v>1800.0</v>
      </c>
      <c r="U19" s="230" t="str">
        <f>IF(ISNUMBER(MATCH(B19, 'Sprint 18'!B:B, 0)), "มาจาก Sprint 18", "")</f>
        <v/>
      </c>
      <c r="V19" s="230" t="str">
        <f t="array" ref="V19">IF(ISNUMBER(MATCH(B19, 'Sprint 18'!B:B, 0)), INDEX('Sprint 18'!J:J, MATCH(B19, 'Sprint 18'!B:B, 0)), "")</f>
        <v/>
      </c>
      <c r="W19" s="102"/>
      <c r="X19" s="102" t="s">
        <v>4005</v>
      </c>
    </row>
    <row r="20">
      <c r="A20" s="102" t="s">
        <v>310</v>
      </c>
      <c r="B20" s="102" t="s">
        <v>4327</v>
      </c>
      <c r="C20" s="229" t="s">
        <v>4328</v>
      </c>
      <c r="D20" s="102" t="s">
        <v>4329</v>
      </c>
      <c r="E20" s="102" t="s">
        <v>314</v>
      </c>
      <c r="F20" s="102" t="s">
        <v>315</v>
      </c>
      <c r="G20" s="102" t="s">
        <v>316</v>
      </c>
      <c r="H20" s="102" t="s">
        <v>317</v>
      </c>
      <c r="I20" s="102" t="s">
        <v>284</v>
      </c>
      <c r="J20" s="102" t="s">
        <v>26</v>
      </c>
      <c r="L20" s="229" t="s">
        <v>4330</v>
      </c>
      <c r="M20" s="229" t="s">
        <v>4331</v>
      </c>
      <c r="O20" s="102">
        <v>2.0</v>
      </c>
      <c r="P20" s="102" t="s">
        <v>433</v>
      </c>
      <c r="Q20" s="102" t="s">
        <v>4332</v>
      </c>
      <c r="R20" s="102" t="s">
        <v>4333</v>
      </c>
      <c r="T20" s="102">
        <v>14400.0</v>
      </c>
      <c r="U20" s="230" t="str">
        <f>IF(ISNUMBER(MATCH(B20, 'Sprint 18'!B:B, 0)), "มาจาก Sprint 18", "")</f>
        <v/>
      </c>
      <c r="V20" s="230" t="str">
        <f t="array" ref="V20">IF(ISNUMBER(MATCH(B20, 'Sprint 18'!B:B, 0)), INDEX('Sprint 18'!J:J, MATCH(B20, 'Sprint 18'!B:B, 0)), "")</f>
        <v/>
      </c>
      <c r="W20" s="102"/>
      <c r="X20" s="102" t="s">
        <v>4005</v>
      </c>
    </row>
    <row r="21">
      <c r="A21" s="102" t="s">
        <v>310</v>
      </c>
      <c r="B21" s="102" t="s">
        <v>4334</v>
      </c>
      <c r="C21" s="229" t="s">
        <v>4335</v>
      </c>
      <c r="D21" s="102" t="s">
        <v>4336</v>
      </c>
      <c r="E21" s="102" t="s">
        <v>314</v>
      </c>
      <c r="F21" s="102" t="s">
        <v>315</v>
      </c>
      <c r="G21" s="102" t="s">
        <v>314</v>
      </c>
      <c r="H21" s="102" t="s">
        <v>315</v>
      </c>
      <c r="I21" s="102" t="s">
        <v>284</v>
      </c>
      <c r="J21" s="102" t="s">
        <v>34</v>
      </c>
      <c r="L21" s="229" t="s">
        <v>4337</v>
      </c>
      <c r="M21" s="229" t="s">
        <v>4338</v>
      </c>
      <c r="O21" s="102">
        <v>1.0</v>
      </c>
      <c r="T21" s="230"/>
      <c r="U21" s="230" t="str">
        <f>IF(ISNUMBER(MATCH(B21, 'Sprint 18'!B:B, 0)), "มาจาก Sprint 18", "")</f>
        <v/>
      </c>
      <c r="V21" s="230" t="str">
        <f t="array" ref="V21">IF(ISNUMBER(MATCH(B21, 'Sprint 18'!B:B, 0)), INDEX('Sprint 18'!J:J, MATCH(B21, 'Sprint 18'!B:B, 0)), "")</f>
        <v/>
      </c>
      <c r="W21" s="230"/>
      <c r="X21" s="102" t="s">
        <v>4005</v>
      </c>
    </row>
    <row r="22">
      <c r="A22" s="102" t="s">
        <v>310</v>
      </c>
      <c r="B22" s="102" t="s">
        <v>4339</v>
      </c>
      <c r="C22" s="229" t="s">
        <v>4340</v>
      </c>
      <c r="D22" s="102" t="s">
        <v>4341</v>
      </c>
      <c r="E22" s="102" t="s">
        <v>314</v>
      </c>
      <c r="F22" s="102" t="s">
        <v>315</v>
      </c>
      <c r="G22" s="102" t="s">
        <v>314</v>
      </c>
      <c r="H22" s="102" t="s">
        <v>315</v>
      </c>
      <c r="I22" s="102" t="s">
        <v>284</v>
      </c>
      <c r="J22" s="102" t="s">
        <v>26</v>
      </c>
      <c r="L22" s="229" t="s">
        <v>4342</v>
      </c>
      <c r="M22" s="229" t="s">
        <v>4331</v>
      </c>
      <c r="O22" s="102">
        <v>1.0</v>
      </c>
      <c r="T22" s="102">
        <v>3600.0</v>
      </c>
      <c r="U22" s="230" t="str">
        <f>IF(ISNUMBER(MATCH(B22, 'Sprint 18'!B:B, 0)), "มาจาก Sprint 18", "")</f>
        <v/>
      </c>
      <c r="V22" s="230" t="str">
        <f t="array" ref="V22">IF(ISNUMBER(MATCH(B22, 'Sprint 18'!B:B, 0)), INDEX('Sprint 18'!J:J, MATCH(B22, 'Sprint 18'!B:B, 0)), "")</f>
        <v/>
      </c>
      <c r="W22" s="102"/>
      <c r="X22" s="102" t="s">
        <v>2270</v>
      </c>
    </row>
    <row r="23">
      <c r="A23" s="102" t="s">
        <v>276</v>
      </c>
      <c r="B23" s="102" t="s">
        <v>4343</v>
      </c>
      <c r="C23" s="229" t="s">
        <v>4344</v>
      </c>
      <c r="D23" s="102" t="s">
        <v>4345</v>
      </c>
      <c r="E23" s="102" t="s">
        <v>391</v>
      </c>
      <c r="F23" s="102" t="s">
        <v>392</v>
      </c>
      <c r="G23" s="102" t="s">
        <v>391</v>
      </c>
      <c r="H23" s="102" t="s">
        <v>392</v>
      </c>
      <c r="I23" s="102" t="s">
        <v>284</v>
      </c>
      <c r="J23" s="102" t="s">
        <v>26</v>
      </c>
      <c r="L23" s="229" t="s">
        <v>4346</v>
      </c>
      <c r="M23" s="229" t="s">
        <v>4347</v>
      </c>
      <c r="O23" s="230"/>
      <c r="T23" s="230"/>
      <c r="U23" s="230" t="str">
        <f>IF(ISNUMBER(MATCH(B23, 'Sprint 18'!B:B, 0)), "มาจาก Sprint 18", "")</f>
        <v/>
      </c>
      <c r="V23" s="230" t="str">
        <f t="array" ref="V23">IF(ISNUMBER(MATCH(B23, 'Sprint 18'!B:B, 0)), INDEX('Sprint 18'!J:J, MATCH(B23, 'Sprint 18'!B:B, 0)), "")</f>
        <v/>
      </c>
      <c r="W23" s="230"/>
      <c r="X23" s="102" t="s">
        <v>2269</v>
      </c>
      <c r="Y23" s="102" t="s">
        <v>2270</v>
      </c>
    </row>
    <row r="24">
      <c r="A24" s="102" t="s">
        <v>310</v>
      </c>
      <c r="B24" s="102" t="s">
        <v>4348</v>
      </c>
      <c r="C24" s="229" t="s">
        <v>4349</v>
      </c>
      <c r="D24" s="102" t="s">
        <v>4350</v>
      </c>
      <c r="E24" s="102" t="s">
        <v>314</v>
      </c>
      <c r="F24" s="102" t="s">
        <v>315</v>
      </c>
      <c r="G24" s="102" t="s">
        <v>316</v>
      </c>
      <c r="H24" s="102" t="s">
        <v>317</v>
      </c>
      <c r="I24" s="102" t="s">
        <v>515</v>
      </c>
      <c r="J24" s="102" t="s">
        <v>26</v>
      </c>
      <c r="L24" s="229" t="s">
        <v>4351</v>
      </c>
      <c r="M24" s="229" t="s">
        <v>4331</v>
      </c>
      <c r="N24" s="229" t="s">
        <v>3574</v>
      </c>
      <c r="O24" s="102">
        <v>1.0</v>
      </c>
      <c r="P24" s="102" t="s">
        <v>368</v>
      </c>
      <c r="T24" s="102">
        <v>1800.0</v>
      </c>
      <c r="U24" s="230" t="str">
        <f>IF(ISNUMBER(MATCH(B24, 'Sprint 18'!B:B, 0)), "มาจาก Sprint 18", "")</f>
        <v/>
      </c>
      <c r="V24" s="230" t="str">
        <f t="array" ref="V24">IF(ISNUMBER(MATCH(B24, 'Sprint 18'!B:B, 0)), INDEX('Sprint 18'!J:J, MATCH(B24, 'Sprint 18'!B:B, 0)), "")</f>
        <v/>
      </c>
      <c r="W24" s="102"/>
      <c r="X24" s="102" t="s">
        <v>4005</v>
      </c>
    </row>
    <row r="25">
      <c r="A25" s="102" t="s">
        <v>276</v>
      </c>
      <c r="B25" s="102" t="s">
        <v>3859</v>
      </c>
      <c r="C25" s="229" t="s">
        <v>3860</v>
      </c>
      <c r="D25" s="102" t="s">
        <v>279</v>
      </c>
      <c r="E25" s="102" t="s">
        <v>280</v>
      </c>
      <c r="F25" s="102" t="s">
        <v>281</v>
      </c>
      <c r="G25" s="102" t="s">
        <v>1987</v>
      </c>
      <c r="H25" s="102" t="s">
        <v>1988</v>
      </c>
      <c r="I25" s="102" t="s">
        <v>284</v>
      </c>
      <c r="J25" s="102" t="s">
        <v>63</v>
      </c>
      <c r="L25" s="229" t="s">
        <v>1989</v>
      </c>
      <c r="M25" s="229" t="s">
        <v>4352</v>
      </c>
      <c r="O25" s="230"/>
      <c r="T25" s="230"/>
      <c r="U25" s="230" t="str">
        <f>IF(ISNUMBER(MATCH(B25, 'Sprint 18'!B:B, 0)), "มาจาก Sprint 18", "")</f>
        <v/>
      </c>
      <c r="V25" s="230" t="str">
        <f t="array" ref="V25">IF(ISNUMBER(MATCH(B25, 'Sprint 18'!B:B, 0)), INDEX('Sprint 18'!J:J, MATCH(B25, 'Sprint 18'!B:B, 0)), "")</f>
        <v/>
      </c>
      <c r="W25" s="230"/>
      <c r="X25" s="102" t="s">
        <v>1991</v>
      </c>
      <c r="Y25" s="102" t="s">
        <v>1992</v>
      </c>
    </row>
    <row r="26">
      <c r="A26" s="102" t="s">
        <v>276</v>
      </c>
      <c r="B26" s="102" t="s">
        <v>3862</v>
      </c>
      <c r="C26" s="229" t="s">
        <v>3863</v>
      </c>
      <c r="D26" s="102" t="s">
        <v>279</v>
      </c>
      <c r="E26" s="102" t="s">
        <v>280</v>
      </c>
      <c r="F26" s="102" t="s">
        <v>281</v>
      </c>
      <c r="G26" s="102" t="s">
        <v>1987</v>
      </c>
      <c r="H26" s="102" t="s">
        <v>1988</v>
      </c>
      <c r="I26" s="102" t="s">
        <v>284</v>
      </c>
      <c r="J26" s="102" t="s">
        <v>63</v>
      </c>
      <c r="L26" s="229" t="s">
        <v>1989</v>
      </c>
      <c r="M26" s="229" t="s">
        <v>4352</v>
      </c>
      <c r="O26" s="230"/>
      <c r="T26" s="230"/>
      <c r="U26" s="230" t="str">
        <f>IF(ISNUMBER(MATCH(B26, 'Sprint 18'!B:B, 0)), "มาจาก Sprint 18", "")</f>
        <v/>
      </c>
      <c r="V26" s="230" t="str">
        <f t="array" ref="V26">IF(ISNUMBER(MATCH(B26, 'Sprint 18'!B:B, 0)), INDEX('Sprint 18'!J:J, MATCH(B26, 'Sprint 18'!B:B, 0)), "")</f>
        <v/>
      </c>
      <c r="W26" s="230"/>
      <c r="X26" s="102" t="s">
        <v>1991</v>
      </c>
      <c r="Y26" s="102" t="s">
        <v>1992</v>
      </c>
    </row>
    <row r="27">
      <c r="A27" s="102" t="s">
        <v>276</v>
      </c>
      <c r="B27" s="102" t="s">
        <v>3865</v>
      </c>
      <c r="C27" s="229" t="s">
        <v>3866</v>
      </c>
      <c r="D27" s="102" t="s">
        <v>279</v>
      </c>
      <c r="E27" s="102" t="s">
        <v>280</v>
      </c>
      <c r="F27" s="102" t="s">
        <v>281</v>
      </c>
      <c r="G27" s="102" t="s">
        <v>1987</v>
      </c>
      <c r="H27" s="102" t="s">
        <v>1988</v>
      </c>
      <c r="I27" s="102" t="s">
        <v>284</v>
      </c>
      <c r="J27" s="102" t="s">
        <v>63</v>
      </c>
      <c r="L27" s="229" t="s">
        <v>1989</v>
      </c>
      <c r="M27" s="229" t="s">
        <v>4352</v>
      </c>
      <c r="O27" s="230"/>
      <c r="T27" s="230"/>
      <c r="U27" s="230" t="str">
        <f>IF(ISNUMBER(MATCH(B27, 'Sprint 18'!B:B, 0)), "มาจาก Sprint 18", "")</f>
        <v/>
      </c>
      <c r="V27" s="230" t="str">
        <f t="array" ref="V27">IF(ISNUMBER(MATCH(B27, 'Sprint 18'!B:B, 0)), INDEX('Sprint 18'!J:J, MATCH(B27, 'Sprint 18'!B:B, 0)), "")</f>
        <v/>
      </c>
      <c r="W27" s="230"/>
      <c r="X27" s="102" t="s">
        <v>1991</v>
      </c>
      <c r="Y27" s="102" t="s">
        <v>1992</v>
      </c>
    </row>
    <row r="28">
      <c r="A28" s="102" t="s">
        <v>276</v>
      </c>
      <c r="B28" s="102" t="s">
        <v>3868</v>
      </c>
      <c r="C28" s="229" t="s">
        <v>3869</v>
      </c>
      <c r="D28" s="102" t="s">
        <v>279</v>
      </c>
      <c r="E28" s="102" t="s">
        <v>280</v>
      </c>
      <c r="F28" s="102" t="s">
        <v>281</v>
      </c>
      <c r="G28" s="102" t="s">
        <v>1987</v>
      </c>
      <c r="H28" s="102" t="s">
        <v>1988</v>
      </c>
      <c r="I28" s="102" t="s">
        <v>284</v>
      </c>
      <c r="J28" s="102" t="s">
        <v>63</v>
      </c>
      <c r="L28" s="229" t="s">
        <v>1989</v>
      </c>
      <c r="M28" s="229" t="s">
        <v>4352</v>
      </c>
      <c r="O28" s="230"/>
      <c r="T28" s="230"/>
      <c r="U28" s="230" t="str">
        <f>IF(ISNUMBER(MATCH(B28, 'Sprint 18'!B:B, 0)), "มาจาก Sprint 18", "")</f>
        <v/>
      </c>
      <c r="V28" s="230" t="str">
        <f t="array" ref="V28">IF(ISNUMBER(MATCH(B28, 'Sprint 18'!B:B, 0)), INDEX('Sprint 18'!J:J, MATCH(B28, 'Sprint 18'!B:B, 0)), "")</f>
        <v/>
      </c>
      <c r="W28" s="230"/>
      <c r="X28" s="102" t="s">
        <v>1991</v>
      </c>
      <c r="Y28" s="102" t="s">
        <v>1992</v>
      </c>
    </row>
    <row r="29">
      <c r="A29" s="102" t="s">
        <v>276</v>
      </c>
      <c r="B29" s="102" t="s">
        <v>1985</v>
      </c>
      <c r="C29" s="229" t="s">
        <v>1986</v>
      </c>
      <c r="D29" s="102" t="s">
        <v>279</v>
      </c>
      <c r="E29" s="102" t="s">
        <v>280</v>
      </c>
      <c r="F29" s="102" t="s">
        <v>281</v>
      </c>
      <c r="G29" s="102" t="s">
        <v>1987</v>
      </c>
      <c r="H29" s="102" t="s">
        <v>1988</v>
      </c>
      <c r="I29" s="102" t="s">
        <v>284</v>
      </c>
      <c r="J29" s="102" t="s">
        <v>63</v>
      </c>
      <c r="L29" s="229" t="s">
        <v>1989</v>
      </c>
      <c r="M29" s="229" t="s">
        <v>4352</v>
      </c>
      <c r="O29" s="230"/>
      <c r="T29" s="230"/>
      <c r="U29" s="230" t="str">
        <f>IF(ISNUMBER(MATCH(B29, 'Sprint 18'!B:B, 0)), "มาจาก Sprint 18", "")</f>
        <v/>
      </c>
      <c r="V29" s="230" t="str">
        <f t="array" ref="V29">IF(ISNUMBER(MATCH(B29, 'Sprint 18'!B:B, 0)), INDEX('Sprint 18'!J:J, MATCH(B29, 'Sprint 18'!B:B, 0)), "")</f>
        <v/>
      </c>
      <c r="W29" s="230"/>
      <c r="X29" s="102" t="s">
        <v>1991</v>
      </c>
      <c r="Y29" s="102" t="s">
        <v>1992</v>
      </c>
    </row>
    <row r="30">
      <c r="A30" s="102" t="s">
        <v>276</v>
      </c>
      <c r="B30" s="102" t="s">
        <v>3871</v>
      </c>
      <c r="C30" s="229" t="s">
        <v>3872</v>
      </c>
      <c r="D30" s="102" t="s">
        <v>279</v>
      </c>
      <c r="E30" s="102" t="s">
        <v>280</v>
      </c>
      <c r="F30" s="102" t="s">
        <v>281</v>
      </c>
      <c r="G30" s="102" t="s">
        <v>1987</v>
      </c>
      <c r="H30" s="102" t="s">
        <v>1988</v>
      </c>
      <c r="I30" s="102" t="s">
        <v>284</v>
      </c>
      <c r="J30" s="102" t="s">
        <v>63</v>
      </c>
      <c r="L30" s="229" t="s">
        <v>1989</v>
      </c>
      <c r="M30" s="229" t="s">
        <v>2523</v>
      </c>
      <c r="O30" s="230"/>
      <c r="T30" s="230"/>
      <c r="U30" s="230" t="str">
        <f>IF(ISNUMBER(MATCH(B30, 'Sprint 18'!B:B, 0)), "มาจาก Sprint 18", "")</f>
        <v/>
      </c>
      <c r="V30" s="230" t="str">
        <f t="array" ref="V30">IF(ISNUMBER(MATCH(B30, 'Sprint 18'!B:B, 0)), INDEX('Sprint 18'!J:J, MATCH(B30, 'Sprint 18'!B:B, 0)), "")</f>
        <v/>
      </c>
      <c r="W30" s="230"/>
      <c r="X30" s="102" t="s">
        <v>1991</v>
      </c>
      <c r="Y30" s="102" t="s">
        <v>1992</v>
      </c>
    </row>
    <row r="31">
      <c r="A31" s="102" t="s">
        <v>276</v>
      </c>
      <c r="B31" s="102" t="s">
        <v>3874</v>
      </c>
      <c r="C31" s="229" t="s">
        <v>3875</v>
      </c>
      <c r="D31" s="102" t="s">
        <v>279</v>
      </c>
      <c r="E31" s="102" t="s">
        <v>280</v>
      </c>
      <c r="F31" s="102" t="s">
        <v>281</v>
      </c>
      <c r="G31" s="102" t="s">
        <v>1987</v>
      </c>
      <c r="H31" s="102" t="s">
        <v>1988</v>
      </c>
      <c r="I31" s="102" t="s">
        <v>284</v>
      </c>
      <c r="J31" s="102" t="s">
        <v>63</v>
      </c>
      <c r="L31" s="229" t="s">
        <v>1989</v>
      </c>
      <c r="M31" s="229" t="s">
        <v>4352</v>
      </c>
      <c r="O31" s="230"/>
      <c r="T31" s="230"/>
      <c r="U31" s="230" t="str">
        <f>IF(ISNUMBER(MATCH(B31, 'Sprint 18'!B:B, 0)), "มาจาก Sprint 18", "")</f>
        <v/>
      </c>
      <c r="V31" s="230" t="str">
        <f t="array" ref="V31">IF(ISNUMBER(MATCH(B31, 'Sprint 18'!B:B, 0)), INDEX('Sprint 18'!J:J, MATCH(B31, 'Sprint 18'!B:B, 0)), "")</f>
        <v/>
      </c>
      <c r="W31" s="230"/>
      <c r="X31" s="102" t="s">
        <v>1991</v>
      </c>
      <c r="Y31" s="102" t="s">
        <v>1992</v>
      </c>
    </row>
    <row r="32">
      <c r="A32" s="102" t="s">
        <v>276</v>
      </c>
      <c r="B32" s="102" t="s">
        <v>3876</v>
      </c>
      <c r="C32" s="229" t="s">
        <v>3877</v>
      </c>
      <c r="D32" s="102" t="s">
        <v>291</v>
      </c>
      <c r="E32" s="102" t="s">
        <v>280</v>
      </c>
      <c r="F32" s="102" t="s">
        <v>281</v>
      </c>
      <c r="G32" s="102" t="s">
        <v>1987</v>
      </c>
      <c r="H32" s="102" t="s">
        <v>1988</v>
      </c>
      <c r="I32" s="102" t="s">
        <v>284</v>
      </c>
      <c r="J32" s="102" t="s">
        <v>355</v>
      </c>
      <c r="L32" s="229" t="s">
        <v>1989</v>
      </c>
      <c r="M32" s="229" t="s">
        <v>4353</v>
      </c>
      <c r="O32" s="230"/>
      <c r="T32" s="230"/>
      <c r="U32" s="230" t="str">
        <f>IF(ISNUMBER(MATCH(B32, 'Sprint 18'!B:B, 0)), "มาจาก Sprint 18", "")</f>
        <v/>
      </c>
      <c r="V32" s="230" t="str">
        <f t="array" ref="V32">IF(ISNUMBER(MATCH(B32, 'Sprint 18'!B:B, 0)), INDEX('Sprint 18'!J:J, MATCH(B32, 'Sprint 18'!B:B, 0)), "")</f>
        <v/>
      </c>
      <c r="W32" s="230"/>
      <c r="X32" s="102" t="s">
        <v>1991</v>
      </c>
      <c r="Y32" s="102" t="s">
        <v>1992</v>
      </c>
    </row>
    <row r="33">
      <c r="A33" s="102" t="s">
        <v>276</v>
      </c>
      <c r="B33" s="102" t="s">
        <v>3878</v>
      </c>
      <c r="C33" s="229" t="s">
        <v>3879</v>
      </c>
      <c r="D33" s="102" t="s">
        <v>291</v>
      </c>
      <c r="E33" s="102" t="s">
        <v>280</v>
      </c>
      <c r="F33" s="102" t="s">
        <v>281</v>
      </c>
      <c r="G33" s="102" t="s">
        <v>1987</v>
      </c>
      <c r="H33" s="102" t="s">
        <v>1988</v>
      </c>
      <c r="I33" s="102" t="s">
        <v>284</v>
      </c>
      <c r="J33" s="102" t="s">
        <v>355</v>
      </c>
      <c r="L33" s="229" t="s">
        <v>1989</v>
      </c>
      <c r="M33" s="229" t="s">
        <v>4354</v>
      </c>
      <c r="O33" s="230"/>
      <c r="T33" s="230"/>
      <c r="U33" s="230" t="str">
        <f>IF(ISNUMBER(MATCH(B33, 'Sprint 18'!B:B, 0)), "มาจาก Sprint 18", "")</f>
        <v/>
      </c>
      <c r="V33" s="230" t="str">
        <f t="array" ref="V33">IF(ISNUMBER(MATCH(B33, 'Sprint 18'!B:B, 0)), INDEX('Sprint 18'!J:J, MATCH(B33, 'Sprint 18'!B:B, 0)), "")</f>
        <v/>
      </c>
      <c r="W33" s="230"/>
      <c r="X33" s="102" t="s">
        <v>1991</v>
      </c>
      <c r="Y33" s="102" t="s">
        <v>1992</v>
      </c>
    </row>
    <row r="34">
      <c r="A34" s="102" t="s">
        <v>276</v>
      </c>
      <c r="B34" s="102" t="s">
        <v>3880</v>
      </c>
      <c r="C34" s="229" t="s">
        <v>3881</v>
      </c>
      <c r="D34" s="102" t="s">
        <v>291</v>
      </c>
      <c r="E34" s="102" t="s">
        <v>280</v>
      </c>
      <c r="F34" s="102" t="s">
        <v>281</v>
      </c>
      <c r="G34" s="102" t="s">
        <v>1987</v>
      </c>
      <c r="H34" s="102" t="s">
        <v>1988</v>
      </c>
      <c r="I34" s="102" t="s">
        <v>284</v>
      </c>
      <c r="J34" s="102" t="s">
        <v>63</v>
      </c>
      <c r="L34" s="229" t="s">
        <v>1989</v>
      </c>
      <c r="M34" s="229" t="s">
        <v>4352</v>
      </c>
      <c r="O34" s="230"/>
      <c r="T34" s="230"/>
      <c r="U34" s="230" t="str">
        <f>IF(ISNUMBER(MATCH(B34, 'Sprint 18'!B:B, 0)), "มาจาก Sprint 18", "")</f>
        <v/>
      </c>
      <c r="V34" s="230" t="str">
        <f t="array" ref="V34">IF(ISNUMBER(MATCH(B34, 'Sprint 18'!B:B, 0)), INDEX('Sprint 18'!J:J, MATCH(B34, 'Sprint 18'!B:B, 0)), "")</f>
        <v/>
      </c>
      <c r="W34" s="230"/>
      <c r="X34" s="102" t="s">
        <v>1991</v>
      </c>
      <c r="Y34" s="102" t="s">
        <v>1992</v>
      </c>
    </row>
    <row r="35">
      <c r="A35" s="102" t="s">
        <v>276</v>
      </c>
      <c r="B35" s="102" t="s">
        <v>3882</v>
      </c>
      <c r="C35" s="229" t="s">
        <v>3883</v>
      </c>
      <c r="D35" s="102" t="s">
        <v>291</v>
      </c>
      <c r="E35" s="102" t="s">
        <v>280</v>
      </c>
      <c r="F35" s="102" t="s">
        <v>281</v>
      </c>
      <c r="G35" s="102" t="s">
        <v>1987</v>
      </c>
      <c r="H35" s="102" t="s">
        <v>1988</v>
      </c>
      <c r="I35" s="102" t="s">
        <v>284</v>
      </c>
      <c r="J35" s="102" t="s">
        <v>355</v>
      </c>
      <c r="L35" s="229" t="s">
        <v>1989</v>
      </c>
      <c r="M35" s="229" t="s">
        <v>4353</v>
      </c>
      <c r="O35" s="230"/>
      <c r="T35" s="230"/>
      <c r="U35" s="230" t="str">
        <f>IF(ISNUMBER(MATCH(B35, 'Sprint 18'!B:B, 0)), "มาจาก Sprint 18", "")</f>
        <v/>
      </c>
      <c r="V35" s="230" t="str">
        <f t="array" ref="V35">IF(ISNUMBER(MATCH(B35, 'Sprint 18'!B:B, 0)), INDEX('Sprint 18'!J:J, MATCH(B35, 'Sprint 18'!B:B, 0)), "")</f>
        <v/>
      </c>
      <c r="W35" s="230"/>
      <c r="X35" s="102" t="s">
        <v>1991</v>
      </c>
      <c r="Y35" s="102" t="s">
        <v>1992</v>
      </c>
    </row>
    <row r="36">
      <c r="A36" s="102" t="s">
        <v>276</v>
      </c>
      <c r="B36" s="102" t="s">
        <v>3884</v>
      </c>
      <c r="C36" s="229" t="s">
        <v>3885</v>
      </c>
      <c r="D36" s="102" t="s">
        <v>291</v>
      </c>
      <c r="E36" s="102" t="s">
        <v>280</v>
      </c>
      <c r="F36" s="102" t="s">
        <v>281</v>
      </c>
      <c r="G36" s="102" t="s">
        <v>1987</v>
      </c>
      <c r="H36" s="102" t="s">
        <v>1988</v>
      </c>
      <c r="I36" s="102" t="s">
        <v>284</v>
      </c>
      <c r="J36" s="102" t="s">
        <v>63</v>
      </c>
      <c r="L36" s="229" t="s">
        <v>1989</v>
      </c>
      <c r="M36" s="229" t="s">
        <v>4352</v>
      </c>
      <c r="O36" s="230"/>
      <c r="T36" s="230"/>
      <c r="U36" s="230" t="str">
        <f>IF(ISNUMBER(MATCH(B36, 'Sprint 18'!B:B, 0)), "มาจาก Sprint 18", "")</f>
        <v/>
      </c>
      <c r="V36" s="230" t="str">
        <f t="array" ref="V36">IF(ISNUMBER(MATCH(B36, 'Sprint 18'!B:B, 0)), INDEX('Sprint 18'!J:J, MATCH(B36, 'Sprint 18'!B:B, 0)), "")</f>
        <v/>
      </c>
      <c r="W36" s="230"/>
      <c r="X36" s="102" t="s">
        <v>1991</v>
      </c>
      <c r="Y36" s="102" t="s">
        <v>1992</v>
      </c>
    </row>
    <row r="37">
      <c r="A37" s="102" t="s">
        <v>276</v>
      </c>
      <c r="B37" s="102" t="s">
        <v>3886</v>
      </c>
      <c r="C37" s="229" t="s">
        <v>3887</v>
      </c>
      <c r="D37" s="102" t="s">
        <v>291</v>
      </c>
      <c r="E37" s="102" t="s">
        <v>280</v>
      </c>
      <c r="F37" s="102" t="s">
        <v>281</v>
      </c>
      <c r="G37" s="102" t="s">
        <v>1987</v>
      </c>
      <c r="H37" s="102" t="s">
        <v>1988</v>
      </c>
      <c r="I37" s="102" t="s">
        <v>284</v>
      </c>
      <c r="J37" s="102" t="s">
        <v>355</v>
      </c>
      <c r="L37" s="229" t="s">
        <v>1989</v>
      </c>
      <c r="M37" s="229" t="s">
        <v>4354</v>
      </c>
      <c r="O37" s="230"/>
      <c r="T37" s="230"/>
      <c r="U37" s="230" t="str">
        <f>IF(ISNUMBER(MATCH(B37, 'Sprint 18'!B:B, 0)), "มาจาก Sprint 18", "")</f>
        <v/>
      </c>
      <c r="V37" s="230" t="str">
        <f t="array" ref="V37">IF(ISNUMBER(MATCH(B37, 'Sprint 18'!B:B, 0)), INDEX('Sprint 18'!J:J, MATCH(B37, 'Sprint 18'!B:B, 0)), "")</f>
        <v/>
      </c>
      <c r="W37" s="230"/>
      <c r="X37" s="102" t="s">
        <v>1991</v>
      </c>
      <c r="Y37" s="102" t="s">
        <v>1992</v>
      </c>
    </row>
    <row r="38">
      <c r="A38" s="102" t="s">
        <v>276</v>
      </c>
      <c r="B38" s="102" t="s">
        <v>1993</v>
      </c>
      <c r="C38" s="229" t="s">
        <v>1994</v>
      </c>
      <c r="D38" s="102" t="s">
        <v>291</v>
      </c>
      <c r="E38" s="102" t="s">
        <v>280</v>
      </c>
      <c r="F38" s="102" t="s">
        <v>281</v>
      </c>
      <c r="G38" s="102" t="s">
        <v>1987</v>
      </c>
      <c r="H38" s="102" t="s">
        <v>1988</v>
      </c>
      <c r="I38" s="102" t="s">
        <v>284</v>
      </c>
      <c r="J38" s="102" t="s">
        <v>34</v>
      </c>
      <c r="L38" s="229" t="s">
        <v>1989</v>
      </c>
      <c r="M38" s="229" t="s">
        <v>4355</v>
      </c>
      <c r="O38" s="230"/>
      <c r="T38" s="230"/>
      <c r="U38" s="230" t="str">
        <f>IF(ISNUMBER(MATCH(B38, 'Sprint 18'!B:B, 0)), "มาจาก Sprint 18", "")</f>
        <v/>
      </c>
      <c r="V38" s="230" t="str">
        <f t="array" ref="V38">IF(ISNUMBER(MATCH(B38, 'Sprint 18'!B:B, 0)), INDEX('Sprint 18'!J:J, MATCH(B38, 'Sprint 18'!B:B, 0)), "")</f>
        <v/>
      </c>
      <c r="W38" s="230"/>
      <c r="X38" s="102" t="s">
        <v>1991</v>
      </c>
      <c r="Y38" s="102" t="s">
        <v>1992</v>
      </c>
    </row>
    <row r="39">
      <c r="A39" s="102" t="s">
        <v>276</v>
      </c>
      <c r="B39" s="102" t="s">
        <v>2518</v>
      </c>
      <c r="C39" s="229" t="s">
        <v>2519</v>
      </c>
      <c r="D39" s="102" t="s">
        <v>279</v>
      </c>
      <c r="E39" s="102" t="s">
        <v>280</v>
      </c>
      <c r="F39" s="102" t="s">
        <v>281</v>
      </c>
      <c r="G39" s="102" t="s">
        <v>1987</v>
      </c>
      <c r="H39" s="102" t="s">
        <v>1988</v>
      </c>
      <c r="I39" s="102" t="s">
        <v>284</v>
      </c>
      <c r="J39" s="102" t="s">
        <v>63</v>
      </c>
      <c r="L39" s="229" t="s">
        <v>1989</v>
      </c>
      <c r="M39" s="229" t="s">
        <v>2520</v>
      </c>
      <c r="O39" s="230"/>
      <c r="T39" s="230"/>
      <c r="U39" s="230" t="str">
        <f>IF(ISNUMBER(MATCH(B39, 'Sprint 18'!B:B, 0)), "มาจาก Sprint 18", "")</f>
        <v/>
      </c>
      <c r="V39" s="230" t="str">
        <f t="array" ref="V39">IF(ISNUMBER(MATCH(B39, 'Sprint 18'!B:B, 0)), INDEX('Sprint 18'!J:J, MATCH(B39, 'Sprint 18'!B:B, 0)), "")</f>
        <v/>
      </c>
      <c r="W39" s="230"/>
      <c r="X39" s="102" t="s">
        <v>1991</v>
      </c>
      <c r="Y39" s="102" t="s">
        <v>1992</v>
      </c>
    </row>
    <row r="40">
      <c r="A40" s="102" t="s">
        <v>276</v>
      </c>
      <c r="B40" s="102" t="s">
        <v>2521</v>
      </c>
      <c r="C40" s="229" t="s">
        <v>2522</v>
      </c>
      <c r="D40" s="102" t="s">
        <v>279</v>
      </c>
      <c r="E40" s="102" t="s">
        <v>280</v>
      </c>
      <c r="F40" s="102" t="s">
        <v>281</v>
      </c>
      <c r="G40" s="102" t="s">
        <v>1987</v>
      </c>
      <c r="H40" s="102" t="s">
        <v>1988</v>
      </c>
      <c r="I40" s="102" t="s">
        <v>284</v>
      </c>
      <c r="J40" s="102" t="s">
        <v>63</v>
      </c>
      <c r="L40" s="229" t="s">
        <v>1989</v>
      </c>
      <c r="M40" s="229" t="s">
        <v>2523</v>
      </c>
      <c r="O40" s="230"/>
      <c r="T40" s="230"/>
      <c r="U40" s="230" t="str">
        <f>IF(ISNUMBER(MATCH(B40, 'Sprint 18'!B:B, 0)), "มาจาก Sprint 18", "")</f>
        <v/>
      </c>
      <c r="V40" s="230" t="str">
        <f t="array" ref="V40">IF(ISNUMBER(MATCH(B40, 'Sprint 18'!B:B, 0)), INDEX('Sprint 18'!J:J, MATCH(B40, 'Sprint 18'!B:B, 0)), "")</f>
        <v/>
      </c>
      <c r="W40" s="230"/>
      <c r="X40" s="102" t="s">
        <v>1991</v>
      </c>
      <c r="Y40" s="102" t="s">
        <v>1992</v>
      </c>
    </row>
    <row r="41">
      <c r="A41" s="102" t="s">
        <v>276</v>
      </c>
      <c r="B41" s="102" t="s">
        <v>2524</v>
      </c>
      <c r="C41" s="229" t="s">
        <v>2525</v>
      </c>
      <c r="D41" s="102" t="s">
        <v>279</v>
      </c>
      <c r="E41" s="102" t="s">
        <v>280</v>
      </c>
      <c r="F41" s="102" t="s">
        <v>281</v>
      </c>
      <c r="G41" s="102" t="s">
        <v>1987</v>
      </c>
      <c r="H41" s="102" t="s">
        <v>1988</v>
      </c>
      <c r="I41" s="102" t="s">
        <v>284</v>
      </c>
      <c r="J41" s="102" t="s">
        <v>63</v>
      </c>
      <c r="L41" s="229" t="s">
        <v>1989</v>
      </c>
      <c r="M41" s="229" t="s">
        <v>2526</v>
      </c>
      <c r="O41" s="230"/>
      <c r="T41" s="230"/>
      <c r="U41" s="230" t="str">
        <f>IF(ISNUMBER(MATCH(B41, 'Sprint 18'!B:B, 0)), "มาจาก Sprint 18", "")</f>
        <v/>
      </c>
      <c r="V41" s="230" t="str">
        <f t="array" ref="V41">IF(ISNUMBER(MATCH(B41, 'Sprint 18'!B:B, 0)), INDEX('Sprint 18'!J:J, MATCH(B41, 'Sprint 18'!B:B, 0)), "")</f>
        <v/>
      </c>
      <c r="W41" s="230"/>
      <c r="X41" s="102" t="s">
        <v>1991</v>
      </c>
      <c r="Y41" s="102" t="s">
        <v>1992</v>
      </c>
    </row>
    <row r="42">
      <c r="A42" s="102" t="s">
        <v>276</v>
      </c>
      <c r="B42" s="102" t="s">
        <v>2527</v>
      </c>
      <c r="C42" s="229" t="s">
        <v>2528</v>
      </c>
      <c r="D42" s="102" t="s">
        <v>279</v>
      </c>
      <c r="E42" s="102" t="s">
        <v>280</v>
      </c>
      <c r="F42" s="102" t="s">
        <v>281</v>
      </c>
      <c r="G42" s="102" t="s">
        <v>1987</v>
      </c>
      <c r="H42" s="102" t="s">
        <v>1988</v>
      </c>
      <c r="I42" s="102" t="s">
        <v>284</v>
      </c>
      <c r="J42" s="102" t="s">
        <v>63</v>
      </c>
      <c r="L42" s="229" t="s">
        <v>1989</v>
      </c>
      <c r="M42" s="229" t="s">
        <v>2526</v>
      </c>
      <c r="O42" s="230"/>
      <c r="T42" s="230"/>
      <c r="U42" s="230" t="str">
        <f>IF(ISNUMBER(MATCH(B42, 'Sprint 18'!B:B, 0)), "มาจาก Sprint 18", "")</f>
        <v/>
      </c>
      <c r="V42" s="230" t="str">
        <f t="array" ref="V42">IF(ISNUMBER(MATCH(B42, 'Sprint 18'!B:B, 0)), INDEX('Sprint 18'!J:J, MATCH(B42, 'Sprint 18'!B:B, 0)), "")</f>
        <v/>
      </c>
      <c r="W42" s="230"/>
      <c r="X42" s="102" t="s">
        <v>1991</v>
      </c>
      <c r="Y42" s="102" t="s">
        <v>1992</v>
      </c>
    </row>
    <row r="43">
      <c r="A43" s="102" t="s">
        <v>276</v>
      </c>
      <c r="B43" s="102" t="s">
        <v>2529</v>
      </c>
      <c r="C43" s="229" t="s">
        <v>2530</v>
      </c>
      <c r="D43" s="102" t="s">
        <v>279</v>
      </c>
      <c r="E43" s="102" t="s">
        <v>280</v>
      </c>
      <c r="F43" s="102" t="s">
        <v>281</v>
      </c>
      <c r="G43" s="102" t="s">
        <v>1987</v>
      </c>
      <c r="H43" s="102" t="s">
        <v>1988</v>
      </c>
      <c r="I43" s="102" t="s">
        <v>284</v>
      </c>
      <c r="J43" s="102" t="s">
        <v>63</v>
      </c>
      <c r="L43" s="229" t="s">
        <v>1989</v>
      </c>
      <c r="M43" s="229" t="s">
        <v>2526</v>
      </c>
      <c r="O43" s="230"/>
      <c r="T43" s="230"/>
      <c r="U43" s="230" t="str">
        <f>IF(ISNUMBER(MATCH(B43, 'Sprint 18'!B:B, 0)), "มาจาก Sprint 18", "")</f>
        <v/>
      </c>
      <c r="V43" s="230" t="str">
        <f t="array" ref="V43">IF(ISNUMBER(MATCH(B43, 'Sprint 18'!B:B, 0)), INDEX('Sprint 18'!J:J, MATCH(B43, 'Sprint 18'!B:B, 0)), "")</f>
        <v/>
      </c>
      <c r="W43" s="230"/>
      <c r="X43" s="102" t="s">
        <v>1991</v>
      </c>
      <c r="Y43" s="102" t="s">
        <v>1992</v>
      </c>
    </row>
    <row r="44">
      <c r="A44" s="102" t="s">
        <v>276</v>
      </c>
      <c r="B44" s="102" t="s">
        <v>2531</v>
      </c>
      <c r="C44" s="229" t="s">
        <v>2532</v>
      </c>
      <c r="D44" s="102" t="s">
        <v>279</v>
      </c>
      <c r="E44" s="102" t="s">
        <v>280</v>
      </c>
      <c r="F44" s="102" t="s">
        <v>281</v>
      </c>
      <c r="G44" s="102" t="s">
        <v>1987</v>
      </c>
      <c r="H44" s="102" t="s">
        <v>1988</v>
      </c>
      <c r="I44" s="102" t="s">
        <v>284</v>
      </c>
      <c r="J44" s="102" t="s">
        <v>63</v>
      </c>
      <c r="L44" s="229" t="s">
        <v>1989</v>
      </c>
      <c r="M44" s="229" t="s">
        <v>2526</v>
      </c>
      <c r="O44" s="230"/>
      <c r="T44" s="230"/>
      <c r="U44" s="230" t="str">
        <f>IF(ISNUMBER(MATCH(B44, 'Sprint 18'!B:B, 0)), "มาจาก Sprint 18", "")</f>
        <v/>
      </c>
      <c r="V44" s="230" t="str">
        <f t="array" ref="V44">IF(ISNUMBER(MATCH(B44, 'Sprint 18'!B:B, 0)), INDEX('Sprint 18'!J:J, MATCH(B44, 'Sprint 18'!B:B, 0)), "")</f>
        <v/>
      </c>
      <c r="W44" s="230"/>
      <c r="X44" s="102" t="s">
        <v>1991</v>
      </c>
      <c r="Y44" s="102" t="s">
        <v>1992</v>
      </c>
    </row>
    <row r="45">
      <c r="A45" s="102" t="s">
        <v>276</v>
      </c>
      <c r="B45" s="102" t="s">
        <v>3888</v>
      </c>
      <c r="C45" s="229" t="s">
        <v>3889</v>
      </c>
      <c r="D45" s="102" t="s">
        <v>3890</v>
      </c>
      <c r="G45" s="102" t="s">
        <v>1987</v>
      </c>
      <c r="H45" s="102" t="s">
        <v>1988</v>
      </c>
      <c r="I45" s="102" t="s">
        <v>284</v>
      </c>
      <c r="J45" s="102" t="s">
        <v>63</v>
      </c>
      <c r="L45" s="229" t="s">
        <v>1989</v>
      </c>
      <c r="M45" s="229" t="s">
        <v>3891</v>
      </c>
      <c r="O45" s="230"/>
      <c r="T45" s="230"/>
      <c r="U45" s="230" t="str">
        <f>IF(ISNUMBER(MATCH(B45, 'Sprint 18'!B:B, 0)), "มาจาก Sprint 18", "")</f>
        <v/>
      </c>
      <c r="V45" s="230" t="str">
        <f t="array" ref="V45">IF(ISNUMBER(MATCH(B45, 'Sprint 18'!B:B, 0)), INDEX('Sprint 18'!J:J, MATCH(B45, 'Sprint 18'!B:B, 0)), "")</f>
        <v/>
      </c>
      <c r="W45" s="230"/>
      <c r="X45" s="102" t="s">
        <v>1991</v>
      </c>
      <c r="Y45" s="102" t="s">
        <v>1992</v>
      </c>
    </row>
    <row r="46">
      <c r="A46" s="102" t="s">
        <v>276</v>
      </c>
      <c r="B46" s="102" t="s">
        <v>2533</v>
      </c>
      <c r="C46" s="229" t="s">
        <v>2534</v>
      </c>
      <c r="D46" s="102" t="s">
        <v>279</v>
      </c>
      <c r="E46" s="102" t="s">
        <v>280</v>
      </c>
      <c r="F46" s="102" t="s">
        <v>281</v>
      </c>
      <c r="G46" s="102" t="s">
        <v>1987</v>
      </c>
      <c r="H46" s="102" t="s">
        <v>1988</v>
      </c>
      <c r="I46" s="102" t="s">
        <v>284</v>
      </c>
      <c r="J46" s="102" t="s">
        <v>63</v>
      </c>
      <c r="L46" s="229" t="s">
        <v>1989</v>
      </c>
      <c r="M46" s="229" t="s">
        <v>2523</v>
      </c>
      <c r="O46" s="230"/>
      <c r="T46" s="230"/>
      <c r="U46" s="230" t="str">
        <f>IF(ISNUMBER(MATCH(B46, 'Sprint 18'!B:B, 0)), "มาจาก Sprint 18", "")</f>
        <v/>
      </c>
      <c r="V46" s="230" t="str">
        <f t="array" ref="V46">IF(ISNUMBER(MATCH(B46, 'Sprint 18'!B:B, 0)), INDEX('Sprint 18'!J:J, MATCH(B46, 'Sprint 18'!B:B, 0)), "")</f>
        <v/>
      </c>
      <c r="W46" s="230"/>
      <c r="X46" s="102" t="s">
        <v>1991</v>
      </c>
      <c r="Y46" s="102" t="s">
        <v>1992</v>
      </c>
    </row>
    <row r="47">
      <c r="A47" s="102" t="s">
        <v>276</v>
      </c>
      <c r="B47" s="102" t="s">
        <v>1996</v>
      </c>
      <c r="C47" s="229" t="s">
        <v>1997</v>
      </c>
      <c r="D47" s="102" t="s">
        <v>279</v>
      </c>
      <c r="E47" s="102" t="s">
        <v>280</v>
      </c>
      <c r="F47" s="102" t="s">
        <v>281</v>
      </c>
      <c r="G47" s="102" t="s">
        <v>1987</v>
      </c>
      <c r="H47" s="102" t="s">
        <v>1988</v>
      </c>
      <c r="I47" s="102" t="s">
        <v>284</v>
      </c>
      <c r="J47" s="102" t="s">
        <v>63</v>
      </c>
      <c r="L47" s="229" t="s">
        <v>1989</v>
      </c>
      <c r="M47" s="229" t="s">
        <v>2535</v>
      </c>
      <c r="O47" s="230"/>
      <c r="T47" s="230"/>
      <c r="U47" s="230" t="str">
        <f>IF(ISNUMBER(MATCH(B47, 'Sprint 18'!B:B, 0)), "มาจาก Sprint 18", "")</f>
        <v/>
      </c>
      <c r="V47" s="230" t="str">
        <f t="array" ref="V47">IF(ISNUMBER(MATCH(B47, 'Sprint 18'!B:B, 0)), INDEX('Sprint 18'!J:J, MATCH(B47, 'Sprint 18'!B:B, 0)), "")</f>
        <v/>
      </c>
      <c r="W47" s="230"/>
      <c r="X47" s="102" t="s">
        <v>1991</v>
      </c>
      <c r="Y47" s="102" t="s">
        <v>1992</v>
      </c>
    </row>
    <row r="48">
      <c r="A48" s="102" t="s">
        <v>276</v>
      </c>
      <c r="B48" s="102" t="s">
        <v>3892</v>
      </c>
      <c r="C48" s="229" t="s">
        <v>3893</v>
      </c>
      <c r="D48" s="102" t="s">
        <v>279</v>
      </c>
      <c r="E48" s="102" t="s">
        <v>280</v>
      </c>
      <c r="F48" s="102" t="s">
        <v>281</v>
      </c>
      <c r="G48" s="102" t="s">
        <v>1987</v>
      </c>
      <c r="H48" s="102" t="s">
        <v>1988</v>
      </c>
      <c r="I48" s="102" t="s">
        <v>284</v>
      </c>
      <c r="J48" s="102" t="s">
        <v>63</v>
      </c>
      <c r="L48" s="229" t="s">
        <v>1989</v>
      </c>
      <c r="M48" s="229" t="s">
        <v>2535</v>
      </c>
      <c r="O48" s="230"/>
      <c r="T48" s="230"/>
      <c r="U48" s="230" t="str">
        <f>IF(ISNUMBER(MATCH(B48, 'Sprint 18'!B:B, 0)), "มาจาก Sprint 18", "")</f>
        <v/>
      </c>
      <c r="V48" s="230" t="str">
        <f t="array" ref="V48">IF(ISNUMBER(MATCH(B48, 'Sprint 18'!B:B, 0)), INDEX('Sprint 18'!J:J, MATCH(B48, 'Sprint 18'!B:B, 0)), "")</f>
        <v/>
      </c>
      <c r="W48" s="230"/>
      <c r="X48" s="102" t="s">
        <v>1991</v>
      </c>
      <c r="Y48" s="102" t="s">
        <v>1992</v>
      </c>
    </row>
    <row r="49">
      <c r="A49" s="102" t="s">
        <v>276</v>
      </c>
      <c r="B49" s="102" t="s">
        <v>1998</v>
      </c>
      <c r="C49" s="229" t="s">
        <v>1999</v>
      </c>
      <c r="D49" s="102" t="s">
        <v>291</v>
      </c>
      <c r="E49" s="102" t="s">
        <v>280</v>
      </c>
      <c r="F49" s="102" t="s">
        <v>281</v>
      </c>
      <c r="G49" s="102" t="s">
        <v>1987</v>
      </c>
      <c r="H49" s="102" t="s">
        <v>1988</v>
      </c>
      <c r="I49" s="102" t="s">
        <v>284</v>
      </c>
      <c r="J49" s="102" t="s">
        <v>63</v>
      </c>
      <c r="L49" s="229" t="s">
        <v>1989</v>
      </c>
      <c r="M49" s="229" t="s">
        <v>2526</v>
      </c>
      <c r="O49" s="230"/>
      <c r="T49" s="230"/>
      <c r="U49" s="230" t="str">
        <f>IF(ISNUMBER(MATCH(B49, 'Sprint 18'!B:B, 0)), "มาจาก Sprint 18", "")</f>
        <v/>
      </c>
      <c r="V49" s="230" t="str">
        <f t="array" ref="V49">IF(ISNUMBER(MATCH(B49, 'Sprint 18'!B:B, 0)), INDEX('Sprint 18'!J:J, MATCH(B49, 'Sprint 18'!B:B, 0)), "")</f>
        <v/>
      </c>
      <c r="W49" s="230"/>
      <c r="X49" s="102" t="s">
        <v>1991</v>
      </c>
      <c r="Y49" s="102" t="s">
        <v>1992</v>
      </c>
    </row>
    <row r="50">
      <c r="A50" s="102" t="s">
        <v>276</v>
      </c>
      <c r="B50" s="102" t="s">
        <v>2000</v>
      </c>
      <c r="C50" s="229" t="s">
        <v>2001</v>
      </c>
      <c r="D50" s="102" t="s">
        <v>291</v>
      </c>
      <c r="E50" s="102" t="s">
        <v>280</v>
      </c>
      <c r="F50" s="102" t="s">
        <v>281</v>
      </c>
      <c r="G50" s="102" t="s">
        <v>1987</v>
      </c>
      <c r="H50" s="102" t="s">
        <v>1988</v>
      </c>
      <c r="I50" s="102" t="s">
        <v>284</v>
      </c>
      <c r="J50" s="102" t="s">
        <v>63</v>
      </c>
      <c r="L50" s="229" t="s">
        <v>1989</v>
      </c>
      <c r="M50" s="229" t="s">
        <v>2526</v>
      </c>
      <c r="O50" s="230"/>
      <c r="T50" s="230"/>
      <c r="U50" s="230" t="str">
        <f>IF(ISNUMBER(MATCH(B50, 'Sprint 18'!B:B, 0)), "มาจาก Sprint 18", "")</f>
        <v/>
      </c>
      <c r="V50" s="230" t="str">
        <f t="array" ref="V50">IF(ISNUMBER(MATCH(B50, 'Sprint 18'!B:B, 0)), INDEX('Sprint 18'!J:J, MATCH(B50, 'Sprint 18'!B:B, 0)), "")</f>
        <v/>
      </c>
      <c r="W50" s="230"/>
      <c r="X50" s="102" t="s">
        <v>1991</v>
      </c>
      <c r="Y50" s="102" t="s">
        <v>1992</v>
      </c>
    </row>
    <row r="51">
      <c r="A51" s="102" t="s">
        <v>276</v>
      </c>
      <c r="B51" s="102" t="s">
        <v>2002</v>
      </c>
      <c r="C51" s="229" t="s">
        <v>2003</v>
      </c>
      <c r="D51" s="102" t="s">
        <v>291</v>
      </c>
      <c r="E51" s="102" t="s">
        <v>280</v>
      </c>
      <c r="F51" s="102" t="s">
        <v>281</v>
      </c>
      <c r="G51" s="102" t="s">
        <v>1987</v>
      </c>
      <c r="H51" s="102" t="s">
        <v>1988</v>
      </c>
      <c r="I51" s="102" t="s">
        <v>284</v>
      </c>
      <c r="J51" s="102" t="s">
        <v>63</v>
      </c>
      <c r="L51" s="229" t="s">
        <v>1989</v>
      </c>
      <c r="M51" s="229" t="s">
        <v>2523</v>
      </c>
      <c r="O51" s="230"/>
      <c r="T51" s="230"/>
      <c r="U51" s="230" t="str">
        <f>IF(ISNUMBER(MATCH(B51, 'Sprint 18'!B:B, 0)), "มาจาก Sprint 18", "")</f>
        <v/>
      </c>
      <c r="V51" s="230" t="str">
        <f t="array" ref="V51">IF(ISNUMBER(MATCH(B51, 'Sprint 18'!B:B, 0)), INDEX('Sprint 18'!J:J, MATCH(B51, 'Sprint 18'!B:B, 0)), "")</f>
        <v/>
      </c>
      <c r="W51" s="230"/>
      <c r="X51" s="102" t="s">
        <v>1991</v>
      </c>
      <c r="Y51" s="102" t="s">
        <v>1992</v>
      </c>
    </row>
    <row r="52">
      <c r="A52" s="102" t="s">
        <v>276</v>
      </c>
      <c r="B52" s="102" t="s">
        <v>2004</v>
      </c>
      <c r="C52" s="229" t="s">
        <v>2005</v>
      </c>
      <c r="D52" s="102" t="s">
        <v>291</v>
      </c>
      <c r="E52" s="102" t="s">
        <v>280</v>
      </c>
      <c r="F52" s="102" t="s">
        <v>281</v>
      </c>
      <c r="G52" s="102" t="s">
        <v>1987</v>
      </c>
      <c r="H52" s="102" t="s">
        <v>1988</v>
      </c>
      <c r="I52" s="102" t="s">
        <v>284</v>
      </c>
      <c r="J52" s="102" t="s">
        <v>63</v>
      </c>
      <c r="L52" s="229" t="s">
        <v>1989</v>
      </c>
      <c r="M52" s="229" t="s">
        <v>2526</v>
      </c>
      <c r="O52" s="230"/>
      <c r="T52" s="230"/>
      <c r="U52" s="230" t="str">
        <f>IF(ISNUMBER(MATCH(B52, 'Sprint 18'!B:B, 0)), "มาจาก Sprint 18", "")</f>
        <v/>
      </c>
      <c r="V52" s="230" t="str">
        <f t="array" ref="V52">IF(ISNUMBER(MATCH(B52, 'Sprint 18'!B:B, 0)), INDEX('Sprint 18'!J:J, MATCH(B52, 'Sprint 18'!B:B, 0)), "")</f>
        <v/>
      </c>
      <c r="W52" s="230"/>
      <c r="X52" s="102" t="s">
        <v>1991</v>
      </c>
      <c r="Y52" s="102" t="s">
        <v>1992</v>
      </c>
    </row>
    <row r="53">
      <c r="A53" s="102" t="s">
        <v>276</v>
      </c>
      <c r="B53" s="102" t="s">
        <v>2006</v>
      </c>
      <c r="C53" s="229" t="s">
        <v>2007</v>
      </c>
      <c r="D53" s="102" t="s">
        <v>291</v>
      </c>
      <c r="E53" s="102" t="s">
        <v>280</v>
      </c>
      <c r="F53" s="102" t="s">
        <v>281</v>
      </c>
      <c r="G53" s="102" t="s">
        <v>1987</v>
      </c>
      <c r="H53" s="102" t="s">
        <v>1988</v>
      </c>
      <c r="I53" s="102" t="s">
        <v>284</v>
      </c>
      <c r="J53" s="102" t="s">
        <v>63</v>
      </c>
      <c r="L53" s="229" t="s">
        <v>1989</v>
      </c>
      <c r="M53" s="229" t="s">
        <v>2520</v>
      </c>
      <c r="O53" s="230"/>
      <c r="T53" s="230"/>
      <c r="U53" s="230" t="str">
        <f>IF(ISNUMBER(MATCH(B53, 'Sprint 18'!B:B, 0)), "มาจาก Sprint 18", "")</f>
        <v/>
      </c>
      <c r="V53" s="230" t="str">
        <f t="array" ref="V53">IF(ISNUMBER(MATCH(B53, 'Sprint 18'!B:B, 0)), INDEX('Sprint 18'!J:J, MATCH(B53, 'Sprint 18'!B:B, 0)), "")</f>
        <v/>
      </c>
      <c r="W53" s="230"/>
      <c r="X53" s="102" t="s">
        <v>1991</v>
      </c>
      <c r="Y53" s="102" t="s">
        <v>1992</v>
      </c>
    </row>
    <row r="54">
      <c r="A54" s="102" t="s">
        <v>276</v>
      </c>
      <c r="B54" s="102" t="s">
        <v>2008</v>
      </c>
      <c r="C54" s="229" t="s">
        <v>2009</v>
      </c>
      <c r="D54" s="102" t="s">
        <v>291</v>
      </c>
      <c r="E54" s="102" t="s">
        <v>280</v>
      </c>
      <c r="F54" s="102" t="s">
        <v>281</v>
      </c>
      <c r="G54" s="102" t="s">
        <v>1987</v>
      </c>
      <c r="H54" s="102" t="s">
        <v>1988</v>
      </c>
      <c r="I54" s="102" t="s">
        <v>284</v>
      </c>
      <c r="J54" s="102" t="s">
        <v>63</v>
      </c>
      <c r="L54" s="229" t="s">
        <v>1989</v>
      </c>
      <c r="M54" s="229" t="s">
        <v>2523</v>
      </c>
      <c r="O54" s="230"/>
      <c r="T54" s="230"/>
      <c r="U54" s="230" t="str">
        <f>IF(ISNUMBER(MATCH(B54, 'Sprint 18'!B:B, 0)), "มาจาก Sprint 18", "")</f>
        <v/>
      </c>
      <c r="V54" s="230" t="str">
        <f t="array" ref="V54">IF(ISNUMBER(MATCH(B54, 'Sprint 18'!B:B, 0)), INDEX('Sprint 18'!J:J, MATCH(B54, 'Sprint 18'!B:B, 0)), "")</f>
        <v/>
      </c>
      <c r="W54" s="230"/>
      <c r="X54" s="102" t="s">
        <v>1991</v>
      </c>
      <c r="Y54" s="102" t="s">
        <v>1992</v>
      </c>
    </row>
    <row r="55">
      <c r="A55" s="102" t="s">
        <v>276</v>
      </c>
      <c r="B55" s="102" t="s">
        <v>3895</v>
      </c>
      <c r="C55" s="229" t="s">
        <v>3896</v>
      </c>
      <c r="D55" s="102" t="s">
        <v>3890</v>
      </c>
      <c r="G55" s="102" t="s">
        <v>1987</v>
      </c>
      <c r="H55" s="102" t="s">
        <v>1988</v>
      </c>
      <c r="I55" s="102" t="s">
        <v>284</v>
      </c>
      <c r="J55" s="102" t="s">
        <v>63</v>
      </c>
      <c r="L55" s="229" t="s">
        <v>1989</v>
      </c>
      <c r="M55" s="229" t="s">
        <v>3891</v>
      </c>
      <c r="O55" s="230"/>
      <c r="T55" s="230"/>
      <c r="U55" s="230" t="str">
        <f>IF(ISNUMBER(MATCH(B55, 'Sprint 18'!B:B, 0)), "มาจาก Sprint 18", "")</f>
        <v/>
      </c>
      <c r="V55" s="230" t="str">
        <f t="array" ref="V55">IF(ISNUMBER(MATCH(B55, 'Sprint 18'!B:B, 0)), INDEX('Sprint 18'!J:J, MATCH(B55, 'Sprint 18'!B:B, 0)), "")</f>
        <v/>
      </c>
      <c r="W55" s="230"/>
      <c r="X55" s="102" t="s">
        <v>1991</v>
      </c>
      <c r="Y55" s="102" t="s">
        <v>1992</v>
      </c>
    </row>
    <row r="56">
      <c r="A56" s="102" t="s">
        <v>276</v>
      </c>
      <c r="B56" s="102" t="s">
        <v>3897</v>
      </c>
      <c r="C56" s="229" t="s">
        <v>3898</v>
      </c>
      <c r="D56" s="102" t="s">
        <v>291</v>
      </c>
      <c r="E56" s="102" t="s">
        <v>280</v>
      </c>
      <c r="F56" s="102" t="s">
        <v>281</v>
      </c>
      <c r="G56" s="102" t="s">
        <v>1987</v>
      </c>
      <c r="H56" s="102" t="s">
        <v>1988</v>
      </c>
      <c r="I56" s="102" t="s">
        <v>284</v>
      </c>
      <c r="J56" s="102" t="s">
        <v>63</v>
      </c>
      <c r="L56" s="229" t="s">
        <v>1989</v>
      </c>
      <c r="M56" s="229" t="s">
        <v>2535</v>
      </c>
      <c r="O56" s="230"/>
      <c r="T56" s="230"/>
      <c r="U56" s="230" t="str">
        <f>IF(ISNUMBER(MATCH(B56, 'Sprint 18'!B:B, 0)), "มาจาก Sprint 18", "")</f>
        <v/>
      </c>
      <c r="V56" s="230" t="str">
        <f t="array" ref="V56">IF(ISNUMBER(MATCH(B56, 'Sprint 18'!B:B, 0)), INDEX('Sprint 18'!J:J, MATCH(B56, 'Sprint 18'!B:B, 0)), "")</f>
        <v/>
      </c>
      <c r="W56" s="230"/>
      <c r="X56" s="102" t="s">
        <v>1991</v>
      </c>
      <c r="Y56" s="102" t="s">
        <v>1992</v>
      </c>
    </row>
    <row r="57">
      <c r="A57" s="102" t="s">
        <v>276</v>
      </c>
      <c r="B57" s="102" t="s">
        <v>2010</v>
      </c>
      <c r="C57" s="229" t="s">
        <v>2011</v>
      </c>
      <c r="D57" s="102" t="s">
        <v>291</v>
      </c>
      <c r="E57" s="102" t="s">
        <v>280</v>
      </c>
      <c r="F57" s="102" t="s">
        <v>281</v>
      </c>
      <c r="G57" s="102" t="s">
        <v>1987</v>
      </c>
      <c r="H57" s="102" t="s">
        <v>1988</v>
      </c>
      <c r="I57" s="102" t="s">
        <v>284</v>
      </c>
      <c r="J57" s="102" t="s">
        <v>63</v>
      </c>
      <c r="L57" s="229" t="s">
        <v>1989</v>
      </c>
      <c r="M57" s="229" t="s">
        <v>2535</v>
      </c>
      <c r="O57" s="230"/>
      <c r="T57" s="230"/>
      <c r="U57" s="230" t="str">
        <f>IF(ISNUMBER(MATCH(B57, 'Sprint 18'!B:B, 0)), "มาจาก Sprint 18", "")</f>
        <v/>
      </c>
      <c r="V57" s="230" t="str">
        <f t="array" ref="V57">IF(ISNUMBER(MATCH(B57, 'Sprint 18'!B:B, 0)), INDEX('Sprint 18'!J:J, MATCH(B57, 'Sprint 18'!B:B, 0)), "")</f>
        <v/>
      </c>
      <c r="W57" s="230"/>
      <c r="X57" s="102" t="s">
        <v>1991</v>
      </c>
      <c r="Y57" s="102" t="s">
        <v>1992</v>
      </c>
    </row>
    <row r="58">
      <c r="A58" s="102" t="s">
        <v>276</v>
      </c>
      <c r="B58" s="102" t="s">
        <v>2012</v>
      </c>
      <c r="C58" s="229" t="s">
        <v>2013</v>
      </c>
      <c r="D58" s="102" t="s">
        <v>291</v>
      </c>
      <c r="E58" s="102" t="s">
        <v>280</v>
      </c>
      <c r="F58" s="102" t="s">
        <v>281</v>
      </c>
      <c r="G58" s="102" t="s">
        <v>1987</v>
      </c>
      <c r="H58" s="102" t="s">
        <v>1988</v>
      </c>
      <c r="I58" s="102" t="s">
        <v>284</v>
      </c>
      <c r="J58" s="102" t="s">
        <v>63</v>
      </c>
      <c r="L58" s="229" t="s">
        <v>1989</v>
      </c>
      <c r="M58" s="229" t="s">
        <v>2526</v>
      </c>
      <c r="O58" s="230"/>
      <c r="T58" s="230"/>
      <c r="U58" s="230" t="str">
        <f>IF(ISNUMBER(MATCH(B58, 'Sprint 18'!B:B, 0)), "มาจาก Sprint 18", "")</f>
        <v/>
      </c>
      <c r="V58" s="230" t="str">
        <f t="array" ref="V58">IF(ISNUMBER(MATCH(B58, 'Sprint 18'!B:B, 0)), INDEX('Sprint 18'!J:J, MATCH(B58, 'Sprint 18'!B:B, 0)), "")</f>
        <v/>
      </c>
      <c r="W58" s="230"/>
      <c r="X58" s="102" t="s">
        <v>1991</v>
      </c>
      <c r="Y58" s="102" t="s">
        <v>1992</v>
      </c>
    </row>
    <row r="59">
      <c r="A59" s="102" t="s">
        <v>276</v>
      </c>
      <c r="B59" s="102" t="s">
        <v>3453</v>
      </c>
      <c r="C59" s="229" t="s">
        <v>3454</v>
      </c>
      <c r="D59" s="102" t="s">
        <v>279</v>
      </c>
      <c r="E59" s="102" t="s">
        <v>280</v>
      </c>
      <c r="F59" s="102" t="s">
        <v>281</v>
      </c>
      <c r="G59" s="102" t="s">
        <v>1987</v>
      </c>
      <c r="H59" s="102" t="s">
        <v>1988</v>
      </c>
      <c r="I59" s="102" t="s">
        <v>284</v>
      </c>
      <c r="J59" s="102" t="s">
        <v>63</v>
      </c>
      <c r="L59" s="229" t="s">
        <v>3455</v>
      </c>
      <c r="M59" s="229" t="s">
        <v>3455</v>
      </c>
      <c r="O59" s="230"/>
      <c r="T59" s="230"/>
      <c r="U59" s="230" t="str">
        <f>IF(ISNUMBER(MATCH(B59, 'Sprint 18'!B:B, 0)), "มาจาก Sprint 18", "")</f>
        <v/>
      </c>
      <c r="V59" s="230" t="str">
        <f t="array" ref="V59">IF(ISNUMBER(MATCH(B59, 'Sprint 18'!B:B, 0)), INDEX('Sprint 18'!J:J, MATCH(B59, 'Sprint 18'!B:B, 0)), "")</f>
        <v/>
      </c>
      <c r="W59" s="230"/>
      <c r="X59" s="102" t="s">
        <v>1992</v>
      </c>
    </row>
    <row r="60">
      <c r="A60" s="102" t="s">
        <v>276</v>
      </c>
      <c r="B60" s="102" t="s">
        <v>3456</v>
      </c>
      <c r="C60" s="229" t="s">
        <v>3457</v>
      </c>
      <c r="D60" s="102" t="s">
        <v>291</v>
      </c>
      <c r="E60" s="102" t="s">
        <v>280</v>
      </c>
      <c r="F60" s="102" t="s">
        <v>281</v>
      </c>
      <c r="G60" s="102" t="s">
        <v>1987</v>
      </c>
      <c r="H60" s="102" t="s">
        <v>1988</v>
      </c>
      <c r="I60" s="102" t="s">
        <v>284</v>
      </c>
      <c r="J60" s="102" t="s">
        <v>63</v>
      </c>
      <c r="L60" s="229" t="s">
        <v>3455</v>
      </c>
      <c r="M60" s="229" t="s">
        <v>3455</v>
      </c>
      <c r="O60" s="230"/>
      <c r="T60" s="230"/>
      <c r="U60" s="230" t="str">
        <f>IF(ISNUMBER(MATCH(B60, 'Sprint 18'!B:B, 0)), "มาจาก Sprint 18", "")</f>
        <v/>
      </c>
      <c r="V60" s="230" t="str">
        <f t="array" ref="V60">IF(ISNUMBER(MATCH(B60, 'Sprint 18'!B:B, 0)), INDEX('Sprint 18'!J:J, MATCH(B60, 'Sprint 18'!B:B, 0)), "")</f>
        <v/>
      </c>
      <c r="W60" s="230"/>
      <c r="X60" s="102" t="s">
        <v>1992</v>
      </c>
    </row>
    <row r="61">
      <c r="A61" s="102" t="s">
        <v>276</v>
      </c>
      <c r="B61" s="102" t="s">
        <v>3459</v>
      </c>
      <c r="C61" s="229" t="s">
        <v>3460</v>
      </c>
      <c r="D61" s="102" t="s">
        <v>279</v>
      </c>
      <c r="E61" s="102" t="s">
        <v>280</v>
      </c>
      <c r="F61" s="102" t="s">
        <v>281</v>
      </c>
      <c r="G61" s="102" t="s">
        <v>1987</v>
      </c>
      <c r="H61" s="102" t="s">
        <v>1988</v>
      </c>
      <c r="I61" s="102" t="s">
        <v>284</v>
      </c>
      <c r="J61" s="102" t="s">
        <v>63</v>
      </c>
      <c r="L61" s="229" t="s">
        <v>3455</v>
      </c>
      <c r="M61" s="229" t="s">
        <v>3455</v>
      </c>
      <c r="O61" s="230"/>
      <c r="T61" s="230"/>
      <c r="U61" s="230" t="str">
        <f>IF(ISNUMBER(MATCH(B61, 'Sprint 18'!B:B, 0)), "มาจาก Sprint 18", "")</f>
        <v/>
      </c>
      <c r="V61" s="230" t="str">
        <f t="array" ref="V61">IF(ISNUMBER(MATCH(B61, 'Sprint 18'!B:B, 0)), INDEX('Sprint 18'!J:J, MATCH(B61, 'Sprint 18'!B:B, 0)), "")</f>
        <v/>
      </c>
      <c r="W61" s="230"/>
      <c r="X61" s="102" t="s">
        <v>1992</v>
      </c>
    </row>
    <row r="62">
      <c r="A62" s="102" t="s">
        <v>276</v>
      </c>
      <c r="B62" s="102" t="s">
        <v>3462</v>
      </c>
      <c r="C62" s="229" t="s">
        <v>3463</v>
      </c>
      <c r="D62" s="102" t="s">
        <v>291</v>
      </c>
      <c r="E62" s="102" t="s">
        <v>280</v>
      </c>
      <c r="F62" s="102" t="s">
        <v>281</v>
      </c>
      <c r="G62" s="102" t="s">
        <v>1987</v>
      </c>
      <c r="H62" s="102" t="s">
        <v>1988</v>
      </c>
      <c r="I62" s="102" t="s">
        <v>284</v>
      </c>
      <c r="J62" s="102" t="s">
        <v>63</v>
      </c>
      <c r="L62" s="229" t="s">
        <v>3455</v>
      </c>
      <c r="M62" s="229" t="s">
        <v>3455</v>
      </c>
      <c r="O62" s="230"/>
      <c r="T62" s="230"/>
      <c r="U62" s="230" t="str">
        <f>IF(ISNUMBER(MATCH(B62, 'Sprint 18'!B:B, 0)), "มาจาก Sprint 18", "")</f>
        <v/>
      </c>
      <c r="V62" s="230" t="str">
        <f t="array" ref="V62">IF(ISNUMBER(MATCH(B62, 'Sprint 18'!B:B, 0)), INDEX('Sprint 18'!J:J, MATCH(B62, 'Sprint 18'!B:B, 0)), "")</f>
        <v/>
      </c>
      <c r="W62" s="230"/>
      <c r="X62" s="102" t="s">
        <v>1992</v>
      </c>
    </row>
    <row r="63">
      <c r="A63" s="102" t="s">
        <v>276</v>
      </c>
      <c r="B63" s="102" t="s">
        <v>3899</v>
      </c>
      <c r="C63" s="229" t="s">
        <v>3900</v>
      </c>
      <c r="D63" s="102" t="s">
        <v>279</v>
      </c>
      <c r="E63" s="102" t="s">
        <v>280</v>
      </c>
      <c r="F63" s="102" t="s">
        <v>281</v>
      </c>
      <c r="G63" s="102" t="s">
        <v>1987</v>
      </c>
      <c r="H63" s="102" t="s">
        <v>1988</v>
      </c>
      <c r="I63" s="102" t="s">
        <v>284</v>
      </c>
      <c r="J63" s="102" t="s">
        <v>63</v>
      </c>
      <c r="L63" s="229" t="s">
        <v>3455</v>
      </c>
      <c r="M63" s="229" t="s">
        <v>3455</v>
      </c>
      <c r="O63" s="230"/>
      <c r="T63" s="230"/>
      <c r="U63" s="230" t="str">
        <f>IF(ISNUMBER(MATCH(B63, 'Sprint 18'!B:B, 0)), "มาจาก Sprint 18", "")</f>
        <v/>
      </c>
      <c r="V63" s="230" t="str">
        <f t="array" ref="V63">IF(ISNUMBER(MATCH(B63, 'Sprint 18'!B:B, 0)), INDEX('Sprint 18'!J:J, MATCH(B63, 'Sprint 18'!B:B, 0)), "")</f>
        <v/>
      </c>
      <c r="W63" s="230"/>
      <c r="X63" s="102" t="s">
        <v>1992</v>
      </c>
    </row>
    <row r="64">
      <c r="A64" s="102" t="s">
        <v>276</v>
      </c>
      <c r="B64" s="102" t="s">
        <v>3902</v>
      </c>
      <c r="C64" s="229" t="s">
        <v>3903</v>
      </c>
      <c r="D64" s="102" t="s">
        <v>291</v>
      </c>
      <c r="E64" s="102" t="s">
        <v>280</v>
      </c>
      <c r="F64" s="102" t="s">
        <v>281</v>
      </c>
      <c r="G64" s="102" t="s">
        <v>1987</v>
      </c>
      <c r="H64" s="102" t="s">
        <v>1988</v>
      </c>
      <c r="I64" s="102" t="s">
        <v>284</v>
      </c>
      <c r="J64" s="102" t="s">
        <v>355</v>
      </c>
      <c r="L64" s="229" t="s">
        <v>3455</v>
      </c>
      <c r="M64" s="229" t="s">
        <v>4356</v>
      </c>
      <c r="O64" s="230"/>
      <c r="T64" s="230"/>
      <c r="U64" s="230" t="str">
        <f>IF(ISNUMBER(MATCH(B64, 'Sprint 18'!B:B, 0)), "มาจาก Sprint 18", "")</f>
        <v/>
      </c>
      <c r="V64" s="230" t="str">
        <f t="array" ref="V64">IF(ISNUMBER(MATCH(B64, 'Sprint 18'!B:B, 0)), INDEX('Sprint 18'!J:J, MATCH(B64, 'Sprint 18'!B:B, 0)), "")</f>
        <v/>
      </c>
      <c r="W64" s="230"/>
      <c r="X64" s="102" t="s">
        <v>1992</v>
      </c>
    </row>
    <row r="65">
      <c r="A65" s="102" t="s">
        <v>276</v>
      </c>
      <c r="B65" s="102" t="s">
        <v>3904</v>
      </c>
      <c r="C65" s="229" t="s">
        <v>3905</v>
      </c>
      <c r="D65" s="102" t="s">
        <v>279</v>
      </c>
      <c r="E65" s="102" t="s">
        <v>280</v>
      </c>
      <c r="F65" s="102" t="s">
        <v>281</v>
      </c>
      <c r="G65" s="102" t="s">
        <v>1987</v>
      </c>
      <c r="H65" s="102" t="s">
        <v>1988</v>
      </c>
      <c r="I65" s="102" t="s">
        <v>284</v>
      </c>
      <c r="J65" s="102" t="s">
        <v>63</v>
      </c>
      <c r="L65" s="229" t="s">
        <v>3455</v>
      </c>
      <c r="M65" s="229" t="s">
        <v>3455</v>
      </c>
      <c r="O65" s="230"/>
      <c r="T65" s="230"/>
      <c r="U65" s="230" t="str">
        <f>IF(ISNUMBER(MATCH(B65, 'Sprint 18'!B:B, 0)), "มาจาก Sprint 18", "")</f>
        <v/>
      </c>
      <c r="V65" s="230" t="str">
        <f t="array" ref="V65">IF(ISNUMBER(MATCH(B65, 'Sprint 18'!B:B, 0)), INDEX('Sprint 18'!J:J, MATCH(B65, 'Sprint 18'!B:B, 0)), "")</f>
        <v/>
      </c>
      <c r="W65" s="230"/>
      <c r="X65" s="102" t="s">
        <v>1992</v>
      </c>
    </row>
    <row r="66">
      <c r="A66" s="102" t="s">
        <v>276</v>
      </c>
      <c r="B66" s="102" t="s">
        <v>3906</v>
      </c>
      <c r="C66" s="229" t="s">
        <v>3907</v>
      </c>
      <c r="D66" s="102" t="s">
        <v>291</v>
      </c>
      <c r="E66" s="102" t="s">
        <v>280</v>
      </c>
      <c r="F66" s="102" t="s">
        <v>281</v>
      </c>
      <c r="G66" s="102" t="s">
        <v>1987</v>
      </c>
      <c r="H66" s="102" t="s">
        <v>1988</v>
      </c>
      <c r="I66" s="102" t="s">
        <v>284</v>
      </c>
      <c r="J66" s="102" t="s">
        <v>63</v>
      </c>
      <c r="L66" s="229" t="s">
        <v>3455</v>
      </c>
      <c r="M66" s="229" t="s">
        <v>3455</v>
      </c>
      <c r="O66" s="230"/>
      <c r="T66" s="230"/>
      <c r="U66" s="230" t="str">
        <f>IF(ISNUMBER(MATCH(B66, 'Sprint 18'!B:B, 0)), "มาจาก Sprint 18", "")</f>
        <v/>
      </c>
      <c r="V66" s="230" t="str">
        <f t="array" ref="V66">IF(ISNUMBER(MATCH(B66, 'Sprint 18'!B:B, 0)), INDEX('Sprint 18'!J:J, MATCH(B66, 'Sprint 18'!B:B, 0)), "")</f>
        <v/>
      </c>
      <c r="W66" s="230"/>
      <c r="X66" s="102" t="s">
        <v>1992</v>
      </c>
    </row>
    <row r="67">
      <c r="A67" s="102" t="s">
        <v>276</v>
      </c>
      <c r="B67" s="102" t="s">
        <v>3908</v>
      </c>
      <c r="C67" s="229" t="s">
        <v>3909</v>
      </c>
      <c r="D67" s="102" t="s">
        <v>279</v>
      </c>
      <c r="E67" s="102" t="s">
        <v>280</v>
      </c>
      <c r="F67" s="102" t="s">
        <v>281</v>
      </c>
      <c r="G67" s="102" t="s">
        <v>1987</v>
      </c>
      <c r="H67" s="102" t="s">
        <v>1988</v>
      </c>
      <c r="I67" s="102" t="s">
        <v>284</v>
      </c>
      <c r="J67" s="102" t="s">
        <v>63</v>
      </c>
      <c r="L67" s="229" t="s">
        <v>3455</v>
      </c>
      <c r="M67" s="229" t="s">
        <v>3455</v>
      </c>
      <c r="O67" s="230"/>
      <c r="T67" s="230"/>
      <c r="U67" s="230" t="str">
        <f>IF(ISNUMBER(MATCH(B67, 'Sprint 18'!B:B, 0)), "มาจาก Sprint 18", "")</f>
        <v/>
      </c>
      <c r="V67" s="230" t="str">
        <f t="array" ref="V67">IF(ISNUMBER(MATCH(B67, 'Sprint 18'!B:B, 0)), INDEX('Sprint 18'!J:J, MATCH(B67, 'Sprint 18'!B:B, 0)), "")</f>
        <v/>
      </c>
      <c r="W67" s="230"/>
      <c r="X67" s="102" t="s">
        <v>1992</v>
      </c>
    </row>
    <row r="68">
      <c r="A68" s="102" t="s">
        <v>276</v>
      </c>
      <c r="B68" s="102" t="s">
        <v>3910</v>
      </c>
      <c r="C68" s="229" t="s">
        <v>3911</v>
      </c>
      <c r="D68" s="102" t="s">
        <v>291</v>
      </c>
      <c r="E68" s="102" t="s">
        <v>280</v>
      </c>
      <c r="F68" s="102" t="s">
        <v>281</v>
      </c>
      <c r="G68" s="102" t="s">
        <v>1987</v>
      </c>
      <c r="H68" s="102" t="s">
        <v>1988</v>
      </c>
      <c r="I68" s="102" t="s">
        <v>284</v>
      </c>
      <c r="J68" s="102" t="s">
        <v>355</v>
      </c>
      <c r="L68" s="229" t="s">
        <v>3455</v>
      </c>
      <c r="M68" s="229" t="s">
        <v>4357</v>
      </c>
      <c r="O68" s="230"/>
      <c r="T68" s="230"/>
      <c r="U68" s="230" t="str">
        <f>IF(ISNUMBER(MATCH(B68, 'Sprint 18'!B:B, 0)), "มาจาก Sprint 18", "")</f>
        <v/>
      </c>
      <c r="V68" s="230" t="str">
        <f t="array" ref="V68">IF(ISNUMBER(MATCH(B68, 'Sprint 18'!B:B, 0)), INDEX('Sprint 18'!J:J, MATCH(B68, 'Sprint 18'!B:B, 0)), "")</f>
        <v/>
      </c>
      <c r="W68" s="230"/>
      <c r="X68" s="102" t="s">
        <v>1992</v>
      </c>
    </row>
    <row r="69">
      <c r="A69" s="102" t="s">
        <v>276</v>
      </c>
      <c r="B69" s="102" t="s">
        <v>3464</v>
      </c>
      <c r="C69" s="229" t="s">
        <v>3465</v>
      </c>
      <c r="D69" s="102" t="s">
        <v>279</v>
      </c>
      <c r="E69" s="102" t="s">
        <v>280</v>
      </c>
      <c r="F69" s="102" t="s">
        <v>281</v>
      </c>
      <c r="G69" s="102" t="s">
        <v>1987</v>
      </c>
      <c r="H69" s="102" t="s">
        <v>1988</v>
      </c>
      <c r="I69" s="102" t="s">
        <v>284</v>
      </c>
      <c r="J69" s="102" t="s">
        <v>63</v>
      </c>
      <c r="L69" s="229" t="s">
        <v>3466</v>
      </c>
      <c r="M69" s="229" t="s">
        <v>3466</v>
      </c>
      <c r="O69" s="230"/>
      <c r="T69" s="230"/>
      <c r="U69" s="230" t="str">
        <f>IF(ISNUMBER(MATCH(B69, 'Sprint 18'!B:B, 0)), "มาจาก Sprint 18", "")</f>
        <v/>
      </c>
      <c r="V69" s="230" t="str">
        <f t="array" ref="V69">IF(ISNUMBER(MATCH(B69, 'Sprint 18'!B:B, 0)), INDEX('Sprint 18'!J:J, MATCH(B69, 'Sprint 18'!B:B, 0)), "")</f>
        <v/>
      </c>
      <c r="W69" s="230"/>
      <c r="X69" s="102" t="s">
        <v>1992</v>
      </c>
    </row>
    <row r="70">
      <c r="A70" s="102" t="s">
        <v>276</v>
      </c>
      <c r="B70" s="102" t="s">
        <v>3467</v>
      </c>
      <c r="C70" s="229" t="s">
        <v>3468</v>
      </c>
      <c r="D70" s="102" t="s">
        <v>291</v>
      </c>
      <c r="E70" s="102" t="s">
        <v>280</v>
      </c>
      <c r="F70" s="102" t="s">
        <v>281</v>
      </c>
      <c r="G70" s="102" t="s">
        <v>1987</v>
      </c>
      <c r="H70" s="102" t="s">
        <v>1988</v>
      </c>
      <c r="I70" s="102" t="s">
        <v>284</v>
      </c>
      <c r="J70" s="102" t="s">
        <v>63</v>
      </c>
      <c r="L70" s="229" t="s">
        <v>3466</v>
      </c>
      <c r="M70" s="229" t="s">
        <v>3466</v>
      </c>
      <c r="O70" s="230"/>
      <c r="T70" s="230"/>
      <c r="U70" s="230" t="str">
        <f>IF(ISNUMBER(MATCH(B70, 'Sprint 18'!B:B, 0)), "มาจาก Sprint 18", "")</f>
        <v/>
      </c>
      <c r="V70" s="230" t="str">
        <f t="array" ref="V70">IF(ISNUMBER(MATCH(B70, 'Sprint 18'!B:B, 0)), INDEX('Sprint 18'!J:J, MATCH(B70, 'Sprint 18'!B:B, 0)), "")</f>
        <v/>
      </c>
      <c r="W70" s="230"/>
      <c r="X70" s="102" t="s">
        <v>1992</v>
      </c>
    </row>
    <row r="71">
      <c r="A71" s="102" t="s">
        <v>276</v>
      </c>
      <c r="B71" s="102" t="s">
        <v>3469</v>
      </c>
      <c r="C71" s="229" t="s">
        <v>3470</v>
      </c>
      <c r="D71" s="102" t="s">
        <v>279</v>
      </c>
      <c r="E71" s="102" t="s">
        <v>280</v>
      </c>
      <c r="F71" s="102" t="s">
        <v>281</v>
      </c>
      <c r="G71" s="102" t="s">
        <v>1987</v>
      </c>
      <c r="H71" s="102" t="s">
        <v>1988</v>
      </c>
      <c r="I71" s="102" t="s">
        <v>284</v>
      </c>
      <c r="J71" s="102" t="s">
        <v>63</v>
      </c>
      <c r="L71" s="229" t="s">
        <v>3471</v>
      </c>
      <c r="M71" s="229" t="s">
        <v>3912</v>
      </c>
      <c r="O71" s="230"/>
      <c r="T71" s="230"/>
      <c r="U71" s="230" t="str">
        <f>IF(ISNUMBER(MATCH(B71, 'Sprint 18'!B:B, 0)), "มาจาก Sprint 18", "")</f>
        <v/>
      </c>
      <c r="V71" s="230" t="str">
        <f t="array" ref="V71">IF(ISNUMBER(MATCH(B71, 'Sprint 18'!B:B, 0)), INDEX('Sprint 18'!J:J, MATCH(B71, 'Sprint 18'!B:B, 0)), "")</f>
        <v/>
      </c>
      <c r="W71" s="230"/>
      <c r="X71" s="102" t="s">
        <v>1992</v>
      </c>
    </row>
    <row r="72">
      <c r="A72" s="102" t="s">
        <v>276</v>
      </c>
      <c r="B72" s="102" t="s">
        <v>3473</v>
      </c>
      <c r="C72" s="229" t="s">
        <v>3474</v>
      </c>
      <c r="D72" s="102" t="s">
        <v>291</v>
      </c>
      <c r="E72" s="102" t="s">
        <v>280</v>
      </c>
      <c r="F72" s="102" t="s">
        <v>281</v>
      </c>
      <c r="G72" s="102" t="s">
        <v>1987</v>
      </c>
      <c r="H72" s="102" t="s">
        <v>1988</v>
      </c>
      <c r="I72" s="102" t="s">
        <v>284</v>
      </c>
      <c r="J72" s="102" t="s">
        <v>63</v>
      </c>
      <c r="L72" s="229" t="s">
        <v>3471</v>
      </c>
      <c r="M72" s="229" t="s">
        <v>3471</v>
      </c>
      <c r="O72" s="230"/>
      <c r="T72" s="230"/>
      <c r="U72" s="230" t="str">
        <f>IF(ISNUMBER(MATCH(B72, 'Sprint 18'!B:B, 0)), "มาจาก Sprint 18", "")</f>
        <v/>
      </c>
      <c r="V72" s="230" t="str">
        <f t="array" ref="V72">IF(ISNUMBER(MATCH(B72, 'Sprint 18'!B:B, 0)), INDEX('Sprint 18'!J:J, MATCH(B72, 'Sprint 18'!B:B, 0)), "")</f>
        <v/>
      </c>
      <c r="W72" s="230"/>
      <c r="X72" s="102" t="s">
        <v>1992</v>
      </c>
    </row>
    <row r="73">
      <c r="A73" s="102" t="s">
        <v>276</v>
      </c>
      <c r="B73" s="102" t="s">
        <v>3475</v>
      </c>
      <c r="C73" s="229" t="s">
        <v>3476</v>
      </c>
      <c r="D73" s="102" t="s">
        <v>291</v>
      </c>
      <c r="E73" s="102" t="s">
        <v>280</v>
      </c>
      <c r="F73" s="102" t="s">
        <v>281</v>
      </c>
      <c r="G73" s="102" t="s">
        <v>1987</v>
      </c>
      <c r="H73" s="102" t="s">
        <v>1988</v>
      </c>
      <c r="I73" s="102" t="s">
        <v>284</v>
      </c>
      <c r="J73" s="102" t="s">
        <v>63</v>
      </c>
      <c r="L73" s="229" t="s">
        <v>3477</v>
      </c>
      <c r="M73" s="229" t="s">
        <v>3477</v>
      </c>
      <c r="O73" s="230"/>
      <c r="T73" s="230"/>
      <c r="U73" s="230" t="str">
        <f>IF(ISNUMBER(MATCH(B73, 'Sprint 18'!B:B, 0)), "มาจาก Sprint 18", "")</f>
        <v/>
      </c>
      <c r="V73" s="230" t="str">
        <f t="array" ref="V73">IF(ISNUMBER(MATCH(B73, 'Sprint 18'!B:B, 0)), INDEX('Sprint 18'!J:J, MATCH(B73, 'Sprint 18'!B:B, 0)), "")</f>
        <v/>
      </c>
      <c r="W73" s="230"/>
      <c r="X73" s="102" t="s">
        <v>1992</v>
      </c>
    </row>
    <row r="74">
      <c r="A74" s="102" t="s">
        <v>276</v>
      </c>
      <c r="B74" s="102" t="s">
        <v>3478</v>
      </c>
      <c r="C74" s="229" t="s">
        <v>3479</v>
      </c>
      <c r="D74" s="102" t="s">
        <v>279</v>
      </c>
      <c r="E74" s="102" t="s">
        <v>280</v>
      </c>
      <c r="F74" s="102" t="s">
        <v>281</v>
      </c>
      <c r="G74" s="102" t="s">
        <v>1987</v>
      </c>
      <c r="H74" s="102" t="s">
        <v>1988</v>
      </c>
      <c r="I74" s="102" t="s">
        <v>284</v>
      </c>
      <c r="J74" s="102" t="s">
        <v>34</v>
      </c>
      <c r="L74" s="229" t="s">
        <v>3477</v>
      </c>
      <c r="M74" s="229" t="s">
        <v>4358</v>
      </c>
      <c r="O74" s="230"/>
      <c r="T74" s="230"/>
      <c r="U74" s="230" t="str">
        <f>IF(ISNUMBER(MATCH(B74, 'Sprint 18'!B:B, 0)), "มาจาก Sprint 18", "")</f>
        <v/>
      </c>
      <c r="V74" s="230" t="str">
        <f t="array" ref="V74">IF(ISNUMBER(MATCH(B74, 'Sprint 18'!B:B, 0)), INDEX('Sprint 18'!J:J, MATCH(B74, 'Sprint 18'!B:B, 0)), "")</f>
        <v/>
      </c>
      <c r="W74" s="230"/>
      <c r="X74" s="102" t="s">
        <v>1992</v>
      </c>
    </row>
    <row r="75">
      <c r="A75" s="102" t="s">
        <v>276</v>
      </c>
      <c r="B75" s="102" t="s">
        <v>3913</v>
      </c>
      <c r="C75" s="229" t="s">
        <v>3914</v>
      </c>
      <c r="D75" s="102" t="s">
        <v>279</v>
      </c>
      <c r="E75" s="102" t="s">
        <v>280</v>
      </c>
      <c r="F75" s="102" t="s">
        <v>281</v>
      </c>
      <c r="G75" s="102" t="s">
        <v>1987</v>
      </c>
      <c r="H75" s="102" t="s">
        <v>1988</v>
      </c>
      <c r="I75" s="102" t="s">
        <v>284</v>
      </c>
      <c r="J75" s="102" t="s">
        <v>63</v>
      </c>
      <c r="L75" s="229" t="s">
        <v>3915</v>
      </c>
      <c r="M75" s="229" t="s">
        <v>4359</v>
      </c>
      <c r="O75" s="230"/>
      <c r="T75" s="230"/>
      <c r="U75" s="230" t="str">
        <f>IF(ISNUMBER(MATCH(B75, 'Sprint 18'!B:B, 0)), "มาจาก Sprint 18", "")</f>
        <v/>
      </c>
      <c r="V75" s="230" t="str">
        <f t="array" ref="V75">IF(ISNUMBER(MATCH(B75, 'Sprint 18'!B:B, 0)), INDEX('Sprint 18'!J:J, MATCH(B75, 'Sprint 18'!B:B, 0)), "")</f>
        <v/>
      </c>
      <c r="W75" s="230"/>
      <c r="X75" s="102" t="s">
        <v>1992</v>
      </c>
    </row>
    <row r="76">
      <c r="A76" s="102" t="s">
        <v>276</v>
      </c>
      <c r="B76" s="102" t="s">
        <v>3916</v>
      </c>
      <c r="C76" s="229" t="s">
        <v>3917</v>
      </c>
      <c r="D76" s="102" t="s">
        <v>291</v>
      </c>
      <c r="E76" s="102" t="s">
        <v>280</v>
      </c>
      <c r="F76" s="102" t="s">
        <v>281</v>
      </c>
      <c r="G76" s="102" t="s">
        <v>1987</v>
      </c>
      <c r="H76" s="102" t="s">
        <v>1988</v>
      </c>
      <c r="I76" s="102" t="s">
        <v>284</v>
      </c>
      <c r="J76" s="102" t="s">
        <v>355</v>
      </c>
      <c r="L76" s="229" t="s">
        <v>3915</v>
      </c>
      <c r="M76" s="229" t="s">
        <v>4360</v>
      </c>
      <c r="O76" s="230"/>
      <c r="T76" s="230"/>
      <c r="U76" s="230" t="str">
        <f>IF(ISNUMBER(MATCH(B76, 'Sprint 18'!B:B, 0)), "มาจาก Sprint 18", "")</f>
        <v/>
      </c>
      <c r="V76" s="230" t="str">
        <f t="array" ref="V76">IF(ISNUMBER(MATCH(B76, 'Sprint 18'!B:B, 0)), INDEX('Sprint 18'!J:J, MATCH(B76, 'Sprint 18'!B:B, 0)), "")</f>
        <v/>
      </c>
      <c r="W76" s="230"/>
      <c r="X76" s="102" t="s">
        <v>1992</v>
      </c>
    </row>
    <row r="77">
      <c r="A77" s="102" t="s">
        <v>276</v>
      </c>
      <c r="B77" s="102" t="s">
        <v>3919</v>
      </c>
      <c r="C77" s="229" t="s">
        <v>3920</v>
      </c>
      <c r="D77" s="102" t="s">
        <v>279</v>
      </c>
      <c r="E77" s="102" t="s">
        <v>280</v>
      </c>
      <c r="F77" s="102" t="s">
        <v>281</v>
      </c>
      <c r="G77" s="102" t="s">
        <v>1987</v>
      </c>
      <c r="H77" s="102" t="s">
        <v>1988</v>
      </c>
      <c r="I77" s="102" t="s">
        <v>284</v>
      </c>
      <c r="J77" s="102" t="s">
        <v>63</v>
      </c>
      <c r="L77" s="229" t="s">
        <v>3915</v>
      </c>
      <c r="M77" s="229" t="s">
        <v>4359</v>
      </c>
      <c r="O77" s="230"/>
      <c r="T77" s="230"/>
      <c r="U77" s="230" t="str">
        <f>IF(ISNUMBER(MATCH(B77, 'Sprint 18'!B:B, 0)), "มาจาก Sprint 18", "")</f>
        <v/>
      </c>
      <c r="V77" s="230" t="str">
        <f t="array" ref="V77">IF(ISNUMBER(MATCH(B77, 'Sprint 18'!B:B, 0)), INDEX('Sprint 18'!J:J, MATCH(B77, 'Sprint 18'!B:B, 0)), "")</f>
        <v/>
      </c>
      <c r="W77" s="230"/>
      <c r="X77" s="102" t="s">
        <v>1992</v>
      </c>
    </row>
    <row r="78">
      <c r="A78" s="102" t="s">
        <v>276</v>
      </c>
      <c r="B78" s="102" t="s">
        <v>3921</v>
      </c>
      <c r="C78" s="229" t="s">
        <v>3922</v>
      </c>
      <c r="D78" s="102" t="s">
        <v>291</v>
      </c>
      <c r="E78" s="102" t="s">
        <v>280</v>
      </c>
      <c r="F78" s="102" t="s">
        <v>281</v>
      </c>
      <c r="G78" s="102" t="s">
        <v>1987</v>
      </c>
      <c r="H78" s="102" t="s">
        <v>1988</v>
      </c>
      <c r="I78" s="102" t="s">
        <v>284</v>
      </c>
      <c r="J78" s="102" t="s">
        <v>355</v>
      </c>
      <c r="L78" s="229" t="s">
        <v>3915</v>
      </c>
      <c r="M78" s="229" t="s">
        <v>4361</v>
      </c>
      <c r="O78" s="230"/>
      <c r="T78" s="230"/>
      <c r="U78" s="230" t="str">
        <f>IF(ISNUMBER(MATCH(B78, 'Sprint 18'!B:B, 0)), "มาจาก Sprint 18", "")</f>
        <v/>
      </c>
      <c r="V78" s="230" t="str">
        <f t="array" ref="V78">IF(ISNUMBER(MATCH(B78, 'Sprint 18'!B:B, 0)), INDEX('Sprint 18'!J:J, MATCH(B78, 'Sprint 18'!B:B, 0)), "")</f>
        <v/>
      </c>
      <c r="W78" s="230"/>
      <c r="X78" s="102" t="s">
        <v>1992</v>
      </c>
    </row>
    <row r="79">
      <c r="A79" s="102" t="s">
        <v>276</v>
      </c>
      <c r="B79" s="102" t="s">
        <v>3480</v>
      </c>
      <c r="C79" s="229" t="s">
        <v>3481</v>
      </c>
      <c r="D79" s="102" t="s">
        <v>347</v>
      </c>
      <c r="E79" s="102" t="s">
        <v>280</v>
      </c>
      <c r="F79" s="102" t="s">
        <v>281</v>
      </c>
      <c r="G79" s="102" t="s">
        <v>280</v>
      </c>
      <c r="H79" s="102" t="s">
        <v>281</v>
      </c>
      <c r="I79" s="102" t="s">
        <v>284</v>
      </c>
      <c r="J79" s="102" t="s">
        <v>63</v>
      </c>
      <c r="L79" s="229" t="s">
        <v>3482</v>
      </c>
      <c r="M79" s="229" t="s">
        <v>3482</v>
      </c>
      <c r="O79" s="230"/>
      <c r="T79" s="230"/>
      <c r="U79" s="230" t="str">
        <f>IF(ISNUMBER(MATCH(B79, 'Sprint 18'!B:B, 0)), "มาจาก Sprint 18", "")</f>
        <v/>
      </c>
      <c r="V79" s="230" t="str">
        <f t="array" ref="V79">IF(ISNUMBER(MATCH(B79, 'Sprint 18'!B:B, 0)), INDEX('Sprint 18'!J:J, MATCH(B79, 'Sprint 18'!B:B, 0)), "")</f>
        <v/>
      </c>
      <c r="W79" s="230"/>
      <c r="X79" s="102" t="s">
        <v>1992</v>
      </c>
    </row>
    <row r="80">
      <c r="A80" s="102" t="s">
        <v>276</v>
      </c>
      <c r="B80" s="102" t="s">
        <v>3484</v>
      </c>
      <c r="C80" s="229" t="s">
        <v>3485</v>
      </c>
      <c r="D80" s="102" t="s">
        <v>2030</v>
      </c>
      <c r="E80" s="102" t="s">
        <v>280</v>
      </c>
      <c r="F80" s="102" t="s">
        <v>281</v>
      </c>
      <c r="G80" s="102" t="s">
        <v>280</v>
      </c>
      <c r="H80" s="102" t="s">
        <v>281</v>
      </c>
      <c r="I80" s="102" t="s">
        <v>284</v>
      </c>
      <c r="J80" s="102" t="s">
        <v>355</v>
      </c>
      <c r="L80" s="229" t="s">
        <v>3486</v>
      </c>
      <c r="M80" s="229" t="s">
        <v>4362</v>
      </c>
      <c r="O80" s="230"/>
      <c r="T80" s="230"/>
      <c r="U80" s="230" t="str">
        <f>IF(ISNUMBER(MATCH(B80, 'Sprint 18'!B:B, 0)), "มาจาก Sprint 18", "")</f>
        <v/>
      </c>
      <c r="V80" s="230" t="str">
        <f t="array" ref="V80">IF(ISNUMBER(MATCH(B80, 'Sprint 18'!B:B, 0)), INDEX('Sprint 18'!J:J, MATCH(B80, 'Sprint 18'!B:B, 0)), "")</f>
        <v/>
      </c>
      <c r="W80" s="230"/>
      <c r="X80" s="102" t="s">
        <v>1992</v>
      </c>
    </row>
    <row r="81">
      <c r="A81" s="102" t="s">
        <v>276</v>
      </c>
      <c r="B81" s="102" t="s">
        <v>3488</v>
      </c>
      <c r="C81" s="229" t="s">
        <v>3489</v>
      </c>
      <c r="D81" s="102" t="s">
        <v>347</v>
      </c>
      <c r="E81" s="102" t="s">
        <v>280</v>
      </c>
      <c r="F81" s="102" t="s">
        <v>281</v>
      </c>
      <c r="G81" s="102" t="s">
        <v>280</v>
      </c>
      <c r="H81" s="102" t="s">
        <v>281</v>
      </c>
      <c r="I81" s="102" t="s">
        <v>284</v>
      </c>
      <c r="J81" s="102" t="s">
        <v>63</v>
      </c>
      <c r="L81" s="229" t="s">
        <v>3486</v>
      </c>
      <c r="M81" s="229" t="s">
        <v>3486</v>
      </c>
      <c r="O81" s="230"/>
      <c r="T81" s="230"/>
      <c r="U81" s="230" t="str">
        <f>IF(ISNUMBER(MATCH(B81, 'Sprint 18'!B:B, 0)), "มาจาก Sprint 18", "")</f>
        <v/>
      </c>
      <c r="V81" s="230" t="str">
        <f t="array" ref="V81">IF(ISNUMBER(MATCH(B81, 'Sprint 18'!B:B, 0)), INDEX('Sprint 18'!J:J, MATCH(B81, 'Sprint 18'!B:B, 0)), "")</f>
        <v/>
      </c>
      <c r="W81" s="230"/>
      <c r="X81" s="102" t="s">
        <v>1992</v>
      </c>
    </row>
    <row r="82">
      <c r="A82" s="102" t="s">
        <v>276</v>
      </c>
      <c r="B82" s="102" t="s">
        <v>3491</v>
      </c>
      <c r="C82" s="229" t="s">
        <v>3492</v>
      </c>
      <c r="D82" s="102" t="s">
        <v>2030</v>
      </c>
      <c r="E82" s="102" t="s">
        <v>280</v>
      </c>
      <c r="F82" s="102" t="s">
        <v>281</v>
      </c>
      <c r="G82" s="102" t="s">
        <v>280</v>
      </c>
      <c r="H82" s="102" t="s">
        <v>281</v>
      </c>
      <c r="I82" s="102" t="s">
        <v>284</v>
      </c>
      <c r="J82" s="102" t="s">
        <v>355</v>
      </c>
      <c r="L82" s="229" t="s">
        <v>3486</v>
      </c>
      <c r="M82" s="229" t="s">
        <v>4363</v>
      </c>
      <c r="O82" s="230"/>
      <c r="T82" s="230"/>
      <c r="U82" s="230" t="str">
        <f>IF(ISNUMBER(MATCH(B82, 'Sprint 18'!B:B, 0)), "มาจาก Sprint 18", "")</f>
        <v/>
      </c>
      <c r="V82" s="230" t="str">
        <f t="array" ref="V82">IF(ISNUMBER(MATCH(B82, 'Sprint 18'!B:B, 0)), INDEX('Sprint 18'!J:J, MATCH(B82, 'Sprint 18'!B:B, 0)), "")</f>
        <v/>
      </c>
      <c r="W82" s="230"/>
      <c r="X82" s="102" t="s">
        <v>1992</v>
      </c>
    </row>
    <row r="83">
      <c r="A83" s="102" t="s">
        <v>276</v>
      </c>
      <c r="B83" s="102" t="s">
        <v>3493</v>
      </c>
      <c r="C83" s="229" t="s">
        <v>3494</v>
      </c>
      <c r="D83" s="102" t="s">
        <v>347</v>
      </c>
      <c r="E83" s="102" t="s">
        <v>280</v>
      </c>
      <c r="F83" s="102" t="s">
        <v>281</v>
      </c>
      <c r="G83" s="102" t="s">
        <v>280</v>
      </c>
      <c r="H83" s="102" t="s">
        <v>281</v>
      </c>
      <c r="I83" s="102" t="s">
        <v>284</v>
      </c>
      <c r="J83" s="102" t="s">
        <v>63</v>
      </c>
      <c r="L83" s="229" t="s">
        <v>3486</v>
      </c>
      <c r="M83" s="229" t="s">
        <v>3486</v>
      </c>
      <c r="O83" s="230"/>
      <c r="T83" s="230"/>
      <c r="U83" s="230" t="str">
        <f>IF(ISNUMBER(MATCH(B83, 'Sprint 18'!B:B, 0)), "มาจาก Sprint 18", "")</f>
        <v/>
      </c>
      <c r="V83" s="230" t="str">
        <f t="array" ref="V83">IF(ISNUMBER(MATCH(B83, 'Sprint 18'!B:B, 0)), INDEX('Sprint 18'!J:J, MATCH(B83, 'Sprint 18'!B:B, 0)), "")</f>
        <v/>
      </c>
      <c r="W83" s="230"/>
      <c r="X83" s="102" t="s">
        <v>1992</v>
      </c>
    </row>
    <row r="84">
      <c r="A84" s="102" t="s">
        <v>276</v>
      </c>
      <c r="B84" s="102" t="s">
        <v>3496</v>
      </c>
      <c r="C84" s="229" t="s">
        <v>3497</v>
      </c>
      <c r="D84" s="102" t="s">
        <v>2030</v>
      </c>
      <c r="E84" s="102" t="s">
        <v>280</v>
      </c>
      <c r="F84" s="102" t="s">
        <v>281</v>
      </c>
      <c r="G84" s="102" t="s">
        <v>280</v>
      </c>
      <c r="H84" s="102" t="s">
        <v>281</v>
      </c>
      <c r="I84" s="102" t="s">
        <v>284</v>
      </c>
      <c r="J84" s="102" t="s">
        <v>355</v>
      </c>
      <c r="L84" s="229" t="s">
        <v>3498</v>
      </c>
      <c r="M84" s="229" t="s">
        <v>4364</v>
      </c>
      <c r="O84" s="230"/>
      <c r="T84" s="230"/>
      <c r="U84" s="230" t="str">
        <f>IF(ISNUMBER(MATCH(B84, 'Sprint 18'!B:B, 0)), "มาจาก Sprint 18", "")</f>
        <v/>
      </c>
      <c r="V84" s="230" t="str">
        <f t="array" ref="V84">IF(ISNUMBER(MATCH(B84, 'Sprint 18'!B:B, 0)), INDEX('Sprint 18'!J:J, MATCH(B84, 'Sprint 18'!B:B, 0)), "")</f>
        <v/>
      </c>
      <c r="W84" s="230"/>
      <c r="X84" s="102" t="s">
        <v>1992</v>
      </c>
    </row>
    <row r="85">
      <c r="A85" s="102" t="s">
        <v>276</v>
      </c>
      <c r="B85" s="102" t="s">
        <v>3499</v>
      </c>
      <c r="C85" s="229" t="s">
        <v>3500</v>
      </c>
      <c r="D85" s="102" t="s">
        <v>347</v>
      </c>
      <c r="E85" s="102" t="s">
        <v>280</v>
      </c>
      <c r="F85" s="102" t="s">
        <v>281</v>
      </c>
      <c r="G85" s="102" t="s">
        <v>280</v>
      </c>
      <c r="H85" s="102" t="s">
        <v>281</v>
      </c>
      <c r="I85" s="102" t="s">
        <v>284</v>
      </c>
      <c r="J85" s="102" t="s">
        <v>63</v>
      </c>
      <c r="L85" s="229" t="s">
        <v>3501</v>
      </c>
      <c r="M85" s="229" t="s">
        <v>3501</v>
      </c>
      <c r="O85" s="230"/>
      <c r="T85" s="230"/>
      <c r="U85" s="230" t="str">
        <f>IF(ISNUMBER(MATCH(B85, 'Sprint 18'!B:B, 0)), "มาจาก Sprint 18", "")</f>
        <v/>
      </c>
      <c r="V85" s="230" t="str">
        <f t="array" ref="V85">IF(ISNUMBER(MATCH(B85, 'Sprint 18'!B:B, 0)), INDEX('Sprint 18'!J:J, MATCH(B85, 'Sprint 18'!B:B, 0)), "")</f>
        <v/>
      </c>
      <c r="W85" s="230"/>
      <c r="X85" s="102" t="s">
        <v>1992</v>
      </c>
    </row>
    <row r="86">
      <c r="A86" s="102" t="s">
        <v>276</v>
      </c>
      <c r="B86" s="102" t="s">
        <v>3503</v>
      </c>
      <c r="C86" s="229" t="s">
        <v>3504</v>
      </c>
      <c r="D86" s="102" t="s">
        <v>2030</v>
      </c>
      <c r="E86" s="102" t="s">
        <v>280</v>
      </c>
      <c r="F86" s="102" t="s">
        <v>281</v>
      </c>
      <c r="G86" s="102" t="s">
        <v>280</v>
      </c>
      <c r="H86" s="102" t="s">
        <v>281</v>
      </c>
      <c r="I86" s="102" t="s">
        <v>284</v>
      </c>
      <c r="J86" s="102" t="s">
        <v>355</v>
      </c>
      <c r="L86" s="229" t="s">
        <v>3501</v>
      </c>
      <c r="M86" s="229" t="s">
        <v>3498</v>
      </c>
      <c r="O86" s="230"/>
      <c r="T86" s="230"/>
      <c r="U86" s="230" t="str">
        <f>IF(ISNUMBER(MATCH(B86, 'Sprint 18'!B:B, 0)), "มาจาก Sprint 18", "")</f>
        <v/>
      </c>
      <c r="V86" s="230" t="str">
        <f t="array" ref="V86">IF(ISNUMBER(MATCH(B86, 'Sprint 18'!B:B, 0)), INDEX('Sprint 18'!J:J, MATCH(B86, 'Sprint 18'!B:B, 0)), "")</f>
        <v/>
      </c>
      <c r="W86" s="230"/>
      <c r="X86" s="102" t="s">
        <v>1992</v>
      </c>
    </row>
    <row r="87">
      <c r="A87" s="102" t="s">
        <v>276</v>
      </c>
      <c r="B87" s="102" t="s">
        <v>3505</v>
      </c>
      <c r="C87" s="229" t="s">
        <v>3506</v>
      </c>
      <c r="D87" s="102" t="s">
        <v>347</v>
      </c>
      <c r="G87" s="102" t="s">
        <v>280</v>
      </c>
      <c r="H87" s="102" t="s">
        <v>281</v>
      </c>
      <c r="I87" s="102" t="s">
        <v>284</v>
      </c>
      <c r="J87" s="102" t="s">
        <v>63</v>
      </c>
      <c r="L87" s="229" t="s">
        <v>3501</v>
      </c>
      <c r="M87" s="229" t="s">
        <v>3501</v>
      </c>
      <c r="O87" s="230"/>
      <c r="T87" s="230"/>
      <c r="U87" s="230" t="str">
        <f>IF(ISNUMBER(MATCH(B87, 'Sprint 18'!B:B, 0)), "มาจาก Sprint 18", "")</f>
        <v/>
      </c>
      <c r="V87" s="230" t="str">
        <f t="array" ref="V87">IF(ISNUMBER(MATCH(B87, 'Sprint 18'!B:B, 0)), INDEX('Sprint 18'!J:J, MATCH(B87, 'Sprint 18'!B:B, 0)), "")</f>
        <v/>
      </c>
      <c r="W87" s="230"/>
      <c r="X87" s="102" t="s">
        <v>1992</v>
      </c>
    </row>
    <row r="88">
      <c r="A88" s="102" t="s">
        <v>276</v>
      </c>
      <c r="B88" s="102" t="s">
        <v>3508</v>
      </c>
      <c r="C88" s="229" t="s">
        <v>3509</v>
      </c>
      <c r="D88" s="102" t="s">
        <v>2030</v>
      </c>
      <c r="E88" s="102" t="s">
        <v>280</v>
      </c>
      <c r="F88" s="102" t="s">
        <v>281</v>
      </c>
      <c r="G88" s="102" t="s">
        <v>280</v>
      </c>
      <c r="H88" s="102" t="s">
        <v>281</v>
      </c>
      <c r="I88" s="102" t="s">
        <v>284</v>
      </c>
      <c r="J88" s="102" t="s">
        <v>355</v>
      </c>
      <c r="L88" s="229" t="s">
        <v>3501</v>
      </c>
      <c r="M88" s="229" t="s">
        <v>3501</v>
      </c>
      <c r="O88" s="230"/>
      <c r="T88" s="230"/>
      <c r="U88" s="230" t="str">
        <f>IF(ISNUMBER(MATCH(B88, 'Sprint 18'!B:B, 0)), "มาจาก Sprint 18", "")</f>
        <v/>
      </c>
      <c r="V88" s="230" t="str">
        <f t="array" ref="V88">IF(ISNUMBER(MATCH(B88, 'Sprint 18'!B:B, 0)), INDEX('Sprint 18'!J:J, MATCH(B88, 'Sprint 18'!B:B, 0)), "")</f>
        <v/>
      </c>
      <c r="W88" s="230"/>
      <c r="X88" s="102" t="s">
        <v>1992</v>
      </c>
    </row>
    <row r="89">
      <c r="A89" s="102" t="s">
        <v>310</v>
      </c>
      <c r="B89" s="102" t="s">
        <v>4365</v>
      </c>
      <c r="C89" s="229" t="s">
        <v>4366</v>
      </c>
      <c r="D89" s="102" t="s">
        <v>4367</v>
      </c>
      <c r="E89" s="102" t="s">
        <v>282</v>
      </c>
      <c r="F89" s="102" t="s">
        <v>283</v>
      </c>
      <c r="G89" s="102" t="s">
        <v>316</v>
      </c>
      <c r="H89" s="102" t="s">
        <v>317</v>
      </c>
      <c r="I89" s="102" t="s">
        <v>284</v>
      </c>
      <c r="J89" s="102" t="s">
        <v>26</v>
      </c>
      <c r="L89" s="229" t="s">
        <v>4368</v>
      </c>
      <c r="M89" s="229" t="s">
        <v>4369</v>
      </c>
      <c r="N89" s="229" t="s">
        <v>4099</v>
      </c>
      <c r="O89" s="102">
        <v>2.0</v>
      </c>
      <c r="P89" s="102" t="s">
        <v>433</v>
      </c>
      <c r="Q89" s="102" t="s">
        <v>474</v>
      </c>
      <c r="T89" s="230"/>
      <c r="U89" s="230" t="str">
        <f>IF(ISNUMBER(MATCH(B89, 'Sprint 18'!B:B, 0)), "มาจาก Sprint 18", "")</f>
        <v/>
      </c>
      <c r="V89" s="230" t="str">
        <f t="array" ref="V89">IF(ISNUMBER(MATCH(B89, 'Sprint 18'!B:B, 0)), INDEX('Sprint 18'!J:J, MATCH(B89, 'Sprint 18'!B:B, 0)), "")</f>
        <v/>
      </c>
      <c r="W89" s="230"/>
      <c r="X89" s="102" t="s">
        <v>4005</v>
      </c>
    </row>
    <row r="90">
      <c r="A90" s="102" t="s">
        <v>276</v>
      </c>
      <c r="B90" s="102" t="s">
        <v>4370</v>
      </c>
      <c r="C90" s="229" t="s">
        <v>4371</v>
      </c>
      <c r="D90" s="102" t="s">
        <v>4345</v>
      </c>
      <c r="E90" s="102" t="s">
        <v>391</v>
      </c>
      <c r="F90" s="102" t="s">
        <v>392</v>
      </c>
      <c r="G90" s="102" t="s">
        <v>391</v>
      </c>
      <c r="H90" s="102" t="s">
        <v>392</v>
      </c>
      <c r="I90" s="102" t="s">
        <v>284</v>
      </c>
      <c r="J90" s="102" t="s">
        <v>26</v>
      </c>
      <c r="L90" s="229" t="s">
        <v>4372</v>
      </c>
      <c r="M90" s="229" t="s">
        <v>4373</v>
      </c>
      <c r="O90" s="230"/>
      <c r="T90" s="230"/>
      <c r="U90" s="230" t="str">
        <f>IF(ISNUMBER(MATCH(B90, 'Sprint 18'!B:B, 0)), "มาจาก Sprint 18", "")</f>
        <v/>
      </c>
      <c r="V90" s="230" t="str">
        <f t="array" ref="V90">IF(ISNUMBER(MATCH(B90, 'Sprint 18'!B:B, 0)), INDEX('Sprint 18'!J:J, MATCH(B90, 'Sprint 18'!B:B, 0)), "")</f>
        <v/>
      </c>
      <c r="W90" s="230"/>
      <c r="X90" s="102" t="s">
        <v>2269</v>
      </c>
      <c r="Y90" s="102" t="s">
        <v>2270</v>
      </c>
    </row>
    <row r="91">
      <c r="A91" s="102" t="s">
        <v>276</v>
      </c>
      <c r="B91" s="102" t="s">
        <v>4374</v>
      </c>
      <c r="C91" s="229" t="s">
        <v>4375</v>
      </c>
      <c r="D91" s="102" t="s">
        <v>4345</v>
      </c>
      <c r="E91" s="102" t="s">
        <v>391</v>
      </c>
      <c r="F91" s="102" t="s">
        <v>392</v>
      </c>
      <c r="G91" s="102" t="s">
        <v>391</v>
      </c>
      <c r="H91" s="102" t="s">
        <v>392</v>
      </c>
      <c r="I91" s="102" t="s">
        <v>284</v>
      </c>
      <c r="J91" s="102" t="s">
        <v>26</v>
      </c>
      <c r="L91" s="229" t="s">
        <v>4376</v>
      </c>
      <c r="M91" s="229" t="s">
        <v>4292</v>
      </c>
      <c r="O91" s="230"/>
      <c r="T91" s="230"/>
      <c r="U91" s="230" t="str">
        <f>IF(ISNUMBER(MATCH(B91, 'Sprint 18'!B:B, 0)), "มาจาก Sprint 18", "")</f>
        <v/>
      </c>
      <c r="V91" s="230" t="str">
        <f t="array" ref="V91">IF(ISNUMBER(MATCH(B91, 'Sprint 18'!B:B, 0)), INDEX('Sprint 18'!J:J, MATCH(B91, 'Sprint 18'!B:B, 0)), "")</f>
        <v/>
      </c>
      <c r="W91" s="230"/>
      <c r="X91" s="102" t="s">
        <v>2269</v>
      </c>
      <c r="Y91" s="102" t="s">
        <v>2270</v>
      </c>
    </row>
    <row r="92">
      <c r="A92" s="102" t="s">
        <v>276</v>
      </c>
      <c r="B92" s="102" t="s">
        <v>4377</v>
      </c>
      <c r="C92" s="229" t="s">
        <v>4378</v>
      </c>
      <c r="D92" s="102" t="s">
        <v>4345</v>
      </c>
      <c r="E92" s="102" t="s">
        <v>391</v>
      </c>
      <c r="F92" s="102" t="s">
        <v>392</v>
      </c>
      <c r="G92" s="102" t="s">
        <v>391</v>
      </c>
      <c r="H92" s="102" t="s">
        <v>392</v>
      </c>
      <c r="I92" s="102" t="s">
        <v>284</v>
      </c>
      <c r="J92" s="102" t="s">
        <v>26</v>
      </c>
      <c r="L92" s="229" t="s">
        <v>4379</v>
      </c>
      <c r="M92" s="229" t="s">
        <v>4379</v>
      </c>
      <c r="O92" s="230"/>
      <c r="T92" s="230"/>
      <c r="U92" s="230" t="str">
        <f>IF(ISNUMBER(MATCH(B92, 'Sprint 18'!B:B, 0)), "มาจาก Sprint 18", "")</f>
        <v/>
      </c>
      <c r="V92" s="230" t="str">
        <f t="array" ref="V92">IF(ISNUMBER(MATCH(B92, 'Sprint 18'!B:B, 0)), INDEX('Sprint 18'!J:J, MATCH(B92, 'Sprint 18'!B:B, 0)), "")</f>
        <v/>
      </c>
      <c r="W92" s="230"/>
      <c r="X92" s="102" t="s">
        <v>2269</v>
      </c>
      <c r="Y92" s="102" t="s">
        <v>2270</v>
      </c>
    </row>
    <row r="93">
      <c r="A93" s="102" t="s">
        <v>276</v>
      </c>
      <c r="B93" s="102" t="s">
        <v>4380</v>
      </c>
      <c r="C93" s="229" t="s">
        <v>4381</v>
      </c>
      <c r="D93" s="102" t="s">
        <v>4345</v>
      </c>
      <c r="E93" s="102" t="s">
        <v>391</v>
      </c>
      <c r="F93" s="102" t="s">
        <v>392</v>
      </c>
      <c r="G93" s="102" t="s">
        <v>391</v>
      </c>
      <c r="H93" s="102" t="s">
        <v>392</v>
      </c>
      <c r="I93" s="102" t="s">
        <v>284</v>
      </c>
      <c r="J93" s="102" t="s">
        <v>26</v>
      </c>
      <c r="L93" s="229" t="s">
        <v>4382</v>
      </c>
      <c r="M93" s="229" t="s">
        <v>4383</v>
      </c>
      <c r="O93" s="230"/>
      <c r="T93" s="230"/>
      <c r="U93" s="230" t="str">
        <f>IF(ISNUMBER(MATCH(B93, 'Sprint 18'!B:B, 0)), "มาจาก Sprint 18", "")</f>
        <v/>
      </c>
      <c r="V93" s="230" t="str">
        <f t="array" ref="V93">IF(ISNUMBER(MATCH(B93, 'Sprint 18'!B:B, 0)), INDEX('Sprint 18'!J:J, MATCH(B93, 'Sprint 18'!B:B, 0)), "")</f>
        <v/>
      </c>
      <c r="W93" s="230"/>
      <c r="X93" s="102" t="s">
        <v>2269</v>
      </c>
      <c r="Y93" s="102" t="s">
        <v>2270</v>
      </c>
    </row>
    <row r="94">
      <c r="A94" s="102" t="s">
        <v>276</v>
      </c>
      <c r="B94" s="102" t="s">
        <v>4384</v>
      </c>
      <c r="C94" s="229" t="s">
        <v>4385</v>
      </c>
      <c r="D94" s="102" t="s">
        <v>3764</v>
      </c>
      <c r="E94" s="102" t="s">
        <v>391</v>
      </c>
      <c r="F94" s="102" t="s">
        <v>392</v>
      </c>
      <c r="G94" s="102" t="s">
        <v>391</v>
      </c>
      <c r="H94" s="102" t="s">
        <v>392</v>
      </c>
      <c r="I94" s="102" t="s">
        <v>284</v>
      </c>
      <c r="J94" s="102" t="s">
        <v>26</v>
      </c>
      <c r="L94" s="229" t="s">
        <v>4386</v>
      </c>
      <c r="M94" s="229" t="s">
        <v>4387</v>
      </c>
      <c r="O94" s="230"/>
      <c r="T94" s="230"/>
      <c r="U94" s="230" t="str">
        <f>IF(ISNUMBER(MATCH(B94, 'Sprint 18'!B:B, 0)), "มาจาก Sprint 18", "")</f>
        <v/>
      </c>
      <c r="V94" s="230" t="str">
        <f t="array" ref="V94">IF(ISNUMBER(MATCH(B94, 'Sprint 18'!B:B, 0)), INDEX('Sprint 18'!J:J, MATCH(B94, 'Sprint 18'!B:B, 0)), "")</f>
        <v/>
      </c>
      <c r="W94" s="230"/>
      <c r="X94" s="102" t="s">
        <v>2269</v>
      </c>
      <c r="Y94" s="102" t="s">
        <v>2270</v>
      </c>
    </row>
    <row r="95">
      <c r="A95" s="102" t="s">
        <v>276</v>
      </c>
      <c r="B95" s="102" t="s">
        <v>4388</v>
      </c>
      <c r="C95" s="229" t="s">
        <v>4389</v>
      </c>
      <c r="D95" s="102" t="s">
        <v>3764</v>
      </c>
      <c r="E95" s="102" t="s">
        <v>391</v>
      </c>
      <c r="F95" s="102" t="s">
        <v>392</v>
      </c>
      <c r="G95" s="102" t="s">
        <v>391</v>
      </c>
      <c r="H95" s="102" t="s">
        <v>392</v>
      </c>
      <c r="I95" s="102" t="s">
        <v>284</v>
      </c>
      <c r="J95" s="102" t="s">
        <v>26</v>
      </c>
      <c r="L95" s="229" t="s">
        <v>4386</v>
      </c>
      <c r="M95" s="229" t="s">
        <v>4387</v>
      </c>
      <c r="O95" s="230"/>
      <c r="T95" s="230"/>
      <c r="U95" s="230" t="str">
        <f>IF(ISNUMBER(MATCH(B95, 'Sprint 18'!B:B, 0)), "มาจาก Sprint 18", "")</f>
        <v/>
      </c>
      <c r="V95" s="230" t="str">
        <f t="array" ref="V95">IF(ISNUMBER(MATCH(B95, 'Sprint 18'!B:B, 0)), INDEX('Sprint 18'!J:J, MATCH(B95, 'Sprint 18'!B:B, 0)), "")</f>
        <v/>
      </c>
      <c r="W95" s="230"/>
      <c r="X95" s="102" t="s">
        <v>2269</v>
      </c>
      <c r="Y95" s="102" t="s">
        <v>2270</v>
      </c>
    </row>
    <row r="96">
      <c r="A96" s="102" t="s">
        <v>276</v>
      </c>
      <c r="B96" s="102" t="s">
        <v>4390</v>
      </c>
      <c r="C96" s="229" t="s">
        <v>4391</v>
      </c>
      <c r="D96" s="102" t="s">
        <v>3764</v>
      </c>
      <c r="E96" s="102" t="s">
        <v>391</v>
      </c>
      <c r="F96" s="102" t="s">
        <v>392</v>
      </c>
      <c r="G96" s="102" t="s">
        <v>391</v>
      </c>
      <c r="H96" s="102" t="s">
        <v>392</v>
      </c>
      <c r="I96" s="102" t="s">
        <v>284</v>
      </c>
      <c r="J96" s="102" t="s">
        <v>26</v>
      </c>
      <c r="L96" s="229" t="s">
        <v>4392</v>
      </c>
      <c r="M96" s="229" t="s">
        <v>4387</v>
      </c>
      <c r="O96" s="230"/>
      <c r="T96" s="230"/>
      <c r="U96" s="230" t="str">
        <f>IF(ISNUMBER(MATCH(B96, 'Sprint 18'!B:B, 0)), "มาจาก Sprint 18", "")</f>
        <v/>
      </c>
      <c r="V96" s="230" t="str">
        <f t="array" ref="V96">IF(ISNUMBER(MATCH(B96, 'Sprint 18'!B:B, 0)), INDEX('Sprint 18'!J:J, MATCH(B96, 'Sprint 18'!B:B, 0)), "")</f>
        <v/>
      </c>
      <c r="W96" s="230"/>
      <c r="X96" s="102" t="s">
        <v>2269</v>
      </c>
      <c r="Y96" s="102" t="s">
        <v>2270</v>
      </c>
    </row>
    <row r="97">
      <c r="A97" s="102" t="s">
        <v>276</v>
      </c>
      <c r="B97" s="102" t="s">
        <v>4393</v>
      </c>
      <c r="C97" s="229" t="s">
        <v>4394</v>
      </c>
      <c r="D97" s="102" t="s">
        <v>3764</v>
      </c>
      <c r="E97" s="102" t="s">
        <v>391</v>
      </c>
      <c r="F97" s="102" t="s">
        <v>392</v>
      </c>
      <c r="G97" s="102" t="s">
        <v>391</v>
      </c>
      <c r="H97" s="102" t="s">
        <v>392</v>
      </c>
      <c r="I97" s="102" t="s">
        <v>284</v>
      </c>
      <c r="J97" s="102" t="s">
        <v>34</v>
      </c>
      <c r="L97" s="229" t="s">
        <v>4392</v>
      </c>
      <c r="M97" s="229" t="s">
        <v>4387</v>
      </c>
      <c r="O97" s="230"/>
      <c r="T97" s="230"/>
      <c r="U97" s="230" t="str">
        <f>IF(ISNUMBER(MATCH(B97, 'Sprint 18'!B:B, 0)), "มาจาก Sprint 18", "")</f>
        <v/>
      </c>
      <c r="V97" s="230" t="str">
        <f t="array" ref="V97">IF(ISNUMBER(MATCH(B97, 'Sprint 18'!B:B, 0)), INDEX('Sprint 18'!J:J, MATCH(B97, 'Sprint 18'!B:B, 0)), "")</f>
        <v/>
      </c>
      <c r="W97" s="230"/>
      <c r="X97" s="102" t="s">
        <v>2269</v>
      </c>
      <c r="Y97" s="102" t="s">
        <v>2270</v>
      </c>
    </row>
    <row r="98">
      <c r="A98" s="102" t="s">
        <v>276</v>
      </c>
      <c r="B98" s="102" t="s">
        <v>4395</v>
      </c>
      <c r="C98" s="229" t="s">
        <v>4396</v>
      </c>
      <c r="D98" s="102" t="s">
        <v>3764</v>
      </c>
      <c r="E98" s="102" t="s">
        <v>391</v>
      </c>
      <c r="F98" s="102" t="s">
        <v>392</v>
      </c>
      <c r="G98" s="102" t="s">
        <v>391</v>
      </c>
      <c r="H98" s="102" t="s">
        <v>392</v>
      </c>
      <c r="I98" s="102" t="s">
        <v>284</v>
      </c>
      <c r="J98" s="102" t="s">
        <v>26</v>
      </c>
      <c r="L98" s="229" t="s">
        <v>4392</v>
      </c>
      <c r="M98" s="229" t="s">
        <v>4387</v>
      </c>
      <c r="O98" s="230"/>
      <c r="T98" s="230"/>
      <c r="U98" s="230" t="str">
        <f>IF(ISNUMBER(MATCH(B98, 'Sprint 18'!B:B, 0)), "มาจาก Sprint 18", "")</f>
        <v/>
      </c>
      <c r="V98" s="230" t="str">
        <f t="array" ref="V98">IF(ISNUMBER(MATCH(B98, 'Sprint 18'!B:B, 0)), INDEX('Sprint 18'!J:J, MATCH(B98, 'Sprint 18'!B:B, 0)), "")</f>
        <v/>
      </c>
      <c r="W98" s="230"/>
      <c r="X98" s="102" t="s">
        <v>2269</v>
      </c>
      <c r="Y98" s="102" t="s">
        <v>2270</v>
      </c>
      <c r="Z98" s="231"/>
    </row>
    <row r="99">
      <c r="A99" s="102" t="s">
        <v>310</v>
      </c>
      <c r="B99" s="102" t="s">
        <v>4397</v>
      </c>
      <c r="C99" s="229" t="s">
        <v>4398</v>
      </c>
      <c r="D99" s="102" t="s">
        <v>4399</v>
      </c>
      <c r="E99" s="102" t="s">
        <v>282</v>
      </c>
      <c r="F99" s="102" t="s">
        <v>283</v>
      </c>
      <c r="G99" s="102" t="s">
        <v>316</v>
      </c>
      <c r="H99" s="102" t="s">
        <v>317</v>
      </c>
      <c r="I99" s="102" t="s">
        <v>284</v>
      </c>
      <c r="J99" s="102" t="s">
        <v>26</v>
      </c>
      <c r="L99" s="229" t="s">
        <v>4400</v>
      </c>
      <c r="M99" s="229" t="s">
        <v>4401</v>
      </c>
      <c r="N99" s="229" t="s">
        <v>4402</v>
      </c>
      <c r="O99" s="102">
        <v>1.0</v>
      </c>
      <c r="P99" s="102" t="s">
        <v>366</v>
      </c>
      <c r="Q99" s="102" t="s">
        <v>433</v>
      </c>
      <c r="R99" s="102" t="s">
        <v>368</v>
      </c>
      <c r="T99" s="102">
        <v>1800.0</v>
      </c>
      <c r="U99" s="230" t="str">
        <f>IF(ISNUMBER(MATCH(B99, 'Sprint 18'!B:B, 0)), "มาจาก Sprint 18", "")</f>
        <v/>
      </c>
      <c r="V99" s="230" t="str">
        <f t="array" ref="V99">IF(ISNUMBER(MATCH(B99, 'Sprint 18'!B:B, 0)), INDEX('Sprint 18'!J:J, MATCH(B99, 'Sprint 18'!B:B, 0)), "")</f>
        <v/>
      </c>
      <c r="W99" s="102"/>
      <c r="X99" s="102" t="s">
        <v>4005</v>
      </c>
    </row>
    <row r="100">
      <c r="A100" s="102" t="s">
        <v>310</v>
      </c>
      <c r="B100" s="102" t="s">
        <v>4403</v>
      </c>
      <c r="C100" s="229" t="s">
        <v>4404</v>
      </c>
      <c r="D100" s="102" t="s">
        <v>4405</v>
      </c>
      <c r="E100" s="102" t="s">
        <v>314</v>
      </c>
      <c r="F100" s="102" t="s">
        <v>315</v>
      </c>
      <c r="G100" s="102" t="s">
        <v>316</v>
      </c>
      <c r="H100" s="102" t="s">
        <v>317</v>
      </c>
      <c r="I100" s="102" t="s">
        <v>284</v>
      </c>
      <c r="J100" s="102" t="s">
        <v>26</v>
      </c>
      <c r="L100" s="229" t="s">
        <v>4406</v>
      </c>
      <c r="M100" s="229" t="s">
        <v>4407</v>
      </c>
      <c r="N100" s="229" t="s">
        <v>4408</v>
      </c>
      <c r="O100" s="102">
        <v>1.0</v>
      </c>
      <c r="P100" s="102" t="s">
        <v>433</v>
      </c>
      <c r="T100" s="102">
        <v>7200.0</v>
      </c>
      <c r="U100" s="230" t="str">
        <f>IF(ISNUMBER(MATCH(B100, 'Sprint 18'!B:B, 0)), "มาจาก Sprint 18", "")</f>
        <v/>
      </c>
      <c r="V100" s="230" t="str">
        <f t="array" ref="V100">IF(ISNUMBER(MATCH(B100, 'Sprint 18'!B:B, 0)), INDEX('Sprint 18'!J:J, MATCH(B100, 'Sprint 18'!B:B, 0)), "")</f>
        <v/>
      </c>
      <c r="W100" s="102"/>
      <c r="X100" s="102" t="s">
        <v>4005</v>
      </c>
    </row>
    <row r="101">
      <c r="A101" s="102" t="s">
        <v>310</v>
      </c>
      <c r="B101" s="102" t="s">
        <v>3923</v>
      </c>
      <c r="C101" s="229" t="s">
        <v>3924</v>
      </c>
      <c r="D101" s="102" t="s">
        <v>3925</v>
      </c>
      <c r="E101" s="102" t="s">
        <v>282</v>
      </c>
      <c r="F101" s="102" t="s">
        <v>283</v>
      </c>
      <c r="G101" s="102" t="s">
        <v>282</v>
      </c>
      <c r="H101" s="102" t="s">
        <v>283</v>
      </c>
      <c r="I101" s="102" t="s">
        <v>284</v>
      </c>
      <c r="J101" s="102" t="s">
        <v>34</v>
      </c>
      <c r="L101" s="229" t="s">
        <v>3926</v>
      </c>
      <c r="M101" s="229" t="s">
        <v>4409</v>
      </c>
      <c r="O101" s="102">
        <v>13.0</v>
      </c>
      <c r="P101" s="102" t="s">
        <v>593</v>
      </c>
      <c r="T101" s="230"/>
      <c r="U101" s="230" t="str">
        <f>IF(ISNUMBER(MATCH(B101, 'Sprint 18'!B:B, 0)), "มาจาก Sprint 18", "")</f>
        <v/>
      </c>
      <c r="V101" s="230" t="str">
        <f t="array" ref="V101">IF(ISNUMBER(MATCH(B101, 'Sprint 18'!B:B, 0)), INDEX('Sprint 18'!J:J, MATCH(B101, 'Sprint 18'!B:B, 0)), "")</f>
        <v/>
      </c>
      <c r="W101" s="230"/>
      <c r="X101" s="102" t="s">
        <v>1992</v>
      </c>
    </row>
    <row r="102">
      <c r="A102" s="102" t="s">
        <v>4410</v>
      </c>
      <c r="B102" s="102" t="s">
        <v>4411</v>
      </c>
      <c r="C102" s="229" t="s">
        <v>4412</v>
      </c>
      <c r="D102" s="102" t="s">
        <v>4413</v>
      </c>
      <c r="E102" s="102" t="s">
        <v>513</v>
      </c>
      <c r="F102" s="102" t="s">
        <v>514</v>
      </c>
      <c r="G102" s="102" t="s">
        <v>513</v>
      </c>
      <c r="H102" s="102" t="s">
        <v>514</v>
      </c>
      <c r="I102" s="102" t="s">
        <v>648</v>
      </c>
      <c r="J102" s="102" t="s">
        <v>26</v>
      </c>
      <c r="L102" s="229" t="s">
        <v>4414</v>
      </c>
      <c r="M102" s="229" t="s">
        <v>4415</v>
      </c>
      <c r="N102" s="229" t="s">
        <v>4402</v>
      </c>
      <c r="O102" s="102">
        <v>1.0</v>
      </c>
      <c r="P102" s="102" t="s">
        <v>593</v>
      </c>
      <c r="T102" s="102">
        <v>7200.0</v>
      </c>
      <c r="U102" s="230" t="str">
        <f>IF(ISNUMBER(MATCH(B102, 'Sprint 18'!B:B, 0)), "มาจาก Sprint 18", "")</f>
        <v/>
      </c>
      <c r="V102" s="230" t="str">
        <f t="array" ref="V102">IF(ISNUMBER(MATCH(B102, 'Sprint 18'!B:B, 0)), INDEX('Sprint 18'!J:J, MATCH(B102, 'Sprint 18'!B:B, 0)), "")</f>
        <v/>
      </c>
      <c r="W102" s="102"/>
      <c r="X102" s="102" t="s">
        <v>4416</v>
      </c>
    </row>
    <row r="103">
      <c r="A103" s="102" t="s">
        <v>276</v>
      </c>
      <c r="B103" s="102" t="s">
        <v>2024</v>
      </c>
      <c r="C103" s="229" t="s">
        <v>2025</v>
      </c>
      <c r="D103" s="102" t="s">
        <v>347</v>
      </c>
      <c r="G103" s="102" t="s">
        <v>280</v>
      </c>
      <c r="H103" s="102" t="s">
        <v>281</v>
      </c>
      <c r="I103" s="102" t="s">
        <v>284</v>
      </c>
      <c r="J103" s="102" t="s">
        <v>63</v>
      </c>
      <c r="L103" s="229" t="s">
        <v>2026</v>
      </c>
      <c r="M103" s="229" t="s">
        <v>2026</v>
      </c>
      <c r="O103" s="230"/>
      <c r="T103" s="230"/>
      <c r="U103" s="230" t="str">
        <f>IF(ISNUMBER(MATCH(B103, 'Sprint 18'!B:B, 0)), "มาจาก Sprint 18", "")</f>
        <v/>
      </c>
      <c r="V103" s="230" t="str">
        <f t="array" ref="V103">IF(ISNUMBER(MATCH(B103, 'Sprint 18'!B:B, 0)), INDEX('Sprint 18'!J:J, MATCH(B103, 'Sprint 18'!B:B, 0)), "")</f>
        <v/>
      </c>
      <c r="W103" s="230"/>
      <c r="X103" s="102" t="s">
        <v>1991</v>
      </c>
      <c r="Y103" s="102" t="s">
        <v>1992</v>
      </c>
    </row>
    <row r="104">
      <c r="A104" s="102" t="s">
        <v>276</v>
      </c>
      <c r="B104" s="102" t="s">
        <v>2028</v>
      </c>
      <c r="C104" s="229" t="s">
        <v>2029</v>
      </c>
      <c r="D104" s="102" t="s">
        <v>2030</v>
      </c>
      <c r="E104" s="102" t="s">
        <v>280</v>
      </c>
      <c r="F104" s="102" t="s">
        <v>281</v>
      </c>
      <c r="G104" s="102" t="s">
        <v>280</v>
      </c>
      <c r="H104" s="102" t="s">
        <v>281</v>
      </c>
      <c r="I104" s="102" t="s">
        <v>284</v>
      </c>
      <c r="J104" s="102" t="s">
        <v>355</v>
      </c>
      <c r="L104" s="229" t="s">
        <v>2026</v>
      </c>
      <c r="M104" s="229" t="s">
        <v>2026</v>
      </c>
      <c r="O104" s="230"/>
      <c r="T104" s="230"/>
      <c r="U104" s="230" t="str">
        <f>IF(ISNUMBER(MATCH(B104, 'Sprint 18'!B:B, 0)), "มาจาก Sprint 18", "")</f>
        <v/>
      </c>
      <c r="V104" s="230" t="str">
        <f t="array" ref="V104">IF(ISNUMBER(MATCH(B104, 'Sprint 18'!B:B, 0)), INDEX('Sprint 18'!J:J, MATCH(B104, 'Sprint 18'!B:B, 0)), "")</f>
        <v/>
      </c>
      <c r="W104" s="230"/>
      <c r="X104" s="102" t="s">
        <v>1991</v>
      </c>
      <c r="Y104" s="102" t="s">
        <v>1992</v>
      </c>
    </row>
    <row r="105">
      <c r="A105" s="102" t="s">
        <v>276</v>
      </c>
      <c r="B105" s="102" t="s">
        <v>3510</v>
      </c>
      <c r="C105" s="229" t="s">
        <v>3511</v>
      </c>
      <c r="D105" s="102" t="s">
        <v>347</v>
      </c>
      <c r="E105" s="102" t="s">
        <v>280</v>
      </c>
      <c r="F105" s="102" t="s">
        <v>281</v>
      </c>
      <c r="G105" s="102" t="s">
        <v>280</v>
      </c>
      <c r="H105" s="102" t="s">
        <v>281</v>
      </c>
      <c r="I105" s="102" t="s">
        <v>284</v>
      </c>
      <c r="J105" s="102" t="s">
        <v>63</v>
      </c>
      <c r="L105" s="229" t="s">
        <v>3512</v>
      </c>
      <c r="M105" s="229" t="s">
        <v>3512</v>
      </c>
      <c r="O105" s="230"/>
      <c r="T105" s="230"/>
      <c r="U105" s="230" t="str">
        <f>IF(ISNUMBER(MATCH(B105, 'Sprint 18'!B:B, 0)), "มาจาก Sprint 18", "")</f>
        <v/>
      </c>
      <c r="V105" s="230" t="str">
        <f t="array" ref="V105">IF(ISNUMBER(MATCH(B105, 'Sprint 18'!B:B, 0)), INDEX('Sprint 18'!J:J, MATCH(B105, 'Sprint 18'!B:B, 0)), "")</f>
        <v/>
      </c>
      <c r="W105" s="230"/>
      <c r="X105" s="102" t="s">
        <v>1991</v>
      </c>
      <c r="Y105" s="102" t="s">
        <v>1992</v>
      </c>
    </row>
    <row r="106">
      <c r="A106" s="102" t="s">
        <v>276</v>
      </c>
      <c r="B106" s="102" t="s">
        <v>3514</v>
      </c>
      <c r="C106" s="229" t="s">
        <v>3515</v>
      </c>
      <c r="D106" s="102" t="s">
        <v>2030</v>
      </c>
      <c r="E106" s="102" t="s">
        <v>280</v>
      </c>
      <c r="F106" s="102" t="s">
        <v>281</v>
      </c>
      <c r="G106" s="102" t="s">
        <v>280</v>
      </c>
      <c r="H106" s="102" t="s">
        <v>281</v>
      </c>
      <c r="I106" s="102" t="s">
        <v>284</v>
      </c>
      <c r="J106" s="102" t="s">
        <v>355</v>
      </c>
      <c r="L106" s="229" t="s">
        <v>3512</v>
      </c>
      <c r="M106" s="229" t="s">
        <v>3512</v>
      </c>
      <c r="O106" s="230"/>
      <c r="T106" s="230"/>
      <c r="U106" s="230" t="str">
        <f>IF(ISNUMBER(MATCH(B106, 'Sprint 18'!B:B, 0)), "มาจาก Sprint 18", "")</f>
        <v/>
      </c>
      <c r="V106" s="230" t="str">
        <f t="array" ref="V106">IF(ISNUMBER(MATCH(B106, 'Sprint 18'!B:B, 0)), INDEX('Sprint 18'!J:J, MATCH(B106, 'Sprint 18'!B:B, 0)), "")</f>
        <v/>
      </c>
      <c r="W106" s="230"/>
      <c r="X106" s="102" t="s">
        <v>1991</v>
      </c>
      <c r="Y106" s="102" t="s">
        <v>1992</v>
      </c>
    </row>
    <row r="107">
      <c r="A107" s="102" t="s">
        <v>310</v>
      </c>
      <c r="B107" s="102" t="s">
        <v>3932</v>
      </c>
      <c r="C107" s="229" t="s">
        <v>3933</v>
      </c>
      <c r="D107" s="102" t="s">
        <v>3934</v>
      </c>
      <c r="E107" s="102" t="s">
        <v>495</v>
      </c>
      <c r="F107" s="102" t="s">
        <v>496</v>
      </c>
      <c r="G107" s="102" t="s">
        <v>304</v>
      </c>
      <c r="H107" s="102" t="s">
        <v>305</v>
      </c>
      <c r="I107" s="102" t="s">
        <v>318</v>
      </c>
      <c r="J107" s="102" t="s">
        <v>678</v>
      </c>
      <c r="L107" s="229" t="s">
        <v>3935</v>
      </c>
      <c r="M107" s="229" t="s">
        <v>4417</v>
      </c>
      <c r="O107" s="102">
        <v>3.0</v>
      </c>
      <c r="P107" s="102" t="s">
        <v>593</v>
      </c>
      <c r="Q107" s="102" t="s">
        <v>331</v>
      </c>
      <c r="T107" s="102">
        <v>28800.0</v>
      </c>
      <c r="U107" s="230" t="str">
        <f>IF(ISNUMBER(MATCH(B107, 'Sprint 18'!B:B, 0)), "มาจาก Sprint 18", "")</f>
        <v/>
      </c>
      <c r="V107" s="230" t="str">
        <f t="array" ref="V107">IF(ISNUMBER(MATCH(B107, 'Sprint 18'!B:B, 0)), INDEX('Sprint 18'!J:J, MATCH(B107, 'Sprint 18'!B:B, 0)), "")</f>
        <v/>
      </c>
      <c r="W107" s="102"/>
      <c r="X107" s="102" t="s">
        <v>1992</v>
      </c>
    </row>
    <row r="108">
      <c r="A108" s="102" t="s">
        <v>276</v>
      </c>
      <c r="B108" s="102" t="s">
        <v>4418</v>
      </c>
      <c r="C108" s="229" t="s">
        <v>4419</v>
      </c>
      <c r="D108" s="102" t="s">
        <v>4420</v>
      </c>
      <c r="E108" s="102" t="s">
        <v>521</v>
      </c>
      <c r="F108" s="102" t="s">
        <v>522</v>
      </c>
      <c r="G108" s="102" t="s">
        <v>521</v>
      </c>
      <c r="H108" s="102" t="s">
        <v>522</v>
      </c>
      <c r="I108" s="102" t="s">
        <v>284</v>
      </c>
      <c r="J108" s="102" t="s">
        <v>63</v>
      </c>
      <c r="L108" s="229" t="s">
        <v>4421</v>
      </c>
      <c r="M108" s="229" t="s">
        <v>4422</v>
      </c>
      <c r="O108" s="230"/>
      <c r="T108" s="230"/>
      <c r="U108" s="230" t="str">
        <f>IF(ISNUMBER(MATCH(B108, 'Sprint 18'!B:B, 0)), "มาจาก Sprint 18", "")</f>
        <v/>
      </c>
      <c r="V108" s="230" t="str">
        <f t="array" ref="V108">IF(ISNUMBER(MATCH(B108, 'Sprint 18'!B:B, 0)), INDEX('Sprint 18'!J:J, MATCH(B108, 'Sprint 18'!B:B, 0)), "")</f>
        <v/>
      </c>
      <c r="W108" s="230"/>
      <c r="X108" s="102" t="s">
        <v>4249</v>
      </c>
    </row>
    <row r="109">
      <c r="A109" s="102" t="s">
        <v>276</v>
      </c>
      <c r="B109" s="102" t="s">
        <v>4423</v>
      </c>
      <c r="C109" s="229" t="s">
        <v>4424</v>
      </c>
      <c r="D109" s="102" t="s">
        <v>4425</v>
      </c>
      <c r="E109" s="102" t="s">
        <v>521</v>
      </c>
      <c r="F109" s="102" t="s">
        <v>522</v>
      </c>
      <c r="G109" s="102" t="s">
        <v>521</v>
      </c>
      <c r="H109" s="102" t="s">
        <v>522</v>
      </c>
      <c r="I109" s="102" t="s">
        <v>284</v>
      </c>
      <c r="J109" s="102" t="s">
        <v>34</v>
      </c>
      <c r="L109" s="229" t="s">
        <v>4426</v>
      </c>
      <c r="M109" s="229" t="s">
        <v>4427</v>
      </c>
      <c r="O109" s="230"/>
      <c r="T109" s="230"/>
      <c r="U109" s="230" t="str">
        <f>IF(ISNUMBER(MATCH(B109, 'Sprint 18'!B:B, 0)), "มาจาก Sprint 18", "")</f>
        <v/>
      </c>
      <c r="V109" s="230" t="str">
        <f t="array" ref="V109">IF(ISNUMBER(MATCH(B109, 'Sprint 18'!B:B, 0)), INDEX('Sprint 18'!J:J, MATCH(B109, 'Sprint 18'!B:B, 0)), "")</f>
        <v/>
      </c>
      <c r="W109" s="230"/>
      <c r="X109" s="102" t="s">
        <v>4249</v>
      </c>
    </row>
    <row r="110">
      <c r="A110" s="102" t="s">
        <v>276</v>
      </c>
      <c r="B110" s="102" t="s">
        <v>3937</v>
      </c>
      <c r="C110" s="229" t="s">
        <v>3938</v>
      </c>
      <c r="D110" s="102" t="s">
        <v>347</v>
      </c>
      <c r="G110" s="102" t="s">
        <v>280</v>
      </c>
      <c r="H110" s="102" t="s">
        <v>281</v>
      </c>
      <c r="I110" s="102" t="s">
        <v>284</v>
      </c>
      <c r="J110" s="102" t="s">
        <v>63</v>
      </c>
      <c r="L110" s="229" t="s">
        <v>3939</v>
      </c>
      <c r="M110" s="229" t="s">
        <v>4052</v>
      </c>
      <c r="O110" s="230"/>
      <c r="T110" s="230"/>
      <c r="U110" s="230" t="str">
        <f>IF(ISNUMBER(MATCH(B110, 'Sprint 18'!B:B, 0)), "มาจาก Sprint 18", "")</f>
        <v/>
      </c>
      <c r="V110" s="230" t="str">
        <f t="array" ref="V110">IF(ISNUMBER(MATCH(B110, 'Sprint 18'!B:B, 0)), INDEX('Sprint 18'!J:J, MATCH(B110, 'Sprint 18'!B:B, 0)), "")</f>
        <v/>
      </c>
      <c r="W110" s="230"/>
      <c r="X110" s="102" t="s">
        <v>1991</v>
      </c>
      <c r="Y110" s="102" t="s">
        <v>1992</v>
      </c>
    </row>
    <row r="111">
      <c r="A111" s="102" t="s">
        <v>276</v>
      </c>
      <c r="B111" s="102" t="s">
        <v>3941</v>
      </c>
      <c r="C111" s="229" t="s">
        <v>3942</v>
      </c>
      <c r="D111" s="102" t="s">
        <v>2030</v>
      </c>
      <c r="E111" s="102" t="s">
        <v>280</v>
      </c>
      <c r="F111" s="102" t="s">
        <v>281</v>
      </c>
      <c r="G111" s="102" t="s">
        <v>280</v>
      </c>
      <c r="H111" s="102" t="s">
        <v>281</v>
      </c>
      <c r="I111" s="102" t="s">
        <v>284</v>
      </c>
      <c r="J111" s="102" t="s">
        <v>355</v>
      </c>
      <c r="L111" s="229" t="s">
        <v>3939</v>
      </c>
      <c r="M111" s="229" t="s">
        <v>4052</v>
      </c>
      <c r="O111" s="230"/>
      <c r="T111" s="230"/>
      <c r="U111" s="230" t="str">
        <f>IF(ISNUMBER(MATCH(B111, 'Sprint 18'!B:B, 0)), "มาจาก Sprint 18", "")</f>
        <v/>
      </c>
      <c r="V111" s="230" t="str">
        <f t="array" ref="V111">IF(ISNUMBER(MATCH(B111, 'Sprint 18'!B:B, 0)), INDEX('Sprint 18'!J:J, MATCH(B111, 'Sprint 18'!B:B, 0)), "")</f>
        <v/>
      </c>
      <c r="W111" s="230"/>
      <c r="X111" s="102" t="s">
        <v>1991</v>
      </c>
      <c r="Y111" s="102" t="s">
        <v>1992</v>
      </c>
    </row>
    <row r="112">
      <c r="A112" s="102" t="s">
        <v>276</v>
      </c>
      <c r="B112" s="102" t="s">
        <v>3943</v>
      </c>
      <c r="C112" s="229" t="s">
        <v>3944</v>
      </c>
      <c r="D112" s="102" t="s">
        <v>347</v>
      </c>
      <c r="E112" s="102" t="s">
        <v>280</v>
      </c>
      <c r="F112" s="102" t="s">
        <v>281</v>
      </c>
      <c r="G112" s="102" t="s">
        <v>280</v>
      </c>
      <c r="H112" s="102" t="s">
        <v>281</v>
      </c>
      <c r="I112" s="102" t="s">
        <v>284</v>
      </c>
      <c r="J112" s="102" t="s">
        <v>63</v>
      </c>
      <c r="L112" s="229" t="s">
        <v>3939</v>
      </c>
      <c r="M112" s="229" t="s">
        <v>4052</v>
      </c>
      <c r="O112" s="230"/>
      <c r="T112" s="230"/>
      <c r="U112" s="230" t="str">
        <f>IF(ISNUMBER(MATCH(B112, 'Sprint 18'!B:B, 0)), "มาจาก Sprint 18", "")</f>
        <v/>
      </c>
      <c r="V112" s="230" t="str">
        <f t="array" ref="V112">IF(ISNUMBER(MATCH(B112, 'Sprint 18'!B:B, 0)), INDEX('Sprint 18'!J:J, MATCH(B112, 'Sprint 18'!B:B, 0)), "")</f>
        <v/>
      </c>
      <c r="W112" s="230"/>
      <c r="X112" s="102" t="s">
        <v>1991</v>
      </c>
      <c r="Y112" s="102" t="s">
        <v>1992</v>
      </c>
    </row>
    <row r="113">
      <c r="A113" s="102" t="s">
        <v>276</v>
      </c>
      <c r="B113" s="102" t="s">
        <v>3946</v>
      </c>
      <c r="C113" s="229" t="s">
        <v>3947</v>
      </c>
      <c r="D113" s="102" t="s">
        <v>2030</v>
      </c>
      <c r="E113" s="102" t="s">
        <v>280</v>
      </c>
      <c r="F113" s="102" t="s">
        <v>281</v>
      </c>
      <c r="G113" s="102" t="s">
        <v>280</v>
      </c>
      <c r="H113" s="102" t="s">
        <v>281</v>
      </c>
      <c r="I113" s="102" t="s">
        <v>284</v>
      </c>
      <c r="J113" s="102" t="s">
        <v>355</v>
      </c>
      <c r="L113" s="229" t="s">
        <v>3939</v>
      </c>
      <c r="M113" s="229" t="s">
        <v>4052</v>
      </c>
      <c r="O113" s="230"/>
      <c r="T113" s="230"/>
      <c r="U113" s="230" t="str">
        <f>IF(ISNUMBER(MATCH(B113, 'Sprint 18'!B:B, 0)), "มาจาก Sprint 18", "")</f>
        <v/>
      </c>
      <c r="V113" s="230" t="str">
        <f t="array" ref="V113">IF(ISNUMBER(MATCH(B113, 'Sprint 18'!B:B, 0)), INDEX('Sprint 18'!J:J, MATCH(B113, 'Sprint 18'!B:B, 0)), "")</f>
        <v/>
      </c>
      <c r="W113" s="230"/>
      <c r="X113" s="102" t="s">
        <v>1991</v>
      </c>
      <c r="Y113" s="102" t="s">
        <v>1992</v>
      </c>
    </row>
    <row r="114">
      <c r="A114" s="102" t="s">
        <v>310</v>
      </c>
      <c r="B114" s="102" t="s">
        <v>3516</v>
      </c>
      <c r="C114" s="229" t="s">
        <v>3517</v>
      </c>
      <c r="D114" s="102" t="s">
        <v>3518</v>
      </c>
      <c r="E114" s="102" t="s">
        <v>513</v>
      </c>
      <c r="F114" s="102" t="s">
        <v>514</v>
      </c>
      <c r="G114" s="102" t="s">
        <v>304</v>
      </c>
      <c r="H114" s="102" t="s">
        <v>305</v>
      </c>
      <c r="I114" s="102" t="s">
        <v>284</v>
      </c>
      <c r="J114" s="102" t="s">
        <v>34</v>
      </c>
      <c r="L114" s="229" t="s">
        <v>3519</v>
      </c>
      <c r="M114" s="229" t="s">
        <v>4428</v>
      </c>
      <c r="N114" s="229" t="s">
        <v>1257</v>
      </c>
      <c r="O114" s="102">
        <v>1.0</v>
      </c>
      <c r="P114" s="102" t="s">
        <v>331</v>
      </c>
      <c r="T114" s="102">
        <v>7200.0</v>
      </c>
      <c r="U114" s="230" t="str">
        <f>IF(ISNUMBER(MATCH(B114, 'Sprint 18'!B:B, 0)), "มาจาก Sprint 18", "")</f>
        <v/>
      </c>
      <c r="V114" s="230" t="str">
        <f t="array" ref="V114">IF(ISNUMBER(MATCH(B114, 'Sprint 18'!B:B, 0)), INDEX('Sprint 18'!J:J, MATCH(B114, 'Sprint 18'!B:B, 0)), "")</f>
        <v/>
      </c>
      <c r="W114" s="102"/>
      <c r="X114" s="102" t="s">
        <v>1992</v>
      </c>
    </row>
    <row r="115">
      <c r="A115" s="102" t="s">
        <v>310</v>
      </c>
      <c r="B115" s="102" t="s">
        <v>3520</v>
      </c>
      <c r="C115" s="229" t="s">
        <v>3521</v>
      </c>
      <c r="D115" s="102" t="s">
        <v>3522</v>
      </c>
      <c r="E115" s="102" t="s">
        <v>513</v>
      </c>
      <c r="F115" s="102" t="s">
        <v>514</v>
      </c>
      <c r="G115" s="102" t="s">
        <v>304</v>
      </c>
      <c r="H115" s="102" t="s">
        <v>305</v>
      </c>
      <c r="I115" s="102" t="s">
        <v>284</v>
      </c>
      <c r="J115" s="102" t="s">
        <v>678</v>
      </c>
      <c r="L115" s="229" t="s">
        <v>3523</v>
      </c>
      <c r="M115" s="229" t="s">
        <v>4429</v>
      </c>
      <c r="N115" s="229" t="s">
        <v>2089</v>
      </c>
      <c r="O115" s="102">
        <v>2.0</v>
      </c>
      <c r="P115" s="102" t="s">
        <v>331</v>
      </c>
      <c r="T115" s="102">
        <v>14400.0</v>
      </c>
      <c r="U115" s="230" t="str">
        <f>IF(ISNUMBER(MATCH(B115, 'Sprint 18'!B:B, 0)), "มาจาก Sprint 18", "")</f>
        <v/>
      </c>
      <c r="V115" s="230" t="str">
        <f t="array" ref="V115">IF(ISNUMBER(MATCH(B115, 'Sprint 18'!B:B, 0)), INDEX('Sprint 18'!J:J, MATCH(B115, 'Sprint 18'!B:B, 0)), "")</f>
        <v/>
      </c>
      <c r="W115" s="102"/>
      <c r="X115" s="102" t="s">
        <v>1992</v>
      </c>
      <c r="AN115" s="102"/>
    </row>
    <row r="116">
      <c r="A116" s="102" t="s">
        <v>310</v>
      </c>
      <c r="B116" s="102" t="s">
        <v>3951</v>
      </c>
      <c r="C116" s="229" t="s">
        <v>3952</v>
      </c>
      <c r="D116" s="102" t="s">
        <v>3953</v>
      </c>
      <c r="E116" s="102" t="s">
        <v>328</v>
      </c>
      <c r="F116" s="102" t="s">
        <v>329</v>
      </c>
      <c r="G116" s="102" t="s">
        <v>304</v>
      </c>
      <c r="H116" s="102" t="s">
        <v>305</v>
      </c>
      <c r="I116" s="102" t="s">
        <v>284</v>
      </c>
      <c r="J116" s="102" t="s">
        <v>678</v>
      </c>
      <c r="L116" s="229" t="s">
        <v>3954</v>
      </c>
      <c r="M116" s="229" t="s">
        <v>4430</v>
      </c>
      <c r="O116" s="102">
        <v>3.0</v>
      </c>
      <c r="P116" s="102" t="s">
        <v>331</v>
      </c>
      <c r="T116" s="230"/>
      <c r="U116" s="230" t="str">
        <f>IF(ISNUMBER(MATCH(B116, 'Sprint 18'!B:B, 0)), "มาจาก Sprint 18", "")</f>
        <v/>
      </c>
      <c r="V116" s="230" t="str">
        <f t="array" ref="V116">IF(ISNUMBER(MATCH(B116, 'Sprint 18'!B:B, 0)), INDEX('Sprint 18'!J:J, MATCH(B116, 'Sprint 18'!B:B, 0)), "")</f>
        <v/>
      </c>
      <c r="W116" s="230"/>
      <c r="X116" s="102" t="s">
        <v>1992</v>
      </c>
      <c r="AN116" s="102"/>
    </row>
    <row r="117">
      <c r="A117" s="102" t="s">
        <v>310</v>
      </c>
      <c r="B117" s="102" t="s">
        <v>3956</v>
      </c>
      <c r="C117" s="229" t="s">
        <v>3957</v>
      </c>
      <c r="D117" s="102" t="s">
        <v>3958</v>
      </c>
      <c r="E117" s="102" t="s">
        <v>328</v>
      </c>
      <c r="F117" s="102" t="s">
        <v>329</v>
      </c>
      <c r="G117" s="102" t="s">
        <v>304</v>
      </c>
      <c r="H117" s="102" t="s">
        <v>305</v>
      </c>
      <c r="I117" s="102" t="s">
        <v>515</v>
      </c>
      <c r="J117" s="102" t="s">
        <v>678</v>
      </c>
      <c r="L117" s="229" t="s">
        <v>3959</v>
      </c>
      <c r="M117" s="229" t="s">
        <v>4417</v>
      </c>
      <c r="O117" s="102">
        <v>3.0</v>
      </c>
      <c r="P117" s="102" t="s">
        <v>593</v>
      </c>
      <c r="Q117" s="102" t="s">
        <v>331</v>
      </c>
      <c r="T117" s="230"/>
      <c r="U117" s="230" t="str">
        <f>IF(ISNUMBER(MATCH(B117, 'Sprint 18'!B:B, 0)), "มาจาก Sprint 18", "")</f>
        <v/>
      </c>
      <c r="V117" s="230" t="str">
        <f t="array" ref="V117">IF(ISNUMBER(MATCH(B117, 'Sprint 18'!B:B, 0)), INDEX('Sprint 18'!J:J, MATCH(B117, 'Sprint 18'!B:B, 0)), "")</f>
        <v/>
      </c>
      <c r="W117" s="230"/>
      <c r="X117" s="102" t="s">
        <v>1992</v>
      </c>
      <c r="AN117" s="102"/>
    </row>
    <row r="118">
      <c r="A118" s="102" t="s">
        <v>276</v>
      </c>
      <c r="B118" s="102" t="s">
        <v>3960</v>
      </c>
      <c r="C118" s="229" t="s">
        <v>3961</v>
      </c>
      <c r="D118" s="102" t="s">
        <v>3962</v>
      </c>
      <c r="G118" s="102" t="s">
        <v>353</v>
      </c>
      <c r="H118" s="102" t="s">
        <v>354</v>
      </c>
      <c r="I118" s="102" t="s">
        <v>284</v>
      </c>
      <c r="J118" s="102" t="s">
        <v>63</v>
      </c>
      <c r="L118" s="229" t="s">
        <v>3963</v>
      </c>
      <c r="M118" s="229" t="s">
        <v>3963</v>
      </c>
      <c r="O118" s="230"/>
      <c r="T118" s="230"/>
      <c r="U118" s="230" t="str">
        <f>IF(ISNUMBER(MATCH(B118, 'Sprint 18'!B:B, 0)), "มาจาก Sprint 18", "")</f>
        <v/>
      </c>
      <c r="V118" s="230" t="str">
        <f t="array" ref="V118">IF(ISNUMBER(MATCH(B118, 'Sprint 18'!B:B, 0)), INDEX('Sprint 18'!J:J, MATCH(B118, 'Sprint 18'!B:B, 0)), "")</f>
        <v/>
      </c>
      <c r="W118" s="230"/>
      <c r="X118" s="102" t="s">
        <v>1258</v>
      </c>
      <c r="AN118" s="102"/>
    </row>
    <row r="119">
      <c r="A119" s="102" t="s">
        <v>276</v>
      </c>
      <c r="B119" s="102" t="s">
        <v>3964</v>
      </c>
      <c r="C119" s="229" t="s">
        <v>3965</v>
      </c>
      <c r="D119" s="102" t="s">
        <v>3966</v>
      </c>
      <c r="G119" s="102" t="s">
        <v>353</v>
      </c>
      <c r="H119" s="102" t="s">
        <v>354</v>
      </c>
      <c r="I119" s="102" t="s">
        <v>284</v>
      </c>
      <c r="J119" s="102" t="s">
        <v>34</v>
      </c>
      <c r="L119" s="229" t="s">
        <v>3963</v>
      </c>
      <c r="M119" s="229" t="s">
        <v>3967</v>
      </c>
      <c r="O119" s="230"/>
      <c r="T119" s="230"/>
      <c r="U119" s="230" t="str">
        <f>IF(ISNUMBER(MATCH(B119, 'Sprint 18'!B:B, 0)), "มาจาก Sprint 18", "")</f>
        <v/>
      </c>
      <c r="V119" s="230" t="str">
        <f t="array" ref="V119">IF(ISNUMBER(MATCH(B119, 'Sprint 18'!B:B, 0)), INDEX('Sprint 18'!J:J, MATCH(B119, 'Sprint 18'!B:B, 0)), "")</f>
        <v/>
      </c>
      <c r="W119" s="230"/>
      <c r="X119" s="102" t="s">
        <v>1258</v>
      </c>
      <c r="AN119" s="102"/>
    </row>
    <row r="120">
      <c r="A120" s="102" t="s">
        <v>276</v>
      </c>
      <c r="B120" s="102" t="s">
        <v>3968</v>
      </c>
      <c r="C120" s="229" t="s">
        <v>3969</v>
      </c>
      <c r="D120" s="102" t="s">
        <v>3962</v>
      </c>
      <c r="G120" s="102" t="s">
        <v>353</v>
      </c>
      <c r="H120" s="102" t="s">
        <v>354</v>
      </c>
      <c r="I120" s="102" t="s">
        <v>284</v>
      </c>
      <c r="J120" s="102" t="s">
        <v>63</v>
      </c>
      <c r="L120" s="229" t="s">
        <v>3963</v>
      </c>
      <c r="M120" s="229" t="s">
        <v>3963</v>
      </c>
      <c r="O120" s="230"/>
      <c r="T120" s="230"/>
      <c r="U120" s="230" t="str">
        <f>IF(ISNUMBER(MATCH(B120, 'Sprint 18'!B:B, 0)), "มาจาก Sprint 18", "")</f>
        <v/>
      </c>
      <c r="V120" s="230" t="str">
        <f t="array" ref="V120">IF(ISNUMBER(MATCH(B120, 'Sprint 18'!B:B, 0)), INDEX('Sprint 18'!J:J, MATCH(B120, 'Sprint 18'!B:B, 0)), "")</f>
        <v/>
      </c>
      <c r="W120" s="230"/>
      <c r="X120" s="102" t="s">
        <v>1258</v>
      </c>
    </row>
    <row r="121">
      <c r="A121" s="102" t="s">
        <v>276</v>
      </c>
      <c r="B121" s="102" t="s">
        <v>3970</v>
      </c>
      <c r="C121" s="229" t="s">
        <v>3971</v>
      </c>
      <c r="D121" s="102" t="s">
        <v>3966</v>
      </c>
      <c r="G121" s="102" t="s">
        <v>353</v>
      </c>
      <c r="H121" s="102" t="s">
        <v>354</v>
      </c>
      <c r="I121" s="102" t="s">
        <v>284</v>
      </c>
      <c r="J121" s="102" t="s">
        <v>355</v>
      </c>
      <c r="L121" s="229" t="s">
        <v>3972</v>
      </c>
      <c r="M121" s="229" t="s">
        <v>3973</v>
      </c>
      <c r="O121" s="230"/>
      <c r="T121" s="230"/>
      <c r="U121" s="230" t="str">
        <f>IF(ISNUMBER(MATCH(B121, 'Sprint 18'!B:B, 0)), "มาจาก Sprint 18", "")</f>
        <v/>
      </c>
      <c r="V121" s="230" t="str">
        <f t="array" ref="V121">IF(ISNUMBER(MATCH(B121, 'Sprint 18'!B:B, 0)), INDEX('Sprint 18'!J:J, MATCH(B121, 'Sprint 18'!B:B, 0)), "")</f>
        <v/>
      </c>
      <c r="W121" s="230"/>
      <c r="X121" s="102" t="s">
        <v>1258</v>
      </c>
      <c r="AM121" s="102"/>
      <c r="AN121" s="102"/>
      <c r="AO121" s="102"/>
    </row>
    <row r="122">
      <c r="A122" s="102" t="s">
        <v>276</v>
      </c>
      <c r="B122" s="102" t="s">
        <v>3974</v>
      </c>
      <c r="C122" s="229" t="s">
        <v>3975</v>
      </c>
      <c r="D122" s="102" t="s">
        <v>3962</v>
      </c>
      <c r="G122" s="102" t="s">
        <v>353</v>
      </c>
      <c r="H122" s="102" t="s">
        <v>354</v>
      </c>
      <c r="I122" s="102" t="s">
        <v>284</v>
      </c>
      <c r="J122" s="102" t="s">
        <v>26</v>
      </c>
      <c r="L122" s="229" t="s">
        <v>3972</v>
      </c>
      <c r="M122" s="229" t="s">
        <v>3976</v>
      </c>
      <c r="O122" s="230"/>
      <c r="T122" s="230"/>
      <c r="U122" s="230" t="str">
        <f>IF(ISNUMBER(MATCH(B122, 'Sprint 18'!B:B, 0)), "มาจาก Sprint 18", "")</f>
        <v/>
      </c>
      <c r="V122" s="230" t="str">
        <f t="array" ref="V122">IF(ISNUMBER(MATCH(B122, 'Sprint 18'!B:B, 0)), INDEX('Sprint 18'!J:J, MATCH(B122, 'Sprint 18'!B:B, 0)), "")</f>
        <v/>
      </c>
      <c r="W122" s="230"/>
      <c r="X122" s="102" t="s">
        <v>1258</v>
      </c>
      <c r="AM122" s="102"/>
      <c r="AN122" s="102"/>
      <c r="AO122" s="102"/>
    </row>
    <row r="123">
      <c r="A123" s="102" t="s">
        <v>276</v>
      </c>
      <c r="B123" s="102" t="s">
        <v>3977</v>
      </c>
      <c r="C123" s="229" t="s">
        <v>3978</v>
      </c>
      <c r="D123" s="102" t="s">
        <v>3966</v>
      </c>
      <c r="G123" s="102" t="s">
        <v>353</v>
      </c>
      <c r="H123" s="102" t="s">
        <v>354</v>
      </c>
      <c r="I123" s="102" t="s">
        <v>284</v>
      </c>
      <c r="J123" s="102" t="s">
        <v>26</v>
      </c>
      <c r="L123" s="229" t="s">
        <v>3972</v>
      </c>
      <c r="M123" s="229" t="s">
        <v>3979</v>
      </c>
      <c r="O123" s="230"/>
      <c r="T123" s="230"/>
      <c r="U123" s="230" t="str">
        <f>IF(ISNUMBER(MATCH(B123, 'Sprint 18'!B:B, 0)), "มาจาก Sprint 18", "")</f>
        <v/>
      </c>
      <c r="V123" s="230" t="str">
        <f t="array" ref="V123">IF(ISNUMBER(MATCH(B123, 'Sprint 18'!B:B, 0)), INDEX('Sprint 18'!J:J, MATCH(B123, 'Sprint 18'!B:B, 0)), "")</f>
        <v/>
      </c>
      <c r="W123" s="230"/>
      <c r="X123" s="102" t="s">
        <v>1258</v>
      </c>
    </row>
    <row r="124">
      <c r="A124" s="102" t="s">
        <v>276</v>
      </c>
      <c r="B124" s="102" t="s">
        <v>3980</v>
      </c>
      <c r="C124" s="229" t="s">
        <v>3981</v>
      </c>
      <c r="D124" s="102" t="s">
        <v>3962</v>
      </c>
      <c r="E124" s="102" t="s">
        <v>564</v>
      </c>
      <c r="F124" s="102" t="s">
        <v>565</v>
      </c>
      <c r="G124" s="102" t="s">
        <v>353</v>
      </c>
      <c r="H124" s="102" t="s">
        <v>354</v>
      </c>
      <c r="I124" s="102" t="s">
        <v>284</v>
      </c>
      <c r="J124" s="102" t="s">
        <v>355</v>
      </c>
      <c r="L124" s="229" t="s">
        <v>3972</v>
      </c>
      <c r="M124" s="229" t="s">
        <v>4431</v>
      </c>
      <c r="O124" s="230"/>
      <c r="T124" s="230"/>
      <c r="U124" s="230" t="str">
        <f>IF(ISNUMBER(MATCH(B124, 'Sprint 18'!B:B, 0)), "มาจาก Sprint 18", "")</f>
        <v/>
      </c>
      <c r="V124" s="230" t="str">
        <f t="array" ref="V124">IF(ISNUMBER(MATCH(B124, 'Sprint 18'!B:B, 0)), INDEX('Sprint 18'!J:J, MATCH(B124, 'Sprint 18'!B:B, 0)), "")</f>
        <v/>
      </c>
      <c r="W124" s="230"/>
      <c r="X124" s="102" t="s">
        <v>1258</v>
      </c>
      <c r="AM124" s="102"/>
      <c r="AN124" s="102"/>
    </row>
    <row r="125">
      <c r="A125" s="102" t="s">
        <v>276</v>
      </c>
      <c r="B125" s="102" t="s">
        <v>3983</v>
      </c>
      <c r="C125" s="229" t="s">
        <v>3984</v>
      </c>
      <c r="D125" s="102" t="s">
        <v>3966</v>
      </c>
      <c r="E125" s="102" t="s">
        <v>564</v>
      </c>
      <c r="F125" s="102" t="s">
        <v>565</v>
      </c>
      <c r="G125" s="102" t="s">
        <v>353</v>
      </c>
      <c r="H125" s="102" t="s">
        <v>354</v>
      </c>
      <c r="I125" s="102" t="s">
        <v>284</v>
      </c>
      <c r="J125" s="102" t="s">
        <v>355</v>
      </c>
      <c r="L125" s="229" t="s">
        <v>3972</v>
      </c>
      <c r="M125" s="229" t="s">
        <v>4431</v>
      </c>
      <c r="O125" s="230"/>
      <c r="T125" s="230"/>
      <c r="U125" s="230" t="str">
        <f>IF(ISNUMBER(MATCH(B125, 'Sprint 18'!B:B, 0)), "มาจาก Sprint 18", "")</f>
        <v/>
      </c>
      <c r="V125" s="230" t="str">
        <f t="array" ref="V125">IF(ISNUMBER(MATCH(B125, 'Sprint 18'!B:B, 0)), INDEX('Sprint 18'!J:J, MATCH(B125, 'Sprint 18'!B:B, 0)), "")</f>
        <v/>
      </c>
      <c r="W125" s="230"/>
      <c r="X125" s="102" t="s">
        <v>1258</v>
      </c>
      <c r="AM125" s="102"/>
      <c r="AN125" s="102"/>
    </row>
    <row r="126">
      <c r="A126" s="102" t="s">
        <v>276</v>
      </c>
      <c r="B126" s="102" t="s">
        <v>3985</v>
      </c>
      <c r="C126" s="229" t="s">
        <v>3986</v>
      </c>
      <c r="D126" s="102" t="s">
        <v>3962</v>
      </c>
      <c r="E126" s="102" t="s">
        <v>564</v>
      </c>
      <c r="F126" s="102" t="s">
        <v>565</v>
      </c>
      <c r="G126" s="102" t="s">
        <v>353</v>
      </c>
      <c r="H126" s="102" t="s">
        <v>354</v>
      </c>
      <c r="I126" s="102" t="s">
        <v>284</v>
      </c>
      <c r="J126" s="102" t="s">
        <v>26</v>
      </c>
      <c r="L126" s="229" t="s">
        <v>3987</v>
      </c>
      <c r="M126" s="229" t="s">
        <v>3988</v>
      </c>
      <c r="O126" s="230"/>
      <c r="T126" s="230"/>
      <c r="U126" s="230" t="str">
        <f>IF(ISNUMBER(MATCH(B126, 'Sprint 18'!B:B, 0)), "มาจาก Sprint 18", "")</f>
        <v/>
      </c>
      <c r="V126" s="230" t="str">
        <f t="array" ref="V126">IF(ISNUMBER(MATCH(B126, 'Sprint 18'!B:B, 0)), INDEX('Sprint 18'!J:J, MATCH(B126, 'Sprint 18'!B:B, 0)), "")</f>
        <v/>
      </c>
      <c r="W126" s="230"/>
      <c r="X126" s="102" t="s">
        <v>1258</v>
      </c>
      <c r="AM126" s="102"/>
      <c r="AN126" s="102"/>
    </row>
    <row r="127">
      <c r="A127" s="102" t="s">
        <v>276</v>
      </c>
      <c r="B127" s="102" t="s">
        <v>3989</v>
      </c>
      <c r="C127" s="229" t="s">
        <v>3990</v>
      </c>
      <c r="D127" s="102" t="s">
        <v>3966</v>
      </c>
      <c r="E127" s="102" t="s">
        <v>564</v>
      </c>
      <c r="F127" s="102" t="s">
        <v>565</v>
      </c>
      <c r="G127" s="102" t="s">
        <v>353</v>
      </c>
      <c r="H127" s="102" t="s">
        <v>354</v>
      </c>
      <c r="I127" s="102" t="s">
        <v>284</v>
      </c>
      <c r="J127" s="102" t="s">
        <v>26</v>
      </c>
      <c r="L127" s="229" t="s">
        <v>3987</v>
      </c>
      <c r="M127" s="229" t="s">
        <v>3979</v>
      </c>
      <c r="O127" s="230"/>
      <c r="T127" s="230"/>
      <c r="U127" s="230" t="str">
        <f>IF(ISNUMBER(MATCH(B127, 'Sprint 18'!B:B, 0)), "มาจาก Sprint 18", "")</f>
        <v/>
      </c>
      <c r="V127" s="230" t="str">
        <f t="array" ref="V127">IF(ISNUMBER(MATCH(B127, 'Sprint 18'!B:B, 0)), INDEX('Sprint 18'!J:J, MATCH(B127, 'Sprint 18'!B:B, 0)), "")</f>
        <v/>
      </c>
      <c r="W127" s="230"/>
      <c r="X127" s="102" t="s">
        <v>1258</v>
      </c>
      <c r="AM127" s="102"/>
      <c r="AN127" s="102"/>
    </row>
    <row r="128">
      <c r="A128" s="102" t="s">
        <v>310</v>
      </c>
      <c r="B128" s="102" t="s">
        <v>3991</v>
      </c>
      <c r="C128" s="229" t="s">
        <v>3992</v>
      </c>
      <c r="D128" s="102" t="s">
        <v>3993</v>
      </c>
      <c r="E128" s="102" t="s">
        <v>556</v>
      </c>
      <c r="F128" s="102" t="s">
        <v>557</v>
      </c>
      <c r="G128" s="102" t="s">
        <v>353</v>
      </c>
      <c r="H128" s="102" t="s">
        <v>354</v>
      </c>
      <c r="I128" s="102" t="s">
        <v>284</v>
      </c>
      <c r="J128" s="102" t="s">
        <v>34</v>
      </c>
      <c r="L128" s="229" t="s">
        <v>3994</v>
      </c>
      <c r="M128" s="229" t="s">
        <v>4432</v>
      </c>
      <c r="N128" s="229" t="s">
        <v>1257</v>
      </c>
      <c r="O128" s="102">
        <v>5.0</v>
      </c>
      <c r="T128" s="102">
        <v>57600.0</v>
      </c>
      <c r="U128" s="230" t="str">
        <f>IF(ISNUMBER(MATCH(B128, 'Sprint 18'!B:B, 0)), "มาจาก Sprint 18", "")</f>
        <v/>
      </c>
      <c r="V128" s="230" t="str">
        <f t="array" ref="V128">IF(ISNUMBER(MATCH(B128, 'Sprint 18'!B:B, 0)), INDEX('Sprint 18'!J:J, MATCH(B128, 'Sprint 18'!B:B, 0)), "")</f>
        <v/>
      </c>
      <c r="W128" s="102"/>
      <c r="X128" s="102" t="s">
        <v>1258</v>
      </c>
      <c r="AM128" s="102"/>
      <c r="AN128" s="102"/>
    </row>
    <row r="129">
      <c r="A129" s="102" t="s">
        <v>310</v>
      </c>
      <c r="B129" s="102" t="s">
        <v>4433</v>
      </c>
      <c r="C129" s="229" t="s">
        <v>4434</v>
      </c>
      <c r="D129" s="102" t="s">
        <v>4435</v>
      </c>
      <c r="E129" s="102" t="s">
        <v>314</v>
      </c>
      <c r="F129" s="102" t="s">
        <v>315</v>
      </c>
      <c r="G129" s="102" t="s">
        <v>316</v>
      </c>
      <c r="H129" s="102" t="s">
        <v>317</v>
      </c>
      <c r="I129" s="102" t="s">
        <v>284</v>
      </c>
      <c r="J129" s="102" t="s">
        <v>26</v>
      </c>
      <c r="L129" s="229" t="s">
        <v>4436</v>
      </c>
      <c r="M129" s="229" t="s">
        <v>4437</v>
      </c>
      <c r="O129" s="102">
        <v>2.0</v>
      </c>
      <c r="P129" s="102" t="s">
        <v>433</v>
      </c>
      <c r="Q129" s="102" t="s">
        <v>2891</v>
      </c>
      <c r="T129" s="102">
        <v>1800.0</v>
      </c>
      <c r="U129" s="230" t="str">
        <f>IF(ISNUMBER(MATCH(B129, 'Sprint 18'!B:B, 0)), "มาจาก Sprint 18", "")</f>
        <v/>
      </c>
      <c r="V129" s="230" t="str">
        <f t="array" ref="V129">IF(ISNUMBER(MATCH(B129, 'Sprint 18'!B:B, 0)), INDEX('Sprint 18'!J:J, MATCH(B129, 'Sprint 18'!B:B, 0)), "")</f>
        <v/>
      </c>
      <c r="W129" s="102"/>
      <c r="X129" s="102" t="s">
        <v>4005</v>
      </c>
      <c r="AM129" s="102"/>
      <c r="AN129" s="102"/>
    </row>
    <row r="130">
      <c r="A130" s="102" t="s">
        <v>310</v>
      </c>
      <c r="B130" s="102" t="s">
        <v>3996</v>
      </c>
      <c r="C130" s="229" t="s">
        <v>3997</v>
      </c>
      <c r="D130" s="102" t="s">
        <v>3998</v>
      </c>
      <c r="E130" s="102" t="s">
        <v>328</v>
      </c>
      <c r="F130" s="102" t="s">
        <v>329</v>
      </c>
      <c r="G130" s="102" t="s">
        <v>282</v>
      </c>
      <c r="H130" s="102" t="s">
        <v>283</v>
      </c>
      <c r="I130" s="102" t="s">
        <v>284</v>
      </c>
      <c r="J130" s="102" t="s">
        <v>678</v>
      </c>
      <c r="L130" s="229" t="s">
        <v>3999</v>
      </c>
      <c r="M130" s="229" t="s">
        <v>4438</v>
      </c>
      <c r="O130" s="102">
        <v>3.0</v>
      </c>
      <c r="P130" s="102" t="s">
        <v>331</v>
      </c>
      <c r="T130" s="230"/>
      <c r="U130" s="230" t="str">
        <f>IF(ISNUMBER(MATCH(B130, 'Sprint 18'!B:B, 0)), "มาจาก Sprint 18", "")</f>
        <v/>
      </c>
      <c r="V130" s="230" t="str">
        <f t="array" ref="V130">IF(ISNUMBER(MATCH(B130, 'Sprint 18'!B:B, 0)), INDEX('Sprint 18'!J:J, MATCH(B130, 'Sprint 18'!B:B, 0)), "")</f>
        <v/>
      </c>
      <c r="W130" s="230"/>
      <c r="X130" s="102" t="s">
        <v>1992</v>
      </c>
      <c r="AM130" s="102"/>
      <c r="AN130" s="102"/>
      <c r="AO130" s="102"/>
    </row>
    <row r="131">
      <c r="A131" s="102" t="s">
        <v>332</v>
      </c>
      <c r="B131" s="102" t="s">
        <v>4000</v>
      </c>
      <c r="C131" s="229" t="s">
        <v>4001</v>
      </c>
      <c r="D131" s="102" t="s">
        <v>4002</v>
      </c>
      <c r="E131" s="102" t="s">
        <v>513</v>
      </c>
      <c r="F131" s="102" t="s">
        <v>514</v>
      </c>
      <c r="G131" s="102" t="s">
        <v>316</v>
      </c>
      <c r="H131" s="102" t="s">
        <v>317</v>
      </c>
      <c r="I131" s="102" t="s">
        <v>284</v>
      </c>
      <c r="J131" s="102" t="s">
        <v>2231</v>
      </c>
      <c r="L131" s="229" t="s">
        <v>4003</v>
      </c>
      <c r="M131" s="229" t="s">
        <v>4439</v>
      </c>
      <c r="N131" s="229" t="s">
        <v>1356</v>
      </c>
      <c r="O131" s="102">
        <v>2.0</v>
      </c>
      <c r="P131" s="102" t="s">
        <v>367</v>
      </c>
      <c r="Q131" s="102" t="s">
        <v>2179</v>
      </c>
      <c r="R131" s="102" t="s">
        <v>2891</v>
      </c>
      <c r="T131" s="230"/>
      <c r="U131" s="230" t="str">
        <f>IF(ISNUMBER(MATCH(B131, 'Sprint 18'!B:B, 0)), "มาจาก Sprint 18", "")</f>
        <v/>
      </c>
      <c r="V131" s="230" t="str">
        <f t="array" ref="V131">IF(ISNUMBER(MATCH(B131, 'Sprint 18'!B:B, 0)), INDEX('Sprint 18'!J:J, MATCH(B131, 'Sprint 18'!B:B, 0)), "")</f>
        <v/>
      </c>
      <c r="W131" s="230"/>
      <c r="X131" s="102" t="s">
        <v>4005</v>
      </c>
      <c r="AM131" s="102"/>
      <c r="AN131" s="102"/>
      <c r="AO131" s="102"/>
    </row>
    <row r="132">
      <c r="A132" s="102" t="s">
        <v>276</v>
      </c>
      <c r="B132" s="102" t="s">
        <v>4006</v>
      </c>
      <c r="C132" s="229" t="s">
        <v>4007</v>
      </c>
      <c r="D132" s="102" t="s">
        <v>347</v>
      </c>
      <c r="E132" s="102" t="s">
        <v>280</v>
      </c>
      <c r="F132" s="102" t="s">
        <v>281</v>
      </c>
      <c r="G132" s="102" t="s">
        <v>280</v>
      </c>
      <c r="H132" s="102" t="s">
        <v>281</v>
      </c>
      <c r="I132" s="102" t="s">
        <v>284</v>
      </c>
      <c r="J132" s="102" t="s">
        <v>63</v>
      </c>
      <c r="L132" s="229" t="s">
        <v>4008</v>
      </c>
      <c r="M132" s="229" t="s">
        <v>4052</v>
      </c>
      <c r="O132" s="230"/>
      <c r="T132" s="230"/>
      <c r="U132" s="230" t="str">
        <f>IF(ISNUMBER(MATCH(B132, 'Sprint 18'!B:B, 0)), "มาจาก Sprint 18", "")</f>
        <v>มาจาก Sprint 18</v>
      </c>
      <c r="V132" s="230" t="str">
        <f t="array" ref="V132">IF(ISNUMBER(MATCH(B132, 'Sprint 18'!B:B, 0)), INDEX('Sprint 18'!J:J, MATCH(B132, 'Sprint 18'!B:B, 0)), "")</f>
        <v>To Do</v>
      </c>
      <c r="W132" s="230"/>
      <c r="X132" s="102" t="s">
        <v>1991</v>
      </c>
      <c r="Y132" s="102" t="s">
        <v>1992</v>
      </c>
      <c r="AM132" s="102"/>
      <c r="AN132" s="102"/>
      <c r="AO132" s="102"/>
    </row>
    <row r="133">
      <c r="A133" s="102" t="s">
        <v>276</v>
      </c>
      <c r="B133" s="102" t="s">
        <v>4009</v>
      </c>
      <c r="C133" s="229" t="s">
        <v>4010</v>
      </c>
      <c r="D133" s="102" t="s">
        <v>2030</v>
      </c>
      <c r="E133" s="102" t="s">
        <v>280</v>
      </c>
      <c r="F133" s="102" t="s">
        <v>281</v>
      </c>
      <c r="G133" s="102" t="s">
        <v>280</v>
      </c>
      <c r="H133" s="102" t="s">
        <v>281</v>
      </c>
      <c r="I133" s="102" t="s">
        <v>284</v>
      </c>
      <c r="J133" s="102" t="s">
        <v>355</v>
      </c>
      <c r="L133" s="229" t="s">
        <v>4008</v>
      </c>
      <c r="M133" s="229" t="s">
        <v>4052</v>
      </c>
      <c r="O133" s="230"/>
      <c r="T133" s="230"/>
      <c r="U133" s="230" t="str">
        <f>IF(ISNUMBER(MATCH(B133, 'Sprint 18'!B:B, 0)), "มาจาก Sprint 18", "")</f>
        <v>มาจาก Sprint 18</v>
      </c>
      <c r="V133" s="230" t="str">
        <f t="array" ref="V133">IF(ISNUMBER(MATCH(B133, 'Sprint 18'!B:B, 0)), INDEX('Sprint 18'!J:J, MATCH(B133, 'Sprint 18'!B:B, 0)), "")</f>
        <v>In Review</v>
      </c>
      <c r="W133" s="230"/>
      <c r="X133" s="102" t="s">
        <v>1991</v>
      </c>
      <c r="Y133" s="102" t="s">
        <v>1992</v>
      </c>
    </row>
    <row r="134">
      <c r="A134" s="102" t="s">
        <v>276</v>
      </c>
      <c r="B134" s="102" t="s">
        <v>4011</v>
      </c>
      <c r="C134" s="229" t="s">
        <v>4012</v>
      </c>
      <c r="D134" s="102" t="s">
        <v>347</v>
      </c>
      <c r="E134" s="102" t="s">
        <v>280</v>
      </c>
      <c r="F134" s="102" t="s">
        <v>281</v>
      </c>
      <c r="G134" s="102" t="s">
        <v>280</v>
      </c>
      <c r="H134" s="102" t="s">
        <v>281</v>
      </c>
      <c r="I134" s="102" t="s">
        <v>284</v>
      </c>
      <c r="J134" s="102" t="s">
        <v>63</v>
      </c>
      <c r="L134" s="229" t="s">
        <v>4008</v>
      </c>
      <c r="M134" s="229" t="s">
        <v>4052</v>
      </c>
      <c r="O134" s="230"/>
      <c r="T134" s="230"/>
      <c r="U134" s="230" t="str">
        <f>IF(ISNUMBER(MATCH(B134, 'Sprint 18'!B:B, 0)), "มาจาก Sprint 18", "")</f>
        <v>มาจาก Sprint 18</v>
      </c>
      <c r="V134" s="230" t="str">
        <f t="array" ref="V134">IF(ISNUMBER(MATCH(B134, 'Sprint 18'!B:B, 0)), INDEX('Sprint 18'!J:J, MATCH(B134, 'Sprint 18'!B:B, 0)), "")</f>
        <v>To Do</v>
      </c>
      <c r="W134" s="230"/>
      <c r="X134" s="102" t="s">
        <v>1991</v>
      </c>
      <c r="Y134" s="102" t="s">
        <v>1992</v>
      </c>
    </row>
    <row r="135">
      <c r="A135" s="102" t="s">
        <v>276</v>
      </c>
      <c r="B135" s="102" t="s">
        <v>4013</v>
      </c>
      <c r="C135" s="229" t="s">
        <v>4014</v>
      </c>
      <c r="D135" s="102" t="s">
        <v>2030</v>
      </c>
      <c r="E135" s="102" t="s">
        <v>280</v>
      </c>
      <c r="F135" s="102" t="s">
        <v>281</v>
      </c>
      <c r="G135" s="102" t="s">
        <v>280</v>
      </c>
      <c r="H135" s="102" t="s">
        <v>281</v>
      </c>
      <c r="I135" s="102" t="s">
        <v>284</v>
      </c>
      <c r="J135" s="102" t="s">
        <v>355</v>
      </c>
      <c r="L135" s="229" t="s">
        <v>4008</v>
      </c>
      <c r="M135" s="229" t="s">
        <v>4052</v>
      </c>
      <c r="O135" s="230"/>
      <c r="T135" s="230"/>
      <c r="U135" s="230" t="str">
        <f>IF(ISNUMBER(MATCH(B135, 'Sprint 18'!B:B, 0)), "มาจาก Sprint 18", "")</f>
        <v>มาจาก Sprint 18</v>
      </c>
      <c r="V135" s="230" t="str">
        <f t="array" ref="V135">IF(ISNUMBER(MATCH(B135, 'Sprint 18'!B:B, 0)), INDEX('Sprint 18'!J:J, MATCH(B135, 'Sprint 18'!B:B, 0)), "")</f>
        <v>In Review</v>
      </c>
      <c r="W135" s="230"/>
      <c r="X135" s="102" t="s">
        <v>1991</v>
      </c>
      <c r="Y135" s="102" t="s">
        <v>1992</v>
      </c>
    </row>
    <row r="136">
      <c r="A136" s="102" t="s">
        <v>310</v>
      </c>
      <c r="B136" s="102" t="s">
        <v>3524</v>
      </c>
      <c r="C136" s="229" t="s">
        <v>3525</v>
      </c>
      <c r="D136" s="102" t="s">
        <v>3526</v>
      </c>
      <c r="E136" s="102" t="s">
        <v>495</v>
      </c>
      <c r="F136" s="102" t="s">
        <v>496</v>
      </c>
      <c r="G136" s="102" t="s">
        <v>282</v>
      </c>
      <c r="H136" s="102" t="s">
        <v>283</v>
      </c>
      <c r="I136" s="102" t="s">
        <v>284</v>
      </c>
      <c r="J136" s="102" t="s">
        <v>678</v>
      </c>
      <c r="L136" s="229" t="s">
        <v>3527</v>
      </c>
      <c r="M136" s="229" t="s">
        <v>4317</v>
      </c>
      <c r="O136" s="102">
        <v>3.0</v>
      </c>
      <c r="P136" s="102" t="s">
        <v>331</v>
      </c>
      <c r="T136" s="102">
        <v>28800.0</v>
      </c>
      <c r="U136" s="230" t="str">
        <f>IF(ISNUMBER(MATCH(B136, 'Sprint 18'!B:B, 0)), "มาจาก Sprint 18", "")</f>
        <v/>
      </c>
      <c r="V136" s="230" t="str">
        <f t="array" ref="V136">IF(ISNUMBER(MATCH(B136, 'Sprint 18'!B:B, 0)), INDEX('Sprint 18'!J:J, MATCH(B136, 'Sprint 18'!B:B, 0)), "")</f>
        <v/>
      </c>
      <c r="W136" s="102"/>
      <c r="X136" s="102" t="s">
        <v>1992</v>
      </c>
    </row>
    <row r="137">
      <c r="A137" s="102" t="s">
        <v>310</v>
      </c>
      <c r="B137" s="102" t="s">
        <v>4016</v>
      </c>
      <c r="C137" s="229" t="s">
        <v>4017</v>
      </c>
      <c r="D137" s="102" t="s">
        <v>4018</v>
      </c>
      <c r="E137" s="102" t="s">
        <v>353</v>
      </c>
      <c r="F137" s="102" t="s">
        <v>354</v>
      </c>
      <c r="G137" s="102" t="s">
        <v>353</v>
      </c>
      <c r="H137" s="102" t="s">
        <v>354</v>
      </c>
      <c r="I137" s="102" t="s">
        <v>284</v>
      </c>
      <c r="J137" s="102" t="s">
        <v>34</v>
      </c>
      <c r="L137" s="229" t="s">
        <v>4019</v>
      </c>
      <c r="M137" s="229" t="s">
        <v>3831</v>
      </c>
      <c r="O137" s="102">
        <v>8.0</v>
      </c>
      <c r="T137" s="230"/>
      <c r="U137" s="230" t="str">
        <f>IF(ISNUMBER(MATCH(B137, 'Sprint 18'!B:B, 0)), "มาจาก Sprint 18", "")</f>
        <v/>
      </c>
      <c r="V137" s="230" t="str">
        <f t="array" ref="V137">IF(ISNUMBER(MATCH(B137, 'Sprint 18'!B:B, 0)), INDEX('Sprint 18'!J:J, MATCH(B137, 'Sprint 18'!B:B, 0)), "")</f>
        <v/>
      </c>
      <c r="W137" s="230"/>
      <c r="X137" s="102" t="s">
        <v>2270</v>
      </c>
    </row>
    <row r="138">
      <c r="A138" s="102" t="s">
        <v>310</v>
      </c>
      <c r="B138" s="102" t="s">
        <v>4020</v>
      </c>
      <c r="C138" s="229" t="s">
        <v>4021</v>
      </c>
      <c r="D138" s="102" t="s">
        <v>4022</v>
      </c>
      <c r="E138" s="102" t="s">
        <v>584</v>
      </c>
      <c r="F138" s="102" t="s">
        <v>585</v>
      </c>
      <c r="G138" s="102" t="s">
        <v>353</v>
      </c>
      <c r="H138" s="102" t="s">
        <v>354</v>
      </c>
      <c r="I138" s="102" t="s">
        <v>284</v>
      </c>
      <c r="J138" s="102" t="s">
        <v>678</v>
      </c>
      <c r="L138" s="229" t="s">
        <v>4023</v>
      </c>
      <c r="M138" s="229" t="s">
        <v>4440</v>
      </c>
      <c r="O138" s="102">
        <v>3.0</v>
      </c>
      <c r="T138" s="102">
        <v>28800.0</v>
      </c>
      <c r="U138" s="230" t="str">
        <f>IF(ISNUMBER(MATCH(B138, 'Sprint 18'!B:B, 0)), "มาจาก Sprint 18", "")</f>
        <v/>
      </c>
      <c r="V138" s="230" t="str">
        <f t="array" ref="V138">IF(ISNUMBER(MATCH(B138, 'Sprint 18'!B:B, 0)), INDEX('Sprint 18'!J:J, MATCH(B138, 'Sprint 18'!B:B, 0)), "")</f>
        <v/>
      </c>
      <c r="W138" s="102"/>
      <c r="X138" s="102" t="s">
        <v>2270</v>
      </c>
    </row>
    <row r="139">
      <c r="A139" s="102" t="s">
        <v>310</v>
      </c>
      <c r="B139" s="102" t="s">
        <v>4025</v>
      </c>
      <c r="C139" s="229" t="s">
        <v>4026</v>
      </c>
      <c r="D139" s="102" t="s">
        <v>4027</v>
      </c>
      <c r="E139" s="102" t="s">
        <v>584</v>
      </c>
      <c r="F139" s="102" t="s">
        <v>585</v>
      </c>
      <c r="G139" s="102" t="s">
        <v>353</v>
      </c>
      <c r="H139" s="102" t="s">
        <v>354</v>
      </c>
      <c r="I139" s="102" t="s">
        <v>284</v>
      </c>
      <c r="J139" s="102" t="s">
        <v>678</v>
      </c>
      <c r="L139" s="229" t="s">
        <v>4028</v>
      </c>
      <c r="M139" s="229" t="s">
        <v>4440</v>
      </c>
      <c r="O139" s="102">
        <v>2.0</v>
      </c>
      <c r="T139" s="102">
        <v>14400.0</v>
      </c>
      <c r="U139" s="230" t="str">
        <f>IF(ISNUMBER(MATCH(B139, 'Sprint 18'!B:B, 0)), "มาจาก Sprint 18", "")</f>
        <v/>
      </c>
      <c r="V139" s="230" t="str">
        <f t="array" ref="V139">IF(ISNUMBER(MATCH(B139, 'Sprint 18'!B:B, 0)), INDEX('Sprint 18'!J:J, MATCH(B139, 'Sprint 18'!B:B, 0)), "")</f>
        <v/>
      </c>
      <c r="W139" s="102"/>
      <c r="X139" s="102" t="s">
        <v>2270</v>
      </c>
    </row>
    <row r="140">
      <c r="A140" s="102" t="s">
        <v>310</v>
      </c>
      <c r="B140" s="102" t="s">
        <v>4441</v>
      </c>
      <c r="C140" s="229" t="s">
        <v>4442</v>
      </c>
      <c r="D140" s="102" t="s">
        <v>4443</v>
      </c>
      <c r="E140" s="102" t="s">
        <v>564</v>
      </c>
      <c r="F140" s="102" t="s">
        <v>565</v>
      </c>
      <c r="G140" s="102" t="s">
        <v>316</v>
      </c>
      <c r="H140" s="102" t="s">
        <v>317</v>
      </c>
      <c r="I140" s="102" t="s">
        <v>284</v>
      </c>
      <c r="J140" s="102" t="s">
        <v>26</v>
      </c>
      <c r="L140" s="229" t="s">
        <v>4444</v>
      </c>
      <c r="M140" s="229" t="s">
        <v>4445</v>
      </c>
      <c r="N140" s="229" t="s">
        <v>4402</v>
      </c>
      <c r="O140" s="102">
        <v>3.0</v>
      </c>
      <c r="P140" s="102" t="s">
        <v>366</v>
      </c>
      <c r="Q140" s="102" t="s">
        <v>433</v>
      </c>
      <c r="R140" s="102" t="s">
        <v>368</v>
      </c>
      <c r="T140" s="230"/>
      <c r="U140" s="230" t="str">
        <f>IF(ISNUMBER(MATCH(B140, 'Sprint 18'!B:B, 0)), "มาจาก Sprint 18", "")</f>
        <v/>
      </c>
      <c r="V140" s="230" t="str">
        <f t="array" ref="V140">IF(ISNUMBER(MATCH(B140, 'Sprint 18'!B:B, 0)), INDEX('Sprint 18'!J:J, MATCH(B140, 'Sprint 18'!B:B, 0)), "")</f>
        <v/>
      </c>
      <c r="W140" s="230"/>
      <c r="X140" s="102" t="s">
        <v>4150</v>
      </c>
      <c r="Y140" s="102" t="s">
        <v>4005</v>
      </c>
    </row>
    <row r="141">
      <c r="A141" s="102" t="s">
        <v>310</v>
      </c>
      <c r="B141" s="102" t="s">
        <v>2031</v>
      </c>
      <c r="C141" s="229" t="s">
        <v>2032</v>
      </c>
      <c r="D141" s="102" t="s">
        <v>2033</v>
      </c>
      <c r="E141" s="102" t="s">
        <v>556</v>
      </c>
      <c r="F141" s="102" t="s">
        <v>557</v>
      </c>
      <c r="G141" s="102" t="s">
        <v>282</v>
      </c>
      <c r="H141" s="102" t="s">
        <v>283</v>
      </c>
      <c r="I141" s="102" t="s">
        <v>284</v>
      </c>
      <c r="J141" s="102" t="s">
        <v>678</v>
      </c>
      <c r="L141" s="229" t="s">
        <v>2034</v>
      </c>
      <c r="M141" s="229" t="s">
        <v>4446</v>
      </c>
      <c r="O141" s="102">
        <v>1.0</v>
      </c>
      <c r="T141" s="230"/>
      <c r="U141" s="230" t="str">
        <f>IF(ISNUMBER(MATCH(B141, 'Sprint 18'!B:B, 0)), "มาจาก Sprint 18", "")</f>
        <v>มาจาก Sprint 18</v>
      </c>
      <c r="V141" s="230" t="str">
        <f t="array" ref="V141">IF(ISNUMBER(MATCH(B141, 'Sprint 18'!B:B, 0)), INDEX('Sprint 18'!J:J, MATCH(B141, 'Sprint 18'!B:B, 0)), "")</f>
        <v>In Review</v>
      </c>
      <c r="W141" s="230"/>
      <c r="X141" s="102" t="s">
        <v>1991</v>
      </c>
      <c r="Y141" s="102" t="s">
        <v>1992</v>
      </c>
    </row>
    <row r="142">
      <c r="A142" s="102" t="s">
        <v>310</v>
      </c>
      <c r="B142" s="102" t="s">
        <v>4030</v>
      </c>
      <c r="C142" s="229" t="s">
        <v>4031</v>
      </c>
      <c r="D142" s="102" t="s">
        <v>4032</v>
      </c>
      <c r="E142" s="102" t="s">
        <v>556</v>
      </c>
      <c r="F142" s="102" t="s">
        <v>557</v>
      </c>
      <c r="G142" s="102" t="s">
        <v>282</v>
      </c>
      <c r="H142" s="102" t="s">
        <v>283</v>
      </c>
      <c r="I142" s="102" t="s">
        <v>284</v>
      </c>
      <c r="J142" s="102" t="s">
        <v>678</v>
      </c>
      <c r="L142" s="229" t="s">
        <v>2034</v>
      </c>
      <c r="M142" s="229" t="s">
        <v>4447</v>
      </c>
      <c r="O142" s="102">
        <v>1.0</v>
      </c>
      <c r="T142" s="230"/>
      <c r="U142" s="230" t="str">
        <f>IF(ISNUMBER(MATCH(B142, 'Sprint 18'!B:B, 0)), "มาจาก Sprint 18", "")</f>
        <v>มาจาก Sprint 18</v>
      </c>
      <c r="V142" s="230" t="str">
        <f t="array" ref="V142">IF(ISNUMBER(MATCH(B142, 'Sprint 18'!B:B, 0)), INDEX('Sprint 18'!J:J, MATCH(B142, 'Sprint 18'!B:B, 0)), "")</f>
        <v>In Review</v>
      </c>
      <c r="W142" s="230"/>
      <c r="X142" s="102" t="s">
        <v>1991</v>
      </c>
      <c r="Y142" s="102" t="s">
        <v>1992</v>
      </c>
    </row>
    <row r="143">
      <c r="A143" s="102" t="s">
        <v>310</v>
      </c>
      <c r="B143" s="102" t="s">
        <v>3192</v>
      </c>
      <c r="C143" s="229" t="s">
        <v>3193</v>
      </c>
      <c r="D143" s="102" t="s">
        <v>3194</v>
      </c>
      <c r="E143" s="102" t="s">
        <v>584</v>
      </c>
      <c r="F143" s="102" t="s">
        <v>585</v>
      </c>
      <c r="G143" s="102" t="s">
        <v>353</v>
      </c>
      <c r="H143" s="102" t="s">
        <v>354</v>
      </c>
      <c r="I143" s="102" t="s">
        <v>284</v>
      </c>
      <c r="J143" s="102" t="s">
        <v>678</v>
      </c>
      <c r="L143" s="229" t="s">
        <v>3195</v>
      </c>
      <c r="M143" s="229" t="s">
        <v>4440</v>
      </c>
      <c r="O143" s="102">
        <v>2.0</v>
      </c>
      <c r="T143" s="102">
        <v>14400.0</v>
      </c>
      <c r="U143" s="230" t="str">
        <f>IF(ISNUMBER(MATCH(B143, 'Sprint 18'!B:B, 0)), "มาจาก Sprint 18", "")</f>
        <v/>
      </c>
      <c r="V143" s="230" t="str">
        <f t="array" ref="V143">IF(ISNUMBER(MATCH(B143, 'Sprint 18'!B:B, 0)), INDEX('Sprint 18'!J:J, MATCH(B143, 'Sprint 18'!B:B, 0)), "")</f>
        <v/>
      </c>
      <c r="W143" s="102"/>
      <c r="X143" s="102" t="s">
        <v>2270</v>
      </c>
    </row>
    <row r="144">
      <c r="A144" s="102" t="s">
        <v>310</v>
      </c>
      <c r="B144" s="102" t="s">
        <v>3198</v>
      </c>
      <c r="C144" s="229" t="s">
        <v>3199</v>
      </c>
      <c r="D144" s="102" t="s">
        <v>3200</v>
      </c>
      <c r="E144" s="102" t="s">
        <v>584</v>
      </c>
      <c r="F144" s="102" t="s">
        <v>585</v>
      </c>
      <c r="G144" s="102" t="s">
        <v>353</v>
      </c>
      <c r="H144" s="102" t="s">
        <v>354</v>
      </c>
      <c r="I144" s="102" t="s">
        <v>284</v>
      </c>
      <c r="J144" s="102" t="s">
        <v>678</v>
      </c>
      <c r="L144" s="229" t="s">
        <v>3201</v>
      </c>
      <c r="M144" s="229" t="s">
        <v>4448</v>
      </c>
      <c r="O144" s="102">
        <v>2.0</v>
      </c>
      <c r="T144" s="230"/>
      <c r="U144" s="230" t="str">
        <f>IF(ISNUMBER(MATCH(B144, 'Sprint 18'!B:B, 0)), "มาจาก Sprint 18", "")</f>
        <v/>
      </c>
      <c r="V144" s="230" t="str">
        <f t="array" ref="V144">IF(ISNUMBER(MATCH(B144, 'Sprint 18'!B:B, 0)), INDEX('Sprint 18'!J:J, MATCH(B144, 'Sprint 18'!B:B, 0)), "")</f>
        <v/>
      </c>
      <c r="W144" s="230"/>
      <c r="X144" s="102" t="s">
        <v>2270</v>
      </c>
    </row>
    <row r="145">
      <c r="A145" s="102" t="s">
        <v>310</v>
      </c>
      <c r="B145" s="102" t="s">
        <v>3534</v>
      </c>
      <c r="C145" s="229" t="s">
        <v>3535</v>
      </c>
      <c r="D145" s="102" t="s">
        <v>3536</v>
      </c>
      <c r="E145" s="102" t="s">
        <v>282</v>
      </c>
      <c r="F145" s="102" t="s">
        <v>283</v>
      </c>
      <c r="G145" s="102" t="s">
        <v>282</v>
      </c>
      <c r="H145" s="102" t="s">
        <v>283</v>
      </c>
      <c r="I145" s="102" t="s">
        <v>284</v>
      </c>
      <c r="J145" s="102" t="s">
        <v>34</v>
      </c>
      <c r="L145" s="229" t="s">
        <v>3537</v>
      </c>
      <c r="M145" s="229" t="s">
        <v>4449</v>
      </c>
      <c r="O145" s="102">
        <v>3.0</v>
      </c>
      <c r="P145" s="102" t="s">
        <v>593</v>
      </c>
      <c r="T145" s="230"/>
      <c r="U145" s="230" t="str">
        <f>IF(ISNUMBER(MATCH(B145, 'Sprint 18'!B:B, 0)), "มาจาก Sprint 18", "")</f>
        <v/>
      </c>
      <c r="V145" s="230" t="str">
        <f t="array" ref="V145">IF(ISNUMBER(MATCH(B145, 'Sprint 18'!B:B, 0)), INDEX('Sprint 18'!J:J, MATCH(B145, 'Sprint 18'!B:B, 0)), "")</f>
        <v/>
      </c>
      <c r="W145" s="230"/>
      <c r="X145" s="102" t="s">
        <v>1992</v>
      </c>
    </row>
    <row r="146">
      <c r="A146" s="102" t="s">
        <v>310</v>
      </c>
      <c r="B146" s="102" t="s">
        <v>3540</v>
      </c>
      <c r="C146" s="229" t="s">
        <v>3541</v>
      </c>
      <c r="D146" s="102" t="s">
        <v>3542</v>
      </c>
      <c r="E146" s="102" t="s">
        <v>282</v>
      </c>
      <c r="F146" s="102" t="s">
        <v>283</v>
      </c>
      <c r="G146" s="102" t="s">
        <v>282</v>
      </c>
      <c r="H146" s="102" t="s">
        <v>283</v>
      </c>
      <c r="I146" s="102" t="s">
        <v>284</v>
      </c>
      <c r="J146" s="102" t="s">
        <v>63</v>
      </c>
      <c r="L146" s="229" t="s">
        <v>3543</v>
      </c>
      <c r="M146" s="229" t="s">
        <v>4450</v>
      </c>
      <c r="O146" s="102">
        <v>3.0</v>
      </c>
      <c r="T146" s="230"/>
      <c r="U146" s="230" t="str">
        <f>IF(ISNUMBER(MATCH(B146, 'Sprint 18'!B:B, 0)), "มาจาก Sprint 18", "")</f>
        <v/>
      </c>
      <c r="V146" s="230" t="str">
        <f t="array" ref="V146">IF(ISNUMBER(MATCH(B146, 'Sprint 18'!B:B, 0)), INDEX('Sprint 18'!J:J, MATCH(B146, 'Sprint 18'!B:B, 0)), "")</f>
        <v/>
      </c>
      <c r="W146" s="230"/>
      <c r="X146" s="102" t="s">
        <v>1992</v>
      </c>
    </row>
    <row r="147">
      <c r="A147" s="102" t="s">
        <v>310</v>
      </c>
      <c r="B147" s="102" t="s">
        <v>4036</v>
      </c>
      <c r="C147" s="229" t="s">
        <v>4037</v>
      </c>
      <c r="D147" s="102" t="s">
        <v>4038</v>
      </c>
      <c r="E147" s="102" t="s">
        <v>495</v>
      </c>
      <c r="F147" s="102" t="s">
        <v>496</v>
      </c>
      <c r="G147" s="102" t="s">
        <v>282</v>
      </c>
      <c r="H147" s="102" t="s">
        <v>283</v>
      </c>
      <c r="I147" s="102" t="s">
        <v>284</v>
      </c>
      <c r="J147" s="102" t="s">
        <v>678</v>
      </c>
      <c r="L147" s="229" t="s">
        <v>4039</v>
      </c>
      <c r="M147" s="229" t="s">
        <v>4321</v>
      </c>
      <c r="O147" s="102">
        <v>2.0</v>
      </c>
      <c r="T147" s="230"/>
      <c r="U147" s="230" t="str">
        <f>IF(ISNUMBER(MATCH(B147, 'Sprint 18'!B:B, 0)), "มาจาก Sprint 18", "")</f>
        <v>มาจาก Sprint 18</v>
      </c>
      <c r="V147" s="230" t="str">
        <f t="array" ref="V147">IF(ISNUMBER(MATCH(B147, 'Sprint 18'!B:B, 0)), INDEX('Sprint 18'!J:J, MATCH(B147, 'Sprint 18'!B:B, 0)), "")</f>
        <v>Ready to Staging</v>
      </c>
      <c r="W147" s="230"/>
      <c r="X147" s="102" t="s">
        <v>1991</v>
      </c>
      <c r="Y147" s="102" t="s">
        <v>1992</v>
      </c>
    </row>
    <row r="148">
      <c r="A148" s="102" t="s">
        <v>332</v>
      </c>
      <c r="B148" s="102" t="s">
        <v>4040</v>
      </c>
      <c r="C148" s="229" t="s">
        <v>4041</v>
      </c>
      <c r="D148" s="102" t="s">
        <v>4042</v>
      </c>
      <c r="E148" s="102" t="s">
        <v>328</v>
      </c>
      <c r="F148" s="102" t="s">
        <v>329</v>
      </c>
      <c r="G148" s="102" t="s">
        <v>362</v>
      </c>
      <c r="H148" s="102" t="s">
        <v>363</v>
      </c>
      <c r="I148" s="102" t="s">
        <v>284</v>
      </c>
      <c r="J148" s="102" t="s">
        <v>2415</v>
      </c>
      <c r="L148" s="229" t="s">
        <v>4043</v>
      </c>
      <c r="M148" s="229" t="s">
        <v>4451</v>
      </c>
      <c r="N148" s="229" t="s">
        <v>4044</v>
      </c>
      <c r="O148" s="102">
        <v>3.0</v>
      </c>
      <c r="T148" s="230"/>
      <c r="U148" s="230" t="str">
        <f>IF(ISNUMBER(MATCH(B148, 'Sprint 18'!B:B, 0)), "มาจาก Sprint 18", "")</f>
        <v/>
      </c>
      <c r="V148" s="230" t="str">
        <f t="array" ref="V148">IF(ISNUMBER(MATCH(B148, 'Sprint 18'!B:B, 0)), INDEX('Sprint 18'!J:J, MATCH(B148, 'Sprint 18'!B:B, 0)), "")</f>
        <v/>
      </c>
      <c r="W148" s="230"/>
      <c r="X148" s="102" t="s">
        <v>4005</v>
      </c>
    </row>
    <row r="149">
      <c r="A149" s="102" t="s">
        <v>332</v>
      </c>
      <c r="B149" s="102" t="s">
        <v>4452</v>
      </c>
      <c r="C149" s="229" t="s">
        <v>4453</v>
      </c>
      <c r="D149" s="102" t="s">
        <v>4454</v>
      </c>
      <c r="E149" s="102" t="s">
        <v>495</v>
      </c>
      <c r="F149" s="102" t="s">
        <v>496</v>
      </c>
      <c r="G149" s="102" t="s">
        <v>316</v>
      </c>
      <c r="H149" s="102" t="s">
        <v>317</v>
      </c>
      <c r="I149" s="102" t="s">
        <v>284</v>
      </c>
      <c r="J149" s="102" t="s">
        <v>1738</v>
      </c>
      <c r="L149" s="229" t="s">
        <v>4455</v>
      </c>
      <c r="M149" s="229" t="s">
        <v>4456</v>
      </c>
      <c r="N149" s="229" t="s">
        <v>4044</v>
      </c>
      <c r="O149" s="230"/>
      <c r="T149" s="230"/>
      <c r="U149" s="230" t="str">
        <f>IF(ISNUMBER(MATCH(B149, 'Sprint 18'!B:B, 0)), "มาจาก Sprint 18", "")</f>
        <v>มาจาก Sprint 18</v>
      </c>
      <c r="V149" s="230" t="str">
        <f t="array" ref="V149">IF(ISNUMBER(MATCH(B149, 'Sprint 18'!B:B, 0)), INDEX('Sprint 18'!J:J, MATCH(B149, 'Sprint 18'!B:B, 0)), "")</f>
        <v>Fixing</v>
      </c>
      <c r="W149" s="230"/>
      <c r="X149" s="102" t="s">
        <v>4150</v>
      </c>
      <c r="Y149" s="102" t="s">
        <v>4005</v>
      </c>
    </row>
    <row r="150">
      <c r="A150" s="102" t="s">
        <v>276</v>
      </c>
      <c r="B150" s="102" t="s">
        <v>4045</v>
      </c>
      <c r="C150" s="229" t="s">
        <v>4046</v>
      </c>
      <c r="D150" s="102" t="s">
        <v>347</v>
      </c>
      <c r="E150" s="102" t="s">
        <v>280</v>
      </c>
      <c r="F150" s="102" t="s">
        <v>281</v>
      </c>
      <c r="G150" s="102" t="s">
        <v>280</v>
      </c>
      <c r="H150" s="102" t="s">
        <v>281</v>
      </c>
      <c r="I150" s="102" t="s">
        <v>284</v>
      </c>
      <c r="J150" s="102" t="s">
        <v>63</v>
      </c>
      <c r="L150" s="229" t="s">
        <v>4047</v>
      </c>
      <c r="M150" s="229" t="s">
        <v>4352</v>
      </c>
      <c r="O150" s="230"/>
      <c r="T150" s="230"/>
      <c r="U150" s="230" t="str">
        <f>IF(ISNUMBER(MATCH(B150, 'Sprint 18'!B:B, 0)), "มาจาก Sprint 18", "")</f>
        <v>มาจาก Sprint 18</v>
      </c>
      <c r="V150" s="230" t="str">
        <f t="array" ref="V150">IF(ISNUMBER(MATCH(B150, 'Sprint 18'!B:B, 0)), INDEX('Sprint 18'!J:J, MATCH(B150, 'Sprint 18'!B:B, 0)), "")</f>
        <v>To Do</v>
      </c>
      <c r="W150" s="230"/>
      <c r="X150" s="102" t="s">
        <v>3557</v>
      </c>
      <c r="Y150" s="102" t="s">
        <v>1991</v>
      </c>
      <c r="Z150" s="102" t="s">
        <v>1992</v>
      </c>
    </row>
    <row r="151">
      <c r="A151" s="102" t="s">
        <v>276</v>
      </c>
      <c r="B151" s="102" t="s">
        <v>4049</v>
      </c>
      <c r="C151" s="229" t="s">
        <v>4050</v>
      </c>
      <c r="D151" s="102" t="s">
        <v>2030</v>
      </c>
      <c r="E151" s="102" t="s">
        <v>280</v>
      </c>
      <c r="F151" s="102" t="s">
        <v>281</v>
      </c>
      <c r="G151" s="102" t="s">
        <v>280</v>
      </c>
      <c r="H151" s="102" t="s">
        <v>281</v>
      </c>
      <c r="I151" s="102" t="s">
        <v>284</v>
      </c>
      <c r="J151" s="102" t="s">
        <v>355</v>
      </c>
      <c r="L151" s="229" t="s">
        <v>4051</v>
      </c>
      <c r="M151" s="229" t="s">
        <v>4052</v>
      </c>
      <c r="O151" s="230"/>
      <c r="T151" s="230"/>
      <c r="U151" s="230" t="str">
        <f>IF(ISNUMBER(MATCH(B151, 'Sprint 18'!B:B, 0)), "มาจาก Sprint 18", "")</f>
        <v>มาจาก Sprint 18</v>
      </c>
      <c r="V151" s="230" t="str">
        <f t="array" ref="V151">IF(ISNUMBER(MATCH(B151, 'Sprint 18'!B:B, 0)), INDEX('Sprint 18'!J:J, MATCH(B151, 'Sprint 18'!B:B, 0)), "")</f>
        <v>In Review</v>
      </c>
      <c r="W151" s="230"/>
      <c r="X151" s="102" t="s">
        <v>3557</v>
      </c>
      <c r="Y151" s="102" t="s">
        <v>1991</v>
      </c>
      <c r="Z151" s="102" t="s">
        <v>1992</v>
      </c>
    </row>
    <row r="152">
      <c r="A152" s="102" t="s">
        <v>276</v>
      </c>
      <c r="B152" s="102" t="s">
        <v>3544</v>
      </c>
      <c r="C152" s="229" t="s">
        <v>3545</v>
      </c>
      <c r="D152" s="102" t="s">
        <v>347</v>
      </c>
      <c r="E152" s="102" t="s">
        <v>280</v>
      </c>
      <c r="F152" s="102" t="s">
        <v>281</v>
      </c>
      <c r="G152" s="102" t="s">
        <v>280</v>
      </c>
      <c r="H152" s="102" t="s">
        <v>281</v>
      </c>
      <c r="I152" s="102" t="s">
        <v>284</v>
      </c>
      <c r="J152" s="102" t="s">
        <v>63</v>
      </c>
      <c r="L152" s="229" t="s">
        <v>3546</v>
      </c>
      <c r="M152" s="229" t="s">
        <v>4052</v>
      </c>
      <c r="O152" s="230"/>
      <c r="T152" s="230"/>
      <c r="U152" s="230" t="str">
        <f>IF(ISNUMBER(MATCH(B152, 'Sprint 18'!B:B, 0)), "มาจาก Sprint 18", "")</f>
        <v>มาจาก Sprint 18</v>
      </c>
      <c r="V152" s="230" t="str">
        <f t="array" ref="V152">IF(ISNUMBER(MATCH(B152, 'Sprint 18'!B:B, 0)), INDEX('Sprint 18'!J:J, MATCH(B152, 'Sprint 18'!B:B, 0)), "")</f>
        <v>To Do</v>
      </c>
      <c r="W152" s="230"/>
      <c r="X152" s="102" t="s">
        <v>1991</v>
      </c>
      <c r="Y152" s="102" t="s">
        <v>1992</v>
      </c>
    </row>
    <row r="153">
      <c r="A153" s="102" t="s">
        <v>276</v>
      </c>
      <c r="B153" s="102" t="s">
        <v>3547</v>
      </c>
      <c r="C153" s="229" t="s">
        <v>3548</v>
      </c>
      <c r="D153" s="102" t="s">
        <v>2030</v>
      </c>
      <c r="E153" s="102" t="s">
        <v>280</v>
      </c>
      <c r="F153" s="102" t="s">
        <v>281</v>
      </c>
      <c r="G153" s="102" t="s">
        <v>280</v>
      </c>
      <c r="H153" s="102" t="s">
        <v>281</v>
      </c>
      <c r="I153" s="102" t="s">
        <v>284</v>
      </c>
      <c r="J153" s="102" t="s">
        <v>355</v>
      </c>
      <c r="L153" s="229" t="s">
        <v>3546</v>
      </c>
      <c r="M153" s="229" t="s">
        <v>3512</v>
      </c>
      <c r="O153" s="230"/>
      <c r="T153" s="230"/>
      <c r="U153" s="230" t="str">
        <f>IF(ISNUMBER(MATCH(B153, 'Sprint 18'!B:B, 0)), "มาจาก Sprint 18", "")</f>
        <v>มาจาก Sprint 18</v>
      </c>
      <c r="V153" s="230" t="str">
        <f t="array" ref="V153">IF(ISNUMBER(MATCH(B153, 'Sprint 18'!B:B, 0)), INDEX('Sprint 18'!J:J, MATCH(B153, 'Sprint 18'!B:B, 0)), "")</f>
        <v>To Do</v>
      </c>
      <c r="W153" s="230"/>
      <c r="X153" s="102" t="s">
        <v>1991</v>
      </c>
      <c r="Y153" s="102" t="s">
        <v>1992</v>
      </c>
    </row>
    <row r="154">
      <c r="A154" s="102" t="s">
        <v>276</v>
      </c>
      <c r="B154" s="102" t="s">
        <v>3549</v>
      </c>
      <c r="C154" s="229" t="s">
        <v>3550</v>
      </c>
      <c r="D154" s="102" t="s">
        <v>347</v>
      </c>
      <c r="E154" s="102" t="s">
        <v>280</v>
      </c>
      <c r="F154" s="102" t="s">
        <v>281</v>
      </c>
      <c r="G154" s="102" t="s">
        <v>280</v>
      </c>
      <c r="H154" s="102" t="s">
        <v>281</v>
      </c>
      <c r="I154" s="102" t="s">
        <v>284</v>
      </c>
      <c r="J154" s="102" t="s">
        <v>63</v>
      </c>
      <c r="L154" s="229" t="s">
        <v>3546</v>
      </c>
      <c r="M154" s="229" t="s">
        <v>4052</v>
      </c>
      <c r="O154" s="230"/>
      <c r="T154" s="230"/>
      <c r="U154" s="230" t="str">
        <f>IF(ISNUMBER(MATCH(B154, 'Sprint 18'!B:B, 0)), "มาจาก Sprint 18", "")</f>
        <v>มาจาก Sprint 18</v>
      </c>
      <c r="V154" s="230" t="str">
        <f t="array" ref="V154">IF(ISNUMBER(MATCH(B154, 'Sprint 18'!B:B, 0)), INDEX('Sprint 18'!J:J, MATCH(B154, 'Sprint 18'!B:B, 0)), "")</f>
        <v>To Do</v>
      </c>
      <c r="W154" s="230"/>
      <c r="X154" s="102" t="s">
        <v>1991</v>
      </c>
      <c r="Y154" s="102" t="s">
        <v>1992</v>
      </c>
    </row>
    <row r="155">
      <c r="A155" s="102" t="s">
        <v>276</v>
      </c>
      <c r="B155" s="102" t="s">
        <v>3552</v>
      </c>
      <c r="C155" s="229" t="s">
        <v>3553</v>
      </c>
      <c r="D155" s="102" t="s">
        <v>2030</v>
      </c>
      <c r="E155" s="102" t="s">
        <v>280</v>
      </c>
      <c r="F155" s="102" t="s">
        <v>281</v>
      </c>
      <c r="G155" s="102" t="s">
        <v>280</v>
      </c>
      <c r="H155" s="102" t="s">
        <v>281</v>
      </c>
      <c r="I155" s="102" t="s">
        <v>284</v>
      </c>
      <c r="J155" s="102" t="s">
        <v>355</v>
      </c>
      <c r="L155" s="229" t="s">
        <v>3546</v>
      </c>
      <c r="M155" s="229" t="s">
        <v>3512</v>
      </c>
      <c r="O155" s="230"/>
      <c r="T155" s="230"/>
      <c r="U155" s="230" t="str">
        <f>IF(ISNUMBER(MATCH(B155, 'Sprint 18'!B:B, 0)), "มาจาก Sprint 18", "")</f>
        <v>มาจาก Sprint 18</v>
      </c>
      <c r="V155" s="230" t="str">
        <f t="array" ref="V155">IF(ISNUMBER(MATCH(B155, 'Sprint 18'!B:B, 0)), INDEX('Sprint 18'!J:J, MATCH(B155, 'Sprint 18'!B:B, 0)), "")</f>
        <v>To Do</v>
      </c>
      <c r="W155" s="230"/>
      <c r="X155" s="102" t="s">
        <v>1991</v>
      </c>
      <c r="Y155" s="102" t="s">
        <v>1992</v>
      </c>
    </row>
    <row r="156">
      <c r="A156" s="102" t="s">
        <v>276</v>
      </c>
      <c r="B156" s="102" t="s">
        <v>4053</v>
      </c>
      <c r="C156" s="229" t="s">
        <v>4054</v>
      </c>
      <c r="D156" s="102" t="s">
        <v>347</v>
      </c>
      <c r="E156" s="102" t="s">
        <v>280</v>
      </c>
      <c r="F156" s="102" t="s">
        <v>281</v>
      </c>
      <c r="G156" s="102" t="s">
        <v>280</v>
      </c>
      <c r="H156" s="102" t="s">
        <v>281</v>
      </c>
      <c r="I156" s="102" t="s">
        <v>284</v>
      </c>
      <c r="J156" s="102" t="s">
        <v>63</v>
      </c>
      <c r="L156" s="229" t="s">
        <v>4055</v>
      </c>
      <c r="M156" s="229" t="s">
        <v>4352</v>
      </c>
      <c r="O156" s="230"/>
      <c r="T156" s="230"/>
      <c r="U156" s="230" t="str">
        <f>IF(ISNUMBER(MATCH(B156, 'Sprint 18'!B:B, 0)), "มาจาก Sprint 18", "")</f>
        <v>มาจาก Sprint 18</v>
      </c>
      <c r="V156" s="230" t="str">
        <f t="array" ref="V156">IF(ISNUMBER(MATCH(B156, 'Sprint 18'!B:B, 0)), INDEX('Sprint 18'!J:J, MATCH(B156, 'Sprint 18'!B:B, 0)), "")</f>
        <v>To Do</v>
      </c>
      <c r="W156" s="230"/>
      <c r="X156" s="102" t="s">
        <v>3557</v>
      </c>
      <c r="Y156" s="102" t="s">
        <v>1991</v>
      </c>
      <c r="Z156" s="102" t="s">
        <v>1992</v>
      </c>
    </row>
    <row r="157">
      <c r="A157" s="102" t="s">
        <v>276</v>
      </c>
      <c r="B157" s="102" t="s">
        <v>4056</v>
      </c>
      <c r="C157" s="229" t="s">
        <v>4057</v>
      </c>
      <c r="D157" s="102" t="s">
        <v>2030</v>
      </c>
      <c r="E157" s="102" t="s">
        <v>280</v>
      </c>
      <c r="F157" s="102" t="s">
        <v>281</v>
      </c>
      <c r="G157" s="102" t="s">
        <v>280</v>
      </c>
      <c r="H157" s="102" t="s">
        <v>281</v>
      </c>
      <c r="I157" s="102" t="s">
        <v>284</v>
      </c>
      <c r="J157" s="102" t="s">
        <v>355</v>
      </c>
      <c r="L157" s="229" t="s">
        <v>4055</v>
      </c>
      <c r="M157" s="229" t="s">
        <v>4052</v>
      </c>
      <c r="O157" s="230"/>
      <c r="T157" s="230"/>
      <c r="U157" s="230" t="str">
        <f>IF(ISNUMBER(MATCH(B157, 'Sprint 18'!B:B, 0)), "มาจาก Sprint 18", "")</f>
        <v>มาจาก Sprint 18</v>
      </c>
      <c r="V157" s="230" t="str">
        <f t="array" ref="V157">IF(ISNUMBER(MATCH(B157, 'Sprint 18'!B:B, 0)), INDEX('Sprint 18'!J:J, MATCH(B157, 'Sprint 18'!B:B, 0)), "")</f>
        <v>In Review</v>
      </c>
      <c r="W157" s="230"/>
      <c r="X157" s="102" t="s">
        <v>3557</v>
      </c>
      <c r="Y157" s="102" t="s">
        <v>1991</v>
      </c>
      <c r="Z157" s="102" t="s">
        <v>1992</v>
      </c>
    </row>
    <row r="158">
      <c r="A158" s="102" t="s">
        <v>276</v>
      </c>
      <c r="B158" s="102" t="s">
        <v>4058</v>
      </c>
      <c r="C158" s="229" t="s">
        <v>4059</v>
      </c>
      <c r="D158" s="102" t="s">
        <v>347</v>
      </c>
      <c r="E158" s="102" t="s">
        <v>280</v>
      </c>
      <c r="F158" s="102" t="s">
        <v>281</v>
      </c>
      <c r="G158" s="102" t="s">
        <v>280</v>
      </c>
      <c r="H158" s="102" t="s">
        <v>281</v>
      </c>
      <c r="I158" s="102" t="s">
        <v>284</v>
      </c>
      <c r="J158" s="102" t="s">
        <v>63</v>
      </c>
      <c r="L158" s="229" t="s">
        <v>4060</v>
      </c>
      <c r="M158" s="229" t="s">
        <v>4052</v>
      </c>
      <c r="O158" s="230"/>
      <c r="T158" s="230"/>
      <c r="U158" s="230" t="str">
        <f>IF(ISNUMBER(MATCH(B158, 'Sprint 18'!B:B, 0)), "มาจาก Sprint 18", "")</f>
        <v>มาจาก Sprint 18</v>
      </c>
      <c r="V158" s="230" t="str">
        <f t="array" ref="V158">IF(ISNUMBER(MATCH(B158, 'Sprint 18'!B:B, 0)), INDEX('Sprint 18'!J:J, MATCH(B158, 'Sprint 18'!B:B, 0)), "")</f>
        <v>To Do</v>
      </c>
      <c r="W158" s="230"/>
      <c r="X158" s="102" t="s">
        <v>3557</v>
      </c>
      <c r="Y158" s="102" t="s">
        <v>1991</v>
      </c>
      <c r="Z158" s="102" t="s">
        <v>1992</v>
      </c>
    </row>
    <row r="159">
      <c r="A159" s="102" t="s">
        <v>276</v>
      </c>
      <c r="B159" s="102" t="s">
        <v>4061</v>
      </c>
      <c r="C159" s="229" t="s">
        <v>4062</v>
      </c>
      <c r="D159" s="102" t="s">
        <v>2030</v>
      </c>
      <c r="E159" s="102" t="s">
        <v>280</v>
      </c>
      <c r="F159" s="102" t="s">
        <v>281</v>
      </c>
      <c r="G159" s="102" t="s">
        <v>280</v>
      </c>
      <c r="H159" s="102" t="s">
        <v>281</v>
      </c>
      <c r="I159" s="102" t="s">
        <v>284</v>
      </c>
      <c r="J159" s="102" t="s">
        <v>34</v>
      </c>
      <c r="L159" s="229" t="s">
        <v>4060</v>
      </c>
      <c r="M159" s="229" t="s">
        <v>4052</v>
      </c>
      <c r="O159" s="230"/>
      <c r="T159" s="230"/>
      <c r="U159" s="230" t="str">
        <f>IF(ISNUMBER(MATCH(B159, 'Sprint 18'!B:B, 0)), "มาจาก Sprint 18", "")</f>
        <v>มาจาก Sprint 18</v>
      </c>
      <c r="V159" s="230" t="str">
        <f t="array" ref="V159">IF(ISNUMBER(MATCH(B159, 'Sprint 18'!B:B, 0)), INDEX('Sprint 18'!J:J, MATCH(B159, 'Sprint 18'!B:B, 0)), "")</f>
        <v>In Progress</v>
      </c>
      <c r="W159" s="230"/>
      <c r="X159" s="102" t="s">
        <v>3557</v>
      </c>
      <c r="Y159" s="102" t="s">
        <v>1991</v>
      </c>
      <c r="Z159" s="102" t="s">
        <v>1992</v>
      </c>
    </row>
    <row r="160">
      <c r="A160" s="102" t="s">
        <v>276</v>
      </c>
      <c r="B160" s="102" t="s">
        <v>3554</v>
      </c>
      <c r="C160" s="229" t="s">
        <v>3555</v>
      </c>
      <c r="D160" s="102" t="s">
        <v>347</v>
      </c>
      <c r="E160" s="102" t="s">
        <v>280</v>
      </c>
      <c r="F160" s="102" t="s">
        <v>281</v>
      </c>
      <c r="G160" s="102" t="s">
        <v>280</v>
      </c>
      <c r="H160" s="102" t="s">
        <v>281</v>
      </c>
      <c r="I160" s="102" t="s">
        <v>284</v>
      </c>
      <c r="J160" s="102" t="s">
        <v>63</v>
      </c>
      <c r="L160" s="229" t="s">
        <v>3556</v>
      </c>
      <c r="M160" s="229" t="s">
        <v>4052</v>
      </c>
      <c r="O160" s="230"/>
      <c r="T160" s="230"/>
      <c r="U160" s="230" t="str">
        <f>IF(ISNUMBER(MATCH(B160, 'Sprint 18'!B:B, 0)), "มาจาก Sprint 18", "")</f>
        <v>มาจาก Sprint 18</v>
      </c>
      <c r="V160" s="230" t="str">
        <f t="array" ref="V160">IF(ISNUMBER(MATCH(B160, 'Sprint 18'!B:B, 0)), INDEX('Sprint 18'!J:J, MATCH(B160, 'Sprint 18'!B:B, 0)), "")</f>
        <v>To Do</v>
      </c>
      <c r="W160" s="230"/>
      <c r="X160" s="102" t="s">
        <v>3557</v>
      </c>
      <c r="Y160" s="102" t="s">
        <v>1991</v>
      </c>
      <c r="Z160" s="102" t="s">
        <v>1992</v>
      </c>
    </row>
    <row r="161">
      <c r="A161" s="102" t="s">
        <v>276</v>
      </c>
      <c r="B161" s="102" t="s">
        <v>3558</v>
      </c>
      <c r="C161" s="229" t="s">
        <v>3559</v>
      </c>
      <c r="D161" s="102" t="s">
        <v>2030</v>
      </c>
      <c r="E161" s="102" t="s">
        <v>280</v>
      </c>
      <c r="F161" s="102" t="s">
        <v>281</v>
      </c>
      <c r="G161" s="102" t="s">
        <v>280</v>
      </c>
      <c r="H161" s="102" t="s">
        <v>281</v>
      </c>
      <c r="I161" s="102" t="s">
        <v>284</v>
      </c>
      <c r="J161" s="102" t="s">
        <v>355</v>
      </c>
      <c r="L161" s="229" t="s">
        <v>3556</v>
      </c>
      <c r="M161" s="229" t="s">
        <v>2026</v>
      </c>
      <c r="O161" s="230"/>
      <c r="T161" s="230"/>
      <c r="U161" s="230" t="str">
        <f>IF(ISNUMBER(MATCH(B161, 'Sprint 18'!B:B, 0)), "มาจาก Sprint 18", "")</f>
        <v>มาจาก Sprint 18</v>
      </c>
      <c r="V161" s="230" t="str">
        <f t="array" ref="V161">IF(ISNUMBER(MATCH(B161, 'Sprint 18'!B:B, 0)), INDEX('Sprint 18'!J:J, MATCH(B161, 'Sprint 18'!B:B, 0)), "")</f>
        <v>In Progress</v>
      </c>
      <c r="W161" s="230"/>
      <c r="X161" s="102" t="s">
        <v>3557</v>
      </c>
      <c r="Y161" s="102" t="s">
        <v>1991</v>
      </c>
      <c r="Z161" s="102" t="s">
        <v>1992</v>
      </c>
    </row>
    <row r="162">
      <c r="A162" s="102" t="s">
        <v>310</v>
      </c>
      <c r="B162" s="102" t="s">
        <v>4078</v>
      </c>
      <c r="C162" s="229" t="s">
        <v>4079</v>
      </c>
      <c r="D162" s="102" t="s">
        <v>4080</v>
      </c>
      <c r="E162" s="102" t="s">
        <v>556</v>
      </c>
      <c r="F162" s="102" t="s">
        <v>557</v>
      </c>
      <c r="G162" s="102" t="s">
        <v>353</v>
      </c>
      <c r="H162" s="102" t="s">
        <v>354</v>
      </c>
      <c r="I162" s="102" t="s">
        <v>284</v>
      </c>
      <c r="J162" s="102" t="s">
        <v>355</v>
      </c>
      <c r="L162" s="229" t="s">
        <v>4081</v>
      </c>
      <c r="M162" s="229" t="s">
        <v>4432</v>
      </c>
      <c r="N162" s="229" t="s">
        <v>2089</v>
      </c>
      <c r="O162" s="102">
        <v>5.0</v>
      </c>
      <c r="S162" s="230"/>
      <c r="T162" s="102">
        <v>57600.0</v>
      </c>
      <c r="U162" s="230" t="str">
        <f>IF(ISNUMBER(MATCH(B162, 'Sprint 18'!B:B, 0)), "มาจาก Sprint 18", "")</f>
        <v/>
      </c>
      <c r="V162" s="230" t="str">
        <f t="array" ref="V162">IF(ISNUMBER(MATCH(B162, 'Sprint 18'!B:B, 0)), INDEX('Sprint 18'!J:J, MATCH(B162, 'Sprint 18'!B:B, 0)), "")</f>
        <v/>
      </c>
      <c r="W162" s="102"/>
      <c r="X162" s="102" t="s">
        <v>1258</v>
      </c>
      <c r="Y162" s="230"/>
      <c r="Z162" s="230"/>
      <c r="AA162" s="230"/>
      <c r="AB162" s="230"/>
      <c r="AC162" s="230"/>
      <c r="AD162" s="230"/>
      <c r="AE162" s="230"/>
      <c r="AF162" s="230"/>
    </row>
    <row r="163">
      <c r="A163" s="102" t="s">
        <v>310</v>
      </c>
      <c r="B163" s="102" t="s">
        <v>4083</v>
      </c>
      <c r="C163" s="229" t="s">
        <v>4084</v>
      </c>
      <c r="D163" s="102" t="s">
        <v>4085</v>
      </c>
      <c r="E163" s="102" t="s">
        <v>556</v>
      </c>
      <c r="F163" s="102" t="s">
        <v>557</v>
      </c>
      <c r="G163" s="102" t="s">
        <v>353</v>
      </c>
      <c r="H163" s="102" t="s">
        <v>354</v>
      </c>
      <c r="I163" s="102" t="s">
        <v>284</v>
      </c>
      <c r="J163" s="102" t="s">
        <v>678</v>
      </c>
      <c r="L163" s="229" t="s">
        <v>4081</v>
      </c>
      <c r="M163" s="229" t="s">
        <v>4457</v>
      </c>
      <c r="N163" s="229" t="s">
        <v>3565</v>
      </c>
      <c r="O163" s="102">
        <v>5.0</v>
      </c>
      <c r="S163" s="230"/>
      <c r="T163" s="102">
        <v>57600.0</v>
      </c>
      <c r="U163" s="230" t="str">
        <f>IF(ISNUMBER(MATCH(B163, 'Sprint 18'!B:B, 0)), "มาจาก Sprint 18", "")</f>
        <v/>
      </c>
      <c r="V163" s="230" t="str">
        <f t="array" ref="V163">IF(ISNUMBER(MATCH(B163, 'Sprint 18'!B:B, 0)), INDEX('Sprint 18'!J:J, MATCH(B163, 'Sprint 18'!B:B, 0)), "")</f>
        <v/>
      </c>
      <c r="W163" s="102"/>
      <c r="X163" s="102" t="s">
        <v>1258</v>
      </c>
      <c r="Y163" s="230"/>
      <c r="Z163" s="230"/>
      <c r="AA163" s="230"/>
      <c r="AB163" s="230"/>
      <c r="AC163" s="230"/>
      <c r="AD163" s="230"/>
      <c r="AE163" s="230"/>
      <c r="AF163" s="230"/>
    </row>
    <row r="164">
      <c r="A164" s="102" t="s">
        <v>310</v>
      </c>
      <c r="B164" s="102" t="s">
        <v>4087</v>
      </c>
      <c r="C164" s="229" t="s">
        <v>4088</v>
      </c>
      <c r="D164" s="102" t="s">
        <v>4089</v>
      </c>
      <c r="E164" s="102" t="s">
        <v>564</v>
      </c>
      <c r="F164" s="102" t="s">
        <v>565</v>
      </c>
      <c r="G164" s="102" t="s">
        <v>353</v>
      </c>
      <c r="H164" s="102" t="s">
        <v>354</v>
      </c>
      <c r="I164" s="102" t="s">
        <v>284</v>
      </c>
      <c r="J164" s="102" t="s">
        <v>355</v>
      </c>
      <c r="L164" s="229" t="s">
        <v>4081</v>
      </c>
      <c r="M164" s="229" t="s">
        <v>4458</v>
      </c>
      <c r="N164" s="229" t="s">
        <v>2089</v>
      </c>
      <c r="O164" s="102">
        <v>5.0</v>
      </c>
      <c r="S164" s="230"/>
      <c r="T164" s="102">
        <v>43200.0</v>
      </c>
      <c r="U164" s="230" t="str">
        <f>IF(ISNUMBER(MATCH(B164, 'Sprint 18'!B:B, 0)), "มาจาก Sprint 18", "")</f>
        <v/>
      </c>
      <c r="V164" s="230" t="str">
        <f t="array" ref="V164">IF(ISNUMBER(MATCH(B164, 'Sprint 18'!B:B, 0)), INDEX('Sprint 18'!J:J, MATCH(B164, 'Sprint 18'!B:B, 0)), "")</f>
        <v/>
      </c>
      <c r="W164" s="102"/>
      <c r="X164" s="102" t="s">
        <v>1258</v>
      </c>
      <c r="Y164" s="230"/>
      <c r="Z164" s="230"/>
      <c r="AA164" s="230"/>
      <c r="AB164" s="230"/>
      <c r="AC164" s="230"/>
      <c r="AD164" s="230"/>
      <c r="AE164" s="230"/>
      <c r="AF164" s="230"/>
    </row>
    <row r="165">
      <c r="A165" s="102" t="s">
        <v>310</v>
      </c>
      <c r="B165" s="102" t="s">
        <v>4090</v>
      </c>
      <c r="C165" s="229" t="s">
        <v>4091</v>
      </c>
      <c r="D165" s="102" t="s">
        <v>4092</v>
      </c>
      <c r="E165" s="102" t="s">
        <v>564</v>
      </c>
      <c r="F165" s="102" t="s">
        <v>565</v>
      </c>
      <c r="G165" s="102" t="s">
        <v>353</v>
      </c>
      <c r="H165" s="102" t="s">
        <v>354</v>
      </c>
      <c r="I165" s="102" t="s">
        <v>284</v>
      </c>
      <c r="J165" s="102" t="s">
        <v>678</v>
      </c>
      <c r="L165" s="229" t="s">
        <v>4093</v>
      </c>
      <c r="M165" s="229" t="s">
        <v>4459</v>
      </c>
      <c r="N165" s="229" t="s">
        <v>3569</v>
      </c>
      <c r="O165" s="102">
        <v>8.0</v>
      </c>
      <c r="S165" s="230"/>
      <c r="T165" s="102">
        <v>72000.0</v>
      </c>
      <c r="U165" s="230" t="str">
        <f>IF(ISNUMBER(MATCH(B165, 'Sprint 18'!B:B, 0)), "มาจาก Sprint 18", "")</f>
        <v/>
      </c>
      <c r="V165" s="230" t="str">
        <f t="array" ref="V165">IF(ISNUMBER(MATCH(B165, 'Sprint 18'!B:B, 0)), INDEX('Sprint 18'!J:J, MATCH(B165, 'Sprint 18'!B:B, 0)), "")</f>
        <v/>
      </c>
      <c r="W165" s="102"/>
      <c r="X165" s="102" t="s">
        <v>1258</v>
      </c>
      <c r="Y165" s="230"/>
      <c r="Z165" s="230"/>
      <c r="AA165" s="230"/>
      <c r="AB165" s="230"/>
      <c r="AC165" s="230"/>
      <c r="AD165" s="230"/>
      <c r="AE165" s="230"/>
      <c r="AF165" s="230"/>
    </row>
    <row r="166">
      <c r="A166" s="102" t="s">
        <v>310</v>
      </c>
      <c r="B166" s="102" t="s">
        <v>4095</v>
      </c>
      <c r="C166" s="229" t="s">
        <v>4096</v>
      </c>
      <c r="D166" s="102" t="s">
        <v>4097</v>
      </c>
      <c r="E166" s="102" t="s">
        <v>564</v>
      </c>
      <c r="F166" s="102" t="s">
        <v>565</v>
      </c>
      <c r="G166" s="102" t="s">
        <v>353</v>
      </c>
      <c r="H166" s="102" t="s">
        <v>354</v>
      </c>
      <c r="I166" s="102" t="s">
        <v>284</v>
      </c>
      <c r="J166" s="102" t="s">
        <v>678</v>
      </c>
      <c r="L166" s="229" t="s">
        <v>4098</v>
      </c>
      <c r="M166" s="229" t="s">
        <v>4460</v>
      </c>
      <c r="N166" s="229" t="s">
        <v>4099</v>
      </c>
      <c r="O166" s="102">
        <v>5.0</v>
      </c>
      <c r="S166" s="230"/>
      <c r="T166" s="102">
        <v>57600.0</v>
      </c>
      <c r="U166" s="230" t="str">
        <f>IF(ISNUMBER(MATCH(B166, 'Sprint 18'!B:B, 0)), "มาจาก Sprint 18", "")</f>
        <v/>
      </c>
      <c r="V166" s="230" t="str">
        <f t="array" ref="V166">IF(ISNUMBER(MATCH(B166, 'Sprint 18'!B:B, 0)), INDEX('Sprint 18'!J:J, MATCH(B166, 'Sprint 18'!B:B, 0)), "")</f>
        <v/>
      </c>
      <c r="W166" s="102"/>
      <c r="X166" s="102" t="s">
        <v>1258</v>
      </c>
      <c r="Y166" s="230"/>
      <c r="Z166" s="230"/>
      <c r="AA166" s="230"/>
      <c r="AB166" s="230"/>
      <c r="AC166" s="230"/>
      <c r="AD166" s="230"/>
      <c r="AE166" s="230"/>
      <c r="AF166" s="230"/>
    </row>
    <row r="167">
      <c r="A167" s="102" t="s">
        <v>310</v>
      </c>
      <c r="B167" s="102" t="s">
        <v>4100</v>
      </c>
      <c r="C167" s="229" t="s">
        <v>4101</v>
      </c>
      <c r="D167" s="102" t="s">
        <v>4102</v>
      </c>
      <c r="E167" s="102" t="s">
        <v>564</v>
      </c>
      <c r="F167" s="102" t="s">
        <v>565</v>
      </c>
      <c r="G167" s="102" t="s">
        <v>353</v>
      </c>
      <c r="H167" s="102" t="s">
        <v>354</v>
      </c>
      <c r="I167" s="102" t="s">
        <v>284</v>
      </c>
      <c r="J167" s="102" t="s">
        <v>678</v>
      </c>
      <c r="L167" s="229" t="s">
        <v>4103</v>
      </c>
      <c r="M167" s="229" t="s">
        <v>4445</v>
      </c>
      <c r="N167" s="229" t="s">
        <v>4105</v>
      </c>
      <c r="O167" s="102">
        <v>5.0</v>
      </c>
      <c r="S167" s="230"/>
      <c r="T167" s="102">
        <v>0.0</v>
      </c>
      <c r="U167" s="230" t="str">
        <f>IF(ISNUMBER(MATCH(B167, 'Sprint 18'!B:B, 0)), "มาจาก Sprint 18", "")</f>
        <v>มาจาก Sprint 18</v>
      </c>
      <c r="V167" s="230" t="str">
        <f t="array" ref="V167">IF(ISNUMBER(MATCH(B167, 'Sprint 18'!B:B, 0)), INDEX('Sprint 18'!J:J, MATCH(B167, 'Sprint 18'!B:B, 0)), "")</f>
        <v>Ready to Staging</v>
      </c>
      <c r="W167" s="102">
        <v>57600.0</v>
      </c>
      <c r="X167" s="102" t="s">
        <v>1260</v>
      </c>
      <c r="Y167" s="102" t="s">
        <v>1258</v>
      </c>
      <c r="Z167" s="230"/>
      <c r="AA167" s="230"/>
      <c r="AB167" s="230"/>
      <c r="AC167" s="230"/>
      <c r="AD167" s="230"/>
      <c r="AE167" s="230"/>
      <c r="AF167" s="230"/>
    </row>
    <row r="168">
      <c r="A168" s="102" t="s">
        <v>630</v>
      </c>
      <c r="B168" s="102" t="s">
        <v>1253</v>
      </c>
      <c r="C168" s="229" t="s">
        <v>1254</v>
      </c>
      <c r="D168" s="102" t="s">
        <v>1255</v>
      </c>
      <c r="G168" s="102" t="s">
        <v>353</v>
      </c>
      <c r="H168" s="102" t="s">
        <v>354</v>
      </c>
      <c r="I168" s="102" t="s">
        <v>284</v>
      </c>
      <c r="J168" s="102" t="s">
        <v>63</v>
      </c>
      <c r="L168" s="229" t="s">
        <v>1256</v>
      </c>
      <c r="M168" s="229" t="s">
        <v>4461</v>
      </c>
      <c r="N168" s="229" t="s">
        <v>1257</v>
      </c>
      <c r="O168" s="230"/>
      <c r="S168" s="230"/>
      <c r="T168" s="230"/>
      <c r="U168" s="230" t="str">
        <f>IF(ISNUMBER(MATCH(B168, 'Sprint 18'!B:B, 0)), "มาจาก Sprint 18", "")</f>
        <v>มาจาก Sprint 18</v>
      </c>
      <c r="V168" s="230" t="str">
        <f t="array" ref="V168">IF(ISNUMBER(MATCH(B168, 'Sprint 18'!B:B, 0)), INDEX('Sprint 18'!J:J, MATCH(B168, 'Sprint 18'!B:B, 0)), "")</f>
        <v>To Do</v>
      </c>
      <c r="W168" s="230"/>
      <c r="X168" s="102" t="s">
        <v>1260</v>
      </c>
      <c r="Y168" s="102" t="s">
        <v>1258</v>
      </c>
      <c r="Z168" s="230"/>
      <c r="AA168" s="230"/>
      <c r="AB168" s="230"/>
      <c r="AC168" s="230"/>
      <c r="AD168" s="230"/>
      <c r="AE168" s="230"/>
      <c r="AF168" s="230"/>
    </row>
    <row r="169">
      <c r="A169" s="102" t="s">
        <v>310</v>
      </c>
      <c r="B169" s="102" t="s">
        <v>4107</v>
      </c>
      <c r="C169" s="229" t="s">
        <v>4108</v>
      </c>
      <c r="D169" s="102" t="s">
        <v>4109</v>
      </c>
      <c r="E169" s="102" t="s">
        <v>564</v>
      </c>
      <c r="F169" s="102" t="s">
        <v>565</v>
      </c>
      <c r="G169" s="102" t="s">
        <v>353</v>
      </c>
      <c r="H169" s="102" t="s">
        <v>354</v>
      </c>
      <c r="I169" s="102" t="s">
        <v>284</v>
      </c>
      <c r="J169" s="102" t="s">
        <v>678</v>
      </c>
      <c r="L169" s="229" t="s">
        <v>4110</v>
      </c>
      <c r="M169" s="229" t="s">
        <v>4445</v>
      </c>
      <c r="N169" s="229" t="s">
        <v>4112</v>
      </c>
      <c r="O169" s="102">
        <v>5.0</v>
      </c>
      <c r="S169" s="230"/>
      <c r="T169" s="102">
        <v>0.0</v>
      </c>
      <c r="U169" s="230" t="str">
        <f>IF(ISNUMBER(MATCH(B169, 'Sprint 18'!B:B, 0)), "มาจาก Sprint 18", "")</f>
        <v>มาจาก Sprint 18</v>
      </c>
      <c r="V169" s="230" t="str">
        <f t="array" ref="V169">IF(ISNUMBER(MATCH(B169, 'Sprint 18'!B:B, 0)), INDEX('Sprint 18'!J:J, MATCH(B169, 'Sprint 18'!B:B, 0)), "")</f>
        <v>Ready to Staging</v>
      </c>
      <c r="W169" s="102">
        <v>57600.0</v>
      </c>
      <c r="X169" s="102" t="s">
        <v>1260</v>
      </c>
      <c r="Y169" s="102" t="s">
        <v>1258</v>
      </c>
      <c r="Z169" s="230"/>
      <c r="AA169" s="230"/>
      <c r="AB169" s="230"/>
      <c r="AC169" s="230"/>
      <c r="AD169" s="230"/>
      <c r="AE169" s="230"/>
      <c r="AF169" s="230"/>
    </row>
    <row r="170">
      <c r="A170" s="102" t="s">
        <v>310</v>
      </c>
      <c r="B170" s="102" t="s">
        <v>3202</v>
      </c>
      <c r="C170" s="229" t="s">
        <v>3203</v>
      </c>
      <c r="D170" s="102" t="s">
        <v>3204</v>
      </c>
      <c r="E170" s="102" t="s">
        <v>584</v>
      </c>
      <c r="F170" s="102" t="s">
        <v>585</v>
      </c>
      <c r="G170" s="102" t="s">
        <v>353</v>
      </c>
      <c r="H170" s="102" t="s">
        <v>354</v>
      </c>
      <c r="I170" s="102" t="s">
        <v>284</v>
      </c>
      <c r="J170" s="102" t="s">
        <v>678</v>
      </c>
      <c r="L170" s="229" t="s">
        <v>3205</v>
      </c>
      <c r="M170" s="229" t="s">
        <v>4445</v>
      </c>
      <c r="O170" s="102">
        <v>8.0</v>
      </c>
      <c r="S170" s="230"/>
      <c r="T170" s="102">
        <v>0.0</v>
      </c>
      <c r="U170" s="230" t="str">
        <f>IF(ISNUMBER(MATCH(B170, 'Sprint 18'!B:B, 0)), "มาจาก Sprint 18", "")</f>
        <v>มาจาก Sprint 18</v>
      </c>
      <c r="V170" s="230" t="str">
        <f t="array" ref="V170">IF(ISNUMBER(MATCH(B170, 'Sprint 18'!B:B, 0)), INDEX('Sprint 18'!J:J, MATCH(B170, 'Sprint 18'!B:B, 0)), "")</f>
        <v>Ready to Staging</v>
      </c>
      <c r="W170" s="102">
        <v>86400.0</v>
      </c>
      <c r="X170" s="102" t="s">
        <v>2269</v>
      </c>
      <c r="Y170" s="102" t="s">
        <v>2270</v>
      </c>
      <c r="Z170" s="230"/>
      <c r="AA170" s="230"/>
      <c r="AB170" s="230"/>
      <c r="AC170" s="230"/>
      <c r="AD170" s="230"/>
      <c r="AE170" s="230"/>
      <c r="AF170" s="230"/>
    </row>
    <row r="171">
      <c r="A171" s="102" t="s">
        <v>310</v>
      </c>
      <c r="B171" s="102" t="s">
        <v>4114</v>
      </c>
      <c r="C171" s="229" t="s">
        <v>4115</v>
      </c>
      <c r="D171" s="102" t="s">
        <v>4116</v>
      </c>
      <c r="E171" s="102" t="s">
        <v>513</v>
      </c>
      <c r="F171" s="102" t="s">
        <v>514</v>
      </c>
      <c r="G171" s="102" t="s">
        <v>282</v>
      </c>
      <c r="H171" s="102" t="s">
        <v>283</v>
      </c>
      <c r="I171" s="102" t="s">
        <v>515</v>
      </c>
      <c r="J171" s="102" t="s">
        <v>678</v>
      </c>
      <c r="L171" s="229" t="s">
        <v>4117</v>
      </c>
      <c r="M171" s="229" t="s">
        <v>4462</v>
      </c>
      <c r="O171" s="102">
        <v>3.0</v>
      </c>
      <c r="P171" s="102" t="s">
        <v>593</v>
      </c>
      <c r="S171" s="230"/>
      <c r="T171" s="102">
        <v>3600.0</v>
      </c>
      <c r="U171" s="230" t="str">
        <f>IF(ISNUMBER(MATCH(B171, 'Sprint 18'!B:B, 0)), "มาจาก Sprint 18", "")</f>
        <v>มาจาก Sprint 18</v>
      </c>
      <c r="V171" s="230" t="str">
        <f t="array" ref="V171">IF(ISNUMBER(MATCH(B171, 'Sprint 18'!B:B, 0)), INDEX('Sprint 18'!J:J, MATCH(B171, 'Sprint 18'!B:B, 0)), "")</f>
        <v>In Progress</v>
      </c>
      <c r="W171" s="102" t="s">
        <v>3949</v>
      </c>
      <c r="X171" s="102" t="s">
        <v>1991</v>
      </c>
      <c r="Y171" s="102" t="s">
        <v>1992</v>
      </c>
      <c r="Z171" s="230"/>
      <c r="AA171" s="230"/>
      <c r="AB171" s="230"/>
      <c r="AC171" s="230"/>
      <c r="AD171" s="230"/>
      <c r="AE171" s="230"/>
      <c r="AF171" s="230"/>
    </row>
    <row r="172">
      <c r="A172" s="102" t="s">
        <v>310</v>
      </c>
      <c r="B172" s="102" t="s">
        <v>4119</v>
      </c>
      <c r="C172" s="229" t="s">
        <v>4120</v>
      </c>
      <c r="D172" s="102" t="s">
        <v>4121</v>
      </c>
      <c r="E172" s="102" t="s">
        <v>584</v>
      </c>
      <c r="F172" s="102" t="s">
        <v>585</v>
      </c>
      <c r="G172" s="102" t="s">
        <v>353</v>
      </c>
      <c r="H172" s="102" t="s">
        <v>354</v>
      </c>
      <c r="I172" s="102" t="s">
        <v>284</v>
      </c>
      <c r="J172" s="102" t="s">
        <v>678</v>
      </c>
      <c r="L172" s="229" t="s">
        <v>3210</v>
      </c>
      <c r="M172" s="229" t="s">
        <v>4463</v>
      </c>
      <c r="O172" s="102">
        <v>3.0</v>
      </c>
      <c r="S172" s="230"/>
      <c r="T172" s="230"/>
      <c r="U172" s="230" t="str">
        <f>IF(ISNUMBER(MATCH(B172, 'Sprint 18'!B:B, 0)), "มาจาก Sprint 18", "")</f>
        <v/>
      </c>
      <c r="V172" s="230" t="str">
        <f t="array" ref="V172">IF(ISNUMBER(MATCH(B172, 'Sprint 18'!B:B, 0)), INDEX('Sprint 18'!J:J, MATCH(B172, 'Sprint 18'!B:B, 0)), "")</f>
        <v/>
      </c>
      <c r="W172" s="230"/>
      <c r="X172" s="102" t="s">
        <v>2270</v>
      </c>
      <c r="Y172" s="230"/>
      <c r="Z172" s="230"/>
      <c r="AA172" s="230"/>
      <c r="AB172" s="230"/>
      <c r="AC172" s="230"/>
      <c r="AD172" s="230"/>
      <c r="AE172" s="230"/>
      <c r="AF172" s="230"/>
    </row>
    <row r="173">
      <c r="A173" s="102" t="s">
        <v>310</v>
      </c>
      <c r="B173" s="102" t="s">
        <v>3207</v>
      </c>
      <c r="C173" s="229" t="s">
        <v>3208</v>
      </c>
      <c r="D173" s="102" t="s">
        <v>3209</v>
      </c>
      <c r="E173" s="102" t="s">
        <v>495</v>
      </c>
      <c r="F173" s="102" t="s">
        <v>496</v>
      </c>
      <c r="G173" s="102" t="s">
        <v>353</v>
      </c>
      <c r="H173" s="102" t="s">
        <v>354</v>
      </c>
      <c r="I173" s="102" t="s">
        <v>284</v>
      </c>
      <c r="J173" s="102" t="s">
        <v>678</v>
      </c>
      <c r="L173" s="229" t="s">
        <v>3210</v>
      </c>
      <c r="M173" s="229" t="s">
        <v>4445</v>
      </c>
      <c r="O173" s="102">
        <v>5.0</v>
      </c>
      <c r="S173" s="230"/>
      <c r="T173" s="102">
        <v>0.0</v>
      </c>
      <c r="U173" s="230" t="str">
        <f>IF(ISNUMBER(MATCH(B173, 'Sprint 18'!B:B, 0)), "มาจาก Sprint 18", "")</f>
        <v>มาจาก Sprint 18</v>
      </c>
      <c r="V173" s="230" t="str">
        <f t="array" ref="V173">IF(ISNUMBER(MATCH(B173, 'Sprint 18'!B:B, 0)), INDEX('Sprint 18'!J:J, MATCH(B173, 'Sprint 18'!B:B, 0)), "")</f>
        <v>Ready to Staging</v>
      </c>
      <c r="W173" s="102">
        <v>57600.0</v>
      </c>
      <c r="X173" s="102" t="s">
        <v>2269</v>
      </c>
      <c r="Y173" s="102" t="s">
        <v>2270</v>
      </c>
      <c r="Z173" s="230"/>
      <c r="AA173" s="230"/>
      <c r="AB173" s="230"/>
      <c r="AC173" s="230"/>
      <c r="AD173" s="230"/>
      <c r="AE173" s="230"/>
      <c r="AF173" s="230"/>
    </row>
    <row r="174">
      <c r="A174" s="102" t="s">
        <v>310</v>
      </c>
      <c r="B174" s="102" t="s">
        <v>4464</v>
      </c>
      <c r="C174" s="229" t="s">
        <v>4465</v>
      </c>
      <c r="D174" s="102" t="s">
        <v>4466</v>
      </c>
      <c r="E174" s="102" t="s">
        <v>584</v>
      </c>
      <c r="F174" s="102" t="s">
        <v>585</v>
      </c>
      <c r="G174" s="102" t="s">
        <v>353</v>
      </c>
      <c r="H174" s="102" t="s">
        <v>354</v>
      </c>
      <c r="I174" s="102" t="s">
        <v>284</v>
      </c>
      <c r="J174" s="102" t="s">
        <v>678</v>
      </c>
      <c r="L174" s="229" t="s">
        <v>4467</v>
      </c>
      <c r="M174" s="229" t="s">
        <v>4468</v>
      </c>
      <c r="N174" s="229" t="s">
        <v>4099</v>
      </c>
      <c r="O174" s="102">
        <v>3.0</v>
      </c>
      <c r="S174" s="230"/>
      <c r="T174" s="102">
        <v>0.0</v>
      </c>
      <c r="U174" s="230" t="str">
        <f>IF(ISNUMBER(MATCH(B174, 'Sprint 18'!B:B, 0)), "มาจาก Sprint 18", "")</f>
        <v>มาจาก Sprint 18</v>
      </c>
      <c r="V174" s="230" t="str">
        <f t="array" ref="V174">IF(ISNUMBER(MATCH(B174, 'Sprint 18'!B:B, 0)), INDEX('Sprint 18'!J:J, MATCH(B174, 'Sprint 18'!B:B, 0)), "")</f>
        <v>Ready to Staging</v>
      </c>
      <c r="W174" s="102">
        <v>28800.0</v>
      </c>
      <c r="X174" s="102" t="s">
        <v>2269</v>
      </c>
      <c r="Y174" s="102" t="s">
        <v>2270</v>
      </c>
      <c r="Z174" s="230"/>
      <c r="AA174" s="230"/>
      <c r="AB174" s="230"/>
      <c r="AC174" s="230"/>
      <c r="AD174" s="230"/>
      <c r="AE174" s="230"/>
      <c r="AF174" s="230"/>
    </row>
    <row r="175">
      <c r="A175" s="102" t="s">
        <v>310</v>
      </c>
      <c r="B175" s="102" t="s">
        <v>4469</v>
      </c>
      <c r="C175" s="229" t="s">
        <v>4470</v>
      </c>
      <c r="D175" s="102" t="s">
        <v>4471</v>
      </c>
      <c r="E175" s="102" t="s">
        <v>584</v>
      </c>
      <c r="F175" s="102" t="s">
        <v>585</v>
      </c>
      <c r="G175" s="102" t="s">
        <v>353</v>
      </c>
      <c r="H175" s="102" t="s">
        <v>354</v>
      </c>
      <c r="I175" s="102" t="s">
        <v>284</v>
      </c>
      <c r="J175" s="102" t="s">
        <v>678</v>
      </c>
      <c r="L175" s="229" t="s">
        <v>4472</v>
      </c>
      <c r="M175" s="229" t="s">
        <v>4468</v>
      </c>
      <c r="N175" s="229" t="s">
        <v>4099</v>
      </c>
      <c r="O175" s="102">
        <v>3.0</v>
      </c>
      <c r="S175" s="230"/>
      <c r="T175" s="102">
        <v>0.0</v>
      </c>
      <c r="U175" s="230" t="str">
        <f>IF(ISNUMBER(MATCH(B175, 'Sprint 18'!B:B, 0)), "มาจาก Sprint 18", "")</f>
        <v>มาจาก Sprint 18</v>
      </c>
      <c r="V175" s="230" t="str">
        <f t="array" ref="V175">IF(ISNUMBER(MATCH(B175, 'Sprint 18'!B:B, 0)), INDEX('Sprint 18'!J:J, MATCH(B175, 'Sprint 18'!B:B, 0)), "")</f>
        <v>Ready to Staging</v>
      </c>
      <c r="W175" s="102">
        <v>28800.0</v>
      </c>
      <c r="X175" s="102" t="s">
        <v>2269</v>
      </c>
      <c r="Y175" s="102" t="s">
        <v>2270</v>
      </c>
      <c r="Z175" s="230"/>
      <c r="AA175" s="230"/>
      <c r="AB175" s="230"/>
      <c r="AC175" s="230"/>
      <c r="AD175" s="230"/>
      <c r="AE175" s="230"/>
      <c r="AF175" s="230"/>
    </row>
    <row r="176">
      <c r="A176" s="102" t="s">
        <v>310</v>
      </c>
      <c r="B176" s="102" t="s">
        <v>4473</v>
      </c>
      <c r="C176" s="229" t="s">
        <v>4474</v>
      </c>
      <c r="D176" s="102" t="s">
        <v>4475</v>
      </c>
      <c r="E176" s="102" t="s">
        <v>584</v>
      </c>
      <c r="F176" s="102" t="s">
        <v>585</v>
      </c>
      <c r="G176" s="102" t="s">
        <v>353</v>
      </c>
      <c r="H176" s="102" t="s">
        <v>354</v>
      </c>
      <c r="I176" s="102" t="s">
        <v>284</v>
      </c>
      <c r="J176" s="102" t="s">
        <v>678</v>
      </c>
      <c r="L176" s="229" t="s">
        <v>4476</v>
      </c>
      <c r="M176" s="229" t="s">
        <v>4468</v>
      </c>
      <c r="N176" s="229" t="s">
        <v>4099</v>
      </c>
      <c r="O176" s="102">
        <v>3.0</v>
      </c>
      <c r="S176" s="230"/>
      <c r="T176" s="102">
        <v>0.0</v>
      </c>
      <c r="U176" s="230" t="str">
        <f>IF(ISNUMBER(MATCH(B176, 'Sprint 18'!B:B, 0)), "มาจาก Sprint 18", "")</f>
        <v>มาจาก Sprint 18</v>
      </c>
      <c r="V176" s="230" t="str">
        <f t="array" ref="V176">IF(ISNUMBER(MATCH(B176, 'Sprint 18'!B:B, 0)), INDEX('Sprint 18'!J:J, MATCH(B176, 'Sprint 18'!B:B, 0)), "")</f>
        <v>Ready to Staging</v>
      </c>
      <c r="W176" s="102">
        <v>28800.0</v>
      </c>
      <c r="X176" s="102" t="s">
        <v>2269</v>
      </c>
      <c r="Y176" s="102" t="s">
        <v>2270</v>
      </c>
      <c r="Z176" s="230"/>
      <c r="AA176" s="230"/>
      <c r="AB176" s="230"/>
      <c r="AC176" s="230"/>
      <c r="AD176" s="230"/>
      <c r="AE176" s="230"/>
      <c r="AF176" s="230"/>
    </row>
    <row r="177">
      <c r="A177" s="102" t="s">
        <v>310</v>
      </c>
      <c r="B177" s="102" t="s">
        <v>4477</v>
      </c>
      <c r="C177" s="229" t="s">
        <v>4478</v>
      </c>
      <c r="D177" s="102" t="s">
        <v>4479</v>
      </c>
      <c r="E177" s="102" t="s">
        <v>584</v>
      </c>
      <c r="F177" s="102" t="s">
        <v>585</v>
      </c>
      <c r="G177" s="102" t="s">
        <v>353</v>
      </c>
      <c r="H177" s="102" t="s">
        <v>354</v>
      </c>
      <c r="I177" s="102" t="s">
        <v>284</v>
      </c>
      <c r="J177" s="102" t="s">
        <v>678</v>
      </c>
      <c r="L177" s="229" t="s">
        <v>4476</v>
      </c>
      <c r="M177" s="229" t="s">
        <v>4468</v>
      </c>
      <c r="N177" s="229" t="s">
        <v>4099</v>
      </c>
      <c r="O177" s="102">
        <v>3.0</v>
      </c>
      <c r="S177" s="230"/>
      <c r="T177" s="102">
        <v>0.0</v>
      </c>
      <c r="U177" s="230" t="str">
        <f>IF(ISNUMBER(MATCH(B177, 'Sprint 18'!B:B, 0)), "มาจาก Sprint 18", "")</f>
        <v>มาจาก Sprint 18</v>
      </c>
      <c r="V177" s="230" t="str">
        <f t="array" ref="V177">IF(ISNUMBER(MATCH(B177, 'Sprint 18'!B:B, 0)), INDEX('Sprint 18'!J:J, MATCH(B177, 'Sprint 18'!B:B, 0)), "")</f>
        <v>Ready to Staging</v>
      </c>
      <c r="W177" s="102">
        <v>28800.0</v>
      </c>
      <c r="X177" s="102" t="s">
        <v>2269</v>
      </c>
      <c r="Y177" s="102" t="s">
        <v>2270</v>
      </c>
      <c r="Z177" s="230"/>
      <c r="AA177" s="230"/>
      <c r="AB177" s="230"/>
      <c r="AC177" s="230"/>
      <c r="AD177" s="230"/>
      <c r="AE177" s="230"/>
      <c r="AF177" s="230"/>
    </row>
    <row r="178">
      <c r="A178" s="102" t="s">
        <v>310</v>
      </c>
      <c r="B178" s="102" t="s">
        <v>4480</v>
      </c>
      <c r="C178" s="229" t="s">
        <v>4481</v>
      </c>
      <c r="D178" s="102" t="s">
        <v>4482</v>
      </c>
      <c r="E178" s="102" t="s">
        <v>564</v>
      </c>
      <c r="F178" s="102" t="s">
        <v>565</v>
      </c>
      <c r="G178" s="102" t="s">
        <v>353</v>
      </c>
      <c r="H178" s="102" t="s">
        <v>354</v>
      </c>
      <c r="I178" s="102" t="s">
        <v>284</v>
      </c>
      <c r="J178" s="102" t="s">
        <v>678</v>
      </c>
      <c r="L178" s="229" t="s">
        <v>4483</v>
      </c>
      <c r="M178" s="229" t="s">
        <v>4468</v>
      </c>
      <c r="N178" s="229" t="s">
        <v>4484</v>
      </c>
      <c r="O178" s="102">
        <v>1.0</v>
      </c>
      <c r="S178" s="230"/>
      <c r="T178" s="102">
        <v>0.0</v>
      </c>
      <c r="U178" s="230" t="str">
        <f>IF(ISNUMBER(MATCH(B178, 'Sprint 18'!B:B, 0)), "มาจาก Sprint 18", "")</f>
        <v>มาจาก Sprint 18</v>
      </c>
      <c r="V178" s="230" t="str">
        <f t="array" ref="V178">IF(ISNUMBER(MATCH(B178, 'Sprint 18'!B:B, 0)), INDEX('Sprint 18'!J:J, MATCH(B178, 'Sprint 18'!B:B, 0)), "")</f>
        <v>Ready to Staging</v>
      </c>
      <c r="W178" s="102">
        <v>7200.0</v>
      </c>
      <c r="X178" s="102" t="s">
        <v>2269</v>
      </c>
      <c r="Y178" s="102" t="s">
        <v>2270</v>
      </c>
      <c r="Z178" s="230"/>
      <c r="AA178" s="230"/>
      <c r="AB178" s="230"/>
      <c r="AC178" s="230"/>
      <c r="AD178" s="230"/>
      <c r="AE178" s="230"/>
      <c r="AF178" s="230"/>
    </row>
    <row r="179">
      <c r="A179" s="102" t="s">
        <v>310</v>
      </c>
      <c r="B179" s="102" t="s">
        <v>3561</v>
      </c>
      <c r="C179" s="229" t="s">
        <v>3562</v>
      </c>
      <c r="D179" s="102" t="s">
        <v>3563</v>
      </c>
      <c r="E179" s="102" t="s">
        <v>513</v>
      </c>
      <c r="F179" s="102" t="s">
        <v>514</v>
      </c>
      <c r="G179" s="102" t="s">
        <v>282</v>
      </c>
      <c r="H179" s="102" t="s">
        <v>283</v>
      </c>
      <c r="I179" s="102" t="s">
        <v>284</v>
      </c>
      <c r="J179" s="102" t="s">
        <v>678</v>
      </c>
      <c r="L179" s="229" t="s">
        <v>3564</v>
      </c>
      <c r="M179" s="229" t="s">
        <v>4429</v>
      </c>
      <c r="N179" s="229" t="s">
        <v>3565</v>
      </c>
      <c r="O179" s="102">
        <v>3.0</v>
      </c>
      <c r="P179" s="102" t="s">
        <v>331</v>
      </c>
      <c r="S179" s="230"/>
      <c r="T179" s="102">
        <v>28800.0</v>
      </c>
      <c r="U179" s="230" t="str">
        <f>IF(ISNUMBER(MATCH(B179, 'Sprint 18'!B:B, 0)), "มาจาก Sprint 18", "")</f>
        <v/>
      </c>
      <c r="V179" s="230" t="str">
        <f t="array" ref="V179">IF(ISNUMBER(MATCH(B179, 'Sprint 18'!B:B, 0)), INDEX('Sprint 18'!J:J, MATCH(B179, 'Sprint 18'!B:B, 0)), "")</f>
        <v/>
      </c>
      <c r="W179" s="102"/>
      <c r="X179" s="102" t="s">
        <v>1992</v>
      </c>
      <c r="Y179" s="230"/>
      <c r="Z179" s="230"/>
      <c r="AA179" s="230"/>
      <c r="AB179" s="230"/>
      <c r="AC179" s="230"/>
      <c r="AD179" s="230"/>
      <c r="AE179" s="230"/>
      <c r="AF179" s="230"/>
    </row>
    <row r="180">
      <c r="A180" s="102" t="s">
        <v>310</v>
      </c>
      <c r="B180" s="102" t="s">
        <v>3566</v>
      </c>
      <c r="C180" s="229" t="s">
        <v>3567</v>
      </c>
      <c r="D180" s="102" t="s">
        <v>3568</v>
      </c>
      <c r="E180" s="102" t="s">
        <v>513</v>
      </c>
      <c r="F180" s="102" t="s">
        <v>514</v>
      </c>
      <c r="G180" s="102" t="s">
        <v>282</v>
      </c>
      <c r="H180" s="102" t="s">
        <v>283</v>
      </c>
      <c r="I180" s="102" t="s">
        <v>284</v>
      </c>
      <c r="J180" s="102" t="s">
        <v>678</v>
      </c>
      <c r="L180" s="229" t="s">
        <v>3564</v>
      </c>
      <c r="M180" s="229" t="s">
        <v>4429</v>
      </c>
      <c r="N180" s="229" t="s">
        <v>3569</v>
      </c>
      <c r="O180" s="102">
        <v>3.0</v>
      </c>
      <c r="P180" s="102" t="s">
        <v>331</v>
      </c>
      <c r="S180" s="230"/>
      <c r="T180" s="230"/>
      <c r="U180" s="230" t="str">
        <f>IF(ISNUMBER(MATCH(B180, 'Sprint 18'!B:B, 0)), "มาจาก Sprint 18", "")</f>
        <v/>
      </c>
      <c r="V180" s="230" t="str">
        <f t="array" ref="V180">IF(ISNUMBER(MATCH(B180, 'Sprint 18'!B:B, 0)), INDEX('Sprint 18'!J:J, MATCH(B180, 'Sprint 18'!B:B, 0)), "")</f>
        <v/>
      </c>
      <c r="W180" s="230"/>
      <c r="X180" s="102" t="s">
        <v>1992</v>
      </c>
      <c r="Y180" s="230"/>
      <c r="Z180" s="230"/>
      <c r="AA180" s="230"/>
      <c r="AB180" s="230"/>
      <c r="AC180" s="230"/>
      <c r="AD180" s="230"/>
      <c r="AE180" s="230"/>
      <c r="AF180" s="230"/>
    </row>
    <row r="181">
      <c r="A181" s="102" t="s">
        <v>310</v>
      </c>
      <c r="B181" s="102" t="s">
        <v>3570</v>
      </c>
      <c r="C181" s="229" t="s">
        <v>3571</v>
      </c>
      <c r="D181" s="102" t="s">
        <v>3572</v>
      </c>
      <c r="E181" s="102" t="s">
        <v>513</v>
      </c>
      <c r="F181" s="102" t="s">
        <v>514</v>
      </c>
      <c r="G181" s="102" t="s">
        <v>282</v>
      </c>
      <c r="H181" s="102" t="s">
        <v>283</v>
      </c>
      <c r="I181" s="102" t="s">
        <v>284</v>
      </c>
      <c r="J181" s="102" t="s">
        <v>678</v>
      </c>
      <c r="L181" s="229" t="s">
        <v>3573</v>
      </c>
      <c r="M181" s="229" t="s">
        <v>4429</v>
      </c>
      <c r="N181" s="229" t="s">
        <v>3574</v>
      </c>
      <c r="O181" s="102">
        <v>3.0</v>
      </c>
      <c r="P181" s="102" t="s">
        <v>331</v>
      </c>
      <c r="S181" s="230"/>
      <c r="T181" s="230"/>
      <c r="U181" s="230" t="str">
        <f>IF(ISNUMBER(MATCH(B181, 'Sprint 18'!B:B, 0)), "มาจาก Sprint 18", "")</f>
        <v/>
      </c>
      <c r="V181" s="230" t="str">
        <f t="array" ref="V181">IF(ISNUMBER(MATCH(B181, 'Sprint 18'!B:B, 0)), INDEX('Sprint 18'!J:J, MATCH(B181, 'Sprint 18'!B:B, 0)), "")</f>
        <v/>
      </c>
      <c r="W181" s="230"/>
      <c r="X181" s="102" t="s">
        <v>1992</v>
      </c>
      <c r="Y181" s="230"/>
      <c r="Z181" s="230"/>
      <c r="AA181" s="230"/>
      <c r="AB181" s="230"/>
      <c r="AC181" s="230"/>
      <c r="AD181" s="230"/>
      <c r="AE181" s="230"/>
      <c r="AF181" s="230"/>
    </row>
    <row r="182">
      <c r="A182" s="102" t="s">
        <v>310</v>
      </c>
      <c r="B182" s="102" t="s">
        <v>4123</v>
      </c>
      <c r="C182" s="229" t="s">
        <v>4124</v>
      </c>
      <c r="D182" s="102" t="s">
        <v>4125</v>
      </c>
      <c r="E182" s="102" t="s">
        <v>328</v>
      </c>
      <c r="F182" s="102" t="s">
        <v>329</v>
      </c>
      <c r="G182" s="102" t="s">
        <v>282</v>
      </c>
      <c r="H182" s="102" t="s">
        <v>283</v>
      </c>
      <c r="I182" s="102" t="s">
        <v>284</v>
      </c>
      <c r="J182" s="102" t="s">
        <v>678</v>
      </c>
      <c r="L182" s="229" t="s">
        <v>4126</v>
      </c>
      <c r="M182" s="229" t="s">
        <v>4485</v>
      </c>
      <c r="O182" s="102">
        <v>3.0</v>
      </c>
      <c r="P182" s="102" t="s">
        <v>331</v>
      </c>
      <c r="S182" s="230"/>
      <c r="T182" s="230"/>
      <c r="U182" s="230" t="str">
        <f>IF(ISNUMBER(MATCH(B182, 'Sprint 18'!B:B, 0)), "มาจาก Sprint 18", "")</f>
        <v/>
      </c>
      <c r="V182" s="230" t="str">
        <f t="array" ref="V182">IF(ISNUMBER(MATCH(B182, 'Sprint 18'!B:B, 0)), INDEX('Sprint 18'!J:J, MATCH(B182, 'Sprint 18'!B:B, 0)), "")</f>
        <v/>
      </c>
      <c r="W182" s="230"/>
      <c r="X182" s="102" t="s">
        <v>1992</v>
      </c>
      <c r="Y182" s="230"/>
      <c r="Z182" s="230"/>
      <c r="AA182" s="230"/>
      <c r="AB182" s="230"/>
      <c r="AC182" s="230"/>
      <c r="AD182" s="230"/>
      <c r="AE182" s="230"/>
      <c r="AF182" s="230"/>
    </row>
    <row r="183">
      <c r="A183" s="102" t="s">
        <v>310</v>
      </c>
      <c r="B183" s="102" t="s">
        <v>4128</v>
      </c>
      <c r="C183" s="229" t="s">
        <v>4129</v>
      </c>
      <c r="D183" s="102" t="s">
        <v>4130</v>
      </c>
      <c r="E183" s="102" t="s">
        <v>328</v>
      </c>
      <c r="F183" s="102" t="s">
        <v>329</v>
      </c>
      <c r="G183" s="102" t="s">
        <v>282</v>
      </c>
      <c r="H183" s="102" t="s">
        <v>283</v>
      </c>
      <c r="I183" s="102" t="s">
        <v>284</v>
      </c>
      <c r="J183" s="102" t="s">
        <v>678</v>
      </c>
      <c r="L183" s="229" t="s">
        <v>4126</v>
      </c>
      <c r="M183" s="229" t="s">
        <v>4486</v>
      </c>
      <c r="O183" s="102">
        <v>3.0</v>
      </c>
      <c r="P183" s="102" t="s">
        <v>331</v>
      </c>
      <c r="S183" s="230"/>
      <c r="T183" s="230"/>
      <c r="U183" s="230" t="str">
        <f>IF(ISNUMBER(MATCH(B183, 'Sprint 18'!B:B, 0)), "มาจาก Sprint 18", "")</f>
        <v/>
      </c>
      <c r="V183" s="230" t="str">
        <f t="array" ref="V183">IF(ISNUMBER(MATCH(B183, 'Sprint 18'!B:B, 0)), INDEX('Sprint 18'!J:J, MATCH(B183, 'Sprint 18'!B:B, 0)), "")</f>
        <v/>
      </c>
      <c r="W183" s="230"/>
      <c r="X183" s="102" t="s">
        <v>1992</v>
      </c>
      <c r="Y183" s="230"/>
      <c r="Z183" s="230"/>
      <c r="AA183" s="230"/>
      <c r="AB183" s="230"/>
      <c r="AC183" s="230"/>
      <c r="AD183" s="230"/>
      <c r="AE183" s="230"/>
      <c r="AF183" s="230"/>
    </row>
    <row r="184">
      <c r="A184" s="102" t="s">
        <v>310</v>
      </c>
      <c r="B184" s="102" t="s">
        <v>4132</v>
      </c>
      <c r="C184" s="229" t="s">
        <v>4133</v>
      </c>
      <c r="D184" s="102" t="s">
        <v>4134</v>
      </c>
      <c r="E184" s="102" t="s">
        <v>282</v>
      </c>
      <c r="F184" s="102" t="s">
        <v>283</v>
      </c>
      <c r="G184" s="102" t="s">
        <v>282</v>
      </c>
      <c r="H184" s="102" t="s">
        <v>283</v>
      </c>
      <c r="I184" s="102" t="s">
        <v>284</v>
      </c>
      <c r="J184" s="102" t="s">
        <v>34</v>
      </c>
      <c r="L184" s="229" t="s">
        <v>4135</v>
      </c>
      <c r="M184" s="229" t="s">
        <v>4487</v>
      </c>
      <c r="O184" s="102">
        <v>13.0</v>
      </c>
      <c r="P184" s="102" t="s">
        <v>593</v>
      </c>
      <c r="S184" s="230"/>
      <c r="T184" s="230"/>
      <c r="U184" s="230" t="str">
        <f>IF(ISNUMBER(MATCH(B184, 'Sprint 18'!B:B, 0)), "มาจาก Sprint 18", "")</f>
        <v/>
      </c>
      <c r="V184" s="230" t="str">
        <f t="array" ref="V184">IF(ISNUMBER(MATCH(B184, 'Sprint 18'!B:B, 0)), INDEX('Sprint 18'!J:J, MATCH(B184, 'Sprint 18'!B:B, 0)), "")</f>
        <v/>
      </c>
      <c r="W184" s="230"/>
      <c r="X184" s="102" t="s">
        <v>1992</v>
      </c>
      <c r="Y184" s="230"/>
      <c r="Z184" s="230"/>
      <c r="AA184" s="230"/>
      <c r="AB184" s="230"/>
      <c r="AC184" s="230"/>
      <c r="AD184" s="230"/>
      <c r="AE184" s="230"/>
      <c r="AF184" s="230"/>
    </row>
    <row r="185">
      <c r="A185" s="102" t="s">
        <v>310</v>
      </c>
      <c r="B185" s="102" t="s">
        <v>3575</v>
      </c>
      <c r="C185" s="229" t="s">
        <v>3576</v>
      </c>
      <c r="D185" s="102" t="s">
        <v>3577</v>
      </c>
      <c r="E185" s="102" t="s">
        <v>495</v>
      </c>
      <c r="F185" s="102" t="s">
        <v>496</v>
      </c>
      <c r="G185" s="102" t="s">
        <v>282</v>
      </c>
      <c r="H185" s="102" t="s">
        <v>283</v>
      </c>
      <c r="I185" s="102" t="s">
        <v>284</v>
      </c>
      <c r="J185" s="102" t="s">
        <v>678</v>
      </c>
      <c r="L185" s="229" t="s">
        <v>3578</v>
      </c>
      <c r="M185" s="229" t="s">
        <v>4429</v>
      </c>
      <c r="O185" s="102">
        <v>3.0</v>
      </c>
      <c r="P185" s="102" t="s">
        <v>331</v>
      </c>
      <c r="S185" s="230"/>
      <c r="T185" s="102">
        <v>28800.0</v>
      </c>
      <c r="U185" s="230" t="str">
        <f>IF(ISNUMBER(MATCH(B185, 'Sprint 18'!B:B, 0)), "มาจาก Sprint 18", "")</f>
        <v/>
      </c>
      <c r="V185" s="230" t="str">
        <f t="array" ref="V185">IF(ISNUMBER(MATCH(B185, 'Sprint 18'!B:B, 0)), INDEX('Sprint 18'!J:J, MATCH(B185, 'Sprint 18'!B:B, 0)), "")</f>
        <v/>
      </c>
      <c r="W185" s="102"/>
      <c r="X185" s="102" t="s">
        <v>1992</v>
      </c>
      <c r="Y185" s="230"/>
      <c r="Z185" s="230"/>
      <c r="AA185" s="230"/>
      <c r="AB185" s="230"/>
      <c r="AC185" s="230"/>
      <c r="AD185" s="230"/>
      <c r="AE185" s="230"/>
      <c r="AF185" s="230"/>
    </row>
    <row r="186">
      <c r="A186" s="102" t="s">
        <v>310</v>
      </c>
      <c r="B186" s="102" t="s">
        <v>3580</v>
      </c>
      <c r="C186" s="229" t="s">
        <v>3581</v>
      </c>
      <c r="D186" s="102" t="s">
        <v>3582</v>
      </c>
      <c r="E186" s="102" t="s">
        <v>495</v>
      </c>
      <c r="F186" s="102" t="s">
        <v>496</v>
      </c>
      <c r="G186" s="102" t="s">
        <v>282</v>
      </c>
      <c r="H186" s="102" t="s">
        <v>283</v>
      </c>
      <c r="I186" s="102" t="s">
        <v>515</v>
      </c>
      <c r="J186" s="102" t="s">
        <v>678</v>
      </c>
      <c r="L186" s="229" t="s">
        <v>3578</v>
      </c>
      <c r="M186" s="229" t="s">
        <v>4488</v>
      </c>
      <c r="O186" s="102">
        <v>2.0</v>
      </c>
      <c r="P186" s="102" t="s">
        <v>331</v>
      </c>
      <c r="S186" s="230"/>
      <c r="T186" s="102">
        <v>14400.0</v>
      </c>
      <c r="U186" s="230" t="str">
        <f>IF(ISNUMBER(MATCH(B186, 'Sprint 18'!B:B, 0)), "มาจาก Sprint 18", "")</f>
        <v/>
      </c>
      <c r="V186" s="230" t="str">
        <f t="array" ref="V186">IF(ISNUMBER(MATCH(B186, 'Sprint 18'!B:B, 0)), INDEX('Sprint 18'!J:J, MATCH(B186, 'Sprint 18'!B:B, 0)), "")</f>
        <v/>
      </c>
      <c r="W186" s="102"/>
      <c r="X186" s="102" t="s">
        <v>1992</v>
      </c>
      <c r="Y186" s="230"/>
      <c r="Z186" s="230"/>
      <c r="AA186" s="230"/>
      <c r="AB186" s="230"/>
      <c r="AC186" s="230"/>
      <c r="AD186" s="230"/>
      <c r="AE186" s="230"/>
      <c r="AF186" s="230"/>
    </row>
    <row r="187">
      <c r="A187" s="102" t="s">
        <v>310</v>
      </c>
      <c r="B187" s="102" t="s">
        <v>3584</v>
      </c>
      <c r="C187" s="229" t="s">
        <v>3585</v>
      </c>
      <c r="D187" s="102" t="s">
        <v>3586</v>
      </c>
      <c r="E187" s="102" t="s">
        <v>495</v>
      </c>
      <c r="F187" s="102" t="s">
        <v>496</v>
      </c>
      <c r="G187" s="102" t="s">
        <v>282</v>
      </c>
      <c r="H187" s="102" t="s">
        <v>283</v>
      </c>
      <c r="I187" s="102" t="s">
        <v>515</v>
      </c>
      <c r="J187" s="102" t="s">
        <v>678</v>
      </c>
      <c r="L187" s="229" t="s">
        <v>3578</v>
      </c>
      <c r="M187" s="229" t="s">
        <v>4488</v>
      </c>
      <c r="O187" s="102">
        <v>3.0</v>
      </c>
      <c r="P187" s="102" t="s">
        <v>331</v>
      </c>
      <c r="S187" s="230"/>
      <c r="T187" s="102">
        <v>43200.0</v>
      </c>
      <c r="U187" s="230" t="str">
        <f>IF(ISNUMBER(MATCH(B187, 'Sprint 18'!B:B, 0)), "มาจาก Sprint 18", "")</f>
        <v/>
      </c>
      <c r="V187" s="230" t="str">
        <f t="array" ref="V187">IF(ISNUMBER(MATCH(B187, 'Sprint 18'!B:B, 0)), INDEX('Sprint 18'!J:J, MATCH(B187, 'Sprint 18'!B:B, 0)), "")</f>
        <v/>
      </c>
      <c r="W187" s="102"/>
      <c r="X187" s="102" t="s">
        <v>1992</v>
      </c>
      <c r="Y187" s="230"/>
      <c r="Z187" s="230"/>
      <c r="AA187" s="230"/>
      <c r="AB187" s="230"/>
      <c r="AC187" s="230"/>
      <c r="AD187" s="230"/>
      <c r="AE187" s="230"/>
      <c r="AF187" s="230"/>
    </row>
    <row r="188">
      <c r="A188" s="102" t="s">
        <v>310</v>
      </c>
      <c r="B188" s="102" t="s">
        <v>2070</v>
      </c>
      <c r="C188" s="229" t="s">
        <v>2071</v>
      </c>
      <c r="D188" s="102" t="s">
        <v>2072</v>
      </c>
      <c r="E188" s="102" t="s">
        <v>495</v>
      </c>
      <c r="F188" s="102" t="s">
        <v>496</v>
      </c>
      <c r="G188" s="102" t="s">
        <v>282</v>
      </c>
      <c r="H188" s="102" t="s">
        <v>283</v>
      </c>
      <c r="I188" s="102" t="s">
        <v>284</v>
      </c>
      <c r="J188" s="102" t="s">
        <v>678</v>
      </c>
      <c r="L188" s="229" t="s">
        <v>2073</v>
      </c>
      <c r="M188" s="229" t="s">
        <v>4489</v>
      </c>
      <c r="O188" s="102">
        <v>1.0</v>
      </c>
      <c r="P188" s="102" t="s">
        <v>435</v>
      </c>
      <c r="S188" s="230"/>
      <c r="T188" s="102">
        <v>0.0</v>
      </c>
      <c r="U188" s="230" t="str">
        <f>IF(ISNUMBER(MATCH(B188, 'Sprint 18'!B:B, 0)), "มาจาก Sprint 18", "")</f>
        <v>มาจาก Sprint 18</v>
      </c>
      <c r="V188" s="230" t="str">
        <f t="array" ref="V188">IF(ISNUMBER(MATCH(B188, 'Sprint 18'!B:B, 0)), INDEX('Sprint 18'!J:J, MATCH(B188, 'Sprint 18'!B:B, 0)), "")</f>
        <v>Ready to Staging</v>
      </c>
      <c r="W188" s="102">
        <v>3600.0</v>
      </c>
      <c r="X188" s="102" t="s">
        <v>1991</v>
      </c>
      <c r="Y188" s="102" t="s">
        <v>1992</v>
      </c>
      <c r="Z188" s="230"/>
      <c r="AA188" s="230"/>
      <c r="AB188" s="230"/>
      <c r="AC188" s="230"/>
      <c r="AD188" s="230"/>
      <c r="AE188" s="230"/>
      <c r="AF188" s="230"/>
    </row>
    <row r="189">
      <c r="A189" s="102" t="s">
        <v>310</v>
      </c>
      <c r="B189" s="102" t="s">
        <v>2075</v>
      </c>
      <c r="C189" s="229" t="s">
        <v>2076</v>
      </c>
      <c r="D189" s="102" t="s">
        <v>2077</v>
      </c>
      <c r="E189" s="102" t="s">
        <v>495</v>
      </c>
      <c r="F189" s="102" t="s">
        <v>496</v>
      </c>
      <c r="G189" s="102" t="s">
        <v>282</v>
      </c>
      <c r="H189" s="102" t="s">
        <v>283</v>
      </c>
      <c r="I189" s="102" t="s">
        <v>284</v>
      </c>
      <c r="J189" s="102" t="s">
        <v>678</v>
      </c>
      <c r="L189" s="229" t="s">
        <v>2073</v>
      </c>
      <c r="M189" s="229" t="s">
        <v>4490</v>
      </c>
      <c r="O189" s="102">
        <v>1.0</v>
      </c>
      <c r="P189" s="102" t="s">
        <v>435</v>
      </c>
      <c r="S189" s="230"/>
      <c r="T189" s="102">
        <v>0.0</v>
      </c>
      <c r="U189" s="230" t="str">
        <f>IF(ISNUMBER(MATCH(B189, 'Sprint 18'!B:B, 0)), "มาจาก Sprint 18", "")</f>
        <v>มาจาก Sprint 18</v>
      </c>
      <c r="V189" s="230" t="str">
        <f t="array" ref="V189">IF(ISNUMBER(MATCH(B189, 'Sprint 18'!B:B, 0)), INDEX('Sprint 18'!J:J, MATCH(B189, 'Sprint 18'!B:B, 0)), "")</f>
        <v>Ready to Staging</v>
      </c>
      <c r="W189" s="102">
        <v>7200.0</v>
      </c>
      <c r="X189" s="102" t="s">
        <v>1991</v>
      </c>
      <c r="Y189" s="102" t="s">
        <v>1992</v>
      </c>
      <c r="Z189" s="230"/>
      <c r="AA189" s="230"/>
      <c r="AB189" s="230"/>
      <c r="AC189" s="230"/>
      <c r="AD189" s="230"/>
      <c r="AE189" s="230"/>
      <c r="AF189" s="230"/>
    </row>
    <row r="190">
      <c r="A190" s="102" t="s">
        <v>310</v>
      </c>
      <c r="B190" s="102" t="s">
        <v>2078</v>
      </c>
      <c r="C190" s="229" t="s">
        <v>2079</v>
      </c>
      <c r="D190" s="102" t="s">
        <v>2080</v>
      </c>
      <c r="E190" s="102" t="s">
        <v>495</v>
      </c>
      <c r="F190" s="102" t="s">
        <v>496</v>
      </c>
      <c r="G190" s="102" t="s">
        <v>282</v>
      </c>
      <c r="H190" s="102" t="s">
        <v>283</v>
      </c>
      <c r="I190" s="102" t="s">
        <v>284</v>
      </c>
      <c r="J190" s="102" t="s">
        <v>678</v>
      </c>
      <c r="L190" s="229" t="s">
        <v>2073</v>
      </c>
      <c r="M190" s="229" t="s">
        <v>4491</v>
      </c>
      <c r="O190" s="102">
        <v>2.0</v>
      </c>
      <c r="P190" s="102" t="s">
        <v>435</v>
      </c>
      <c r="S190" s="230"/>
      <c r="T190" s="102">
        <v>0.0</v>
      </c>
      <c r="U190" s="230" t="str">
        <f>IF(ISNUMBER(MATCH(B190, 'Sprint 18'!B:B, 0)), "มาจาก Sprint 18", "")</f>
        <v>มาจาก Sprint 18</v>
      </c>
      <c r="V190" s="230" t="str">
        <f t="array" ref="V190">IF(ISNUMBER(MATCH(B190, 'Sprint 18'!B:B, 0)), INDEX('Sprint 18'!J:J, MATCH(B190, 'Sprint 18'!B:B, 0)), "")</f>
        <v>Ready to Staging</v>
      </c>
      <c r="W190" s="102">
        <v>10800.0</v>
      </c>
      <c r="X190" s="102" t="s">
        <v>1991</v>
      </c>
      <c r="Y190" s="102" t="s">
        <v>1992</v>
      </c>
      <c r="Z190" s="230"/>
      <c r="AA190" s="230"/>
      <c r="AB190" s="230"/>
      <c r="AC190" s="230"/>
      <c r="AD190" s="230"/>
      <c r="AE190" s="230"/>
      <c r="AF190" s="230"/>
    </row>
    <row r="191">
      <c r="A191" s="102" t="s">
        <v>310</v>
      </c>
      <c r="B191" s="102" t="s">
        <v>2081</v>
      </c>
      <c r="C191" s="229" t="s">
        <v>2082</v>
      </c>
      <c r="D191" s="102" t="s">
        <v>2083</v>
      </c>
      <c r="E191" s="102" t="s">
        <v>513</v>
      </c>
      <c r="F191" s="102" t="s">
        <v>514</v>
      </c>
      <c r="G191" s="102" t="s">
        <v>282</v>
      </c>
      <c r="H191" s="102" t="s">
        <v>283</v>
      </c>
      <c r="I191" s="102" t="s">
        <v>284</v>
      </c>
      <c r="J191" s="102" t="s">
        <v>678</v>
      </c>
      <c r="L191" s="229" t="s">
        <v>2073</v>
      </c>
      <c r="M191" s="229" t="s">
        <v>4492</v>
      </c>
      <c r="O191" s="102">
        <v>1.0</v>
      </c>
      <c r="P191" s="102" t="s">
        <v>435</v>
      </c>
      <c r="S191" s="230"/>
      <c r="T191" s="102">
        <v>0.0</v>
      </c>
      <c r="U191" s="230" t="str">
        <f>IF(ISNUMBER(MATCH(B191, 'Sprint 18'!B:B, 0)), "มาจาก Sprint 18", "")</f>
        <v>มาจาก Sprint 18</v>
      </c>
      <c r="V191" s="230" t="str">
        <f t="array" ref="V191">IF(ISNUMBER(MATCH(B191, 'Sprint 18'!B:B, 0)), INDEX('Sprint 18'!J:J, MATCH(B191, 'Sprint 18'!B:B, 0)), "")</f>
        <v>In Review</v>
      </c>
      <c r="W191" s="102">
        <v>7200.0</v>
      </c>
      <c r="X191" s="102" t="s">
        <v>1991</v>
      </c>
      <c r="Y191" s="102" t="s">
        <v>1992</v>
      </c>
      <c r="Z191" s="230"/>
      <c r="AA191" s="230"/>
      <c r="AB191" s="230"/>
      <c r="AC191" s="230"/>
      <c r="AD191" s="230"/>
      <c r="AE191" s="230"/>
      <c r="AF191" s="230"/>
    </row>
    <row r="192">
      <c r="A192" s="102" t="s">
        <v>310</v>
      </c>
      <c r="B192" s="102" t="s">
        <v>2085</v>
      </c>
      <c r="C192" s="229" t="s">
        <v>2086</v>
      </c>
      <c r="D192" s="102" t="s">
        <v>2087</v>
      </c>
      <c r="E192" s="102" t="s">
        <v>513</v>
      </c>
      <c r="F192" s="102" t="s">
        <v>514</v>
      </c>
      <c r="G192" s="102" t="s">
        <v>282</v>
      </c>
      <c r="H192" s="102" t="s">
        <v>283</v>
      </c>
      <c r="I192" s="102" t="s">
        <v>284</v>
      </c>
      <c r="J192" s="102" t="s">
        <v>678</v>
      </c>
      <c r="L192" s="229" t="s">
        <v>2088</v>
      </c>
      <c r="M192" s="229" t="s">
        <v>4493</v>
      </c>
      <c r="O192" s="102">
        <v>1.0</v>
      </c>
      <c r="P192" s="102" t="s">
        <v>435</v>
      </c>
      <c r="S192" s="230"/>
      <c r="T192" s="230"/>
      <c r="U192" s="230" t="str">
        <f>IF(ISNUMBER(MATCH(B192, 'Sprint 18'!B:B, 0)), "มาจาก Sprint 18", "")</f>
        <v>มาจาก Sprint 18</v>
      </c>
      <c r="V192" s="230" t="str">
        <f t="array" ref="V192">IF(ISNUMBER(MATCH(B192, 'Sprint 18'!B:B, 0)), INDEX('Sprint 18'!J:J, MATCH(B192, 'Sprint 18'!B:B, 0)), "")</f>
        <v>In Progress</v>
      </c>
      <c r="W192" s="230"/>
      <c r="X192" s="102" t="s">
        <v>1991</v>
      </c>
      <c r="Y192" s="102" t="s">
        <v>1992</v>
      </c>
      <c r="Z192" s="230"/>
      <c r="AA192" s="230"/>
      <c r="AB192" s="230"/>
      <c r="AC192" s="230"/>
      <c r="AD192" s="230"/>
      <c r="AE192" s="230"/>
      <c r="AF192" s="230"/>
    </row>
    <row r="193">
      <c r="A193" s="102" t="s">
        <v>310</v>
      </c>
      <c r="B193" s="102" t="s">
        <v>2090</v>
      </c>
      <c r="C193" s="229" t="s">
        <v>2091</v>
      </c>
      <c r="D193" s="102" t="s">
        <v>2092</v>
      </c>
      <c r="E193" s="102" t="s">
        <v>513</v>
      </c>
      <c r="F193" s="102" t="s">
        <v>514</v>
      </c>
      <c r="G193" s="102" t="s">
        <v>282</v>
      </c>
      <c r="H193" s="102" t="s">
        <v>283</v>
      </c>
      <c r="I193" s="102" t="s">
        <v>284</v>
      </c>
      <c r="J193" s="102" t="s">
        <v>678</v>
      </c>
      <c r="L193" s="229" t="s">
        <v>2088</v>
      </c>
      <c r="M193" s="229" t="s">
        <v>4492</v>
      </c>
      <c r="O193" s="102">
        <v>1.0</v>
      </c>
      <c r="P193" s="102" t="s">
        <v>435</v>
      </c>
      <c r="S193" s="230"/>
      <c r="T193" s="102">
        <v>0.0</v>
      </c>
      <c r="U193" s="230" t="str">
        <f>IF(ISNUMBER(MATCH(B193, 'Sprint 18'!B:B, 0)), "มาจาก Sprint 18", "")</f>
        <v>มาจาก Sprint 18</v>
      </c>
      <c r="V193" s="230" t="str">
        <f t="array" ref="V193">IF(ISNUMBER(MATCH(B193, 'Sprint 18'!B:B, 0)), INDEX('Sprint 18'!J:J, MATCH(B193, 'Sprint 18'!B:B, 0)), "")</f>
        <v>Ready to Staging</v>
      </c>
      <c r="W193" s="102">
        <v>7200.0</v>
      </c>
      <c r="X193" s="102" t="s">
        <v>1991</v>
      </c>
      <c r="Y193" s="102" t="s">
        <v>1992</v>
      </c>
      <c r="Z193" s="230"/>
      <c r="AA193" s="230"/>
      <c r="AB193" s="230"/>
      <c r="AC193" s="230"/>
      <c r="AD193" s="230"/>
      <c r="AE193" s="230"/>
      <c r="AF193" s="230"/>
    </row>
    <row r="194">
      <c r="A194" s="102" t="s">
        <v>310</v>
      </c>
      <c r="B194" s="102" t="s">
        <v>2093</v>
      </c>
      <c r="C194" s="229" t="s">
        <v>2094</v>
      </c>
      <c r="D194" s="102" t="s">
        <v>2095</v>
      </c>
      <c r="E194" s="102" t="s">
        <v>513</v>
      </c>
      <c r="F194" s="102" t="s">
        <v>514</v>
      </c>
      <c r="G194" s="102" t="s">
        <v>282</v>
      </c>
      <c r="H194" s="102" t="s">
        <v>283</v>
      </c>
      <c r="I194" s="102" t="s">
        <v>284</v>
      </c>
      <c r="J194" s="102" t="s">
        <v>678</v>
      </c>
      <c r="L194" s="229" t="s">
        <v>2088</v>
      </c>
      <c r="M194" s="229" t="s">
        <v>4492</v>
      </c>
      <c r="N194" s="229" t="s">
        <v>2096</v>
      </c>
      <c r="O194" s="102">
        <v>2.0</v>
      </c>
      <c r="P194" s="102" t="s">
        <v>435</v>
      </c>
      <c r="S194" s="230"/>
      <c r="T194" s="102">
        <v>0.0</v>
      </c>
      <c r="U194" s="230" t="str">
        <f>IF(ISNUMBER(MATCH(B194, 'Sprint 18'!B:B, 0)), "มาจาก Sprint 18", "")</f>
        <v>มาจาก Sprint 18</v>
      </c>
      <c r="V194" s="230" t="str">
        <f t="array" ref="V194">IF(ISNUMBER(MATCH(B194, 'Sprint 18'!B:B, 0)), INDEX('Sprint 18'!J:J, MATCH(B194, 'Sprint 18'!B:B, 0)), "")</f>
        <v>Ready to Staging</v>
      </c>
      <c r="W194" s="102">
        <v>14400.0</v>
      </c>
      <c r="X194" s="102" t="s">
        <v>1991</v>
      </c>
      <c r="Y194" s="102" t="s">
        <v>1992</v>
      </c>
      <c r="Z194" s="230"/>
      <c r="AA194" s="230"/>
      <c r="AB194" s="230"/>
      <c r="AC194" s="230"/>
      <c r="AD194" s="230"/>
      <c r="AE194" s="230"/>
      <c r="AF194" s="230"/>
    </row>
    <row r="195">
      <c r="A195" s="102" t="s">
        <v>332</v>
      </c>
      <c r="B195" s="102" t="s">
        <v>4144</v>
      </c>
      <c r="C195" s="229" t="s">
        <v>4145</v>
      </c>
      <c r="D195" s="102" t="s">
        <v>4146</v>
      </c>
      <c r="E195" s="102" t="s">
        <v>584</v>
      </c>
      <c r="F195" s="102" t="s">
        <v>585</v>
      </c>
      <c r="G195" s="102" t="s">
        <v>316</v>
      </c>
      <c r="H195" s="102" t="s">
        <v>317</v>
      </c>
      <c r="I195" s="102" t="s">
        <v>284</v>
      </c>
      <c r="J195" s="102" t="s">
        <v>922</v>
      </c>
      <c r="L195" s="229" t="s">
        <v>4147</v>
      </c>
      <c r="M195" s="229" t="s">
        <v>4456</v>
      </c>
      <c r="N195" s="229" t="s">
        <v>4148</v>
      </c>
      <c r="O195" s="102">
        <v>2.0</v>
      </c>
      <c r="P195" s="102" t="s">
        <v>4149</v>
      </c>
      <c r="S195" s="230"/>
      <c r="T195" s="230"/>
      <c r="U195" s="230" t="str">
        <f>IF(ISNUMBER(MATCH(B195, 'Sprint 18'!B:B, 0)), "มาจาก Sprint 18", "")</f>
        <v>มาจาก Sprint 18</v>
      </c>
      <c r="V195" s="230" t="str">
        <f t="array" ref="V195">IF(ISNUMBER(MATCH(B195, 'Sprint 18'!B:B, 0)), INDEX('Sprint 18'!J:J, MATCH(B195, 'Sprint 18'!B:B, 0)), "")</f>
        <v>Open</v>
      </c>
      <c r="W195" s="230"/>
      <c r="X195" s="102" t="s">
        <v>4150</v>
      </c>
      <c r="Y195" s="102" t="s">
        <v>4005</v>
      </c>
      <c r="Z195" s="230"/>
      <c r="AA195" s="230"/>
      <c r="AB195" s="230"/>
      <c r="AC195" s="230"/>
      <c r="AD195" s="230"/>
      <c r="AE195" s="230"/>
      <c r="AF195" s="230"/>
    </row>
    <row r="196">
      <c r="A196" s="102" t="s">
        <v>310</v>
      </c>
      <c r="B196" s="102" t="s">
        <v>4157</v>
      </c>
      <c r="C196" s="229" t="s">
        <v>4158</v>
      </c>
      <c r="D196" s="102" t="s">
        <v>4159</v>
      </c>
      <c r="E196" s="102" t="s">
        <v>584</v>
      </c>
      <c r="F196" s="102" t="s">
        <v>585</v>
      </c>
      <c r="G196" s="102" t="s">
        <v>353</v>
      </c>
      <c r="H196" s="102" t="s">
        <v>354</v>
      </c>
      <c r="I196" s="102" t="s">
        <v>284</v>
      </c>
      <c r="J196" s="102" t="s">
        <v>678</v>
      </c>
      <c r="L196" s="229" t="s">
        <v>4160</v>
      </c>
      <c r="M196" s="229" t="s">
        <v>4494</v>
      </c>
      <c r="O196" s="102">
        <v>2.0</v>
      </c>
      <c r="S196" s="230"/>
      <c r="T196" s="102">
        <v>0.0</v>
      </c>
      <c r="U196" s="230" t="str">
        <f>IF(ISNUMBER(MATCH(B196, 'Sprint 18'!B:B, 0)), "มาจาก Sprint 18", "")</f>
        <v>มาจาก Sprint 18</v>
      </c>
      <c r="V196" s="230" t="str">
        <f t="array" ref="V196">IF(ISNUMBER(MATCH(B196, 'Sprint 18'!B:B, 0)), INDEX('Sprint 18'!J:J, MATCH(B196, 'Sprint 18'!B:B, 0)), "")</f>
        <v>Ready to Staging</v>
      </c>
      <c r="W196" s="102">
        <v>14400.0</v>
      </c>
      <c r="X196" s="102" t="s">
        <v>3035</v>
      </c>
      <c r="Y196" s="102" t="s">
        <v>3036</v>
      </c>
      <c r="Z196" s="102" t="s">
        <v>3037</v>
      </c>
      <c r="AA196" s="230"/>
      <c r="AB196" s="230"/>
      <c r="AC196" s="230"/>
      <c r="AD196" s="230"/>
      <c r="AE196" s="230"/>
      <c r="AF196" s="230"/>
    </row>
    <row r="197">
      <c r="A197" s="102" t="s">
        <v>310</v>
      </c>
      <c r="B197" s="102" t="s">
        <v>2156</v>
      </c>
      <c r="C197" s="229" t="s">
        <v>2157</v>
      </c>
      <c r="D197" s="102" t="s">
        <v>2158</v>
      </c>
      <c r="E197" s="102" t="s">
        <v>556</v>
      </c>
      <c r="F197" s="102" t="s">
        <v>557</v>
      </c>
      <c r="G197" s="102" t="s">
        <v>282</v>
      </c>
      <c r="H197" s="102" t="s">
        <v>283</v>
      </c>
      <c r="I197" s="102" t="s">
        <v>648</v>
      </c>
      <c r="J197" s="102" t="s">
        <v>678</v>
      </c>
      <c r="L197" s="229" t="s">
        <v>2159</v>
      </c>
      <c r="M197" s="229" t="s">
        <v>4450</v>
      </c>
      <c r="O197" s="102">
        <v>5.0</v>
      </c>
      <c r="P197" s="102" t="s">
        <v>593</v>
      </c>
      <c r="Q197" s="102" t="s">
        <v>435</v>
      </c>
      <c r="S197" s="230"/>
      <c r="T197" s="102">
        <v>28800.0</v>
      </c>
      <c r="U197" s="230" t="str">
        <f>IF(ISNUMBER(MATCH(B197, 'Sprint 18'!B:B, 0)), "มาจาก Sprint 18", "")</f>
        <v>มาจาก Sprint 18</v>
      </c>
      <c r="V197" s="230" t="str">
        <f t="array" ref="V197">IF(ISNUMBER(MATCH(B197, 'Sprint 18'!B:B, 0)), INDEX('Sprint 18'!J:J, MATCH(B197, 'Sprint 18'!B:B, 0)), "")</f>
        <v>In Progress</v>
      </c>
      <c r="W197" s="102" t="s">
        <v>3995</v>
      </c>
      <c r="X197" s="102" t="s">
        <v>1991</v>
      </c>
      <c r="Y197" s="102" t="s">
        <v>1992</v>
      </c>
      <c r="Z197" s="230"/>
      <c r="AA197" s="230"/>
      <c r="AB197" s="230"/>
      <c r="AC197" s="230"/>
      <c r="AD197" s="230"/>
      <c r="AE197" s="230"/>
      <c r="AF197" s="230"/>
    </row>
    <row r="198">
      <c r="A198" s="102" t="s">
        <v>310</v>
      </c>
      <c r="B198" s="102" t="s">
        <v>4166</v>
      </c>
      <c r="C198" s="229" t="s">
        <v>4167</v>
      </c>
      <c r="D198" s="102" t="s">
        <v>4168</v>
      </c>
      <c r="E198" s="102" t="s">
        <v>556</v>
      </c>
      <c r="F198" s="102" t="s">
        <v>557</v>
      </c>
      <c r="G198" s="102" t="s">
        <v>282</v>
      </c>
      <c r="H198" s="102" t="s">
        <v>283</v>
      </c>
      <c r="I198" s="102" t="s">
        <v>284</v>
      </c>
      <c r="J198" s="102" t="s">
        <v>678</v>
      </c>
      <c r="L198" s="229" t="s">
        <v>2159</v>
      </c>
      <c r="M198" s="229" t="s">
        <v>4468</v>
      </c>
      <c r="O198" s="102">
        <v>2.0</v>
      </c>
      <c r="P198" s="102" t="s">
        <v>435</v>
      </c>
      <c r="S198" s="230"/>
      <c r="T198" s="102">
        <v>0.0</v>
      </c>
      <c r="U198" s="230" t="str">
        <f>IF(ISNUMBER(MATCH(B198, 'Sprint 18'!B:B, 0)), "มาจาก Sprint 18", "")</f>
        <v>มาจาก Sprint 18</v>
      </c>
      <c r="V198" s="230" t="str">
        <f t="array" ref="V198">IF(ISNUMBER(MATCH(B198, 'Sprint 18'!B:B, 0)), INDEX('Sprint 18'!J:J, MATCH(B198, 'Sprint 18'!B:B, 0)), "")</f>
        <v>Ready to Staging</v>
      </c>
      <c r="W198" s="102">
        <v>14400.0</v>
      </c>
      <c r="X198" s="102" t="s">
        <v>1991</v>
      </c>
      <c r="Y198" s="102" t="s">
        <v>1992</v>
      </c>
      <c r="Z198" s="230"/>
      <c r="AA198" s="230"/>
      <c r="AB198" s="230"/>
      <c r="AC198" s="230"/>
      <c r="AD198" s="230"/>
      <c r="AE198" s="230"/>
      <c r="AF198" s="230"/>
    </row>
    <row r="199">
      <c r="A199" s="102" t="s">
        <v>310</v>
      </c>
      <c r="B199" s="102" t="s">
        <v>4169</v>
      </c>
      <c r="C199" s="229" t="s">
        <v>4170</v>
      </c>
      <c r="D199" s="102" t="s">
        <v>4171</v>
      </c>
      <c r="E199" s="102" t="s">
        <v>556</v>
      </c>
      <c r="F199" s="102" t="s">
        <v>557</v>
      </c>
      <c r="G199" s="102" t="s">
        <v>282</v>
      </c>
      <c r="H199" s="102" t="s">
        <v>283</v>
      </c>
      <c r="I199" s="102" t="s">
        <v>284</v>
      </c>
      <c r="J199" s="102" t="s">
        <v>678</v>
      </c>
      <c r="L199" s="229" t="s">
        <v>2159</v>
      </c>
      <c r="M199" s="229" t="s">
        <v>4468</v>
      </c>
      <c r="O199" s="102">
        <v>2.0</v>
      </c>
      <c r="P199" s="102" t="s">
        <v>435</v>
      </c>
      <c r="S199" s="230"/>
      <c r="T199" s="102">
        <v>0.0</v>
      </c>
      <c r="U199" s="230" t="str">
        <f>IF(ISNUMBER(MATCH(B199, 'Sprint 18'!B:B, 0)), "มาจาก Sprint 18", "")</f>
        <v>มาจาก Sprint 18</v>
      </c>
      <c r="V199" s="230" t="str">
        <f t="array" ref="V199">IF(ISNUMBER(MATCH(B199, 'Sprint 18'!B:B, 0)), INDEX('Sprint 18'!J:J, MATCH(B199, 'Sprint 18'!B:B, 0)), "")</f>
        <v>Ready to Staging</v>
      </c>
      <c r="W199" s="102">
        <v>14400.0</v>
      </c>
      <c r="X199" s="102" t="s">
        <v>1991</v>
      </c>
      <c r="Y199" s="102" t="s">
        <v>1992</v>
      </c>
      <c r="Z199" s="230"/>
      <c r="AA199" s="230"/>
      <c r="AB199" s="230"/>
      <c r="AC199" s="230"/>
      <c r="AD199" s="230"/>
      <c r="AE199" s="230"/>
      <c r="AF199" s="230"/>
    </row>
    <row r="200">
      <c r="A200" s="102" t="s">
        <v>310</v>
      </c>
      <c r="B200" s="102" t="s">
        <v>4172</v>
      </c>
      <c r="C200" s="229" t="s">
        <v>4173</v>
      </c>
      <c r="D200" s="102" t="s">
        <v>4174</v>
      </c>
      <c r="E200" s="102" t="s">
        <v>556</v>
      </c>
      <c r="F200" s="102" t="s">
        <v>557</v>
      </c>
      <c r="G200" s="102" t="s">
        <v>282</v>
      </c>
      <c r="H200" s="102" t="s">
        <v>283</v>
      </c>
      <c r="I200" s="102" t="s">
        <v>284</v>
      </c>
      <c r="J200" s="102" t="s">
        <v>678</v>
      </c>
      <c r="L200" s="229" t="s">
        <v>4175</v>
      </c>
      <c r="M200" s="229" t="s">
        <v>4468</v>
      </c>
      <c r="N200" s="229" t="s">
        <v>2165</v>
      </c>
      <c r="O200" s="102">
        <v>1.0</v>
      </c>
      <c r="P200" s="102" t="s">
        <v>435</v>
      </c>
      <c r="S200" s="230"/>
      <c r="T200" s="102">
        <v>0.0</v>
      </c>
      <c r="U200" s="230" t="str">
        <f>IF(ISNUMBER(MATCH(B200, 'Sprint 18'!B:B, 0)), "มาจาก Sprint 18", "")</f>
        <v>มาจาก Sprint 18</v>
      </c>
      <c r="V200" s="230" t="str">
        <f t="array" ref="V200">IF(ISNUMBER(MATCH(B200, 'Sprint 18'!B:B, 0)), INDEX('Sprint 18'!J:J, MATCH(B200, 'Sprint 18'!B:B, 0)), "")</f>
        <v>Ready to Staging</v>
      </c>
      <c r="W200" s="102">
        <v>7200.0</v>
      </c>
      <c r="X200" s="102" t="s">
        <v>1991</v>
      </c>
      <c r="Y200" s="102" t="s">
        <v>1992</v>
      </c>
      <c r="Z200" s="230"/>
      <c r="AA200" s="230"/>
      <c r="AB200" s="230"/>
      <c r="AC200" s="230"/>
      <c r="AD200" s="230"/>
      <c r="AE200" s="230"/>
      <c r="AF200" s="230"/>
    </row>
    <row r="201">
      <c r="A201" s="102" t="s">
        <v>310</v>
      </c>
      <c r="B201" s="102" t="s">
        <v>4176</v>
      </c>
      <c r="C201" s="229" t="s">
        <v>4177</v>
      </c>
      <c r="D201" s="102" t="s">
        <v>4178</v>
      </c>
      <c r="E201" s="102" t="s">
        <v>556</v>
      </c>
      <c r="F201" s="102" t="s">
        <v>557</v>
      </c>
      <c r="G201" s="102" t="s">
        <v>282</v>
      </c>
      <c r="H201" s="102" t="s">
        <v>283</v>
      </c>
      <c r="I201" s="102" t="s">
        <v>284</v>
      </c>
      <c r="J201" s="102" t="s">
        <v>678</v>
      </c>
      <c r="L201" s="229" t="s">
        <v>2164</v>
      </c>
      <c r="M201" s="229" t="s">
        <v>4468</v>
      </c>
      <c r="O201" s="102">
        <v>1.0</v>
      </c>
      <c r="P201" s="102" t="s">
        <v>435</v>
      </c>
      <c r="S201" s="230"/>
      <c r="T201" s="102">
        <v>0.0</v>
      </c>
      <c r="U201" s="230" t="str">
        <f>IF(ISNUMBER(MATCH(B201, 'Sprint 18'!B:B, 0)), "มาจาก Sprint 18", "")</f>
        <v>มาจาก Sprint 18</v>
      </c>
      <c r="V201" s="230" t="str">
        <f t="array" ref="V201">IF(ISNUMBER(MATCH(B201, 'Sprint 18'!B:B, 0)), INDEX('Sprint 18'!J:J, MATCH(B201, 'Sprint 18'!B:B, 0)), "")</f>
        <v>Ready to Staging</v>
      </c>
      <c r="W201" s="102">
        <v>7200.0</v>
      </c>
      <c r="X201" s="102" t="s">
        <v>1991</v>
      </c>
      <c r="Y201" s="102" t="s">
        <v>1992</v>
      </c>
      <c r="Z201" s="230"/>
      <c r="AA201" s="230"/>
      <c r="AB201" s="230"/>
      <c r="AC201" s="230"/>
      <c r="AD201" s="230"/>
      <c r="AE201" s="230"/>
      <c r="AF201" s="230"/>
    </row>
    <row r="202">
      <c r="A202" s="102" t="s">
        <v>310</v>
      </c>
      <c r="B202" s="102" t="s">
        <v>4179</v>
      </c>
      <c r="C202" s="229" t="s">
        <v>4180</v>
      </c>
      <c r="D202" s="102" t="s">
        <v>4181</v>
      </c>
      <c r="E202" s="102" t="s">
        <v>556</v>
      </c>
      <c r="F202" s="102" t="s">
        <v>557</v>
      </c>
      <c r="G202" s="102" t="s">
        <v>282</v>
      </c>
      <c r="H202" s="102" t="s">
        <v>283</v>
      </c>
      <c r="I202" s="102" t="s">
        <v>284</v>
      </c>
      <c r="J202" s="102" t="s">
        <v>678</v>
      </c>
      <c r="L202" s="229" t="s">
        <v>2164</v>
      </c>
      <c r="M202" s="229" t="s">
        <v>4495</v>
      </c>
      <c r="O202" s="102">
        <v>2.0</v>
      </c>
      <c r="P202" s="102" t="s">
        <v>435</v>
      </c>
      <c r="S202" s="230"/>
      <c r="T202" s="230"/>
      <c r="U202" s="230" t="str">
        <f>IF(ISNUMBER(MATCH(B202, 'Sprint 18'!B:B, 0)), "มาจาก Sprint 18", "")</f>
        <v>มาจาก Sprint 18</v>
      </c>
      <c r="V202" s="230" t="str">
        <f t="array" ref="V202">IF(ISNUMBER(MATCH(B202, 'Sprint 18'!B:B, 0)), INDEX('Sprint 18'!J:J, MATCH(B202, 'Sprint 18'!B:B, 0)), "")</f>
        <v>In Review</v>
      </c>
      <c r="W202" s="230"/>
      <c r="X202" s="102" t="s">
        <v>1991</v>
      </c>
      <c r="Y202" s="102" t="s">
        <v>1992</v>
      </c>
      <c r="Z202" s="230"/>
      <c r="AA202" s="230"/>
      <c r="AB202" s="230"/>
      <c r="AC202" s="230"/>
      <c r="AD202" s="230"/>
      <c r="AE202" s="230"/>
      <c r="AF202" s="230"/>
    </row>
    <row r="203">
      <c r="A203" s="102" t="s">
        <v>310</v>
      </c>
      <c r="B203" s="102" t="s">
        <v>2161</v>
      </c>
      <c r="C203" s="229" t="s">
        <v>2162</v>
      </c>
      <c r="D203" s="102" t="s">
        <v>2163</v>
      </c>
      <c r="E203" s="102" t="s">
        <v>556</v>
      </c>
      <c r="F203" s="102" t="s">
        <v>557</v>
      </c>
      <c r="G203" s="102" t="s">
        <v>282</v>
      </c>
      <c r="H203" s="102" t="s">
        <v>283</v>
      </c>
      <c r="I203" s="102" t="s">
        <v>284</v>
      </c>
      <c r="J203" s="102" t="s">
        <v>678</v>
      </c>
      <c r="L203" s="229" t="s">
        <v>2164</v>
      </c>
      <c r="M203" s="229" t="s">
        <v>4495</v>
      </c>
      <c r="N203" s="229" t="s">
        <v>2165</v>
      </c>
      <c r="O203" s="102">
        <v>1.0</v>
      </c>
      <c r="P203" s="102" t="s">
        <v>435</v>
      </c>
      <c r="S203" s="230"/>
      <c r="T203" s="102">
        <v>0.0</v>
      </c>
      <c r="U203" s="230" t="str">
        <f>IF(ISNUMBER(MATCH(B203, 'Sprint 18'!B:B, 0)), "มาจาก Sprint 18", "")</f>
        <v>มาจาก Sprint 18</v>
      </c>
      <c r="V203" s="230" t="str">
        <f t="array" ref="V203">IF(ISNUMBER(MATCH(B203, 'Sprint 18'!B:B, 0)), INDEX('Sprint 18'!J:J, MATCH(B203, 'Sprint 18'!B:B, 0)), "")</f>
        <v>Ready to Staging</v>
      </c>
      <c r="W203" s="102">
        <v>7200.0</v>
      </c>
      <c r="X203" s="102" t="s">
        <v>1991</v>
      </c>
      <c r="Y203" s="102" t="s">
        <v>1992</v>
      </c>
      <c r="Z203" s="230"/>
      <c r="AA203" s="230"/>
      <c r="AB203" s="230"/>
      <c r="AC203" s="230"/>
      <c r="AD203" s="230"/>
      <c r="AE203" s="230"/>
      <c r="AF203" s="230"/>
    </row>
    <row r="204">
      <c r="A204" s="102" t="s">
        <v>310</v>
      </c>
      <c r="B204" s="102" t="s">
        <v>4185</v>
      </c>
      <c r="C204" s="229" t="s">
        <v>4186</v>
      </c>
      <c r="D204" s="102" t="s">
        <v>4187</v>
      </c>
      <c r="E204" s="102" t="s">
        <v>495</v>
      </c>
      <c r="F204" s="102" t="s">
        <v>496</v>
      </c>
      <c r="G204" s="102" t="s">
        <v>282</v>
      </c>
      <c r="H204" s="102" t="s">
        <v>283</v>
      </c>
      <c r="I204" s="102" t="s">
        <v>284</v>
      </c>
      <c r="J204" s="102" t="s">
        <v>678</v>
      </c>
      <c r="L204" s="229" t="s">
        <v>4188</v>
      </c>
      <c r="M204" s="229" t="s">
        <v>4496</v>
      </c>
      <c r="O204" s="102">
        <v>1.0</v>
      </c>
      <c r="P204" s="102" t="s">
        <v>435</v>
      </c>
      <c r="S204" s="230"/>
      <c r="T204" s="102">
        <v>0.0</v>
      </c>
      <c r="U204" s="230" t="str">
        <f>IF(ISNUMBER(MATCH(B204, 'Sprint 18'!B:B, 0)), "มาจาก Sprint 18", "")</f>
        <v>มาจาก Sprint 18</v>
      </c>
      <c r="V204" s="230" t="str">
        <f t="array" ref="V204">IF(ISNUMBER(MATCH(B204, 'Sprint 18'!B:B, 0)), INDEX('Sprint 18'!J:J, MATCH(B204, 'Sprint 18'!B:B, 0)), "")</f>
        <v>Ready to Staging</v>
      </c>
      <c r="W204" s="102">
        <v>7200.0</v>
      </c>
      <c r="X204" s="102" t="s">
        <v>3557</v>
      </c>
      <c r="Y204" s="102" t="s">
        <v>1991</v>
      </c>
      <c r="Z204" s="102" t="s">
        <v>1992</v>
      </c>
      <c r="AA204" s="230"/>
      <c r="AB204" s="230"/>
      <c r="AC204" s="230"/>
      <c r="AD204" s="230"/>
      <c r="AE204" s="230"/>
      <c r="AF204" s="230"/>
    </row>
    <row r="205">
      <c r="A205" s="102" t="s">
        <v>310</v>
      </c>
      <c r="B205" s="102" t="s">
        <v>4189</v>
      </c>
      <c r="C205" s="229" t="s">
        <v>4190</v>
      </c>
      <c r="D205" s="102" t="s">
        <v>4191</v>
      </c>
      <c r="E205" s="102" t="s">
        <v>495</v>
      </c>
      <c r="F205" s="102" t="s">
        <v>496</v>
      </c>
      <c r="G205" s="102" t="s">
        <v>282</v>
      </c>
      <c r="H205" s="102" t="s">
        <v>283</v>
      </c>
      <c r="I205" s="102" t="s">
        <v>284</v>
      </c>
      <c r="J205" s="102" t="s">
        <v>678</v>
      </c>
      <c r="L205" s="229" t="s">
        <v>4192</v>
      </c>
      <c r="M205" s="229" t="s">
        <v>4496</v>
      </c>
      <c r="O205" s="102">
        <v>1.0</v>
      </c>
      <c r="P205" s="102" t="s">
        <v>435</v>
      </c>
      <c r="S205" s="230"/>
      <c r="T205" s="102">
        <v>0.0</v>
      </c>
      <c r="U205" s="230" t="str">
        <f>IF(ISNUMBER(MATCH(B205, 'Sprint 18'!B:B, 0)), "มาจาก Sprint 18", "")</f>
        <v>มาจาก Sprint 18</v>
      </c>
      <c r="V205" s="230" t="str">
        <f t="array" ref="V205">IF(ISNUMBER(MATCH(B205, 'Sprint 18'!B:B, 0)), INDEX('Sprint 18'!J:J, MATCH(B205, 'Sprint 18'!B:B, 0)), "")</f>
        <v>Ready to Staging</v>
      </c>
      <c r="W205" s="102">
        <v>7200.0</v>
      </c>
      <c r="X205" s="102" t="s">
        <v>3557</v>
      </c>
      <c r="Y205" s="102" t="s">
        <v>1991</v>
      </c>
      <c r="Z205" s="102" t="s">
        <v>1992</v>
      </c>
      <c r="AA205" s="230"/>
      <c r="AB205" s="230"/>
      <c r="AC205" s="230"/>
      <c r="AD205" s="230"/>
      <c r="AE205" s="230"/>
      <c r="AF205" s="230"/>
    </row>
    <row r="206">
      <c r="A206" s="102" t="s">
        <v>310</v>
      </c>
      <c r="B206" s="102" t="s">
        <v>4193</v>
      </c>
      <c r="C206" s="229" t="s">
        <v>4194</v>
      </c>
      <c r="D206" s="102" t="s">
        <v>4195</v>
      </c>
      <c r="E206" s="102" t="s">
        <v>556</v>
      </c>
      <c r="F206" s="102" t="s">
        <v>557</v>
      </c>
      <c r="G206" s="102" t="s">
        <v>282</v>
      </c>
      <c r="H206" s="102" t="s">
        <v>283</v>
      </c>
      <c r="I206" s="102" t="s">
        <v>284</v>
      </c>
      <c r="J206" s="102" t="s">
        <v>678</v>
      </c>
      <c r="L206" s="229" t="s">
        <v>4192</v>
      </c>
      <c r="M206" s="229" t="s">
        <v>4497</v>
      </c>
      <c r="N206" s="229" t="s">
        <v>4196</v>
      </c>
      <c r="O206" s="102">
        <v>2.0</v>
      </c>
      <c r="P206" s="102" t="s">
        <v>435</v>
      </c>
      <c r="S206" s="230"/>
      <c r="T206" s="102">
        <v>0.0</v>
      </c>
      <c r="U206" s="230" t="str">
        <f>IF(ISNUMBER(MATCH(B206, 'Sprint 18'!B:B, 0)), "มาจาก Sprint 18", "")</f>
        <v>มาจาก Sprint 18</v>
      </c>
      <c r="V206" s="230" t="str">
        <f t="array" ref="V206">IF(ISNUMBER(MATCH(B206, 'Sprint 18'!B:B, 0)), INDEX('Sprint 18'!J:J, MATCH(B206, 'Sprint 18'!B:B, 0)), "")</f>
        <v>Ready to Staging</v>
      </c>
      <c r="W206" s="102">
        <v>14400.0</v>
      </c>
      <c r="X206" s="102" t="s">
        <v>3557</v>
      </c>
      <c r="Y206" s="102" t="s">
        <v>1991</v>
      </c>
      <c r="Z206" s="102" t="s">
        <v>1992</v>
      </c>
      <c r="AA206" s="230"/>
      <c r="AB206" s="230"/>
      <c r="AC206" s="230"/>
      <c r="AD206" s="230"/>
      <c r="AE206" s="230"/>
      <c r="AF206" s="230"/>
    </row>
    <row r="207">
      <c r="A207" s="102" t="s">
        <v>310</v>
      </c>
      <c r="B207" s="102" t="s">
        <v>4197</v>
      </c>
      <c r="C207" s="229" t="s">
        <v>4198</v>
      </c>
      <c r="D207" s="102" t="s">
        <v>4199</v>
      </c>
      <c r="E207" s="102" t="s">
        <v>556</v>
      </c>
      <c r="F207" s="102" t="s">
        <v>557</v>
      </c>
      <c r="G207" s="102" t="s">
        <v>282</v>
      </c>
      <c r="H207" s="102" t="s">
        <v>283</v>
      </c>
      <c r="I207" s="102" t="s">
        <v>284</v>
      </c>
      <c r="J207" s="102" t="s">
        <v>678</v>
      </c>
      <c r="L207" s="229" t="s">
        <v>4192</v>
      </c>
      <c r="M207" s="229" t="s">
        <v>4447</v>
      </c>
      <c r="O207" s="102">
        <v>2.0</v>
      </c>
      <c r="P207" s="102" t="s">
        <v>435</v>
      </c>
      <c r="S207" s="230"/>
      <c r="T207" s="102">
        <v>0.0</v>
      </c>
      <c r="U207" s="230" t="str">
        <f>IF(ISNUMBER(MATCH(B207, 'Sprint 18'!B:B, 0)), "มาจาก Sprint 18", "")</f>
        <v>มาจาก Sprint 18</v>
      </c>
      <c r="V207" s="230" t="str">
        <f t="array" ref="V207">IF(ISNUMBER(MATCH(B207, 'Sprint 18'!B:B, 0)), INDEX('Sprint 18'!J:J, MATCH(B207, 'Sprint 18'!B:B, 0)), "")</f>
        <v>Ready to Staging</v>
      </c>
      <c r="W207" s="102">
        <v>14400.0</v>
      </c>
      <c r="X207" s="102" t="s">
        <v>1991</v>
      </c>
      <c r="Y207" s="102" t="s">
        <v>1992</v>
      </c>
      <c r="Z207" s="230"/>
      <c r="AA207" s="230"/>
      <c r="AB207" s="230"/>
      <c r="AC207" s="230"/>
      <c r="AD207" s="230"/>
      <c r="AE207" s="230"/>
      <c r="AF207" s="230"/>
    </row>
    <row r="208">
      <c r="A208" s="102" t="s">
        <v>310</v>
      </c>
      <c r="B208" s="102" t="s">
        <v>4201</v>
      </c>
      <c r="C208" s="229" t="s">
        <v>4202</v>
      </c>
      <c r="D208" s="102" t="s">
        <v>4203</v>
      </c>
      <c r="E208" s="102" t="s">
        <v>556</v>
      </c>
      <c r="F208" s="102" t="s">
        <v>557</v>
      </c>
      <c r="G208" s="102" t="s">
        <v>282</v>
      </c>
      <c r="H208" s="102" t="s">
        <v>283</v>
      </c>
      <c r="I208" s="102" t="s">
        <v>284</v>
      </c>
      <c r="J208" s="102" t="s">
        <v>678</v>
      </c>
      <c r="L208" s="229" t="s">
        <v>4192</v>
      </c>
      <c r="M208" s="229" t="s">
        <v>4498</v>
      </c>
      <c r="O208" s="102">
        <v>2.0</v>
      </c>
      <c r="P208" s="102" t="s">
        <v>435</v>
      </c>
      <c r="S208" s="230"/>
      <c r="T208" s="102">
        <v>0.0</v>
      </c>
      <c r="U208" s="230" t="str">
        <f>IF(ISNUMBER(MATCH(B208, 'Sprint 18'!B:B, 0)), "มาจาก Sprint 18", "")</f>
        <v>มาจาก Sprint 18</v>
      </c>
      <c r="V208" s="230" t="str">
        <f t="array" ref="V208">IF(ISNUMBER(MATCH(B208, 'Sprint 18'!B:B, 0)), INDEX('Sprint 18'!J:J, MATCH(B208, 'Sprint 18'!B:B, 0)), "")</f>
        <v>Ready to Staging</v>
      </c>
      <c r="W208" s="102">
        <v>14400.0</v>
      </c>
      <c r="X208" s="102" t="s">
        <v>1991</v>
      </c>
      <c r="Y208" s="102" t="s">
        <v>1992</v>
      </c>
      <c r="Z208" s="230"/>
      <c r="AA208" s="230"/>
      <c r="AB208" s="230"/>
      <c r="AC208" s="230"/>
      <c r="AD208" s="230"/>
      <c r="AE208" s="230"/>
      <c r="AF208" s="230"/>
    </row>
    <row r="209">
      <c r="A209" s="102" t="s">
        <v>310</v>
      </c>
      <c r="B209" s="102" t="s">
        <v>4204</v>
      </c>
      <c r="C209" s="229" t="s">
        <v>4205</v>
      </c>
      <c r="D209" s="102" t="s">
        <v>4206</v>
      </c>
      <c r="E209" s="102" t="s">
        <v>556</v>
      </c>
      <c r="F209" s="102" t="s">
        <v>557</v>
      </c>
      <c r="G209" s="102" t="s">
        <v>282</v>
      </c>
      <c r="H209" s="102" t="s">
        <v>283</v>
      </c>
      <c r="I209" s="102" t="s">
        <v>284</v>
      </c>
      <c r="J209" s="102" t="s">
        <v>678</v>
      </c>
      <c r="L209" s="229" t="s">
        <v>4207</v>
      </c>
      <c r="M209" s="229" t="s">
        <v>4499</v>
      </c>
      <c r="O209" s="102">
        <v>2.0</v>
      </c>
      <c r="P209" s="102" t="s">
        <v>435</v>
      </c>
      <c r="S209" s="230"/>
      <c r="T209" s="102">
        <v>0.0</v>
      </c>
      <c r="U209" s="230" t="str">
        <f>IF(ISNUMBER(MATCH(B209, 'Sprint 18'!B:B, 0)), "มาจาก Sprint 18", "")</f>
        <v>มาจาก Sprint 18</v>
      </c>
      <c r="V209" s="230" t="str">
        <f t="array" ref="V209">IF(ISNUMBER(MATCH(B209, 'Sprint 18'!B:B, 0)), INDEX('Sprint 18'!J:J, MATCH(B209, 'Sprint 18'!B:B, 0)), "")</f>
        <v>Ready to Staging</v>
      </c>
      <c r="W209" s="102">
        <v>14400.0</v>
      </c>
      <c r="X209" s="102" t="s">
        <v>1991</v>
      </c>
      <c r="Y209" s="102" t="s">
        <v>1992</v>
      </c>
      <c r="Z209" s="230"/>
      <c r="AA209" s="230"/>
      <c r="AB209" s="230"/>
      <c r="AC209" s="230"/>
      <c r="AD209" s="230"/>
      <c r="AE209" s="230"/>
      <c r="AF209" s="230"/>
    </row>
    <row r="210">
      <c r="A210" s="102" t="s">
        <v>310</v>
      </c>
      <c r="B210" s="102" t="s">
        <v>4208</v>
      </c>
      <c r="C210" s="229" t="s">
        <v>4209</v>
      </c>
      <c r="D210" s="102" t="s">
        <v>4210</v>
      </c>
      <c r="E210" s="102" t="s">
        <v>495</v>
      </c>
      <c r="F210" s="102" t="s">
        <v>496</v>
      </c>
      <c r="G210" s="102" t="s">
        <v>282</v>
      </c>
      <c r="H210" s="102" t="s">
        <v>283</v>
      </c>
      <c r="I210" s="102" t="s">
        <v>284</v>
      </c>
      <c r="J210" s="102" t="s">
        <v>678</v>
      </c>
      <c r="L210" s="229" t="s">
        <v>4207</v>
      </c>
      <c r="M210" s="229" t="s">
        <v>4500</v>
      </c>
      <c r="O210" s="102">
        <v>2.0</v>
      </c>
      <c r="P210" s="102" t="s">
        <v>435</v>
      </c>
      <c r="S210" s="230"/>
      <c r="T210" s="102">
        <v>0.0</v>
      </c>
      <c r="U210" s="230" t="str">
        <f>IF(ISNUMBER(MATCH(B210, 'Sprint 18'!B:B, 0)), "มาจาก Sprint 18", "")</f>
        <v>มาจาก Sprint 18</v>
      </c>
      <c r="V210" s="230" t="str">
        <f t="array" ref="V210">IF(ISNUMBER(MATCH(B210, 'Sprint 18'!B:B, 0)), INDEX('Sprint 18'!J:J, MATCH(B210, 'Sprint 18'!B:B, 0)), "")</f>
        <v>Ready to Staging</v>
      </c>
      <c r="W210" s="102">
        <v>3600.0</v>
      </c>
      <c r="X210" s="102" t="s">
        <v>1991</v>
      </c>
      <c r="Y210" s="102" t="s">
        <v>1992</v>
      </c>
      <c r="Z210" s="230"/>
      <c r="AA210" s="230"/>
      <c r="AB210" s="230"/>
      <c r="AC210" s="230"/>
      <c r="AD210" s="230"/>
      <c r="AE210" s="230"/>
      <c r="AF210" s="230"/>
    </row>
    <row r="211">
      <c r="A211" s="102" t="s">
        <v>310</v>
      </c>
      <c r="B211" s="102" t="s">
        <v>4211</v>
      </c>
      <c r="C211" s="229" t="s">
        <v>4212</v>
      </c>
      <c r="D211" s="102" t="s">
        <v>4213</v>
      </c>
      <c r="E211" s="102" t="s">
        <v>495</v>
      </c>
      <c r="F211" s="102" t="s">
        <v>496</v>
      </c>
      <c r="G211" s="102" t="s">
        <v>282</v>
      </c>
      <c r="H211" s="102" t="s">
        <v>283</v>
      </c>
      <c r="I211" s="102" t="s">
        <v>284</v>
      </c>
      <c r="J211" s="102" t="s">
        <v>678</v>
      </c>
      <c r="L211" s="229" t="s">
        <v>2169</v>
      </c>
      <c r="M211" s="229" t="s">
        <v>4500</v>
      </c>
      <c r="O211" s="102">
        <v>2.0</v>
      </c>
      <c r="P211" s="102" t="s">
        <v>435</v>
      </c>
      <c r="S211" s="230"/>
      <c r="T211" s="102">
        <v>0.0</v>
      </c>
      <c r="U211" s="230" t="str">
        <f>IF(ISNUMBER(MATCH(B211, 'Sprint 18'!B:B, 0)), "มาจาก Sprint 18", "")</f>
        <v>มาจาก Sprint 18</v>
      </c>
      <c r="V211" s="230" t="str">
        <f t="array" ref="V211">IF(ISNUMBER(MATCH(B211, 'Sprint 18'!B:B, 0)), INDEX('Sprint 18'!J:J, MATCH(B211, 'Sprint 18'!B:B, 0)), "")</f>
        <v>Ready to Staging</v>
      </c>
      <c r="W211" s="102">
        <v>3600.0</v>
      </c>
      <c r="X211" s="102" t="s">
        <v>1991</v>
      </c>
      <c r="Y211" s="102" t="s">
        <v>1992</v>
      </c>
      <c r="Z211" s="230"/>
      <c r="AA211" s="230"/>
      <c r="AB211" s="230"/>
      <c r="AC211" s="230"/>
      <c r="AD211" s="230"/>
      <c r="AE211" s="230"/>
      <c r="AF211" s="230"/>
    </row>
    <row r="212">
      <c r="A212" s="102" t="s">
        <v>310</v>
      </c>
      <c r="B212" s="102" t="s">
        <v>3589</v>
      </c>
      <c r="C212" s="229" t="s">
        <v>3590</v>
      </c>
      <c r="D212" s="102" t="s">
        <v>3591</v>
      </c>
      <c r="E212" s="102" t="s">
        <v>495</v>
      </c>
      <c r="F212" s="102" t="s">
        <v>496</v>
      </c>
      <c r="G212" s="102" t="s">
        <v>282</v>
      </c>
      <c r="H212" s="102" t="s">
        <v>283</v>
      </c>
      <c r="I212" s="102" t="s">
        <v>515</v>
      </c>
      <c r="J212" s="102" t="s">
        <v>678</v>
      </c>
      <c r="L212" s="229" t="s">
        <v>2169</v>
      </c>
      <c r="M212" s="229" t="s">
        <v>4501</v>
      </c>
      <c r="O212" s="102">
        <v>2.0</v>
      </c>
      <c r="P212" s="102" t="s">
        <v>331</v>
      </c>
      <c r="S212" s="230"/>
      <c r="T212" s="102">
        <v>28800.0</v>
      </c>
      <c r="U212" s="230" t="str">
        <f>IF(ISNUMBER(MATCH(B212, 'Sprint 18'!B:B, 0)), "มาจาก Sprint 18", "")</f>
        <v/>
      </c>
      <c r="V212" s="230" t="str">
        <f t="array" ref="V212">IF(ISNUMBER(MATCH(B212, 'Sprint 18'!B:B, 0)), INDEX('Sprint 18'!J:J, MATCH(B212, 'Sprint 18'!B:B, 0)), "")</f>
        <v/>
      </c>
      <c r="W212" s="102"/>
      <c r="X212" s="102" t="s">
        <v>1992</v>
      </c>
      <c r="Y212" s="230"/>
      <c r="Z212" s="230"/>
      <c r="AA212" s="230"/>
      <c r="AB212" s="230"/>
      <c r="AC212" s="230"/>
      <c r="AD212" s="230"/>
      <c r="AE212" s="230"/>
      <c r="AF212" s="230"/>
    </row>
    <row r="213">
      <c r="A213" s="102" t="s">
        <v>310</v>
      </c>
      <c r="B213" s="102" t="s">
        <v>3593</v>
      </c>
      <c r="C213" s="229" t="s">
        <v>3594</v>
      </c>
      <c r="D213" s="102" t="s">
        <v>3595</v>
      </c>
      <c r="E213" s="102" t="s">
        <v>495</v>
      </c>
      <c r="F213" s="102" t="s">
        <v>496</v>
      </c>
      <c r="G213" s="102" t="s">
        <v>282</v>
      </c>
      <c r="H213" s="102" t="s">
        <v>283</v>
      </c>
      <c r="I213" s="102" t="s">
        <v>284</v>
      </c>
      <c r="J213" s="102" t="s">
        <v>678</v>
      </c>
      <c r="L213" s="229" t="s">
        <v>2169</v>
      </c>
      <c r="M213" s="229" t="s">
        <v>4502</v>
      </c>
      <c r="O213" s="102">
        <v>2.0</v>
      </c>
      <c r="P213" s="102" t="s">
        <v>435</v>
      </c>
      <c r="S213" s="230"/>
      <c r="T213" s="102">
        <v>0.0</v>
      </c>
      <c r="U213" s="230" t="str">
        <f>IF(ISNUMBER(MATCH(B213, 'Sprint 18'!B:B, 0)), "มาจาก Sprint 18", "")</f>
        <v>มาจาก Sprint 18</v>
      </c>
      <c r="V213" s="230" t="str">
        <f t="array" ref="V213">IF(ISNUMBER(MATCH(B213, 'Sprint 18'!B:B, 0)), INDEX('Sprint 18'!J:J, MATCH(B213, 'Sprint 18'!B:B, 0)), "")</f>
        <v>Ready to Staging</v>
      </c>
      <c r="W213" s="102">
        <v>7200.0</v>
      </c>
      <c r="X213" s="102" t="s">
        <v>1991</v>
      </c>
      <c r="Y213" s="102" t="s">
        <v>1992</v>
      </c>
      <c r="Z213" s="230"/>
      <c r="AA213" s="230"/>
      <c r="AB213" s="230"/>
      <c r="AC213" s="230"/>
      <c r="AD213" s="230"/>
      <c r="AE213" s="230"/>
      <c r="AF213" s="230"/>
    </row>
    <row r="214">
      <c r="A214" s="102" t="s">
        <v>310</v>
      </c>
      <c r="B214" s="102" t="s">
        <v>2166</v>
      </c>
      <c r="C214" s="229" t="s">
        <v>2167</v>
      </c>
      <c r="D214" s="102" t="s">
        <v>2168</v>
      </c>
      <c r="E214" s="102" t="s">
        <v>495</v>
      </c>
      <c r="F214" s="102" t="s">
        <v>496</v>
      </c>
      <c r="G214" s="102" t="s">
        <v>282</v>
      </c>
      <c r="H214" s="102" t="s">
        <v>283</v>
      </c>
      <c r="I214" s="102" t="s">
        <v>284</v>
      </c>
      <c r="J214" s="102" t="s">
        <v>678</v>
      </c>
      <c r="L214" s="229" t="s">
        <v>2169</v>
      </c>
      <c r="M214" s="229" t="s">
        <v>4503</v>
      </c>
      <c r="O214" s="102">
        <v>2.0</v>
      </c>
      <c r="P214" s="102" t="s">
        <v>435</v>
      </c>
      <c r="S214" s="230"/>
      <c r="T214" s="102">
        <v>0.0</v>
      </c>
      <c r="U214" s="230" t="str">
        <f>IF(ISNUMBER(MATCH(B214, 'Sprint 18'!B:B, 0)), "มาจาก Sprint 18", "")</f>
        <v>มาจาก Sprint 18</v>
      </c>
      <c r="V214" s="230" t="str">
        <f t="array" ref="V214">IF(ISNUMBER(MATCH(B214, 'Sprint 18'!B:B, 0)), INDEX('Sprint 18'!J:J, MATCH(B214, 'Sprint 18'!B:B, 0)), "")</f>
        <v>Ready to Staging</v>
      </c>
      <c r="W214" s="102">
        <v>7200.0</v>
      </c>
      <c r="X214" s="102" t="s">
        <v>1991</v>
      </c>
      <c r="Y214" s="102" t="s">
        <v>1992</v>
      </c>
      <c r="Z214" s="230"/>
      <c r="AA214" s="230"/>
      <c r="AB214" s="230"/>
      <c r="AC214" s="230"/>
      <c r="AD214" s="230"/>
      <c r="AE214" s="230"/>
      <c r="AF214" s="230"/>
    </row>
    <row r="215">
      <c r="A215" s="102" t="s">
        <v>310</v>
      </c>
      <c r="B215" s="102" t="s">
        <v>3596</v>
      </c>
      <c r="C215" s="229" t="s">
        <v>3597</v>
      </c>
      <c r="D215" s="102" t="s">
        <v>3598</v>
      </c>
      <c r="E215" s="102" t="s">
        <v>556</v>
      </c>
      <c r="F215" s="102" t="s">
        <v>557</v>
      </c>
      <c r="G215" s="102" t="s">
        <v>282</v>
      </c>
      <c r="H215" s="102" t="s">
        <v>283</v>
      </c>
      <c r="I215" s="102" t="s">
        <v>284</v>
      </c>
      <c r="J215" s="102" t="s">
        <v>678</v>
      </c>
      <c r="L215" s="229" t="s">
        <v>3599</v>
      </c>
      <c r="M215" s="229" t="s">
        <v>4497</v>
      </c>
      <c r="N215" s="229" t="s">
        <v>3600</v>
      </c>
      <c r="O215" s="102">
        <v>3.0</v>
      </c>
      <c r="P215" s="102" t="s">
        <v>435</v>
      </c>
      <c r="S215" s="230"/>
      <c r="T215" s="102">
        <v>0.0</v>
      </c>
      <c r="U215" s="230" t="str">
        <f>IF(ISNUMBER(MATCH(B215, 'Sprint 18'!B:B, 0)), "มาจาก Sprint 18", "")</f>
        <v>มาจาก Sprint 18</v>
      </c>
      <c r="V215" s="230" t="str">
        <f t="array" ref="V215">IF(ISNUMBER(MATCH(B215, 'Sprint 18'!B:B, 0)), INDEX('Sprint 18'!J:J, MATCH(B215, 'Sprint 18'!B:B, 0)), "")</f>
        <v>Ready to Staging</v>
      </c>
      <c r="W215" s="102">
        <v>28800.0</v>
      </c>
      <c r="X215" s="102" t="s">
        <v>3557</v>
      </c>
      <c r="Y215" s="102" t="s">
        <v>1991</v>
      </c>
      <c r="Z215" s="102" t="s">
        <v>1992</v>
      </c>
      <c r="AA215" s="230"/>
      <c r="AB215" s="230"/>
      <c r="AC215" s="230"/>
      <c r="AD215" s="230"/>
      <c r="AE215" s="230"/>
      <c r="AF215" s="230"/>
    </row>
    <row r="216">
      <c r="A216" s="102" t="s">
        <v>310</v>
      </c>
      <c r="B216" s="102" t="s">
        <v>3601</v>
      </c>
      <c r="C216" s="229" t="s">
        <v>3602</v>
      </c>
      <c r="D216" s="102" t="s">
        <v>3603</v>
      </c>
      <c r="E216" s="102" t="s">
        <v>513</v>
      </c>
      <c r="F216" s="102" t="s">
        <v>514</v>
      </c>
      <c r="G216" s="102" t="s">
        <v>282</v>
      </c>
      <c r="H216" s="102" t="s">
        <v>283</v>
      </c>
      <c r="I216" s="102" t="s">
        <v>284</v>
      </c>
      <c r="J216" s="102" t="s">
        <v>678</v>
      </c>
      <c r="L216" s="229" t="s">
        <v>3599</v>
      </c>
      <c r="M216" s="229" t="s">
        <v>4492</v>
      </c>
      <c r="N216" s="229" t="s">
        <v>2096</v>
      </c>
      <c r="O216" s="102">
        <v>3.0</v>
      </c>
      <c r="P216" s="102" t="s">
        <v>435</v>
      </c>
      <c r="S216" s="230"/>
      <c r="T216" s="102">
        <v>0.0</v>
      </c>
      <c r="U216" s="230" t="str">
        <f>IF(ISNUMBER(MATCH(B216, 'Sprint 18'!B:B, 0)), "มาจาก Sprint 18", "")</f>
        <v>มาจาก Sprint 18</v>
      </c>
      <c r="V216" s="230" t="str">
        <f t="array" ref="V216">IF(ISNUMBER(MATCH(B216, 'Sprint 18'!B:B, 0)), INDEX('Sprint 18'!J:J, MATCH(B216, 'Sprint 18'!B:B, 0)), "")</f>
        <v>Ready to Staging</v>
      </c>
      <c r="W216" s="102">
        <v>28800.0</v>
      </c>
      <c r="X216" s="102" t="s">
        <v>1991</v>
      </c>
      <c r="Y216" s="102" t="s">
        <v>1992</v>
      </c>
      <c r="Z216" s="230"/>
      <c r="AA216" s="230"/>
      <c r="AB216" s="230"/>
      <c r="AC216" s="230"/>
      <c r="AD216" s="230"/>
      <c r="AE216" s="230"/>
      <c r="AF216" s="230"/>
    </row>
    <row r="217">
      <c r="A217" s="102" t="s">
        <v>310</v>
      </c>
      <c r="B217" s="102" t="s">
        <v>3604</v>
      </c>
      <c r="C217" s="229" t="s">
        <v>3605</v>
      </c>
      <c r="D217" s="102" t="s">
        <v>3606</v>
      </c>
      <c r="E217" s="102" t="s">
        <v>513</v>
      </c>
      <c r="F217" s="102" t="s">
        <v>514</v>
      </c>
      <c r="G217" s="102" t="s">
        <v>282</v>
      </c>
      <c r="H217" s="102" t="s">
        <v>283</v>
      </c>
      <c r="I217" s="102" t="s">
        <v>284</v>
      </c>
      <c r="J217" s="102" t="s">
        <v>678</v>
      </c>
      <c r="L217" s="229" t="s">
        <v>3599</v>
      </c>
      <c r="M217" s="229" t="s">
        <v>4492</v>
      </c>
      <c r="N217" s="229" t="s">
        <v>2570</v>
      </c>
      <c r="O217" s="102">
        <v>3.0</v>
      </c>
      <c r="P217" s="102" t="s">
        <v>435</v>
      </c>
      <c r="S217" s="230"/>
      <c r="T217" s="102">
        <v>0.0</v>
      </c>
      <c r="U217" s="230" t="str">
        <f>IF(ISNUMBER(MATCH(B217, 'Sprint 18'!B:B, 0)), "มาจาก Sprint 18", "")</f>
        <v>มาจาก Sprint 18</v>
      </c>
      <c r="V217" s="230" t="str">
        <f t="array" ref="V217">IF(ISNUMBER(MATCH(B217, 'Sprint 18'!B:B, 0)), INDEX('Sprint 18'!J:J, MATCH(B217, 'Sprint 18'!B:B, 0)), "")</f>
        <v>Ready to Staging</v>
      </c>
      <c r="W217" s="102">
        <v>28800.0</v>
      </c>
      <c r="X217" s="102" t="s">
        <v>1991</v>
      </c>
      <c r="Y217" s="102" t="s">
        <v>1992</v>
      </c>
      <c r="Z217" s="230"/>
      <c r="AA217" s="230"/>
      <c r="AB217" s="230"/>
      <c r="AC217" s="230"/>
      <c r="AD217" s="230"/>
      <c r="AE217" s="230"/>
      <c r="AF217" s="230"/>
    </row>
    <row r="218">
      <c r="A218" s="102" t="s">
        <v>332</v>
      </c>
      <c r="B218" s="102" t="s">
        <v>4504</v>
      </c>
      <c r="C218" s="229" t="s">
        <v>4505</v>
      </c>
      <c r="D218" s="102" t="s">
        <v>4506</v>
      </c>
      <c r="E218" s="102" t="s">
        <v>304</v>
      </c>
      <c r="F218" s="102" t="s">
        <v>305</v>
      </c>
      <c r="G218" s="102" t="s">
        <v>316</v>
      </c>
      <c r="H218" s="102" t="s">
        <v>317</v>
      </c>
      <c r="I218" s="102" t="s">
        <v>648</v>
      </c>
      <c r="J218" s="102" t="s">
        <v>336</v>
      </c>
      <c r="L218" s="229" t="s">
        <v>4507</v>
      </c>
      <c r="M218" s="229" t="s">
        <v>4508</v>
      </c>
      <c r="N218" s="229" t="s">
        <v>4402</v>
      </c>
      <c r="O218" s="230"/>
      <c r="P218" s="102" t="s">
        <v>27</v>
      </c>
      <c r="Q218" s="102" t="s">
        <v>367</v>
      </c>
      <c r="S218" s="230"/>
      <c r="T218" s="230"/>
      <c r="U218" s="230" t="str">
        <f>IF(ISNUMBER(MATCH(B218, 'Sprint 18'!B:B, 0)), "มาจาก Sprint 18", "")</f>
        <v>มาจาก Sprint 18</v>
      </c>
      <c r="V218" s="230" t="str">
        <f t="array" ref="V218">IF(ISNUMBER(MATCH(B218, 'Sprint 18'!B:B, 0)), INDEX('Sprint 18'!J:J, MATCH(B218, 'Sprint 18'!B:B, 0)), "")</f>
        <v>Resolved</v>
      </c>
      <c r="W218" s="230"/>
      <c r="X218" s="102" t="s">
        <v>4150</v>
      </c>
      <c r="Y218" s="102" t="s">
        <v>4005</v>
      </c>
      <c r="Z218" s="230"/>
      <c r="AA218" s="230"/>
      <c r="AB218" s="230"/>
      <c r="AC218" s="230"/>
      <c r="AD218" s="230"/>
      <c r="AE218" s="230"/>
      <c r="AF218" s="230"/>
    </row>
    <row r="219">
      <c r="A219" s="102" t="s">
        <v>276</v>
      </c>
      <c r="B219" s="102" t="s">
        <v>4509</v>
      </c>
      <c r="C219" s="229" t="s">
        <v>4510</v>
      </c>
      <c r="D219" s="102" t="s">
        <v>4511</v>
      </c>
      <c r="E219" s="102" t="s">
        <v>521</v>
      </c>
      <c r="F219" s="102" t="s">
        <v>522</v>
      </c>
      <c r="G219" s="102" t="s">
        <v>521</v>
      </c>
      <c r="H219" s="102" t="s">
        <v>522</v>
      </c>
      <c r="I219" s="102" t="s">
        <v>284</v>
      </c>
      <c r="J219" s="102" t="s">
        <v>63</v>
      </c>
      <c r="L219" s="229" t="s">
        <v>4512</v>
      </c>
      <c r="M219" s="229" t="s">
        <v>4422</v>
      </c>
      <c r="O219" s="230"/>
      <c r="S219" s="230"/>
      <c r="T219" s="230"/>
      <c r="U219" s="230" t="str">
        <f>IF(ISNUMBER(MATCH(B219, 'Sprint 18'!B:B, 0)), "มาจาก Sprint 18", "")</f>
        <v>มาจาก Sprint 18</v>
      </c>
      <c r="V219" s="230" t="str">
        <f t="array" ref="V219">IF(ISNUMBER(MATCH(B219, 'Sprint 18'!B:B, 0)), INDEX('Sprint 18'!J:J, MATCH(B219, 'Sprint 18'!B:B, 0)), "")</f>
        <v>To Do</v>
      </c>
      <c r="W219" s="230"/>
      <c r="X219" s="102" t="s">
        <v>4248</v>
      </c>
      <c r="Y219" s="102" t="s">
        <v>4249</v>
      </c>
      <c r="Z219" s="230"/>
      <c r="AA219" s="230"/>
      <c r="AB219" s="230"/>
      <c r="AC219" s="230"/>
      <c r="AD219" s="230"/>
      <c r="AE219" s="230"/>
      <c r="AF219" s="230"/>
    </row>
    <row r="220">
      <c r="A220" s="102" t="s">
        <v>276</v>
      </c>
      <c r="B220" s="102" t="s">
        <v>4513</v>
      </c>
      <c r="C220" s="229" t="s">
        <v>4514</v>
      </c>
      <c r="D220" s="102" t="s">
        <v>4515</v>
      </c>
      <c r="E220" s="102" t="s">
        <v>521</v>
      </c>
      <c r="F220" s="102" t="s">
        <v>522</v>
      </c>
      <c r="G220" s="102" t="s">
        <v>521</v>
      </c>
      <c r="H220" s="102" t="s">
        <v>522</v>
      </c>
      <c r="I220" s="102" t="s">
        <v>284</v>
      </c>
      <c r="J220" s="102" t="s">
        <v>63</v>
      </c>
      <c r="L220" s="229" t="s">
        <v>4516</v>
      </c>
      <c r="M220" s="229" t="s">
        <v>4422</v>
      </c>
      <c r="O220" s="230"/>
      <c r="S220" s="230"/>
      <c r="T220" s="230"/>
      <c r="U220" s="230" t="str">
        <f>IF(ISNUMBER(MATCH(B220, 'Sprint 18'!B:B, 0)), "มาจาก Sprint 18", "")</f>
        <v>มาจาก Sprint 18</v>
      </c>
      <c r="V220" s="230" t="str">
        <f t="array" ref="V220">IF(ISNUMBER(MATCH(B220, 'Sprint 18'!B:B, 0)), INDEX('Sprint 18'!J:J, MATCH(B220, 'Sprint 18'!B:B, 0)), "")</f>
        <v>To Do</v>
      </c>
      <c r="W220" s="230"/>
      <c r="X220" s="102" t="s">
        <v>4248</v>
      </c>
      <c r="Y220" s="102" t="s">
        <v>4249</v>
      </c>
      <c r="Z220" s="230"/>
      <c r="AA220" s="230"/>
      <c r="AB220" s="230"/>
      <c r="AC220" s="230"/>
      <c r="AD220" s="230"/>
      <c r="AE220" s="230"/>
      <c r="AF220" s="230"/>
    </row>
    <row r="221">
      <c r="A221" s="102" t="s">
        <v>276</v>
      </c>
      <c r="B221" s="102" t="s">
        <v>4517</v>
      </c>
      <c r="C221" s="229" t="s">
        <v>4518</v>
      </c>
      <c r="D221" s="102" t="s">
        <v>4519</v>
      </c>
      <c r="E221" s="102" t="s">
        <v>521</v>
      </c>
      <c r="F221" s="102" t="s">
        <v>522</v>
      </c>
      <c r="G221" s="102" t="s">
        <v>521</v>
      </c>
      <c r="H221" s="102" t="s">
        <v>522</v>
      </c>
      <c r="I221" s="102" t="s">
        <v>284</v>
      </c>
      <c r="J221" s="102" t="s">
        <v>63</v>
      </c>
      <c r="L221" s="229" t="s">
        <v>4520</v>
      </c>
      <c r="M221" s="229" t="s">
        <v>4521</v>
      </c>
      <c r="O221" s="230"/>
      <c r="S221" s="230"/>
      <c r="T221" s="230"/>
      <c r="U221" s="230" t="str">
        <f>IF(ISNUMBER(MATCH(B221, 'Sprint 18'!B:B, 0)), "มาจาก Sprint 18", "")</f>
        <v>มาจาก Sprint 18</v>
      </c>
      <c r="V221" s="230" t="str">
        <f t="array" ref="V221">IF(ISNUMBER(MATCH(B221, 'Sprint 18'!B:B, 0)), INDEX('Sprint 18'!J:J, MATCH(B221, 'Sprint 18'!B:B, 0)), "")</f>
        <v>To Do</v>
      </c>
      <c r="W221" s="230"/>
      <c r="X221" s="102" t="s">
        <v>4248</v>
      </c>
      <c r="Y221" s="102" t="s">
        <v>4249</v>
      </c>
      <c r="Z221" s="230"/>
      <c r="AA221" s="230"/>
      <c r="AB221" s="230"/>
      <c r="AC221" s="230"/>
      <c r="AD221" s="230"/>
      <c r="AE221" s="230"/>
      <c r="AF221" s="230"/>
    </row>
    <row r="222">
      <c r="A222" s="102" t="s">
        <v>276</v>
      </c>
      <c r="B222" s="102" t="s">
        <v>4522</v>
      </c>
      <c r="C222" s="229" t="s">
        <v>4523</v>
      </c>
      <c r="D222" s="102" t="s">
        <v>4524</v>
      </c>
      <c r="E222" s="102" t="s">
        <v>521</v>
      </c>
      <c r="F222" s="102" t="s">
        <v>522</v>
      </c>
      <c r="G222" s="102" t="s">
        <v>521</v>
      </c>
      <c r="H222" s="102" t="s">
        <v>522</v>
      </c>
      <c r="I222" s="102" t="s">
        <v>284</v>
      </c>
      <c r="J222" s="102" t="s">
        <v>63</v>
      </c>
      <c r="L222" s="229" t="s">
        <v>4525</v>
      </c>
      <c r="M222" s="229" t="s">
        <v>4521</v>
      </c>
      <c r="O222" s="230"/>
      <c r="S222" s="230"/>
      <c r="T222" s="230"/>
      <c r="U222" s="230" t="str">
        <f>IF(ISNUMBER(MATCH(B222, 'Sprint 18'!B:B, 0)), "มาจาก Sprint 18", "")</f>
        <v>มาจาก Sprint 18</v>
      </c>
      <c r="V222" s="230" t="str">
        <f t="array" ref="V222">IF(ISNUMBER(MATCH(B222, 'Sprint 18'!B:B, 0)), INDEX('Sprint 18'!J:J, MATCH(B222, 'Sprint 18'!B:B, 0)), "")</f>
        <v>To Do</v>
      </c>
      <c r="W222" s="230"/>
      <c r="X222" s="102" t="s">
        <v>4247</v>
      </c>
      <c r="Y222" s="102" t="s">
        <v>4248</v>
      </c>
      <c r="Z222" s="102" t="s">
        <v>4249</v>
      </c>
      <c r="AA222" s="230"/>
      <c r="AB222" s="230"/>
      <c r="AC222" s="230"/>
      <c r="AD222" s="230"/>
      <c r="AE222" s="230"/>
      <c r="AF222" s="230"/>
    </row>
    <row r="223">
      <c r="A223" s="102" t="s">
        <v>276</v>
      </c>
      <c r="B223" s="102" t="s">
        <v>4526</v>
      </c>
      <c r="C223" s="229" t="s">
        <v>4527</v>
      </c>
      <c r="D223" s="102" t="s">
        <v>4528</v>
      </c>
      <c r="E223" s="102" t="s">
        <v>521</v>
      </c>
      <c r="F223" s="102" t="s">
        <v>522</v>
      </c>
      <c r="G223" s="102" t="s">
        <v>521</v>
      </c>
      <c r="H223" s="102" t="s">
        <v>522</v>
      </c>
      <c r="I223" s="102" t="s">
        <v>284</v>
      </c>
      <c r="J223" s="102" t="s">
        <v>63</v>
      </c>
      <c r="L223" s="229" t="s">
        <v>4529</v>
      </c>
      <c r="M223" s="229" t="s">
        <v>4530</v>
      </c>
      <c r="O223" s="230"/>
      <c r="S223" s="230"/>
      <c r="T223" s="230"/>
      <c r="U223" s="230" t="str">
        <f>IF(ISNUMBER(MATCH(B223, 'Sprint 18'!B:B, 0)), "มาจาก Sprint 18", "")</f>
        <v>มาจาก Sprint 18</v>
      </c>
      <c r="V223" s="230" t="str">
        <f t="array" ref="V223">IF(ISNUMBER(MATCH(B223, 'Sprint 18'!B:B, 0)), INDEX('Sprint 18'!J:J, MATCH(B223, 'Sprint 18'!B:B, 0)), "")</f>
        <v>To Do</v>
      </c>
      <c r="W223" s="230"/>
      <c r="X223" s="102" t="s">
        <v>4247</v>
      </c>
      <c r="Y223" s="102" t="s">
        <v>4248</v>
      </c>
      <c r="Z223" s="102" t="s">
        <v>4249</v>
      </c>
      <c r="AA223" s="230"/>
      <c r="AB223" s="230"/>
      <c r="AC223" s="230"/>
      <c r="AD223" s="230"/>
      <c r="AE223" s="230"/>
      <c r="AF223" s="230"/>
    </row>
    <row r="224">
      <c r="A224" s="102" t="s">
        <v>276</v>
      </c>
      <c r="B224" s="102" t="s">
        <v>4531</v>
      </c>
      <c r="C224" s="229" t="s">
        <v>4532</v>
      </c>
      <c r="D224" s="102" t="s">
        <v>4533</v>
      </c>
      <c r="E224" s="102" t="s">
        <v>521</v>
      </c>
      <c r="F224" s="102" t="s">
        <v>522</v>
      </c>
      <c r="G224" s="102" t="s">
        <v>521</v>
      </c>
      <c r="H224" s="102" t="s">
        <v>522</v>
      </c>
      <c r="I224" s="102" t="s">
        <v>284</v>
      </c>
      <c r="J224" s="102" t="s">
        <v>63</v>
      </c>
      <c r="L224" s="229" t="s">
        <v>4534</v>
      </c>
      <c r="M224" s="229" t="s">
        <v>4535</v>
      </c>
      <c r="O224" s="230"/>
      <c r="S224" s="230"/>
      <c r="T224" s="230"/>
      <c r="U224" s="230" t="str">
        <f>IF(ISNUMBER(MATCH(B224, 'Sprint 18'!B:B, 0)), "มาจาก Sprint 18", "")</f>
        <v>มาจาก Sprint 18</v>
      </c>
      <c r="V224" s="230" t="str">
        <f t="array" ref="V224">IF(ISNUMBER(MATCH(B224, 'Sprint 18'!B:B, 0)), INDEX('Sprint 18'!J:J, MATCH(B224, 'Sprint 18'!B:B, 0)), "")</f>
        <v>To Do</v>
      </c>
      <c r="W224" s="230"/>
      <c r="X224" s="102" t="s">
        <v>4247</v>
      </c>
      <c r="Y224" s="102" t="s">
        <v>4248</v>
      </c>
      <c r="Z224" s="102" t="s">
        <v>4249</v>
      </c>
      <c r="AA224" s="230"/>
      <c r="AB224" s="230"/>
      <c r="AC224" s="230"/>
      <c r="AD224" s="230"/>
      <c r="AE224" s="230"/>
      <c r="AF224" s="230"/>
    </row>
    <row r="225">
      <c r="A225" s="102" t="s">
        <v>276</v>
      </c>
      <c r="B225" s="102" t="s">
        <v>4536</v>
      </c>
      <c r="C225" s="229" t="s">
        <v>4537</v>
      </c>
      <c r="D225" s="102" t="s">
        <v>4538</v>
      </c>
      <c r="E225" s="102" t="s">
        <v>521</v>
      </c>
      <c r="F225" s="102" t="s">
        <v>522</v>
      </c>
      <c r="G225" s="102" t="s">
        <v>521</v>
      </c>
      <c r="H225" s="102" t="s">
        <v>522</v>
      </c>
      <c r="I225" s="102" t="s">
        <v>284</v>
      </c>
      <c r="J225" s="102" t="s">
        <v>63</v>
      </c>
      <c r="L225" s="229" t="s">
        <v>4539</v>
      </c>
      <c r="M225" s="229" t="s">
        <v>4539</v>
      </c>
      <c r="O225" s="230"/>
      <c r="S225" s="230"/>
      <c r="T225" s="230"/>
      <c r="U225" s="230" t="str">
        <f>IF(ISNUMBER(MATCH(B225, 'Sprint 18'!B:B, 0)), "มาจาก Sprint 18", "")</f>
        <v>มาจาก Sprint 18</v>
      </c>
      <c r="V225" s="230" t="str">
        <f t="array" ref="V225">IF(ISNUMBER(MATCH(B225, 'Sprint 18'!B:B, 0)), INDEX('Sprint 18'!J:J, MATCH(B225, 'Sprint 18'!B:B, 0)), "")</f>
        <v>To Do</v>
      </c>
      <c r="W225" s="230"/>
      <c r="X225" s="102" t="s">
        <v>4248</v>
      </c>
      <c r="Y225" s="102" t="s">
        <v>4249</v>
      </c>
      <c r="Z225" s="230"/>
      <c r="AA225" s="230"/>
      <c r="AB225" s="230"/>
      <c r="AC225" s="230"/>
      <c r="AD225" s="230"/>
      <c r="AE225" s="230"/>
      <c r="AF225" s="230"/>
    </row>
    <row r="226">
      <c r="A226" s="102" t="s">
        <v>276</v>
      </c>
      <c r="B226" s="102" t="s">
        <v>4540</v>
      </c>
      <c r="C226" s="229" t="s">
        <v>4541</v>
      </c>
      <c r="D226" s="102" t="s">
        <v>4542</v>
      </c>
      <c r="E226" s="102" t="s">
        <v>521</v>
      </c>
      <c r="F226" s="102" t="s">
        <v>522</v>
      </c>
      <c r="G226" s="102" t="s">
        <v>521</v>
      </c>
      <c r="H226" s="102" t="s">
        <v>522</v>
      </c>
      <c r="I226" s="102" t="s">
        <v>284</v>
      </c>
      <c r="J226" s="102" t="s">
        <v>63</v>
      </c>
      <c r="L226" s="229" t="s">
        <v>4543</v>
      </c>
      <c r="M226" s="229" t="s">
        <v>4516</v>
      </c>
      <c r="O226" s="230"/>
      <c r="S226" s="230"/>
      <c r="T226" s="230"/>
      <c r="U226" s="230" t="str">
        <f>IF(ISNUMBER(MATCH(B226, 'Sprint 18'!B:B, 0)), "มาจาก Sprint 18", "")</f>
        <v>มาจาก Sprint 18</v>
      </c>
      <c r="V226" s="230" t="str">
        <f t="array" ref="V226">IF(ISNUMBER(MATCH(B226, 'Sprint 18'!B:B, 0)), INDEX('Sprint 18'!J:J, MATCH(B226, 'Sprint 18'!B:B, 0)), "")</f>
        <v>To Do</v>
      </c>
      <c r="W226" s="230"/>
      <c r="X226" s="102" t="s">
        <v>4248</v>
      </c>
      <c r="Y226" s="102" t="s">
        <v>4249</v>
      </c>
      <c r="Z226" s="230"/>
      <c r="AA226" s="230"/>
      <c r="AB226" s="230"/>
      <c r="AC226" s="230"/>
      <c r="AD226" s="230"/>
      <c r="AE226" s="230"/>
      <c r="AF226" s="230"/>
    </row>
    <row r="227">
      <c r="A227" s="102" t="s">
        <v>276</v>
      </c>
      <c r="B227" s="102" t="s">
        <v>4544</v>
      </c>
      <c r="C227" s="229" t="s">
        <v>4545</v>
      </c>
      <c r="D227" s="102" t="s">
        <v>4546</v>
      </c>
      <c r="E227" s="102" t="s">
        <v>521</v>
      </c>
      <c r="F227" s="102" t="s">
        <v>522</v>
      </c>
      <c r="G227" s="102" t="s">
        <v>521</v>
      </c>
      <c r="H227" s="102" t="s">
        <v>522</v>
      </c>
      <c r="I227" s="102" t="s">
        <v>284</v>
      </c>
      <c r="J227" s="102" t="s">
        <v>26</v>
      </c>
      <c r="L227" s="229" t="s">
        <v>3057</v>
      </c>
      <c r="M227" s="229" t="s">
        <v>4547</v>
      </c>
      <c r="O227" s="230"/>
      <c r="S227" s="230"/>
      <c r="T227" s="230"/>
      <c r="U227" s="230" t="str">
        <f>IF(ISNUMBER(MATCH(B227, 'Sprint 18'!B:B, 0)), "มาจาก Sprint 18", "")</f>
        <v>มาจาก Sprint 18</v>
      </c>
      <c r="V227" s="230" t="str">
        <f t="array" ref="V227">IF(ISNUMBER(MATCH(B227, 'Sprint 18'!B:B, 0)), INDEX('Sprint 18'!J:J, MATCH(B227, 'Sprint 18'!B:B, 0)), "")</f>
        <v>To Do</v>
      </c>
      <c r="W227" s="230"/>
      <c r="X227" s="102" t="s">
        <v>4248</v>
      </c>
      <c r="Y227" s="102" t="s">
        <v>4249</v>
      </c>
      <c r="Z227" s="230"/>
      <c r="AA227" s="230"/>
      <c r="AB227" s="230"/>
      <c r="AC227" s="230"/>
      <c r="AD227" s="230"/>
      <c r="AE227" s="230"/>
      <c r="AF227" s="230"/>
    </row>
    <row r="228">
      <c r="A228" s="102" t="s">
        <v>276</v>
      </c>
      <c r="B228" s="102" t="s">
        <v>4548</v>
      </c>
      <c r="C228" s="229" t="s">
        <v>4549</v>
      </c>
      <c r="D228" s="102" t="s">
        <v>4550</v>
      </c>
      <c r="E228" s="102" t="s">
        <v>521</v>
      </c>
      <c r="F228" s="102" t="s">
        <v>522</v>
      </c>
      <c r="G228" s="102" t="s">
        <v>521</v>
      </c>
      <c r="H228" s="102" t="s">
        <v>522</v>
      </c>
      <c r="I228" s="102" t="s">
        <v>284</v>
      </c>
      <c r="J228" s="102" t="s">
        <v>63</v>
      </c>
      <c r="L228" s="229" t="s">
        <v>4551</v>
      </c>
      <c r="M228" s="229" t="s">
        <v>4521</v>
      </c>
      <c r="O228" s="230"/>
      <c r="S228" s="230"/>
      <c r="T228" s="230"/>
      <c r="U228" s="230" t="str">
        <f>IF(ISNUMBER(MATCH(B228, 'Sprint 18'!B:B, 0)), "มาจาก Sprint 18", "")</f>
        <v>มาจาก Sprint 18</v>
      </c>
      <c r="V228" s="230" t="str">
        <f t="array" ref="V228">IF(ISNUMBER(MATCH(B228, 'Sprint 18'!B:B, 0)), INDEX('Sprint 18'!J:J, MATCH(B228, 'Sprint 18'!B:B, 0)), "")</f>
        <v>To Do</v>
      </c>
      <c r="W228" s="230"/>
      <c r="X228" s="102" t="s">
        <v>4247</v>
      </c>
      <c r="Y228" s="102" t="s">
        <v>4248</v>
      </c>
      <c r="Z228" s="102" t="s">
        <v>4249</v>
      </c>
      <c r="AA228" s="230"/>
      <c r="AB228" s="230"/>
      <c r="AC228" s="230"/>
      <c r="AD228" s="230"/>
      <c r="AE228" s="230"/>
      <c r="AF228" s="230"/>
    </row>
    <row r="229">
      <c r="A229" s="102" t="s">
        <v>276</v>
      </c>
      <c r="B229" s="102" t="s">
        <v>4552</v>
      </c>
      <c r="C229" s="229" t="s">
        <v>4553</v>
      </c>
      <c r="D229" s="102" t="s">
        <v>4554</v>
      </c>
      <c r="E229" s="102" t="s">
        <v>521</v>
      </c>
      <c r="F229" s="102" t="s">
        <v>522</v>
      </c>
      <c r="G229" s="102" t="s">
        <v>521</v>
      </c>
      <c r="H229" s="102" t="s">
        <v>522</v>
      </c>
      <c r="I229" s="102" t="s">
        <v>284</v>
      </c>
      <c r="J229" s="102" t="s">
        <v>34</v>
      </c>
      <c r="L229" s="229" t="s">
        <v>4555</v>
      </c>
      <c r="M229" s="229" t="s">
        <v>4556</v>
      </c>
      <c r="O229" s="230"/>
      <c r="S229" s="230"/>
      <c r="T229" s="230"/>
      <c r="U229" s="230" t="str">
        <f>IF(ISNUMBER(MATCH(B229, 'Sprint 18'!B:B, 0)), "มาจาก Sprint 18", "")</f>
        <v>มาจาก Sprint 18</v>
      </c>
      <c r="V229" s="230" t="str">
        <f t="array" ref="V229">IF(ISNUMBER(MATCH(B229, 'Sprint 18'!B:B, 0)), INDEX('Sprint 18'!J:J, MATCH(B229, 'Sprint 18'!B:B, 0)), "")</f>
        <v>To Do</v>
      </c>
      <c r="W229" s="230"/>
      <c r="X229" s="102" t="s">
        <v>4247</v>
      </c>
      <c r="Y229" s="102" t="s">
        <v>4248</v>
      </c>
      <c r="Z229" s="102" t="s">
        <v>4249</v>
      </c>
      <c r="AA229" s="230"/>
      <c r="AB229" s="230"/>
      <c r="AC229" s="230"/>
      <c r="AD229" s="230"/>
      <c r="AE229" s="230"/>
      <c r="AF229" s="230"/>
    </row>
    <row r="230">
      <c r="A230" s="102" t="s">
        <v>276</v>
      </c>
      <c r="B230" s="102" t="s">
        <v>4557</v>
      </c>
      <c r="C230" s="229" t="s">
        <v>4558</v>
      </c>
      <c r="D230" s="102" t="s">
        <v>4559</v>
      </c>
      <c r="E230" s="102" t="s">
        <v>521</v>
      </c>
      <c r="F230" s="102" t="s">
        <v>522</v>
      </c>
      <c r="G230" s="102" t="s">
        <v>521</v>
      </c>
      <c r="H230" s="102" t="s">
        <v>522</v>
      </c>
      <c r="I230" s="102" t="s">
        <v>284</v>
      </c>
      <c r="J230" s="102" t="s">
        <v>26</v>
      </c>
      <c r="L230" s="229" t="s">
        <v>4560</v>
      </c>
      <c r="M230" s="229" t="s">
        <v>4561</v>
      </c>
      <c r="O230" s="230"/>
      <c r="S230" s="230"/>
      <c r="T230" s="230"/>
      <c r="U230" s="230" t="str">
        <f>IF(ISNUMBER(MATCH(B230, 'Sprint 18'!B:B, 0)), "มาจาก Sprint 18", "")</f>
        <v>มาจาก Sprint 18</v>
      </c>
      <c r="V230" s="230" t="str">
        <f t="array" ref="V230">IF(ISNUMBER(MATCH(B230, 'Sprint 18'!B:B, 0)), INDEX('Sprint 18'!J:J, MATCH(B230, 'Sprint 18'!B:B, 0)), "")</f>
        <v>To Do</v>
      </c>
      <c r="W230" s="230"/>
      <c r="X230" s="102" t="s">
        <v>4247</v>
      </c>
      <c r="Y230" s="102" t="s">
        <v>4248</v>
      </c>
      <c r="Z230" s="102" t="s">
        <v>4249</v>
      </c>
      <c r="AA230" s="230"/>
      <c r="AB230" s="230"/>
      <c r="AC230" s="230"/>
      <c r="AD230" s="230"/>
      <c r="AE230" s="230"/>
      <c r="AF230" s="230"/>
    </row>
    <row r="231">
      <c r="A231" s="102" t="s">
        <v>310</v>
      </c>
      <c r="B231" s="102" t="s">
        <v>4562</v>
      </c>
      <c r="C231" s="229" t="s">
        <v>4563</v>
      </c>
      <c r="D231" s="102" t="s">
        <v>4564</v>
      </c>
      <c r="E231" s="102" t="s">
        <v>513</v>
      </c>
      <c r="F231" s="102" t="s">
        <v>514</v>
      </c>
      <c r="G231" s="102" t="s">
        <v>513</v>
      </c>
      <c r="H231" s="102" t="s">
        <v>514</v>
      </c>
      <c r="I231" s="102" t="s">
        <v>1921</v>
      </c>
      <c r="J231" s="102" t="s">
        <v>26</v>
      </c>
      <c r="L231" s="229" t="s">
        <v>4565</v>
      </c>
      <c r="M231" s="229" t="s">
        <v>4415</v>
      </c>
      <c r="O231" s="102">
        <v>5.0</v>
      </c>
      <c r="P231" s="102" t="s">
        <v>593</v>
      </c>
      <c r="S231" s="230"/>
      <c r="T231" s="102">
        <v>43200.0</v>
      </c>
      <c r="U231" s="230" t="str">
        <f>IF(ISNUMBER(MATCH(B231, 'Sprint 18'!B:B, 0)), "มาจาก Sprint 18", "")</f>
        <v>มาจาก Sprint 18</v>
      </c>
      <c r="V231" s="230" t="str">
        <f t="array" ref="V231">IF(ISNUMBER(MATCH(B231, 'Sprint 18'!B:B, 0)), INDEX('Sprint 18'!J:J, MATCH(B231, 'Sprint 18'!B:B, 0)), "")</f>
        <v>In Progress</v>
      </c>
      <c r="W231" s="102" t="s">
        <v>3434</v>
      </c>
      <c r="X231" s="102" t="s">
        <v>4566</v>
      </c>
      <c r="Y231" s="102" t="s">
        <v>4567</v>
      </c>
      <c r="Z231" s="102" t="s">
        <v>4416</v>
      </c>
      <c r="AA231" s="230"/>
      <c r="AB231" s="230"/>
      <c r="AC231" s="230"/>
      <c r="AD231" s="230"/>
      <c r="AE231" s="230"/>
      <c r="AF231" s="230"/>
    </row>
    <row r="232">
      <c r="A232" s="102" t="s">
        <v>310</v>
      </c>
      <c r="B232" s="102" t="s">
        <v>4217</v>
      </c>
      <c r="C232" s="229" t="s">
        <v>4218</v>
      </c>
      <c r="D232" s="102" t="s">
        <v>4219</v>
      </c>
      <c r="E232" s="102" t="s">
        <v>564</v>
      </c>
      <c r="F232" s="102" t="s">
        <v>565</v>
      </c>
      <c r="G232" s="102" t="s">
        <v>353</v>
      </c>
      <c r="H232" s="102" t="s">
        <v>354</v>
      </c>
      <c r="I232" s="102" t="s">
        <v>284</v>
      </c>
      <c r="J232" s="102" t="s">
        <v>678</v>
      </c>
      <c r="L232" s="229" t="s">
        <v>4220</v>
      </c>
      <c r="M232" s="229" t="s">
        <v>4494</v>
      </c>
      <c r="N232" s="229" t="s">
        <v>4222</v>
      </c>
      <c r="O232" s="102">
        <v>2.0</v>
      </c>
      <c r="S232" s="230"/>
      <c r="T232" s="102">
        <v>0.0</v>
      </c>
      <c r="U232" s="230" t="str">
        <f>IF(ISNUMBER(MATCH(B232, 'Sprint 18'!B:B, 0)), "มาจาก Sprint 18", "")</f>
        <v>มาจาก Sprint 18</v>
      </c>
      <c r="V232" s="230" t="str">
        <f t="array" ref="V232">IF(ISNUMBER(MATCH(B232, 'Sprint 18'!B:B, 0)), INDEX('Sprint 18'!J:J, MATCH(B232, 'Sprint 18'!B:B, 0)), "")</f>
        <v>Ready to Staging</v>
      </c>
      <c r="W232" s="102">
        <v>10800.0</v>
      </c>
      <c r="X232" s="102" t="s">
        <v>3035</v>
      </c>
      <c r="Y232" s="102" t="s">
        <v>3036</v>
      </c>
      <c r="Z232" s="102" t="s">
        <v>3037</v>
      </c>
      <c r="AA232" s="230"/>
      <c r="AB232" s="230"/>
      <c r="AC232" s="230"/>
      <c r="AD232" s="230"/>
      <c r="AE232" s="230"/>
      <c r="AF232" s="230"/>
    </row>
    <row r="233">
      <c r="A233" s="102" t="s">
        <v>310</v>
      </c>
      <c r="B233" s="102" t="s">
        <v>4223</v>
      </c>
      <c r="C233" s="229" t="s">
        <v>4224</v>
      </c>
      <c r="D233" s="102" t="s">
        <v>4225</v>
      </c>
      <c r="E233" s="102" t="s">
        <v>564</v>
      </c>
      <c r="F233" s="102" t="s">
        <v>565</v>
      </c>
      <c r="G233" s="102" t="s">
        <v>353</v>
      </c>
      <c r="H233" s="102" t="s">
        <v>354</v>
      </c>
      <c r="I233" s="102" t="s">
        <v>284</v>
      </c>
      <c r="J233" s="102" t="s">
        <v>678</v>
      </c>
      <c r="L233" s="229" t="s">
        <v>4226</v>
      </c>
      <c r="M233" s="229" t="s">
        <v>4494</v>
      </c>
      <c r="N233" s="229" t="s">
        <v>4222</v>
      </c>
      <c r="O233" s="102">
        <v>2.0</v>
      </c>
      <c r="S233" s="230"/>
      <c r="T233" s="102">
        <v>0.0</v>
      </c>
      <c r="U233" s="230" t="str">
        <f>IF(ISNUMBER(MATCH(B233, 'Sprint 18'!B:B, 0)), "มาจาก Sprint 18", "")</f>
        <v>มาจาก Sprint 18</v>
      </c>
      <c r="V233" s="230" t="str">
        <f t="array" ref="V233">IF(ISNUMBER(MATCH(B233, 'Sprint 18'!B:B, 0)), INDEX('Sprint 18'!J:J, MATCH(B233, 'Sprint 18'!B:B, 0)), "")</f>
        <v>Ready to Staging</v>
      </c>
      <c r="W233" s="102">
        <v>14400.0</v>
      </c>
      <c r="X233" s="102" t="s">
        <v>3035</v>
      </c>
      <c r="Y233" s="102" t="s">
        <v>3036</v>
      </c>
      <c r="Z233" s="102" t="s">
        <v>3037</v>
      </c>
      <c r="AA233" s="230"/>
      <c r="AB233" s="230"/>
      <c r="AC233" s="230"/>
      <c r="AD233" s="230"/>
      <c r="AE233" s="230"/>
      <c r="AF233" s="230"/>
    </row>
    <row r="234">
      <c r="A234" s="102" t="s">
        <v>310</v>
      </c>
      <c r="B234" s="102" t="s">
        <v>4227</v>
      </c>
      <c r="C234" s="229" t="s">
        <v>4228</v>
      </c>
      <c r="D234" s="102" t="s">
        <v>4229</v>
      </c>
      <c r="E234" s="102" t="s">
        <v>556</v>
      </c>
      <c r="F234" s="102" t="s">
        <v>557</v>
      </c>
      <c r="G234" s="102" t="s">
        <v>353</v>
      </c>
      <c r="H234" s="102" t="s">
        <v>354</v>
      </c>
      <c r="I234" s="102" t="s">
        <v>284</v>
      </c>
      <c r="J234" s="102" t="s">
        <v>678</v>
      </c>
      <c r="L234" s="229" t="s">
        <v>4230</v>
      </c>
      <c r="M234" s="229" t="s">
        <v>4568</v>
      </c>
      <c r="O234" s="102">
        <v>3.0</v>
      </c>
      <c r="S234" s="230"/>
      <c r="T234" s="102">
        <v>28800.0</v>
      </c>
      <c r="U234" s="230" t="str">
        <f>IF(ISNUMBER(MATCH(B234, 'Sprint 18'!B:B, 0)), "มาจาก Sprint 18", "")</f>
        <v/>
      </c>
      <c r="V234" s="230" t="str">
        <f t="array" ref="V234">IF(ISNUMBER(MATCH(B234, 'Sprint 18'!B:B, 0)), INDEX('Sprint 18'!J:J, MATCH(B234, 'Sprint 18'!B:B, 0)), "")</f>
        <v/>
      </c>
      <c r="W234" s="102"/>
      <c r="X234" s="102" t="s">
        <v>3037</v>
      </c>
      <c r="Y234" s="230"/>
      <c r="Z234" s="230"/>
      <c r="AA234" s="230"/>
      <c r="AB234" s="230"/>
      <c r="AC234" s="230"/>
      <c r="AD234" s="230"/>
      <c r="AE234" s="230"/>
      <c r="AF234" s="230"/>
    </row>
    <row r="235">
      <c r="A235" s="102" t="s">
        <v>310</v>
      </c>
      <c r="B235" s="102" t="s">
        <v>4231</v>
      </c>
      <c r="C235" s="229" t="s">
        <v>4232</v>
      </c>
      <c r="D235" s="102" t="s">
        <v>4233</v>
      </c>
      <c r="E235" s="102" t="s">
        <v>495</v>
      </c>
      <c r="F235" s="102" t="s">
        <v>496</v>
      </c>
      <c r="G235" s="102" t="s">
        <v>353</v>
      </c>
      <c r="H235" s="102" t="s">
        <v>354</v>
      </c>
      <c r="I235" s="102" t="s">
        <v>284</v>
      </c>
      <c r="J235" s="102" t="s">
        <v>678</v>
      </c>
      <c r="L235" s="229" t="s">
        <v>4234</v>
      </c>
      <c r="M235" s="229" t="s">
        <v>4494</v>
      </c>
      <c r="O235" s="102">
        <v>1.0</v>
      </c>
      <c r="S235" s="230"/>
      <c r="T235" s="102">
        <v>0.0</v>
      </c>
      <c r="U235" s="230" t="str">
        <f>IF(ISNUMBER(MATCH(B235, 'Sprint 18'!B:B, 0)), "มาจาก Sprint 18", "")</f>
        <v>มาจาก Sprint 18</v>
      </c>
      <c r="V235" s="230" t="str">
        <f t="array" ref="V235">IF(ISNUMBER(MATCH(B235, 'Sprint 18'!B:B, 0)), INDEX('Sprint 18'!J:J, MATCH(B235, 'Sprint 18'!B:B, 0)), "")</f>
        <v>Ready to Staging</v>
      </c>
      <c r="W235" s="102">
        <v>14400.0</v>
      </c>
      <c r="X235" s="102" t="s">
        <v>3035</v>
      </c>
      <c r="Y235" s="102" t="s">
        <v>3036</v>
      </c>
      <c r="Z235" s="102" t="s">
        <v>3037</v>
      </c>
      <c r="AA235" s="230"/>
      <c r="AB235" s="230"/>
      <c r="AC235" s="230"/>
      <c r="AD235" s="230"/>
      <c r="AE235" s="230"/>
      <c r="AF235" s="230"/>
    </row>
    <row r="236">
      <c r="A236" s="102" t="s">
        <v>310</v>
      </c>
      <c r="B236" s="102" t="s">
        <v>3031</v>
      </c>
      <c r="C236" s="229" t="s">
        <v>3032</v>
      </c>
      <c r="D236" s="102" t="s">
        <v>3033</v>
      </c>
      <c r="E236" s="102" t="s">
        <v>495</v>
      </c>
      <c r="F236" s="102" t="s">
        <v>496</v>
      </c>
      <c r="G236" s="102" t="s">
        <v>353</v>
      </c>
      <c r="H236" s="102" t="s">
        <v>354</v>
      </c>
      <c r="I236" s="102" t="s">
        <v>284</v>
      </c>
      <c r="J236" s="102" t="s">
        <v>678</v>
      </c>
      <c r="L236" s="229" t="s">
        <v>3034</v>
      </c>
      <c r="M236" s="229" t="s">
        <v>4494</v>
      </c>
      <c r="O236" s="102">
        <v>3.0</v>
      </c>
      <c r="S236" s="230"/>
      <c r="T236" s="102">
        <v>0.0</v>
      </c>
      <c r="U236" s="230" t="str">
        <f>IF(ISNUMBER(MATCH(B236, 'Sprint 18'!B:B, 0)), "มาจาก Sprint 18", "")</f>
        <v>มาจาก Sprint 18</v>
      </c>
      <c r="V236" s="230" t="str">
        <f t="array" ref="V236">IF(ISNUMBER(MATCH(B236, 'Sprint 18'!B:B, 0)), INDEX('Sprint 18'!J:J, MATCH(B236, 'Sprint 18'!B:B, 0)), "")</f>
        <v>Ready to Staging</v>
      </c>
      <c r="W236" s="102">
        <v>28800.0</v>
      </c>
      <c r="X236" s="102" t="s">
        <v>3035</v>
      </c>
      <c r="Y236" s="102" t="s">
        <v>3036</v>
      </c>
      <c r="Z236" s="102" t="s">
        <v>3037</v>
      </c>
      <c r="AA236" s="230"/>
      <c r="AB236" s="230"/>
      <c r="AC236" s="230"/>
      <c r="AD236" s="230"/>
      <c r="AE236" s="230"/>
      <c r="AF236" s="230"/>
    </row>
    <row r="237">
      <c r="A237" s="102" t="s">
        <v>276</v>
      </c>
      <c r="B237" s="102" t="s">
        <v>4569</v>
      </c>
      <c r="C237" s="229" t="s">
        <v>4570</v>
      </c>
      <c r="D237" s="102" t="s">
        <v>4571</v>
      </c>
      <c r="E237" s="102" t="s">
        <v>521</v>
      </c>
      <c r="F237" s="102" t="s">
        <v>522</v>
      </c>
      <c r="G237" s="102" t="s">
        <v>521</v>
      </c>
      <c r="H237" s="102" t="s">
        <v>522</v>
      </c>
      <c r="I237" s="102" t="s">
        <v>284</v>
      </c>
      <c r="J237" s="102" t="s">
        <v>26</v>
      </c>
      <c r="L237" s="229" t="s">
        <v>4572</v>
      </c>
      <c r="M237" s="229" t="s">
        <v>4573</v>
      </c>
      <c r="O237" s="230"/>
      <c r="S237" s="230"/>
      <c r="T237" s="230"/>
      <c r="U237" s="230" t="str">
        <f>IF(ISNUMBER(MATCH(B237, 'Sprint 18'!B:B, 0)), "มาจาก Sprint 18", "")</f>
        <v>มาจาก Sprint 18</v>
      </c>
      <c r="V237" s="230" t="str">
        <f t="array" ref="V237">IF(ISNUMBER(MATCH(B237, 'Sprint 18'!B:B, 0)), INDEX('Sprint 18'!J:J, MATCH(B237, 'Sprint 18'!B:B, 0)), "")</f>
        <v>To Do</v>
      </c>
      <c r="W237" s="230"/>
      <c r="X237" s="102" t="s">
        <v>4247</v>
      </c>
      <c r="Y237" s="102" t="s">
        <v>4248</v>
      </c>
      <c r="Z237" s="102" t="s">
        <v>4249</v>
      </c>
      <c r="AA237" s="230"/>
      <c r="AB237" s="230"/>
      <c r="AC237" s="230"/>
      <c r="AD237" s="230"/>
      <c r="AE237" s="230"/>
      <c r="AF237" s="230"/>
    </row>
    <row r="238">
      <c r="A238" s="102" t="s">
        <v>276</v>
      </c>
      <c r="B238" s="102" t="s">
        <v>4574</v>
      </c>
      <c r="C238" s="229" t="s">
        <v>4575</v>
      </c>
      <c r="D238" s="102" t="s">
        <v>4576</v>
      </c>
      <c r="E238" s="102" t="s">
        <v>521</v>
      </c>
      <c r="F238" s="102" t="s">
        <v>522</v>
      </c>
      <c r="G238" s="102" t="s">
        <v>521</v>
      </c>
      <c r="H238" s="102" t="s">
        <v>522</v>
      </c>
      <c r="I238" s="102" t="s">
        <v>284</v>
      </c>
      <c r="J238" s="102" t="s">
        <v>26</v>
      </c>
      <c r="L238" s="229" t="s">
        <v>4572</v>
      </c>
      <c r="M238" s="229" t="s">
        <v>4577</v>
      </c>
      <c r="O238" s="230"/>
      <c r="S238" s="230"/>
      <c r="T238" s="230"/>
      <c r="U238" s="230" t="str">
        <f>IF(ISNUMBER(MATCH(B238, 'Sprint 18'!B:B, 0)), "มาจาก Sprint 18", "")</f>
        <v>มาจาก Sprint 18</v>
      </c>
      <c r="V238" s="230" t="str">
        <f t="array" ref="V238">IF(ISNUMBER(MATCH(B238, 'Sprint 18'!B:B, 0)), INDEX('Sprint 18'!J:J, MATCH(B238, 'Sprint 18'!B:B, 0)), "")</f>
        <v>Done</v>
      </c>
      <c r="W238" s="230"/>
      <c r="X238" s="102" t="s">
        <v>4247</v>
      </c>
      <c r="Y238" s="102" t="s">
        <v>4248</v>
      </c>
      <c r="Z238" s="102" t="s">
        <v>4249</v>
      </c>
      <c r="AA238" s="230"/>
      <c r="AB238" s="230"/>
      <c r="AC238" s="230"/>
      <c r="AD238" s="230"/>
      <c r="AE238" s="230"/>
      <c r="AF238" s="230"/>
    </row>
    <row r="239">
      <c r="A239" s="102" t="s">
        <v>276</v>
      </c>
      <c r="B239" s="102" t="s">
        <v>4578</v>
      </c>
      <c r="C239" s="229" t="s">
        <v>4579</v>
      </c>
      <c r="D239" s="102" t="s">
        <v>4580</v>
      </c>
      <c r="E239" s="102" t="s">
        <v>521</v>
      </c>
      <c r="F239" s="102" t="s">
        <v>522</v>
      </c>
      <c r="G239" s="102" t="s">
        <v>521</v>
      </c>
      <c r="H239" s="102" t="s">
        <v>522</v>
      </c>
      <c r="I239" s="102" t="s">
        <v>284</v>
      </c>
      <c r="J239" s="102" t="s">
        <v>26</v>
      </c>
      <c r="L239" s="229" t="s">
        <v>4581</v>
      </c>
      <c r="M239" s="229" t="s">
        <v>4582</v>
      </c>
      <c r="O239" s="230"/>
      <c r="S239" s="230"/>
      <c r="T239" s="230"/>
      <c r="U239" s="230" t="str">
        <f>IF(ISNUMBER(MATCH(B239, 'Sprint 18'!B:B, 0)), "มาจาก Sprint 18", "")</f>
        <v>มาจาก Sprint 18</v>
      </c>
      <c r="V239" s="230" t="str">
        <f t="array" ref="V239">IF(ISNUMBER(MATCH(B239, 'Sprint 18'!B:B, 0)), INDEX('Sprint 18'!J:J, MATCH(B239, 'Sprint 18'!B:B, 0)), "")</f>
        <v>Done</v>
      </c>
      <c r="W239" s="230"/>
      <c r="X239" s="102" t="s">
        <v>4247</v>
      </c>
      <c r="Y239" s="102" t="s">
        <v>4248</v>
      </c>
      <c r="Z239" s="102" t="s">
        <v>4249</v>
      </c>
      <c r="AA239" s="230"/>
      <c r="AB239" s="230"/>
      <c r="AC239" s="230"/>
      <c r="AD239" s="230"/>
      <c r="AE239" s="230"/>
      <c r="AF239" s="230"/>
    </row>
    <row r="240">
      <c r="A240" s="102" t="s">
        <v>276</v>
      </c>
      <c r="B240" s="102" t="s">
        <v>4583</v>
      </c>
      <c r="C240" s="229" t="s">
        <v>4584</v>
      </c>
      <c r="D240" s="102" t="s">
        <v>4585</v>
      </c>
      <c r="E240" s="102" t="s">
        <v>521</v>
      </c>
      <c r="F240" s="102" t="s">
        <v>522</v>
      </c>
      <c r="G240" s="102" t="s">
        <v>521</v>
      </c>
      <c r="H240" s="102" t="s">
        <v>522</v>
      </c>
      <c r="I240" s="102" t="s">
        <v>284</v>
      </c>
      <c r="J240" s="102" t="s">
        <v>26</v>
      </c>
      <c r="L240" s="229" t="s">
        <v>4586</v>
      </c>
      <c r="M240" s="229" t="s">
        <v>4587</v>
      </c>
      <c r="O240" s="230"/>
      <c r="S240" s="230"/>
      <c r="T240" s="230"/>
      <c r="U240" s="230" t="str">
        <f>IF(ISNUMBER(MATCH(B240, 'Sprint 18'!B:B, 0)), "มาจาก Sprint 18", "")</f>
        <v>มาจาก Sprint 18</v>
      </c>
      <c r="V240" s="230" t="str">
        <f t="array" ref="V240">IF(ISNUMBER(MATCH(B240, 'Sprint 18'!B:B, 0)), INDEX('Sprint 18'!J:J, MATCH(B240, 'Sprint 18'!B:B, 0)), "")</f>
        <v>In Progress</v>
      </c>
      <c r="W240" s="230"/>
      <c r="X240" s="102" t="s">
        <v>4247</v>
      </c>
      <c r="Y240" s="102" t="s">
        <v>4248</v>
      </c>
      <c r="Z240" s="102" t="s">
        <v>4249</v>
      </c>
      <c r="AA240" s="230"/>
      <c r="AB240" s="230"/>
      <c r="AC240" s="230"/>
      <c r="AD240" s="230"/>
      <c r="AE240" s="230"/>
      <c r="AF240" s="230"/>
    </row>
    <row r="241">
      <c r="A241" s="102" t="s">
        <v>276</v>
      </c>
      <c r="B241" s="102" t="s">
        <v>4588</v>
      </c>
      <c r="C241" s="229" t="s">
        <v>4589</v>
      </c>
      <c r="D241" s="102" t="s">
        <v>4590</v>
      </c>
      <c r="E241" s="102" t="s">
        <v>521</v>
      </c>
      <c r="F241" s="102" t="s">
        <v>522</v>
      </c>
      <c r="G241" s="102" t="s">
        <v>521</v>
      </c>
      <c r="H241" s="102" t="s">
        <v>522</v>
      </c>
      <c r="I241" s="102" t="s">
        <v>284</v>
      </c>
      <c r="J241" s="102" t="s">
        <v>26</v>
      </c>
      <c r="L241" s="229" t="s">
        <v>4591</v>
      </c>
      <c r="M241" s="229" t="s">
        <v>4587</v>
      </c>
      <c r="O241" s="230"/>
      <c r="S241" s="230"/>
      <c r="T241" s="230"/>
      <c r="U241" s="230" t="str">
        <f>IF(ISNUMBER(MATCH(B241, 'Sprint 18'!B:B, 0)), "มาจาก Sprint 18", "")</f>
        <v>มาจาก Sprint 18</v>
      </c>
      <c r="V241" s="230" t="str">
        <f t="array" ref="V241">IF(ISNUMBER(MATCH(B241, 'Sprint 18'!B:B, 0)), INDEX('Sprint 18'!J:J, MATCH(B241, 'Sprint 18'!B:B, 0)), "")</f>
        <v>In Progress</v>
      </c>
      <c r="W241" s="230"/>
      <c r="X241" s="102" t="s">
        <v>4247</v>
      </c>
      <c r="Y241" s="102" t="s">
        <v>4248</v>
      </c>
      <c r="Z241" s="102" t="s">
        <v>4249</v>
      </c>
      <c r="AA241" s="230"/>
      <c r="AB241" s="230"/>
      <c r="AC241" s="230"/>
      <c r="AD241" s="230"/>
      <c r="AE241" s="230"/>
      <c r="AF241" s="230"/>
    </row>
    <row r="242">
      <c r="A242" s="102" t="s">
        <v>276</v>
      </c>
      <c r="B242" s="102" t="s">
        <v>4592</v>
      </c>
      <c r="C242" s="229" t="s">
        <v>4593</v>
      </c>
      <c r="D242" s="102" t="s">
        <v>4594</v>
      </c>
      <c r="E242" s="102" t="s">
        <v>521</v>
      </c>
      <c r="F242" s="102" t="s">
        <v>522</v>
      </c>
      <c r="G242" s="102" t="s">
        <v>521</v>
      </c>
      <c r="H242" s="102" t="s">
        <v>522</v>
      </c>
      <c r="I242" s="102" t="s">
        <v>284</v>
      </c>
      <c r="J242" s="102" t="s">
        <v>26</v>
      </c>
      <c r="L242" s="229" t="s">
        <v>4591</v>
      </c>
      <c r="M242" s="229" t="s">
        <v>4587</v>
      </c>
      <c r="O242" s="230"/>
      <c r="S242" s="230"/>
      <c r="T242" s="230"/>
      <c r="U242" s="230" t="str">
        <f>IF(ISNUMBER(MATCH(B242, 'Sprint 18'!B:B, 0)), "มาจาก Sprint 18", "")</f>
        <v>มาจาก Sprint 18</v>
      </c>
      <c r="V242" s="230" t="str">
        <f t="array" ref="V242">IF(ISNUMBER(MATCH(B242, 'Sprint 18'!B:B, 0)), INDEX('Sprint 18'!J:J, MATCH(B242, 'Sprint 18'!B:B, 0)), "")</f>
        <v>In Progress</v>
      </c>
      <c r="W242" s="230"/>
      <c r="X242" s="102" t="s">
        <v>4247</v>
      </c>
      <c r="Y242" s="102" t="s">
        <v>4248</v>
      </c>
      <c r="Z242" s="102" t="s">
        <v>4249</v>
      </c>
      <c r="AA242" s="230"/>
      <c r="AB242" s="230"/>
      <c r="AC242" s="230"/>
      <c r="AD242" s="230"/>
      <c r="AE242" s="230"/>
      <c r="AF242" s="230"/>
    </row>
    <row r="243">
      <c r="A243" s="102" t="s">
        <v>310</v>
      </c>
      <c r="B243" s="102" t="s">
        <v>4236</v>
      </c>
      <c r="C243" s="229" t="s">
        <v>4237</v>
      </c>
      <c r="D243" s="102" t="s">
        <v>2057</v>
      </c>
      <c r="E243" s="102" t="s">
        <v>495</v>
      </c>
      <c r="F243" s="102" t="s">
        <v>496</v>
      </c>
      <c r="G243" s="102" t="s">
        <v>353</v>
      </c>
      <c r="H243" s="102" t="s">
        <v>354</v>
      </c>
      <c r="I243" s="102" t="s">
        <v>284</v>
      </c>
      <c r="J243" s="102" t="s">
        <v>678</v>
      </c>
      <c r="L243" s="229" t="s">
        <v>4238</v>
      </c>
      <c r="M243" s="229" t="s">
        <v>4494</v>
      </c>
      <c r="O243" s="102">
        <v>2.0</v>
      </c>
      <c r="P243" s="102" t="s">
        <v>593</v>
      </c>
      <c r="Q243" s="102" t="s">
        <v>4240</v>
      </c>
      <c r="S243" s="230"/>
      <c r="T243" s="102">
        <v>0.0</v>
      </c>
      <c r="U243" s="230" t="str">
        <f>IF(ISNUMBER(MATCH(B243, 'Sprint 18'!B:B, 0)), "มาจาก Sprint 18", "")</f>
        <v>มาจาก Sprint 18</v>
      </c>
      <c r="V243" s="230" t="str">
        <f t="array" ref="V243">IF(ISNUMBER(MATCH(B243, 'Sprint 18'!B:B, 0)), INDEX('Sprint 18'!J:J, MATCH(B243, 'Sprint 18'!B:B, 0)), "")</f>
        <v>Ready to Staging</v>
      </c>
      <c r="W243" s="102">
        <v>14400.0</v>
      </c>
      <c r="X243" s="102" t="s">
        <v>3043</v>
      </c>
      <c r="Y243" s="102" t="s">
        <v>3035</v>
      </c>
      <c r="Z243" s="102" t="s">
        <v>3036</v>
      </c>
      <c r="AA243" s="102" t="s">
        <v>3037</v>
      </c>
      <c r="AB243" s="230"/>
      <c r="AC243" s="230"/>
      <c r="AD243" s="230"/>
      <c r="AE243" s="230"/>
      <c r="AF243" s="230"/>
    </row>
    <row r="244">
      <c r="A244" s="102" t="s">
        <v>310</v>
      </c>
      <c r="B244" s="102" t="s">
        <v>4595</v>
      </c>
      <c r="C244" s="229" t="s">
        <v>4596</v>
      </c>
      <c r="D244" s="102" t="s">
        <v>4597</v>
      </c>
      <c r="E244" s="102" t="s">
        <v>495</v>
      </c>
      <c r="F244" s="102" t="s">
        <v>496</v>
      </c>
      <c r="G244" s="102" t="s">
        <v>282</v>
      </c>
      <c r="H244" s="102" t="s">
        <v>283</v>
      </c>
      <c r="I244" s="102" t="s">
        <v>284</v>
      </c>
      <c r="J244" s="102" t="s">
        <v>454</v>
      </c>
      <c r="L244" s="229" t="s">
        <v>4598</v>
      </c>
      <c r="M244" s="229" t="s">
        <v>4599</v>
      </c>
      <c r="O244" s="102">
        <v>8.0</v>
      </c>
      <c r="S244" s="230"/>
      <c r="T244" s="102">
        <v>0.0</v>
      </c>
      <c r="U244" s="230" t="str">
        <f>IF(ISNUMBER(MATCH(B244, 'Sprint 18'!B:B, 0)), "มาจาก Sprint 18", "")</f>
        <v>มาจาก Sprint 18</v>
      </c>
      <c r="V244" s="230" t="str">
        <f t="array" ref="V244">IF(ISNUMBER(MATCH(B244, 'Sprint 18'!B:B, 0)), INDEX('Sprint 18'!J:J, MATCH(B244, 'Sprint 18'!B:B, 0)), "")</f>
        <v>Ready to Staging</v>
      </c>
      <c r="W244" s="102">
        <v>43200.0</v>
      </c>
      <c r="X244" s="102" t="s">
        <v>4249</v>
      </c>
      <c r="Y244" s="230"/>
      <c r="Z244" s="230"/>
      <c r="AA244" s="230"/>
      <c r="AB244" s="230"/>
      <c r="AC244" s="230"/>
      <c r="AD244" s="230"/>
      <c r="AE244" s="230"/>
      <c r="AF244" s="230"/>
    </row>
    <row r="245">
      <c r="A245" s="102" t="s">
        <v>310</v>
      </c>
      <c r="B245" s="102" t="s">
        <v>4241</v>
      </c>
      <c r="C245" s="229" t="s">
        <v>4242</v>
      </c>
      <c r="D245" s="102" t="s">
        <v>4243</v>
      </c>
      <c r="E245" s="102" t="s">
        <v>564</v>
      </c>
      <c r="F245" s="102" t="s">
        <v>565</v>
      </c>
      <c r="G245" s="102" t="s">
        <v>282</v>
      </c>
      <c r="H245" s="102" t="s">
        <v>283</v>
      </c>
      <c r="I245" s="102" t="s">
        <v>284</v>
      </c>
      <c r="J245" s="102" t="s">
        <v>454</v>
      </c>
      <c r="L245" s="229" t="s">
        <v>4244</v>
      </c>
      <c r="M245" s="229" t="s">
        <v>4600</v>
      </c>
      <c r="N245" s="229" t="s">
        <v>4246</v>
      </c>
      <c r="O245" s="102">
        <v>5.0</v>
      </c>
      <c r="P245" s="102" t="s">
        <v>593</v>
      </c>
      <c r="S245" s="230"/>
      <c r="T245" s="102">
        <v>0.0</v>
      </c>
      <c r="U245" s="230" t="str">
        <f>IF(ISNUMBER(MATCH(B245, 'Sprint 18'!B:B, 0)), "มาจาก Sprint 18", "")</f>
        <v>มาจาก Sprint 18</v>
      </c>
      <c r="V245" s="230" t="str">
        <f t="array" ref="V245">IF(ISNUMBER(MATCH(B245, 'Sprint 18'!B:B, 0)), INDEX('Sprint 18'!J:J, MATCH(B245, 'Sprint 18'!B:B, 0)), "")</f>
        <v>Ready To Test</v>
      </c>
      <c r="W245" s="102">
        <v>57600.0</v>
      </c>
      <c r="X245" s="102" t="s">
        <v>4247</v>
      </c>
      <c r="Y245" s="102" t="s">
        <v>4248</v>
      </c>
      <c r="Z245" s="102" t="s">
        <v>4249</v>
      </c>
      <c r="AA245" s="230"/>
      <c r="AB245" s="230"/>
      <c r="AC245" s="230"/>
      <c r="AD245" s="230"/>
      <c r="AE245" s="230"/>
      <c r="AF245" s="230"/>
    </row>
    <row r="246">
      <c r="A246" s="102" t="s">
        <v>310</v>
      </c>
      <c r="B246" s="102" t="s">
        <v>4251</v>
      </c>
      <c r="C246" s="229" t="s">
        <v>4252</v>
      </c>
      <c r="D246" s="102" t="s">
        <v>4253</v>
      </c>
      <c r="E246" s="102" t="s">
        <v>556</v>
      </c>
      <c r="F246" s="102" t="s">
        <v>557</v>
      </c>
      <c r="G246" s="102" t="s">
        <v>353</v>
      </c>
      <c r="H246" s="102" t="s">
        <v>354</v>
      </c>
      <c r="I246" s="102" t="s">
        <v>284</v>
      </c>
      <c r="J246" s="102" t="s">
        <v>678</v>
      </c>
      <c r="L246" s="229" t="s">
        <v>4254</v>
      </c>
      <c r="M246" s="229" t="s">
        <v>4494</v>
      </c>
      <c r="O246" s="230"/>
      <c r="S246" s="230"/>
      <c r="T246" s="230"/>
      <c r="U246" s="230" t="str">
        <f>IF(ISNUMBER(MATCH(B246, 'Sprint 18'!B:B, 0)), "มาจาก Sprint 18", "")</f>
        <v>มาจาก Sprint 18</v>
      </c>
      <c r="V246" s="230" t="str">
        <f t="array" ref="V246">IF(ISNUMBER(MATCH(B246, 'Sprint 18'!B:B, 0)), INDEX('Sprint 18'!J:J, MATCH(B246, 'Sprint 18'!B:B, 0)), "")</f>
        <v>Ready to Staging</v>
      </c>
      <c r="W246" s="230"/>
      <c r="X246" s="102" t="s">
        <v>3043</v>
      </c>
      <c r="Y246" s="102" t="s">
        <v>3035</v>
      </c>
      <c r="Z246" s="102" t="s">
        <v>3036</v>
      </c>
      <c r="AA246" s="102" t="s">
        <v>3037</v>
      </c>
      <c r="AB246" s="230"/>
      <c r="AC246" s="230"/>
      <c r="AD246" s="230"/>
      <c r="AE246" s="230"/>
      <c r="AF246" s="230"/>
    </row>
    <row r="247">
      <c r="A247" s="102" t="s">
        <v>310</v>
      </c>
      <c r="B247" s="102" t="s">
        <v>4256</v>
      </c>
      <c r="C247" s="229" t="s">
        <v>4257</v>
      </c>
      <c r="D247" s="102" t="s">
        <v>4258</v>
      </c>
      <c r="E247" s="102" t="s">
        <v>556</v>
      </c>
      <c r="F247" s="102" t="s">
        <v>557</v>
      </c>
      <c r="G247" s="102" t="s">
        <v>353</v>
      </c>
      <c r="H247" s="102" t="s">
        <v>354</v>
      </c>
      <c r="I247" s="102" t="s">
        <v>284</v>
      </c>
      <c r="J247" s="102" t="s">
        <v>678</v>
      </c>
      <c r="L247" s="229" t="s">
        <v>4259</v>
      </c>
      <c r="M247" s="229" t="s">
        <v>4494</v>
      </c>
      <c r="O247" s="102">
        <v>3.0</v>
      </c>
      <c r="S247" s="230"/>
      <c r="T247" s="230"/>
      <c r="U247" s="230" t="str">
        <f>IF(ISNUMBER(MATCH(B247, 'Sprint 18'!B:B, 0)), "มาจาก Sprint 18", "")</f>
        <v>มาจาก Sprint 18</v>
      </c>
      <c r="V247" s="230" t="str">
        <f t="array" ref="V247">IF(ISNUMBER(MATCH(B247, 'Sprint 18'!B:B, 0)), INDEX('Sprint 18'!J:J, MATCH(B247, 'Sprint 18'!B:B, 0)), "")</f>
        <v>Ready to Staging</v>
      </c>
      <c r="W247" s="230"/>
      <c r="X247" s="102" t="s">
        <v>3043</v>
      </c>
      <c r="Y247" s="102" t="s">
        <v>3035</v>
      </c>
      <c r="Z247" s="102" t="s">
        <v>3036</v>
      </c>
      <c r="AA247" s="102" t="s">
        <v>3037</v>
      </c>
      <c r="AB247" s="230"/>
      <c r="AC247" s="230"/>
      <c r="AD247" s="230"/>
      <c r="AE247" s="230"/>
      <c r="AF247" s="230"/>
    </row>
    <row r="248">
      <c r="A248" s="102" t="s">
        <v>310</v>
      </c>
      <c r="B248" s="102" t="s">
        <v>4261</v>
      </c>
      <c r="C248" s="229" t="s">
        <v>4262</v>
      </c>
      <c r="D248" s="102" t="s">
        <v>4263</v>
      </c>
      <c r="E248" s="102" t="s">
        <v>556</v>
      </c>
      <c r="F248" s="102" t="s">
        <v>557</v>
      </c>
      <c r="G248" s="102" t="s">
        <v>353</v>
      </c>
      <c r="H248" s="102" t="s">
        <v>354</v>
      </c>
      <c r="I248" s="102" t="s">
        <v>284</v>
      </c>
      <c r="J248" s="102" t="s">
        <v>678</v>
      </c>
      <c r="L248" s="229" t="s">
        <v>4264</v>
      </c>
      <c r="M248" s="229" t="s">
        <v>4494</v>
      </c>
      <c r="O248" s="102">
        <v>3.0</v>
      </c>
      <c r="S248" s="230"/>
      <c r="T248" s="230"/>
      <c r="U248" s="230" t="str">
        <f>IF(ISNUMBER(MATCH(B248, 'Sprint 18'!B:B, 0)), "มาจาก Sprint 18", "")</f>
        <v>มาจาก Sprint 18</v>
      </c>
      <c r="V248" s="230" t="str">
        <f t="array" ref="V248">IF(ISNUMBER(MATCH(B248, 'Sprint 18'!B:B, 0)), INDEX('Sprint 18'!J:J, MATCH(B248, 'Sprint 18'!B:B, 0)), "")</f>
        <v>Ready to Staging</v>
      </c>
      <c r="W248" s="230"/>
      <c r="X248" s="102" t="s">
        <v>3043</v>
      </c>
      <c r="Y248" s="102" t="s">
        <v>3035</v>
      </c>
      <c r="Z248" s="102" t="s">
        <v>3036</v>
      </c>
      <c r="AA248" s="102" t="s">
        <v>3037</v>
      </c>
      <c r="AB248" s="230"/>
      <c r="AC248" s="230"/>
      <c r="AD248" s="230"/>
      <c r="AE248" s="230"/>
      <c r="AF248" s="230"/>
    </row>
    <row r="249">
      <c r="A249" s="102" t="s">
        <v>310</v>
      </c>
      <c r="B249" s="102" t="s">
        <v>4265</v>
      </c>
      <c r="C249" s="229" t="s">
        <v>4266</v>
      </c>
      <c r="D249" s="102" t="s">
        <v>4267</v>
      </c>
      <c r="E249" s="102" t="s">
        <v>564</v>
      </c>
      <c r="F249" s="102" t="s">
        <v>565</v>
      </c>
      <c r="G249" s="102" t="s">
        <v>353</v>
      </c>
      <c r="H249" s="102" t="s">
        <v>354</v>
      </c>
      <c r="I249" s="102" t="s">
        <v>284</v>
      </c>
      <c r="J249" s="102" t="s">
        <v>678</v>
      </c>
      <c r="L249" s="229" t="s">
        <v>4264</v>
      </c>
      <c r="M249" s="229" t="s">
        <v>4601</v>
      </c>
      <c r="N249" s="229" t="s">
        <v>4268</v>
      </c>
      <c r="O249" s="102">
        <v>3.0</v>
      </c>
      <c r="S249" s="230"/>
      <c r="T249" s="102">
        <v>0.0</v>
      </c>
      <c r="U249" s="230" t="str">
        <f>IF(ISNUMBER(MATCH(B249, 'Sprint 18'!B:B, 0)), "มาจาก Sprint 18", "")</f>
        <v>มาจาก Sprint 18</v>
      </c>
      <c r="V249" s="230" t="str">
        <f t="array" ref="V249">IF(ISNUMBER(MATCH(B249, 'Sprint 18'!B:B, 0)), INDEX('Sprint 18'!J:J, MATCH(B249, 'Sprint 18'!B:B, 0)), "")</f>
        <v>Ready to Staging</v>
      </c>
      <c r="W249" s="102">
        <v>28800.0</v>
      </c>
      <c r="X249" s="102" t="s">
        <v>3043</v>
      </c>
      <c r="Y249" s="102" t="s">
        <v>3035</v>
      </c>
      <c r="Z249" s="102" t="s">
        <v>3036</v>
      </c>
      <c r="AA249" s="102" t="s">
        <v>3037</v>
      </c>
      <c r="AB249" s="230"/>
      <c r="AC249" s="230"/>
      <c r="AD249" s="230"/>
      <c r="AE249" s="230"/>
      <c r="AF249" s="230"/>
    </row>
    <row r="250">
      <c r="A250" s="102" t="s">
        <v>310</v>
      </c>
      <c r="B250" s="102" t="s">
        <v>3039</v>
      </c>
      <c r="C250" s="229" t="s">
        <v>3040</v>
      </c>
      <c r="D250" s="102" t="s">
        <v>3041</v>
      </c>
      <c r="E250" s="102" t="s">
        <v>584</v>
      </c>
      <c r="F250" s="102" t="s">
        <v>585</v>
      </c>
      <c r="G250" s="102" t="s">
        <v>353</v>
      </c>
      <c r="H250" s="102" t="s">
        <v>354</v>
      </c>
      <c r="I250" s="102" t="s">
        <v>284</v>
      </c>
      <c r="J250" s="102" t="s">
        <v>678</v>
      </c>
      <c r="L250" s="229" t="s">
        <v>3042</v>
      </c>
      <c r="M250" s="229" t="s">
        <v>4494</v>
      </c>
      <c r="O250" s="102">
        <v>5.0</v>
      </c>
      <c r="S250" s="230"/>
      <c r="T250" s="102">
        <v>0.0</v>
      </c>
      <c r="U250" s="230" t="str">
        <f>IF(ISNUMBER(MATCH(B250, 'Sprint 18'!B:B, 0)), "มาจาก Sprint 18", "")</f>
        <v>มาจาก Sprint 18</v>
      </c>
      <c r="V250" s="230" t="str">
        <f t="array" ref="V250">IF(ISNUMBER(MATCH(B250, 'Sprint 18'!B:B, 0)), INDEX('Sprint 18'!J:J, MATCH(B250, 'Sprint 18'!B:B, 0)), "")</f>
        <v>Ready to Staging</v>
      </c>
      <c r="W250" s="102">
        <v>86400.0</v>
      </c>
      <c r="X250" s="102" t="s">
        <v>3043</v>
      </c>
      <c r="Y250" s="102" t="s">
        <v>3035</v>
      </c>
      <c r="Z250" s="102" t="s">
        <v>3036</v>
      </c>
      <c r="AA250" s="102" t="s">
        <v>3037</v>
      </c>
      <c r="AB250" s="230"/>
      <c r="AC250" s="230"/>
      <c r="AD250" s="230"/>
      <c r="AE250" s="230"/>
      <c r="AF250" s="230"/>
    </row>
    <row r="251">
      <c r="A251" s="102" t="s">
        <v>310</v>
      </c>
      <c r="B251" s="102" t="s">
        <v>4269</v>
      </c>
      <c r="C251" s="229" t="s">
        <v>4270</v>
      </c>
      <c r="D251" s="102" t="s">
        <v>4271</v>
      </c>
      <c r="E251" s="102" t="s">
        <v>556</v>
      </c>
      <c r="F251" s="102" t="s">
        <v>557</v>
      </c>
      <c r="G251" s="102" t="s">
        <v>353</v>
      </c>
      <c r="H251" s="102" t="s">
        <v>354</v>
      </c>
      <c r="I251" s="102" t="s">
        <v>284</v>
      </c>
      <c r="J251" s="102" t="s">
        <v>678</v>
      </c>
      <c r="L251" s="229" t="s">
        <v>4272</v>
      </c>
      <c r="M251" s="229" t="s">
        <v>4494</v>
      </c>
      <c r="O251" s="102">
        <v>5.0</v>
      </c>
      <c r="P251" s="102" t="s">
        <v>593</v>
      </c>
      <c r="Q251" s="102" t="s">
        <v>4240</v>
      </c>
      <c r="S251" s="230"/>
      <c r="T251" s="230"/>
      <c r="U251" s="230" t="str">
        <f>IF(ISNUMBER(MATCH(B251, 'Sprint 18'!B:B, 0)), "มาจาก Sprint 18", "")</f>
        <v>มาจาก Sprint 18</v>
      </c>
      <c r="V251" s="230" t="str">
        <f t="array" ref="V251">IF(ISNUMBER(MATCH(B251, 'Sprint 18'!B:B, 0)), INDEX('Sprint 18'!J:J, MATCH(B251, 'Sprint 18'!B:B, 0)), "")</f>
        <v>Ready to Staging</v>
      </c>
      <c r="W251" s="230"/>
      <c r="X251" s="102" t="s">
        <v>3043</v>
      </c>
      <c r="Y251" s="102" t="s">
        <v>3035</v>
      </c>
      <c r="Z251" s="102" t="s">
        <v>3036</v>
      </c>
      <c r="AA251" s="102" t="s">
        <v>3037</v>
      </c>
      <c r="AB251" s="230"/>
      <c r="AC251" s="230"/>
      <c r="AD251" s="230"/>
      <c r="AE251" s="230"/>
      <c r="AF251" s="230"/>
    </row>
    <row r="252">
      <c r="A252" s="102" t="s">
        <v>310</v>
      </c>
      <c r="B252" s="102" t="s">
        <v>4602</v>
      </c>
      <c r="C252" s="229" t="s">
        <v>4603</v>
      </c>
      <c r="D252" s="102" t="s">
        <v>4604</v>
      </c>
      <c r="E252" s="102" t="s">
        <v>556</v>
      </c>
      <c r="F252" s="102" t="s">
        <v>557</v>
      </c>
      <c r="G252" s="102" t="s">
        <v>282</v>
      </c>
      <c r="H252" s="102" t="s">
        <v>283</v>
      </c>
      <c r="I252" s="102" t="s">
        <v>284</v>
      </c>
      <c r="J252" s="102" t="s">
        <v>454</v>
      </c>
      <c r="L252" s="229" t="s">
        <v>4605</v>
      </c>
      <c r="M252" s="229" t="s">
        <v>4606</v>
      </c>
      <c r="O252" s="102">
        <v>5.0</v>
      </c>
      <c r="S252" s="230"/>
      <c r="T252" s="230"/>
      <c r="U252" s="230" t="str">
        <f>IF(ISNUMBER(MATCH(B252, 'Sprint 18'!B:B, 0)), "มาจาก Sprint 18", "")</f>
        <v>มาจาก Sprint 18</v>
      </c>
      <c r="V252" s="230" t="str">
        <f t="array" ref="V252">IF(ISNUMBER(MATCH(B252, 'Sprint 18'!B:B, 0)), INDEX('Sprint 18'!J:J, MATCH(B252, 'Sprint 18'!B:B, 0)), "")</f>
        <v>Ready to Staging</v>
      </c>
      <c r="W252" s="230"/>
      <c r="X252" s="102" t="s">
        <v>4248</v>
      </c>
      <c r="Y252" s="102" t="s">
        <v>4249</v>
      </c>
      <c r="Z252" s="230"/>
      <c r="AA252" s="230"/>
      <c r="AB252" s="230"/>
      <c r="AC252" s="230"/>
      <c r="AD252" s="230"/>
      <c r="AE252" s="230"/>
      <c r="AF252" s="230"/>
    </row>
    <row r="253">
      <c r="A253" s="102" t="s">
        <v>310</v>
      </c>
      <c r="B253" s="102" t="s">
        <v>2563</v>
      </c>
      <c r="C253" s="229" t="s">
        <v>2564</v>
      </c>
      <c r="D253" s="102" t="s">
        <v>2565</v>
      </c>
      <c r="E253" s="102" t="s">
        <v>564</v>
      </c>
      <c r="F253" s="102" t="s">
        <v>565</v>
      </c>
      <c r="G253" s="102" t="s">
        <v>282</v>
      </c>
      <c r="H253" s="102" t="s">
        <v>283</v>
      </c>
      <c r="I253" s="102" t="s">
        <v>515</v>
      </c>
      <c r="J253" s="102" t="s">
        <v>678</v>
      </c>
      <c r="L253" s="229" t="s">
        <v>2566</v>
      </c>
      <c r="M253" s="229" t="s">
        <v>4445</v>
      </c>
      <c r="N253" s="229" t="s">
        <v>2165</v>
      </c>
      <c r="O253" s="102">
        <v>3.0</v>
      </c>
      <c r="S253" s="230"/>
      <c r="T253" s="102">
        <v>0.0</v>
      </c>
      <c r="U253" s="230" t="str">
        <f>IF(ISNUMBER(MATCH(B253, 'Sprint 18'!B:B, 0)), "มาจาก Sprint 18", "")</f>
        <v>มาจาก Sprint 18</v>
      </c>
      <c r="V253" s="230" t="str">
        <f t="array" ref="V253">IF(ISNUMBER(MATCH(B253, 'Sprint 18'!B:B, 0)), INDEX('Sprint 18'!J:J, MATCH(B253, 'Sprint 18'!B:B, 0)), "")</f>
        <v>Ready to Staging</v>
      </c>
      <c r="W253" s="102">
        <v>28800.0</v>
      </c>
      <c r="X253" s="102" t="s">
        <v>2269</v>
      </c>
      <c r="Y253" s="102" t="s">
        <v>2270</v>
      </c>
      <c r="Z253" s="230"/>
      <c r="AA253" s="230"/>
      <c r="AB253" s="230"/>
      <c r="AC253" s="230"/>
      <c r="AD253" s="230"/>
      <c r="AE253" s="230"/>
      <c r="AF253" s="230"/>
    </row>
    <row r="254">
      <c r="A254" s="102" t="s">
        <v>310</v>
      </c>
      <c r="B254" s="102" t="s">
        <v>2567</v>
      </c>
      <c r="C254" s="229" t="s">
        <v>2568</v>
      </c>
      <c r="D254" s="102" t="s">
        <v>2569</v>
      </c>
      <c r="E254" s="102" t="s">
        <v>564</v>
      </c>
      <c r="F254" s="102" t="s">
        <v>565</v>
      </c>
      <c r="G254" s="102" t="s">
        <v>282</v>
      </c>
      <c r="H254" s="102" t="s">
        <v>283</v>
      </c>
      <c r="I254" s="102" t="s">
        <v>515</v>
      </c>
      <c r="J254" s="102" t="s">
        <v>678</v>
      </c>
      <c r="L254" s="229" t="s">
        <v>2566</v>
      </c>
      <c r="M254" s="229" t="s">
        <v>4445</v>
      </c>
      <c r="N254" s="229" t="s">
        <v>2570</v>
      </c>
      <c r="O254" s="102">
        <v>3.0</v>
      </c>
      <c r="S254" s="230"/>
      <c r="T254" s="102">
        <v>0.0</v>
      </c>
      <c r="U254" s="230" t="str">
        <f>IF(ISNUMBER(MATCH(B254, 'Sprint 18'!B:B, 0)), "มาจาก Sprint 18", "")</f>
        <v>มาจาก Sprint 18</v>
      </c>
      <c r="V254" s="230" t="str">
        <f t="array" ref="V254">IF(ISNUMBER(MATCH(B254, 'Sprint 18'!B:B, 0)), INDEX('Sprint 18'!J:J, MATCH(B254, 'Sprint 18'!B:B, 0)), "")</f>
        <v>Ready to Staging</v>
      </c>
      <c r="W254" s="102">
        <v>28800.0</v>
      </c>
      <c r="X254" s="102" t="s">
        <v>2269</v>
      </c>
      <c r="Y254" s="102" t="s">
        <v>2270</v>
      </c>
      <c r="Z254" s="230"/>
      <c r="AA254" s="230"/>
      <c r="AB254" s="230"/>
      <c r="AC254" s="230"/>
      <c r="AD254" s="230"/>
      <c r="AE254" s="230"/>
      <c r="AF254" s="230"/>
    </row>
    <row r="255">
      <c r="A255" s="102" t="s">
        <v>310</v>
      </c>
      <c r="B255" s="102" t="s">
        <v>4607</v>
      </c>
      <c r="C255" s="229" t="s">
        <v>4608</v>
      </c>
      <c r="D255" s="102" t="s">
        <v>4609</v>
      </c>
      <c r="E255" s="102" t="s">
        <v>564</v>
      </c>
      <c r="F255" s="102" t="s">
        <v>565</v>
      </c>
      <c r="G255" s="102" t="s">
        <v>282</v>
      </c>
      <c r="H255" s="102" t="s">
        <v>283</v>
      </c>
      <c r="I255" s="102" t="s">
        <v>284</v>
      </c>
      <c r="J255" s="102" t="s">
        <v>454</v>
      </c>
      <c r="L255" s="229" t="s">
        <v>4610</v>
      </c>
      <c r="M255" s="229" t="s">
        <v>4611</v>
      </c>
      <c r="N255" s="229" t="s">
        <v>4612</v>
      </c>
      <c r="O255" s="102">
        <v>5.0</v>
      </c>
      <c r="S255" s="230"/>
      <c r="T255" s="102">
        <v>0.0</v>
      </c>
      <c r="U255" s="230" t="str">
        <f>IF(ISNUMBER(MATCH(B255, 'Sprint 18'!B:B, 0)), "มาจาก Sprint 18", "")</f>
        <v>มาจาก Sprint 18</v>
      </c>
      <c r="V255" s="230" t="str">
        <f t="array" ref="V255">IF(ISNUMBER(MATCH(B255, 'Sprint 18'!B:B, 0)), INDEX('Sprint 18'!J:J, MATCH(B255, 'Sprint 18'!B:B, 0)), "")</f>
        <v>Ready To Test</v>
      </c>
      <c r="W255" s="102">
        <v>43200.0</v>
      </c>
      <c r="X255" s="102" t="s">
        <v>4248</v>
      </c>
      <c r="Y255" s="102" t="s">
        <v>4249</v>
      </c>
      <c r="Z255" s="230"/>
      <c r="AA255" s="230"/>
      <c r="AB255" s="230"/>
      <c r="AC255" s="230"/>
      <c r="AD255" s="230"/>
      <c r="AE255" s="230"/>
      <c r="AF255" s="230"/>
    </row>
    <row r="256">
      <c r="A256" s="102" t="s">
        <v>310</v>
      </c>
      <c r="B256" s="102" t="s">
        <v>4613</v>
      </c>
      <c r="C256" s="229" t="s">
        <v>4614</v>
      </c>
      <c r="D256" s="102" t="s">
        <v>4615</v>
      </c>
      <c r="E256" s="102" t="s">
        <v>584</v>
      </c>
      <c r="F256" s="102" t="s">
        <v>585</v>
      </c>
      <c r="G256" s="102" t="s">
        <v>282</v>
      </c>
      <c r="H256" s="102" t="s">
        <v>283</v>
      </c>
      <c r="I256" s="102" t="s">
        <v>284</v>
      </c>
      <c r="J256" s="102" t="s">
        <v>454</v>
      </c>
      <c r="L256" s="229" t="s">
        <v>4616</v>
      </c>
      <c r="M256" s="229" t="s">
        <v>4617</v>
      </c>
      <c r="O256" s="102">
        <v>5.0</v>
      </c>
      <c r="S256" s="230"/>
      <c r="T256" s="102">
        <v>0.0</v>
      </c>
      <c r="U256" s="230" t="str">
        <f>IF(ISNUMBER(MATCH(B256, 'Sprint 18'!B:B, 0)), "มาจาก Sprint 18", "")</f>
        <v>มาจาก Sprint 18</v>
      </c>
      <c r="V256" s="230" t="str">
        <f t="array" ref="V256">IF(ISNUMBER(MATCH(B256, 'Sprint 18'!B:B, 0)), INDEX('Sprint 18'!J:J, MATCH(B256, 'Sprint 18'!B:B, 0)), "")</f>
        <v>Ready To Test</v>
      </c>
      <c r="W256" s="102">
        <v>72000.0</v>
      </c>
      <c r="X256" s="102" t="s">
        <v>4248</v>
      </c>
      <c r="Y256" s="102" t="s">
        <v>4249</v>
      </c>
      <c r="Z256" s="230"/>
      <c r="AA256" s="230"/>
      <c r="AB256" s="230"/>
      <c r="AC256" s="230"/>
      <c r="AD256" s="230"/>
      <c r="AE256" s="230"/>
      <c r="AF256" s="230"/>
    </row>
    <row r="257">
      <c r="A257" s="102" t="s">
        <v>310</v>
      </c>
      <c r="B257" s="102" t="s">
        <v>4618</v>
      </c>
      <c r="C257" s="229" t="s">
        <v>4619</v>
      </c>
      <c r="D257" s="102" t="s">
        <v>4620</v>
      </c>
      <c r="E257" s="102" t="s">
        <v>495</v>
      </c>
      <c r="F257" s="102" t="s">
        <v>496</v>
      </c>
      <c r="G257" s="102" t="s">
        <v>282</v>
      </c>
      <c r="H257" s="102" t="s">
        <v>283</v>
      </c>
      <c r="I257" s="102" t="s">
        <v>284</v>
      </c>
      <c r="J257" s="102" t="s">
        <v>454</v>
      </c>
      <c r="L257" s="229" t="s">
        <v>4621</v>
      </c>
      <c r="M257" s="229" t="s">
        <v>4622</v>
      </c>
      <c r="O257" s="102">
        <v>5.0</v>
      </c>
      <c r="S257" s="230"/>
      <c r="T257" s="102">
        <v>0.0</v>
      </c>
      <c r="U257" s="230" t="str">
        <f>IF(ISNUMBER(MATCH(B257, 'Sprint 18'!B:B, 0)), "มาจาก Sprint 18", "")</f>
        <v>มาจาก Sprint 18</v>
      </c>
      <c r="V257" s="230" t="str">
        <f t="array" ref="V257">IF(ISNUMBER(MATCH(B257, 'Sprint 18'!B:B, 0)), INDEX('Sprint 18'!J:J, MATCH(B257, 'Sprint 18'!B:B, 0)), "")</f>
        <v>Ready To Test</v>
      </c>
      <c r="W257" s="102">
        <v>57600.0</v>
      </c>
      <c r="X257" s="102" t="s">
        <v>4247</v>
      </c>
      <c r="Y257" s="102" t="s">
        <v>4248</v>
      </c>
      <c r="Z257" s="102" t="s">
        <v>4249</v>
      </c>
      <c r="AA257" s="230"/>
      <c r="AB257" s="230"/>
      <c r="AC257" s="230"/>
      <c r="AD257" s="230"/>
      <c r="AE257" s="230"/>
      <c r="AF257" s="230"/>
    </row>
    <row r="258">
      <c r="A258" s="102" t="s">
        <v>310</v>
      </c>
      <c r="B258" s="102" t="s">
        <v>4623</v>
      </c>
      <c r="C258" s="229" t="s">
        <v>4624</v>
      </c>
      <c r="D258" s="102" t="s">
        <v>4625</v>
      </c>
      <c r="E258" s="102" t="s">
        <v>584</v>
      </c>
      <c r="F258" s="102" t="s">
        <v>585</v>
      </c>
      <c r="G258" s="102" t="s">
        <v>282</v>
      </c>
      <c r="H258" s="102" t="s">
        <v>283</v>
      </c>
      <c r="I258" s="102" t="s">
        <v>284</v>
      </c>
      <c r="J258" s="102" t="s">
        <v>454</v>
      </c>
      <c r="L258" s="229" t="s">
        <v>4626</v>
      </c>
      <c r="M258" s="229" t="s">
        <v>4627</v>
      </c>
      <c r="O258" s="102">
        <v>5.0</v>
      </c>
      <c r="S258" s="230"/>
      <c r="T258" s="102">
        <v>0.0</v>
      </c>
      <c r="U258" s="230" t="str">
        <f>IF(ISNUMBER(MATCH(B258, 'Sprint 18'!B:B, 0)), "มาจาก Sprint 18", "")</f>
        <v>มาจาก Sprint 18</v>
      </c>
      <c r="V258" s="230" t="str">
        <f t="array" ref="V258">IF(ISNUMBER(MATCH(B258, 'Sprint 18'!B:B, 0)), INDEX('Sprint 18'!J:J, MATCH(B258, 'Sprint 18'!B:B, 0)), "")</f>
        <v>Ready To Test</v>
      </c>
      <c r="W258" s="102">
        <v>86400.0</v>
      </c>
      <c r="X258" s="102" t="s">
        <v>4247</v>
      </c>
      <c r="Y258" s="102" t="s">
        <v>4248</v>
      </c>
      <c r="Z258" s="102" t="s">
        <v>4249</v>
      </c>
      <c r="AA258" s="230"/>
      <c r="AB258" s="230"/>
      <c r="AC258" s="230"/>
      <c r="AD258" s="230"/>
      <c r="AE258" s="230"/>
      <c r="AF258" s="230"/>
    </row>
    <row r="259">
      <c r="A259" s="102" t="s">
        <v>310</v>
      </c>
      <c r="B259" s="102" t="s">
        <v>4628</v>
      </c>
      <c r="C259" s="229" t="s">
        <v>4629</v>
      </c>
      <c r="D259" s="102" t="s">
        <v>4630</v>
      </c>
      <c r="E259" s="102" t="s">
        <v>495</v>
      </c>
      <c r="F259" s="102" t="s">
        <v>496</v>
      </c>
      <c r="G259" s="102" t="s">
        <v>282</v>
      </c>
      <c r="H259" s="102" t="s">
        <v>283</v>
      </c>
      <c r="I259" s="102" t="s">
        <v>284</v>
      </c>
      <c r="J259" s="102" t="s">
        <v>454</v>
      </c>
      <c r="L259" s="229" t="s">
        <v>4631</v>
      </c>
      <c r="M259" s="229" t="s">
        <v>4632</v>
      </c>
      <c r="O259" s="102">
        <v>8.0</v>
      </c>
      <c r="S259" s="230"/>
      <c r="T259" s="102">
        <v>0.0</v>
      </c>
      <c r="U259" s="230" t="str">
        <f>IF(ISNUMBER(MATCH(B259, 'Sprint 18'!B:B, 0)), "มาจาก Sprint 18", "")</f>
        <v>มาจาก Sprint 18</v>
      </c>
      <c r="V259" s="230" t="str">
        <f t="array" ref="V259">IF(ISNUMBER(MATCH(B259, 'Sprint 18'!B:B, 0)), INDEX('Sprint 18'!J:J, MATCH(B259, 'Sprint 18'!B:B, 0)), "")</f>
        <v>Ready To Test</v>
      </c>
      <c r="W259" s="102">
        <v>86400.0</v>
      </c>
      <c r="X259" s="102" t="s">
        <v>4247</v>
      </c>
      <c r="Y259" s="102" t="s">
        <v>4248</v>
      </c>
      <c r="Z259" s="102" t="s">
        <v>4249</v>
      </c>
      <c r="AA259" s="230"/>
      <c r="AB259" s="230"/>
      <c r="AC259" s="230"/>
      <c r="AD259" s="230"/>
      <c r="AE259" s="230"/>
      <c r="AF259" s="230"/>
    </row>
    <row r="260">
      <c r="A260" s="102" t="s">
        <v>310</v>
      </c>
      <c r="B260" s="102" t="s">
        <v>4633</v>
      </c>
      <c r="C260" s="229" t="s">
        <v>4634</v>
      </c>
      <c r="D260" s="102" t="s">
        <v>4635</v>
      </c>
      <c r="E260" s="102" t="s">
        <v>564</v>
      </c>
      <c r="F260" s="102" t="s">
        <v>565</v>
      </c>
      <c r="G260" s="102" t="s">
        <v>282</v>
      </c>
      <c r="H260" s="102" t="s">
        <v>283</v>
      </c>
      <c r="I260" s="102" t="s">
        <v>284</v>
      </c>
      <c r="J260" s="102" t="s">
        <v>454</v>
      </c>
      <c r="L260" s="229" t="s">
        <v>4636</v>
      </c>
      <c r="M260" s="229" t="s">
        <v>4637</v>
      </c>
      <c r="N260" s="229" t="s">
        <v>4638</v>
      </c>
      <c r="O260" s="102">
        <v>3.0</v>
      </c>
      <c r="S260" s="230"/>
      <c r="T260" s="102">
        <v>0.0</v>
      </c>
      <c r="U260" s="230" t="str">
        <f>IF(ISNUMBER(MATCH(B260, 'Sprint 18'!B:B, 0)), "มาจาก Sprint 18", "")</f>
        <v>มาจาก Sprint 18</v>
      </c>
      <c r="V260" s="230" t="str">
        <f t="array" ref="V260">IF(ISNUMBER(MATCH(B260, 'Sprint 18'!B:B, 0)), INDEX('Sprint 18'!J:J, MATCH(B260, 'Sprint 18'!B:B, 0)), "")</f>
        <v>Ready To Test</v>
      </c>
      <c r="W260" s="102">
        <v>21600.0</v>
      </c>
      <c r="X260" s="102" t="s">
        <v>4247</v>
      </c>
      <c r="Y260" s="102" t="s">
        <v>4248</v>
      </c>
      <c r="Z260" s="102" t="s">
        <v>4249</v>
      </c>
      <c r="AA260" s="230"/>
      <c r="AB260" s="230"/>
      <c r="AC260" s="230"/>
      <c r="AD260" s="230"/>
      <c r="AE260" s="230"/>
      <c r="AF260" s="230"/>
    </row>
    <row r="261">
      <c r="A261" s="102" t="s">
        <v>310</v>
      </c>
      <c r="B261" s="102" t="s">
        <v>4639</v>
      </c>
      <c r="C261" s="229" t="s">
        <v>4640</v>
      </c>
      <c r="D261" s="102" t="s">
        <v>4641</v>
      </c>
      <c r="E261" s="102" t="s">
        <v>328</v>
      </c>
      <c r="F261" s="102" t="s">
        <v>329</v>
      </c>
      <c r="G261" s="102" t="s">
        <v>282</v>
      </c>
      <c r="H261" s="102" t="s">
        <v>283</v>
      </c>
      <c r="I261" s="102" t="s">
        <v>284</v>
      </c>
      <c r="J261" s="102" t="s">
        <v>454</v>
      </c>
      <c r="L261" s="229" t="s">
        <v>4642</v>
      </c>
      <c r="M261" s="229" t="s">
        <v>4501</v>
      </c>
      <c r="O261" s="102">
        <v>5.0</v>
      </c>
      <c r="S261" s="230"/>
      <c r="T261" s="230"/>
      <c r="U261" s="230" t="str">
        <f>IF(ISNUMBER(MATCH(B261, 'Sprint 18'!B:B, 0)), "มาจาก Sprint 18", "")</f>
        <v>มาจาก Sprint 18</v>
      </c>
      <c r="V261" s="230" t="str">
        <f t="array" ref="V261">IF(ISNUMBER(MATCH(B261, 'Sprint 18'!B:B, 0)), INDEX('Sprint 18'!J:J, MATCH(B261, 'Sprint 18'!B:B, 0)), "")</f>
        <v>Ready to Staging</v>
      </c>
      <c r="W261" s="230"/>
      <c r="X261" s="102" t="s">
        <v>4247</v>
      </c>
      <c r="Y261" s="102" t="s">
        <v>4248</v>
      </c>
      <c r="Z261" s="102" t="s">
        <v>4249</v>
      </c>
      <c r="AA261" s="230"/>
      <c r="AB261" s="230"/>
      <c r="AC261" s="230"/>
      <c r="AD261" s="230"/>
      <c r="AE261" s="230"/>
      <c r="AF261" s="230"/>
    </row>
    <row r="262">
      <c r="A262" s="102" t="s">
        <v>310</v>
      </c>
      <c r="B262" s="102" t="s">
        <v>4643</v>
      </c>
      <c r="C262" s="229" t="s">
        <v>4644</v>
      </c>
      <c r="D262" s="102" t="s">
        <v>4645</v>
      </c>
      <c r="E262" s="102" t="s">
        <v>564</v>
      </c>
      <c r="F262" s="102" t="s">
        <v>565</v>
      </c>
      <c r="G262" s="102" t="s">
        <v>282</v>
      </c>
      <c r="H262" s="102" t="s">
        <v>283</v>
      </c>
      <c r="I262" s="102" t="s">
        <v>284</v>
      </c>
      <c r="J262" s="102" t="s">
        <v>34</v>
      </c>
      <c r="L262" s="229" t="s">
        <v>4646</v>
      </c>
      <c r="M262" s="229" t="s">
        <v>4561</v>
      </c>
      <c r="N262" s="229" t="s">
        <v>4647</v>
      </c>
      <c r="O262" s="102">
        <v>8.0</v>
      </c>
      <c r="P262" s="102" t="s">
        <v>4648</v>
      </c>
      <c r="S262" s="230"/>
      <c r="T262" s="102">
        <v>0.0</v>
      </c>
      <c r="U262" s="230" t="str">
        <f>IF(ISNUMBER(MATCH(B262, 'Sprint 18'!B:B, 0)), "มาจาก Sprint 18", "")</f>
        <v>มาจาก Sprint 18</v>
      </c>
      <c r="V262" s="230" t="str">
        <f t="array" ref="V262">IF(ISNUMBER(MATCH(B262, 'Sprint 18'!B:B, 0)), INDEX('Sprint 18'!J:J, MATCH(B262, 'Sprint 18'!B:B, 0)), "")</f>
        <v>Ready To Test</v>
      </c>
      <c r="W262" s="102">
        <v>86400.0</v>
      </c>
      <c r="X262" s="102" t="s">
        <v>4247</v>
      </c>
      <c r="Y262" s="102" t="s">
        <v>4248</v>
      </c>
      <c r="Z262" s="102" t="s">
        <v>4249</v>
      </c>
      <c r="AA262" s="230"/>
      <c r="AB262" s="230"/>
      <c r="AC262" s="230"/>
      <c r="AD262" s="230"/>
      <c r="AE262" s="230"/>
      <c r="AF262" s="230"/>
    </row>
    <row r="263">
      <c r="A263" s="102" t="s">
        <v>310</v>
      </c>
      <c r="B263" s="102" t="s">
        <v>2571</v>
      </c>
      <c r="C263" s="229" t="s">
        <v>2572</v>
      </c>
      <c r="D263" s="102" t="s">
        <v>2573</v>
      </c>
      <c r="E263" s="102" t="s">
        <v>564</v>
      </c>
      <c r="F263" s="102" t="s">
        <v>565</v>
      </c>
      <c r="G263" s="102" t="s">
        <v>282</v>
      </c>
      <c r="H263" s="102" t="s">
        <v>283</v>
      </c>
      <c r="I263" s="102" t="s">
        <v>515</v>
      </c>
      <c r="J263" s="102" t="s">
        <v>678</v>
      </c>
      <c r="L263" s="229" t="s">
        <v>2574</v>
      </c>
      <c r="M263" s="229" t="s">
        <v>4445</v>
      </c>
      <c r="N263" s="229" t="s">
        <v>2575</v>
      </c>
      <c r="O263" s="102">
        <v>3.0</v>
      </c>
      <c r="S263" s="230"/>
      <c r="T263" s="102">
        <v>0.0</v>
      </c>
      <c r="U263" s="230" t="str">
        <f>IF(ISNUMBER(MATCH(B263, 'Sprint 18'!B:B, 0)), "มาจาก Sprint 18", "")</f>
        <v>มาจาก Sprint 18</v>
      </c>
      <c r="V263" s="230" t="str">
        <f t="array" ref="V263">IF(ISNUMBER(MATCH(B263, 'Sprint 18'!B:B, 0)), INDEX('Sprint 18'!J:J, MATCH(B263, 'Sprint 18'!B:B, 0)), "")</f>
        <v>Ready to Staging</v>
      </c>
      <c r="W263" s="102">
        <v>28800.0</v>
      </c>
      <c r="X263" s="102" t="s">
        <v>2266</v>
      </c>
      <c r="Y263" s="102" t="s">
        <v>2267</v>
      </c>
      <c r="Z263" s="102" t="s">
        <v>2268</v>
      </c>
      <c r="AA263" s="102" t="s">
        <v>2269</v>
      </c>
      <c r="AB263" s="102" t="s">
        <v>2270</v>
      </c>
      <c r="AC263" s="230"/>
      <c r="AD263" s="230"/>
      <c r="AE263" s="230"/>
      <c r="AF263" s="230"/>
    </row>
    <row r="264">
      <c r="A264" s="102" t="s">
        <v>310</v>
      </c>
      <c r="B264" s="102" t="s">
        <v>4276</v>
      </c>
      <c r="C264" s="229" t="s">
        <v>4277</v>
      </c>
      <c r="D264" s="102" t="s">
        <v>4278</v>
      </c>
      <c r="E264" s="102" t="s">
        <v>282</v>
      </c>
      <c r="F264" s="102" t="s">
        <v>283</v>
      </c>
      <c r="G264" s="102" t="s">
        <v>316</v>
      </c>
      <c r="H264" s="102" t="s">
        <v>317</v>
      </c>
      <c r="I264" s="102" t="s">
        <v>284</v>
      </c>
      <c r="J264" s="102" t="s">
        <v>63</v>
      </c>
      <c r="L264" s="229" t="s">
        <v>4279</v>
      </c>
      <c r="M264" s="229" t="s">
        <v>4649</v>
      </c>
      <c r="O264" s="230"/>
      <c r="P264" s="102" t="s">
        <v>433</v>
      </c>
      <c r="Q264" s="102" t="s">
        <v>368</v>
      </c>
      <c r="S264" s="230"/>
      <c r="T264" s="230"/>
      <c r="U264" s="230" t="str">
        <f>IF(ISNUMBER(MATCH(B264, 'Sprint 18'!B:B, 0)), "มาจาก Sprint 18", "")</f>
        <v>มาจาก Sprint 18</v>
      </c>
      <c r="V264" s="230" t="str">
        <f t="array" ref="V264">IF(ISNUMBER(MATCH(B264, 'Sprint 18'!B:B, 0)), INDEX('Sprint 18'!J:J, MATCH(B264, 'Sprint 18'!B:B, 0)), "")</f>
        <v>To Do</v>
      </c>
      <c r="W264" s="230"/>
      <c r="X264" s="102" t="s">
        <v>4150</v>
      </c>
      <c r="Y264" s="102" t="s">
        <v>4005</v>
      </c>
      <c r="Z264" s="230"/>
      <c r="AA264" s="230"/>
      <c r="AB264" s="230"/>
      <c r="AC264" s="230"/>
      <c r="AD264" s="230"/>
      <c r="AE264" s="230"/>
      <c r="AF264" s="230"/>
    </row>
    <row r="265">
      <c r="A265" s="102" t="s">
        <v>332</v>
      </c>
      <c r="B265" s="102" t="s">
        <v>4650</v>
      </c>
      <c r="C265" s="229" t="s">
        <v>4651</v>
      </c>
      <c r="D265" s="102" t="s">
        <v>4652</v>
      </c>
      <c r="E265" s="102" t="s">
        <v>353</v>
      </c>
      <c r="F265" s="102" t="s">
        <v>354</v>
      </c>
      <c r="G265" s="102" t="s">
        <v>316</v>
      </c>
      <c r="H265" s="102" t="s">
        <v>317</v>
      </c>
      <c r="I265" s="102" t="s">
        <v>284</v>
      </c>
      <c r="J265" s="102" t="s">
        <v>336</v>
      </c>
      <c r="L265" s="229" t="s">
        <v>4653</v>
      </c>
      <c r="M265" s="229" t="s">
        <v>4654</v>
      </c>
      <c r="N265" s="229" t="s">
        <v>4655</v>
      </c>
      <c r="O265" s="230"/>
      <c r="P265" s="102" t="s">
        <v>538</v>
      </c>
      <c r="Q265" s="102" t="s">
        <v>4656</v>
      </c>
      <c r="S265" s="230"/>
      <c r="T265" s="230"/>
      <c r="U265" s="230" t="str">
        <f>IF(ISNUMBER(MATCH(B265, 'Sprint 18'!B:B, 0)), "มาจาก Sprint 18", "")</f>
        <v>มาจาก Sprint 18</v>
      </c>
      <c r="V265" s="230" t="str">
        <f t="array" ref="V265">IF(ISNUMBER(MATCH(B265, 'Sprint 18'!B:B, 0)), INDEX('Sprint 18'!J:J, MATCH(B265, 'Sprint 18'!B:B, 0)), "")</f>
        <v>Resolved</v>
      </c>
      <c r="W265" s="230"/>
      <c r="X265" s="102" t="s">
        <v>4657</v>
      </c>
      <c r="Y265" s="102" t="s">
        <v>4150</v>
      </c>
      <c r="Z265" s="102" t="s">
        <v>4005</v>
      </c>
      <c r="AA265" s="230"/>
      <c r="AB265" s="230"/>
      <c r="AC265" s="230"/>
      <c r="AD265" s="230"/>
      <c r="AE265" s="230"/>
      <c r="AF265" s="230"/>
    </row>
    <row r="266">
      <c r="A266" s="102" t="s">
        <v>332</v>
      </c>
      <c r="B266" s="102" t="s">
        <v>4658</v>
      </c>
      <c r="C266" s="229" t="s">
        <v>4659</v>
      </c>
      <c r="D266" s="102" t="s">
        <v>4660</v>
      </c>
      <c r="E266" s="102" t="s">
        <v>564</v>
      </c>
      <c r="F266" s="102" t="s">
        <v>565</v>
      </c>
      <c r="G266" s="102" t="s">
        <v>316</v>
      </c>
      <c r="H266" s="102" t="s">
        <v>317</v>
      </c>
      <c r="I266" s="102" t="s">
        <v>648</v>
      </c>
      <c r="J266" s="102" t="s">
        <v>336</v>
      </c>
      <c r="L266" s="229" t="s">
        <v>4661</v>
      </c>
      <c r="M266" s="229" t="s">
        <v>4662</v>
      </c>
      <c r="N266" s="229" t="s">
        <v>4663</v>
      </c>
      <c r="O266" s="230"/>
      <c r="P266" s="102" t="s">
        <v>481</v>
      </c>
      <c r="Q266" s="102" t="s">
        <v>4656</v>
      </c>
      <c r="R266" s="102" t="s">
        <v>367</v>
      </c>
      <c r="S266" s="102" t="s">
        <v>368</v>
      </c>
      <c r="T266" s="230"/>
      <c r="U266" s="230" t="str">
        <f>IF(ISNUMBER(MATCH(B266, 'Sprint 18'!B:B, 0)), "มาจาก Sprint 18", "")</f>
        <v>มาจาก Sprint 18</v>
      </c>
      <c r="V266" s="230" t="str">
        <f t="array" ref="V266">IF(ISNUMBER(MATCH(B266, 'Sprint 18'!B:B, 0)), INDEX('Sprint 18'!J:J, MATCH(B266, 'Sprint 18'!B:B, 0)), "")</f>
        <v>Resolved</v>
      </c>
      <c r="W266" s="230"/>
      <c r="X266" s="102" t="s">
        <v>4657</v>
      </c>
      <c r="Y266" s="102" t="s">
        <v>2266</v>
      </c>
      <c r="Z266" s="102" t="s">
        <v>4150</v>
      </c>
      <c r="AA266" s="102" t="s">
        <v>4005</v>
      </c>
      <c r="AB266" s="230"/>
      <c r="AC266" s="230"/>
      <c r="AD266" s="230"/>
      <c r="AE266" s="230"/>
      <c r="AF266" s="230"/>
    </row>
    <row r="267">
      <c r="O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  <c r="AC267" s="230"/>
      <c r="AD267" s="230"/>
      <c r="AE267" s="230"/>
      <c r="AF267" s="230"/>
    </row>
    <row r="268">
      <c r="O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  <c r="AC268" s="230"/>
      <c r="AD268" s="230"/>
      <c r="AE268" s="230"/>
      <c r="AF268" s="230"/>
    </row>
    <row r="269">
      <c r="O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  <c r="AC269" s="230"/>
      <c r="AD269" s="230"/>
      <c r="AE269" s="230"/>
      <c r="AF269" s="230"/>
    </row>
    <row r="270">
      <c r="O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  <c r="AC270" s="230"/>
      <c r="AD270" s="230"/>
      <c r="AE270" s="230"/>
      <c r="AF270" s="230"/>
    </row>
    <row r="271">
      <c r="O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  <c r="AC271" s="230"/>
      <c r="AD271" s="230"/>
      <c r="AE271" s="230"/>
      <c r="AF271" s="230"/>
    </row>
    <row r="272">
      <c r="O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  <c r="AC272" s="230"/>
      <c r="AD272" s="230"/>
      <c r="AE272" s="230"/>
      <c r="AF272" s="230"/>
    </row>
    <row r="273">
      <c r="O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  <c r="AC273" s="230"/>
      <c r="AD273" s="230"/>
      <c r="AE273" s="230"/>
      <c r="AF273" s="230"/>
    </row>
    <row r="274">
      <c r="O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  <c r="AC274" s="230"/>
      <c r="AD274" s="230"/>
      <c r="AE274" s="230"/>
      <c r="AF274" s="230"/>
    </row>
    <row r="275">
      <c r="O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  <c r="AF275" s="230"/>
    </row>
    <row r="276">
      <c r="O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  <c r="AC276" s="230"/>
      <c r="AD276" s="230"/>
      <c r="AE276" s="230"/>
      <c r="AF276" s="230"/>
    </row>
    <row r="277">
      <c r="O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  <c r="AC277" s="230"/>
      <c r="AD277" s="230"/>
      <c r="AE277" s="230"/>
      <c r="AF277" s="230"/>
    </row>
    <row r="278">
      <c r="O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  <c r="AC278" s="230"/>
      <c r="AD278" s="230"/>
      <c r="AE278" s="230"/>
      <c r="AF278" s="230"/>
    </row>
    <row r="279">
      <c r="O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  <c r="AC279" s="230"/>
      <c r="AD279" s="230"/>
      <c r="AE279" s="230"/>
      <c r="AF279" s="230"/>
    </row>
    <row r="280">
      <c r="O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  <c r="AC280" s="230"/>
      <c r="AD280" s="230"/>
      <c r="AE280" s="230"/>
      <c r="AF280" s="230"/>
    </row>
    <row r="281">
      <c r="O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  <c r="AC281" s="230"/>
      <c r="AD281" s="230"/>
      <c r="AE281" s="230"/>
      <c r="AF281" s="230"/>
    </row>
    <row r="282">
      <c r="O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  <c r="AC282" s="230"/>
      <c r="AD282" s="230"/>
      <c r="AE282" s="230"/>
      <c r="AF282" s="230"/>
    </row>
    <row r="283">
      <c r="O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  <c r="AC283" s="230"/>
      <c r="AD283" s="230"/>
      <c r="AE283" s="230"/>
      <c r="AF283" s="230"/>
    </row>
    <row r="284">
      <c r="O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  <c r="AC284" s="230"/>
      <c r="AD284" s="230"/>
      <c r="AE284" s="230"/>
      <c r="AF284" s="230"/>
    </row>
    <row r="285">
      <c r="O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  <c r="AC285" s="230"/>
      <c r="AD285" s="230"/>
      <c r="AE285" s="230"/>
      <c r="AF285" s="230"/>
    </row>
    <row r="286">
      <c r="O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  <c r="AC286" s="230"/>
      <c r="AD286" s="230"/>
      <c r="AE286" s="230"/>
      <c r="AF286" s="230"/>
    </row>
    <row r="287">
      <c r="O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  <c r="AD287" s="230"/>
      <c r="AE287" s="230"/>
      <c r="AF287" s="230"/>
    </row>
    <row r="288">
      <c r="O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  <c r="AC288" s="230"/>
      <c r="AD288" s="230"/>
      <c r="AE288" s="230"/>
      <c r="AF288" s="230"/>
    </row>
    <row r="289">
      <c r="O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  <c r="AC289" s="230"/>
      <c r="AD289" s="230"/>
      <c r="AE289" s="230"/>
      <c r="AF289" s="230"/>
    </row>
    <row r="290">
      <c r="O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  <c r="AC290" s="230"/>
      <c r="AD290" s="230"/>
      <c r="AE290" s="230"/>
      <c r="AF290" s="230"/>
    </row>
    <row r="291">
      <c r="O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  <c r="AC291" s="230"/>
      <c r="AD291" s="230"/>
      <c r="AE291" s="230"/>
      <c r="AF291" s="230"/>
    </row>
    <row r="292">
      <c r="O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  <c r="AC292" s="230"/>
      <c r="AD292" s="230"/>
      <c r="AE292" s="230"/>
      <c r="AF292" s="230"/>
    </row>
    <row r="293">
      <c r="O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  <c r="AC293" s="230"/>
      <c r="AD293" s="230"/>
      <c r="AE293" s="230"/>
      <c r="AF293" s="230"/>
    </row>
    <row r="294">
      <c r="O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  <c r="AD294" s="230"/>
      <c r="AE294" s="230"/>
      <c r="AF294" s="230"/>
    </row>
    <row r="295">
      <c r="O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  <c r="AF295" s="230"/>
    </row>
    <row r="296">
      <c r="O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  <c r="AD296" s="230"/>
      <c r="AE296" s="230"/>
      <c r="AF296" s="230"/>
    </row>
    <row r="297">
      <c r="O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  <c r="AD297" s="230"/>
      <c r="AE297" s="230"/>
      <c r="AF297" s="230"/>
    </row>
    <row r="298">
      <c r="O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  <c r="AD298" s="230"/>
      <c r="AE298" s="230"/>
      <c r="AF298" s="230"/>
    </row>
    <row r="299">
      <c r="O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  <c r="AD299" s="230"/>
      <c r="AE299" s="230"/>
      <c r="AF299" s="230"/>
    </row>
    <row r="300">
      <c r="O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  <c r="AD300" s="230"/>
      <c r="AE300" s="230"/>
      <c r="AF300" s="230"/>
    </row>
    <row r="301">
      <c r="O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  <c r="AD301" s="230"/>
      <c r="AE301" s="230"/>
      <c r="AF301" s="230"/>
    </row>
    <row r="302">
      <c r="O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  <c r="AD302" s="230"/>
      <c r="AE302" s="230"/>
      <c r="AF302" s="230"/>
    </row>
    <row r="303">
      <c r="O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  <c r="AD303" s="230"/>
      <c r="AE303" s="230"/>
      <c r="AF303" s="230"/>
    </row>
    <row r="304">
      <c r="O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  <c r="AD304" s="230"/>
      <c r="AE304" s="230"/>
      <c r="AF304" s="230"/>
    </row>
    <row r="305">
      <c r="O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  <c r="AD305" s="230"/>
      <c r="AE305" s="230"/>
      <c r="AF305" s="230"/>
    </row>
    <row r="306">
      <c r="O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</row>
    <row r="307">
      <c r="O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  <c r="AD307" s="230"/>
      <c r="AE307" s="230"/>
      <c r="AF307" s="230"/>
    </row>
    <row r="308">
      <c r="O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  <c r="AF308" s="230"/>
    </row>
    <row r="309">
      <c r="O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  <c r="AD309" s="230"/>
      <c r="AE309" s="230"/>
      <c r="AF309" s="230"/>
    </row>
    <row r="310">
      <c r="O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  <c r="AD310" s="230"/>
      <c r="AE310" s="230"/>
      <c r="AF310" s="230"/>
    </row>
    <row r="311">
      <c r="O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</row>
    <row r="312">
      <c r="O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</row>
    <row r="313">
      <c r="O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</row>
    <row r="314">
      <c r="O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</row>
    <row r="315">
      <c r="O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</row>
    <row r="316">
      <c r="O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</row>
    <row r="317">
      <c r="O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</row>
    <row r="318">
      <c r="O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</row>
    <row r="319">
      <c r="O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</row>
    <row r="320">
      <c r="O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</row>
    <row r="321">
      <c r="O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</row>
    <row r="322">
      <c r="O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</row>
    <row r="323">
      <c r="O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</row>
    <row r="324">
      <c r="O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</row>
    <row r="325">
      <c r="O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</row>
    <row r="326">
      <c r="O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</row>
    <row r="327">
      <c r="O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</row>
    <row r="328">
      <c r="O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</row>
    <row r="329">
      <c r="O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</row>
    <row r="330">
      <c r="O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</row>
    <row r="331">
      <c r="O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</row>
    <row r="332">
      <c r="O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</row>
    <row r="333">
      <c r="O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</row>
    <row r="334">
      <c r="O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</row>
    <row r="335">
      <c r="O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</row>
    <row r="336">
      <c r="O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</row>
    <row r="337">
      <c r="O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</row>
    <row r="338">
      <c r="O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</row>
    <row r="339">
      <c r="O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</row>
    <row r="340">
      <c r="O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</row>
    <row r="341">
      <c r="O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</row>
    <row r="342">
      <c r="O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</row>
    <row r="343">
      <c r="O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</row>
    <row r="344">
      <c r="O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</row>
    <row r="345">
      <c r="O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</row>
    <row r="346">
      <c r="O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</row>
    <row r="347">
      <c r="O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</row>
    <row r="348">
      <c r="O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</row>
    <row r="349">
      <c r="O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</row>
    <row r="350">
      <c r="O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</row>
    <row r="351">
      <c r="O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</row>
    <row r="352">
      <c r="O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</row>
    <row r="353">
      <c r="O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</row>
    <row r="354">
      <c r="O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</row>
    <row r="355">
      <c r="O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</row>
    <row r="356">
      <c r="O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</row>
    <row r="357">
      <c r="O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</row>
    <row r="358">
      <c r="O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</row>
    <row r="359">
      <c r="O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</row>
    <row r="360">
      <c r="O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</row>
    <row r="361">
      <c r="O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</row>
    <row r="362">
      <c r="O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</row>
    <row r="363">
      <c r="O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</row>
    <row r="364">
      <c r="O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</row>
    <row r="365">
      <c r="O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</row>
    <row r="366">
      <c r="O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</row>
    <row r="367">
      <c r="O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</row>
    <row r="368">
      <c r="O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</row>
    <row r="369">
      <c r="O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</row>
    <row r="370">
      <c r="O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</row>
    <row r="371">
      <c r="O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</row>
    <row r="372">
      <c r="O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</row>
    <row r="373">
      <c r="O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</row>
    <row r="374">
      <c r="O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</row>
    <row r="375">
      <c r="O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</row>
    <row r="376">
      <c r="O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</row>
    <row r="377">
      <c r="O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</row>
    <row r="378">
      <c r="O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</row>
    <row r="379">
      <c r="O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</row>
    <row r="380">
      <c r="O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</row>
    <row r="381">
      <c r="O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</row>
    <row r="382">
      <c r="O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</row>
    <row r="383">
      <c r="O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</row>
    <row r="384">
      <c r="O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</row>
    <row r="385">
      <c r="O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</row>
    <row r="386">
      <c r="O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</row>
    <row r="387">
      <c r="O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</row>
    <row r="388">
      <c r="O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</row>
    <row r="389">
      <c r="O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</row>
    <row r="390">
      <c r="O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</row>
    <row r="391">
      <c r="O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</row>
    <row r="392">
      <c r="O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</row>
    <row r="393">
      <c r="O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</row>
    <row r="394">
      <c r="O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</row>
    <row r="395">
      <c r="O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</row>
    <row r="396">
      <c r="O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</row>
    <row r="397">
      <c r="O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</row>
    <row r="398">
      <c r="O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</row>
    <row r="399">
      <c r="O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</row>
    <row r="400">
      <c r="O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</row>
    <row r="401">
      <c r="O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</row>
    <row r="402">
      <c r="O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</row>
    <row r="403">
      <c r="O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</row>
    <row r="404">
      <c r="O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</row>
    <row r="405">
      <c r="O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</row>
    <row r="406">
      <c r="O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</row>
    <row r="407">
      <c r="O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</row>
    <row r="408">
      <c r="O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</row>
    <row r="409">
      <c r="O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</row>
    <row r="410">
      <c r="O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</row>
    <row r="411">
      <c r="O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</row>
    <row r="412">
      <c r="O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</row>
    <row r="413">
      <c r="O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</row>
    <row r="414">
      <c r="O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</row>
    <row r="415">
      <c r="O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</row>
    <row r="416">
      <c r="O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</row>
    <row r="417">
      <c r="O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</row>
    <row r="418">
      <c r="O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</row>
    <row r="419">
      <c r="O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</row>
    <row r="420">
      <c r="O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</row>
    <row r="421">
      <c r="O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</row>
    <row r="422">
      <c r="O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</row>
    <row r="423">
      <c r="O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</row>
    <row r="424">
      <c r="O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</row>
    <row r="425">
      <c r="O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</row>
    <row r="426">
      <c r="O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</row>
    <row r="427">
      <c r="O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</row>
    <row r="428">
      <c r="O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</row>
    <row r="429">
      <c r="O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</row>
    <row r="430">
      <c r="O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</row>
    <row r="431">
      <c r="O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</row>
    <row r="432">
      <c r="O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</row>
    <row r="433">
      <c r="O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</row>
    <row r="434">
      <c r="O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</row>
    <row r="435">
      <c r="O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</row>
    <row r="436">
      <c r="O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</row>
    <row r="437">
      <c r="O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</row>
    <row r="438">
      <c r="O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</row>
    <row r="439">
      <c r="O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</row>
    <row r="440">
      <c r="O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</row>
    <row r="441">
      <c r="O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</row>
    <row r="442">
      <c r="O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</row>
    <row r="443">
      <c r="O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</row>
    <row r="444">
      <c r="O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</row>
    <row r="445">
      <c r="O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</row>
    <row r="446">
      <c r="O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</row>
    <row r="447">
      <c r="O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</row>
    <row r="448">
      <c r="O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</row>
    <row r="449">
      <c r="O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</row>
    <row r="450">
      <c r="O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</row>
    <row r="451">
      <c r="O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</row>
    <row r="452">
      <c r="O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</row>
    <row r="453">
      <c r="O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</row>
    <row r="454">
      <c r="O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</row>
    <row r="455">
      <c r="O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</row>
    <row r="456">
      <c r="O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</row>
    <row r="457">
      <c r="O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</row>
    <row r="458">
      <c r="O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</row>
    <row r="459">
      <c r="O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</row>
    <row r="460">
      <c r="O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</row>
    <row r="461">
      <c r="O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</row>
    <row r="462">
      <c r="O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</row>
    <row r="463">
      <c r="O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</row>
    <row r="464">
      <c r="O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</row>
    <row r="465">
      <c r="O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</row>
    <row r="466">
      <c r="O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</row>
    <row r="467">
      <c r="O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</row>
    <row r="468">
      <c r="O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</row>
    <row r="469">
      <c r="O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</row>
    <row r="470">
      <c r="O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</row>
    <row r="471">
      <c r="O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</row>
    <row r="472">
      <c r="O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</row>
    <row r="473">
      <c r="O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</row>
    <row r="474">
      <c r="O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</row>
    <row r="475">
      <c r="O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</row>
    <row r="476">
      <c r="O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</row>
    <row r="477">
      <c r="O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</row>
    <row r="478">
      <c r="O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</row>
    <row r="479">
      <c r="O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</row>
    <row r="480">
      <c r="O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</row>
    <row r="481">
      <c r="O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</row>
    <row r="482">
      <c r="O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</row>
    <row r="483">
      <c r="O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</row>
    <row r="484">
      <c r="O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</row>
    <row r="485">
      <c r="O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</row>
    <row r="486">
      <c r="O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</row>
    <row r="487">
      <c r="O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</row>
    <row r="488">
      <c r="O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</row>
    <row r="489">
      <c r="O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</row>
    <row r="490">
      <c r="O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</row>
    <row r="491">
      <c r="O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</row>
    <row r="492">
      <c r="O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</row>
    <row r="493">
      <c r="O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</row>
    <row r="494">
      <c r="O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</row>
    <row r="495">
      <c r="O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</row>
    <row r="496">
      <c r="O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</row>
    <row r="497">
      <c r="O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</row>
    <row r="498">
      <c r="O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</row>
    <row r="499">
      <c r="O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</row>
    <row r="500">
      <c r="O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</row>
    <row r="501">
      <c r="O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</row>
    <row r="502">
      <c r="O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</row>
    <row r="503">
      <c r="O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</row>
    <row r="504">
      <c r="O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</row>
    <row r="505">
      <c r="O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</row>
    <row r="506">
      <c r="O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</row>
    <row r="507">
      <c r="O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</row>
    <row r="508">
      <c r="O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</row>
    <row r="509">
      <c r="O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</row>
    <row r="510">
      <c r="O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</row>
    <row r="511">
      <c r="O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</row>
    <row r="512">
      <c r="O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</row>
    <row r="513">
      <c r="O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</row>
    <row r="514">
      <c r="O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</row>
    <row r="515">
      <c r="O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</row>
    <row r="516">
      <c r="O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</row>
    <row r="517">
      <c r="O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</row>
    <row r="518">
      <c r="O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</row>
    <row r="519">
      <c r="O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</row>
    <row r="520">
      <c r="O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</row>
    <row r="521">
      <c r="O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</row>
    <row r="522">
      <c r="O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</row>
    <row r="523">
      <c r="O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</row>
    <row r="524">
      <c r="O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</row>
    <row r="525">
      <c r="O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</row>
    <row r="526">
      <c r="O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</row>
    <row r="527">
      <c r="O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</row>
    <row r="528">
      <c r="O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</row>
    <row r="529">
      <c r="O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</row>
    <row r="530">
      <c r="O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</row>
    <row r="531">
      <c r="O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</row>
    <row r="532">
      <c r="O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</row>
    <row r="533">
      <c r="O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</row>
    <row r="534">
      <c r="O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</row>
    <row r="535">
      <c r="O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</row>
    <row r="536">
      <c r="O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</row>
    <row r="537">
      <c r="O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</row>
    <row r="538">
      <c r="O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</row>
    <row r="539">
      <c r="O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</row>
    <row r="540">
      <c r="O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</row>
    <row r="541">
      <c r="O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</row>
    <row r="542">
      <c r="O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</row>
    <row r="543">
      <c r="O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</row>
    <row r="544">
      <c r="O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</row>
    <row r="545">
      <c r="O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</row>
    <row r="546">
      <c r="O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</row>
    <row r="547">
      <c r="O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</row>
    <row r="548">
      <c r="O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</row>
    <row r="549">
      <c r="O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</row>
    <row r="550">
      <c r="O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</row>
    <row r="551">
      <c r="O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</row>
    <row r="552">
      <c r="O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</row>
    <row r="553">
      <c r="O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</row>
    <row r="554">
      <c r="O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</row>
    <row r="555">
      <c r="O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</row>
    <row r="556">
      <c r="O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</row>
    <row r="557">
      <c r="O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</row>
    <row r="558">
      <c r="O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</row>
    <row r="559">
      <c r="O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</row>
    <row r="560">
      <c r="O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</row>
    <row r="561">
      <c r="O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</row>
    <row r="562">
      <c r="O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</row>
    <row r="563">
      <c r="O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</row>
    <row r="564">
      <c r="O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</row>
    <row r="565">
      <c r="O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</row>
    <row r="566">
      <c r="O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</row>
    <row r="567">
      <c r="O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</row>
    <row r="568">
      <c r="O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</row>
    <row r="569">
      <c r="O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</row>
    <row r="570">
      <c r="O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</row>
    <row r="571">
      <c r="O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</row>
    <row r="572">
      <c r="O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</row>
    <row r="573">
      <c r="O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</row>
    <row r="574">
      <c r="O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</row>
    <row r="575">
      <c r="O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</row>
    <row r="576">
      <c r="O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</row>
    <row r="577">
      <c r="O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</row>
    <row r="578">
      <c r="O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</row>
    <row r="579">
      <c r="O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</row>
    <row r="580">
      <c r="O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</row>
    <row r="581">
      <c r="O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</row>
    <row r="582">
      <c r="O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</row>
    <row r="583">
      <c r="O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</row>
    <row r="584">
      <c r="O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</row>
    <row r="585">
      <c r="O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</row>
    <row r="586">
      <c r="O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</row>
    <row r="587">
      <c r="O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</row>
    <row r="588">
      <c r="O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</row>
    <row r="589">
      <c r="O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</row>
    <row r="590">
      <c r="O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</row>
    <row r="591">
      <c r="O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</row>
    <row r="592">
      <c r="O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</row>
    <row r="593">
      <c r="O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</row>
    <row r="594">
      <c r="O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</row>
    <row r="595">
      <c r="O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</row>
    <row r="596">
      <c r="O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</row>
    <row r="597">
      <c r="O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</row>
    <row r="598">
      <c r="O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</row>
    <row r="599">
      <c r="O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</row>
    <row r="600">
      <c r="O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</row>
    <row r="601">
      <c r="O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</row>
    <row r="602">
      <c r="O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</row>
    <row r="603">
      <c r="O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</row>
    <row r="604">
      <c r="O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</row>
    <row r="605">
      <c r="O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</row>
    <row r="606">
      <c r="O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</row>
    <row r="607">
      <c r="O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</row>
    <row r="608">
      <c r="O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</row>
    <row r="609">
      <c r="O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</row>
    <row r="610">
      <c r="O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</row>
    <row r="611">
      <c r="O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</row>
    <row r="612">
      <c r="O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</row>
    <row r="613">
      <c r="O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</row>
    <row r="614">
      <c r="O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</row>
    <row r="615">
      <c r="O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</row>
    <row r="616">
      <c r="O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</row>
    <row r="617">
      <c r="O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</row>
    <row r="618">
      <c r="O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</row>
    <row r="619">
      <c r="O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</row>
    <row r="620">
      <c r="O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</row>
    <row r="621">
      <c r="O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</row>
    <row r="622">
      <c r="O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</row>
    <row r="623">
      <c r="O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</row>
    <row r="624">
      <c r="O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</row>
    <row r="625">
      <c r="O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</row>
    <row r="626">
      <c r="O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</row>
    <row r="627">
      <c r="O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</row>
    <row r="628">
      <c r="O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</row>
    <row r="629">
      <c r="O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</row>
    <row r="630">
      <c r="O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</row>
    <row r="631">
      <c r="O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</row>
    <row r="632">
      <c r="O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</row>
    <row r="633">
      <c r="O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</row>
    <row r="634">
      <c r="O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</row>
    <row r="635">
      <c r="O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</row>
    <row r="636">
      <c r="O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</row>
    <row r="637">
      <c r="O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</row>
    <row r="638">
      <c r="O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</row>
    <row r="639">
      <c r="O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</row>
    <row r="640">
      <c r="O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</row>
    <row r="641">
      <c r="O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</row>
    <row r="642">
      <c r="O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</row>
    <row r="643">
      <c r="O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</row>
    <row r="644">
      <c r="O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</row>
    <row r="645">
      <c r="O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</row>
    <row r="646">
      <c r="O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</row>
    <row r="647">
      <c r="O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</row>
    <row r="648">
      <c r="O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</row>
    <row r="649">
      <c r="O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</row>
    <row r="650">
      <c r="O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</row>
    <row r="651">
      <c r="O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</row>
    <row r="652">
      <c r="O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</row>
    <row r="653">
      <c r="O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</row>
    <row r="654">
      <c r="O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</row>
    <row r="655">
      <c r="O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</row>
    <row r="656">
      <c r="O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</row>
    <row r="657">
      <c r="O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</row>
    <row r="658">
      <c r="O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</row>
    <row r="659">
      <c r="O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</row>
    <row r="660">
      <c r="O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</row>
    <row r="661">
      <c r="O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</row>
    <row r="662">
      <c r="O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</row>
    <row r="663">
      <c r="O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</row>
    <row r="664">
      <c r="O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</row>
    <row r="665">
      <c r="O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</row>
    <row r="666">
      <c r="O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</row>
    <row r="667">
      <c r="O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</row>
    <row r="668">
      <c r="O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</row>
    <row r="669">
      <c r="O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</row>
    <row r="670">
      <c r="O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</row>
    <row r="671">
      <c r="O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</row>
    <row r="672">
      <c r="O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</row>
    <row r="673">
      <c r="O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</row>
    <row r="674">
      <c r="O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</row>
    <row r="675">
      <c r="O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</row>
    <row r="676">
      <c r="O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</row>
    <row r="677">
      <c r="O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</row>
    <row r="678">
      <c r="O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</row>
    <row r="679">
      <c r="O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</row>
    <row r="680">
      <c r="O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</row>
    <row r="681">
      <c r="O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</row>
    <row r="682">
      <c r="O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</row>
    <row r="683">
      <c r="O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</row>
    <row r="684">
      <c r="O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</row>
    <row r="685">
      <c r="O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</row>
    <row r="686">
      <c r="O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</row>
    <row r="687">
      <c r="O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</row>
    <row r="688">
      <c r="O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</row>
    <row r="689">
      <c r="O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</row>
    <row r="690">
      <c r="O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</row>
    <row r="691">
      <c r="O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</row>
    <row r="692">
      <c r="O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</row>
    <row r="693">
      <c r="O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</row>
    <row r="694">
      <c r="O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</row>
    <row r="695">
      <c r="O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</row>
    <row r="696">
      <c r="O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</row>
    <row r="697">
      <c r="O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</row>
    <row r="698">
      <c r="O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</row>
    <row r="699">
      <c r="O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</row>
    <row r="700">
      <c r="O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</row>
    <row r="701">
      <c r="O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</row>
    <row r="702">
      <c r="O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</row>
    <row r="703">
      <c r="O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</row>
    <row r="704">
      <c r="O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</row>
    <row r="705">
      <c r="O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</row>
    <row r="706">
      <c r="O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</row>
    <row r="707">
      <c r="O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</row>
    <row r="708">
      <c r="O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</row>
    <row r="709">
      <c r="O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</row>
    <row r="710">
      <c r="O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</row>
    <row r="711">
      <c r="O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</row>
    <row r="712">
      <c r="O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</row>
    <row r="713">
      <c r="O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</row>
    <row r="714">
      <c r="O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</row>
    <row r="715">
      <c r="O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</row>
    <row r="716">
      <c r="O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</row>
    <row r="717">
      <c r="O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</row>
    <row r="718">
      <c r="O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</row>
    <row r="719">
      <c r="O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</row>
    <row r="720">
      <c r="O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</row>
    <row r="721">
      <c r="O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</row>
    <row r="722">
      <c r="O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</row>
    <row r="723">
      <c r="O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</row>
    <row r="724">
      <c r="O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</row>
    <row r="725">
      <c r="O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</row>
    <row r="726">
      <c r="O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</row>
    <row r="727">
      <c r="O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</row>
    <row r="728">
      <c r="O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</row>
    <row r="729">
      <c r="O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</row>
    <row r="730">
      <c r="O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</row>
    <row r="731">
      <c r="O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</row>
    <row r="732">
      <c r="O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</row>
    <row r="733">
      <c r="O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</row>
    <row r="734">
      <c r="O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</row>
    <row r="735">
      <c r="O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</row>
    <row r="736">
      <c r="O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</row>
    <row r="737">
      <c r="O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</row>
    <row r="738">
      <c r="O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</row>
    <row r="739">
      <c r="O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</row>
    <row r="740">
      <c r="O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</row>
    <row r="741">
      <c r="O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</row>
    <row r="742">
      <c r="O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</row>
    <row r="743">
      <c r="O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</row>
    <row r="744">
      <c r="O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</row>
    <row r="745">
      <c r="O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</row>
    <row r="746">
      <c r="O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</row>
    <row r="747">
      <c r="O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</row>
    <row r="748">
      <c r="O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</row>
    <row r="749">
      <c r="O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</row>
    <row r="750">
      <c r="O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</row>
    <row r="751">
      <c r="O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</row>
    <row r="752">
      <c r="O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</row>
    <row r="753">
      <c r="O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</row>
    <row r="754">
      <c r="O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</row>
    <row r="755">
      <c r="O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</row>
    <row r="756">
      <c r="O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</row>
    <row r="757">
      <c r="O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</row>
    <row r="758">
      <c r="O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</row>
    <row r="759">
      <c r="O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</row>
    <row r="760">
      <c r="O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</row>
    <row r="761">
      <c r="O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</row>
    <row r="762">
      <c r="O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</row>
    <row r="763">
      <c r="O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</row>
    <row r="764">
      <c r="O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</row>
    <row r="765">
      <c r="O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</row>
    <row r="766">
      <c r="O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</row>
    <row r="767">
      <c r="O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</row>
    <row r="768">
      <c r="O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</row>
    <row r="769">
      <c r="O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</row>
    <row r="770">
      <c r="O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</row>
    <row r="771">
      <c r="O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</row>
    <row r="772">
      <c r="O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</row>
    <row r="773">
      <c r="O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</row>
    <row r="774">
      <c r="O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</row>
    <row r="775">
      <c r="O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</row>
    <row r="776">
      <c r="O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</row>
    <row r="777">
      <c r="O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</row>
    <row r="778">
      <c r="O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</row>
    <row r="779">
      <c r="O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</row>
    <row r="780">
      <c r="O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</row>
    <row r="781">
      <c r="O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</row>
    <row r="782">
      <c r="O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</row>
    <row r="783">
      <c r="O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</row>
    <row r="784">
      <c r="O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</row>
    <row r="785">
      <c r="O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</row>
    <row r="786">
      <c r="O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</row>
    <row r="787">
      <c r="O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</row>
    <row r="788">
      <c r="O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</row>
    <row r="789">
      <c r="O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</row>
    <row r="790">
      <c r="O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</row>
    <row r="791">
      <c r="O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</row>
    <row r="792">
      <c r="O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</row>
    <row r="793">
      <c r="O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</row>
    <row r="794">
      <c r="O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</row>
    <row r="795">
      <c r="O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</row>
    <row r="796">
      <c r="O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</row>
    <row r="797">
      <c r="O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</row>
    <row r="798">
      <c r="O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</row>
    <row r="799">
      <c r="O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</row>
    <row r="800">
      <c r="O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</row>
    <row r="801">
      <c r="O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</row>
    <row r="802">
      <c r="O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</row>
    <row r="803">
      <c r="O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</row>
    <row r="804">
      <c r="O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</row>
    <row r="805">
      <c r="O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</row>
    <row r="806">
      <c r="O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</row>
    <row r="807">
      <c r="O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</row>
    <row r="808">
      <c r="O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</row>
    <row r="809">
      <c r="O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</row>
    <row r="810">
      <c r="O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</row>
    <row r="811">
      <c r="O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</row>
    <row r="812">
      <c r="O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</row>
    <row r="813">
      <c r="O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</row>
    <row r="814">
      <c r="O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</row>
    <row r="815">
      <c r="O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</row>
    <row r="816">
      <c r="O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</row>
    <row r="817">
      <c r="O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</row>
    <row r="818">
      <c r="O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</row>
    <row r="819">
      <c r="O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</row>
    <row r="820">
      <c r="O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</row>
    <row r="821">
      <c r="O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</row>
    <row r="822">
      <c r="O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</row>
    <row r="823">
      <c r="O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</row>
    <row r="824">
      <c r="O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</row>
    <row r="825">
      <c r="O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</row>
    <row r="826">
      <c r="O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</row>
    <row r="827">
      <c r="O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</row>
    <row r="828">
      <c r="O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</row>
    <row r="829">
      <c r="O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</row>
    <row r="830">
      <c r="O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</row>
    <row r="831">
      <c r="O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</row>
    <row r="832">
      <c r="O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</row>
    <row r="833">
      <c r="O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</row>
    <row r="834">
      <c r="O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</row>
    <row r="835">
      <c r="O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</row>
    <row r="836">
      <c r="O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</row>
    <row r="837">
      <c r="O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</row>
    <row r="838">
      <c r="O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</row>
    <row r="839">
      <c r="O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</row>
    <row r="840">
      <c r="O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</row>
    <row r="841">
      <c r="O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</row>
    <row r="842">
      <c r="O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</row>
    <row r="843">
      <c r="O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</row>
    <row r="844">
      <c r="O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</row>
    <row r="845">
      <c r="O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</row>
    <row r="846">
      <c r="O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</row>
    <row r="847">
      <c r="O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</row>
    <row r="848">
      <c r="O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</row>
    <row r="849">
      <c r="O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</row>
    <row r="850">
      <c r="O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</row>
    <row r="851">
      <c r="O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</row>
    <row r="852">
      <c r="O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</row>
    <row r="853">
      <c r="O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</row>
    <row r="854">
      <c r="O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</row>
    <row r="855">
      <c r="O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</row>
    <row r="856">
      <c r="O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</row>
    <row r="857">
      <c r="O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</row>
    <row r="858">
      <c r="O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</row>
    <row r="859">
      <c r="O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</row>
    <row r="860">
      <c r="O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</row>
    <row r="861">
      <c r="O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</row>
    <row r="862">
      <c r="O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</row>
    <row r="863">
      <c r="O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</row>
    <row r="864">
      <c r="O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</row>
    <row r="865">
      <c r="O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</row>
    <row r="866">
      <c r="O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</row>
    <row r="867">
      <c r="O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</row>
    <row r="868">
      <c r="O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</row>
    <row r="869">
      <c r="O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</row>
    <row r="870">
      <c r="O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</row>
    <row r="871">
      <c r="O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</row>
    <row r="872">
      <c r="O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</row>
    <row r="873">
      <c r="O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</row>
    <row r="874">
      <c r="O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</row>
    <row r="875">
      <c r="O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</row>
    <row r="876">
      <c r="O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</row>
    <row r="877">
      <c r="O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</row>
    <row r="878">
      <c r="O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</row>
    <row r="879">
      <c r="O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</row>
    <row r="880">
      <c r="O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</row>
    <row r="881">
      <c r="O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</row>
    <row r="882">
      <c r="O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</row>
    <row r="883">
      <c r="O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</row>
    <row r="884">
      <c r="O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</row>
    <row r="885">
      <c r="O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</row>
    <row r="886">
      <c r="O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</row>
    <row r="887">
      <c r="O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</row>
    <row r="888">
      <c r="O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</row>
    <row r="889">
      <c r="O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</row>
    <row r="890">
      <c r="O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</row>
    <row r="891">
      <c r="O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</row>
    <row r="892">
      <c r="O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</row>
    <row r="893">
      <c r="O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</row>
    <row r="894">
      <c r="O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</row>
    <row r="895">
      <c r="O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</row>
    <row r="896">
      <c r="O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</row>
    <row r="897">
      <c r="O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</row>
    <row r="898">
      <c r="O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</row>
    <row r="899">
      <c r="O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</row>
    <row r="900">
      <c r="O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</row>
    <row r="901">
      <c r="O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</row>
    <row r="902">
      <c r="O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</row>
    <row r="903">
      <c r="O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</row>
    <row r="904">
      <c r="O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</row>
    <row r="905">
      <c r="O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</row>
    <row r="906">
      <c r="O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</row>
    <row r="907">
      <c r="O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</row>
    <row r="908">
      <c r="O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</row>
    <row r="909">
      <c r="O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</row>
    <row r="910">
      <c r="O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</row>
    <row r="911">
      <c r="O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</row>
    <row r="912">
      <c r="O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</row>
    <row r="913">
      <c r="O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</row>
    <row r="914">
      <c r="O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</row>
    <row r="915">
      <c r="O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</row>
    <row r="916">
      <c r="O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</row>
    <row r="917">
      <c r="O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</row>
    <row r="918">
      <c r="O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</row>
    <row r="919">
      <c r="O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</row>
    <row r="920">
      <c r="O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</row>
    <row r="921">
      <c r="O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</row>
    <row r="922">
      <c r="O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</row>
    <row r="923">
      <c r="O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</row>
    <row r="924">
      <c r="O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</row>
    <row r="925">
      <c r="O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</row>
    <row r="926">
      <c r="O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</row>
    <row r="927">
      <c r="O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</row>
    <row r="928">
      <c r="O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</row>
    <row r="929">
      <c r="O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</row>
    <row r="930">
      <c r="O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</row>
    <row r="931">
      <c r="O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</row>
    <row r="932">
      <c r="O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</row>
    <row r="933">
      <c r="O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</row>
    <row r="934">
      <c r="O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</row>
    <row r="935">
      <c r="O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</row>
    <row r="936">
      <c r="O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</row>
    <row r="937">
      <c r="O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</row>
    <row r="938">
      <c r="O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</row>
    <row r="939">
      <c r="O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</row>
    <row r="940">
      <c r="O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</row>
    <row r="941">
      <c r="O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</row>
    <row r="942">
      <c r="O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</row>
    <row r="943">
      <c r="O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</row>
    <row r="944">
      <c r="O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</row>
    <row r="945">
      <c r="O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</row>
    <row r="946">
      <c r="O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</row>
    <row r="947">
      <c r="O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</row>
    <row r="948">
      <c r="O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</row>
    <row r="949">
      <c r="O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</row>
    <row r="950">
      <c r="O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</row>
    <row r="951">
      <c r="O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</row>
    <row r="952">
      <c r="O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</row>
    <row r="953">
      <c r="O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</row>
    <row r="954">
      <c r="O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</row>
    <row r="955">
      <c r="O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</row>
    <row r="956">
      <c r="O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</row>
    <row r="957">
      <c r="O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</row>
    <row r="958">
      <c r="O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</row>
    <row r="959">
      <c r="O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</row>
    <row r="960">
      <c r="O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</row>
    <row r="961">
      <c r="O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</row>
    <row r="962">
      <c r="O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</row>
    <row r="963">
      <c r="O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</row>
    <row r="964">
      <c r="O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</row>
    <row r="965">
      <c r="O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</row>
    <row r="966">
      <c r="O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</row>
    <row r="967">
      <c r="O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</row>
    <row r="968">
      <c r="O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</row>
    <row r="969">
      <c r="O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</row>
    <row r="970">
      <c r="O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</row>
    <row r="971">
      <c r="O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</row>
    <row r="972">
      <c r="O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</row>
    <row r="973">
      <c r="O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</row>
    <row r="974">
      <c r="O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</row>
    <row r="975">
      <c r="O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</row>
    <row r="976">
      <c r="O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</row>
    <row r="977">
      <c r="O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</row>
    <row r="978">
      <c r="O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</row>
    <row r="979">
      <c r="O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</row>
    <row r="980">
      <c r="O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</row>
    <row r="981">
      <c r="O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</row>
    <row r="982">
      <c r="O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</row>
    <row r="983">
      <c r="O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</row>
    <row r="984">
      <c r="O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</row>
    <row r="985">
      <c r="O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</row>
    <row r="986">
      <c r="O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</row>
    <row r="987">
      <c r="O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</row>
    <row r="988">
      <c r="O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</row>
    <row r="989">
      <c r="O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</row>
    <row r="990">
      <c r="O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</row>
    <row r="991">
      <c r="O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</row>
    <row r="992">
      <c r="O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</row>
    <row r="993">
      <c r="O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</row>
    <row r="994">
      <c r="O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</row>
    <row r="995">
      <c r="O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</row>
    <row r="996">
      <c r="O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</row>
    <row r="997">
      <c r="O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</row>
    <row r="998">
      <c r="O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</row>
    <row r="999">
      <c r="O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</row>
    <row r="1000">
      <c r="O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</row>
    <row r="1001">
      <c r="O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</row>
    <row r="1002">
      <c r="O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</row>
    <row r="1003">
      <c r="O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</row>
    <row r="1004">
      <c r="O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</row>
    <row r="1005">
      <c r="O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</row>
    <row r="1006">
      <c r="O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</row>
    <row r="1007">
      <c r="O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</row>
    <row r="1008">
      <c r="O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</row>
    <row r="1009">
      <c r="O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</row>
    <row r="1010">
      <c r="O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</row>
    <row r="1011">
      <c r="O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</row>
    <row r="1012">
      <c r="O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</row>
    <row r="1013">
      <c r="O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</row>
    <row r="1014">
      <c r="O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</row>
    <row r="1015">
      <c r="O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</row>
    <row r="1016">
      <c r="O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</row>
    <row r="1017">
      <c r="O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</row>
    <row r="1018">
      <c r="O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</row>
    <row r="1019">
      <c r="O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</row>
    <row r="1020">
      <c r="O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</row>
    <row r="1021">
      <c r="O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</row>
    <row r="1022">
      <c r="O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</row>
    <row r="1023">
      <c r="O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</row>
    <row r="1024">
      <c r="O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</row>
    <row r="1025">
      <c r="O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</row>
    <row r="1026">
      <c r="O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</row>
    <row r="1027">
      <c r="O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</row>
    <row r="1028">
      <c r="O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</row>
    <row r="1029">
      <c r="O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</row>
    <row r="1030">
      <c r="O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</row>
    <row r="1031">
      <c r="O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</row>
    <row r="1032">
      <c r="O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</row>
    <row r="1033">
      <c r="O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</row>
    <row r="1034">
      <c r="O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</row>
    <row r="1035">
      <c r="O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</row>
    <row r="1036">
      <c r="O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</row>
    <row r="1037">
      <c r="O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</row>
    <row r="1038">
      <c r="O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</row>
    <row r="1039">
      <c r="O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</row>
    <row r="1040">
      <c r="O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</row>
    <row r="1041">
      <c r="O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</row>
    <row r="1042">
      <c r="O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</row>
    <row r="1043">
      <c r="O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</row>
    <row r="1044">
      <c r="O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</row>
    <row r="1045">
      <c r="O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</row>
    <row r="1046">
      <c r="O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</row>
    <row r="1047">
      <c r="O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</row>
    <row r="1048">
      <c r="O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</row>
    <row r="1049">
      <c r="O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</row>
    <row r="1050">
      <c r="O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</row>
    <row r="1051">
      <c r="O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</row>
    <row r="1052">
      <c r="O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</row>
    <row r="1053">
      <c r="O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</row>
    <row r="1054">
      <c r="O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</row>
    <row r="1055">
      <c r="O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</row>
    <row r="1056">
      <c r="O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</row>
    <row r="1057">
      <c r="O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</row>
    <row r="1058">
      <c r="O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</row>
    <row r="1059">
      <c r="O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</row>
    <row r="1060">
      <c r="O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</row>
    <row r="1061">
      <c r="O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</row>
    <row r="1062">
      <c r="O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</row>
    <row r="1063">
      <c r="O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</row>
    <row r="1064">
      <c r="O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</row>
    <row r="1065">
      <c r="O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</row>
    <row r="1066">
      <c r="O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</row>
    <row r="1067">
      <c r="O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</row>
    <row r="1068">
      <c r="O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</row>
    <row r="1069">
      <c r="O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</row>
    <row r="1070">
      <c r="O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</row>
    <row r="1071">
      <c r="O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</row>
    <row r="1072">
      <c r="O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</row>
    <row r="1073">
      <c r="O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</row>
    <row r="1074">
      <c r="O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</row>
    <row r="1075">
      <c r="O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</row>
    <row r="1076">
      <c r="O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</row>
    <row r="1077">
      <c r="O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</row>
    <row r="1078">
      <c r="O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</row>
    <row r="1079">
      <c r="O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</row>
    <row r="1080">
      <c r="O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</row>
    <row r="1081">
      <c r="O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</row>
    <row r="1082">
      <c r="O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</row>
    <row r="1083">
      <c r="O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</row>
    <row r="1084">
      <c r="O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</row>
    <row r="1085">
      <c r="O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</row>
    <row r="1086">
      <c r="O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</row>
    <row r="1087">
      <c r="O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</row>
    <row r="1088">
      <c r="O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</row>
    <row r="1089">
      <c r="O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</row>
    <row r="1090">
      <c r="O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</row>
    <row r="1091">
      <c r="O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</row>
    <row r="1092">
      <c r="O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</row>
    <row r="1093">
      <c r="O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</row>
    <row r="1094">
      <c r="O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</row>
    <row r="1095">
      <c r="O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</row>
    <row r="1096">
      <c r="O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</row>
    <row r="1097">
      <c r="O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</row>
    <row r="1098">
      <c r="O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</row>
    <row r="1099">
      <c r="O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</row>
    <row r="1100">
      <c r="O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</row>
    <row r="1101">
      <c r="O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</row>
    <row r="1102">
      <c r="O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</row>
    <row r="1103">
      <c r="O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</row>
    <row r="1104">
      <c r="O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</row>
    <row r="1105">
      <c r="O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</row>
    <row r="1106">
      <c r="O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</row>
    <row r="1107">
      <c r="O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</row>
    <row r="1108">
      <c r="O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</row>
    <row r="1109">
      <c r="O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</row>
    <row r="1110">
      <c r="O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</row>
    <row r="1111">
      <c r="O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</row>
    <row r="1112">
      <c r="O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</row>
    <row r="1113">
      <c r="O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</row>
    <row r="1114">
      <c r="O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</row>
    <row r="1115">
      <c r="O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</row>
    <row r="1116">
      <c r="O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</row>
    <row r="1117">
      <c r="O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</row>
    <row r="1118">
      <c r="O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</row>
    <row r="1119">
      <c r="O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</row>
    <row r="1120">
      <c r="O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</row>
    <row r="1121">
      <c r="O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</row>
    <row r="1122">
      <c r="O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</row>
    <row r="1123">
      <c r="O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</row>
    <row r="1124">
      <c r="O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</row>
    <row r="1125">
      <c r="O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</row>
    <row r="1126">
      <c r="O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</row>
    <row r="1127">
      <c r="O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</row>
    <row r="1128">
      <c r="O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</row>
    <row r="1129">
      <c r="O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</row>
    <row r="1130">
      <c r="O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</row>
    <row r="1131">
      <c r="O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</row>
    <row r="1132">
      <c r="O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</row>
    <row r="1133">
      <c r="O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</row>
    <row r="1134">
      <c r="O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</row>
    <row r="1135">
      <c r="O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</row>
    <row r="1136">
      <c r="O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</row>
    <row r="1137">
      <c r="O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</row>
    <row r="1138">
      <c r="O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</row>
    <row r="1139">
      <c r="O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</row>
    <row r="1140">
      <c r="O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</row>
    <row r="1141">
      <c r="O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</row>
    <row r="1142">
      <c r="O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</row>
    <row r="1143">
      <c r="O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</row>
    <row r="1144">
      <c r="O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</row>
    <row r="1145">
      <c r="O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</row>
    <row r="1146">
      <c r="O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</row>
    <row r="1147">
      <c r="O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</row>
    <row r="1148">
      <c r="O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</row>
    <row r="1149">
      <c r="O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</row>
    <row r="1150">
      <c r="O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</row>
    <row r="1151">
      <c r="O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</row>
    <row r="1152">
      <c r="O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</row>
    <row r="1153">
      <c r="O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</row>
    <row r="1154">
      <c r="O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</row>
    <row r="1155">
      <c r="O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</row>
    <row r="1156">
      <c r="O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</row>
    <row r="1157">
      <c r="O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</row>
    <row r="1158">
      <c r="O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</row>
    <row r="1159">
      <c r="O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</row>
    <row r="1160">
      <c r="O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</row>
    <row r="1161">
      <c r="O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</row>
    <row r="1162">
      <c r="O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</row>
    <row r="1163">
      <c r="O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</row>
    <row r="1164">
      <c r="O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</row>
    <row r="1165">
      <c r="O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</row>
    <row r="1166">
      <c r="O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</row>
    <row r="1167">
      <c r="O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</row>
    <row r="1168">
      <c r="O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</row>
    <row r="1169">
      <c r="O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</row>
    <row r="1170">
      <c r="O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</row>
    <row r="1171">
      <c r="O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</row>
    <row r="1172">
      <c r="O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</row>
    <row r="1173">
      <c r="O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</row>
    <row r="1174">
      <c r="O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</row>
    <row r="1175">
      <c r="O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</row>
    <row r="1176">
      <c r="O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</row>
    <row r="1177">
      <c r="O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</row>
    <row r="1178">
      <c r="O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</row>
    <row r="1179">
      <c r="O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</row>
    <row r="1180">
      <c r="O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</row>
    <row r="1181">
      <c r="O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</row>
    <row r="1182">
      <c r="O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</row>
    <row r="1183">
      <c r="O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</row>
    <row r="1184">
      <c r="O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</row>
    <row r="1185">
      <c r="O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</row>
    <row r="1186">
      <c r="O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</row>
    <row r="1187">
      <c r="O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</row>
    <row r="1188">
      <c r="O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</row>
    <row r="1189">
      <c r="O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</row>
    <row r="1190">
      <c r="O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</row>
    <row r="1191">
      <c r="O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</row>
    <row r="1192">
      <c r="O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</row>
    <row r="1193">
      <c r="O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</row>
    <row r="1194">
      <c r="O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</row>
    <row r="1195">
      <c r="O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</row>
    <row r="1196">
      <c r="O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</row>
    <row r="1197">
      <c r="O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</row>
    <row r="1198">
      <c r="O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</row>
    <row r="1199">
      <c r="O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</row>
    <row r="1200">
      <c r="O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</row>
    <row r="1201">
      <c r="O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</row>
    <row r="1202">
      <c r="O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</row>
    <row r="1203">
      <c r="O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</row>
    <row r="1204">
      <c r="O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</row>
    <row r="1205">
      <c r="O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</row>
    <row r="1206">
      <c r="O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</row>
    <row r="1207">
      <c r="O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</row>
    <row r="1208">
      <c r="O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</row>
    <row r="1209">
      <c r="O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</row>
    <row r="1210">
      <c r="O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</row>
    <row r="1211">
      <c r="O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</row>
    <row r="1212">
      <c r="O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</row>
    <row r="1213">
      <c r="O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</row>
    <row r="1214">
      <c r="O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</row>
    <row r="1215">
      <c r="O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</row>
    <row r="1216">
      <c r="O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</row>
    <row r="1217">
      <c r="O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</row>
    <row r="1218">
      <c r="O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</row>
    <row r="1219">
      <c r="O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</row>
    <row r="1220">
      <c r="O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</row>
    <row r="1221">
      <c r="O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</row>
    <row r="1222">
      <c r="O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</row>
    <row r="1223">
      <c r="O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</row>
    <row r="1224">
      <c r="O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</row>
    <row r="1225">
      <c r="O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</row>
    <row r="1226">
      <c r="O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</row>
    <row r="1227">
      <c r="O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</row>
    <row r="1228">
      <c r="O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</row>
    <row r="1229">
      <c r="O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</row>
    <row r="1230">
      <c r="O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</row>
    <row r="1231">
      <c r="O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</row>
    <row r="1232">
      <c r="O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</row>
    <row r="1233">
      <c r="O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</row>
    <row r="1234">
      <c r="O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</row>
    <row r="1235">
      <c r="O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</row>
    <row r="1236">
      <c r="O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</row>
    <row r="1237">
      <c r="O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</row>
    <row r="1238">
      <c r="O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</row>
    <row r="1239">
      <c r="O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</row>
    <row r="1240">
      <c r="O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</row>
    <row r="1241">
      <c r="O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</row>
    <row r="1242">
      <c r="O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</row>
    <row r="1243">
      <c r="O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</row>
    <row r="1244">
      <c r="O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</row>
    <row r="1245">
      <c r="O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</row>
    <row r="1246">
      <c r="O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</row>
    <row r="1247">
      <c r="O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</row>
    <row r="1248">
      <c r="O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</row>
    <row r="1249">
      <c r="O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</row>
    <row r="1250">
      <c r="O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</row>
    <row r="1251">
      <c r="O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</row>
    <row r="1252">
      <c r="O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</row>
    <row r="1253">
      <c r="O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</row>
    <row r="1254">
      <c r="O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</row>
    <row r="1255">
      <c r="O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</row>
    <row r="1256">
      <c r="O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</row>
    <row r="1257">
      <c r="O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</row>
    <row r="1258">
      <c r="O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</row>
    <row r="1259">
      <c r="O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</row>
    <row r="1260">
      <c r="O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</row>
    <row r="1261">
      <c r="O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</row>
    <row r="1262">
      <c r="O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</row>
    <row r="1263">
      <c r="O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</row>
    <row r="1264">
      <c r="O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</row>
    <row r="1265">
      <c r="O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</row>
    <row r="1266">
      <c r="O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</row>
    <row r="1267">
      <c r="O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</row>
    <row r="1268">
      <c r="O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</row>
    <row r="1269">
      <c r="O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</row>
    <row r="1270">
      <c r="O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</row>
    <row r="1271">
      <c r="O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</row>
    <row r="1272">
      <c r="O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</row>
    <row r="1273">
      <c r="O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</row>
    <row r="1274">
      <c r="O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</row>
    <row r="1275">
      <c r="O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</row>
    <row r="1276">
      <c r="O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</row>
    <row r="1277">
      <c r="O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</row>
    <row r="1278">
      <c r="O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</row>
    <row r="1279">
      <c r="O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</row>
    <row r="1280">
      <c r="O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</row>
    <row r="1281">
      <c r="O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</row>
    <row r="1282">
      <c r="O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</row>
    <row r="1283">
      <c r="O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</row>
    <row r="1284">
      <c r="O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</row>
    <row r="1285">
      <c r="O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</row>
    <row r="1286">
      <c r="O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</row>
    <row r="1287">
      <c r="O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</row>
    <row r="1288">
      <c r="O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</row>
    <row r="1289">
      <c r="O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</row>
    <row r="1290">
      <c r="O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</row>
    <row r="1291">
      <c r="O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</row>
    <row r="1292">
      <c r="O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</row>
    <row r="1293">
      <c r="O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</row>
    <row r="1294">
      <c r="O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</row>
    <row r="1295">
      <c r="O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</row>
    <row r="1296">
      <c r="O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</row>
    <row r="1297">
      <c r="O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</row>
    <row r="1298">
      <c r="O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</row>
    <row r="1299">
      <c r="O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</row>
    <row r="1300">
      <c r="O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</row>
    <row r="1301">
      <c r="O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</row>
    <row r="1302">
      <c r="O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</row>
    <row r="1303">
      <c r="O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</row>
    <row r="1304">
      <c r="O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</row>
    <row r="1305">
      <c r="O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</row>
    <row r="1306">
      <c r="O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</row>
    <row r="1307">
      <c r="O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</row>
    <row r="1308">
      <c r="O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</row>
    <row r="1309">
      <c r="O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</row>
    <row r="1310">
      <c r="O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</row>
    <row r="1311">
      <c r="O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</row>
    <row r="1312">
      <c r="O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</row>
    <row r="1313">
      <c r="O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</row>
    <row r="1314">
      <c r="O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</row>
    <row r="1315">
      <c r="O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</row>
    <row r="1316">
      <c r="O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</row>
    <row r="1317">
      <c r="O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</row>
    <row r="1318">
      <c r="O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</row>
    <row r="1319">
      <c r="O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</row>
    <row r="1320">
      <c r="O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</row>
    <row r="1321">
      <c r="O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</row>
    <row r="1322">
      <c r="O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</row>
    <row r="1323">
      <c r="O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</row>
    <row r="1324">
      <c r="O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</row>
    <row r="1325">
      <c r="O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</row>
    <row r="1326">
      <c r="O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</row>
    <row r="1327">
      <c r="O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</row>
    <row r="1328">
      <c r="O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</row>
    <row r="1329">
      <c r="O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</row>
    <row r="1330">
      <c r="O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</row>
    <row r="1331">
      <c r="O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</row>
    <row r="1332">
      <c r="O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</row>
    <row r="1333">
      <c r="O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</row>
    <row r="1334">
      <c r="O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</row>
    <row r="1335">
      <c r="O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</row>
    <row r="1336">
      <c r="O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</row>
    <row r="1337">
      <c r="O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</row>
    <row r="1338">
      <c r="O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</row>
    <row r="1339">
      <c r="O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</row>
    <row r="1340">
      <c r="O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</row>
    <row r="1341">
      <c r="O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</row>
    <row r="1342">
      <c r="O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</row>
    <row r="1343">
      <c r="O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</row>
    <row r="1344">
      <c r="O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</row>
    <row r="1345">
      <c r="O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</row>
    <row r="1346">
      <c r="O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</row>
    <row r="1347">
      <c r="O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</row>
    <row r="1348">
      <c r="O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</row>
    <row r="1349">
      <c r="O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</row>
    <row r="1350">
      <c r="O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</row>
    <row r="1351">
      <c r="O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</row>
    <row r="1352">
      <c r="O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</row>
    <row r="1353">
      <c r="O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</row>
    <row r="1354">
      <c r="O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</row>
    <row r="1355">
      <c r="O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</row>
    <row r="1356">
      <c r="O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</row>
    <row r="1357">
      <c r="O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</row>
    <row r="1358">
      <c r="O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</row>
    <row r="1359">
      <c r="O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</row>
    <row r="1360">
      <c r="O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</row>
    <row r="1361">
      <c r="O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</row>
    <row r="1362">
      <c r="O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</row>
    <row r="1363">
      <c r="O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</row>
    <row r="1364">
      <c r="O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</row>
    <row r="1365">
      <c r="O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</row>
    <row r="1366">
      <c r="O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</row>
    <row r="1367">
      <c r="O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</row>
    <row r="1368">
      <c r="O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</row>
    <row r="1369">
      <c r="O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</row>
    <row r="1370">
      <c r="O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</row>
    <row r="1371">
      <c r="O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</row>
    <row r="1372">
      <c r="O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</row>
    <row r="1373">
      <c r="O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</row>
    <row r="1374">
      <c r="O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</row>
    <row r="1375">
      <c r="O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</row>
    <row r="1376">
      <c r="O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</row>
    <row r="1377">
      <c r="O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</row>
    <row r="1378">
      <c r="O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</row>
    <row r="1379">
      <c r="O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</row>
    <row r="1380">
      <c r="O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</row>
    <row r="1381">
      <c r="O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</row>
    <row r="1382">
      <c r="O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</row>
    <row r="1383">
      <c r="O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</row>
    <row r="1384">
      <c r="O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</row>
    <row r="1385">
      <c r="O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</row>
    <row r="1386">
      <c r="O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</row>
    <row r="1387">
      <c r="O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</row>
    <row r="1388">
      <c r="O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</row>
    <row r="1389">
      <c r="O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</row>
    <row r="1390">
      <c r="O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</row>
    <row r="1391">
      <c r="O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</row>
    <row r="1392">
      <c r="O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</row>
    <row r="1393">
      <c r="O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</row>
    <row r="1394">
      <c r="O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</row>
    <row r="1395">
      <c r="O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</row>
    <row r="1396">
      <c r="O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</row>
    <row r="1397">
      <c r="O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</row>
    <row r="1398">
      <c r="O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</row>
    <row r="1399">
      <c r="O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</row>
    <row r="1400">
      <c r="O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</row>
    <row r="1401">
      <c r="O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</row>
    <row r="1402">
      <c r="O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</row>
    <row r="1403">
      <c r="O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</row>
    <row r="1404">
      <c r="O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</row>
    <row r="1405">
      <c r="O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</row>
    <row r="1406">
      <c r="O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</row>
    <row r="1407">
      <c r="O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</row>
    <row r="1408">
      <c r="O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</row>
    <row r="1409">
      <c r="O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</row>
    <row r="1410">
      <c r="O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</row>
    <row r="1411">
      <c r="O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</row>
    <row r="1412">
      <c r="O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</row>
    <row r="1413">
      <c r="O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</row>
    <row r="1414">
      <c r="O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</row>
    <row r="1415">
      <c r="O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</row>
    <row r="1416">
      <c r="O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</row>
    <row r="1417">
      <c r="O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</row>
    <row r="1418">
      <c r="O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</row>
    <row r="1419">
      <c r="O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</row>
    <row r="1420">
      <c r="O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</row>
    <row r="1421">
      <c r="O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</row>
    <row r="1422">
      <c r="O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</row>
    <row r="1423">
      <c r="O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</row>
    <row r="1424">
      <c r="O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</row>
    <row r="1425">
      <c r="O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</row>
    <row r="1426">
      <c r="O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</row>
    <row r="1427">
      <c r="O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</row>
    <row r="1428">
      <c r="O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</row>
    <row r="1429">
      <c r="O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</row>
    <row r="1430">
      <c r="O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</row>
    <row r="1431">
      <c r="O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</row>
    <row r="1432">
      <c r="O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</row>
    <row r="1433">
      <c r="O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</row>
    <row r="1434">
      <c r="O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</row>
    <row r="1435">
      <c r="O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</row>
    <row r="1436">
      <c r="O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</row>
    <row r="1437">
      <c r="O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</row>
    <row r="1438">
      <c r="O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</row>
    <row r="1439">
      <c r="O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</row>
    <row r="1440">
      <c r="O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</row>
    <row r="1441">
      <c r="O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</row>
    <row r="1442">
      <c r="O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</row>
    <row r="1443">
      <c r="O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</row>
    <row r="1444">
      <c r="O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</row>
    <row r="1445">
      <c r="O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</row>
    <row r="1446">
      <c r="O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</row>
    <row r="1447">
      <c r="O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</row>
    <row r="1448">
      <c r="O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</row>
    <row r="1449">
      <c r="O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</row>
    <row r="1450">
      <c r="O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</row>
    <row r="1451">
      <c r="O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</row>
    <row r="1452">
      <c r="O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</row>
    <row r="1453">
      <c r="O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</row>
    <row r="1454">
      <c r="O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</row>
    <row r="1455">
      <c r="O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</row>
    <row r="1456">
      <c r="O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</row>
    <row r="1457">
      <c r="O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</row>
    <row r="1458">
      <c r="O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</row>
    <row r="1459">
      <c r="O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</row>
    <row r="1460">
      <c r="O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</row>
    <row r="1461">
      <c r="O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</row>
    <row r="1462">
      <c r="O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</row>
    <row r="1463">
      <c r="O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</row>
    <row r="1464">
      <c r="O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</row>
    <row r="1465">
      <c r="O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</row>
    <row r="1466">
      <c r="O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</row>
    <row r="1467">
      <c r="O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</row>
    <row r="1468">
      <c r="O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</row>
    <row r="1469">
      <c r="O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</row>
    <row r="1470">
      <c r="O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</row>
    <row r="1471">
      <c r="O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</row>
    <row r="1472">
      <c r="O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</row>
    <row r="1473">
      <c r="O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</row>
    <row r="1474">
      <c r="O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</row>
    <row r="1475">
      <c r="O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</row>
    <row r="1476">
      <c r="O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</row>
    <row r="1477">
      <c r="O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</row>
    <row r="1478">
      <c r="O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</row>
    <row r="1479">
      <c r="O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</row>
    <row r="1480">
      <c r="O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</row>
    <row r="1481">
      <c r="O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</row>
    <row r="1482">
      <c r="O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</row>
    <row r="1483">
      <c r="O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</row>
    <row r="1484">
      <c r="O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</row>
    <row r="1485">
      <c r="O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</row>
    <row r="1486">
      <c r="O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</row>
    <row r="1487">
      <c r="O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</row>
    <row r="1488">
      <c r="O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</row>
    <row r="1489">
      <c r="O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</row>
    <row r="1490">
      <c r="O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</row>
    <row r="1491">
      <c r="O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</row>
    <row r="1492">
      <c r="O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</row>
    <row r="1493">
      <c r="O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</row>
    <row r="1494">
      <c r="O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</row>
    <row r="1495">
      <c r="O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</row>
    <row r="1496">
      <c r="O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</row>
    <row r="1497">
      <c r="O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</row>
    <row r="1498">
      <c r="O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</row>
    <row r="1499">
      <c r="O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</row>
    <row r="1500">
      <c r="O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</row>
    <row r="1501">
      <c r="O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</row>
    <row r="1502">
      <c r="O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</row>
    <row r="1503">
      <c r="O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</row>
    <row r="1504">
      <c r="O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</row>
    <row r="1505">
      <c r="O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</row>
    <row r="1506">
      <c r="O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</row>
    <row r="1507">
      <c r="O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</row>
    <row r="1508">
      <c r="O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</row>
    <row r="1509">
      <c r="O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</row>
    <row r="1510">
      <c r="O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</row>
    <row r="1511">
      <c r="O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</row>
    <row r="1512">
      <c r="O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</row>
    <row r="1513">
      <c r="O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</row>
    <row r="1514">
      <c r="O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</row>
    <row r="1515">
      <c r="O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</row>
    <row r="1516">
      <c r="O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</row>
    <row r="1517">
      <c r="O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</row>
    <row r="1518">
      <c r="O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</row>
    <row r="1519">
      <c r="O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</row>
    <row r="1520">
      <c r="O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</row>
    <row r="1521">
      <c r="O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</row>
    <row r="1522">
      <c r="O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</row>
    <row r="1523">
      <c r="O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</row>
    <row r="1524">
      <c r="O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</row>
    <row r="1525">
      <c r="O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</row>
    <row r="1526">
      <c r="O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</row>
    <row r="1527">
      <c r="O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</row>
    <row r="1528">
      <c r="O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</row>
    <row r="1529">
      <c r="O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</row>
    <row r="1530">
      <c r="O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</row>
    <row r="1531">
      <c r="O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</row>
    <row r="1532">
      <c r="O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</row>
    <row r="1533">
      <c r="O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</row>
    <row r="1534">
      <c r="O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</row>
    <row r="1535">
      <c r="O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</row>
    <row r="1536">
      <c r="O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</row>
    <row r="1537">
      <c r="O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</row>
    <row r="1538">
      <c r="O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</row>
    <row r="1539">
      <c r="O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</row>
    <row r="1540">
      <c r="O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</row>
    <row r="1541">
      <c r="O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</row>
    <row r="1542">
      <c r="O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</row>
    <row r="1543">
      <c r="O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</row>
    <row r="1544">
      <c r="O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</row>
    <row r="1545">
      <c r="O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</row>
    <row r="1546">
      <c r="O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</row>
    <row r="1547">
      <c r="O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</row>
    <row r="1548">
      <c r="O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</row>
    <row r="1549">
      <c r="O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</row>
    <row r="1550">
      <c r="O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</row>
    <row r="1551">
      <c r="O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</row>
    <row r="1552">
      <c r="O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</row>
    <row r="1553">
      <c r="O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</row>
    <row r="1554">
      <c r="O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</row>
    <row r="1555">
      <c r="O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</row>
    <row r="1556">
      <c r="O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</row>
    <row r="1557">
      <c r="O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</row>
    <row r="1558">
      <c r="O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</row>
    <row r="1559">
      <c r="O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</row>
    <row r="1560">
      <c r="O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</row>
    <row r="1561">
      <c r="O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</row>
    <row r="1562">
      <c r="O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</row>
    <row r="1563">
      <c r="O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</row>
    <row r="1564">
      <c r="O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</row>
    <row r="1565">
      <c r="O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</row>
    <row r="1566">
      <c r="O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</row>
    <row r="1567">
      <c r="O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</row>
    <row r="1568">
      <c r="O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</row>
    <row r="1569">
      <c r="O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</row>
    <row r="1570">
      <c r="O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</row>
    <row r="1571">
      <c r="O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</row>
    <row r="1572">
      <c r="O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</row>
    <row r="1573">
      <c r="O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</row>
    <row r="1574">
      <c r="O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</row>
    <row r="1575">
      <c r="O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</row>
    <row r="1576">
      <c r="O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</row>
    <row r="1577">
      <c r="O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</row>
    <row r="1578">
      <c r="O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</row>
    <row r="1579">
      <c r="O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</row>
    <row r="1580">
      <c r="O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</row>
    <row r="1581">
      <c r="O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</row>
    <row r="1582">
      <c r="O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</row>
    <row r="1583">
      <c r="O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</row>
    <row r="1584">
      <c r="O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</row>
    <row r="1585">
      <c r="O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</row>
    <row r="1586">
      <c r="O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</row>
    <row r="1587">
      <c r="O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</row>
    <row r="1588">
      <c r="O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</row>
    <row r="1589">
      <c r="O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</row>
    <row r="1590">
      <c r="O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</row>
    <row r="1591">
      <c r="O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</row>
    <row r="1592">
      <c r="O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</row>
    <row r="1593">
      <c r="O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</row>
    <row r="1594">
      <c r="O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</row>
    <row r="1595">
      <c r="O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</row>
    <row r="1596">
      <c r="O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</row>
    <row r="1597">
      <c r="O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</row>
    <row r="1598">
      <c r="O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</row>
    <row r="1599">
      <c r="O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</row>
    <row r="1600">
      <c r="O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</row>
    <row r="1601">
      <c r="O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</row>
    <row r="1602">
      <c r="O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</row>
    <row r="1603">
      <c r="O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</row>
    <row r="1604">
      <c r="O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</row>
    <row r="1605">
      <c r="O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</row>
    <row r="1606">
      <c r="O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</row>
    <row r="1607">
      <c r="O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</row>
    <row r="1608">
      <c r="O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</row>
    <row r="1609">
      <c r="O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</row>
    <row r="1610">
      <c r="O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</row>
    <row r="1611">
      <c r="O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</row>
    <row r="1612">
      <c r="O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</row>
    <row r="1613">
      <c r="O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</row>
    <row r="1614">
      <c r="O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</row>
    <row r="1615">
      <c r="O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</row>
    <row r="1616">
      <c r="O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</row>
    <row r="1617">
      <c r="O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</row>
    <row r="1618">
      <c r="O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</row>
    <row r="1619">
      <c r="O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</row>
    <row r="1620">
      <c r="O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</row>
    <row r="1621">
      <c r="O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</row>
    <row r="1622">
      <c r="O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</row>
    <row r="1623">
      <c r="O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</row>
    <row r="1624">
      <c r="O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</row>
    <row r="1625">
      <c r="O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</row>
    <row r="1626">
      <c r="O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</row>
    <row r="1627">
      <c r="O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</row>
    <row r="1628">
      <c r="O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</row>
    <row r="1629">
      <c r="O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</row>
    <row r="1630">
      <c r="O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</row>
    <row r="1631">
      <c r="O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</row>
    <row r="1632">
      <c r="O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</row>
    <row r="1633">
      <c r="O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</row>
    <row r="1634">
      <c r="O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</row>
    <row r="1635">
      <c r="O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</row>
    <row r="1636">
      <c r="O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</row>
    <row r="1637">
      <c r="O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</row>
    <row r="1638">
      <c r="O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</row>
    <row r="1639">
      <c r="O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</row>
    <row r="1640">
      <c r="O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</row>
    <row r="1641">
      <c r="O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</row>
    <row r="1642">
      <c r="O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</row>
    <row r="1643">
      <c r="O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</row>
    <row r="1644">
      <c r="O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</row>
    <row r="1645">
      <c r="O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</row>
    <row r="1646">
      <c r="O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</row>
    <row r="1647">
      <c r="O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</row>
    <row r="1648">
      <c r="O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</row>
    <row r="1649">
      <c r="O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</row>
    <row r="1650">
      <c r="O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</row>
    <row r="1651">
      <c r="O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</row>
    <row r="1652">
      <c r="O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</row>
    <row r="1653">
      <c r="O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</row>
    <row r="1654">
      <c r="O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</row>
    <row r="1655">
      <c r="O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</row>
    <row r="1656">
      <c r="O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</row>
    <row r="1657">
      <c r="O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</row>
    <row r="1658">
      <c r="O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</row>
    <row r="1659">
      <c r="O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</row>
    <row r="1660">
      <c r="O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</row>
    <row r="1661">
      <c r="O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</row>
    <row r="1662">
      <c r="O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</row>
    <row r="1663">
      <c r="O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</row>
    <row r="1664">
      <c r="O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</row>
    <row r="1665">
      <c r="O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</row>
    <row r="1666">
      <c r="O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</row>
    <row r="1667">
      <c r="O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</row>
    <row r="1668">
      <c r="O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</row>
    <row r="1669">
      <c r="O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</row>
    <row r="1670">
      <c r="O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</row>
    <row r="1671">
      <c r="O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</row>
    <row r="1672">
      <c r="O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</row>
    <row r="1673">
      <c r="O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</row>
    <row r="1674">
      <c r="O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</row>
    <row r="1675">
      <c r="O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</row>
    <row r="1676">
      <c r="O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</row>
    <row r="1677">
      <c r="O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</row>
    <row r="1678">
      <c r="O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</row>
    <row r="1679">
      <c r="O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</row>
    <row r="1680">
      <c r="O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</row>
    <row r="1681">
      <c r="O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</row>
    <row r="1682">
      <c r="O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</row>
    <row r="1683">
      <c r="O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</row>
    <row r="1684">
      <c r="O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</row>
    <row r="1685">
      <c r="O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</row>
    <row r="1686">
      <c r="O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</row>
    <row r="1687">
      <c r="O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</row>
    <row r="1688">
      <c r="O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</row>
    <row r="1689">
      <c r="O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</row>
    <row r="1690">
      <c r="O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</row>
    <row r="1691">
      <c r="O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</row>
    <row r="1692">
      <c r="O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</row>
    <row r="1693">
      <c r="O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</row>
    <row r="1694">
      <c r="O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</row>
    <row r="1695">
      <c r="O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</row>
    <row r="1696">
      <c r="O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</row>
    <row r="1697">
      <c r="O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</row>
    <row r="1698">
      <c r="O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</row>
    <row r="1699">
      <c r="O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</row>
    <row r="1700">
      <c r="O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</row>
    <row r="1701">
      <c r="O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</row>
    <row r="1702">
      <c r="O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</row>
    <row r="1703">
      <c r="O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</row>
    <row r="1704">
      <c r="O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</row>
    <row r="1705">
      <c r="O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</row>
    <row r="1706">
      <c r="O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</row>
    <row r="1707">
      <c r="O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</row>
    <row r="1708">
      <c r="O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</row>
    <row r="1709">
      <c r="O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</row>
    <row r="1710">
      <c r="O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</row>
    <row r="1711">
      <c r="O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</row>
    <row r="1712">
      <c r="O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</row>
    <row r="1713">
      <c r="O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</row>
    <row r="1714">
      <c r="O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</row>
    <row r="1715">
      <c r="O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</row>
    <row r="1716">
      <c r="O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</row>
    <row r="1717">
      <c r="O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</row>
    <row r="1718">
      <c r="O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</row>
    <row r="1719">
      <c r="O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</row>
    <row r="1720">
      <c r="O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</row>
    <row r="1721">
      <c r="O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</row>
    <row r="1722">
      <c r="O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</row>
    <row r="1723">
      <c r="O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</row>
    <row r="1724">
      <c r="O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</row>
    <row r="1725">
      <c r="O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</row>
    <row r="1726">
      <c r="O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</row>
    <row r="1727">
      <c r="O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</row>
    <row r="1728">
      <c r="O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</row>
    <row r="1729">
      <c r="O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</row>
    <row r="1730">
      <c r="O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</row>
    <row r="1731">
      <c r="O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</row>
    <row r="1732">
      <c r="O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</row>
    <row r="1733">
      <c r="O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</row>
    <row r="1734">
      <c r="O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</row>
    <row r="1735">
      <c r="O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</row>
    <row r="1736">
      <c r="O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</row>
    <row r="1737">
      <c r="O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</row>
    <row r="1738">
      <c r="O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</row>
    <row r="1739">
      <c r="O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</row>
    <row r="1740">
      <c r="O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</row>
    <row r="1741">
      <c r="O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</row>
    <row r="1742">
      <c r="O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</row>
    <row r="1743">
      <c r="O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</row>
    <row r="1744">
      <c r="O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</row>
    <row r="1745">
      <c r="O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</row>
    <row r="1746">
      <c r="O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</row>
    <row r="1747">
      <c r="O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</row>
    <row r="1748">
      <c r="O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</row>
    <row r="1749">
      <c r="O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</row>
    <row r="1750">
      <c r="O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</row>
    <row r="1751">
      <c r="O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</row>
    <row r="1752">
      <c r="O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</row>
    <row r="1753">
      <c r="O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</row>
    <row r="1754">
      <c r="O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</row>
    <row r="1755">
      <c r="O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</row>
    <row r="1756">
      <c r="O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</row>
    <row r="1757">
      <c r="O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</row>
    <row r="1758">
      <c r="O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</row>
    <row r="1759">
      <c r="O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</row>
    <row r="1760">
      <c r="O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</row>
    <row r="1761">
      <c r="O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</row>
    <row r="1762">
      <c r="O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</row>
    <row r="1763">
      <c r="O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</row>
    <row r="1764">
      <c r="O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</row>
    <row r="1765">
      <c r="O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</row>
    <row r="1766">
      <c r="O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</row>
    <row r="1767">
      <c r="O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</row>
    <row r="1768">
      <c r="O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</row>
    <row r="1769">
      <c r="O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</row>
    <row r="1770">
      <c r="O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</row>
    <row r="1771">
      <c r="O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</row>
    <row r="1772">
      <c r="O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</row>
    <row r="1773">
      <c r="O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</row>
    <row r="1774">
      <c r="O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</row>
    <row r="1775">
      <c r="O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</row>
    <row r="1776">
      <c r="O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</row>
    <row r="1777">
      <c r="O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</row>
    <row r="1778">
      <c r="O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</row>
    <row r="1779">
      <c r="O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</row>
    <row r="1780">
      <c r="O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</row>
    <row r="1781">
      <c r="O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</row>
    <row r="1782">
      <c r="O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</row>
    <row r="1783">
      <c r="O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</row>
    <row r="1784">
      <c r="O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</row>
    <row r="1785">
      <c r="O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</row>
    <row r="1786">
      <c r="O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</row>
    <row r="1787">
      <c r="O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</row>
    <row r="1788">
      <c r="O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</row>
    <row r="1789">
      <c r="O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</row>
    <row r="1790">
      <c r="O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</row>
    <row r="1791">
      <c r="O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</row>
    <row r="1792">
      <c r="O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</row>
    <row r="1793">
      <c r="O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</row>
    <row r="1794">
      <c r="O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</row>
    <row r="1795">
      <c r="O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</row>
    <row r="1796">
      <c r="O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</row>
    <row r="1797">
      <c r="O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</row>
    <row r="1798">
      <c r="O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</row>
    <row r="1799">
      <c r="O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</row>
    <row r="1800">
      <c r="O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</row>
    <row r="1801">
      <c r="O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</row>
    <row r="1802">
      <c r="O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</row>
    <row r="1803">
      <c r="O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</row>
    <row r="1804">
      <c r="O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</row>
    <row r="1805">
      <c r="O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</row>
    <row r="1806">
      <c r="O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</row>
    <row r="1807">
      <c r="O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</row>
    <row r="1808">
      <c r="O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</row>
    <row r="1809">
      <c r="O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</row>
    <row r="1810">
      <c r="O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</row>
    <row r="1811">
      <c r="O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</row>
    <row r="1812">
      <c r="O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</row>
    <row r="1813">
      <c r="O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</row>
    <row r="1814">
      <c r="O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</row>
    <row r="1815">
      <c r="O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</row>
    <row r="1816">
      <c r="O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</row>
    <row r="1817">
      <c r="O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</row>
    <row r="1818">
      <c r="O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</row>
    <row r="1819">
      <c r="O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</row>
    <row r="1820">
      <c r="O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</row>
    <row r="1821">
      <c r="O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</row>
    <row r="1822">
      <c r="O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</row>
    <row r="1823">
      <c r="O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</row>
    <row r="1824">
      <c r="O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</row>
    <row r="1825">
      <c r="O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</row>
    <row r="1826">
      <c r="O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</row>
    <row r="1827">
      <c r="O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</row>
    <row r="1828">
      <c r="O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</row>
    <row r="1829">
      <c r="O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</row>
    <row r="1830">
      <c r="O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</row>
    <row r="1831">
      <c r="O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</row>
    <row r="1832">
      <c r="O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</row>
    <row r="1833">
      <c r="O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</row>
    <row r="1834">
      <c r="O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</row>
    <row r="1835">
      <c r="O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</row>
    <row r="1836">
      <c r="O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</row>
    <row r="1837">
      <c r="O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</row>
    <row r="1838">
      <c r="O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</row>
    <row r="1839">
      <c r="O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</row>
    <row r="1840">
      <c r="O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</row>
    <row r="1841">
      <c r="O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</row>
    <row r="1842">
      <c r="O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</row>
    <row r="1843">
      <c r="O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</row>
    <row r="1844">
      <c r="O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</row>
    <row r="1845">
      <c r="O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</row>
    <row r="1846">
      <c r="O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</row>
    <row r="1847">
      <c r="O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</row>
    <row r="1848">
      <c r="O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</row>
    <row r="1849">
      <c r="O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</row>
    <row r="1850">
      <c r="O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</row>
    <row r="1851">
      <c r="O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</row>
    <row r="1852">
      <c r="O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</row>
    <row r="1853">
      <c r="O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</row>
    <row r="1854">
      <c r="O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</row>
    <row r="1855">
      <c r="O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</row>
    <row r="1856">
      <c r="O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</row>
    <row r="1857">
      <c r="O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</row>
    <row r="1858">
      <c r="O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</row>
    <row r="1859">
      <c r="O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</row>
    <row r="1860">
      <c r="O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</row>
    <row r="1861">
      <c r="O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</row>
    <row r="1862">
      <c r="O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</row>
    <row r="1863">
      <c r="O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</row>
    <row r="1864">
      <c r="O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</row>
    <row r="1865">
      <c r="O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</row>
    <row r="1866">
      <c r="O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</row>
    <row r="1867">
      <c r="O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</row>
    <row r="1868">
      <c r="O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</row>
    <row r="1869">
      <c r="O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</row>
    <row r="1870">
      <c r="O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</row>
    <row r="1871">
      <c r="O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</row>
    <row r="1872">
      <c r="O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</row>
    <row r="1873">
      <c r="O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</row>
    <row r="1874">
      <c r="O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</row>
    <row r="1875">
      <c r="O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</row>
    <row r="1876">
      <c r="O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</row>
    <row r="1877">
      <c r="O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</row>
    <row r="1878">
      <c r="O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</row>
    <row r="1879">
      <c r="O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</row>
    <row r="1880">
      <c r="O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</row>
    <row r="1881">
      <c r="O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</row>
    <row r="1882">
      <c r="O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</row>
    <row r="1883">
      <c r="O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</row>
    <row r="1884">
      <c r="O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</row>
    <row r="1885">
      <c r="O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</row>
    <row r="1886">
      <c r="O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</row>
    <row r="1887">
      <c r="O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</row>
    <row r="1888">
      <c r="O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</row>
    <row r="1889">
      <c r="O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</row>
    <row r="1890">
      <c r="O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</row>
    <row r="1891">
      <c r="O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</row>
    <row r="1892">
      <c r="O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</row>
    <row r="1893">
      <c r="O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</row>
    <row r="1894">
      <c r="O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</row>
    <row r="1895">
      <c r="O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</row>
    <row r="1896">
      <c r="O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</row>
    <row r="1897">
      <c r="O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</row>
    <row r="1898">
      <c r="O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</row>
    <row r="1899">
      <c r="O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</row>
    <row r="1900">
      <c r="O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</row>
    <row r="1901">
      <c r="O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</row>
    <row r="1902">
      <c r="O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</row>
    <row r="1903">
      <c r="O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</row>
    <row r="1904">
      <c r="O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</row>
    <row r="1905">
      <c r="O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</row>
    <row r="1906">
      <c r="O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</row>
    <row r="1907">
      <c r="O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</row>
    <row r="1908">
      <c r="O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</row>
    <row r="1909">
      <c r="O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</row>
    <row r="1910">
      <c r="O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</row>
    <row r="1911">
      <c r="O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</row>
    <row r="1912">
      <c r="O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</row>
    <row r="1913">
      <c r="O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</row>
    <row r="1914">
      <c r="O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</row>
    <row r="1915">
      <c r="O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</row>
    <row r="1916">
      <c r="O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</row>
    <row r="1917">
      <c r="O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</row>
    <row r="1918">
      <c r="O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</row>
    <row r="1919">
      <c r="O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</row>
    <row r="1920">
      <c r="O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</row>
    <row r="1921">
      <c r="O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</row>
    <row r="1922">
      <c r="O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</row>
    <row r="1923">
      <c r="O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</row>
    <row r="1924">
      <c r="O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</row>
    <row r="1925">
      <c r="O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</row>
    <row r="1926">
      <c r="O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</row>
    <row r="1927">
      <c r="O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</row>
    <row r="1928">
      <c r="O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</row>
    <row r="1929">
      <c r="O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</row>
    <row r="1930">
      <c r="O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</row>
    <row r="1931">
      <c r="O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</row>
    <row r="1932">
      <c r="O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</row>
    <row r="1933">
      <c r="O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</row>
    <row r="1934">
      <c r="O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</row>
    <row r="1935">
      <c r="O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</row>
    <row r="1936">
      <c r="O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</row>
    <row r="1937">
      <c r="O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</row>
    <row r="1938">
      <c r="O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</row>
    <row r="1939">
      <c r="O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</row>
    <row r="1940">
      <c r="O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</row>
    <row r="1941">
      <c r="O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</row>
    <row r="1942">
      <c r="O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</row>
    <row r="1943">
      <c r="O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</row>
    <row r="1944">
      <c r="O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</row>
    <row r="1945">
      <c r="O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</row>
    <row r="1946">
      <c r="O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</row>
    <row r="1947">
      <c r="O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</row>
    <row r="1948">
      <c r="O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</row>
    <row r="1949">
      <c r="O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</row>
    <row r="1950">
      <c r="O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</row>
    <row r="1951">
      <c r="O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</row>
    <row r="1952">
      <c r="O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</row>
    <row r="1953">
      <c r="O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</row>
    <row r="1954">
      <c r="O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</row>
    <row r="1955">
      <c r="O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</row>
    <row r="1956">
      <c r="O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</row>
    <row r="1957">
      <c r="O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</row>
    <row r="1958">
      <c r="O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</row>
    <row r="1959">
      <c r="O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</row>
    <row r="1960">
      <c r="O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</row>
    <row r="1961">
      <c r="O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</row>
    <row r="1962">
      <c r="O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</row>
    <row r="1963">
      <c r="O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</row>
    <row r="1964">
      <c r="O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</row>
    <row r="1965">
      <c r="O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</row>
    <row r="1966">
      <c r="O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</row>
    <row r="1967">
      <c r="O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</row>
    <row r="1968">
      <c r="O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</row>
    <row r="1969">
      <c r="O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</row>
    <row r="1970">
      <c r="O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</row>
    <row r="1971">
      <c r="O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</row>
    <row r="1972">
      <c r="O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</row>
    <row r="1973">
      <c r="O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</row>
    <row r="1974">
      <c r="O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</row>
    <row r="1975">
      <c r="O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</row>
    <row r="1976">
      <c r="O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</row>
    <row r="1977">
      <c r="O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</row>
    <row r="1978">
      <c r="O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</row>
    <row r="1979">
      <c r="O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</row>
    <row r="1980">
      <c r="O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</row>
    <row r="1981">
      <c r="O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</row>
    <row r="1982">
      <c r="O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</row>
    <row r="1983">
      <c r="O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</row>
    <row r="1984">
      <c r="O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</row>
    <row r="1985">
      <c r="O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</row>
    <row r="1986">
      <c r="O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</row>
    <row r="1987">
      <c r="O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</row>
    <row r="1988">
      <c r="O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</row>
    <row r="1989">
      <c r="O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</row>
    <row r="1990">
      <c r="O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</row>
    <row r="1991">
      <c r="O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</row>
    <row r="1992">
      <c r="O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</row>
    <row r="1993">
      <c r="O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</row>
    <row r="1994">
      <c r="O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</row>
    <row r="1995">
      <c r="O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</row>
    <row r="1996">
      <c r="O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</row>
    <row r="1997">
      <c r="O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</row>
    <row r="1998">
      <c r="O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</row>
    <row r="1999">
      <c r="O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</row>
    <row r="2000">
      <c r="O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</row>
    <row r="2001">
      <c r="O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</row>
    <row r="2002">
      <c r="O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</row>
    <row r="2003">
      <c r="O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</row>
    <row r="2004">
      <c r="O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</row>
  </sheetData>
  <autoFilter ref="$A$1:$BJ$2004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124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12.0</v>
      </c>
      <c r="C3" s="219">
        <v>406.0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2.0</v>
      </c>
      <c r="D6" s="212"/>
      <c r="E6" s="212"/>
      <c r="F6" s="221" t="s">
        <v>4664</v>
      </c>
    </row>
    <row r="7" ht="22.5" customHeight="1">
      <c r="A7" s="218" t="s">
        <v>255</v>
      </c>
      <c r="B7" s="216">
        <f>SUM('Sprint 18'!O:O)</f>
        <v>321</v>
      </c>
      <c r="C7" s="212">
        <f>ROUND(SUM('Sprint 18'!T:T)/3600,2)</f>
        <v>260.92</v>
      </c>
      <c r="D7" s="216">
        <f>SUMIF('Sprint 18'!J:J, "Done", 'Sprint 18'!O:O)</f>
        <v>87</v>
      </c>
      <c r="E7" s="212">
        <f>ROUND(SUMIF('Sprint 18'!J:J, "Done", 'Sprint 18'!T:T)/3600,2)</f>
        <v>23.92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18'!T:T, ('Sprint 18'!Q:Q = ""mid-sprint"")))/3600,0),2)"),0.0)</f>
        <v>0</v>
      </c>
      <c r="D9" s="212">
        <f>IFERROR(__xludf.DUMMYFUNCTION("IFERROR(SUM(FILTER('Sprint 18'!O:O, (('Sprint 18'!J:J = ""Done"")) * ('Sprint 18'!Q:Q = ""mid-sprint""))),0)"),0.0)</f>
        <v>0</v>
      </c>
      <c r="E9" s="212">
        <f>IFERROR(__xludf.DUMMYFUNCTION("ROUND(IFERROR(SUM(FILTER('Sprint 18'!T:T, (('Sprint 18'!J:J = ""Done"")) * ('Sprint 18'!P:P = ""mid-sprint"")))/3600,0),2)"),2.0)</f>
        <v>2</v>
      </c>
      <c r="F9" s="225" t="s">
        <v>259</v>
      </c>
    </row>
    <row r="10" ht="22.5" customHeight="1">
      <c r="A10" s="218" t="s">
        <v>258</v>
      </c>
      <c r="B10" s="212">
        <f>IFERROR(__xludf.DUMMYFUNCTION("ROUND(IFERROR(SUM(FILTER('Sprint 18'!T:T, ('Sprint 18'!Q:Q = ""change-request"")))/3600,0),2)"),0.0)</f>
        <v>0</v>
      </c>
      <c r="D10" s="212">
        <f>IFERROR(__xludf.DUMMYFUNCTION("IFERROR(SUM(FILTER('Sprint 18'!O:O, (('Sprint 18'!J:J = ""Done"")) * ('Sprint 18'!Q:Q = ""change-request""))),0)"),0.0)</f>
        <v>0</v>
      </c>
      <c r="E10" s="212">
        <f>IFERROR(__xludf.DUMMYFUNCTION("ROUND(IFERROR(SUM(FILTER('Sprint 18'!T:T, (('Sprint 18'!J:J = ""Done"")) * ('Sprint 18'!Q:Q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18'!O:O, ('Sprint 18'!E:E = ""Aek:Atiphat Nanthachitvanich""))),0)"),8.0)</f>
        <v>8</v>
      </c>
      <c r="C12" s="223">
        <f>IFERROR(__xludf.DUMMYFUNCTION("ROUND(IFERROR(SUM(FILTER('Sprint 18'!T:T, ('Sprint 18'!E:E = ""Aek:Atiphat Nanthachitvanich"")))/3600,0),2)"),3.75)</f>
        <v>3.75</v>
      </c>
      <c r="D12" s="216">
        <f>IFERROR(__xludf.DUMMYFUNCTION("IFERROR(SUM(FILTER('Sprint 18'!O:O, (('Sprint 18'!J:J = ""Done"")) * ('Sprint 18'!E:E = ""Aek:Atiphat Nanthachitvanich""))),0)"),7.0)</f>
        <v>7</v>
      </c>
      <c r="E12" s="223">
        <f>IFERROR(__xludf.DUMMYFUNCTION("ROUND(IFERROR(SUM(FILTER('Sprint 18'!T:T, (('Sprint 18'!J:J = ""Done"")) * ('Sprint 18'!E:E = ""Aek:Atiphat Nanthachitvanich"")))/3600,0),2)"),3.75)</f>
        <v>3.75</v>
      </c>
      <c r="F12" s="224"/>
    </row>
    <row r="13" ht="22.5" customHeight="1">
      <c r="A13" s="218" t="s">
        <v>32</v>
      </c>
      <c r="B13" s="216">
        <f>IFERROR(__xludf.DUMMYFUNCTION("IFERROR(SUM(FILTER('Sprint 18'!O:O, ('Sprint 18'!E:E = ""A:Phongthorn""))),0)"),27.0)</f>
        <v>27</v>
      </c>
      <c r="C13" s="223">
        <f>IFERROR(__xludf.DUMMYFUNCTION("ROUND(IFERROR(SUM(FILTER('Sprint 18'!T:T, ('Sprint 18'!E:E = ""A:Phongthorn"")))/3600,0),2)"),56.0)</f>
        <v>56</v>
      </c>
      <c r="D13" s="216">
        <f>IFERROR(__xludf.DUMMYFUNCTION("IFERROR(SUM(FILTER('Sprint 18'!O:O, (('Sprint 18'!J:J = ""Done"")) * ('Sprint 18'!E:E = ""A:Phongthorn""))),0)"),6.0)</f>
        <v>6</v>
      </c>
      <c r="E13" s="223">
        <f>IFERROR(__xludf.DUMMYFUNCTION("ROUND(IFERROR(SUM(FILTER('Sprint 18'!T:T, (('Sprint 18'!J:J = ""Done"")) * ('Sprint 18'!E:E = ""A:Phongthorn"")))/3600,0),2)"),10.0)</f>
        <v>10</v>
      </c>
      <c r="F13" s="224"/>
    </row>
    <row r="14" ht="22.5" customHeight="1">
      <c r="A14" s="218" t="s">
        <v>72</v>
      </c>
      <c r="B14" s="216">
        <f>IFERROR(__xludf.DUMMYFUNCTION("IFERROR(SUM(FILTER('Sprint 18'!O:O, ('Sprint 18'!E:E = ""Aom: Pornsawan Polnyiem""))),0)"),34.0)</f>
        <v>34</v>
      </c>
      <c r="C14" s="223">
        <f>IFERROR(__xludf.DUMMYFUNCTION("ROUND(IFERROR(SUM(FILTER('Sprint 18'!T:T, ('Sprint 18'!E:E = ""Aom: Pornsawan Polnyiem"")))/3600,0),2)"),0.17)</f>
        <v>0.17</v>
      </c>
      <c r="D14" s="216">
        <f>IFERROR(__xludf.DUMMYFUNCTION("IFERROR(SUM(FILTER('Sprint 18'!O:O, (('Sprint 18'!J:J = ""Done"")) * ('Sprint 18'!E:E = ""Aom: Pornsawan Polnyiem""))),0)"),14.0)</f>
        <v>14</v>
      </c>
      <c r="E14" s="223">
        <f>IFERROR(__xludf.DUMMYFUNCTION("ROUND(IFERROR(SUM(FILTER('Sprint 18'!T:T, (('Sprint 18'!J:J = ""Done"")) * ('Sprint 18'!E:E = ""Aom: Pornsawan Polnyiem"")))/3600,0),2)"),0.17)</f>
        <v>0.17</v>
      </c>
      <c r="F14" s="224"/>
    </row>
    <row r="15" ht="22.5" customHeight="1">
      <c r="A15" s="218" t="s">
        <v>24</v>
      </c>
      <c r="B15" s="216">
        <f>IFERROR(__xludf.DUMMYFUNCTION("IFERROR(SUM(FILTER('Sprint 18'!O:O, ('Sprint 18'!E:E = ""Zan : Isarapong Bulan""))),0)"),21.0)</f>
        <v>21</v>
      </c>
      <c r="C15" s="223">
        <f>IFERROR(__xludf.DUMMYFUNCTION("ROUND(IFERROR(SUM(FILTER('Sprint 18'!T:T, ('Sprint 18'!E:E = ""Zan : Isarapong Bulan"")))/3600,0),2)"),0.0)</f>
        <v>0</v>
      </c>
      <c r="D15" s="216">
        <f>IFERROR(__xludf.DUMMYFUNCTION("IFERROR(SUM(FILTER('Sprint 18'!O:O, (('Sprint 18'!J:J = ""Done"")) * ('Sprint 18'!E:E = ""Zan : Isarapong Bulan""))),0)"),11.0)</f>
        <v>11</v>
      </c>
      <c r="E15" s="223">
        <f>IFERROR(__xludf.DUMMYFUNCTION("ROUND(IFERROR(SUM(FILTER('Sprint 18'!T:T, (('Sprint 18'!J:J = ""Done"")) * ('Sprint 18'!E:E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18'!O:O, ('Sprint 18'!E:E = ""Mai:Sateta Abvanawong""))),0)"),44.0)</f>
        <v>44</v>
      </c>
      <c r="C16" s="223">
        <f>IFERROR(__xludf.DUMMYFUNCTION("ROUND(IFERROR(SUM(FILTER('Sprint 18'!T:T, ('Sprint 18'!E:E = ""Mai:Sateta Abvanawong"")))/3600,0),2)"),46.0)</f>
        <v>46</v>
      </c>
      <c r="D16" s="216">
        <f>IFERROR(__xludf.DUMMYFUNCTION("IFERROR(SUM(FILTER('Sprint 18'!O:O, (('Sprint 18'!J:J = ""Done"")) * ('Sprint 18'!E:E = ""Mai:Sateta Abvanawong""))),0)"),2.0)</f>
        <v>2</v>
      </c>
      <c r="E16" s="223">
        <f>IFERROR(__xludf.DUMMYFUNCTION("ROUND(IFERROR(SUM(FILTER('Sprint 18'!T:T, (('Sprint 18'!J:J = ""Done"")) * ('Sprint 18'!E:E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18'!O:O, ('Sprint 18'!E:E = ""Mac: Jarupong Pawichpongkul""))),0)"),54.0)</f>
        <v>54</v>
      </c>
      <c r="C17" s="223">
        <f>IFERROR(__xludf.DUMMYFUNCTION("ROUND(IFERROR(SUM(FILTER('Sprint 18'!T:T, ('Sprint 18'!E:E = ""Mac: Jarupong Pawichpongkul"")))/3600,0),2)"),81.0)</f>
        <v>81</v>
      </c>
      <c r="D17" s="216">
        <f>IFERROR(__xludf.DUMMYFUNCTION("IFERROR(SUM(FILTER('Sprint 18'!O:O, (('Sprint 18'!J:J = ""Done"")) * ('Sprint 18'!E:E = ""Mac: Jarupong Pawichpongkul""))),0)"),6.0)</f>
        <v>6</v>
      </c>
      <c r="E17" s="223">
        <f>IFERROR(__xludf.DUMMYFUNCTION("ROUND(IFERROR(SUM(FILTER('Sprint 18'!T:T, (('Sprint 18'!J:J = ""Done"")) * ('Sprint 18'!E:E = ""Mac: Jarupong Pawichpongkul"")))/3600,0),2)"),8.0)</f>
        <v>8</v>
      </c>
      <c r="F17" s="224"/>
    </row>
    <row r="18" ht="22.5" customHeight="1">
      <c r="A18" s="218" t="s">
        <v>75</v>
      </c>
      <c r="B18" s="216">
        <f>IFERROR(__xludf.DUMMYFUNCTION("IFERROR(SUM(FILTER('Sprint 18'!O:O, ('Sprint 18'!E:E = ""Moss : Kittapath Sangvikukit""))),0)"),49.0)</f>
        <v>49</v>
      </c>
      <c r="C18" s="223">
        <f>IFERROR(__xludf.DUMMYFUNCTION("ROUND(IFERROR(SUM(FILTER('Sprint 18'!T:T, ('Sprint 18'!E:E = ""Moss : Kittapath Sangvikukit"")))/3600,0),2)"),48.0)</f>
        <v>48</v>
      </c>
      <c r="D18" s="216">
        <f>IFERROR(__xludf.DUMMYFUNCTION("IFERROR(SUM(FILTER('Sprint 18'!O:O, (('Sprint 18'!J:J = ""Done"")) * ('Sprint 18'!E:E = ""Moss : Kittapath Sangvikukit""))),0)"),1.0)</f>
        <v>1</v>
      </c>
      <c r="E18" s="223">
        <f>IFERROR(__xludf.DUMMYFUNCTION("ROUND(IFERROR(SUM(FILTER('Sprint 18'!T:T, (('Sprint 18'!J:J = ""Done"")) * ('Sprint 18'!E:E = ""Moss : Kittapath Sangvikukit"")))/3600,0),2)"),0.0)</f>
        <v>0</v>
      </c>
      <c r="F18" s="224"/>
    </row>
    <row r="19" ht="22.5" customHeight="1">
      <c r="A19" s="218" t="s">
        <v>28</v>
      </c>
      <c r="B19" s="216">
        <f>IFERROR(__xludf.DUMMYFUNCTION("IFERROR(SUM(FILTER('Sprint 18'!O:O, ('Sprint 18'!E:E = ""Jack: Warin Kesorn""))),0)"),39.0)</f>
        <v>39</v>
      </c>
      <c r="C19" s="223">
        <f>IFERROR(__xludf.DUMMYFUNCTION("ROUND(IFERROR(SUM(FILTER('Sprint 18'!T:T, ('Sprint 18'!E:E = ""Jack: Warin Kesorn"")))/3600,0),2)"),0.0)</f>
        <v>0</v>
      </c>
      <c r="D19" s="216">
        <f>IFERROR(__xludf.DUMMYFUNCTION("IFERROR(SUM(FILTER('Sprint 18'!O:O, (('Sprint 18'!J:J = ""Done"")) * ('Sprint 18'!E:E = ""Jack: Warin Kesorn""))),0)"),39.0)</f>
        <v>39</v>
      </c>
      <c r="E19" s="223">
        <f>IFERROR(__xludf.DUMMYFUNCTION("ROUND(IFERROR(SUM(FILTER('Sprint 18'!T:T, (('Sprint 18'!J:J = ""Done"")) * ('Sprint 18'!E:E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18'!O:O, ('Sprint 18'!E:E = ""Nim : muthita munmueang""))),0)"),37.0)</f>
        <v>37</v>
      </c>
      <c r="C20" s="223">
        <f>IFERROR(__xludf.DUMMYFUNCTION("ROUND(IFERROR(SUM(FILTER('Sprint 18'!T:T, ('Sprint 18'!E:E = ""Nim : muthita munmueang"")))/3600,0),2)"),26.0)</f>
        <v>26</v>
      </c>
      <c r="D20" s="216">
        <f>IFERROR(__xludf.DUMMYFUNCTION("IFERROR(SUM(FILTER('Sprint 18'!O:O, (('Sprint 18'!J:J = ""Done"")) * ('Sprint 18'!E:E = ""Nim : muthita munmueang""))),0)"),1.0)</f>
        <v>1</v>
      </c>
      <c r="E20" s="223">
        <f>IFERROR(__xludf.DUMMYFUNCTION("ROUND(IFERROR(SUM(FILTER('Sprint 18'!T:T, (('Sprint 18'!J:J = ""Done"")) * ('Sprint 18'!E:E = ""Nim : muthita munmueang"")))/3600,0),2)"),2.0)</f>
        <v>2</v>
      </c>
      <c r="F20" s="224"/>
    </row>
    <row r="21" ht="22.5" customHeight="1">
      <c r="A21" s="221" t="s">
        <v>77</v>
      </c>
      <c r="B21" s="224">
        <f>IFERROR(__xludf.DUMMYFUNCTION("IFERROR(SUM(FILTER('Sprint 18'!O:O, ('Sprint 18'!E:E = ""Arm:Worawat Chotipongchoawalit""))),0)"),5.0)</f>
        <v>5</v>
      </c>
      <c r="C21" s="223">
        <f>IFERROR(__xludf.DUMMYFUNCTION("ROUND(IFERROR(SUM(FILTER('Sprint 18'!T:T, ('Sprint 18'!E:E = ""Arm:Worawat Chotipongchoawalit"")))/3600,0),2)"),0.0)</f>
        <v>0</v>
      </c>
      <c r="D21" s="216">
        <f>IFERROR(__xludf.DUMMYFUNCTION("IFERROR(SUM(FILTER('Sprint 18'!O:O, (('Sprint 18'!J:J = ""Done"")) * ('Sprint 18'!E:E = ""Arm:Worawat Chotipongchoawalit""))),0)"),0.0)</f>
        <v>0</v>
      </c>
      <c r="E21" s="223">
        <f>IFERROR(__xludf.DUMMYFUNCTION("ROUND(IFERROR(SUM(FILTER('Sprint 18'!T:T, (('Sprint 18'!J:J = ""Done"")) * ('Sprint 18'!E:E = ""Arm:Worawat Chotipongchoawalit"")))/3600,0),2)"),0.0)</f>
        <v>0</v>
      </c>
      <c r="F21" s="224"/>
    </row>
    <row r="22">
      <c r="C22" s="125"/>
    </row>
    <row r="23" ht="24.75" customHeight="1">
      <c r="A23" s="232"/>
      <c r="B23" s="233" t="s">
        <v>2210</v>
      </c>
      <c r="C23" s="234"/>
      <c r="D23" s="234"/>
      <c r="E23" s="235"/>
      <c r="F23" s="236" t="s">
        <v>2211</v>
      </c>
      <c r="G23" s="234"/>
      <c r="H23" s="235"/>
      <c r="I23" s="242" t="s">
        <v>3615</v>
      </c>
      <c r="J23" s="234"/>
      <c r="K23" s="234"/>
      <c r="L23" s="234"/>
      <c r="M23" s="235"/>
    </row>
    <row r="24" ht="20.25" customHeight="1">
      <c r="A24" s="239" t="s">
        <v>2214</v>
      </c>
      <c r="B24" s="243" t="s">
        <v>30</v>
      </c>
      <c r="C24" s="243" t="s">
        <v>24</v>
      </c>
      <c r="D24" s="243" t="s">
        <v>72</v>
      </c>
      <c r="E24" s="243" t="s">
        <v>28</v>
      </c>
      <c r="F24" s="243" t="s">
        <v>32</v>
      </c>
      <c r="G24" s="243" t="s">
        <v>3616</v>
      </c>
      <c r="H24" s="243" t="s">
        <v>73</v>
      </c>
      <c r="I24" s="243" t="s">
        <v>3617</v>
      </c>
      <c r="J24" s="243" t="s">
        <v>74</v>
      </c>
      <c r="K24" s="243" t="s">
        <v>76</v>
      </c>
      <c r="L24" s="243" t="s">
        <v>75</v>
      </c>
      <c r="M24" s="243" t="s">
        <v>77</v>
      </c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</row>
    <row r="25">
      <c r="A25" s="101" t="s">
        <v>4665</v>
      </c>
      <c r="B25" s="99">
        <f>IFERROR(__xludf.DUMMYFUNCTION("IFERROR(
  SUM(
    FILTER(
      'Sprint 18'!O:O,
      ('Sprint 18'!E:E = ""Aek:Atiphat Nanthachitvanich"") *
      (LEFT('Sprint 18'!B:B,7) = ""RDTHANA"")
    )
  ),
0)"),0.0)</f>
        <v>0</v>
      </c>
      <c r="C25" s="99">
        <f>IFERROR(__xludf.DUMMYFUNCTION("IFERROR(
  SUM(
    FILTER(
      'Sprint 18'!O:O,
      ('Sprint 18'!E:E = ""Zan : Isarapong Bulan"") *
      (LEFT('Sprint 18'!B:B,7) = ""RDTHANA"")
    )
  ),
0)"),3.0)</f>
        <v>3</v>
      </c>
      <c r="D25" s="99">
        <f>IFERROR(__xludf.DUMMYFUNCTION("IFERROR(
  SUM(
    FILTER(
      'Sprint 18'!O:O,
      ('Sprint 18'!E:E = ""Aom: Pornsawan Polnyiem"") *
      (LEFT('Sprint 18'!B:B,7) = ""RDTHANA"")
    )
  ),
0)"),0.0)</f>
        <v>0</v>
      </c>
      <c r="E25" s="99">
        <f>IFERROR(__xludf.DUMMYFUNCTION("IFERROR(
  SUM(
    FILTER(
      'Sprint 18'!O:O,
      ('Sprint 18'!E:E = ""Jack: Warin Kesorn"") *
      (LEFT('Sprint 18'!B:B,7) = ""RDTHANA"")
    )
  ),
0)"),0.0)</f>
        <v>0</v>
      </c>
      <c r="F25" s="99">
        <f>IFERROR(__xludf.DUMMYFUNCTION("IFERROR(
  SUM(
    FILTER(
      'Sprint 18'!O:O,
      ('Sprint 18'!E:E = ""A:Phongthorn"") *
      (LEFT('Sprint 18'!B:B,7) = ""RDTHANA"")
    )
  ),
0)"),0.0)</f>
        <v>0</v>
      </c>
      <c r="G25" s="99">
        <f>IFERROR(__xludf.DUMMYFUNCTION("IFERROR(
  SUM(
    FILTER(
      'Sprint 18'!O:O,
      ('Sprint 18'!E:E = ""Art: Narupontp"") *
      (LEFT('Sprint 18'!B:B,7) = ""RDTHANA"")
    )
  ),
0)"),0.0)</f>
        <v>0</v>
      </c>
      <c r="H25" s="99">
        <f>IFERROR(__xludf.DUMMYFUNCTION("IFERROR(
  SUM(
    FILTER(
      'Sprint 18'!O:O,
      ('Sprint 18'!E:E = ""Mai:Sateta Abvanawong"") *
      (LEFT('Sprint 18'!B:B,7) = ""RDTHANA"")
    )
  ),
0)"),0.0)</f>
        <v>0</v>
      </c>
      <c r="I25" s="99">
        <f>IFERROR(__xludf.DUMMYFUNCTION("IFERROR(
  SUM(
    FILTER(
      'Sprint 18'!O:O,
      ('Sprint 18'!E:E = ""Kae: Pimonrath Jaiyen"") *
      (LEFT('Sprint 18'!B:B,7) = ""RDTHANA"")
    )
  ),
0)"),0.0)</f>
        <v>0</v>
      </c>
      <c r="J25" s="99">
        <f>IFERROR(__xludf.DUMMYFUNCTION("IFERROR(
  SUM(
    FILTER(
      'Sprint 18'!O:O,
      ('Sprint 18'!E:E = ""Mac: Jarupong Pawichpongkul"") *
      (LEFT('Sprint 18'!B:B,7) = ""RDTHANA"")
    )
  ),
0)"),10.0)</f>
        <v>10</v>
      </c>
      <c r="K25" s="99">
        <f>IFERROR(__xludf.DUMMYFUNCTION("IFERROR(
  SUM(
    FILTER(
      'Sprint 18'!O:O,
      ('Sprint 18'!E:E = ""Nim : muthita munmueang"") *
      (LEFT('Sprint 18'!B:B,7) = ""RDTHANA"")
    )
  ),
0)"),0.0)</f>
        <v>0</v>
      </c>
      <c r="L25" s="99">
        <f>IFERROR(__xludf.DUMMYFUNCTION("IFERROR(
  SUM(
    FILTER(
      'Sprint 18'!O:O,
      ('Sprint 18'!E:E = ""Moss : Kittapath Sangvikukit"") *
      (LEFT('Sprint 18'!B:B,7) = ""RDTHANA"")
    )
  ),
0)"),0.0)</f>
        <v>0</v>
      </c>
      <c r="M25" s="99">
        <f>IFERROR(__xludf.DUMMYFUNCTION("IFERROR(
  SUM(
    FILTER(
      'Sprint 18'!O:O,
      ('Sprint 18'!E:E = ""Arm:Worawat Chotipongchoawalit"") *
      (LEFT('Sprint 18'!B:B,7) = ""RDTHANA"")
    )
  ),
0)"),0.0)</f>
        <v>0</v>
      </c>
    </row>
    <row r="26">
      <c r="A26" s="101" t="s">
        <v>4666</v>
      </c>
      <c r="B26" s="99">
        <f>IFERROR(__xludf.DUMMYFUNCTION("IFERROR(
  SUM(
    FILTER(
      'Sprint 18'!O:O,
      ('Sprint 18'!E:E = ""Aek:Atiphat Nanthachitvanich"") *
      (LEFT('Sprint 18'!B:B,9) = ""DEVRDECOM"")
    )
  ),
0)"),0.0)</f>
        <v>0</v>
      </c>
      <c r="C26" s="99">
        <f>IFERROR(__xludf.DUMMYFUNCTION("IFERROR(
  SUM(
    FILTER(
      'Sprint 18'!O:O,
      ('Sprint 18'!E:E = ""Zan : Isarapong Bulan"") *
      (LEFT('Sprint 18'!B:B,9) = ""DEVRDECOM"")
    )
  ),
0)"),0.0)</f>
        <v>0</v>
      </c>
      <c r="D26" s="99">
        <f>IFERROR(__xludf.DUMMYFUNCTION("IFERROR(
  SUM(
    FILTER(
      'Sprint 18'!O:O,
      ('Sprint 18'!E:E = ""Aom: Pornsawan Polnyiem"") *
      (LEFT('Sprint 18'!B:B,9) = ""DEVRDECOM"")
    )
  ),
0)"),0.0)</f>
        <v>0</v>
      </c>
      <c r="E26" s="99">
        <f>IFERROR(__xludf.DUMMYFUNCTION("IFERROR(
  SUM(
    FILTER(
      'Sprint 18'!O:O,
      ('Sprint 18'!E:E = ""Jack: Warin Kesorn"") *
      (LEFT('Sprint 18'!B:B,9) = ""DEVRDECOM"")
    )
  ),
0)"),0.0)</f>
        <v>0</v>
      </c>
      <c r="F26" s="99">
        <f>IFERROR(__xludf.DUMMYFUNCTION("IFERROR(
  SUM(
    FILTER(
      'Sprint 18'!O:O,
      ('Sprint 18'!E:E = ""A:Phongthorn"") *
      (LEFT('Sprint 18'!B:B,9) = ""DEVRDECOM"")
    )
  ),
0)"),0.0)</f>
        <v>0</v>
      </c>
      <c r="G26" s="99">
        <f>IFERROR(__xludf.DUMMYFUNCTION("IFERROR(
  SUM(
    FILTER(
      'Sprint 18'!O:O,
      ('Sprint 18'!E:E = ""Art: Narupontp"") *
      (LEFT('Sprint 18'!B:B,9) = ""DEVRDECOM"")
    )
  ),
0)"),0.0)</f>
        <v>0</v>
      </c>
      <c r="H26" s="99">
        <f>IFERROR(__xludf.DUMMYFUNCTION("IFERROR(
  SUM(
    FILTER(
      'Sprint 18'!O:O,
      ('Sprint 18'!E:E = ""Mai:Sateta Abvanawong"") *
      (LEFT('Sprint 18'!B:B,9) = ""DEVRDECOM"")
    )
  ),
0)"),0.0)</f>
        <v>0</v>
      </c>
      <c r="I26" s="99">
        <f>IFERROR(__xludf.DUMMYFUNCTION("IFERROR(
  SUM(
    FILTER(
      'Sprint 18'!O:O,
      ('Sprint 18'!E:E = ""Kae: Pimonrath Jaiyen"") *
      (LEFT('Sprint 18'!B:B,9) = ""DEVRDECOM"")
    )
  ),
0)"),0.0)</f>
        <v>0</v>
      </c>
      <c r="J26" s="99">
        <f>IFERROR(__xludf.DUMMYFUNCTION("IFERROR(
  SUM(
    FILTER(
      'Sprint 18'!O:O,
      ('Sprint 18'!E:E = ""Mac: Jarupong Pawichpongkul"") *
      (LEFT('Sprint 18'!B:B,9) = ""DEVRDECOM"")
    )
  ),
0)"),0.0)</f>
        <v>0</v>
      </c>
      <c r="K26" s="99">
        <f>IFERROR(__xludf.DUMMYFUNCTION("IFERROR(
  SUM(
    FILTER(
      'Sprint 18'!O:O,
      ('Sprint 18'!E:E = ""Nim : muthita munmueang"") *
      (LEFT('Sprint 18'!B:B,9) = ""DEVRDECOM"")
    )
  ),
0)"),0.0)</f>
        <v>0</v>
      </c>
      <c r="L26" s="99">
        <f>IFERROR(__xludf.DUMMYFUNCTION("IFERROR(
  SUM(
    FILTER(
      'Sprint 18'!O:O,
      ('Sprint 18'!E:E = ""Moss : Kittapath Sangvikukit"") *
      (LEFT('Sprint 18'!B:B,9) = ""DEVRDECOM"")
    )
  ),
0)"),0.0)</f>
        <v>0</v>
      </c>
      <c r="M26" s="99">
        <f>IFERROR(__xludf.DUMMYFUNCTION("IFERROR(
  SUM(
    FILTER(
      'Sprint 18'!O:O,
      ('Sprint 18'!E:E = ""Arm:Worawat Chotipongchoawalit"") *
      (LEFT('Sprint 18'!B:B,9) = ""DEVRDECOM"")
    )
  ),
0)"),0.0)</f>
        <v>0</v>
      </c>
    </row>
    <row r="27" ht="32.25" customHeight="1">
      <c r="A27" s="101" t="s">
        <v>4667</v>
      </c>
      <c r="B27" s="99">
        <f>IFERROR(__xludf.DUMMYFUNCTION("IFERROR(
  SUM(
    FILTER(
      'Sprint 18'!O:O,
      ('Sprint 18'!E:E = ""Aek:Atiphat Nanthachitvanich"") *
      (LEFT('Sprint 18'!B:B,7) = ""DEVRDCT"")
    )
  ),
0)"),0.0)</f>
        <v>0</v>
      </c>
      <c r="C27" s="99">
        <f>IFERROR(__xludf.DUMMYFUNCTION("IFERROR(
  SUM(
    FILTER(
      'Sprint 18'!O:O,
      ('Sprint 18'!E:E = ""Zan : Isarapong Bulan"") *
      (LEFT('Sprint 18'!B:B,7) = ""DEVRDCT"")
    )
  ),
0)"),0.0)</f>
        <v>0</v>
      </c>
      <c r="D27" s="99">
        <f>IFERROR(__xludf.DUMMYFUNCTION("IFERROR(
  SUM(
    FILTER(
      'Sprint 18'!O:O,
      ('Sprint 18'!E:E = ""Aom: Pornsawan Polnyiem"") *
      (LEFT('Sprint 18'!B:B,7) = ""DEVRDCT"")
    )
  ),
0)"),0.0)</f>
        <v>0</v>
      </c>
      <c r="E27" s="99">
        <f>IFERROR(__xludf.DUMMYFUNCTION("IFERROR(
  SUM(
    FILTER(
      'Sprint 18'!O:O,
      ('Sprint 18'!E:E = ""Jack: Warin Kesorn"") *
      (LEFT('Sprint 18'!B:B,7) = ""DEVRDCT"")
    )
  ),
0)"),0.0)</f>
        <v>0</v>
      </c>
      <c r="F27" s="99">
        <f>IFERROR(__xludf.DUMMYFUNCTION("IFERROR(
  SUM(
    FILTER(
      'Sprint 18'!O:O,
      ('Sprint 18'!E:E = ""A:Phongthorn"") *
      (LEFT('Sprint 18'!B:B,7) = ""DEVRDCT"")
    )
  ),
0)"),0.0)</f>
        <v>0</v>
      </c>
      <c r="G27" s="99">
        <f>IFERROR(__xludf.DUMMYFUNCTION("IFERROR(
  SUM(
    FILTER(
      'Sprint 18'!O:O,
      ('Sprint 18'!E:E = ""Art: Narupontp"") *
      (LEFT('Sprint 18'!B:B,7) = ""DEVRDCT"")
    )
  ),
0)"),0.0)</f>
        <v>0</v>
      </c>
      <c r="H27" s="99">
        <f>IFERROR(__xludf.DUMMYFUNCTION("IFERROR(
  SUM(
    FILTER(
      'Sprint 18'!O:O,
      ('Sprint 18'!E:E = ""Mai:Sateta Abvanawong"") *
      (LEFT('Sprint 18'!B:B,7) = ""DEVRDCT"")
    )
  ),
0)"),0.0)</f>
        <v>0</v>
      </c>
      <c r="I27" s="99">
        <f>IFERROR(__xludf.DUMMYFUNCTION("IFERROR(
  SUM(
    FILTER(
      'Sprint 18'!O:O,
      ('Sprint 18'!E:E = ""Moss : Kittapath Sangvikukit"") *
      (LEFT('Sprint 18'!B:B,7) = ""DEVRDCT"")
    )
  ),
0)"),0.0)</f>
        <v>0</v>
      </c>
      <c r="J27" s="99">
        <f>IFERROR(__xludf.DUMMYFUNCTION("IFERROR(
  SUM(
    FILTER(
      'Sprint 18'!O:O,
      ('Sprint 18'!E:E = ""Mac: Jarupong Pawichpongkul"") *
      (LEFT('Sprint 18'!B:B,7) = ""DEVRDCT"")
    )
  ),
0)"),0.0)</f>
        <v>0</v>
      </c>
      <c r="K27" s="99">
        <f>IFERROR(__xludf.DUMMYFUNCTION("IFERROR(
  SUM(
    FILTER(
      'Sprint 18'!O:O,
      ('Sprint 18'!E:E = ""Moss : Kittapath Sangvikukit"") *
      (LEFT('Sprint 18'!B:B,7) = ""DEVRDCT"")
    )
  ),
0)"),0.0)</f>
        <v>0</v>
      </c>
      <c r="L27" s="99">
        <f>IFERROR(__xludf.DUMMYFUNCTION("IFERROR(
  SUM(
    FILTER(
      'Sprint 18'!O:O,
      ('Sprint 18'!E:E = ""Moss : Kittapath Sangvikukit"") *
      (LEFT('Sprint 18'!B:B,7) = ""DEVRDCT"")
    )
  ),
0)"),0.0)</f>
        <v>0</v>
      </c>
      <c r="M27" s="99">
        <f>IFERROR(__xludf.DUMMYFUNCTION("IFERROR(
  SUM(
    FILTER(
      'Sprint 18'!O:O,
      ('Sprint 18'!E:E = ""Arm:Worawat Chotipongchoawalit"") *
      (LEFT('Sprint 18'!B:B,7) = ""DEVRDCT"")
    )
  ),
0)"),0.0)</f>
        <v>0</v>
      </c>
    </row>
    <row r="28" ht="22.5" customHeight="1">
      <c r="A28" s="101" t="s">
        <v>4668</v>
      </c>
      <c r="B28" s="99">
        <f>IFERROR(__xludf.DUMMYFUNCTION("IFERROR(
  SUM(
    FILTER(
      'Sprint 18'!O:O,
      ('Sprint 18'!E:E = ""Aek:Atiphat Nanthachitvanich"") *
      (LEFT('Sprint 18'!B:B,8) = ""DEVRDADJ"")
    )
  ),
0)"),0.0)</f>
        <v>0</v>
      </c>
      <c r="C28" s="99">
        <f>IFERROR(__xludf.DUMMYFUNCTION("IFERROR(
  SUM(
    FILTER(
      'Sprint 18'!O:O,
      ('Sprint 18'!E:E = ""Zan : Isarapong Bulan"") *
      (LEFT('Sprint 18'!B:B,8) = ""DEVRDADJ"")
    )
  ),
0)"),0.0)</f>
        <v>0</v>
      </c>
      <c r="D28" s="99">
        <f>IFERROR(__xludf.DUMMYFUNCTION("IFERROR(
  SUM(
    FILTER(
      'Sprint 18'!O:O,
      ('Sprint 18'!E:E = ""Aom: Pornsawan Polnyiem"") *
      (LEFT('Sprint 18'!B:B,8) = ""DEVRDADJ"")
    )
  ),
0)"),0.0)</f>
        <v>0</v>
      </c>
      <c r="E28" s="99">
        <f>IFERROR(__xludf.DUMMYFUNCTION("IFERROR(
  SUM(
    FILTER(
      'Sprint 18'!O:O,
      ('Sprint 18'!E:E = ""Jack: Warin Kesorn"") *
      (LEFT('Sprint 18'!B:B,8) = ""DEVRDADJ"")
    )
  ),
0)"),0.0)</f>
        <v>0</v>
      </c>
      <c r="F28" s="99">
        <f>IFERROR(__xludf.DUMMYFUNCTION("IFERROR(
  SUM(
    FILTER(
      'Sprint 18'!O:O,
      ('Sprint 18'!E:E = ""A:Phongthorn"") *
      (LEFT('Sprint 18'!B:B,8) = ""DEVRDADJ"")
    )
  ),
0)"),0.0)</f>
        <v>0</v>
      </c>
      <c r="G28" s="99">
        <f>IFERROR(__xludf.DUMMYFUNCTION("IFERROR(
  SUM(
    FILTER(
      'Sprint 18'!O:O,
      ('Sprint 18'!E:E = ""Art: Narupontp"") *
      (LEFT('Sprint 18'!B:B,8) = ""DEVRDADJ"")
    )
  ),
0)"),0.0)</f>
        <v>0</v>
      </c>
      <c r="H28" s="99">
        <f>IFERROR(__xludf.DUMMYFUNCTION("IFERROR(
  SUM(
    FILTER(
      'Sprint 18'!O:O,
      ('Sprint 18'!E:E = ""Mai:Sateta Abvanawong"") *
      (LEFT('Sprint 18'!B:B,8) = ""DEVRDADJ"")
    )
  ),
0)"),0.0)</f>
        <v>0</v>
      </c>
      <c r="I28" s="99">
        <f>IFERROR(__xludf.DUMMYFUNCTION("IFERROR(
  SUM(
    FILTER(
      'Sprint 18'!O:O,
      ('Sprint 18'!E:E = ""Kae: Pimonrath Jaiyen"") *
      (LEFT('Sprint 18'!B:B,8) = ""DEVRDADJ"")
    )
  ),
0)"),0.0)</f>
        <v>0</v>
      </c>
      <c r="J28" s="99">
        <f>IFERROR(__xludf.DUMMYFUNCTION("IFERROR(
  SUM(
    FILTER(
      'Sprint 18'!O:O,
      ('Sprint 18'!E:E = ""Mac: Jarupong Pawichpongkul"") *
      (LEFT('Sprint 18'!B:B,8) = ""DEVRDADJ"")
    )
  ),
0)"),0.0)</f>
        <v>0</v>
      </c>
      <c r="K28" s="99">
        <f>IFERROR(__xludf.DUMMYFUNCTION("IFERROR(
  SUM(
    FILTER(
      'Sprint 18'!O:O,
      ('Sprint 18'!E:E = ""Nim : muthita munmueang"") *
      (LEFT('Sprint 18'!B:B,8) = ""DEVRDADJ"")
    )
  ),
0)"),0.0)</f>
        <v>0</v>
      </c>
      <c r="L28" s="99">
        <f>IFERROR(__xludf.DUMMYFUNCTION("IFERROR(
  SUM(
    FILTER(
      'Sprint 18'!O:O,
      ('Sprint 18'!E:E = ""Moss : Kittapath Sangvikukit"") *
      (LEFT('Sprint 18'!B:B,8) = ""DEVRDADJ"")
    )
  ),
0)"),0.0)</f>
        <v>0</v>
      </c>
      <c r="M28" s="99">
        <f>IFERROR(__xludf.DUMMYFUNCTION("IFERROR(
  SUM(
    FILTER(
      'Sprint 18'!O:O,
      ('Sprint 18'!E:E = ""Arm:Worawat Chotipongchoawalit"") *
      (LEFT('Sprint 18'!B:B,8) = ""DEVRDADJ"")
    )
  ),
0)"),0.0)</f>
        <v>0</v>
      </c>
    </row>
    <row r="29">
      <c r="A29" s="101" t="s">
        <v>4669</v>
      </c>
      <c r="B29" s="101">
        <f>IFERROR(__xludf.DUMMYFUNCTION("IFERROR(
  SUM(
    FILTER(
      'Sprint 18'!O:O,
      ('Sprint 18'!E:E = ""Aek:Atiphat Nanthachitvanich"") *
      (LEFT('Sprint 18'!B:B,5) = ""RDAPS"")
    )
  ),
0)"),1.0)</f>
        <v>1</v>
      </c>
      <c r="C29" s="99">
        <f>IFERROR(__xludf.DUMMYFUNCTION("IFERROR(
  SUM(
    FILTER(
      'Sprint 18'!O:O,
      ('Sprint 18'!E:E = ""Zan : Isarapong Bulan"") *
      (LEFT('Sprint 18'!B:B,5) = ""RDAPS"")
    )
  ),
0)"),5.0)</f>
        <v>5</v>
      </c>
      <c r="D29" s="99">
        <f>IFERROR(__xludf.DUMMYFUNCTION("IFERROR(
  SUM(
    FILTER(
      'Sprint 18'!O:O,
      ('Sprint 18'!E:E = ""Aom: Pornsawan Polnyiem"") *
      (LEFT('Sprint 18'!B:B,5) = ""RDAPS"")
    )
  ),
0)"),2.0)</f>
        <v>2</v>
      </c>
      <c r="E29" s="99">
        <f>IFERROR(__xludf.DUMMYFUNCTION("IFERROR(
  SUM(
    FILTER(
      'Sprint 18'!O:O,
      ('Sprint 18'!E:E = ""Jack: Warin Kesorn"") *
      (LEFT('Sprint 18'!B:B,5) = ""RDAPS"")
    )
  ),
0)"),0.0)</f>
        <v>0</v>
      </c>
      <c r="F29" s="99">
        <f>IFERROR(__xludf.DUMMYFUNCTION("IFERROR(
  SUM(
    FILTER(
      'Sprint 18'!O:O,
      ('Sprint 18'!E:E = ""A:Phongthorn"") *
      (LEFT('Sprint 18'!B:B,5) = ""RDAPS"")
    )
  ),
0)"),0.0)</f>
        <v>0</v>
      </c>
      <c r="G29" s="99">
        <f>IFERROR(__xludf.DUMMYFUNCTION("IFERROR(
  SUM(
    FILTER(
      'Sprint 18'!O:O,
      ('Sprint 18'!E:E = ""Art: Narupontp"") *
      (LEFT('Sprint 18'!B:B,5) = ""RDAPS"")
    )
  ),
0)"),0.0)</f>
        <v>0</v>
      </c>
      <c r="H29" s="99">
        <f>IFERROR(__xludf.DUMMYFUNCTION("IFERROR(
  SUM(
    FILTER(
      'Sprint 18'!O:O,
      ('Sprint 18'!E:E = ""Mai:Sateta Abvanawong"") *
      (LEFT('Sprint 18'!B:B,5) = ""RDAPS"")
    )
  ),
0)"),1.0)</f>
        <v>1</v>
      </c>
      <c r="I29" s="99">
        <f>IFERROR(__xludf.DUMMYFUNCTION("IFERROR(
  SUM(
    FILTER(
      'Sprint 18'!O:O,
      ('Sprint 18'!E:E = ""Kae: Pimonrath Jaiyen"") *
      (LEFT('Sprint 18'!B:B,5) = ""RDAPS"")
    )
  ),
0)"),0.0)</f>
        <v>0</v>
      </c>
      <c r="J29" s="99">
        <f>IFERROR(__xludf.DUMMYFUNCTION("IFERROR(
  SUM(
    FILTER(
      'Sprint 18'!O:O,
      ('Sprint 18'!E:E = ""Mac: Jarupong Pawichpongkul"") *
      (LEFT('Sprint 18'!B:B,5) = ""RDAPS"")
    )
  ),
0)"),0.0)</f>
        <v>0</v>
      </c>
      <c r="K29" s="99">
        <f>IFERROR(__xludf.DUMMYFUNCTION("IFERROR(
  SUM(
    FILTER(
      'Sprint 18'!O:O,
      ('Sprint 18'!E:E = ""Moss : Kittapath Sangvikukitฃ"") *
      (LEFT('Sprint 18'!B:B,5) = ""RDAPS"")
    )
  ),
0)"),0.0)</f>
        <v>0</v>
      </c>
      <c r="L29" s="99">
        <f>IFERROR(__xludf.DUMMYFUNCTION("IFERROR(
  SUM(
    FILTER(
      'Sprint 18'!O:O,
      ('Sprint 18'!E:E = ""Moss : Kittapath Sangvikukit"") *
      (LEFT('Sprint 18'!B:B,5) = ""RDAPS"")
    )
  ),
0)"),0.0)</f>
        <v>0</v>
      </c>
      <c r="M29" s="99">
        <f>IFERROR(__xludf.DUMMYFUNCTION("IFERROR(
  SUM(
    FILTER(
      'Sprint 18'!O:O,
      ('Sprint 18'!E:E = ""Arm:Worawat Chotipongchoawalit"") *
      (LEFT('Sprint 18'!B:B,5) = ""RDAPS"")
    )
  ),
0)"),0.0)</f>
        <v>0</v>
      </c>
    </row>
    <row r="30" ht="21.0" customHeight="1">
      <c r="A30" s="101" t="s">
        <v>4670</v>
      </c>
      <c r="B30" s="101">
        <f>IFERROR(__xludf.DUMMYFUNCTION("IFERROR(
  SUM(
    FILTER(
      'Sprint 18'!O:O,
      ('Sprint 18'!E:E = ""Aek:Atiphat Nanthachitvanich"") *
      (LEFT('Sprint 18'!B:B,8) = ""DEVRDSUP"")
    )
  ),
0)"),4.0)</f>
        <v>4</v>
      </c>
      <c r="C30" s="99">
        <f>IFERROR(__xludf.DUMMYFUNCTION("IFERROR(
  SUM(
    FILTER(
      'Sprint 18'!O:O,
      ('Sprint 18'!E:E = ""Zan : Isarapong Bulan"") *
      (LEFT('Sprint 18'!B:B,8) = ""DEVRDSUP"")
    )
  ),
0)"),0.0)</f>
        <v>0</v>
      </c>
      <c r="D30" s="99">
        <f>IFERROR(__xludf.DUMMYFUNCTION("IFERROR(
  SUM(
    FILTER(
      'Sprint 18'!O:O,
      ('Sprint 18'!E:E = ""Aom: Pornsawan Polnyiem"") *
      (LEFT('Sprint 18'!B:B,8) = ""DEVRDSUP"")
    )
  ),
0)"),14.0)</f>
        <v>14</v>
      </c>
      <c r="E30" s="99">
        <f>IFERROR(__xludf.DUMMYFUNCTION("IFERROR(
  SUM(
    FILTER(
      'Sprint 18'!O:O,
      ('Sprint 18'!E:E = ""Jack: Warin Kesorn"") *
      (LEFT('Sprint 18'!B:B,8) = ""DEVRDSUP"")
    )
  ),
0)"),0.0)</f>
        <v>0</v>
      </c>
      <c r="F30" s="101">
        <f>IFERROR(__xludf.DUMMYFUNCTION("IFERROR(
  SUM(
    FILTER(
      'Sprint 18'!P:P,
      ('Sprint 18'!F:F = ""A:Phongthorn"") *
      (LEFT('Sprint 18'!C:C,8) = ""DEVRDSUP"")
    )
  ),
0)"),0.0)</f>
        <v>0</v>
      </c>
      <c r="G30" s="99">
        <f>IFERROR(__xludf.DUMMYFUNCTION("IFERROR(
  SUM(
    FILTER(
      'Sprint 18'!O:O,
      ('Sprint 18'!E:E = ""Art: Narupontp"") *
      (LEFT('Sprint 18'!B:B,8) = ""DEVRDSUP"")
    )
  ),
0)"),0.0)</f>
        <v>0</v>
      </c>
      <c r="H30" s="99">
        <f>IFERROR(__xludf.DUMMYFUNCTION("IFERROR(
  SUM(
    FILTER(
      'Sprint 18'!O:O,
      ('Sprint 18'!E:E = ""Mai:Sateta Abvanawong"") *
      (LEFT('Sprint 18'!B:B,8) = ""DEVRDSUP"")
    )
  ),
0)"),0.0)</f>
        <v>0</v>
      </c>
      <c r="I30" s="99">
        <f>IFERROR(__xludf.DUMMYFUNCTION("IFERROR(
  SUM(
    FILTER(
      'Sprint 18'!O:O,
      ('Sprint 18'!E:E = ""Kae: Pimonrath Jaiyen"") *
      (LEFT('Sprint 18'!B:B,8) = ""DEVRDSUP"")
    )
  ),
0)"),0.0)</f>
        <v>0</v>
      </c>
      <c r="J30" s="99">
        <f>IFERROR(__xludf.DUMMYFUNCTION("IFERROR(
  SUM(
    FILTER(
      'Sprint 18'!O:O,
      ('Sprint 18'!E:E = ""Mac: Jarupong Pawichpongkul"") *
      (LEFT('Sprint 18'!B:B,8) = ""DEVRDSUP"")
    )
  ),
0)"),3.0)</f>
        <v>3</v>
      </c>
      <c r="K30" s="99">
        <f>IFERROR(__xludf.DUMMYFUNCTION("IFERROR(
  SUM(
    FILTER(
      'Sprint 18'!O:O,
      ('Sprint 18'!E:E = ""Nim : muthita munmueang"") *
      (LEFT('Sprint 18'!B:B,8) = ""DEVRDSUP"")
    )
  ),
0)"),2.0)</f>
        <v>2</v>
      </c>
      <c r="L30" s="99">
        <f>IFERROR(__xludf.DUMMYFUNCTION("IFERROR(
  SUM(
    FILTER(
      'Sprint 18'!O:O,
      ('Sprint 18'!E:E = ""Moss : Kittapath Sangvikukit"") *
      (LEFT('Sprint 18'!B:B,8) = ""DEVRDSUP"")
    )
  ),
0)"),0.0)</f>
        <v>0</v>
      </c>
      <c r="M30" s="99">
        <f>IFERROR(__xludf.DUMMYFUNCTION("IFERROR(
  SUM(
    FILTER(
      'Sprint 18'!O:O,
      ('Sprint 18'!E:E = ""Arm:Worawat Chotipongchoawalit"") *
      (LEFT('Sprint 18'!B:B,8) = ""DEVRDSUP"")
    )
  ),
0)"),0.0)</f>
        <v>0</v>
      </c>
    </row>
    <row r="31">
      <c r="C31" s="125"/>
    </row>
    <row r="32">
      <c r="C32" s="125"/>
    </row>
    <row r="33" ht="24.75" customHeight="1">
      <c r="A33" s="232"/>
      <c r="B33" s="233" t="s">
        <v>2210</v>
      </c>
      <c r="C33" s="234"/>
      <c r="D33" s="234"/>
      <c r="E33" s="235"/>
      <c r="F33" s="236" t="s">
        <v>2211</v>
      </c>
      <c r="G33" s="234"/>
      <c r="H33" s="235"/>
      <c r="I33" s="242" t="s">
        <v>3615</v>
      </c>
      <c r="J33" s="234"/>
      <c r="K33" s="234"/>
      <c r="L33" s="234"/>
      <c r="M33" s="235"/>
    </row>
    <row r="34" ht="20.25" customHeight="1">
      <c r="A34" s="239" t="s">
        <v>3618</v>
      </c>
      <c r="B34" s="243" t="s">
        <v>30</v>
      </c>
      <c r="C34" s="243" t="s">
        <v>24</v>
      </c>
      <c r="D34" s="243" t="s">
        <v>72</v>
      </c>
      <c r="E34" s="243" t="s">
        <v>28</v>
      </c>
      <c r="F34" s="243" t="s">
        <v>32</v>
      </c>
      <c r="G34" s="243" t="s">
        <v>3616</v>
      </c>
      <c r="H34" s="243" t="s">
        <v>73</v>
      </c>
      <c r="I34" s="243" t="s">
        <v>3617</v>
      </c>
      <c r="J34" s="243" t="s">
        <v>74</v>
      </c>
      <c r="K34" s="243" t="s">
        <v>76</v>
      </c>
      <c r="L34" s="243" t="s">
        <v>75</v>
      </c>
      <c r="M34" s="243" t="s">
        <v>77</v>
      </c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</row>
    <row r="35">
      <c r="A35" s="101" t="s">
        <v>4665</v>
      </c>
      <c r="B35" s="99">
        <f>IFERROR(__xludf.DUMMYFUNCTION("ROUND(
  IFERROR(
    SUM(
      FILTER(
        'Sprint 18'!T:T,
        ('Sprint 18'!E:E = ""Aek:Atiphat Nanthachitvanich"") *
        (LEFT('Sprint 18'!B:B,7) = ""RDTHANA"")
      )
    ) / 3600,
    0
  ),
  2
)"),0.0)</f>
        <v>0</v>
      </c>
      <c r="C35" s="99">
        <f>IFERROR(__xludf.DUMMYFUNCTION("ROUND(
  IFERROR(
    SUM(
      FILTER(
        'Sprint 18'!T:T,
        ('Sprint 18'!E:E = ""Zan : Isarapong Bulan"") *
        (LEFT('Sprint 18'!B:B,7) = ""RDTHANA"")
      )
    ) / 3600,
    0
  ),
  2
)"),0.0)</f>
        <v>0</v>
      </c>
      <c r="D35" s="99">
        <f>IFERROR(__xludf.DUMMYFUNCTION("ROUND(
  IFERROR(
    SUM(
      FILTER(
        'Sprint 18'!T:T,
        ('Sprint 18'!E:E = ""Aom: Pornsawan Polnyiem"") *
        (LEFT('Sprint 18'!B:B,7) = ""RDTHANA"")
      )
    ) / 3600,
    0
  ),
  2
)"),0.0)</f>
        <v>0</v>
      </c>
      <c r="E35" s="99">
        <f>IFERROR(__xludf.DUMMYFUNCTION("ROUND(
  IFERROR(
    SUM(
      FILTER(
        'Sprint 18'!T:T,
        ('Sprint 18'!E:E = ""Jack: Warin Kesorn"") *
        (LEFT('Sprint 18'!B:B,7) = ""RDTHANA"")
      )
    ) / 3600,
    0
  ),
  2
)"),0.0)</f>
        <v>0</v>
      </c>
      <c r="F35" s="99">
        <f>IFERROR(__xludf.DUMMYFUNCTION("ROUND(
  IFERROR(
    SUM(
      FILTER(
        'Sprint 18'!T:T,
        ('Sprint 18'!E:E = ""A:Phongthorn"") *
        (LEFT('Sprint 18'!B:B,7) = ""RDTHANA"")
      )
    ) / 3600,
    0
  ),
  2
)"),0.0)</f>
        <v>0</v>
      </c>
      <c r="G35" s="99">
        <f>IFERROR(__xludf.DUMMYFUNCTION("ROUND(
  IFERROR(
    SUM(
      FILTER(
        'Sprint 18'!T:T,
        ('Sprint 18'!E:E = ""Art: Narupontp"") *
        (LEFT('Sprint 18'!B:B,7) = ""RDTHANA"")
      )
    ) / 3600,
    0
  ),
  2
)"),0.0)</f>
        <v>0</v>
      </c>
      <c r="H35" s="99">
        <f>IFERROR(__xludf.DUMMYFUNCTION("ROUND(
  IFERROR(
    SUM(
      FILTER(
        'Sprint 18'!T:T,
        ('Sprint 18'!E:E = ""Mai:Sateta Abvanawong"") *
        (LEFT('Sprint 18'!B:B,7) = ""RDTHANA"")
      )
    ) / 3600,
    0
  ),
  2
)"),0.0)</f>
        <v>0</v>
      </c>
      <c r="I35" s="99">
        <f>IFERROR(__xludf.DUMMYFUNCTION("ROUND(
  IFERROR(
    SUM(
      FILTER(
        'Sprint 18'!T:T,
        ('Sprint 18'!E:E = ""Kae: Pimonrath Jaiyen"") *
        (LEFT('Sprint 18'!B:B,7) = ""RDTHANA"")
      )
    ) / 3600,
    0
  ),
  2
)"),0.0)</f>
        <v>0</v>
      </c>
      <c r="J35" s="99">
        <f>IFERROR(__xludf.DUMMYFUNCTION("ROUND(
  IFERROR(
    SUM(
      FILTER(
        'Sprint 18'!T:T,
        ('Sprint 18'!E:E = ""Mac: Jarupong Pawichpongkul"") *
        (LEFT('Sprint 18'!B:B,7) = ""RDTHANA"")
      )
    ) / 3600,
    0
  ),
  2
)"),32.0)</f>
        <v>32</v>
      </c>
      <c r="K35" s="99">
        <f>IFERROR(__xludf.DUMMYFUNCTION("ROUND(
  IFERROR(
    SUM(
      FILTER(
        'Sprint 18'!T:T,
        ('Sprint 18'!E:E = ""Nim : muthita munmueang"") *
        (LEFT('Sprint 18'!B:B,7) = ""RDTHANA"")
      )
    ) / 3600,
    0
  ),
  2
)"),0.0)</f>
        <v>0</v>
      </c>
      <c r="L35" s="99">
        <f>IFERROR(__xludf.DUMMYFUNCTION("ROUND(
  IFERROR(
    SUM(
      FILTER(
        'Sprint 18'!T:T,
        ('Sprint 18'!E:E = ""Moss : Kittapath Sangvikukit"") *
        (LEFT('Sprint 18'!B:B,7) = ""RDTHANA"")
      )
    ) / 3600,
    0
  ),
  2
)"),0.0)</f>
        <v>0</v>
      </c>
      <c r="M35" s="99">
        <f>IFERROR(__xludf.DUMMYFUNCTION("ROUND(
  IFERROR(
    SUM(
      FILTER(
        'Sprint 18'!T:T,
        ('Sprint 18'!E:E = ""Arm:Worawat Chotipongchoawalit"") *
        (LEFT('Sprint 18'!B:B,7) = ""RDTHANA"")
      )
    ) / 3600,
    0
  ),
  2
)"),0.0)</f>
        <v>0</v>
      </c>
    </row>
    <row r="36">
      <c r="A36" s="101" t="s">
        <v>4666</v>
      </c>
      <c r="B36" s="99">
        <f>IFERROR(__xludf.DUMMYFUNCTION("ROUND(
  IFERROR(
    SUM(
      FILTER(
        'Sprint 18'!T:T,
        ('Sprint 18'!E:E = ""Aek:Atiphat Nanthachitvanich"") *
        (LEFT('Sprint 18'!B:B,9) = ""DEVRDECOM"")
      )
    ) / 3600,
    0
  ),
  2
)"),0.0)</f>
        <v>0</v>
      </c>
      <c r="C36" s="99">
        <f>IFERROR(__xludf.DUMMYFUNCTION("ROUND(
  IFERROR(
    SUM(
      FILTER(
        'Sprint 18'!T:T,
        ('Sprint 18'!E:E = ""Zan : Isarapong Bulan"") *
        (LEFT('Sprint 18'!B:B,9) = ""DEVRDECOM"")
      )
    ) / 3600,
    0
  ),
  2
)"),0.0)</f>
        <v>0</v>
      </c>
      <c r="D36" s="99">
        <f>IFERROR(__xludf.DUMMYFUNCTION("ROUND(
  IFERROR(
    SUM(
      FILTER(
        'Sprint 18'!T:T,
        ('Sprint 18'!E:E = ""Aom: Pornsawan Polnyiem"") *
        (LEFT('Sprint 18'!B:B,9) = ""DEVRDECOM"")
      )
    ) / 3600,
    0
  ),
  2
)"),0.0)</f>
        <v>0</v>
      </c>
      <c r="E36" s="99">
        <f>IFERROR(__xludf.DUMMYFUNCTION("ROUND(
  IFERROR(
    SUM(
      FILTER(
        'Sprint 18'!T:T,
        ('Sprint 18'!E:E = ""Jack: Warin Kesorn"") *
        (LEFT('Sprint 18'!B:B,9) = ""DEVRDECOM"")
      )
    ) / 3600,
    0
  ),
  2
)"),0.0)</f>
        <v>0</v>
      </c>
      <c r="F36" s="99">
        <f>IFERROR(__xludf.DUMMYFUNCTION("ROUND(
  IFERROR(
    SUM(
      FILTER(
        'Sprint 18'!T:T,
        ('Sprint 18'!E:E = ""A:Phongthorn"") *
        (LEFT('Sprint 18'!B:B,9) = ""DEVRDECOM"")
      )
    ) / 3600,
    0
  ),
  2
)"),0.0)</f>
        <v>0</v>
      </c>
      <c r="G36" s="99">
        <f>IFERROR(__xludf.DUMMYFUNCTION("ROUND(
  IFERROR(
    SUM(
      FILTER(
        'Sprint 18'!T:T,
        ('Sprint 18'!E:E = ""Art: Narupontp"") *
        (LEFT('Sprint 18'!B:B,9) = ""DEVRDECOM"")
      )
    ) / 3600,
    0
  ),
  2
)"),0.0)</f>
        <v>0</v>
      </c>
      <c r="H36" s="99">
        <f>IFERROR(__xludf.DUMMYFUNCTION("ROUND(
  IFERROR(
    SUM(
      FILTER(
        'Sprint 18'!T:T,
        ('Sprint 18'!E:E = ""Mai:Sateta Abvanawong"") *
        (LEFT('Sprint 18'!B:B,9) = ""DEVRDECOM"")
      )
    ) / 3600,
    0
  ),
  2
)"),0.0)</f>
        <v>0</v>
      </c>
      <c r="I36" s="99">
        <f>IFERROR(__xludf.DUMMYFUNCTION("ROUND(
  IFERROR(
    SUM(
      FILTER(
        'Sprint 18'!T:T,
        ('Sprint 18'!E:E = ""Kae: Pimonrath Jaiyen"") *
        (LEFT('Sprint 18'!B:B,9) = ""DEVRDECOM"")
      )
    ) / 3600,
    0
  ),
  2
)"),0.0)</f>
        <v>0</v>
      </c>
      <c r="J36" s="99">
        <f>IFERROR(__xludf.DUMMYFUNCTION("ROUND(
  IFERROR(
    SUM(
      FILTER(
        'Sprint 18'!T:T,
        ('Sprint 18'!E:E = ""Mac: Jarupong Pawichpongkul"") *
        (LEFT('Sprint 18'!B:B,9) = ""DEVRDECOM"")
      )
    ) / 3600,
    0
  ),
  2
)"),0.0)</f>
        <v>0</v>
      </c>
      <c r="K36" s="99">
        <f>IFERROR(__xludf.DUMMYFUNCTION("ROUND(
  IFERROR(
    SUM(
      FILTER(
        'Sprint 18'!T:T,
        ('Sprint 18'!E:E = ""Nim : muthita munmueang"") *
        (LEFT('Sprint 18'!B:B,9) = ""DEVRDECOM"")
      )
    ) / 3600,
    0
  ),
  2
)"),0.0)</f>
        <v>0</v>
      </c>
      <c r="L36" s="99">
        <f>IFERROR(__xludf.DUMMYFUNCTION("ROUND(
  IFERROR(
    SUM(
      FILTER(
        'Sprint 18'!T:T,
        ('Sprint 18'!E:E = ""Moss : Kittapath Sangvikukit"") *
        (LEFT('Sprint 18'!B:B,9) = ""DEVRDECOM"")
      )
    ) / 3600,
    0
  ),
  2
)"),0.0)</f>
        <v>0</v>
      </c>
      <c r="M36" s="99">
        <f>IFERROR(__xludf.DUMMYFUNCTION("ROUND(
  IFERROR(
    SUM(
      FILTER(
        'Sprint 18'!T:T,
        ('Sprint 18'!E:E = ""Arm:Worawat Chotipongchoawalit"") *
        (LEFT('Sprint 18'!B:B,9) = ""DEVRDECOM"")
      )
    ) / 3600,
    0
  ),
  2
)"),0.0)</f>
        <v>0</v>
      </c>
    </row>
    <row r="37" ht="32.25" customHeight="1">
      <c r="A37" s="101" t="s">
        <v>4667</v>
      </c>
      <c r="B37" s="99">
        <f>IFERROR(__xludf.DUMMYFUNCTION("ROUND(
  IFERROR(
    SUM(
      FILTER(
        'Sprint 18'!T:T,
        ('Sprint 18'!E:E = ""Aek:Atiphat Nanthachitvanich"") *
        (LEFT('Sprint 18'!B:B,7) = ""DEVRDCT"")
      )
    ) / 3600,
    0
  ),
  2
)"),0.0)</f>
        <v>0</v>
      </c>
      <c r="C37" s="99">
        <f>IFERROR(__xludf.DUMMYFUNCTION("ROUND(
  IFERROR(
    SUM(
      FILTER(
        'Sprint 18'!T:T,
        ('Sprint 18'!E:E = ""Zan : Isarapong Bulan"") *
        (LEFT('Sprint 18'!B:B,7) = ""DEVRDCT"")
      )
    ) / 3600,
    0
  ),
  2
)"),0.0)</f>
        <v>0</v>
      </c>
      <c r="D37" s="99">
        <f>IFERROR(__xludf.DUMMYFUNCTION("ROUND(
  IFERROR(
    SUM(
      FILTER(
        'Sprint 18'!T:T,
        ('Sprint 18'!E:E = ""Aom: Pornsawan Polnyiem"") *
        (LEFT('Sprint 18'!B:B,7) = ""DEVRDCT"")
      )
    ) / 3600,
    0
  ),
  2
)"),0.0)</f>
        <v>0</v>
      </c>
      <c r="E37" s="99">
        <f>IFERROR(__xludf.DUMMYFUNCTION("ROUND(
  IFERROR(
    SUM(
      FILTER(
        'Sprint 18'!T:T,
        ('Sprint 18'!E:E = ""Jack: Warin Kesorn"") *
        (LEFT('Sprint 18'!B:B,7) = ""DEVRDCT"")
      )
    ) / 3600,
    0
  ),
  2
)"),0.0)</f>
        <v>0</v>
      </c>
      <c r="F37" s="99">
        <f>IFERROR(__xludf.DUMMYFUNCTION("ROUND(
  IFERROR(
    SUM(
      FILTER(
        'Sprint 18'!T:T,
        ('Sprint 18'!E:E = ""A:Phongthorn"") *
        (LEFT('Sprint 18'!B:B,7) = ""DEVRDCT"")
      )
    ) / 3600,
    0
  ),
  2
)"),0.0)</f>
        <v>0</v>
      </c>
      <c r="G37" s="99">
        <f>IFERROR(__xludf.DUMMYFUNCTION("ROUND(
  IFERROR(
    SUM(
      FILTER(
        'Sprint 18'!T:T,
        ('Sprint 18'!E:E = ""Art: Narupontp"") *
        (LEFT('Sprint 18'!B:B,7) = ""DEVRDCT"")
      )
    ) / 3600,
    0
  ),
  2
)"),0.0)</f>
        <v>0</v>
      </c>
      <c r="H37" s="99">
        <f>IFERROR(__xludf.DUMMYFUNCTION("ROUND(
  IFERROR(
    SUM(
      FILTER(
        'Sprint 18'!T:T,
        ('Sprint 18'!E:E = ""Mai:Sateta Abvanawong"") *
        (LEFT('Sprint 18'!B:B,7) = ""DEVRDCT"")
      )
    ) / 3600,
    0
  ),
  2
)"),0.0)</f>
        <v>0</v>
      </c>
      <c r="I37" s="99">
        <f>IFERROR(__xludf.DUMMYFUNCTION("ROUND(
  IFERROR(
    SUM(
      FILTER(
        'Sprint 18'!T:T,
        ('Sprint 18'!E:E = ""Kae: Pimonrath Jaiyen"") *
        (LEFT('Sprint 18'!B:B,7) = ""DEVRDCT"")
      )
    ) / 3600,
    0
  ),
  2
)"),0.0)</f>
        <v>0</v>
      </c>
      <c r="J37" s="99">
        <f>IFERROR(__xludf.DUMMYFUNCTION("ROUND(
  IFERROR(
    SUM(
      FILTER(
        'Sprint 18'!T:T,
        ('Sprint 18'!E:E = ""Mac: Jarupong Pawichpongkul"") *
        (LEFT('Sprint 18'!B:B,7) = ""DEVRDCT"")
      )
    ) / 3600,
    0
  ),
  2
)"),0.0)</f>
        <v>0</v>
      </c>
      <c r="K37" s="99">
        <f>IFERROR(__xludf.DUMMYFUNCTION("ROUND(
  IFERROR(
    SUM(
      FILTER(
        'Sprint 18'!T:T,
        ('Sprint 18'!E:E = ""Nim : muthita munmueang"") *
        (LEFT('Sprint 18'!B:B,7) = ""DEVRDCT"")
      )
    ) / 3600,
    0
  ),
  2
)"),0.0)</f>
        <v>0</v>
      </c>
      <c r="L37" s="99">
        <f>IFERROR(__xludf.DUMMYFUNCTION("ROUND(
  IFERROR(
    SUM(
      FILTER(
        'Sprint 18'!T:T,
        ('Sprint 18'!E:E = ""Moss : Kittapath Sangvikukit"") *
        (LEFT('Sprint 18'!B:B,7) = ""DEVRDCT"")
      )
    ) / 3600,
    0
  ),
  2
)"),0.0)</f>
        <v>0</v>
      </c>
      <c r="M37" s="99">
        <f>IFERROR(__xludf.DUMMYFUNCTION("ROUND(
  IFERROR(
    SUM(
      FILTER(
        'Sprint 18'!T:T,
        ('Sprint 18'!E:E = ""Arm:Worawat Chotipongchoawalit"") *
        (LEFT('Sprint 18'!B:B,7) = ""DEVRDCT"")
      )
    ) / 3600,
    0
  ),
  2
)"),0.0)</f>
        <v>0</v>
      </c>
    </row>
    <row r="38" ht="22.5" customHeight="1">
      <c r="A38" s="101" t="s">
        <v>4668</v>
      </c>
      <c r="B38" s="99">
        <f>IFERROR(__xludf.DUMMYFUNCTION("ROUND(
  IFERROR(
    SUM(
      FILTER(
        'Sprint 18'!T:T,
        ('Sprint 18'!E:E = ""Aek:Atiphat Nanthachitvanich"") *
        (LEFT('Sprint 18'!B:B,8) = ""DEVRDADJ"")
      )
    ) / 3600,
    0
  ),
  2
)"),0.0)</f>
        <v>0</v>
      </c>
      <c r="C38" s="99">
        <f>IFERROR(__xludf.DUMMYFUNCTION("ROUND(
  IFERROR(
    SUM(
      FILTER(
        'Sprint 18'!T:T,
        ('Sprint 18'!E:E = ""Zan : Isarapong Bulan"") *
        (LEFT('Sprint 18'!B:B,8) = ""DEVRDADJ"")
      )
    ) / 3600,
    0
  ),
  2
)"),0.0)</f>
        <v>0</v>
      </c>
      <c r="D38" s="99">
        <f>IFERROR(__xludf.DUMMYFUNCTION("ROUND(
  IFERROR(
    SUM(
      FILTER(
        'Sprint 18'!T:T,
        ('Sprint 18'!E:E = ""Aom: Pornsawan Polnyiem"") *
        (LEFT('Sprint 18'!B:B,8) = ""DEVRDADJ"")
      )
    ) / 3600,
    0
  ),
  2
)"),0.0)</f>
        <v>0</v>
      </c>
      <c r="E38" s="99">
        <f>IFERROR(__xludf.DUMMYFUNCTION("ROUND(
  IFERROR(
    SUM(
      FILTER(
        'Sprint 18'!T:T,
        ('Sprint 18'!E:E = ""Jack: Warin Kesorn"") *
        (LEFT('Sprint 18'!B:B,8) = ""DEVRDADJ"")
      )
    ) / 3600,
    0
  ),
  2
)"),0.0)</f>
        <v>0</v>
      </c>
      <c r="F38" s="99">
        <f>IFERROR(__xludf.DUMMYFUNCTION("ROUND(
  IFERROR(
    SUM(
      FILTER(
        'Sprint 18'!T:T,
        ('Sprint 18'!E:E = ""A:Phongthorn"") *
        (LEFT('Sprint 18'!B:B,8) = ""DEVRDADJ"")
      )
    ) / 3600,
    0
  ),
  2
)"),0.0)</f>
        <v>0</v>
      </c>
      <c r="G38" s="99">
        <f>IFERROR(__xludf.DUMMYFUNCTION("ROUND(
  IFERROR(
    SUM(
      FILTER(
        'Sprint 18'!T:T,
        ('Sprint 18'!E:E = ""Aek:Atiphat Nanthachitvanich"") *
        (LEFT('Sprint 18'!B:B,8) = ""DEVRDADJ"")
      )
    ) / 3600,
    0
  ),
  2
)"),0.0)</f>
        <v>0</v>
      </c>
      <c r="H38" s="99">
        <f>IFERROR(__xludf.DUMMYFUNCTION("ROUND(
  IFERROR(
    SUM(
      FILTER(
        'Sprint 18'!T:T,
        ('Sprint 18'!E:E = ""Mai:Sateta Abvanawong"") *
        (LEFT('Sprint 18'!B:B,8) = ""DEVRDADJ"")
      )
    ) / 3600,
    0
  ),
  2
)"),0.0)</f>
        <v>0</v>
      </c>
      <c r="I38" s="99">
        <f>IFERROR(__xludf.DUMMYFUNCTION("ROUND(
  IFERROR(
    SUM(
      FILTER(
        'Sprint 18'!T:T,
        ('Sprint 18'!E:E = ""Kae: Pimonrath Jaiyen"") *
        (LEFT('Sprint 18'!B:B,8) = ""DEVRDADJ"")
      )
    ) / 3600,
    0
  ),
  2
)"),0.0)</f>
        <v>0</v>
      </c>
      <c r="J38" s="99">
        <f>IFERROR(__xludf.DUMMYFUNCTION("ROUND(
  IFERROR(
    SUM(
      FILTER(
        'Sprint 18'!T:T,
        ('Sprint 18'!E:E = ""Mac: Jarupong Pawichpongkul"") *
        (LEFT('Sprint 18'!B:B,8) = ""DEVRDADJ"")
      )
    ) / 3600,
    0
  ),
  2
)"),0.0)</f>
        <v>0</v>
      </c>
      <c r="K38" s="99">
        <f>IFERROR(__xludf.DUMMYFUNCTION("ROUND(
  IFERROR(
    SUM(
      FILTER(
        'Sprint 18'!T:T,
        ('Sprint 18'!E:E = ""Aek:Atiphat Nanthachitvanich"") *
        (LEFT('Sprint 18'!B:B,8) = ""DEVRDADJ"")
      )
    ) / 3600,
    0
  ),
  2
)"),0.0)</f>
        <v>0</v>
      </c>
      <c r="L38" s="99">
        <f>IFERROR(__xludf.DUMMYFUNCTION("ROUND(
  IFERROR(
    SUM(
      FILTER(
        'Sprint 18'!T:T,
        ('Sprint 18'!E:E = ""Moss : Kittapath Sangvikukit"") *
        (LEFT('Sprint 18'!B:B,8) = ""DEVRDADJ"")
      )
    ) / 3600,
    0
  ),
  2
)"),0.0)</f>
        <v>0</v>
      </c>
      <c r="M38" s="99">
        <f>IFERROR(__xludf.DUMMYFUNCTION("ROUND(
  IFERROR(
    SUM(
      FILTER(
        'Sprint 18'!T:T,
        ('Sprint 18'!E:E = ""Arm:Worawat Chotipongchoawalit"") *
        (LEFT('Sprint 18'!B:B,8) = ""DEVRDADJ"")
      )
    ) / 3600,
    0
  ),
  2
)"),0.0)</f>
        <v>0</v>
      </c>
    </row>
    <row r="39">
      <c r="A39" s="101" t="s">
        <v>4669</v>
      </c>
      <c r="B39" s="101">
        <f>IFERROR(__xludf.DUMMYFUNCTION("ROUND(
  IFERROR(
    SUM(
      FILTER(
        'Sprint 18'!T:T,
        ('Sprint 18'!E:E = ""Aek:Atiphat Nanthachitvanich"") *
        (LEFT('Sprint 18'!B:B,5) = ""RDAPS"")
      )
    ) / 3600,
    0
  ),
  2
)"),0.25)</f>
        <v>0.25</v>
      </c>
      <c r="C39" s="99">
        <f>IFERROR(__xludf.DUMMYFUNCTION("ROUND(
  IFERROR(
    SUM(
      FILTER(
        'Sprint 18'!T:T,
        ('Sprint 18'!E:E = ""Zan : Isarapong Bulan"") *
        (LEFT('Sprint 18'!B:B,5) = ""RDAPS"")
      )
    ) / 3600,
    0
  ),
  2
)"),0.0)</f>
        <v>0</v>
      </c>
      <c r="D39" s="99">
        <f>IFERROR(__xludf.DUMMYFUNCTION("ROUND(
  IFERROR(
    SUM(
      FILTER(
        'Sprint 18'!T:T,
        ('Sprint 18'!E:E = ""Aom: Pornsawan Polnyiem"") *
        (LEFT('Sprint 18'!B:B,5) = ""RDAPS"")
      )
    ) / 3600,
    0
  ),
  2
)"),0.0)</f>
        <v>0</v>
      </c>
      <c r="E39" s="99">
        <f>IFERROR(__xludf.DUMMYFUNCTION("ROUND(
  IFERROR(
    SUM(
      FILTER(
        'Sprint 18'!T:T,
        ('Sprint 18'!E:E = ""Jack: Warin Kesorn"") *
        (LEFT('Sprint 18'!B:B,5) = ""RDAPS"")
      )
    ) / 3600,
    0
  ),
  2
)"),0.0)</f>
        <v>0</v>
      </c>
      <c r="F39" s="99">
        <f>IFERROR(__xludf.DUMMYFUNCTION("ROUND(
  IFERROR(
    SUM(
      FILTER(
        'Sprint 18'!T:T,
        ('Sprint 18'!E:E = ""A:Phongthorn"") *
        (LEFT('Sprint 18'!B:B,5) = ""RDAPS"")
      )
    ) / 3600,
    0
  ),
  2
)"),0.0)</f>
        <v>0</v>
      </c>
      <c r="G39" s="99">
        <f>IFERROR(__xludf.DUMMYFUNCTION("ROUND(
  IFERROR(
    SUM(
      FILTER(
        'Sprint 18'!T:T,
        ('Sprint 18'!E:E = ""Art: Narupontp"") *
        (LEFT('Sprint 18'!B:B,5) = ""RDAPS"")
      )
    ) / 3600,
    0
  ),
  2
)"),0.0)</f>
        <v>0</v>
      </c>
      <c r="H39" s="99">
        <f>IFERROR(__xludf.DUMMYFUNCTION("ROUND(
  IFERROR(
    SUM(
      FILTER(
        'Sprint 18'!T:T,
        ('Sprint 18'!E:E = ""Mai:Sateta Abvanawong"") *
        (LEFT('Sprint 18'!B:B,5) = ""RDAPS"")
      )
    ) / 3600,
    0
  ),
  2
)"),0.0)</f>
        <v>0</v>
      </c>
      <c r="I39" s="99">
        <f>IFERROR(__xludf.DUMMYFUNCTION("ROUND(
  IFERROR(
    SUM(
      FILTER(
        'Sprint 18'!T:T,
        ('Sprint 18'!E:E = ""Kae: Pimonrath Jaiyen"") *
        (LEFT('Sprint 18'!B:B,5) = ""RDAPS"")
      )
    ) / 3600,
    0
  ),
  2
)"),0.0)</f>
        <v>0</v>
      </c>
      <c r="J39" s="99">
        <f>IFERROR(__xludf.DUMMYFUNCTION("ROUND(
  IFERROR(
    SUM(
      FILTER(
        'Sprint 18'!T:T,
        ('Sprint 18'!E:E = ""Mac: Jarupong Pawichpongkul"") *
        (LEFT('Sprint 18'!B:B,5) = ""RDAPS"")
      )
    ) / 3600,
    0
  ),
  2
)"),0.0)</f>
        <v>0</v>
      </c>
      <c r="K39" s="99">
        <f>IFERROR(__xludf.DUMMYFUNCTION("ROUND(
  IFERROR(
    SUM(
      FILTER(
        'Sprint 18'!T:T,
        ('Sprint 18'!E:E = ""Nim : muthita munmueang"") *
        (LEFT('Sprint 18'!B:B,5) = ""RDAPS"")
      )
    ) / 3600,
    0
  ),
  2
)"),0.0)</f>
        <v>0</v>
      </c>
      <c r="L39" s="99">
        <f>IFERROR(__xludf.DUMMYFUNCTION("ROUND(
  IFERROR(
    SUM(
      FILTER(
        'Sprint 18'!T:T,
        ('Sprint 18'!E:E = ""Moss : Kittapath Sangvikukit"") *
        (LEFT('Sprint 18'!B:B,5) = ""RDAPS"")
      )
    ) / 3600,
    0
  ),
  2
)"),0.0)</f>
        <v>0</v>
      </c>
      <c r="M39" s="99">
        <f>IFERROR(__xludf.DUMMYFUNCTION("ROUND(
  IFERROR(
    SUM(
      FILTER(
        'Sprint 18'!T:T,
        ('Sprint 18'!E:E = ""Arm:Worawat Chotipongchoawalit"") *
        (LEFT('Sprint 18'!B:B,5) = ""RDAPS"")
      )
    ) / 3600,
    0
  ),
  2
)"),0.0)</f>
        <v>0</v>
      </c>
    </row>
    <row r="40" ht="21.0" customHeight="1">
      <c r="A40" s="101" t="s">
        <v>4670</v>
      </c>
      <c r="B40" s="101">
        <f>IFERROR(__xludf.DUMMYFUNCTION("ROUND(
  IFERROR(
    SUM(
      FILTER(
        'Sprint 18'!T:T,
        ('Sprint 18'!E:E = ""Aek:Atiphat Nanthachitvanich"") *
        (LEFT('Sprint 18'!B:B,8) = ""DEVRDSUP"")
      )
    ) / 3600,
    0
  ),
  2
)"),1.5)</f>
        <v>1.5</v>
      </c>
      <c r="C40" s="99">
        <f>IFERROR(__xludf.DUMMYFUNCTION("ROUND(
  IFERROR(
    SUM(
      FILTER(
        'Sprint 18'!T:T,
        ('Sprint 18'!E:E = ""Zan : Isarapong Bulan"") *
        (LEFT('Sprint 18'!B:B,8) = ""DEVRDSUP"")
      )
    ) / 3600,
    0
  ),
  2
)"),0.0)</f>
        <v>0</v>
      </c>
      <c r="D40" s="99">
        <f>IFERROR(__xludf.DUMMYFUNCTION("ROUND(
  IFERROR(
    SUM(
      FILTER(
        'Sprint 18'!T:T,
        ('Sprint 18'!E:E = ""Aom: Pornsawan Polnyiem"") *
        (LEFT('Sprint 18'!B:B,8) = ""DEVRDSUP"")
      )
    ) / 3600,
    0
  ),
  2
)"),0.17)</f>
        <v>0.17</v>
      </c>
      <c r="E40" s="99">
        <f>IFERROR(__xludf.DUMMYFUNCTION("ROUND(
  IFERROR(
    SUM(
      FILTER(
        'Sprint 18'!T:T,
        ('Sprint 18'!E:E = ""Jack: Warin Kesorn"") *
        (LEFT('Sprint 18'!B:B,8) = ""DEVRDSUP"")
      )
    ) / 3600,
    0
  ),
  2
)"),0.0)</f>
        <v>0</v>
      </c>
      <c r="F40" s="101">
        <f>IFERROR(__xludf.DUMMYFUNCTION("ROUND(
  IFERROR(
    SUM(
      FILTER(
        'Sprint 18'!T:T,
        ('Sprint 18'!E:E = ""A:Phongthorn"") *
        (LEFT('Sprint 18'!B:B,8) = ""DEVRDSUP"")
      )
    ) / 3600,
    0
  ),
  2
)"),0.0)</f>
        <v>0</v>
      </c>
      <c r="G40" s="99">
        <f>IFERROR(__xludf.DUMMYFUNCTION("ROUND(
  IFERROR(
    SUM(
      FILTER(
        'Sprint 18'!T:T,
        ('Sprint 18'!E:E = ""Art: Narupontp"") *
        (LEFT('Sprint 18'!B:B,8) = ""DEVRDSUP"")
      )
    ) / 3600,
    0
  ),
  2
)"),0.0)</f>
        <v>0</v>
      </c>
      <c r="H40" s="99">
        <f>IFERROR(__xludf.DUMMYFUNCTION("ROUND(
  IFERROR(
    SUM(
      FILTER(
        'Sprint 18'!T:T,
        ('Sprint 18'!E:E = ""Mai:Sateta Abvanawong"") *
        (LEFT('Sprint 18'!B:B,8) = ""DEVRDSUP"")
      )
    ) / 3600,
    0
  ),
  2
)"),0.0)</f>
        <v>0</v>
      </c>
      <c r="I40" s="99">
        <f>IFERROR(__xludf.DUMMYFUNCTION("ROUND(
  IFERROR(
    SUM(
      FILTER(
        'Sprint 18'!T:T,
        ('Sprint 18'!E:E = ""Kae: Pimonrath Jaiyen"") *
        (LEFT('Sprint 18'!B:B,8) = ""DEVRDSUP"")
      )
    ) / 3600,
    0
  ),
  2
)"),0.0)</f>
        <v>0</v>
      </c>
      <c r="J40" s="99">
        <f>IFERROR(__xludf.DUMMYFUNCTION("ROUND(
  IFERROR(
    SUM(
      FILTER(
        'Sprint 18'!T:T,
        ('Sprint 18'!E:E = ""Mac: Jarupong Pawichpongkul"") *
        (LEFT('Sprint 18'!B:B,8) = ""DEVRDSUP"")
      )
    ) / 3600,
    0
  ),
  2
)"),8.0)</f>
        <v>8</v>
      </c>
      <c r="K40" s="99">
        <f>IFERROR(__xludf.DUMMYFUNCTION("ROUND(
  IFERROR(
    SUM(
      FILTER(
        'Sprint 18'!T:T,
        ('Sprint 18'!E:E = ""Nim : muthita munmueang"") *
        (LEFT('Sprint 18'!B:B,8) = ""DEVRDSUP"")
      )
    ) / 3600,
    0
  ),
  2
)"),2.0)</f>
        <v>2</v>
      </c>
      <c r="L40" s="99">
        <f>IFERROR(__xludf.DUMMYFUNCTION("ROUND(
  IFERROR(
    SUM(
      FILTER(
        'Sprint 18'!T:T,
        ('Sprint 18'!E:E = ""Moss : Kittapath Sangvikukit"") *
        (LEFT('Sprint 18'!B:B,8) = ""DEVRDSUP"")
      )
    ) / 3600,
    0
  ),
  2
)"),0.0)</f>
        <v>0</v>
      </c>
      <c r="M40" s="99">
        <f>IFERROR(__xludf.DUMMYFUNCTION("ROUND(
  IFERROR(
    SUM(
      FILTER(
        'Sprint 18'!T:T,
        ('Sprint 18'!E:E = ""Arm:Worawat Chotipongchoawalit"") *
        (LEFT('Sprint 18'!B:B,8) = ""DEVRDSUP"")
      )
    ) / 3600,
    0
  ),
  2
)"),0.0)</f>
        <v>0</v>
      </c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</sheetData>
  <mergeCells count="6">
    <mergeCell ref="B23:E23"/>
    <mergeCell ref="F23:H23"/>
    <mergeCell ref="I23:M23"/>
    <mergeCell ref="B33:E33"/>
    <mergeCell ref="F33:H33"/>
    <mergeCell ref="I33:M33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33" width="17.5"/>
    <col customWidth="1" min="34" max="34" width="21.38"/>
    <col customWidth="1" min="35" max="37" width="17.5"/>
    <col customWidth="1" min="38" max="38" width="21.25"/>
    <col customWidth="1" min="39" max="39" width="17.5"/>
    <col customWidth="1" min="40" max="40" width="21.25"/>
    <col customWidth="1" min="41" max="41" width="20.13"/>
    <col customWidth="1" min="42" max="42" width="21.25"/>
    <col customWidth="1" min="43" max="43" width="20.13"/>
    <col customWidth="1" min="44" max="44" width="21.25"/>
    <col customWidth="1" min="45" max="45" width="20.13"/>
    <col customWidth="1" min="47" max="47" width="17.5"/>
    <col customWidth="1" min="48" max="48" width="21.25"/>
    <col customWidth="1" min="49" max="49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274</v>
      </c>
      <c r="T1" s="102" t="s">
        <v>275</v>
      </c>
      <c r="U1" s="149" t="s">
        <v>3245</v>
      </c>
      <c r="V1" s="115" t="s">
        <v>4671</v>
      </c>
      <c r="W1" s="115" t="s">
        <v>6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102" t="s">
        <v>70</v>
      </c>
      <c r="AF1" s="102" t="s">
        <v>70</v>
      </c>
      <c r="AG1" s="102" t="s">
        <v>70</v>
      </c>
      <c r="AH1" s="102" t="s">
        <v>70</v>
      </c>
      <c r="AI1" s="102" t="s">
        <v>70</v>
      </c>
      <c r="AK1" s="102"/>
      <c r="AL1" s="102"/>
      <c r="BF1" s="88"/>
      <c r="BG1" s="88"/>
    </row>
    <row r="2">
      <c r="A2" s="102" t="s">
        <v>310</v>
      </c>
      <c r="B2" s="102" t="s">
        <v>4672</v>
      </c>
      <c r="C2" s="229" t="s">
        <v>4673</v>
      </c>
      <c r="D2" s="102" t="s">
        <v>4674</v>
      </c>
      <c r="E2" s="102" t="s">
        <v>314</v>
      </c>
      <c r="F2" s="102" t="s">
        <v>315</v>
      </c>
      <c r="G2" s="102" t="s">
        <v>314</v>
      </c>
      <c r="H2" s="102" t="s">
        <v>315</v>
      </c>
      <c r="I2" s="102" t="s">
        <v>284</v>
      </c>
      <c r="J2" s="102" t="s">
        <v>26</v>
      </c>
      <c r="L2" s="229" t="s">
        <v>4675</v>
      </c>
      <c r="M2" s="229" t="s">
        <v>4676</v>
      </c>
      <c r="O2" s="102">
        <v>1.0</v>
      </c>
      <c r="T2" s="102">
        <v>900.0</v>
      </c>
      <c r="U2" s="102" t="str">
        <f>IF(ISNUMBER(MATCH(B2, 'Sprint 17'!B:B, 0)), "มาจาก Sprint 17", "")</f>
        <v/>
      </c>
      <c r="V2" s="102" t="str">
        <f t="array" ref="V2">IF(ISNUMBER(MATCH(B2, 'Sprint 17'!B:B, 0)), INDEX('Sprint 17'!J:J, MATCH(B2, 'Sprint 17'!B:B, 0)), "")</f>
        <v/>
      </c>
      <c r="W2" s="102"/>
      <c r="X2" s="102" t="s">
        <v>4150</v>
      </c>
    </row>
    <row r="3">
      <c r="A3" s="102" t="s">
        <v>276</v>
      </c>
      <c r="B3" s="102" t="s">
        <v>4006</v>
      </c>
      <c r="C3" s="229" t="s">
        <v>4007</v>
      </c>
      <c r="D3" s="102" t="s">
        <v>347</v>
      </c>
      <c r="E3" s="102" t="s">
        <v>280</v>
      </c>
      <c r="F3" s="102" t="s">
        <v>281</v>
      </c>
      <c r="G3" s="102" t="s">
        <v>280</v>
      </c>
      <c r="H3" s="102" t="s">
        <v>281</v>
      </c>
      <c r="I3" s="102" t="s">
        <v>284</v>
      </c>
      <c r="J3" s="102" t="s">
        <v>63</v>
      </c>
      <c r="L3" s="229" t="s">
        <v>4008</v>
      </c>
      <c r="M3" s="229" t="s">
        <v>4008</v>
      </c>
      <c r="O3" s="230"/>
      <c r="T3" s="230"/>
      <c r="U3" s="102" t="str">
        <f>IF(ISNUMBER(MATCH(B3, 'Sprint 17'!B:B, 0)), "มาจาก Sprint 17", "")</f>
        <v/>
      </c>
      <c r="V3" s="102" t="str">
        <f t="array" ref="V3">IF(ISNUMBER(MATCH(B3, 'Sprint 17'!B:B, 0)), INDEX('Sprint 17'!J:J, MATCH(B3, 'Sprint 17'!B:B, 0)), "")</f>
        <v/>
      </c>
      <c r="X3" s="102" t="s">
        <v>1991</v>
      </c>
    </row>
    <row r="4">
      <c r="A4" s="102" t="s">
        <v>276</v>
      </c>
      <c r="B4" s="102" t="s">
        <v>4009</v>
      </c>
      <c r="C4" s="229" t="s">
        <v>4010</v>
      </c>
      <c r="D4" s="102" t="s">
        <v>2030</v>
      </c>
      <c r="E4" s="102" t="s">
        <v>280</v>
      </c>
      <c r="F4" s="102" t="s">
        <v>281</v>
      </c>
      <c r="G4" s="102" t="s">
        <v>280</v>
      </c>
      <c r="H4" s="102" t="s">
        <v>281</v>
      </c>
      <c r="I4" s="102" t="s">
        <v>284</v>
      </c>
      <c r="J4" s="102" t="s">
        <v>355</v>
      </c>
      <c r="L4" s="229" t="s">
        <v>4008</v>
      </c>
      <c r="M4" s="229" t="s">
        <v>4677</v>
      </c>
      <c r="O4" s="230"/>
      <c r="T4" s="230"/>
      <c r="U4" s="102" t="str">
        <f>IF(ISNUMBER(MATCH(B4, 'Sprint 17'!B:B, 0)), "มาจาก Sprint 17", "")</f>
        <v/>
      </c>
      <c r="V4" s="102" t="str">
        <f t="array" ref="V4">IF(ISNUMBER(MATCH(B4, 'Sprint 17'!B:B, 0)), INDEX('Sprint 17'!J:J, MATCH(B4, 'Sprint 17'!B:B, 0)), "")</f>
        <v/>
      </c>
      <c r="X4" s="102" t="s">
        <v>1991</v>
      </c>
    </row>
    <row r="5">
      <c r="A5" s="102" t="s">
        <v>276</v>
      </c>
      <c r="B5" s="102" t="s">
        <v>4011</v>
      </c>
      <c r="C5" s="229" t="s">
        <v>4012</v>
      </c>
      <c r="D5" s="102" t="s">
        <v>347</v>
      </c>
      <c r="E5" s="102" t="s">
        <v>280</v>
      </c>
      <c r="F5" s="102" t="s">
        <v>281</v>
      </c>
      <c r="G5" s="102" t="s">
        <v>280</v>
      </c>
      <c r="H5" s="102" t="s">
        <v>281</v>
      </c>
      <c r="I5" s="102" t="s">
        <v>284</v>
      </c>
      <c r="J5" s="102" t="s">
        <v>63</v>
      </c>
      <c r="L5" s="229" t="s">
        <v>4008</v>
      </c>
      <c r="M5" s="229" t="s">
        <v>4008</v>
      </c>
      <c r="O5" s="230"/>
      <c r="T5" s="230"/>
      <c r="U5" s="102" t="str">
        <f>IF(ISNUMBER(MATCH(B5, 'Sprint 17'!B:B, 0)), "มาจาก Sprint 17", "")</f>
        <v/>
      </c>
      <c r="V5" s="102" t="str">
        <f t="array" ref="V5">IF(ISNUMBER(MATCH(B5, 'Sprint 17'!B:B, 0)), INDEX('Sprint 17'!J:J, MATCH(B5, 'Sprint 17'!B:B, 0)), "")</f>
        <v/>
      </c>
      <c r="X5" s="102" t="s">
        <v>1991</v>
      </c>
    </row>
    <row r="6">
      <c r="A6" s="102" t="s">
        <v>276</v>
      </c>
      <c r="B6" s="102" t="s">
        <v>4013</v>
      </c>
      <c r="C6" s="229" t="s">
        <v>4014</v>
      </c>
      <c r="D6" s="102" t="s">
        <v>2030</v>
      </c>
      <c r="E6" s="102" t="s">
        <v>280</v>
      </c>
      <c r="F6" s="102" t="s">
        <v>281</v>
      </c>
      <c r="G6" s="102" t="s">
        <v>280</v>
      </c>
      <c r="H6" s="102" t="s">
        <v>281</v>
      </c>
      <c r="I6" s="102" t="s">
        <v>284</v>
      </c>
      <c r="J6" s="102" t="s">
        <v>355</v>
      </c>
      <c r="L6" s="229" t="s">
        <v>4008</v>
      </c>
      <c r="M6" s="229" t="s">
        <v>4677</v>
      </c>
      <c r="O6" s="230"/>
      <c r="T6" s="230"/>
      <c r="U6" s="102" t="str">
        <f>IF(ISNUMBER(MATCH(B6, 'Sprint 17'!B:B, 0)), "มาจาก Sprint 17", "")</f>
        <v/>
      </c>
      <c r="V6" s="102" t="str">
        <f t="array" ref="V6">IF(ISNUMBER(MATCH(B6, 'Sprint 17'!B:B, 0)), INDEX('Sprint 17'!J:J, MATCH(B6, 'Sprint 17'!B:B, 0)), "")</f>
        <v/>
      </c>
      <c r="X6" s="102" t="s">
        <v>1991</v>
      </c>
    </row>
    <row r="7">
      <c r="A7" s="102" t="s">
        <v>310</v>
      </c>
      <c r="B7" s="102" t="s">
        <v>2031</v>
      </c>
      <c r="C7" s="229" t="s">
        <v>2032</v>
      </c>
      <c r="D7" s="102" t="s">
        <v>2033</v>
      </c>
      <c r="E7" s="102" t="s">
        <v>556</v>
      </c>
      <c r="F7" s="102" t="s">
        <v>557</v>
      </c>
      <c r="G7" s="102" t="s">
        <v>282</v>
      </c>
      <c r="H7" s="102" t="s">
        <v>283</v>
      </c>
      <c r="I7" s="102" t="s">
        <v>284</v>
      </c>
      <c r="J7" s="102" t="s">
        <v>355</v>
      </c>
      <c r="L7" s="229" t="s">
        <v>2034</v>
      </c>
      <c r="M7" s="229" t="s">
        <v>4678</v>
      </c>
      <c r="O7" s="230"/>
      <c r="T7" s="230"/>
      <c r="U7" s="102" t="str">
        <f>IF(ISNUMBER(MATCH(B7, 'Sprint 17'!B:B, 0)), "มาจาก Sprint 17", "")</f>
        <v/>
      </c>
      <c r="V7" s="102" t="str">
        <f t="array" ref="V7">IF(ISNUMBER(MATCH(B7, 'Sprint 17'!B:B, 0)), INDEX('Sprint 17'!J:J, MATCH(B7, 'Sprint 17'!B:B, 0)), "")</f>
        <v/>
      </c>
      <c r="X7" s="102" t="s">
        <v>1991</v>
      </c>
    </row>
    <row r="8">
      <c r="A8" s="102" t="s">
        <v>310</v>
      </c>
      <c r="B8" s="102" t="s">
        <v>4030</v>
      </c>
      <c r="C8" s="229" t="s">
        <v>4031</v>
      </c>
      <c r="D8" s="102" t="s">
        <v>4032</v>
      </c>
      <c r="E8" s="102" t="s">
        <v>556</v>
      </c>
      <c r="F8" s="102" t="s">
        <v>557</v>
      </c>
      <c r="G8" s="102" t="s">
        <v>282</v>
      </c>
      <c r="H8" s="102" t="s">
        <v>283</v>
      </c>
      <c r="I8" s="102" t="s">
        <v>284</v>
      </c>
      <c r="J8" s="102" t="s">
        <v>355</v>
      </c>
      <c r="L8" s="229" t="s">
        <v>2034</v>
      </c>
      <c r="M8" s="229" t="s">
        <v>4678</v>
      </c>
      <c r="O8" s="230"/>
      <c r="T8" s="230"/>
      <c r="U8" s="102" t="str">
        <f>IF(ISNUMBER(MATCH(B8, 'Sprint 17'!B:B, 0)), "มาจาก Sprint 17", "")</f>
        <v/>
      </c>
      <c r="V8" s="102" t="str">
        <f t="array" ref="V8">IF(ISNUMBER(MATCH(B8, 'Sprint 17'!B:B, 0)), INDEX('Sprint 17'!J:J, MATCH(B8, 'Sprint 17'!B:B, 0)), "")</f>
        <v/>
      </c>
      <c r="X8" s="102" t="s">
        <v>1991</v>
      </c>
    </row>
    <row r="9">
      <c r="A9" s="102" t="s">
        <v>4410</v>
      </c>
      <c r="B9" s="102" t="s">
        <v>4679</v>
      </c>
      <c r="C9" s="229" t="s">
        <v>4680</v>
      </c>
      <c r="D9" s="102" t="s">
        <v>4681</v>
      </c>
      <c r="E9" s="102" t="s">
        <v>513</v>
      </c>
      <c r="F9" s="102" t="s">
        <v>514</v>
      </c>
      <c r="G9" s="102" t="s">
        <v>513</v>
      </c>
      <c r="H9" s="102" t="s">
        <v>514</v>
      </c>
      <c r="I9" s="102" t="s">
        <v>284</v>
      </c>
      <c r="J9" s="102" t="s">
        <v>26</v>
      </c>
      <c r="L9" s="229" t="s">
        <v>4682</v>
      </c>
      <c r="M9" s="229" t="s">
        <v>4683</v>
      </c>
      <c r="N9" s="229" t="s">
        <v>4105</v>
      </c>
      <c r="O9" s="102">
        <v>1.0</v>
      </c>
      <c r="P9" s="102" t="s">
        <v>593</v>
      </c>
      <c r="T9" s="102">
        <v>7200.0</v>
      </c>
      <c r="U9" s="102" t="str">
        <f>IF(ISNUMBER(MATCH(B9, 'Sprint 17'!B:B, 0)), "มาจาก Sprint 17", "")</f>
        <v/>
      </c>
      <c r="V9" s="102" t="str">
        <f t="array" ref="V9">IF(ISNUMBER(MATCH(B9, 'Sprint 17'!B:B, 0)), INDEX('Sprint 17'!J:J, MATCH(B9, 'Sprint 17'!B:B, 0)), "")</f>
        <v/>
      </c>
      <c r="W9" s="102"/>
      <c r="X9" s="102" t="s">
        <v>1991</v>
      </c>
    </row>
    <row r="10">
      <c r="A10" s="102" t="s">
        <v>310</v>
      </c>
      <c r="B10" s="102" t="s">
        <v>4684</v>
      </c>
      <c r="C10" s="229" t="s">
        <v>4685</v>
      </c>
      <c r="D10" s="102" t="s">
        <v>4686</v>
      </c>
      <c r="E10" s="102" t="s">
        <v>314</v>
      </c>
      <c r="F10" s="102" t="s">
        <v>315</v>
      </c>
      <c r="G10" s="102" t="s">
        <v>316</v>
      </c>
      <c r="H10" s="102" t="s">
        <v>317</v>
      </c>
      <c r="I10" s="102" t="s">
        <v>284</v>
      </c>
      <c r="J10" s="102" t="s">
        <v>26</v>
      </c>
      <c r="L10" s="229" t="s">
        <v>4687</v>
      </c>
      <c r="M10" s="229" t="s">
        <v>4688</v>
      </c>
      <c r="O10" s="102">
        <v>1.0</v>
      </c>
      <c r="P10" s="102" t="s">
        <v>474</v>
      </c>
      <c r="T10" s="102">
        <v>1800.0</v>
      </c>
      <c r="U10" s="102" t="str">
        <f>IF(ISNUMBER(MATCH(B10, 'Sprint 17'!B:B, 0)), "มาจาก Sprint 17", "")</f>
        <v/>
      </c>
      <c r="V10" s="102" t="str">
        <f t="array" ref="V10">IF(ISNUMBER(MATCH(B10, 'Sprint 17'!B:B, 0)), INDEX('Sprint 17'!J:J, MATCH(B10, 'Sprint 17'!B:B, 0)), "")</f>
        <v/>
      </c>
      <c r="W10" s="102"/>
      <c r="X10" s="102" t="s">
        <v>4150</v>
      </c>
    </row>
    <row r="11">
      <c r="A11" s="102" t="s">
        <v>4410</v>
      </c>
      <c r="B11" s="102" t="s">
        <v>4689</v>
      </c>
      <c r="C11" s="229" t="s">
        <v>4690</v>
      </c>
      <c r="D11" s="102" t="s">
        <v>4691</v>
      </c>
      <c r="E11" s="102" t="s">
        <v>564</v>
      </c>
      <c r="F11" s="102" t="s">
        <v>565</v>
      </c>
      <c r="G11" s="102" t="s">
        <v>513</v>
      </c>
      <c r="H11" s="102" t="s">
        <v>514</v>
      </c>
      <c r="I11" s="102" t="s">
        <v>284</v>
      </c>
      <c r="J11" s="102" t="s">
        <v>26</v>
      </c>
      <c r="L11" s="229" t="s">
        <v>4692</v>
      </c>
      <c r="M11" s="229" t="s">
        <v>4693</v>
      </c>
      <c r="N11" s="229" t="s">
        <v>4694</v>
      </c>
      <c r="O11" s="102">
        <v>1.0</v>
      </c>
      <c r="P11" s="102" t="s">
        <v>593</v>
      </c>
      <c r="T11" s="230"/>
      <c r="U11" s="102" t="str">
        <f>IF(ISNUMBER(MATCH(B11, 'Sprint 17'!B:B, 0)), "มาจาก Sprint 17", "")</f>
        <v/>
      </c>
      <c r="V11" s="102" t="str">
        <f t="array" ref="V11">IF(ISNUMBER(MATCH(B11, 'Sprint 17'!B:B, 0)), INDEX('Sprint 17'!J:J, MATCH(B11, 'Sprint 17'!B:B, 0)), "")</f>
        <v/>
      </c>
      <c r="X11" s="102" t="s">
        <v>4567</v>
      </c>
    </row>
    <row r="12">
      <c r="A12" s="102" t="s">
        <v>310</v>
      </c>
      <c r="B12" s="102" t="s">
        <v>4036</v>
      </c>
      <c r="C12" s="229" t="s">
        <v>4037</v>
      </c>
      <c r="D12" s="102" t="s">
        <v>4038</v>
      </c>
      <c r="E12" s="102" t="s">
        <v>495</v>
      </c>
      <c r="F12" s="102" t="s">
        <v>496</v>
      </c>
      <c r="G12" s="102" t="s">
        <v>282</v>
      </c>
      <c r="H12" s="102" t="s">
        <v>283</v>
      </c>
      <c r="I12" s="102" t="s">
        <v>284</v>
      </c>
      <c r="J12" s="102" t="s">
        <v>678</v>
      </c>
      <c r="L12" s="229" t="s">
        <v>4039</v>
      </c>
      <c r="M12" s="229" t="s">
        <v>4695</v>
      </c>
      <c r="O12" s="102">
        <v>2.0</v>
      </c>
      <c r="T12" s="230"/>
      <c r="U12" s="102" t="str">
        <f>IF(ISNUMBER(MATCH(B12, 'Sprint 17'!B:B, 0)), "มาจาก Sprint 17", "")</f>
        <v/>
      </c>
      <c r="V12" s="102" t="str">
        <f t="array" ref="V12">IF(ISNUMBER(MATCH(B12, 'Sprint 17'!B:B, 0)), INDEX('Sprint 17'!J:J, MATCH(B12, 'Sprint 17'!B:B, 0)), "")</f>
        <v/>
      </c>
      <c r="X12" s="102" t="s">
        <v>1991</v>
      </c>
    </row>
    <row r="13">
      <c r="A13" s="102" t="s">
        <v>310</v>
      </c>
      <c r="B13" s="102" t="s">
        <v>4696</v>
      </c>
      <c r="C13" s="229" t="s">
        <v>4697</v>
      </c>
      <c r="D13" s="102" t="s">
        <v>4698</v>
      </c>
      <c r="E13" s="102" t="s">
        <v>282</v>
      </c>
      <c r="F13" s="102" t="s">
        <v>283</v>
      </c>
      <c r="G13" s="102" t="s">
        <v>362</v>
      </c>
      <c r="H13" s="102" t="s">
        <v>363</v>
      </c>
      <c r="I13" s="102" t="s">
        <v>284</v>
      </c>
      <c r="J13" s="102" t="s">
        <v>26</v>
      </c>
      <c r="L13" s="229" t="s">
        <v>4699</v>
      </c>
      <c r="M13" s="229" t="s">
        <v>4700</v>
      </c>
      <c r="N13" s="229" t="s">
        <v>4112</v>
      </c>
      <c r="O13" s="102">
        <v>1.0</v>
      </c>
      <c r="P13" s="102" t="s">
        <v>366</v>
      </c>
      <c r="Q13" s="102" t="s">
        <v>433</v>
      </c>
      <c r="R13" s="102" t="s">
        <v>368</v>
      </c>
      <c r="T13" s="102">
        <v>600.0</v>
      </c>
      <c r="U13" s="102" t="str">
        <f>IF(ISNUMBER(MATCH(B13, 'Sprint 17'!B:B, 0)), "มาจาก Sprint 17", "")</f>
        <v/>
      </c>
      <c r="V13" s="102" t="str">
        <f t="array" ref="V13">IF(ISNUMBER(MATCH(B13, 'Sprint 17'!B:B, 0)), INDEX('Sprint 17'!J:J, MATCH(B13, 'Sprint 17'!B:B, 0)), "")</f>
        <v/>
      </c>
      <c r="W13" s="102"/>
      <c r="X13" s="102" t="s">
        <v>4150</v>
      </c>
    </row>
    <row r="14">
      <c r="A14" s="102" t="s">
        <v>332</v>
      </c>
      <c r="B14" s="102" t="s">
        <v>4701</v>
      </c>
      <c r="C14" s="229" t="s">
        <v>4702</v>
      </c>
      <c r="D14" s="102" t="s">
        <v>4703</v>
      </c>
      <c r="E14" s="102" t="s">
        <v>495</v>
      </c>
      <c r="F14" s="102" t="s">
        <v>496</v>
      </c>
      <c r="G14" s="102" t="s">
        <v>353</v>
      </c>
      <c r="H14" s="102" t="s">
        <v>354</v>
      </c>
      <c r="I14" s="102" t="s">
        <v>284</v>
      </c>
      <c r="J14" s="102" t="s">
        <v>1738</v>
      </c>
      <c r="L14" s="229" t="s">
        <v>4704</v>
      </c>
      <c r="M14" s="229" t="s">
        <v>4705</v>
      </c>
      <c r="O14" s="230"/>
      <c r="T14" s="230"/>
      <c r="U14" s="102" t="str">
        <f>IF(ISNUMBER(MATCH(B14, 'Sprint 17'!B:B, 0)), "มาจาก Sprint 17", "")</f>
        <v/>
      </c>
      <c r="V14" s="102" t="str">
        <f t="array" ref="V14">IF(ISNUMBER(MATCH(B14, 'Sprint 17'!B:B, 0)), INDEX('Sprint 17'!J:J, MATCH(B14, 'Sprint 17'!B:B, 0)), "")</f>
        <v/>
      </c>
      <c r="X14" s="102" t="s">
        <v>4150</v>
      </c>
    </row>
    <row r="15">
      <c r="A15" s="102" t="s">
        <v>332</v>
      </c>
      <c r="B15" s="102" t="s">
        <v>4452</v>
      </c>
      <c r="C15" s="229" t="s">
        <v>4453</v>
      </c>
      <c r="D15" s="102" t="s">
        <v>4454</v>
      </c>
      <c r="E15" s="102" t="s">
        <v>495</v>
      </c>
      <c r="F15" s="102" t="s">
        <v>496</v>
      </c>
      <c r="G15" s="102" t="s">
        <v>316</v>
      </c>
      <c r="H15" s="102" t="s">
        <v>317</v>
      </c>
      <c r="I15" s="102" t="s">
        <v>284</v>
      </c>
      <c r="J15" s="102" t="s">
        <v>2415</v>
      </c>
      <c r="L15" s="229" t="s">
        <v>4455</v>
      </c>
      <c r="M15" s="229" t="s">
        <v>4706</v>
      </c>
      <c r="N15" s="229" t="s">
        <v>4044</v>
      </c>
      <c r="O15" s="230"/>
      <c r="T15" s="230"/>
      <c r="U15" s="102" t="str">
        <f>IF(ISNUMBER(MATCH(B15, 'Sprint 17'!B:B, 0)), "มาจาก Sprint 17", "")</f>
        <v/>
      </c>
      <c r="V15" s="102" t="str">
        <f t="array" ref="V15">IF(ISNUMBER(MATCH(B15, 'Sprint 17'!B:B, 0)), INDEX('Sprint 17'!J:J, MATCH(B15, 'Sprint 17'!B:B, 0)), "")</f>
        <v/>
      </c>
      <c r="X15" s="102" t="s">
        <v>4150</v>
      </c>
    </row>
    <row r="16">
      <c r="A16" s="102" t="s">
        <v>310</v>
      </c>
      <c r="B16" s="102" t="s">
        <v>4707</v>
      </c>
      <c r="C16" s="229" t="s">
        <v>4708</v>
      </c>
      <c r="D16" s="102" t="s">
        <v>4709</v>
      </c>
      <c r="E16" s="102" t="s">
        <v>564</v>
      </c>
      <c r="F16" s="102" t="s">
        <v>565</v>
      </c>
      <c r="G16" s="102" t="s">
        <v>316</v>
      </c>
      <c r="H16" s="102" t="s">
        <v>317</v>
      </c>
      <c r="I16" s="102" t="s">
        <v>284</v>
      </c>
      <c r="J16" s="102" t="s">
        <v>26</v>
      </c>
      <c r="L16" s="229" t="s">
        <v>4710</v>
      </c>
      <c r="M16" s="229" t="s">
        <v>4711</v>
      </c>
      <c r="O16" s="230"/>
      <c r="P16" s="102" t="s">
        <v>4712</v>
      </c>
      <c r="Q16" s="102" t="s">
        <v>368</v>
      </c>
      <c r="T16" s="230"/>
      <c r="U16" s="102" t="str">
        <f>IF(ISNUMBER(MATCH(B16, 'Sprint 17'!B:B, 0)), "มาจาก Sprint 17", "")</f>
        <v/>
      </c>
      <c r="V16" s="102" t="str">
        <f t="array" ref="V16">IF(ISNUMBER(MATCH(B16, 'Sprint 17'!B:B, 0)), INDEX('Sprint 17'!J:J, MATCH(B16, 'Sprint 17'!B:B, 0)), "")</f>
        <v/>
      </c>
      <c r="X16" s="102" t="s">
        <v>4150</v>
      </c>
    </row>
    <row r="17">
      <c r="A17" s="102" t="s">
        <v>276</v>
      </c>
      <c r="B17" s="102" t="s">
        <v>4045</v>
      </c>
      <c r="C17" s="229" t="s">
        <v>4046</v>
      </c>
      <c r="D17" s="102" t="s">
        <v>347</v>
      </c>
      <c r="E17" s="102" t="s">
        <v>2494</v>
      </c>
      <c r="F17" s="102" t="s">
        <v>2495</v>
      </c>
      <c r="G17" s="102" t="s">
        <v>280</v>
      </c>
      <c r="H17" s="102" t="s">
        <v>281</v>
      </c>
      <c r="I17" s="102" t="s">
        <v>284</v>
      </c>
      <c r="J17" s="102" t="s">
        <v>63</v>
      </c>
      <c r="L17" s="229" t="s">
        <v>4047</v>
      </c>
      <c r="M17" s="229" t="s">
        <v>4047</v>
      </c>
      <c r="O17" s="230"/>
      <c r="T17" s="230"/>
      <c r="U17" s="102" t="str">
        <f>IF(ISNUMBER(MATCH(B17, 'Sprint 17'!B:B, 0)), "มาจาก Sprint 17", "")</f>
        <v/>
      </c>
      <c r="V17" s="102" t="str">
        <f t="array" ref="V17">IF(ISNUMBER(MATCH(B17, 'Sprint 17'!B:B, 0)), INDEX('Sprint 17'!J:J, MATCH(B17, 'Sprint 17'!B:B, 0)), "")</f>
        <v/>
      </c>
      <c r="X17" s="102" t="s">
        <v>3557</v>
      </c>
      <c r="Y17" s="102" t="s">
        <v>1991</v>
      </c>
    </row>
    <row r="18">
      <c r="A18" s="102" t="s">
        <v>276</v>
      </c>
      <c r="B18" s="102" t="s">
        <v>4049</v>
      </c>
      <c r="C18" s="229" t="s">
        <v>4050</v>
      </c>
      <c r="D18" s="102" t="s">
        <v>2030</v>
      </c>
      <c r="E18" s="102" t="s">
        <v>280</v>
      </c>
      <c r="F18" s="102" t="s">
        <v>281</v>
      </c>
      <c r="G18" s="102" t="s">
        <v>280</v>
      </c>
      <c r="H18" s="102" t="s">
        <v>281</v>
      </c>
      <c r="I18" s="102" t="s">
        <v>284</v>
      </c>
      <c r="J18" s="102" t="s">
        <v>355</v>
      </c>
      <c r="L18" s="229" t="s">
        <v>4051</v>
      </c>
      <c r="M18" s="229" t="s">
        <v>4047</v>
      </c>
      <c r="O18" s="230"/>
      <c r="T18" s="230"/>
      <c r="U18" s="102" t="str">
        <f>IF(ISNUMBER(MATCH(B18, 'Sprint 17'!B:B, 0)), "มาจาก Sprint 17", "")</f>
        <v/>
      </c>
      <c r="V18" s="102" t="str">
        <f t="array" ref="V18">IF(ISNUMBER(MATCH(B18, 'Sprint 17'!B:B, 0)), INDEX('Sprint 17'!J:J, MATCH(B18, 'Sprint 17'!B:B, 0)), "")</f>
        <v/>
      </c>
      <c r="X18" s="102" t="s">
        <v>3557</v>
      </c>
      <c r="Y18" s="102" t="s">
        <v>1991</v>
      </c>
    </row>
    <row r="19">
      <c r="A19" s="102" t="s">
        <v>276</v>
      </c>
      <c r="B19" s="102" t="s">
        <v>3544</v>
      </c>
      <c r="C19" s="229" t="s">
        <v>3545</v>
      </c>
      <c r="D19" s="102" t="s">
        <v>347</v>
      </c>
      <c r="E19" s="102" t="s">
        <v>280</v>
      </c>
      <c r="F19" s="102" t="s">
        <v>281</v>
      </c>
      <c r="G19" s="102" t="s">
        <v>280</v>
      </c>
      <c r="H19" s="102" t="s">
        <v>281</v>
      </c>
      <c r="I19" s="102" t="s">
        <v>284</v>
      </c>
      <c r="J19" s="102" t="s">
        <v>63</v>
      </c>
      <c r="L19" s="229" t="s">
        <v>3546</v>
      </c>
      <c r="M19" s="229" t="s">
        <v>3546</v>
      </c>
      <c r="O19" s="230"/>
      <c r="T19" s="230"/>
      <c r="U19" s="102" t="str">
        <f>IF(ISNUMBER(MATCH(B19, 'Sprint 17'!B:B, 0)), "มาจาก Sprint 17", "")</f>
        <v/>
      </c>
      <c r="V19" s="102" t="str">
        <f t="array" ref="V19">IF(ISNUMBER(MATCH(B19, 'Sprint 17'!B:B, 0)), INDEX('Sprint 17'!J:J, MATCH(B19, 'Sprint 17'!B:B, 0)), "")</f>
        <v/>
      </c>
      <c r="X19" s="102" t="s">
        <v>1991</v>
      </c>
    </row>
    <row r="20">
      <c r="A20" s="102" t="s">
        <v>276</v>
      </c>
      <c r="B20" s="102" t="s">
        <v>3547</v>
      </c>
      <c r="C20" s="229" t="s">
        <v>3548</v>
      </c>
      <c r="D20" s="102" t="s">
        <v>2030</v>
      </c>
      <c r="E20" s="102" t="s">
        <v>280</v>
      </c>
      <c r="F20" s="102" t="s">
        <v>281</v>
      </c>
      <c r="G20" s="102" t="s">
        <v>280</v>
      </c>
      <c r="H20" s="102" t="s">
        <v>281</v>
      </c>
      <c r="I20" s="102" t="s">
        <v>284</v>
      </c>
      <c r="J20" s="102" t="s">
        <v>63</v>
      </c>
      <c r="L20" s="229" t="s">
        <v>3546</v>
      </c>
      <c r="M20" s="229" t="s">
        <v>3546</v>
      </c>
      <c r="O20" s="230"/>
      <c r="T20" s="230"/>
      <c r="U20" s="102" t="str">
        <f>IF(ISNUMBER(MATCH(B20, 'Sprint 17'!B:B, 0)), "มาจาก Sprint 17", "")</f>
        <v/>
      </c>
      <c r="V20" s="102" t="str">
        <f t="array" ref="V20">IF(ISNUMBER(MATCH(B20, 'Sprint 17'!B:B, 0)), INDEX('Sprint 17'!J:J, MATCH(B20, 'Sprint 17'!B:B, 0)), "")</f>
        <v/>
      </c>
      <c r="X20" s="102" t="s">
        <v>1991</v>
      </c>
    </row>
    <row r="21">
      <c r="A21" s="102" t="s">
        <v>276</v>
      </c>
      <c r="B21" s="102" t="s">
        <v>3549</v>
      </c>
      <c r="C21" s="229" t="s">
        <v>3550</v>
      </c>
      <c r="D21" s="102" t="s">
        <v>347</v>
      </c>
      <c r="E21" s="102" t="s">
        <v>280</v>
      </c>
      <c r="F21" s="102" t="s">
        <v>281</v>
      </c>
      <c r="G21" s="102" t="s">
        <v>280</v>
      </c>
      <c r="H21" s="102" t="s">
        <v>281</v>
      </c>
      <c r="I21" s="102" t="s">
        <v>284</v>
      </c>
      <c r="J21" s="102" t="s">
        <v>63</v>
      </c>
      <c r="L21" s="229" t="s">
        <v>3546</v>
      </c>
      <c r="M21" s="229" t="s">
        <v>3546</v>
      </c>
      <c r="O21" s="230"/>
      <c r="T21" s="230"/>
      <c r="U21" s="102" t="str">
        <f>IF(ISNUMBER(MATCH(B21, 'Sprint 17'!B:B, 0)), "มาจาก Sprint 17", "")</f>
        <v/>
      </c>
      <c r="V21" s="102" t="str">
        <f t="array" ref="V21">IF(ISNUMBER(MATCH(B21, 'Sprint 17'!B:B, 0)), INDEX('Sprint 17'!J:J, MATCH(B21, 'Sprint 17'!B:B, 0)), "")</f>
        <v/>
      </c>
      <c r="X21" s="102" t="s">
        <v>1991</v>
      </c>
    </row>
    <row r="22">
      <c r="A22" s="102" t="s">
        <v>276</v>
      </c>
      <c r="B22" s="102" t="s">
        <v>3552</v>
      </c>
      <c r="C22" s="229" t="s">
        <v>3553</v>
      </c>
      <c r="D22" s="102" t="s">
        <v>2030</v>
      </c>
      <c r="E22" s="102" t="s">
        <v>280</v>
      </c>
      <c r="F22" s="102" t="s">
        <v>281</v>
      </c>
      <c r="G22" s="102" t="s">
        <v>280</v>
      </c>
      <c r="H22" s="102" t="s">
        <v>281</v>
      </c>
      <c r="I22" s="102" t="s">
        <v>284</v>
      </c>
      <c r="J22" s="102" t="s">
        <v>63</v>
      </c>
      <c r="L22" s="229" t="s">
        <v>3546</v>
      </c>
      <c r="M22" s="229" t="s">
        <v>3546</v>
      </c>
      <c r="O22" s="230"/>
      <c r="T22" s="230"/>
      <c r="U22" s="102" t="str">
        <f>IF(ISNUMBER(MATCH(B22, 'Sprint 17'!B:B, 0)), "มาจาก Sprint 17", "")</f>
        <v/>
      </c>
      <c r="V22" s="102" t="str">
        <f t="array" ref="V22">IF(ISNUMBER(MATCH(B22, 'Sprint 17'!B:B, 0)), INDEX('Sprint 17'!J:J, MATCH(B22, 'Sprint 17'!B:B, 0)), "")</f>
        <v/>
      </c>
      <c r="X22" s="102" t="s">
        <v>1991</v>
      </c>
    </row>
    <row r="23">
      <c r="A23" s="102" t="s">
        <v>276</v>
      </c>
      <c r="B23" s="102" t="s">
        <v>4053</v>
      </c>
      <c r="C23" s="229" t="s">
        <v>4054</v>
      </c>
      <c r="D23" s="102" t="s">
        <v>347</v>
      </c>
      <c r="E23" s="102" t="s">
        <v>2494</v>
      </c>
      <c r="F23" s="102" t="s">
        <v>2495</v>
      </c>
      <c r="G23" s="102" t="s">
        <v>280</v>
      </c>
      <c r="H23" s="102" t="s">
        <v>281</v>
      </c>
      <c r="I23" s="102" t="s">
        <v>284</v>
      </c>
      <c r="J23" s="102" t="s">
        <v>63</v>
      </c>
      <c r="L23" s="229" t="s">
        <v>4055</v>
      </c>
      <c r="M23" s="229" t="s">
        <v>4047</v>
      </c>
      <c r="O23" s="230"/>
      <c r="T23" s="230"/>
      <c r="U23" s="102" t="str">
        <f>IF(ISNUMBER(MATCH(B23, 'Sprint 17'!B:B, 0)), "มาจาก Sprint 17", "")</f>
        <v/>
      </c>
      <c r="V23" s="102" t="str">
        <f t="array" ref="V23">IF(ISNUMBER(MATCH(B23, 'Sprint 17'!B:B, 0)), INDEX('Sprint 17'!J:J, MATCH(B23, 'Sprint 17'!B:B, 0)), "")</f>
        <v/>
      </c>
      <c r="X23" s="102" t="s">
        <v>3557</v>
      </c>
      <c r="Y23" s="102" t="s">
        <v>1991</v>
      </c>
    </row>
    <row r="24">
      <c r="A24" s="102" t="s">
        <v>276</v>
      </c>
      <c r="B24" s="102" t="s">
        <v>4056</v>
      </c>
      <c r="C24" s="229" t="s">
        <v>4057</v>
      </c>
      <c r="D24" s="102" t="s">
        <v>2030</v>
      </c>
      <c r="E24" s="102" t="s">
        <v>280</v>
      </c>
      <c r="F24" s="102" t="s">
        <v>281</v>
      </c>
      <c r="G24" s="102" t="s">
        <v>280</v>
      </c>
      <c r="H24" s="102" t="s">
        <v>281</v>
      </c>
      <c r="I24" s="102" t="s">
        <v>284</v>
      </c>
      <c r="J24" s="102" t="s">
        <v>355</v>
      </c>
      <c r="L24" s="229" t="s">
        <v>4055</v>
      </c>
      <c r="M24" s="229" t="s">
        <v>4051</v>
      </c>
      <c r="O24" s="230"/>
      <c r="T24" s="230"/>
      <c r="U24" s="102" t="str">
        <f>IF(ISNUMBER(MATCH(B24, 'Sprint 17'!B:B, 0)), "มาจาก Sprint 17", "")</f>
        <v/>
      </c>
      <c r="V24" s="102" t="str">
        <f t="array" ref="V24">IF(ISNUMBER(MATCH(B24, 'Sprint 17'!B:B, 0)), INDEX('Sprint 17'!J:J, MATCH(B24, 'Sprint 17'!B:B, 0)), "")</f>
        <v/>
      </c>
      <c r="X24" s="102" t="s">
        <v>3557</v>
      </c>
      <c r="Y24" s="102" t="s">
        <v>1991</v>
      </c>
    </row>
    <row r="25">
      <c r="A25" s="102" t="s">
        <v>276</v>
      </c>
      <c r="B25" s="102" t="s">
        <v>4058</v>
      </c>
      <c r="C25" s="229" t="s">
        <v>4059</v>
      </c>
      <c r="D25" s="102" t="s">
        <v>347</v>
      </c>
      <c r="E25" s="102" t="s">
        <v>280</v>
      </c>
      <c r="F25" s="102" t="s">
        <v>281</v>
      </c>
      <c r="G25" s="102" t="s">
        <v>280</v>
      </c>
      <c r="H25" s="102" t="s">
        <v>281</v>
      </c>
      <c r="I25" s="102" t="s">
        <v>284</v>
      </c>
      <c r="J25" s="102" t="s">
        <v>63</v>
      </c>
      <c r="L25" s="229" t="s">
        <v>4060</v>
      </c>
      <c r="M25" s="229" t="s">
        <v>4060</v>
      </c>
      <c r="O25" s="230"/>
      <c r="T25" s="230"/>
      <c r="U25" s="102" t="str">
        <f>IF(ISNUMBER(MATCH(B25, 'Sprint 17'!B:B, 0)), "มาจาก Sprint 17", "")</f>
        <v/>
      </c>
      <c r="V25" s="102" t="str">
        <f t="array" ref="V25">IF(ISNUMBER(MATCH(B25, 'Sprint 17'!B:B, 0)), INDEX('Sprint 17'!J:J, MATCH(B25, 'Sprint 17'!B:B, 0)), "")</f>
        <v/>
      </c>
      <c r="X25" s="102" t="s">
        <v>3557</v>
      </c>
      <c r="Y25" s="102" t="s">
        <v>1991</v>
      </c>
    </row>
    <row r="26">
      <c r="A26" s="102" t="s">
        <v>276</v>
      </c>
      <c r="B26" s="102" t="s">
        <v>4061</v>
      </c>
      <c r="C26" s="229" t="s">
        <v>4062</v>
      </c>
      <c r="D26" s="102" t="s">
        <v>2030</v>
      </c>
      <c r="E26" s="102" t="s">
        <v>280</v>
      </c>
      <c r="F26" s="102" t="s">
        <v>281</v>
      </c>
      <c r="G26" s="102" t="s">
        <v>280</v>
      </c>
      <c r="H26" s="102" t="s">
        <v>281</v>
      </c>
      <c r="I26" s="102" t="s">
        <v>284</v>
      </c>
      <c r="J26" s="102" t="s">
        <v>34</v>
      </c>
      <c r="L26" s="229" t="s">
        <v>4060</v>
      </c>
      <c r="M26" s="229" t="s">
        <v>4713</v>
      </c>
      <c r="O26" s="230"/>
      <c r="T26" s="230"/>
      <c r="U26" s="102" t="str">
        <f>IF(ISNUMBER(MATCH(B26, 'Sprint 17'!B:B, 0)), "มาจาก Sprint 17", "")</f>
        <v/>
      </c>
      <c r="V26" s="102" t="str">
        <f t="array" ref="V26">IF(ISNUMBER(MATCH(B26, 'Sprint 17'!B:B, 0)), INDEX('Sprint 17'!J:J, MATCH(B26, 'Sprint 17'!B:B, 0)), "")</f>
        <v/>
      </c>
      <c r="X26" s="102" t="s">
        <v>3557</v>
      </c>
      <c r="Y26" s="102" t="s">
        <v>1991</v>
      </c>
    </row>
    <row r="27">
      <c r="A27" s="102" t="s">
        <v>276</v>
      </c>
      <c r="B27" s="102" t="s">
        <v>3554</v>
      </c>
      <c r="C27" s="229" t="s">
        <v>3555</v>
      </c>
      <c r="D27" s="102" t="s">
        <v>347</v>
      </c>
      <c r="E27" s="102" t="s">
        <v>280</v>
      </c>
      <c r="F27" s="102" t="s">
        <v>281</v>
      </c>
      <c r="G27" s="102" t="s">
        <v>280</v>
      </c>
      <c r="H27" s="102" t="s">
        <v>281</v>
      </c>
      <c r="I27" s="102" t="s">
        <v>284</v>
      </c>
      <c r="J27" s="102" t="s">
        <v>63</v>
      </c>
      <c r="L27" s="229" t="s">
        <v>3556</v>
      </c>
      <c r="M27" s="229" t="s">
        <v>4060</v>
      </c>
      <c r="O27" s="230"/>
      <c r="T27" s="230"/>
      <c r="U27" s="102" t="str">
        <f>IF(ISNUMBER(MATCH(B27, 'Sprint 17'!B:B, 0)), "มาจาก Sprint 17", "")</f>
        <v/>
      </c>
      <c r="V27" s="102" t="str">
        <f t="array" ref="V27">IF(ISNUMBER(MATCH(B27, 'Sprint 17'!B:B, 0)), INDEX('Sprint 17'!J:J, MATCH(B27, 'Sprint 17'!B:B, 0)), "")</f>
        <v/>
      </c>
      <c r="X27" s="102" t="s">
        <v>3557</v>
      </c>
      <c r="Y27" s="102" t="s">
        <v>1991</v>
      </c>
    </row>
    <row r="28">
      <c r="A28" s="102" t="s">
        <v>276</v>
      </c>
      <c r="B28" s="102" t="s">
        <v>3558</v>
      </c>
      <c r="C28" s="229" t="s">
        <v>3559</v>
      </c>
      <c r="D28" s="102" t="s">
        <v>2030</v>
      </c>
      <c r="E28" s="102" t="s">
        <v>280</v>
      </c>
      <c r="F28" s="102" t="s">
        <v>281</v>
      </c>
      <c r="G28" s="102" t="s">
        <v>280</v>
      </c>
      <c r="H28" s="102" t="s">
        <v>281</v>
      </c>
      <c r="I28" s="102" t="s">
        <v>284</v>
      </c>
      <c r="J28" s="102" t="s">
        <v>34</v>
      </c>
      <c r="L28" s="229" t="s">
        <v>3556</v>
      </c>
      <c r="M28" s="229" t="s">
        <v>4060</v>
      </c>
      <c r="O28" s="230"/>
      <c r="T28" s="230"/>
      <c r="U28" s="102" t="str">
        <f>IF(ISNUMBER(MATCH(B28, 'Sprint 17'!B:B, 0)), "มาจาก Sprint 17", "")</f>
        <v/>
      </c>
      <c r="V28" s="102" t="str">
        <f t="array" ref="V28">IF(ISNUMBER(MATCH(B28, 'Sprint 17'!B:B, 0)), INDEX('Sprint 17'!J:J, MATCH(B28, 'Sprint 17'!B:B, 0)), "")</f>
        <v/>
      </c>
      <c r="X28" s="102" t="s">
        <v>3557</v>
      </c>
      <c r="Y28" s="102" t="s">
        <v>1991</v>
      </c>
    </row>
    <row r="29">
      <c r="A29" s="102" t="s">
        <v>310</v>
      </c>
      <c r="B29" s="102" t="s">
        <v>4714</v>
      </c>
      <c r="C29" s="229" t="s">
        <v>4715</v>
      </c>
      <c r="D29" s="102" t="s">
        <v>4716</v>
      </c>
      <c r="E29" s="102" t="s">
        <v>353</v>
      </c>
      <c r="F29" s="102" t="s">
        <v>354</v>
      </c>
      <c r="G29" s="102" t="s">
        <v>353</v>
      </c>
      <c r="H29" s="102" t="s">
        <v>354</v>
      </c>
      <c r="I29" s="102" t="s">
        <v>284</v>
      </c>
      <c r="J29" s="102" t="s">
        <v>26</v>
      </c>
      <c r="L29" s="229" t="s">
        <v>4717</v>
      </c>
      <c r="M29" s="229" t="s">
        <v>4717</v>
      </c>
      <c r="O29" s="102">
        <v>1.0</v>
      </c>
      <c r="T29" s="230"/>
      <c r="U29" s="102" t="str">
        <f>IF(ISNUMBER(MATCH(B29, 'Sprint 17'!B:B, 0)), "มาจาก Sprint 17", "")</f>
        <v/>
      </c>
      <c r="V29" s="102" t="str">
        <f t="array" ref="V29">IF(ISNUMBER(MATCH(B29, 'Sprint 17'!B:B, 0)), INDEX('Sprint 17'!J:J, MATCH(B29, 'Sprint 17'!B:B, 0)), "")</f>
        <v/>
      </c>
      <c r="X29" s="102" t="s">
        <v>3036</v>
      </c>
    </row>
    <row r="30">
      <c r="A30" s="102" t="s">
        <v>310</v>
      </c>
      <c r="B30" s="102" t="s">
        <v>4718</v>
      </c>
      <c r="C30" s="229" t="s">
        <v>4719</v>
      </c>
      <c r="D30" s="102" t="s">
        <v>4720</v>
      </c>
      <c r="E30" s="102" t="s">
        <v>314</v>
      </c>
      <c r="F30" s="102" t="s">
        <v>315</v>
      </c>
      <c r="G30" s="102" t="s">
        <v>353</v>
      </c>
      <c r="H30" s="102" t="s">
        <v>354</v>
      </c>
      <c r="I30" s="102" t="s">
        <v>284</v>
      </c>
      <c r="J30" s="102" t="s">
        <v>26</v>
      </c>
      <c r="L30" s="229" t="s">
        <v>4721</v>
      </c>
      <c r="M30" s="229" t="s">
        <v>4722</v>
      </c>
      <c r="O30" s="102">
        <v>1.0</v>
      </c>
      <c r="T30" s="102">
        <v>7200.0</v>
      </c>
      <c r="U30" s="102" t="str">
        <f>IF(ISNUMBER(MATCH(B30, 'Sprint 17'!B:B, 0)), "มาจาก Sprint 17", "")</f>
        <v/>
      </c>
      <c r="V30" s="102" t="str">
        <f t="array" ref="V30">IF(ISNUMBER(MATCH(B30, 'Sprint 17'!B:B, 0)), INDEX('Sprint 17'!J:J, MATCH(B30, 'Sprint 17'!B:B, 0)), "")</f>
        <v/>
      </c>
      <c r="W30" s="102"/>
      <c r="X30" s="102" t="s">
        <v>2269</v>
      </c>
    </row>
    <row r="31">
      <c r="A31" s="102" t="s">
        <v>310</v>
      </c>
      <c r="B31" s="102" t="s">
        <v>4100</v>
      </c>
      <c r="C31" s="229" t="s">
        <v>4101</v>
      </c>
      <c r="D31" s="102" t="s">
        <v>4102</v>
      </c>
      <c r="E31" s="102" t="s">
        <v>564</v>
      </c>
      <c r="F31" s="102" t="s">
        <v>565</v>
      </c>
      <c r="G31" s="102" t="s">
        <v>353</v>
      </c>
      <c r="H31" s="102" t="s">
        <v>354</v>
      </c>
      <c r="I31" s="102" t="s">
        <v>284</v>
      </c>
      <c r="J31" s="102" t="s">
        <v>678</v>
      </c>
      <c r="L31" s="229" t="s">
        <v>4103</v>
      </c>
      <c r="M31" s="229" t="s">
        <v>4723</v>
      </c>
      <c r="N31" s="229" t="s">
        <v>4105</v>
      </c>
      <c r="O31" s="102">
        <v>5.0</v>
      </c>
      <c r="T31" s="102">
        <v>57600.0</v>
      </c>
      <c r="U31" s="102" t="str">
        <f>IF(ISNUMBER(MATCH(B31, 'Sprint 17'!B:B, 0)), "มาจาก Sprint 17", "")</f>
        <v/>
      </c>
      <c r="V31" s="102" t="str">
        <f t="array" ref="V31">IF(ISNUMBER(MATCH(B31, 'Sprint 17'!B:B, 0)), INDEX('Sprint 17'!J:J, MATCH(B31, 'Sprint 17'!B:B, 0)), "")</f>
        <v/>
      </c>
      <c r="W31" s="102"/>
      <c r="X31" s="102" t="s">
        <v>1260</v>
      </c>
    </row>
    <row r="32">
      <c r="A32" s="102" t="s">
        <v>630</v>
      </c>
      <c r="B32" s="102" t="s">
        <v>1253</v>
      </c>
      <c r="C32" s="229" t="s">
        <v>1254</v>
      </c>
      <c r="D32" s="102" t="s">
        <v>1255</v>
      </c>
      <c r="G32" s="102" t="s">
        <v>353</v>
      </c>
      <c r="H32" s="102" t="s">
        <v>354</v>
      </c>
      <c r="I32" s="102" t="s">
        <v>284</v>
      </c>
      <c r="J32" s="102" t="s">
        <v>63</v>
      </c>
      <c r="L32" s="229" t="s">
        <v>1256</v>
      </c>
      <c r="M32" s="229" t="s">
        <v>4724</v>
      </c>
      <c r="O32" s="230"/>
      <c r="T32" s="230"/>
      <c r="U32" s="102" t="str">
        <f>IF(ISNUMBER(MATCH(B32, 'Sprint 17'!B:B, 0)), "มาจาก Sprint 17", "")</f>
        <v/>
      </c>
      <c r="V32" s="102" t="str">
        <f t="array" ref="V32">IF(ISNUMBER(MATCH(B32, 'Sprint 17'!B:B, 0)), INDEX('Sprint 17'!J:J, MATCH(B32, 'Sprint 17'!B:B, 0)), "")</f>
        <v/>
      </c>
      <c r="X32" s="102" t="s">
        <v>1260</v>
      </c>
    </row>
    <row r="33">
      <c r="A33" s="102" t="s">
        <v>310</v>
      </c>
      <c r="B33" s="102" t="s">
        <v>4107</v>
      </c>
      <c r="C33" s="229" t="s">
        <v>4108</v>
      </c>
      <c r="D33" s="102" t="s">
        <v>4109</v>
      </c>
      <c r="E33" s="102" t="s">
        <v>564</v>
      </c>
      <c r="F33" s="102" t="s">
        <v>565</v>
      </c>
      <c r="G33" s="102" t="s">
        <v>353</v>
      </c>
      <c r="H33" s="102" t="s">
        <v>354</v>
      </c>
      <c r="I33" s="102" t="s">
        <v>284</v>
      </c>
      <c r="J33" s="102" t="s">
        <v>678</v>
      </c>
      <c r="L33" s="229" t="s">
        <v>4110</v>
      </c>
      <c r="M33" s="229" t="s">
        <v>4723</v>
      </c>
      <c r="N33" s="229" t="s">
        <v>4112</v>
      </c>
      <c r="O33" s="102">
        <v>5.0</v>
      </c>
      <c r="T33" s="102">
        <v>57600.0</v>
      </c>
      <c r="U33" s="102" t="str">
        <f>IF(ISNUMBER(MATCH(B33, 'Sprint 17'!B:B, 0)), "มาจาก Sprint 17", "")</f>
        <v/>
      </c>
      <c r="V33" s="102" t="str">
        <f t="array" ref="V33">IF(ISNUMBER(MATCH(B33, 'Sprint 17'!B:B, 0)), INDEX('Sprint 17'!J:J, MATCH(B33, 'Sprint 17'!B:B, 0)), "")</f>
        <v/>
      </c>
      <c r="W33" s="102"/>
      <c r="X33" s="102" t="s">
        <v>1260</v>
      </c>
    </row>
    <row r="34">
      <c r="A34" s="102" t="s">
        <v>310</v>
      </c>
      <c r="B34" s="102" t="s">
        <v>3202</v>
      </c>
      <c r="C34" s="229" t="s">
        <v>3203</v>
      </c>
      <c r="D34" s="102" t="s">
        <v>3204</v>
      </c>
      <c r="E34" s="102" t="s">
        <v>584</v>
      </c>
      <c r="F34" s="102" t="s">
        <v>585</v>
      </c>
      <c r="G34" s="102" t="s">
        <v>353</v>
      </c>
      <c r="H34" s="102" t="s">
        <v>354</v>
      </c>
      <c r="I34" s="102" t="s">
        <v>284</v>
      </c>
      <c r="J34" s="102" t="s">
        <v>678</v>
      </c>
      <c r="L34" s="229" t="s">
        <v>3205</v>
      </c>
      <c r="M34" s="229" t="s">
        <v>4725</v>
      </c>
      <c r="O34" s="102">
        <v>8.0</v>
      </c>
      <c r="T34" s="230"/>
      <c r="U34" s="102" t="str">
        <f>IF(ISNUMBER(MATCH(B34, 'Sprint 17'!B:B, 0)), "มาจาก Sprint 17", "")</f>
        <v/>
      </c>
      <c r="V34" s="102" t="str">
        <f t="array" ref="V34">IF(ISNUMBER(MATCH(B34, 'Sprint 17'!B:B, 0)), INDEX('Sprint 17'!J:J, MATCH(B34, 'Sprint 17'!B:B, 0)), "")</f>
        <v/>
      </c>
      <c r="X34" s="102" t="s">
        <v>2269</v>
      </c>
    </row>
    <row r="35">
      <c r="A35" s="102" t="s">
        <v>310</v>
      </c>
      <c r="B35" s="102" t="s">
        <v>4726</v>
      </c>
      <c r="C35" s="229" t="s">
        <v>4727</v>
      </c>
      <c r="D35" s="102" t="s">
        <v>4728</v>
      </c>
      <c r="E35" s="102" t="s">
        <v>353</v>
      </c>
      <c r="F35" s="102" t="s">
        <v>354</v>
      </c>
      <c r="G35" s="102" t="s">
        <v>353</v>
      </c>
      <c r="H35" s="102" t="s">
        <v>354</v>
      </c>
      <c r="I35" s="102" t="s">
        <v>284</v>
      </c>
      <c r="J35" s="102" t="s">
        <v>26</v>
      </c>
      <c r="L35" s="229" t="s">
        <v>4729</v>
      </c>
      <c r="M35" s="229" t="s">
        <v>4730</v>
      </c>
      <c r="O35" s="102">
        <v>3.0</v>
      </c>
      <c r="T35" s="230"/>
      <c r="U35" s="102" t="str">
        <f>IF(ISNUMBER(MATCH(B35, 'Sprint 17'!B:B, 0)), "มาจาก Sprint 17", "")</f>
        <v/>
      </c>
      <c r="V35" s="102" t="str">
        <f t="array" ref="V35">IF(ISNUMBER(MATCH(B35, 'Sprint 17'!B:B, 0)), INDEX('Sprint 17'!J:J, MATCH(B35, 'Sprint 17'!B:B, 0)), "")</f>
        <v/>
      </c>
      <c r="X35" s="102" t="s">
        <v>4150</v>
      </c>
    </row>
    <row r="36">
      <c r="A36" s="102" t="s">
        <v>310</v>
      </c>
      <c r="B36" s="102" t="s">
        <v>4114</v>
      </c>
      <c r="C36" s="229" t="s">
        <v>4115</v>
      </c>
      <c r="D36" s="102" t="s">
        <v>4116</v>
      </c>
      <c r="E36" s="102" t="s">
        <v>513</v>
      </c>
      <c r="F36" s="102" t="s">
        <v>514</v>
      </c>
      <c r="G36" s="102" t="s">
        <v>282</v>
      </c>
      <c r="H36" s="102" t="s">
        <v>283</v>
      </c>
      <c r="I36" s="102" t="s">
        <v>515</v>
      </c>
      <c r="J36" s="102" t="s">
        <v>34</v>
      </c>
      <c r="L36" s="229" t="s">
        <v>4117</v>
      </c>
      <c r="M36" s="229" t="s">
        <v>4731</v>
      </c>
      <c r="O36" s="102">
        <v>2.0</v>
      </c>
      <c r="P36" s="102" t="s">
        <v>593</v>
      </c>
      <c r="T36" s="102">
        <v>7200.0</v>
      </c>
      <c r="U36" s="102" t="str">
        <f>IF(ISNUMBER(MATCH(B36, 'Sprint 17'!B:B, 0)), "มาจาก Sprint 17", "")</f>
        <v/>
      </c>
      <c r="V36" s="102" t="str">
        <f t="array" ref="V36">IF(ISNUMBER(MATCH(B36, 'Sprint 17'!B:B, 0)), INDEX('Sprint 17'!J:J, MATCH(B36, 'Sprint 17'!B:B, 0)), "")</f>
        <v/>
      </c>
      <c r="W36" s="102"/>
      <c r="X36" s="102" t="s">
        <v>1991</v>
      </c>
    </row>
    <row r="37">
      <c r="A37" s="102" t="s">
        <v>310</v>
      </c>
      <c r="B37" s="102" t="s">
        <v>4732</v>
      </c>
      <c r="C37" s="229" t="s">
        <v>4733</v>
      </c>
      <c r="D37" s="102" t="s">
        <v>4734</v>
      </c>
      <c r="E37" s="102" t="s">
        <v>353</v>
      </c>
      <c r="F37" s="102" t="s">
        <v>354</v>
      </c>
      <c r="G37" s="102" t="s">
        <v>353</v>
      </c>
      <c r="H37" s="102" t="s">
        <v>354</v>
      </c>
      <c r="I37" s="102" t="s">
        <v>284</v>
      </c>
      <c r="J37" s="102" t="s">
        <v>34</v>
      </c>
      <c r="L37" s="229" t="s">
        <v>4735</v>
      </c>
      <c r="M37" s="229" t="s">
        <v>4736</v>
      </c>
      <c r="O37" s="102">
        <v>5.0</v>
      </c>
      <c r="T37" s="230"/>
      <c r="U37" s="102" t="str">
        <f>IF(ISNUMBER(MATCH(B37, 'Sprint 17'!B:B, 0)), "มาจาก Sprint 17", "")</f>
        <v/>
      </c>
      <c r="V37" s="102" t="str">
        <f t="array" ref="V37">IF(ISNUMBER(MATCH(B37, 'Sprint 17'!B:B, 0)), INDEX('Sprint 17'!J:J, MATCH(B37, 'Sprint 17'!B:B, 0)), "")</f>
        <v/>
      </c>
      <c r="X37" s="102" t="s">
        <v>2269</v>
      </c>
    </row>
    <row r="38">
      <c r="A38" s="102" t="s">
        <v>310</v>
      </c>
      <c r="B38" s="102" t="s">
        <v>3207</v>
      </c>
      <c r="C38" s="229" t="s">
        <v>3208</v>
      </c>
      <c r="D38" s="102" t="s">
        <v>3209</v>
      </c>
      <c r="E38" s="102" t="s">
        <v>495</v>
      </c>
      <c r="F38" s="102" t="s">
        <v>496</v>
      </c>
      <c r="G38" s="102" t="s">
        <v>353</v>
      </c>
      <c r="H38" s="102" t="s">
        <v>354</v>
      </c>
      <c r="I38" s="102" t="s">
        <v>284</v>
      </c>
      <c r="J38" s="102" t="s">
        <v>678</v>
      </c>
      <c r="L38" s="229" t="s">
        <v>3210</v>
      </c>
      <c r="M38" s="229" t="s">
        <v>4737</v>
      </c>
      <c r="O38" s="102">
        <v>5.0</v>
      </c>
      <c r="T38" s="230"/>
      <c r="U38" s="102" t="str">
        <f>IF(ISNUMBER(MATCH(B38, 'Sprint 17'!B:B, 0)), "มาจาก Sprint 17", "")</f>
        <v/>
      </c>
      <c r="V38" s="102" t="str">
        <f t="array" ref="V38">IF(ISNUMBER(MATCH(B38, 'Sprint 17'!B:B, 0)), INDEX('Sprint 17'!J:J, MATCH(B38, 'Sprint 17'!B:B, 0)), "")</f>
        <v/>
      </c>
      <c r="X38" s="102" t="s">
        <v>2269</v>
      </c>
    </row>
    <row r="39">
      <c r="A39" s="102" t="s">
        <v>310</v>
      </c>
      <c r="B39" s="102" t="s">
        <v>4464</v>
      </c>
      <c r="C39" s="229" t="s">
        <v>4465</v>
      </c>
      <c r="D39" s="102" t="s">
        <v>4466</v>
      </c>
      <c r="E39" s="102" t="s">
        <v>584</v>
      </c>
      <c r="F39" s="102" t="s">
        <v>585</v>
      </c>
      <c r="G39" s="102" t="s">
        <v>353</v>
      </c>
      <c r="H39" s="102" t="s">
        <v>354</v>
      </c>
      <c r="I39" s="102" t="s">
        <v>284</v>
      </c>
      <c r="J39" s="102" t="s">
        <v>678</v>
      </c>
      <c r="L39" s="229" t="s">
        <v>4467</v>
      </c>
      <c r="M39" s="229" t="s">
        <v>4738</v>
      </c>
      <c r="N39" s="229" t="s">
        <v>4099</v>
      </c>
      <c r="O39" s="102">
        <v>3.0</v>
      </c>
      <c r="T39" s="230"/>
      <c r="U39" s="102" t="str">
        <f>IF(ISNUMBER(MATCH(B39, 'Sprint 17'!B:B, 0)), "มาจาก Sprint 17", "")</f>
        <v/>
      </c>
      <c r="V39" s="102" t="str">
        <f t="array" ref="V39">IF(ISNUMBER(MATCH(B39, 'Sprint 17'!B:B, 0)), INDEX('Sprint 17'!J:J, MATCH(B39, 'Sprint 17'!B:B, 0)), "")</f>
        <v/>
      </c>
      <c r="X39" s="102" t="s">
        <v>2269</v>
      </c>
    </row>
    <row r="40">
      <c r="A40" s="102" t="s">
        <v>310</v>
      </c>
      <c r="B40" s="102" t="s">
        <v>4469</v>
      </c>
      <c r="C40" s="229" t="s">
        <v>4470</v>
      </c>
      <c r="D40" s="102" t="s">
        <v>4471</v>
      </c>
      <c r="E40" s="102" t="s">
        <v>584</v>
      </c>
      <c r="F40" s="102" t="s">
        <v>585</v>
      </c>
      <c r="G40" s="102" t="s">
        <v>353</v>
      </c>
      <c r="H40" s="102" t="s">
        <v>354</v>
      </c>
      <c r="I40" s="102" t="s">
        <v>284</v>
      </c>
      <c r="J40" s="102" t="s">
        <v>678</v>
      </c>
      <c r="L40" s="229" t="s">
        <v>4472</v>
      </c>
      <c r="M40" s="229" t="s">
        <v>4738</v>
      </c>
      <c r="N40" s="229" t="s">
        <v>4099</v>
      </c>
      <c r="O40" s="102">
        <v>3.0</v>
      </c>
      <c r="T40" s="230"/>
      <c r="U40" s="102" t="str">
        <f>IF(ISNUMBER(MATCH(B40, 'Sprint 17'!B:B, 0)), "มาจาก Sprint 17", "")</f>
        <v/>
      </c>
      <c r="V40" s="102" t="str">
        <f t="array" ref="V40">IF(ISNUMBER(MATCH(B40, 'Sprint 17'!B:B, 0)), INDEX('Sprint 17'!J:J, MATCH(B40, 'Sprint 17'!B:B, 0)), "")</f>
        <v/>
      </c>
      <c r="X40" s="102" t="s">
        <v>2269</v>
      </c>
    </row>
    <row r="41">
      <c r="A41" s="102" t="s">
        <v>310</v>
      </c>
      <c r="B41" s="102" t="s">
        <v>4473</v>
      </c>
      <c r="C41" s="229" t="s">
        <v>4474</v>
      </c>
      <c r="D41" s="102" t="s">
        <v>4475</v>
      </c>
      <c r="E41" s="102" t="s">
        <v>584</v>
      </c>
      <c r="F41" s="102" t="s">
        <v>585</v>
      </c>
      <c r="G41" s="102" t="s">
        <v>353</v>
      </c>
      <c r="H41" s="102" t="s">
        <v>354</v>
      </c>
      <c r="I41" s="102" t="s">
        <v>284</v>
      </c>
      <c r="J41" s="102" t="s">
        <v>678</v>
      </c>
      <c r="L41" s="229" t="s">
        <v>4476</v>
      </c>
      <c r="M41" s="229" t="s">
        <v>4738</v>
      </c>
      <c r="N41" s="229" t="s">
        <v>4099</v>
      </c>
      <c r="O41" s="102">
        <v>3.0</v>
      </c>
      <c r="T41" s="230"/>
      <c r="U41" s="102" t="str">
        <f>IF(ISNUMBER(MATCH(B41, 'Sprint 17'!B:B, 0)), "มาจาก Sprint 17", "")</f>
        <v/>
      </c>
      <c r="V41" s="102" t="str">
        <f t="array" ref="V41">IF(ISNUMBER(MATCH(B41, 'Sprint 17'!B:B, 0)), INDEX('Sprint 17'!J:J, MATCH(B41, 'Sprint 17'!B:B, 0)), "")</f>
        <v/>
      </c>
      <c r="X41" s="102" t="s">
        <v>2269</v>
      </c>
    </row>
    <row r="42">
      <c r="A42" s="102" t="s">
        <v>310</v>
      </c>
      <c r="B42" s="102" t="s">
        <v>4477</v>
      </c>
      <c r="C42" s="229" t="s">
        <v>4478</v>
      </c>
      <c r="D42" s="102" t="s">
        <v>4479</v>
      </c>
      <c r="E42" s="102" t="s">
        <v>584</v>
      </c>
      <c r="F42" s="102" t="s">
        <v>585</v>
      </c>
      <c r="G42" s="102" t="s">
        <v>353</v>
      </c>
      <c r="H42" s="102" t="s">
        <v>354</v>
      </c>
      <c r="I42" s="102" t="s">
        <v>284</v>
      </c>
      <c r="J42" s="102" t="s">
        <v>678</v>
      </c>
      <c r="L42" s="229" t="s">
        <v>4476</v>
      </c>
      <c r="M42" s="229" t="s">
        <v>4738</v>
      </c>
      <c r="N42" s="229" t="s">
        <v>4099</v>
      </c>
      <c r="O42" s="102">
        <v>3.0</v>
      </c>
      <c r="T42" s="230"/>
      <c r="U42" s="102" t="str">
        <f>IF(ISNUMBER(MATCH(B42, 'Sprint 17'!B:B, 0)), "มาจาก Sprint 17", "")</f>
        <v/>
      </c>
      <c r="V42" s="102" t="str">
        <f t="array" ref="V42">IF(ISNUMBER(MATCH(B42, 'Sprint 17'!B:B, 0)), INDEX('Sprint 17'!J:J, MATCH(B42, 'Sprint 17'!B:B, 0)), "")</f>
        <v/>
      </c>
      <c r="X42" s="102" t="s">
        <v>2269</v>
      </c>
    </row>
    <row r="43">
      <c r="A43" s="102" t="s">
        <v>310</v>
      </c>
      <c r="B43" s="102" t="s">
        <v>4480</v>
      </c>
      <c r="C43" s="229" t="s">
        <v>4481</v>
      </c>
      <c r="D43" s="102" t="s">
        <v>4482</v>
      </c>
      <c r="E43" s="102" t="s">
        <v>564</v>
      </c>
      <c r="F43" s="102" t="s">
        <v>565</v>
      </c>
      <c r="G43" s="102" t="s">
        <v>353</v>
      </c>
      <c r="H43" s="102" t="s">
        <v>354</v>
      </c>
      <c r="I43" s="102" t="s">
        <v>284</v>
      </c>
      <c r="J43" s="102" t="s">
        <v>678</v>
      </c>
      <c r="L43" s="229" t="s">
        <v>4483</v>
      </c>
      <c r="M43" s="229" t="s">
        <v>4738</v>
      </c>
      <c r="N43" s="229" t="s">
        <v>4484</v>
      </c>
      <c r="O43" s="102">
        <v>1.0</v>
      </c>
      <c r="T43" s="102">
        <v>7200.0</v>
      </c>
      <c r="U43" s="102" t="str">
        <f>IF(ISNUMBER(MATCH(B43, 'Sprint 17'!B:B, 0)), "มาจาก Sprint 17", "")</f>
        <v/>
      </c>
      <c r="V43" s="102" t="str">
        <f t="array" ref="V43">IF(ISNUMBER(MATCH(B43, 'Sprint 17'!B:B, 0)), INDEX('Sprint 17'!J:J, MATCH(B43, 'Sprint 17'!B:B, 0)), "")</f>
        <v/>
      </c>
      <c r="W43" s="102"/>
      <c r="X43" s="102" t="s">
        <v>2269</v>
      </c>
    </row>
    <row r="44">
      <c r="A44" s="102" t="s">
        <v>310</v>
      </c>
      <c r="B44" s="102" t="s">
        <v>4739</v>
      </c>
      <c r="C44" s="229" t="s">
        <v>4740</v>
      </c>
      <c r="D44" s="102" t="s">
        <v>4741</v>
      </c>
      <c r="E44" s="102" t="s">
        <v>304</v>
      </c>
      <c r="F44" s="102" t="s">
        <v>305</v>
      </c>
      <c r="G44" s="102" t="s">
        <v>282</v>
      </c>
      <c r="H44" s="102" t="s">
        <v>283</v>
      </c>
      <c r="I44" s="102" t="s">
        <v>515</v>
      </c>
      <c r="J44" s="102" t="s">
        <v>26</v>
      </c>
      <c r="L44" s="229" t="s">
        <v>4742</v>
      </c>
      <c r="M44" s="229" t="s">
        <v>4743</v>
      </c>
      <c r="O44" s="102">
        <v>13.0</v>
      </c>
      <c r="P44" s="102" t="s">
        <v>1730</v>
      </c>
      <c r="Q44" s="102" t="s">
        <v>593</v>
      </c>
      <c r="T44" s="230"/>
      <c r="U44" s="102" t="str">
        <f>IF(ISNUMBER(MATCH(B44, 'Sprint 17'!B:B, 0)), "มาจาก Sprint 17", "")</f>
        <v/>
      </c>
      <c r="V44" s="102" t="str">
        <f t="array" ref="V44">IF(ISNUMBER(MATCH(B44, 'Sprint 17'!B:B, 0)), INDEX('Sprint 17'!J:J, MATCH(B44, 'Sprint 17'!B:B, 0)), "")</f>
        <v/>
      </c>
      <c r="X44" s="102" t="s">
        <v>1991</v>
      </c>
    </row>
    <row r="45">
      <c r="A45" s="102" t="s">
        <v>310</v>
      </c>
      <c r="B45" s="102" t="s">
        <v>4744</v>
      </c>
      <c r="C45" s="229" t="s">
        <v>4745</v>
      </c>
      <c r="D45" s="102" t="s">
        <v>4746</v>
      </c>
      <c r="G45" s="102" t="s">
        <v>282</v>
      </c>
      <c r="H45" s="102" t="s">
        <v>283</v>
      </c>
      <c r="I45" s="102" t="s">
        <v>318</v>
      </c>
      <c r="J45" s="102" t="s">
        <v>26</v>
      </c>
      <c r="L45" s="229" t="s">
        <v>4747</v>
      </c>
      <c r="M45" s="229" t="s">
        <v>4748</v>
      </c>
      <c r="O45" s="230"/>
      <c r="T45" s="230"/>
      <c r="U45" s="102" t="str">
        <f>IF(ISNUMBER(MATCH(B45, 'Sprint 17'!B:B, 0)), "มาจาก Sprint 17", "")</f>
        <v/>
      </c>
      <c r="V45" s="102" t="str">
        <f t="array" ref="V45">IF(ISNUMBER(MATCH(B45, 'Sprint 17'!B:B, 0)), INDEX('Sprint 17'!J:J, MATCH(B45, 'Sprint 17'!B:B, 0)), "")</f>
        <v/>
      </c>
      <c r="X45" s="102" t="s">
        <v>1991</v>
      </c>
    </row>
    <row r="46">
      <c r="A46" s="102" t="s">
        <v>310</v>
      </c>
      <c r="B46" s="102" t="s">
        <v>4749</v>
      </c>
      <c r="C46" s="229" t="s">
        <v>4750</v>
      </c>
      <c r="D46" s="102" t="s">
        <v>4751</v>
      </c>
      <c r="E46" s="102" t="s">
        <v>282</v>
      </c>
      <c r="F46" s="102" t="s">
        <v>283</v>
      </c>
      <c r="G46" s="102" t="s">
        <v>282</v>
      </c>
      <c r="H46" s="102" t="s">
        <v>283</v>
      </c>
      <c r="I46" s="102" t="s">
        <v>318</v>
      </c>
      <c r="J46" s="102" t="s">
        <v>26</v>
      </c>
      <c r="L46" s="229" t="s">
        <v>4752</v>
      </c>
      <c r="M46" s="229" t="s">
        <v>4753</v>
      </c>
      <c r="N46" s="229" t="s">
        <v>2570</v>
      </c>
      <c r="O46" s="230"/>
      <c r="T46" s="230"/>
      <c r="U46" s="102" t="str">
        <f>IF(ISNUMBER(MATCH(B46, 'Sprint 17'!B:B, 0)), "มาจาก Sprint 17", "")</f>
        <v/>
      </c>
      <c r="V46" s="102" t="str">
        <f t="array" ref="V46">IF(ISNUMBER(MATCH(B46, 'Sprint 17'!B:B, 0)), INDEX('Sprint 17'!J:J, MATCH(B46, 'Sprint 17'!B:B, 0)), "")</f>
        <v/>
      </c>
      <c r="X46" s="102" t="s">
        <v>1991</v>
      </c>
    </row>
    <row r="47">
      <c r="A47" s="102" t="s">
        <v>310</v>
      </c>
      <c r="B47" s="102" t="s">
        <v>4754</v>
      </c>
      <c r="C47" s="229" t="s">
        <v>4755</v>
      </c>
      <c r="D47" s="102" t="s">
        <v>4756</v>
      </c>
      <c r="G47" s="102" t="s">
        <v>282</v>
      </c>
      <c r="H47" s="102" t="s">
        <v>283</v>
      </c>
      <c r="I47" s="102" t="s">
        <v>318</v>
      </c>
      <c r="J47" s="102" t="s">
        <v>26</v>
      </c>
      <c r="L47" s="229" t="s">
        <v>4757</v>
      </c>
      <c r="M47" s="229" t="s">
        <v>4748</v>
      </c>
      <c r="O47" s="230"/>
      <c r="P47" s="102" t="s">
        <v>593</v>
      </c>
      <c r="T47" s="230"/>
      <c r="U47" s="102" t="str">
        <f>IF(ISNUMBER(MATCH(B47, 'Sprint 17'!B:B, 0)), "มาจาก Sprint 17", "")</f>
        <v/>
      </c>
      <c r="V47" s="102" t="str">
        <f t="array" ref="V47">IF(ISNUMBER(MATCH(B47, 'Sprint 17'!B:B, 0)), INDEX('Sprint 17'!J:J, MATCH(B47, 'Sprint 17'!B:B, 0)), "")</f>
        <v/>
      </c>
      <c r="X47" s="102" t="s">
        <v>1991</v>
      </c>
    </row>
    <row r="48">
      <c r="A48" s="102" t="s">
        <v>310</v>
      </c>
      <c r="B48" s="102" t="s">
        <v>4758</v>
      </c>
      <c r="C48" s="229" t="s">
        <v>4759</v>
      </c>
      <c r="D48" s="102" t="s">
        <v>4760</v>
      </c>
      <c r="E48" s="102" t="s">
        <v>513</v>
      </c>
      <c r="F48" s="102" t="s">
        <v>514</v>
      </c>
      <c r="G48" s="102" t="s">
        <v>282</v>
      </c>
      <c r="H48" s="102" t="s">
        <v>283</v>
      </c>
      <c r="I48" s="102" t="s">
        <v>284</v>
      </c>
      <c r="J48" s="102" t="s">
        <v>26</v>
      </c>
      <c r="L48" s="229" t="s">
        <v>4761</v>
      </c>
      <c r="M48" s="229" t="s">
        <v>4762</v>
      </c>
      <c r="N48" s="229" t="s">
        <v>2165</v>
      </c>
      <c r="O48" s="102">
        <v>2.0</v>
      </c>
      <c r="P48" s="102" t="s">
        <v>1730</v>
      </c>
      <c r="Q48" s="102" t="s">
        <v>593</v>
      </c>
      <c r="T48" s="102">
        <v>14400.0</v>
      </c>
      <c r="U48" s="102" t="str">
        <f>IF(ISNUMBER(MATCH(B48, 'Sprint 17'!B:B, 0)), "มาจาก Sprint 17", "")</f>
        <v/>
      </c>
      <c r="V48" s="102" t="str">
        <f t="array" ref="V48">IF(ISNUMBER(MATCH(B48, 'Sprint 17'!B:B, 0)), INDEX('Sprint 17'!J:J, MATCH(B48, 'Sprint 17'!B:B, 0)), "")</f>
        <v/>
      </c>
      <c r="W48" s="102"/>
      <c r="X48" s="102" t="s">
        <v>1991</v>
      </c>
    </row>
    <row r="49">
      <c r="A49" s="102" t="s">
        <v>310</v>
      </c>
      <c r="B49" s="102" t="s">
        <v>2070</v>
      </c>
      <c r="C49" s="229" t="s">
        <v>2071</v>
      </c>
      <c r="D49" s="102" t="s">
        <v>2072</v>
      </c>
      <c r="E49" s="102" t="s">
        <v>495</v>
      </c>
      <c r="F49" s="102" t="s">
        <v>496</v>
      </c>
      <c r="G49" s="102" t="s">
        <v>282</v>
      </c>
      <c r="H49" s="102" t="s">
        <v>283</v>
      </c>
      <c r="I49" s="102" t="s">
        <v>284</v>
      </c>
      <c r="J49" s="102" t="s">
        <v>678</v>
      </c>
      <c r="L49" s="229" t="s">
        <v>2073</v>
      </c>
      <c r="M49" s="229" t="s">
        <v>4705</v>
      </c>
      <c r="O49" s="102">
        <v>1.0</v>
      </c>
      <c r="P49" s="102" t="s">
        <v>435</v>
      </c>
      <c r="T49" s="102">
        <v>3600.0</v>
      </c>
      <c r="U49" s="102" t="str">
        <f>IF(ISNUMBER(MATCH(B49, 'Sprint 17'!B:B, 0)), "มาจาก Sprint 17", "")</f>
        <v/>
      </c>
      <c r="V49" s="102" t="str">
        <f t="array" ref="V49">IF(ISNUMBER(MATCH(B49, 'Sprint 17'!B:B, 0)), INDEX('Sprint 17'!J:J, MATCH(B49, 'Sprint 17'!B:B, 0)), "")</f>
        <v/>
      </c>
      <c r="W49" s="102"/>
      <c r="X49" s="102" t="s">
        <v>1991</v>
      </c>
    </row>
    <row r="50">
      <c r="A50" s="102" t="s">
        <v>310</v>
      </c>
      <c r="B50" s="102" t="s">
        <v>2075</v>
      </c>
      <c r="C50" s="229" t="s">
        <v>2076</v>
      </c>
      <c r="D50" s="102" t="s">
        <v>2077</v>
      </c>
      <c r="E50" s="102" t="s">
        <v>495</v>
      </c>
      <c r="F50" s="102" t="s">
        <v>496</v>
      </c>
      <c r="G50" s="102" t="s">
        <v>282</v>
      </c>
      <c r="H50" s="102" t="s">
        <v>283</v>
      </c>
      <c r="I50" s="102" t="s">
        <v>284</v>
      </c>
      <c r="J50" s="102" t="s">
        <v>678</v>
      </c>
      <c r="L50" s="229" t="s">
        <v>2073</v>
      </c>
      <c r="M50" s="229" t="s">
        <v>4705</v>
      </c>
      <c r="O50" s="102">
        <v>1.0</v>
      </c>
      <c r="P50" s="102" t="s">
        <v>435</v>
      </c>
      <c r="T50" s="102">
        <v>7200.0</v>
      </c>
      <c r="U50" s="102" t="str">
        <f>IF(ISNUMBER(MATCH(B50, 'Sprint 17'!B:B, 0)), "มาจาก Sprint 17", "")</f>
        <v/>
      </c>
      <c r="V50" s="102" t="str">
        <f t="array" ref="V50">IF(ISNUMBER(MATCH(B50, 'Sprint 17'!B:B, 0)), INDEX('Sprint 17'!J:J, MATCH(B50, 'Sprint 17'!B:B, 0)), "")</f>
        <v/>
      </c>
      <c r="W50" s="102"/>
      <c r="X50" s="102" t="s">
        <v>1991</v>
      </c>
    </row>
    <row r="51">
      <c r="A51" s="102" t="s">
        <v>310</v>
      </c>
      <c r="B51" s="102" t="s">
        <v>2078</v>
      </c>
      <c r="C51" s="229" t="s">
        <v>2079</v>
      </c>
      <c r="D51" s="102" t="s">
        <v>2080</v>
      </c>
      <c r="E51" s="102" t="s">
        <v>495</v>
      </c>
      <c r="F51" s="102" t="s">
        <v>496</v>
      </c>
      <c r="G51" s="102" t="s">
        <v>282</v>
      </c>
      <c r="H51" s="102" t="s">
        <v>283</v>
      </c>
      <c r="I51" s="102" t="s">
        <v>284</v>
      </c>
      <c r="J51" s="102" t="s">
        <v>678</v>
      </c>
      <c r="L51" s="229" t="s">
        <v>2073</v>
      </c>
      <c r="M51" s="229" t="s">
        <v>4705</v>
      </c>
      <c r="O51" s="102">
        <v>2.0</v>
      </c>
      <c r="P51" s="102" t="s">
        <v>435</v>
      </c>
      <c r="T51" s="102">
        <v>10800.0</v>
      </c>
      <c r="U51" s="102" t="str">
        <f>IF(ISNUMBER(MATCH(B51, 'Sprint 17'!B:B, 0)), "มาจาก Sprint 17", "")</f>
        <v/>
      </c>
      <c r="V51" s="102" t="str">
        <f t="array" ref="V51">IF(ISNUMBER(MATCH(B51, 'Sprint 17'!B:B, 0)), INDEX('Sprint 17'!J:J, MATCH(B51, 'Sprint 17'!B:B, 0)), "")</f>
        <v/>
      </c>
      <c r="W51" s="102"/>
      <c r="X51" s="102" t="s">
        <v>1991</v>
      </c>
    </row>
    <row r="52">
      <c r="A52" s="102" t="s">
        <v>310</v>
      </c>
      <c r="B52" s="102" t="s">
        <v>2081</v>
      </c>
      <c r="C52" s="229" t="s">
        <v>2082</v>
      </c>
      <c r="D52" s="102" t="s">
        <v>2083</v>
      </c>
      <c r="E52" s="102" t="s">
        <v>513</v>
      </c>
      <c r="F52" s="102" t="s">
        <v>514</v>
      </c>
      <c r="G52" s="102" t="s">
        <v>282</v>
      </c>
      <c r="H52" s="102" t="s">
        <v>283</v>
      </c>
      <c r="I52" s="102" t="s">
        <v>284</v>
      </c>
      <c r="J52" s="102" t="s">
        <v>355</v>
      </c>
      <c r="L52" s="229" t="s">
        <v>2073</v>
      </c>
      <c r="M52" s="229" t="s">
        <v>4763</v>
      </c>
      <c r="O52" s="102">
        <v>1.0</v>
      </c>
      <c r="P52" s="102" t="s">
        <v>435</v>
      </c>
      <c r="T52" s="102">
        <v>7200.0</v>
      </c>
      <c r="U52" s="102" t="str">
        <f>IF(ISNUMBER(MATCH(B52, 'Sprint 17'!B:B, 0)), "มาจาก Sprint 17", "")</f>
        <v/>
      </c>
      <c r="V52" s="102" t="str">
        <f t="array" ref="V52">IF(ISNUMBER(MATCH(B52, 'Sprint 17'!B:B, 0)), INDEX('Sprint 17'!J:J, MATCH(B52, 'Sprint 17'!B:B, 0)), "")</f>
        <v/>
      </c>
      <c r="W52" s="102"/>
      <c r="X52" s="102" t="s">
        <v>1991</v>
      </c>
    </row>
    <row r="53">
      <c r="A53" s="102" t="s">
        <v>310</v>
      </c>
      <c r="B53" s="102" t="s">
        <v>2085</v>
      </c>
      <c r="C53" s="229" t="s">
        <v>2086</v>
      </c>
      <c r="D53" s="102" t="s">
        <v>2087</v>
      </c>
      <c r="E53" s="102" t="s">
        <v>513</v>
      </c>
      <c r="F53" s="102" t="s">
        <v>514</v>
      </c>
      <c r="G53" s="102" t="s">
        <v>282</v>
      </c>
      <c r="H53" s="102" t="s">
        <v>283</v>
      </c>
      <c r="I53" s="102" t="s">
        <v>284</v>
      </c>
      <c r="J53" s="102" t="s">
        <v>34</v>
      </c>
      <c r="L53" s="229" t="s">
        <v>2088</v>
      </c>
      <c r="M53" s="229" t="s">
        <v>4763</v>
      </c>
      <c r="O53" s="102">
        <v>1.0</v>
      </c>
      <c r="P53" s="102" t="s">
        <v>435</v>
      </c>
      <c r="T53" s="230"/>
      <c r="U53" s="102" t="str">
        <f>IF(ISNUMBER(MATCH(B53, 'Sprint 17'!B:B, 0)), "มาจาก Sprint 17", "")</f>
        <v/>
      </c>
      <c r="V53" s="102" t="str">
        <f t="array" ref="V53">IF(ISNUMBER(MATCH(B53, 'Sprint 17'!B:B, 0)), INDEX('Sprint 17'!J:J, MATCH(B53, 'Sprint 17'!B:B, 0)), "")</f>
        <v/>
      </c>
      <c r="X53" s="102" t="s">
        <v>1991</v>
      </c>
    </row>
    <row r="54">
      <c r="A54" s="102" t="s">
        <v>310</v>
      </c>
      <c r="B54" s="102" t="s">
        <v>2090</v>
      </c>
      <c r="C54" s="229" t="s">
        <v>2091</v>
      </c>
      <c r="D54" s="102" t="s">
        <v>2092</v>
      </c>
      <c r="E54" s="102" t="s">
        <v>513</v>
      </c>
      <c r="F54" s="102" t="s">
        <v>514</v>
      </c>
      <c r="G54" s="102" t="s">
        <v>282</v>
      </c>
      <c r="H54" s="102" t="s">
        <v>283</v>
      </c>
      <c r="I54" s="102" t="s">
        <v>284</v>
      </c>
      <c r="J54" s="102" t="s">
        <v>678</v>
      </c>
      <c r="L54" s="229" t="s">
        <v>2088</v>
      </c>
      <c r="M54" s="229" t="s">
        <v>4763</v>
      </c>
      <c r="O54" s="102">
        <v>1.0</v>
      </c>
      <c r="P54" s="102" t="s">
        <v>435</v>
      </c>
      <c r="T54" s="102">
        <v>7200.0</v>
      </c>
      <c r="U54" s="102" t="str">
        <f>IF(ISNUMBER(MATCH(B54, 'Sprint 17'!B:B, 0)), "มาจาก Sprint 17", "")</f>
        <v/>
      </c>
      <c r="V54" s="102" t="str">
        <f t="array" ref="V54">IF(ISNUMBER(MATCH(B54, 'Sprint 17'!B:B, 0)), INDEX('Sprint 17'!J:J, MATCH(B54, 'Sprint 17'!B:B, 0)), "")</f>
        <v/>
      </c>
      <c r="W54" s="102"/>
      <c r="X54" s="102" t="s">
        <v>1991</v>
      </c>
    </row>
    <row r="55">
      <c r="A55" s="102" t="s">
        <v>310</v>
      </c>
      <c r="B55" s="102" t="s">
        <v>2093</v>
      </c>
      <c r="C55" s="229" t="s">
        <v>2094</v>
      </c>
      <c r="D55" s="102" t="s">
        <v>2095</v>
      </c>
      <c r="E55" s="102" t="s">
        <v>513</v>
      </c>
      <c r="F55" s="102" t="s">
        <v>514</v>
      </c>
      <c r="G55" s="102" t="s">
        <v>282</v>
      </c>
      <c r="H55" s="102" t="s">
        <v>283</v>
      </c>
      <c r="I55" s="102" t="s">
        <v>284</v>
      </c>
      <c r="J55" s="102" t="s">
        <v>678</v>
      </c>
      <c r="L55" s="229" t="s">
        <v>2088</v>
      </c>
      <c r="M55" s="229" t="s">
        <v>4705</v>
      </c>
      <c r="N55" s="229" t="s">
        <v>2096</v>
      </c>
      <c r="O55" s="102">
        <v>2.0</v>
      </c>
      <c r="P55" s="102" t="s">
        <v>435</v>
      </c>
      <c r="T55" s="102">
        <v>14400.0</v>
      </c>
      <c r="U55" s="102" t="str">
        <f>IF(ISNUMBER(MATCH(B55, 'Sprint 17'!B:B, 0)), "มาจาก Sprint 17", "")</f>
        <v/>
      </c>
      <c r="V55" s="102" t="str">
        <f t="array" ref="V55">IF(ISNUMBER(MATCH(B55, 'Sprint 17'!B:B, 0)), INDEX('Sprint 17'!J:J, MATCH(B55, 'Sprint 17'!B:B, 0)), "")</f>
        <v/>
      </c>
      <c r="W55" s="102"/>
      <c r="X55" s="102" t="s">
        <v>1991</v>
      </c>
    </row>
    <row r="56">
      <c r="A56" s="102" t="s">
        <v>332</v>
      </c>
      <c r="B56" s="102" t="s">
        <v>4764</v>
      </c>
      <c r="C56" s="229" t="s">
        <v>4765</v>
      </c>
      <c r="D56" s="102" t="s">
        <v>4766</v>
      </c>
      <c r="E56" s="102" t="s">
        <v>314</v>
      </c>
      <c r="F56" s="102" t="s">
        <v>315</v>
      </c>
      <c r="G56" s="102" t="s">
        <v>316</v>
      </c>
      <c r="H56" s="102" t="s">
        <v>317</v>
      </c>
      <c r="I56" s="102" t="s">
        <v>284</v>
      </c>
      <c r="J56" s="102" t="s">
        <v>759</v>
      </c>
      <c r="L56" s="229" t="s">
        <v>4767</v>
      </c>
      <c r="M56" s="229" t="s">
        <v>4768</v>
      </c>
      <c r="O56" s="102">
        <v>1.0</v>
      </c>
      <c r="P56" s="102" t="s">
        <v>4769</v>
      </c>
      <c r="Q56" s="102" t="s">
        <v>4770</v>
      </c>
      <c r="T56" s="230"/>
      <c r="U56" s="102" t="str">
        <f>IF(ISNUMBER(MATCH(B56, 'Sprint 17'!B:B, 0)), "มาจาก Sprint 17", "")</f>
        <v/>
      </c>
      <c r="V56" s="102" t="str">
        <f t="array" ref="V56">IF(ISNUMBER(MATCH(B56, 'Sprint 17'!B:B, 0)), INDEX('Sprint 17'!J:J, MATCH(B56, 'Sprint 17'!B:B, 0)), "")</f>
        <v/>
      </c>
      <c r="X56" s="102" t="s">
        <v>4150</v>
      </c>
    </row>
    <row r="57">
      <c r="A57" s="102" t="s">
        <v>310</v>
      </c>
      <c r="B57" s="102" t="s">
        <v>4771</v>
      </c>
      <c r="C57" s="229" t="s">
        <v>4772</v>
      </c>
      <c r="D57" s="102" t="s">
        <v>4773</v>
      </c>
      <c r="E57" s="102" t="s">
        <v>314</v>
      </c>
      <c r="F57" s="102" t="s">
        <v>315</v>
      </c>
      <c r="G57" s="102" t="s">
        <v>316</v>
      </c>
      <c r="H57" s="102" t="s">
        <v>317</v>
      </c>
      <c r="I57" s="102" t="s">
        <v>284</v>
      </c>
      <c r="J57" s="102" t="s">
        <v>26</v>
      </c>
      <c r="L57" s="229" t="s">
        <v>4774</v>
      </c>
      <c r="M57" s="229" t="s">
        <v>4775</v>
      </c>
      <c r="O57" s="102">
        <v>1.0</v>
      </c>
      <c r="T57" s="102">
        <v>1800.0</v>
      </c>
      <c r="U57" s="102" t="str">
        <f>IF(ISNUMBER(MATCH(B57, 'Sprint 17'!B:B, 0)), "มาจาก Sprint 17", "")</f>
        <v/>
      </c>
      <c r="V57" s="102" t="str">
        <f t="array" ref="V57">IF(ISNUMBER(MATCH(B57, 'Sprint 17'!B:B, 0)), INDEX('Sprint 17'!J:J, MATCH(B57, 'Sprint 17'!B:B, 0)), "")</f>
        <v/>
      </c>
      <c r="W57" s="102"/>
      <c r="X57" s="102" t="s">
        <v>4150</v>
      </c>
    </row>
    <row r="58">
      <c r="A58" s="102" t="s">
        <v>332</v>
      </c>
      <c r="B58" s="102" t="s">
        <v>4144</v>
      </c>
      <c r="C58" s="229" t="s">
        <v>4145</v>
      </c>
      <c r="D58" s="102" t="s">
        <v>4146</v>
      </c>
      <c r="E58" s="102" t="s">
        <v>282</v>
      </c>
      <c r="F58" s="102" t="s">
        <v>283</v>
      </c>
      <c r="G58" s="102" t="s">
        <v>316</v>
      </c>
      <c r="H58" s="102" t="s">
        <v>317</v>
      </c>
      <c r="I58" s="102" t="s">
        <v>284</v>
      </c>
      <c r="J58" s="102" t="s">
        <v>1075</v>
      </c>
      <c r="L58" s="229" t="s">
        <v>4147</v>
      </c>
      <c r="M58" s="229" t="s">
        <v>4776</v>
      </c>
      <c r="N58" s="229" t="s">
        <v>4148</v>
      </c>
      <c r="O58" s="230"/>
      <c r="P58" s="102" t="s">
        <v>4149</v>
      </c>
      <c r="T58" s="230"/>
      <c r="U58" s="102" t="str">
        <f>IF(ISNUMBER(MATCH(B58, 'Sprint 17'!B:B, 0)), "มาจาก Sprint 17", "")</f>
        <v/>
      </c>
      <c r="V58" s="102" t="str">
        <f t="array" ref="V58">IF(ISNUMBER(MATCH(B58, 'Sprint 17'!B:B, 0)), INDEX('Sprint 17'!J:J, MATCH(B58, 'Sprint 17'!B:B, 0)), "")</f>
        <v/>
      </c>
      <c r="X58" s="102" t="s">
        <v>4150</v>
      </c>
    </row>
    <row r="59">
      <c r="A59" s="102" t="s">
        <v>310</v>
      </c>
      <c r="B59" s="102" t="s">
        <v>4777</v>
      </c>
      <c r="C59" s="229" t="s">
        <v>4778</v>
      </c>
      <c r="D59" s="102" t="s">
        <v>4779</v>
      </c>
      <c r="E59" s="102" t="s">
        <v>314</v>
      </c>
      <c r="F59" s="102" t="s">
        <v>315</v>
      </c>
      <c r="G59" s="102" t="s">
        <v>362</v>
      </c>
      <c r="H59" s="102" t="s">
        <v>363</v>
      </c>
      <c r="I59" s="102" t="s">
        <v>284</v>
      </c>
      <c r="J59" s="102" t="s">
        <v>26</v>
      </c>
      <c r="L59" s="229" t="s">
        <v>4780</v>
      </c>
      <c r="M59" s="229" t="s">
        <v>4775</v>
      </c>
      <c r="O59" s="102">
        <v>1.0</v>
      </c>
      <c r="T59" s="102">
        <v>1800.0</v>
      </c>
      <c r="U59" s="102" t="str">
        <f>IF(ISNUMBER(MATCH(B59, 'Sprint 17'!B:B, 0)), "มาจาก Sprint 17", "")</f>
        <v/>
      </c>
      <c r="V59" s="102" t="str">
        <f t="array" ref="V59">IF(ISNUMBER(MATCH(B59, 'Sprint 17'!B:B, 0)), INDEX('Sprint 17'!J:J, MATCH(B59, 'Sprint 17'!B:B, 0)), "")</f>
        <v/>
      </c>
      <c r="W59" s="102"/>
      <c r="X59" s="102" t="s">
        <v>4150</v>
      </c>
    </row>
    <row r="60">
      <c r="A60" s="102" t="s">
        <v>310</v>
      </c>
      <c r="B60" s="102" t="s">
        <v>4157</v>
      </c>
      <c r="C60" s="229" t="s">
        <v>4158</v>
      </c>
      <c r="D60" s="102" t="s">
        <v>4159</v>
      </c>
      <c r="E60" s="102" t="s">
        <v>584</v>
      </c>
      <c r="F60" s="102" t="s">
        <v>585</v>
      </c>
      <c r="G60" s="102" t="s">
        <v>353</v>
      </c>
      <c r="H60" s="102" t="s">
        <v>354</v>
      </c>
      <c r="I60" s="102" t="s">
        <v>284</v>
      </c>
      <c r="J60" s="102" t="s">
        <v>678</v>
      </c>
      <c r="L60" s="229" t="s">
        <v>4160</v>
      </c>
      <c r="M60" s="229" t="s">
        <v>4781</v>
      </c>
      <c r="O60" s="230"/>
      <c r="T60" s="230"/>
      <c r="U60" s="102" t="str">
        <f>IF(ISNUMBER(MATCH(B60, 'Sprint 17'!B:B, 0)), "มาจาก Sprint 17", "")</f>
        <v/>
      </c>
      <c r="V60" s="102" t="str">
        <f t="array" ref="V60">IF(ISNUMBER(MATCH(B60, 'Sprint 17'!B:B, 0)), INDEX('Sprint 17'!J:J, MATCH(B60, 'Sprint 17'!B:B, 0)), "")</f>
        <v/>
      </c>
      <c r="X60" s="102" t="s">
        <v>3035</v>
      </c>
      <c r="Y60" s="102" t="s">
        <v>3036</v>
      </c>
    </row>
    <row r="61">
      <c r="A61" s="102" t="s">
        <v>310</v>
      </c>
      <c r="B61" s="102" t="s">
        <v>2156</v>
      </c>
      <c r="C61" s="229" t="s">
        <v>2157</v>
      </c>
      <c r="D61" s="102" t="s">
        <v>2158</v>
      </c>
      <c r="E61" s="102" t="s">
        <v>556</v>
      </c>
      <c r="F61" s="102" t="s">
        <v>557</v>
      </c>
      <c r="G61" s="102" t="s">
        <v>282</v>
      </c>
      <c r="H61" s="102" t="s">
        <v>283</v>
      </c>
      <c r="I61" s="102" t="s">
        <v>648</v>
      </c>
      <c r="J61" s="102" t="s">
        <v>34</v>
      </c>
      <c r="L61" s="229" t="s">
        <v>2159</v>
      </c>
      <c r="M61" s="229" t="s">
        <v>4782</v>
      </c>
      <c r="O61" s="102">
        <v>5.0</v>
      </c>
      <c r="P61" s="102" t="s">
        <v>593</v>
      </c>
      <c r="Q61" s="102" t="s">
        <v>435</v>
      </c>
      <c r="T61" s="102">
        <v>57600.0</v>
      </c>
      <c r="U61" s="102" t="str">
        <f>IF(ISNUMBER(MATCH(B61, 'Sprint 17'!B:B, 0)), "มาจาก Sprint 17", "")</f>
        <v/>
      </c>
      <c r="V61" s="102" t="str">
        <f t="array" ref="V61">IF(ISNUMBER(MATCH(B61, 'Sprint 17'!B:B, 0)), INDEX('Sprint 17'!J:J, MATCH(B61, 'Sprint 17'!B:B, 0)), "")</f>
        <v/>
      </c>
      <c r="W61" s="102"/>
      <c r="X61" s="102" t="s">
        <v>1991</v>
      </c>
    </row>
    <row r="62">
      <c r="A62" s="102" t="s">
        <v>310</v>
      </c>
      <c r="B62" s="102" t="s">
        <v>4166</v>
      </c>
      <c r="C62" s="229" t="s">
        <v>4167</v>
      </c>
      <c r="D62" s="102" t="s">
        <v>4168</v>
      </c>
      <c r="E62" s="102" t="s">
        <v>556</v>
      </c>
      <c r="F62" s="102" t="s">
        <v>557</v>
      </c>
      <c r="G62" s="102" t="s">
        <v>282</v>
      </c>
      <c r="H62" s="102" t="s">
        <v>283</v>
      </c>
      <c r="I62" s="102" t="s">
        <v>284</v>
      </c>
      <c r="J62" s="102" t="s">
        <v>678</v>
      </c>
      <c r="L62" s="229" t="s">
        <v>2159</v>
      </c>
      <c r="M62" s="229" t="s">
        <v>4705</v>
      </c>
      <c r="O62" s="102">
        <v>2.0</v>
      </c>
      <c r="P62" s="102" t="s">
        <v>435</v>
      </c>
      <c r="T62" s="102">
        <v>14400.0</v>
      </c>
      <c r="U62" s="102" t="str">
        <f>IF(ISNUMBER(MATCH(B62, 'Sprint 17'!B:B, 0)), "มาจาก Sprint 17", "")</f>
        <v/>
      </c>
      <c r="V62" s="102" t="str">
        <f t="array" ref="V62">IF(ISNUMBER(MATCH(B62, 'Sprint 17'!B:B, 0)), INDEX('Sprint 17'!J:J, MATCH(B62, 'Sprint 17'!B:B, 0)), "")</f>
        <v/>
      </c>
      <c r="W62" s="102"/>
      <c r="X62" s="102" t="s">
        <v>1991</v>
      </c>
    </row>
    <row r="63">
      <c r="A63" s="102" t="s">
        <v>310</v>
      </c>
      <c r="B63" s="102" t="s">
        <v>4169</v>
      </c>
      <c r="C63" s="229" t="s">
        <v>4170</v>
      </c>
      <c r="D63" s="102" t="s">
        <v>4171</v>
      </c>
      <c r="E63" s="102" t="s">
        <v>556</v>
      </c>
      <c r="F63" s="102" t="s">
        <v>557</v>
      </c>
      <c r="G63" s="102" t="s">
        <v>282</v>
      </c>
      <c r="H63" s="102" t="s">
        <v>283</v>
      </c>
      <c r="I63" s="102" t="s">
        <v>284</v>
      </c>
      <c r="J63" s="102" t="s">
        <v>678</v>
      </c>
      <c r="L63" s="229" t="s">
        <v>2159</v>
      </c>
      <c r="M63" s="229" t="s">
        <v>4705</v>
      </c>
      <c r="O63" s="102">
        <v>2.0</v>
      </c>
      <c r="P63" s="102" t="s">
        <v>435</v>
      </c>
      <c r="T63" s="102">
        <v>14400.0</v>
      </c>
      <c r="U63" s="102" t="str">
        <f>IF(ISNUMBER(MATCH(B63, 'Sprint 17'!B:B, 0)), "มาจาก Sprint 17", "")</f>
        <v/>
      </c>
      <c r="V63" s="102" t="str">
        <f t="array" ref="V63">IF(ISNUMBER(MATCH(B63, 'Sprint 17'!B:B, 0)), INDEX('Sprint 17'!J:J, MATCH(B63, 'Sprint 17'!B:B, 0)), "")</f>
        <v/>
      </c>
      <c r="W63" s="102"/>
      <c r="X63" s="102" t="s">
        <v>1991</v>
      </c>
    </row>
    <row r="64">
      <c r="A64" s="102" t="s">
        <v>310</v>
      </c>
      <c r="B64" s="102" t="s">
        <v>4172</v>
      </c>
      <c r="C64" s="229" t="s">
        <v>4173</v>
      </c>
      <c r="D64" s="102" t="s">
        <v>4174</v>
      </c>
      <c r="E64" s="102" t="s">
        <v>556</v>
      </c>
      <c r="F64" s="102" t="s">
        <v>557</v>
      </c>
      <c r="G64" s="102" t="s">
        <v>282</v>
      </c>
      <c r="H64" s="102" t="s">
        <v>283</v>
      </c>
      <c r="I64" s="102" t="s">
        <v>284</v>
      </c>
      <c r="J64" s="102" t="s">
        <v>678</v>
      </c>
      <c r="L64" s="229" t="s">
        <v>4175</v>
      </c>
      <c r="M64" s="229" t="s">
        <v>4705</v>
      </c>
      <c r="N64" s="229" t="s">
        <v>2165</v>
      </c>
      <c r="O64" s="102">
        <v>1.0</v>
      </c>
      <c r="P64" s="102" t="s">
        <v>435</v>
      </c>
      <c r="T64" s="102">
        <v>7200.0</v>
      </c>
      <c r="U64" s="102" t="str">
        <f>IF(ISNUMBER(MATCH(B64, 'Sprint 17'!B:B, 0)), "มาจาก Sprint 17", "")</f>
        <v/>
      </c>
      <c r="V64" s="102" t="str">
        <f t="array" ref="V64">IF(ISNUMBER(MATCH(B64, 'Sprint 17'!B:B, 0)), INDEX('Sprint 17'!J:J, MATCH(B64, 'Sprint 17'!B:B, 0)), "")</f>
        <v/>
      </c>
      <c r="W64" s="102"/>
      <c r="X64" s="102" t="s">
        <v>1991</v>
      </c>
    </row>
    <row r="65">
      <c r="A65" s="102" t="s">
        <v>310</v>
      </c>
      <c r="B65" s="102" t="s">
        <v>4176</v>
      </c>
      <c r="C65" s="229" t="s">
        <v>4177</v>
      </c>
      <c r="D65" s="102" t="s">
        <v>4178</v>
      </c>
      <c r="E65" s="102" t="s">
        <v>556</v>
      </c>
      <c r="F65" s="102" t="s">
        <v>557</v>
      </c>
      <c r="G65" s="102" t="s">
        <v>282</v>
      </c>
      <c r="H65" s="102" t="s">
        <v>283</v>
      </c>
      <c r="I65" s="102" t="s">
        <v>284</v>
      </c>
      <c r="J65" s="102" t="s">
        <v>678</v>
      </c>
      <c r="L65" s="229" t="s">
        <v>2164</v>
      </c>
      <c r="M65" s="229" t="s">
        <v>4705</v>
      </c>
      <c r="O65" s="102">
        <v>1.0</v>
      </c>
      <c r="P65" s="102" t="s">
        <v>435</v>
      </c>
      <c r="T65" s="102">
        <v>7200.0</v>
      </c>
      <c r="U65" s="102" t="str">
        <f>IF(ISNUMBER(MATCH(B65, 'Sprint 17'!B:B, 0)), "มาจาก Sprint 17", "")</f>
        <v/>
      </c>
      <c r="V65" s="102" t="str">
        <f t="array" ref="V65">IF(ISNUMBER(MATCH(B65, 'Sprint 17'!B:B, 0)), INDEX('Sprint 17'!J:J, MATCH(B65, 'Sprint 17'!B:B, 0)), "")</f>
        <v/>
      </c>
      <c r="W65" s="102"/>
      <c r="X65" s="102" t="s">
        <v>1991</v>
      </c>
    </row>
    <row r="66">
      <c r="A66" s="102" t="s">
        <v>310</v>
      </c>
      <c r="B66" s="102" t="s">
        <v>4179</v>
      </c>
      <c r="C66" s="229" t="s">
        <v>4180</v>
      </c>
      <c r="D66" s="102" t="s">
        <v>4181</v>
      </c>
      <c r="E66" s="102" t="s">
        <v>556</v>
      </c>
      <c r="F66" s="102" t="s">
        <v>557</v>
      </c>
      <c r="G66" s="102" t="s">
        <v>282</v>
      </c>
      <c r="H66" s="102" t="s">
        <v>283</v>
      </c>
      <c r="I66" s="102" t="s">
        <v>284</v>
      </c>
      <c r="J66" s="102" t="s">
        <v>355</v>
      </c>
      <c r="L66" s="229" t="s">
        <v>2164</v>
      </c>
      <c r="M66" s="229" t="s">
        <v>4763</v>
      </c>
      <c r="O66" s="102">
        <v>2.0</v>
      </c>
      <c r="P66" s="102" t="s">
        <v>435</v>
      </c>
      <c r="T66" s="230"/>
      <c r="U66" s="102" t="str">
        <f>IF(ISNUMBER(MATCH(B66, 'Sprint 17'!B:B, 0)), "มาจาก Sprint 17", "")</f>
        <v/>
      </c>
      <c r="V66" s="102" t="str">
        <f t="array" ref="V66">IF(ISNUMBER(MATCH(B66, 'Sprint 17'!B:B, 0)), INDEX('Sprint 17'!J:J, MATCH(B66, 'Sprint 17'!B:B, 0)), "")</f>
        <v/>
      </c>
      <c r="X66" s="102" t="s">
        <v>1991</v>
      </c>
    </row>
    <row r="67">
      <c r="A67" s="102" t="s">
        <v>310</v>
      </c>
      <c r="B67" s="102" t="s">
        <v>2161</v>
      </c>
      <c r="C67" s="229" t="s">
        <v>2162</v>
      </c>
      <c r="D67" s="102" t="s">
        <v>2163</v>
      </c>
      <c r="E67" s="102" t="s">
        <v>556</v>
      </c>
      <c r="F67" s="102" t="s">
        <v>557</v>
      </c>
      <c r="G67" s="102" t="s">
        <v>282</v>
      </c>
      <c r="H67" s="102" t="s">
        <v>283</v>
      </c>
      <c r="I67" s="102" t="s">
        <v>284</v>
      </c>
      <c r="J67" s="102" t="s">
        <v>678</v>
      </c>
      <c r="L67" s="229" t="s">
        <v>2164</v>
      </c>
      <c r="M67" s="229" t="s">
        <v>4705</v>
      </c>
      <c r="N67" s="229" t="s">
        <v>2165</v>
      </c>
      <c r="O67" s="102">
        <v>1.0</v>
      </c>
      <c r="P67" s="102" t="s">
        <v>435</v>
      </c>
      <c r="T67" s="102">
        <v>7200.0</v>
      </c>
      <c r="U67" s="102" t="str">
        <f>IF(ISNUMBER(MATCH(B67, 'Sprint 17'!B:B, 0)), "มาจาก Sprint 17", "")</f>
        <v/>
      </c>
      <c r="V67" s="102" t="str">
        <f t="array" ref="V67">IF(ISNUMBER(MATCH(B67, 'Sprint 17'!B:B, 0)), INDEX('Sprint 17'!J:J, MATCH(B67, 'Sprint 17'!B:B, 0)), "")</f>
        <v/>
      </c>
      <c r="W67" s="102"/>
      <c r="X67" s="102" t="s">
        <v>1991</v>
      </c>
    </row>
    <row r="68">
      <c r="A68" s="102" t="s">
        <v>310</v>
      </c>
      <c r="B68" s="102" t="s">
        <v>4185</v>
      </c>
      <c r="C68" s="229" t="s">
        <v>4186</v>
      </c>
      <c r="D68" s="102" t="s">
        <v>4187</v>
      </c>
      <c r="E68" s="102" t="s">
        <v>495</v>
      </c>
      <c r="F68" s="102" t="s">
        <v>496</v>
      </c>
      <c r="G68" s="102" t="s">
        <v>282</v>
      </c>
      <c r="H68" s="102" t="s">
        <v>283</v>
      </c>
      <c r="I68" s="102" t="s">
        <v>284</v>
      </c>
      <c r="J68" s="102" t="s">
        <v>678</v>
      </c>
      <c r="L68" s="229" t="s">
        <v>4188</v>
      </c>
      <c r="M68" s="229" t="s">
        <v>4705</v>
      </c>
      <c r="O68" s="102">
        <v>1.0</v>
      </c>
      <c r="P68" s="102" t="s">
        <v>435</v>
      </c>
      <c r="T68" s="102">
        <v>0.0</v>
      </c>
      <c r="U68" s="102" t="str">
        <f>IF(ISNUMBER(MATCH(B68, 'Sprint 17'!B:B, 0)), "มาจาก Sprint 17", "")</f>
        <v>มาจาก Sprint 17</v>
      </c>
      <c r="V68" s="102" t="str">
        <f t="array" ref="V68">IF(ISNUMBER(MATCH(B68, 'Sprint 17'!B:B, 0)), INDEX('Sprint 17'!J:J, MATCH(B68, 'Sprint 17'!B:B, 0)), "")</f>
        <v>Ready to Staging</v>
      </c>
      <c r="W68" s="229" t="s">
        <v>4783</v>
      </c>
      <c r="X68" s="102" t="s">
        <v>3557</v>
      </c>
      <c r="Y68" s="102" t="s">
        <v>1991</v>
      </c>
    </row>
    <row r="69">
      <c r="A69" s="102" t="s">
        <v>310</v>
      </c>
      <c r="B69" s="102" t="s">
        <v>4189</v>
      </c>
      <c r="C69" s="229" t="s">
        <v>4190</v>
      </c>
      <c r="D69" s="102" t="s">
        <v>4191</v>
      </c>
      <c r="E69" s="102" t="s">
        <v>495</v>
      </c>
      <c r="F69" s="102" t="s">
        <v>496</v>
      </c>
      <c r="G69" s="102" t="s">
        <v>282</v>
      </c>
      <c r="H69" s="102" t="s">
        <v>283</v>
      </c>
      <c r="I69" s="102" t="s">
        <v>284</v>
      </c>
      <c r="J69" s="102" t="s">
        <v>678</v>
      </c>
      <c r="L69" s="229" t="s">
        <v>4192</v>
      </c>
      <c r="M69" s="229" t="s">
        <v>4705</v>
      </c>
      <c r="O69" s="102">
        <v>1.0</v>
      </c>
      <c r="P69" s="102" t="s">
        <v>435</v>
      </c>
      <c r="T69" s="102">
        <v>0.0</v>
      </c>
      <c r="U69" s="102" t="str">
        <f>IF(ISNUMBER(MATCH(B69, 'Sprint 17'!B:B, 0)), "มาจาก Sprint 17", "")</f>
        <v>มาจาก Sprint 17</v>
      </c>
      <c r="V69" s="102" t="str">
        <f t="array" ref="V69">IF(ISNUMBER(MATCH(B69, 'Sprint 17'!B:B, 0)), INDEX('Sprint 17'!J:J, MATCH(B69, 'Sprint 17'!B:B, 0)), "")</f>
        <v>Ready to Staging</v>
      </c>
      <c r="W69" s="229" t="s">
        <v>4783</v>
      </c>
      <c r="X69" s="102" t="s">
        <v>3557</v>
      </c>
      <c r="Y69" s="102" t="s">
        <v>1991</v>
      </c>
    </row>
    <row r="70">
      <c r="A70" s="102" t="s">
        <v>310</v>
      </c>
      <c r="B70" s="102" t="s">
        <v>4193</v>
      </c>
      <c r="C70" s="229" t="s">
        <v>4194</v>
      </c>
      <c r="D70" s="102" t="s">
        <v>4195</v>
      </c>
      <c r="E70" s="102" t="s">
        <v>556</v>
      </c>
      <c r="F70" s="102" t="s">
        <v>557</v>
      </c>
      <c r="G70" s="102" t="s">
        <v>282</v>
      </c>
      <c r="H70" s="102" t="s">
        <v>283</v>
      </c>
      <c r="I70" s="102" t="s">
        <v>284</v>
      </c>
      <c r="J70" s="102" t="s">
        <v>678</v>
      </c>
      <c r="L70" s="229" t="s">
        <v>4192</v>
      </c>
      <c r="M70" s="229" t="s">
        <v>4705</v>
      </c>
      <c r="N70" s="229" t="s">
        <v>4196</v>
      </c>
      <c r="O70" s="102">
        <v>2.0</v>
      </c>
      <c r="P70" s="102" t="s">
        <v>435</v>
      </c>
      <c r="T70" s="102">
        <v>14400.0</v>
      </c>
      <c r="U70" s="102" t="str">
        <f>IF(ISNUMBER(MATCH(B70, 'Sprint 17'!B:B, 0)), "มาจาก Sprint 17", "")</f>
        <v>มาจาก Sprint 17</v>
      </c>
      <c r="V70" s="102" t="str">
        <f t="array" ref="V70">IF(ISNUMBER(MATCH(B70, 'Sprint 17'!B:B, 0)), INDEX('Sprint 17'!J:J, MATCH(B70, 'Sprint 17'!B:B, 0)), "")</f>
        <v>To Do</v>
      </c>
      <c r="W70" s="102"/>
      <c r="X70" s="102" t="s">
        <v>3557</v>
      </c>
      <c r="Y70" s="102" t="s">
        <v>1991</v>
      </c>
    </row>
    <row r="71">
      <c r="A71" s="102" t="s">
        <v>310</v>
      </c>
      <c r="B71" s="102" t="s">
        <v>4197</v>
      </c>
      <c r="C71" s="229" t="s">
        <v>4198</v>
      </c>
      <c r="D71" s="102" t="s">
        <v>4199</v>
      </c>
      <c r="E71" s="102" t="s">
        <v>556</v>
      </c>
      <c r="F71" s="102" t="s">
        <v>557</v>
      </c>
      <c r="G71" s="102" t="s">
        <v>282</v>
      </c>
      <c r="H71" s="102" t="s">
        <v>283</v>
      </c>
      <c r="I71" s="102" t="s">
        <v>284</v>
      </c>
      <c r="J71" s="102" t="s">
        <v>678</v>
      </c>
      <c r="L71" s="229" t="s">
        <v>4192</v>
      </c>
      <c r="M71" s="229" t="s">
        <v>4705</v>
      </c>
      <c r="O71" s="102">
        <v>2.0</v>
      </c>
      <c r="P71" s="102" t="s">
        <v>435</v>
      </c>
      <c r="T71" s="102">
        <v>14400.0</v>
      </c>
      <c r="U71" s="102" t="str">
        <f>IF(ISNUMBER(MATCH(B71, 'Sprint 17'!B:B, 0)), "มาจาก Sprint 17", "")</f>
        <v/>
      </c>
      <c r="V71" s="102" t="str">
        <f t="array" ref="V71">IF(ISNUMBER(MATCH(B71, 'Sprint 17'!B:B, 0)), INDEX('Sprint 17'!J:J, MATCH(B71, 'Sprint 17'!B:B, 0)), "")</f>
        <v/>
      </c>
      <c r="W71" s="102"/>
      <c r="X71" s="102" t="s">
        <v>1991</v>
      </c>
    </row>
    <row r="72">
      <c r="A72" s="102" t="s">
        <v>310</v>
      </c>
      <c r="B72" s="102" t="s">
        <v>4201</v>
      </c>
      <c r="C72" s="229" t="s">
        <v>4202</v>
      </c>
      <c r="D72" s="102" t="s">
        <v>4203</v>
      </c>
      <c r="E72" s="102" t="s">
        <v>556</v>
      </c>
      <c r="F72" s="102" t="s">
        <v>557</v>
      </c>
      <c r="G72" s="102" t="s">
        <v>282</v>
      </c>
      <c r="H72" s="102" t="s">
        <v>283</v>
      </c>
      <c r="I72" s="102" t="s">
        <v>284</v>
      </c>
      <c r="J72" s="102" t="s">
        <v>678</v>
      </c>
      <c r="L72" s="229" t="s">
        <v>4192</v>
      </c>
      <c r="M72" s="229" t="s">
        <v>4705</v>
      </c>
      <c r="O72" s="102">
        <v>2.0</v>
      </c>
      <c r="P72" s="102" t="s">
        <v>435</v>
      </c>
      <c r="T72" s="102">
        <v>14400.0</v>
      </c>
      <c r="U72" s="102" t="str">
        <f>IF(ISNUMBER(MATCH(B72, 'Sprint 17'!B:B, 0)), "มาจาก Sprint 17", "")</f>
        <v/>
      </c>
      <c r="V72" s="102" t="str">
        <f t="array" ref="V72">IF(ISNUMBER(MATCH(B72, 'Sprint 17'!B:B, 0)), INDEX('Sprint 17'!J:J, MATCH(B72, 'Sprint 17'!B:B, 0)), "")</f>
        <v/>
      </c>
      <c r="W72" s="102"/>
      <c r="X72" s="102" t="s">
        <v>1991</v>
      </c>
    </row>
    <row r="73">
      <c r="A73" s="102" t="s">
        <v>310</v>
      </c>
      <c r="B73" s="102" t="s">
        <v>4204</v>
      </c>
      <c r="C73" s="229" t="s">
        <v>4205</v>
      </c>
      <c r="D73" s="102" t="s">
        <v>4206</v>
      </c>
      <c r="E73" s="102" t="s">
        <v>556</v>
      </c>
      <c r="F73" s="102" t="s">
        <v>557</v>
      </c>
      <c r="G73" s="102" t="s">
        <v>282</v>
      </c>
      <c r="H73" s="102" t="s">
        <v>283</v>
      </c>
      <c r="I73" s="102" t="s">
        <v>284</v>
      </c>
      <c r="J73" s="102" t="s">
        <v>678</v>
      </c>
      <c r="L73" s="229" t="s">
        <v>4207</v>
      </c>
      <c r="M73" s="229" t="s">
        <v>4705</v>
      </c>
      <c r="O73" s="102">
        <v>2.0</v>
      </c>
      <c r="P73" s="102" t="s">
        <v>435</v>
      </c>
      <c r="T73" s="102">
        <v>14400.0</v>
      </c>
      <c r="U73" s="102" t="str">
        <f>IF(ISNUMBER(MATCH(B73, 'Sprint 17'!B:B, 0)), "มาจาก Sprint 17", "")</f>
        <v/>
      </c>
      <c r="V73" s="102" t="str">
        <f t="array" ref="V73">IF(ISNUMBER(MATCH(B73, 'Sprint 17'!B:B, 0)), INDEX('Sprint 17'!J:J, MATCH(B73, 'Sprint 17'!B:B, 0)), "")</f>
        <v/>
      </c>
      <c r="W73" s="102"/>
      <c r="X73" s="102" t="s">
        <v>1991</v>
      </c>
    </row>
    <row r="74">
      <c r="A74" s="102" t="s">
        <v>310</v>
      </c>
      <c r="B74" s="102" t="s">
        <v>4208</v>
      </c>
      <c r="C74" s="229" t="s">
        <v>4209</v>
      </c>
      <c r="D74" s="102" t="s">
        <v>4210</v>
      </c>
      <c r="E74" s="102" t="s">
        <v>495</v>
      </c>
      <c r="F74" s="102" t="s">
        <v>496</v>
      </c>
      <c r="G74" s="102" t="s">
        <v>282</v>
      </c>
      <c r="H74" s="102" t="s">
        <v>283</v>
      </c>
      <c r="I74" s="102" t="s">
        <v>284</v>
      </c>
      <c r="J74" s="102" t="s">
        <v>678</v>
      </c>
      <c r="L74" s="229" t="s">
        <v>4207</v>
      </c>
      <c r="M74" s="229" t="s">
        <v>4705</v>
      </c>
      <c r="O74" s="102">
        <v>2.0</v>
      </c>
      <c r="P74" s="102" t="s">
        <v>435</v>
      </c>
      <c r="T74" s="102">
        <v>3600.0</v>
      </c>
      <c r="U74" s="102" t="str">
        <f>IF(ISNUMBER(MATCH(B74, 'Sprint 17'!B:B, 0)), "มาจาก Sprint 17", "")</f>
        <v/>
      </c>
      <c r="V74" s="102" t="str">
        <f t="array" ref="V74">IF(ISNUMBER(MATCH(B74, 'Sprint 17'!B:B, 0)), INDEX('Sprint 17'!J:J, MATCH(B74, 'Sprint 17'!B:B, 0)), "")</f>
        <v/>
      </c>
      <c r="W74" s="102"/>
      <c r="X74" s="102" t="s">
        <v>1991</v>
      </c>
    </row>
    <row r="75">
      <c r="A75" s="102" t="s">
        <v>310</v>
      </c>
      <c r="B75" s="102" t="s">
        <v>4211</v>
      </c>
      <c r="C75" s="229" t="s">
        <v>4212</v>
      </c>
      <c r="D75" s="102" t="s">
        <v>4213</v>
      </c>
      <c r="E75" s="102" t="s">
        <v>495</v>
      </c>
      <c r="F75" s="102" t="s">
        <v>496</v>
      </c>
      <c r="G75" s="102" t="s">
        <v>282</v>
      </c>
      <c r="H75" s="102" t="s">
        <v>283</v>
      </c>
      <c r="I75" s="102" t="s">
        <v>284</v>
      </c>
      <c r="J75" s="102" t="s">
        <v>678</v>
      </c>
      <c r="L75" s="229" t="s">
        <v>2169</v>
      </c>
      <c r="M75" s="229" t="s">
        <v>4705</v>
      </c>
      <c r="O75" s="102">
        <v>2.0</v>
      </c>
      <c r="P75" s="102" t="s">
        <v>435</v>
      </c>
      <c r="T75" s="102">
        <v>3600.0</v>
      </c>
      <c r="U75" s="102" t="str">
        <f>IF(ISNUMBER(MATCH(B75, 'Sprint 17'!B:B, 0)), "มาจาก Sprint 17", "")</f>
        <v/>
      </c>
      <c r="V75" s="102" t="str">
        <f t="array" ref="V75">IF(ISNUMBER(MATCH(B75, 'Sprint 17'!B:B, 0)), INDEX('Sprint 17'!J:J, MATCH(B75, 'Sprint 17'!B:B, 0)), "")</f>
        <v/>
      </c>
      <c r="W75" s="102"/>
      <c r="X75" s="102" t="s">
        <v>1991</v>
      </c>
    </row>
    <row r="76">
      <c r="A76" s="102" t="s">
        <v>310</v>
      </c>
      <c r="B76" s="102" t="s">
        <v>4784</v>
      </c>
      <c r="C76" s="229" t="s">
        <v>4785</v>
      </c>
      <c r="D76" s="102" t="s">
        <v>4786</v>
      </c>
      <c r="E76" s="102" t="s">
        <v>282</v>
      </c>
      <c r="F76" s="102" t="s">
        <v>283</v>
      </c>
      <c r="G76" s="102" t="s">
        <v>282</v>
      </c>
      <c r="H76" s="102" t="s">
        <v>283</v>
      </c>
      <c r="I76" s="102" t="s">
        <v>318</v>
      </c>
      <c r="J76" s="102" t="s">
        <v>26</v>
      </c>
      <c r="L76" s="229" t="s">
        <v>2169</v>
      </c>
      <c r="M76" s="229" t="s">
        <v>4787</v>
      </c>
      <c r="O76" s="102">
        <v>5.0</v>
      </c>
      <c r="T76" s="230"/>
      <c r="U76" s="102" t="str">
        <f>IF(ISNUMBER(MATCH(B76, 'Sprint 17'!B:B, 0)), "มาจาก Sprint 17", "")</f>
        <v/>
      </c>
      <c r="V76" s="102" t="str">
        <f t="array" ref="V76">IF(ISNUMBER(MATCH(B76, 'Sprint 17'!B:B, 0)), INDEX('Sprint 17'!J:J, MATCH(B76, 'Sprint 17'!B:B, 0)), "")</f>
        <v/>
      </c>
      <c r="X76" s="102" t="s">
        <v>1991</v>
      </c>
    </row>
    <row r="77">
      <c r="A77" s="102" t="s">
        <v>310</v>
      </c>
      <c r="B77" s="102" t="s">
        <v>4788</v>
      </c>
      <c r="C77" s="229" t="s">
        <v>4789</v>
      </c>
      <c r="D77" s="102" t="s">
        <v>4790</v>
      </c>
      <c r="E77" s="102" t="s">
        <v>304</v>
      </c>
      <c r="F77" s="102" t="s">
        <v>305</v>
      </c>
      <c r="G77" s="102" t="s">
        <v>282</v>
      </c>
      <c r="H77" s="102" t="s">
        <v>283</v>
      </c>
      <c r="I77" s="102" t="s">
        <v>318</v>
      </c>
      <c r="J77" s="102" t="s">
        <v>26</v>
      </c>
      <c r="L77" s="229" t="s">
        <v>2169</v>
      </c>
      <c r="M77" s="229" t="s">
        <v>4743</v>
      </c>
      <c r="O77" s="102">
        <v>8.0</v>
      </c>
      <c r="P77" s="102" t="s">
        <v>1730</v>
      </c>
      <c r="Q77" s="102" t="s">
        <v>593</v>
      </c>
      <c r="T77" s="230"/>
      <c r="U77" s="102" t="str">
        <f>IF(ISNUMBER(MATCH(B77, 'Sprint 17'!B:B, 0)), "มาจาก Sprint 17", "")</f>
        <v/>
      </c>
      <c r="V77" s="102" t="str">
        <f t="array" ref="V77">IF(ISNUMBER(MATCH(B77, 'Sprint 17'!B:B, 0)), INDEX('Sprint 17'!J:J, MATCH(B77, 'Sprint 17'!B:B, 0)), "")</f>
        <v/>
      </c>
      <c r="X77" s="102" t="s">
        <v>1991</v>
      </c>
    </row>
    <row r="78">
      <c r="A78" s="102" t="s">
        <v>310</v>
      </c>
      <c r="B78" s="102" t="s">
        <v>3593</v>
      </c>
      <c r="C78" s="229" t="s">
        <v>3594</v>
      </c>
      <c r="D78" s="102" t="s">
        <v>3595</v>
      </c>
      <c r="E78" s="102" t="s">
        <v>495</v>
      </c>
      <c r="F78" s="102" t="s">
        <v>496</v>
      </c>
      <c r="G78" s="102" t="s">
        <v>282</v>
      </c>
      <c r="H78" s="102" t="s">
        <v>283</v>
      </c>
      <c r="I78" s="102" t="s">
        <v>284</v>
      </c>
      <c r="J78" s="102" t="s">
        <v>678</v>
      </c>
      <c r="L78" s="229" t="s">
        <v>2169</v>
      </c>
      <c r="M78" s="229" t="s">
        <v>4705</v>
      </c>
      <c r="O78" s="102">
        <v>2.0</v>
      </c>
      <c r="P78" s="102" t="s">
        <v>435</v>
      </c>
      <c r="T78" s="102">
        <v>7200.0</v>
      </c>
      <c r="U78" s="102" t="str">
        <f>IF(ISNUMBER(MATCH(B78, 'Sprint 17'!B:B, 0)), "มาจาก Sprint 17", "")</f>
        <v/>
      </c>
      <c r="V78" s="102" t="str">
        <f t="array" ref="V78">IF(ISNUMBER(MATCH(B78, 'Sprint 17'!B:B, 0)), INDEX('Sprint 17'!J:J, MATCH(B78, 'Sprint 17'!B:B, 0)), "")</f>
        <v/>
      </c>
      <c r="W78" s="102"/>
      <c r="X78" s="102" t="s">
        <v>1991</v>
      </c>
    </row>
    <row r="79">
      <c r="A79" s="102" t="s">
        <v>310</v>
      </c>
      <c r="B79" s="102" t="s">
        <v>2166</v>
      </c>
      <c r="C79" s="229" t="s">
        <v>2167</v>
      </c>
      <c r="D79" s="102" t="s">
        <v>2168</v>
      </c>
      <c r="E79" s="102" t="s">
        <v>495</v>
      </c>
      <c r="F79" s="102" t="s">
        <v>496</v>
      </c>
      <c r="G79" s="102" t="s">
        <v>282</v>
      </c>
      <c r="H79" s="102" t="s">
        <v>283</v>
      </c>
      <c r="I79" s="102" t="s">
        <v>284</v>
      </c>
      <c r="J79" s="102" t="s">
        <v>678</v>
      </c>
      <c r="L79" s="229" t="s">
        <v>2169</v>
      </c>
      <c r="M79" s="229" t="s">
        <v>4763</v>
      </c>
      <c r="O79" s="102">
        <v>2.0</v>
      </c>
      <c r="P79" s="102" t="s">
        <v>435</v>
      </c>
      <c r="T79" s="102">
        <v>7200.0</v>
      </c>
      <c r="U79" s="102" t="str">
        <f>IF(ISNUMBER(MATCH(B79, 'Sprint 17'!B:B, 0)), "มาจาก Sprint 17", "")</f>
        <v/>
      </c>
      <c r="V79" s="102" t="str">
        <f t="array" ref="V79">IF(ISNUMBER(MATCH(B79, 'Sprint 17'!B:B, 0)), INDEX('Sprint 17'!J:J, MATCH(B79, 'Sprint 17'!B:B, 0)), "")</f>
        <v/>
      </c>
      <c r="W79" s="102"/>
      <c r="X79" s="102" t="s">
        <v>1991</v>
      </c>
    </row>
    <row r="80">
      <c r="A80" s="102" t="s">
        <v>310</v>
      </c>
      <c r="B80" s="102" t="s">
        <v>3596</v>
      </c>
      <c r="C80" s="229" t="s">
        <v>3597</v>
      </c>
      <c r="D80" s="102" t="s">
        <v>3598</v>
      </c>
      <c r="E80" s="102" t="s">
        <v>556</v>
      </c>
      <c r="F80" s="102" t="s">
        <v>557</v>
      </c>
      <c r="G80" s="102" t="s">
        <v>282</v>
      </c>
      <c r="H80" s="102" t="s">
        <v>283</v>
      </c>
      <c r="I80" s="102" t="s">
        <v>284</v>
      </c>
      <c r="J80" s="102" t="s">
        <v>678</v>
      </c>
      <c r="L80" s="229" t="s">
        <v>3599</v>
      </c>
      <c r="M80" s="229" t="s">
        <v>4763</v>
      </c>
      <c r="N80" s="229" t="s">
        <v>3600</v>
      </c>
      <c r="O80" s="102">
        <v>3.0</v>
      </c>
      <c r="P80" s="102" t="s">
        <v>435</v>
      </c>
      <c r="T80" s="102">
        <v>0.0</v>
      </c>
      <c r="U80" s="102" t="str">
        <f>IF(ISNUMBER(MATCH(B80, 'Sprint 17'!B:B, 0)), "มาจาก Sprint 17", "")</f>
        <v>มาจาก Sprint 17</v>
      </c>
      <c r="V80" s="102" t="str">
        <f t="array" ref="V80">IF(ISNUMBER(MATCH(B80, 'Sprint 17'!B:B, 0)), INDEX('Sprint 17'!J:J, MATCH(B80, 'Sprint 17'!B:B, 0)), "")</f>
        <v>In Review</v>
      </c>
      <c r="W80" s="229" t="s">
        <v>4791</v>
      </c>
      <c r="X80" s="102" t="s">
        <v>3557</v>
      </c>
      <c r="Y80" s="102" t="s">
        <v>1991</v>
      </c>
    </row>
    <row r="81">
      <c r="A81" s="102" t="s">
        <v>310</v>
      </c>
      <c r="B81" s="102" t="s">
        <v>3601</v>
      </c>
      <c r="C81" s="229" t="s">
        <v>3602</v>
      </c>
      <c r="D81" s="102" t="s">
        <v>3603</v>
      </c>
      <c r="E81" s="102" t="s">
        <v>513</v>
      </c>
      <c r="F81" s="102" t="s">
        <v>514</v>
      </c>
      <c r="G81" s="102" t="s">
        <v>282</v>
      </c>
      <c r="H81" s="102" t="s">
        <v>283</v>
      </c>
      <c r="I81" s="102" t="s">
        <v>284</v>
      </c>
      <c r="J81" s="102" t="s">
        <v>678</v>
      </c>
      <c r="L81" s="229" t="s">
        <v>3599</v>
      </c>
      <c r="M81" s="229" t="s">
        <v>4763</v>
      </c>
      <c r="N81" s="229" t="s">
        <v>2096</v>
      </c>
      <c r="O81" s="102">
        <v>3.0</v>
      </c>
      <c r="P81" s="102" t="s">
        <v>435</v>
      </c>
      <c r="T81" s="102">
        <v>28800.0</v>
      </c>
      <c r="U81" s="102" t="str">
        <f>IF(ISNUMBER(MATCH(B81, 'Sprint 17'!B:B, 0)), "มาจาก Sprint 17", "")</f>
        <v/>
      </c>
      <c r="V81" s="102" t="str">
        <f t="array" ref="V81">IF(ISNUMBER(MATCH(B81, 'Sprint 17'!B:B, 0)), INDEX('Sprint 17'!J:J, MATCH(B81, 'Sprint 17'!B:B, 0)), "")</f>
        <v/>
      </c>
      <c r="W81" s="102"/>
      <c r="X81" s="102" t="s">
        <v>1991</v>
      </c>
    </row>
    <row r="82">
      <c r="A82" s="102" t="s">
        <v>310</v>
      </c>
      <c r="B82" s="102" t="s">
        <v>3604</v>
      </c>
      <c r="C82" s="229" t="s">
        <v>3605</v>
      </c>
      <c r="D82" s="102" t="s">
        <v>3606</v>
      </c>
      <c r="E82" s="102" t="s">
        <v>513</v>
      </c>
      <c r="F82" s="102" t="s">
        <v>514</v>
      </c>
      <c r="G82" s="102" t="s">
        <v>282</v>
      </c>
      <c r="H82" s="102" t="s">
        <v>283</v>
      </c>
      <c r="I82" s="102" t="s">
        <v>284</v>
      </c>
      <c r="J82" s="102" t="s">
        <v>678</v>
      </c>
      <c r="L82" s="229" t="s">
        <v>3599</v>
      </c>
      <c r="M82" s="229" t="s">
        <v>4763</v>
      </c>
      <c r="N82" s="229" t="s">
        <v>2570</v>
      </c>
      <c r="O82" s="102">
        <v>3.0</v>
      </c>
      <c r="P82" s="102" t="s">
        <v>435</v>
      </c>
      <c r="T82" s="102">
        <v>28800.0</v>
      </c>
      <c r="U82" s="102" t="str">
        <f>IF(ISNUMBER(MATCH(B82, 'Sprint 17'!B:B, 0)), "มาจาก Sprint 17", "")</f>
        <v/>
      </c>
      <c r="V82" s="102" t="str">
        <f t="array" ref="V82">IF(ISNUMBER(MATCH(B82, 'Sprint 17'!B:B, 0)), INDEX('Sprint 17'!J:J, MATCH(B82, 'Sprint 17'!B:B, 0)), "")</f>
        <v/>
      </c>
      <c r="W82" s="102"/>
      <c r="X82" s="102" t="s">
        <v>1991</v>
      </c>
    </row>
    <row r="83">
      <c r="A83" s="102" t="s">
        <v>332</v>
      </c>
      <c r="B83" s="102" t="s">
        <v>4504</v>
      </c>
      <c r="C83" s="229" t="s">
        <v>4505</v>
      </c>
      <c r="D83" s="102" t="s">
        <v>4506</v>
      </c>
      <c r="E83" s="102" t="s">
        <v>304</v>
      </c>
      <c r="F83" s="102" t="s">
        <v>305</v>
      </c>
      <c r="G83" s="102" t="s">
        <v>316</v>
      </c>
      <c r="H83" s="102" t="s">
        <v>317</v>
      </c>
      <c r="I83" s="102" t="s">
        <v>648</v>
      </c>
      <c r="J83" s="102" t="s">
        <v>922</v>
      </c>
      <c r="L83" s="229" t="s">
        <v>4507</v>
      </c>
      <c r="M83" s="229" t="s">
        <v>4792</v>
      </c>
      <c r="N83" s="229" t="s">
        <v>4402</v>
      </c>
      <c r="O83" s="230"/>
      <c r="P83" s="102" t="s">
        <v>27</v>
      </c>
      <c r="Q83" s="102" t="s">
        <v>367</v>
      </c>
      <c r="T83" s="230"/>
      <c r="U83" s="102" t="str">
        <f>IF(ISNUMBER(MATCH(B83, 'Sprint 17'!B:B, 0)), "มาจาก Sprint 17", "")</f>
        <v/>
      </c>
      <c r="V83" s="102" t="str">
        <f t="array" ref="V83">IF(ISNUMBER(MATCH(B83, 'Sprint 17'!B:B, 0)), INDEX('Sprint 17'!J:J, MATCH(B83, 'Sprint 17'!B:B, 0)), "")</f>
        <v/>
      </c>
      <c r="X83" s="102" t="s">
        <v>4150</v>
      </c>
    </row>
    <row r="84">
      <c r="A84" s="102" t="s">
        <v>310</v>
      </c>
      <c r="B84" s="102" t="s">
        <v>4793</v>
      </c>
      <c r="C84" s="229" t="s">
        <v>4794</v>
      </c>
      <c r="D84" s="102" t="s">
        <v>4795</v>
      </c>
      <c r="E84" s="102" t="s">
        <v>495</v>
      </c>
      <c r="F84" s="102" t="s">
        <v>496</v>
      </c>
      <c r="G84" s="102" t="s">
        <v>353</v>
      </c>
      <c r="H84" s="102" t="s">
        <v>354</v>
      </c>
      <c r="I84" s="102" t="s">
        <v>284</v>
      </c>
      <c r="J84" s="102" t="s">
        <v>678</v>
      </c>
      <c r="L84" s="229" t="s">
        <v>4796</v>
      </c>
      <c r="M84" s="229" t="s">
        <v>4781</v>
      </c>
      <c r="O84" s="230"/>
      <c r="T84" s="102">
        <v>28800.0</v>
      </c>
      <c r="U84" s="102" t="str">
        <f>IF(ISNUMBER(MATCH(B84, 'Sprint 17'!B:B, 0)), "มาจาก Sprint 17", "")</f>
        <v/>
      </c>
      <c r="V84" s="102" t="str">
        <f t="array" ref="V84">IF(ISNUMBER(MATCH(B84, 'Sprint 17'!B:B, 0)), INDEX('Sprint 17'!J:J, MATCH(B84, 'Sprint 17'!B:B, 0)), "")</f>
        <v/>
      </c>
      <c r="W84" s="102"/>
      <c r="X84" s="102" t="s">
        <v>3035</v>
      </c>
      <c r="Y84" s="102" t="s">
        <v>3036</v>
      </c>
    </row>
    <row r="85">
      <c r="A85" s="102" t="s">
        <v>276</v>
      </c>
      <c r="B85" s="102" t="s">
        <v>4509</v>
      </c>
      <c r="C85" s="229" t="s">
        <v>4510</v>
      </c>
      <c r="D85" s="102" t="s">
        <v>4797</v>
      </c>
      <c r="E85" s="102" t="s">
        <v>521</v>
      </c>
      <c r="F85" s="102" t="s">
        <v>522</v>
      </c>
      <c r="G85" s="102" t="s">
        <v>521</v>
      </c>
      <c r="H85" s="102" t="s">
        <v>522</v>
      </c>
      <c r="I85" s="102" t="s">
        <v>284</v>
      </c>
      <c r="J85" s="102" t="s">
        <v>63</v>
      </c>
      <c r="L85" s="229" t="s">
        <v>4512</v>
      </c>
      <c r="M85" s="229" t="s">
        <v>4798</v>
      </c>
      <c r="O85" s="230"/>
      <c r="T85" s="230"/>
      <c r="U85" s="102" t="str">
        <f>IF(ISNUMBER(MATCH(B85, 'Sprint 17'!B:B, 0)), "มาจาก Sprint 17", "")</f>
        <v>มาจาก Sprint 17</v>
      </c>
      <c r="V85" s="102" t="str">
        <f t="array" ref="V85">IF(ISNUMBER(MATCH(B85, 'Sprint 17'!B:B, 0)), INDEX('Sprint 17'!J:J, MATCH(B85, 'Sprint 17'!B:B, 0)), "")</f>
        <v>To Do</v>
      </c>
      <c r="X85" s="102" t="s">
        <v>4248</v>
      </c>
      <c r="Y85" s="102" t="s">
        <v>4249</v>
      </c>
    </row>
    <row r="86">
      <c r="A86" s="102" t="s">
        <v>276</v>
      </c>
      <c r="B86" s="102" t="s">
        <v>4513</v>
      </c>
      <c r="C86" s="229" t="s">
        <v>4514</v>
      </c>
      <c r="D86" s="102" t="s">
        <v>4799</v>
      </c>
      <c r="E86" s="102" t="s">
        <v>521</v>
      </c>
      <c r="F86" s="102" t="s">
        <v>522</v>
      </c>
      <c r="G86" s="102" t="s">
        <v>521</v>
      </c>
      <c r="H86" s="102" t="s">
        <v>522</v>
      </c>
      <c r="I86" s="102" t="s">
        <v>284</v>
      </c>
      <c r="J86" s="102" t="s">
        <v>63</v>
      </c>
      <c r="L86" s="229" t="s">
        <v>4516</v>
      </c>
      <c r="M86" s="229" t="s">
        <v>4516</v>
      </c>
      <c r="O86" s="230"/>
      <c r="T86" s="230"/>
      <c r="U86" s="102" t="str">
        <f>IF(ISNUMBER(MATCH(B86, 'Sprint 17'!B:B, 0)), "มาจาก Sprint 17", "")</f>
        <v>มาจาก Sprint 17</v>
      </c>
      <c r="V86" s="102" t="str">
        <f t="array" ref="V86">IF(ISNUMBER(MATCH(B86, 'Sprint 17'!B:B, 0)), INDEX('Sprint 17'!J:J, MATCH(B86, 'Sprint 17'!B:B, 0)), "")</f>
        <v>To Do</v>
      </c>
      <c r="X86" s="102" t="s">
        <v>4248</v>
      </c>
      <c r="Y86" s="102" t="s">
        <v>4249</v>
      </c>
    </row>
    <row r="87">
      <c r="A87" s="102" t="s">
        <v>276</v>
      </c>
      <c r="B87" s="102" t="s">
        <v>4517</v>
      </c>
      <c r="C87" s="229" t="s">
        <v>4518</v>
      </c>
      <c r="D87" s="102" t="s">
        <v>4800</v>
      </c>
      <c r="E87" s="102" t="s">
        <v>521</v>
      </c>
      <c r="F87" s="102" t="s">
        <v>522</v>
      </c>
      <c r="G87" s="102" t="s">
        <v>521</v>
      </c>
      <c r="H87" s="102" t="s">
        <v>522</v>
      </c>
      <c r="I87" s="102" t="s">
        <v>284</v>
      </c>
      <c r="J87" s="102" t="s">
        <v>63</v>
      </c>
      <c r="L87" s="229" t="s">
        <v>4520</v>
      </c>
      <c r="M87" s="229" t="s">
        <v>4798</v>
      </c>
      <c r="O87" s="230"/>
      <c r="T87" s="230"/>
      <c r="U87" s="102" t="str">
        <f>IF(ISNUMBER(MATCH(B87, 'Sprint 17'!B:B, 0)), "มาจาก Sprint 17", "")</f>
        <v>มาจาก Sprint 17</v>
      </c>
      <c r="V87" s="102" t="str">
        <f t="array" ref="V87">IF(ISNUMBER(MATCH(B87, 'Sprint 17'!B:B, 0)), INDEX('Sprint 17'!J:J, MATCH(B87, 'Sprint 17'!B:B, 0)), "")</f>
        <v>To Do</v>
      </c>
      <c r="X87" s="102" t="s">
        <v>4248</v>
      </c>
      <c r="Y87" s="102" t="s">
        <v>4249</v>
      </c>
    </row>
    <row r="88">
      <c r="A88" s="102" t="s">
        <v>276</v>
      </c>
      <c r="B88" s="102" t="s">
        <v>4522</v>
      </c>
      <c r="C88" s="229" t="s">
        <v>4523</v>
      </c>
      <c r="D88" s="102" t="s">
        <v>4801</v>
      </c>
      <c r="E88" s="102" t="s">
        <v>521</v>
      </c>
      <c r="F88" s="102" t="s">
        <v>522</v>
      </c>
      <c r="G88" s="102" t="s">
        <v>521</v>
      </c>
      <c r="H88" s="102" t="s">
        <v>522</v>
      </c>
      <c r="I88" s="102" t="s">
        <v>284</v>
      </c>
      <c r="J88" s="102" t="s">
        <v>63</v>
      </c>
      <c r="L88" s="229" t="s">
        <v>4525</v>
      </c>
      <c r="M88" s="229" t="s">
        <v>4802</v>
      </c>
      <c r="O88" s="230"/>
      <c r="T88" s="230"/>
      <c r="U88" s="102" t="str">
        <f>IF(ISNUMBER(MATCH(B88, 'Sprint 17'!B:B, 0)), "มาจาก Sprint 17", "")</f>
        <v>มาจาก Sprint 17</v>
      </c>
      <c r="V88" s="102" t="str">
        <f t="array" ref="V88">IF(ISNUMBER(MATCH(B88, 'Sprint 17'!B:B, 0)), INDEX('Sprint 17'!J:J, MATCH(B88, 'Sprint 17'!B:B, 0)), "")</f>
        <v>To Do</v>
      </c>
      <c r="X88" s="102" t="s">
        <v>4247</v>
      </c>
      <c r="Y88" s="102" t="s">
        <v>4248</v>
      </c>
      <c r="Z88" s="102" t="s">
        <v>4249</v>
      </c>
    </row>
    <row r="89">
      <c r="A89" s="102" t="s">
        <v>276</v>
      </c>
      <c r="B89" s="102" t="s">
        <v>4526</v>
      </c>
      <c r="C89" s="229" t="s">
        <v>4527</v>
      </c>
      <c r="D89" s="102" t="s">
        <v>4528</v>
      </c>
      <c r="E89" s="102" t="s">
        <v>521</v>
      </c>
      <c r="F89" s="102" t="s">
        <v>522</v>
      </c>
      <c r="G89" s="102" t="s">
        <v>521</v>
      </c>
      <c r="H89" s="102" t="s">
        <v>522</v>
      </c>
      <c r="I89" s="102" t="s">
        <v>284</v>
      </c>
      <c r="J89" s="102" t="s">
        <v>63</v>
      </c>
      <c r="L89" s="229" t="s">
        <v>4529</v>
      </c>
      <c r="M89" s="229" t="s">
        <v>4530</v>
      </c>
      <c r="O89" s="230"/>
      <c r="T89" s="230"/>
      <c r="U89" s="102" t="str">
        <f>IF(ISNUMBER(MATCH(B89, 'Sprint 17'!B:B, 0)), "มาจาก Sprint 17", "")</f>
        <v>มาจาก Sprint 17</v>
      </c>
      <c r="V89" s="102" t="str">
        <f t="array" ref="V89">IF(ISNUMBER(MATCH(B89, 'Sprint 17'!B:B, 0)), INDEX('Sprint 17'!J:J, MATCH(B89, 'Sprint 17'!B:B, 0)), "")</f>
        <v>To Do</v>
      </c>
      <c r="X89" s="102" t="s">
        <v>4247</v>
      </c>
      <c r="Y89" s="102" t="s">
        <v>4248</v>
      </c>
      <c r="Z89" s="102" t="s">
        <v>4249</v>
      </c>
    </row>
    <row r="90">
      <c r="A90" s="102" t="s">
        <v>276</v>
      </c>
      <c r="B90" s="102" t="s">
        <v>4531</v>
      </c>
      <c r="C90" s="229" t="s">
        <v>4532</v>
      </c>
      <c r="D90" s="102" t="s">
        <v>4803</v>
      </c>
      <c r="E90" s="102" t="s">
        <v>521</v>
      </c>
      <c r="F90" s="102" t="s">
        <v>522</v>
      </c>
      <c r="G90" s="102" t="s">
        <v>521</v>
      </c>
      <c r="H90" s="102" t="s">
        <v>522</v>
      </c>
      <c r="I90" s="102" t="s">
        <v>284</v>
      </c>
      <c r="J90" s="102" t="s">
        <v>63</v>
      </c>
      <c r="L90" s="229" t="s">
        <v>4534</v>
      </c>
      <c r="M90" s="229" t="s">
        <v>4530</v>
      </c>
      <c r="O90" s="230"/>
      <c r="T90" s="230"/>
      <c r="U90" s="102" t="str">
        <f>IF(ISNUMBER(MATCH(B90, 'Sprint 17'!B:B, 0)), "มาจาก Sprint 17", "")</f>
        <v>มาจาก Sprint 17</v>
      </c>
      <c r="V90" s="102" t="str">
        <f t="array" ref="V90">IF(ISNUMBER(MATCH(B90, 'Sprint 17'!B:B, 0)), INDEX('Sprint 17'!J:J, MATCH(B90, 'Sprint 17'!B:B, 0)), "")</f>
        <v>To Do</v>
      </c>
      <c r="X90" s="102" t="s">
        <v>4247</v>
      </c>
      <c r="Y90" s="102" t="s">
        <v>4248</v>
      </c>
      <c r="Z90" s="102" t="s">
        <v>4249</v>
      </c>
    </row>
    <row r="91">
      <c r="A91" s="102" t="s">
        <v>276</v>
      </c>
      <c r="B91" s="102" t="s">
        <v>4536</v>
      </c>
      <c r="C91" s="229" t="s">
        <v>4537</v>
      </c>
      <c r="D91" s="102" t="s">
        <v>4538</v>
      </c>
      <c r="E91" s="102" t="s">
        <v>521</v>
      </c>
      <c r="F91" s="102" t="s">
        <v>522</v>
      </c>
      <c r="G91" s="102" t="s">
        <v>521</v>
      </c>
      <c r="H91" s="102" t="s">
        <v>522</v>
      </c>
      <c r="I91" s="102" t="s">
        <v>284</v>
      </c>
      <c r="J91" s="102" t="s">
        <v>63</v>
      </c>
      <c r="L91" s="229" t="s">
        <v>4539</v>
      </c>
      <c r="M91" s="229" t="s">
        <v>4539</v>
      </c>
      <c r="O91" s="230"/>
      <c r="T91" s="230"/>
      <c r="U91" s="102" t="str">
        <f>IF(ISNUMBER(MATCH(B91, 'Sprint 17'!B:B, 0)), "มาจาก Sprint 17", "")</f>
        <v>มาจาก Sprint 17</v>
      </c>
      <c r="V91" s="102" t="str">
        <f t="array" ref="V91">IF(ISNUMBER(MATCH(B91, 'Sprint 17'!B:B, 0)), INDEX('Sprint 17'!J:J, MATCH(B91, 'Sprint 17'!B:B, 0)), "")</f>
        <v>To Do</v>
      </c>
      <c r="X91" s="102" t="s">
        <v>4248</v>
      </c>
      <c r="Y91" s="102" t="s">
        <v>4249</v>
      </c>
    </row>
    <row r="92">
      <c r="A92" s="102" t="s">
        <v>276</v>
      </c>
      <c r="B92" s="102" t="s">
        <v>4540</v>
      </c>
      <c r="C92" s="229" t="s">
        <v>4541</v>
      </c>
      <c r="D92" s="102" t="s">
        <v>4542</v>
      </c>
      <c r="E92" s="102" t="s">
        <v>521</v>
      </c>
      <c r="F92" s="102" t="s">
        <v>522</v>
      </c>
      <c r="G92" s="102" t="s">
        <v>521</v>
      </c>
      <c r="H92" s="102" t="s">
        <v>522</v>
      </c>
      <c r="I92" s="102" t="s">
        <v>284</v>
      </c>
      <c r="J92" s="102" t="s">
        <v>63</v>
      </c>
      <c r="L92" s="229" t="s">
        <v>4543</v>
      </c>
      <c r="M92" s="229" t="s">
        <v>4516</v>
      </c>
      <c r="O92" s="230"/>
      <c r="T92" s="230"/>
      <c r="U92" s="102" t="str">
        <f>IF(ISNUMBER(MATCH(B92, 'Sprint 17'!B:B, 0)), "มาจาก Sprint 17", "")</f>
        <v>มาจาก Sprint 17</v>
      </c>
      <c r="V92" s="102" t="str">
        <f t="array" ref="V92">IF(ISNUMBER(MATCH(B92, 'Sprint 17'!B:B, 0)), INDEX('Sprint 17'!J:J, MATCH(B92, 'Sprint 17'!B:B, 0)), "")</f>
        <v>To Do</v>
      </c>
      <c r="X92" s="102" t="s">
        <v>4248</v>
      </c>
      <c r="Y92" s="102" t="s">
        <v>4249</v>
      </c>
    </row>
    <row r="93">
      <c r="A93" s="102" t="s">
        <v>276</v>
      </c>
      <c r="B93" s="102" t="s">
        <v>4544</v>
      </c>
      <c r="C93" s="229" t="s">
        <v>4545</v>
      </c>
      <c r="D93" s="102" t="s">
        <v>4546</v>
      </c>
      <c r="E93" s="102" t="s">
        <v>521</v>
      </c>
      <c r="F93" s="102" t="s">
        <v>522</v>
      </c>
      <c r="G93" s="102" t="s">
        <v>521</v>
      </c>
      <c r="H93" s="102" t="s">
        <v>522</v>
      </c>
      <c r="I93" s="102" t="s">
        <v>284</v>
      </c>
      <c r="J93" s="102" t="s">
        <v>63</v>
      </c>
      <c r="L93" s="229" t="s">
        <v>3057</v>
      </c>
      <c r="M93" s="229" t="s">
        <v>4520</v>
      </c>
      <c r="O93" s="230"/>
      <c r="T93" s="230"/>
      <c r="U93" s="102" t="str">
        <f>IF(ISNUMBER(MATCH(B93, 'Sprint 17'!B:B, 0)), "มาจาก Sprint 17", "")</f>
        <v>มาจาก Sprint 17</v>
      </c>
      <c r="V93" s="102" t="str">
        <f t="array" ref="V93">IF(ISNUMBER(MATCH(B93, 'Sprint 17'!B:B, 0)), INDEX('Sprint 17'!J:J, MATCH(B93, 'Sprint 17'!B:B, 0)), "")</f>
        <v>To Do</v>
      </c>
      <c r="X93" s="102" t="s">
        <v>4248</v>
      </c>
      <c r="Y93" s="102" t="s">
        <v>4249</v>
      </c>
    </row>
    <row r="94">
      <c r="A94" s="102" t="s">
        <v>310</v>
      </c>
      <c r="B94" s="102" t="s">
        <v>4804</v>
      </c>
      <c r="C94" s="229" t="s">
        <v>4805</v>
      </c>
      <c r="D94" s="102" t="s">
        <v>4806</v>
      </c>
      <c r="E94" s="102" t="s">
        <v>282</v>
      </c>
      <c r="F94" s="102" t="s">
        <v>283</v>
      </c>
      <c r="G94" s="102" t="s">
        <v>282</v>
      </c>
      <c r="H94" s="102" t="s">
        <v>283</v>
      </c>
      <c r="I94" s="102" t="s">
        <v>318</v>
      </c>
      <c r="J94" s="102" t="s">
        <v>34</v>
      </c>
      <c r="L94" s="229" t="s">
        <v>4807</v>
      </c>
      <c r="M94" s="229" t="s">
        <v>4808</v>
      </c>
      <c r="O94" s="102">
        <v>13.0</v>
      </c>
      <c r="P94" s="102" t="s">
        <v>593</v>
      </c>
      <c r="T94" s="230"/>
      <c r="U94" s="102" t="str">
        <f>IF(ISNUMBER(MATCH(B94, 'Sprint 17'!B:B, 0)), "มาจาก Sprint 17", "")</f>
        <v/>
      </c>
      <c r="V94" s="102" t="str">
        <f t="array" ref="V94">IF(ISNUMBER(MATCH(B94, 'Sprint 17'!B:B, 0)), INDEX('Sprint 17'!J:J, MATCH(B94, 'Sprint 17'!B:B, 0)), "")</f>
        <v/>
      </c>
      <c r="X94" s="102" t="s">
        <v>1991</v>
      </c>
    </row>
    <row r="95">
      <c r="A95" s="102" t="s">
        <v>276</v>
      </c>
      <c r="B95" s="102" t="s">
        <v>4548</v>
      </c>
      <c r="C95" s="229" t="s">
        <v>4549</v>
      </c>
      <c r="D95" s="102" t="s">
        <v>4809</v>
      </c>
      <c r="E95" s="102" t="s">
        <v>521</v>
      </c>
      <c r="F95" s="102" t="s">
        <v>522</v>
      </c>
      <c r="G95" s="102" t="s">
        <v>521</v>
      </c>
      <c r="H95" s="102" t="s">
        <v>522</v>
      </c>
      <c r="I95" s="102" t="s">
        <v>284</v>
      </c>
      <c r="J95" s="102" t="s">
        <v>63</v>
      </c>
      <c r="L95" s="229" t="s">
        <v>4551</v>
      </c>
      <c r="M95" s="229" t="s">
        <v>4810</v>
      </c>
      <c r="O95" s="230"/>
      <c r="T95" s="230"/>
      <c r="U95" s="102" t="str">
        <f>IF(ISNUMBER(MATCH(B95, 'Sprint 17'!B:B, 0)), "มาจาก Sprint 17", "")</f>
        <v>มาจาก Sprint 17</v>
      </c>
      <c r="V95" s="102" t="str">
        <f t="array" ref="V95">IF(ISNUMBER(MATCH(B95, 'Sprint 17'!B:B, 0)), INDEX('Sprint 17'!J:J, MATCH(B95, 'Sprint 17'!B:B, 0)), "")</f>
        <v>To Do</v>
      </c>
      <c r="X95" s="102" t="s">
        <v>4247</v>
      </c>
      <c r="Y95" s="102" t="s">
        <v>4248</v>
      </c>
      <c r="Z95" s="102" t="s">
        <v>4249</v>
      </c>
    </row>
    <row r="96">
      <c r="A96" s="102" t="s">
        <v>276</v>
      </c>
      <c r="B96" s="102" t="s">
        <v>4552</v>
      </c>
      <c r="C96" s="229" t="s">
        <v>4553</v>
      </c>
      <c r="D96" s="102" t="s">
        <v>4811</v>
      </c>
      <c r="E96" s="102" t="s">
        <v>521</v>
      </c>
      <c r="F96" s="102" t="s">
        <v>522</v>
      </c>
      <c r="G96" s="102" t="s">
        <v>521</v>
      </c>
      <c r="H96" s="102" t="s">
        <v>522</v>
      </c>
      <c r="I96" s="102" t="s">
        <v>284</v>
      </c>
      <c r="J96" s="102" t="s">
        <v>63</v>
      </c>
      <c r="L96" s="229" t="s">
        <v>4555</v>
      </c>
      <c r="M96" s="229" t="s">
        <v>4812</v>
      </c>
      <c r="O96" s="230"/>
      <c r="T96" s="230"/>
      <c r="U96" s="102" t="str">
        <f>IF(ISNUMBER(MATCH(B96, 'Sprint 17'!B:B, 0)), "มาจาก Sprint 17", "")</f>
        <v>มาจาก Sprint 17</v>
      </c>
      <c r="V96" s="102" t="str">
        <f t="array" ref="V96">IF(ISNUMBER(MATCH(B96, 'Sprint 17'!B:B, 0)), INDEX('Sprint 17'!J:J, MATCH(B96, 'Sprint 17'!B:B, 0)), "")</f>
        <v>To Do</v>
      </c>
      <c r="X96" s="102" t="s">
        <v>4247</v>
      </c>
      <c r="Y96" s="102" t="s">
        <v>4248</v>
      </c>
      <c r="Z96" s="102" t="s">
        <v>4249</v>
      </c>
    </row>
    <row r="97">
      <c r="A97" s="102" t="s">
        <v>276</v>
      </c>
      <c r="B97" s="102" t="s">
        <v>4557</v>
      </c>
      <c r="C97" s="229" t="s">
        <v>4558</v>
      </c>
      <c r="D97" s="102" t="s">
        <v>4813</v>
      </c>
      <c r="E97" s="102" t="s">
        <v>521</v>
      </c>
      <c r="F97" s="102" t="s">
        <v>522</v>
      </c>
      <c r="G97" s="102" t="s">
        <v>521</v>
      </c>
      <c r="H97" s="102" t="s">
        <v>522</v>
      </c>
      <c r="I97" s="102" t="s">
        <v>284</v>
      </c>
      <c r="J97" s="102" t="s">
        <v>63</v>
      </c>
      <c r="L97" s="229" t="s">
        <v>4560</v>
      </c>
      <c r="M97" s="229" t="s">
        <v>4814</v>
      </c>
      <c r="O97" s="230"/>
      <c r="T97" s="230"/>
      <c r="U97" s="102" t="str">
        <f>IF(ISNUMBER(MATCH(B97, 'Sprint 17'!B:B, 0)), "มาจาก Sprint 17", "")</f>
        <v>มาจาก Sprint 17</v>
      </c>
      <c r="V97" s="102" t="str">
        <f t="array" ref="V97">IF(ISNUMBER(MATCH(B97, 'Sprint 17'!B:B, 0)), INDEX('Sprint 17'!J:J, MATCH(B97, 'Sprint 17'!B:B, 0)), "")</f>
        <v>To Do</v>
      </c>
      <c r="X97" s="102" t="s">
        <v>4247</v>
      </c>
      <c r="Y97" s="102" t="s">
        <v>4248</v>
      </c>
      <c r="Z97" s="102" t="s">
        <v>4249</v>
      </c>
    </row>
    <row r="98">
      <c r="A98" s="102" t="s">
        <v>310</v>
      </c>
      <c r="B98" s="102" t="s">
        <v>4562</v>
      </c>
      <c r="C98" s="229" t="s">
        <v>4563</v>
      </c>
      <c r="D98" s="102" t="s">
        <v>4564</v>
      </c>
      <c r="E98" s="102" t="s">
        <v>513</v>
      </c>
      <c r="F98" s="102" t="s">
        <v>514</v>
      </c>
      <c r="G98" s="102" t="s">
        <v>513</v>
      </c>
      <c r="H98" s="102" t="s">
        <v>514</v>
      </c>
      <c r="I98" s="102" t="s">
        <v>1921</v>
      </c>
      <c r="J98" s="102" t="s">
        <v>34</v>
      </c>
      <c r="L98" s="229" t="s">
        <v>4565</v>
      </c>
      <c r="M98" s="229" t="s">
        <v>4815</v>
      </c>
      <c r="O98" s="102">
        <v>5.0</v>
      </c>
      <c r="P98" s="102" t="s">
        <v>593</v>
      </c>
      <c r="T98" s="102">
        <v>43200.0</v>
      </c>
      <c r="U98" s="102" t="str">
        <f>IF(ISNUMBER(MATCH(B98, 'Sprint 17'!B:B, 0)), "มาจาก Sprint 17", "")</f>
        <v>มาจาก Sprint 17</v>
      </c>
      <c r="V98" s="102" t="str">
        <f t="array" ref="V98">IF(ISNUMBER(MATCH(B98, 'Sprint 17'!B:B, 0)), INDEX('Sprint 17'!J:J, MATCH(B98, 'Sprint 17'!B:B, 0)), "")</f>
        <v>In Progress</v>
      </c>
      <c r="W98" s="231" t="s">
        <v>3434</v>
      </c>
      <c r="X98" s="102" t="s">
        <v>4566</v>
      </c>
      <c r="Y98" s="102" t="s">
        <v>4567</v>
      </c>
    </row>
    <row r="99">
      <c r="A99" s="102" t="s">
        <v>310</v>
      </c>
      <c r="B99" s="102" t="s">
        <v>4816</v>
      </c>
      <c r="C99" s="229" t="s">
        <v>4817</v>
      </c>
      <c r="D99" s="102" t="s">
        <v>4818</v>
      </c>
      <c r="E99" s="102" t="s">
        <v>304</v>
      </c>
      <c r="F99" s="102" t="s">
        <v>305</v>
      </c>
      <c r="G99" s="102" t="s">
        <v>304</v>
      </c>
      <c r="H99" s="102" t="s">
        <v>305</v>
      </c>
      <c r="I99" s="102" t="s">
        <v>284</v>
      </c>
      <c r="J99" s="102" t="s">
        <v>26</v>
      </c>
      <c r="L99" s="229" t="s">
        <v>4819</v>
      </c>
      <c r="M99" s="229" t="s">
        <v>4820</v>
      </c>
      <c r="O99" s="102">
        <v>3.0</v>
      </c>
      <c r="P99" s="102" t="s">
        <v>593</v>
      </c>
      <c r="Q99" s="102" t="s">
        <v>4821</v>
      </c>
      <c r="T99" s="230"/>
      <c r="U99" s="102" t="str">
        <f>IF(ISNUMBER(MATCH(B99, 'Sprint 17'!B:B, 0)), "มาจาก Sprint 17", "")</f>
        <v/>
      </c>
      <c r="V99" s="102" t="str">
        <f t="array" ref="V99">IF(ISNUMBER(MATCH(B99, 'Sprint 17'!B:B, 0)), INDEX('Sprint 17'!J:J, MATCH(B99, 'Sprint 17'!B:B, 0)), "")</f>
        <v/>
      </c>
      <c r="X99" s="102" t="s">
        <v>1991</v>
      </c>
    </row>
    <row r="100">
      <c r="A100" s="102" t="s">
        <v>310</v>
      </c>
      <c r="B100" s="102" t="s">
        <v>4822</v>
      </c>
      <c r="C100" s="229" t="s">
        <v>4823</v>
      </c>
      <c r="D100" s="102" t="s">
        <v>4824</v>
      </c>
      <c r="E100" s="102" t="s">
        <v>304</v>
      </c>
      <c r="F100" s="102" t="s">
        <v>305</v>
      </c>
      <c r="G100" s="102" t="s">
        <v>304</v>
      </c>
      <c r="H100" s="102" t="s">
        <v>305</v>
      </c>
      <c r="I100" s="102" t="s">
        <v>284</v>
      </c>
      <c r="J100" s="102" t="s">
        <v>26</v>
      </c>
      <c r="L100" s="229" t="s">
        <v>4825</v>
      </c>
      <c r="M100" s="229" t="s">
        <v>4820</v>
      </c>
      <c r="O100" s="102">
        <v>5.0</v>
      </c>
      <c r="P100" s="102" t="s">
        <v>593</v>
      </c>
      <c r="Q100" s="102" t="s">
        <v>4821</v>
      </c>
      <c r="T100" s="230"/>
      <c r="U100" s="102" t="str">
        <f>IF(ISNUMBER(MATCH(B100, 'Sprint 17'!B:B, 0)), "มาจาก Sprint 17", "")</f>
        <v/>
      </c>
      <c r="V100" s="102" t="str">
        <f t="array" ref="V100">IF(ISNUMBER(MATCH(B100, 'Sprint 17'!B:B, 0)), INDEX('Sprint 17'!J:J, MATCH(B100, 'Sprint 17'!B:B, 0)), "")</f>
        <v/>
      </c>
      <c r="X100" s="102" t="s">
        <v>1991</v>
      </c>
    </row>
    <row r="101">
      <c r="A101" s="102" t="s">
        <v>310</v>
      </c>
      <c r="B101" s="102" t="s">
        <v>4826</v>
      </c>
      <c r="C101" s="229" t="s">
        <v>4827</v>
      </c>
      <c r="D101" s="102" t="s">
        <v>4828</v>
      </c>
      <c r="E101" s="102" t="s">
        <v>304</v>
      </c>
      <c r="F101" s="102" t="s">
        <v>305</v>
      </c>
      <c r="G101" s="102" t="s">
        <v>304</v>
      </c>
      <c r="H101" s="102" t="s">
        <v>305</v>
      </c>
      <c r="I101" s="102" t="s">
        <v>284</v>
      </c>
      <c r="J101" s="102" t="s">
        <v>26</v>
      </c>
      <c r="L101" s="229" t="s">
        <v>4829</v>
      </c>
      <c r="M101" s="229" t="s">
        <v>4830</v>
      </c>
      <c r="O101" s="102">
        <v>5.0</v>
      </c>
      <c r="P101" s="102" t="s">
        <v>593</v>
      </c>
      <c r="Q101" s="102" t="s">
        <v>4821</v>
      </c>
      <c r="T101" s="230"/>
      <c r="U101" s="102" t="str">
        <f>IF(ISNUMBER(MATCH(B101, 'Sprint 17'!B:B, 0)), "มาจาก Sprint 17", "")</f>
        <v/>
      </c>
      <c r="V101" s="102" t="str">
        <f t="array" ref="V101">IF(ISNUMBER(MATCH(B101, 'Sprint 17'!B:B, 0)), INDEX('Sprint 17'!J:J, MATCH(B101, 'Sprint 17'!B:B, 0)), "")</f>
        <v/>
      </c>
      <c r="X101" s="102" t="s">
        <v>1991</v>
      </c>
    </row>
    <row r="102">
      <c r="A102" s="102" t="s">
        <v>310</v>
      </c>
      <c r="B102" s="102" t="s">
        <v>4831</v>
      </c>
      <c r="C102" s="229" t="s">
        <v>4832</v>
      </c>
      <c r="D102" s="102" t="s">
        <v>4833</v>
      </c>
      <c r="E102" s="102" t="s">
        <v>304</v>
      </c>
      <c r="F102" s="102" t="s">
        <v>305</v>
      </c>
      <c r="G102" s="102" t="s">
        <v>304</v>
      </c>
      <c r="H102" s="102" t="s">
        <v>305</v>
      </c>
      <c r="I102" s="102" t="s">
        <v>284</v>
      </c>
      <c r="J102" s="102" t="s">
        <v>26</v>
      </c>
      <c r="L102" s="229" t="s">
        <v>4834</v>
      </c>
      <c r="M102" s="229" t="s">
        <v>4830</v>
      </c>
      <c r="O102" s="102">
        <v>5.0</v>
      </c>
      <c r="P102" s="102" t="s">
        <v>593</v>
      </c>
      <c r="Q102" s="102" t="s">
        <v>4821</v>
      </c>
      <c r="T102" s="230"/>
      <c r="U102" s="102" t="str">
        <f>IF(ISNUMBER(MATCH(B102, 'Sprint 17'!B:B, 0)), "มาจาก Sprint 17", "")</f>
        <v/>
      </c>
      <c r="V102" s="102" t="str">
        <f t="array" ref="V102">IF(ISNUMBER(MATCH(B102, 'Sprint 17'!B:B, 0)), INDEX('Sprint 17'!J:J, MATCH(B102, 'Sprint 17'!B:B, 0)), "")</f>
        <v/>
      </c>
      <c r="X102" s="102" t="s">
        <v>1991</v>
      </c>
    </row>
    <row r="103">
      <c r="A103" s="102" t="s">
        <v>310</v>
      </c>
      <c r="B103" s="102" t="s">
        <v>4217</v>
      </c>
      <c r="C103" s="229" t="s">
        <v>4218</v>
      </c>
      <c r="D103" s="102" t="s">
        <v>4219</v>
      </c>
      <c r="E103" s="102" t="s">
        <v>564</v>
      </c>
      <c r="F103" s="102" t="s">
        <v>565</v>
      </c>
      <c r="G103" s="102" t="s">
        <v>353</v>
      </c>
      <c r="H103" s="102" t="s">
        <v>354</v>
      </c>
      <c r="I103" s="102" t="s">
        <v>284</v>
      </c>
      <c r="J103" s="102" t="s">
        <v>678</v>
      </c>
      <c r="L103" s="229" t="s">
        <v>4220</v>
      </c>
      <c r="M103" s="229" t="s">
        <v>4781</v>
      </c>
      <c r="N103" s="229" t="s">
        <v>4222</v>
      </c>
      <c r="O103" s="102">
        <v>2.0</v>
      </c>
      <c r="T103" s="102">
        <v>10800.0</v>
      </c>
      <c r="U103" s="102" t="str">
        <f>IF(ISNUMBER(MATCH(B103, 'Sprint 17'!B:B, 0)), "มาจาก Sprint 17", "")</f>
        <v/>
      </c>
      <c r="V103" s="102" t="str">
        <f t="array" ref="V103">IF(ISNUMBER(MATCH(B103, 'Sprint 17'!B:B, 0)), INDEX('Sprint 17'!J:J, MATCH(B103, 'Sprint 17'!B:B, 0)), "")</f>
        <v/>
      </c>
      <c r="W103" s="102"/>
      <c r="X103" s="102" t="s">
        <v>3035</v>
      </c>
      <c r="Y103" s="102" t="s">
        <v>3036</v>
      </c>
    </row>
    <row r="104">
      <c r="A104" s="102" t="s">
        <v>310</v>
      </c>
      <c r="B104" s="102" t="s">
        <v>4223</v>
      </c>
      <c r="C104" s="229" t="s">
        <v>4224</v>
      </c>
      <c r="D104" s="102" t="s">
        <v>4225</v>
      </c>
      <c r="E104" s="102" t="s">
        <v>564</v>
      </c>
      <c r="F104" s="102" t="s">
        <v>565</v>
      </c>
      <c r="G104" s="102" t="s">
        <v>353</v>
      </c>
      <c r="H104" s="102" t="s">
        <v>354</v>
      </c>
      <c r="I104" s="102" t="s">
        <v>284</v>
      </c>
      <c r="J104" s="102" t="s">
        <v>678</v>
      </c>
      <c r="L104" s="229" t="s">
        <v>4226</v>
      </c>
      <c r="M104" s="229" t="s">
        <v>4781</v>
      </c>
      <c r="N104" s="229" t="s">
        <v>4222</v>
      </c>
      <c r="O104" s="102">
        <v>2.0</v>
      </c>
      <c r="T104" s="102">
        <v>14400.0</v>
      </c>
      <c r="U104" s="102" t="str">
        <f>IF(ISNUMBER(MATCH(B104, 'Sprint 17'!B:B, 0)), "มาจาก Sprint 17", "")</f>
        <v/>
      </c>
      <c r="V104" s="102" t="str">
        <f t="array" ref="V104">IF(ISNUMBER(MATCH(B104, 'Sprint 17'!B:B, 0)), INDEX('Sprint 17'!J:J, MATCH(B104, 'Sprint 17'!B:B, 0)), "")</f>
        <v/>
      </c>
      <c r="W104" s="102"/>
      <c r="X104" s="102" t="s">
        <v>3035</v>
      </c>
      <c r="Y104" s="102" t="s">
        <v>3036</v>
      </c>
    </row>
    <row r="105">
      <c r="A105" s="102" t="s">
        <v>310</v>
      </c>
      <c r="B105" s="102" t="s">
        <v>4835</v>
      </c>
      <c r="C105" s="229" t="s">
        <v>4836</v>
      </c>
      <c r="D105" s="102" t="s">
        <v>4837</v>
      </c>
      <c r="E105" s="102" t="s">
        <v>556</v>
      </c>
      <c r="F105" s="102" t="s">
        <v>557</v>
      </c>
      <c r="G105" s="102" t="s">
        <v>282</v>
      </c>
      <c r="H105" s="102" t="s">
        <v>283</v>
      </c>
      <c r="I105" s="102" t="s">
        <v>284</v>
      </c>
      <c r="J105" s="102" t="s">
        <v>26</v>
      </c>
      <c r="L105" s="229" t="s">
        <v>4838</v>
      </c>
      <c r="M105" s="229" t="s">
        <v>4839</v>
      </c>
      <c r="O105" s="102">
        <v>1.0</v>
      </c>
      <c r="P105" s="102" t="s">
        <v>593</v>
      </c>
      <c r="T105" s="230"/>
      <c r="U105" s="102" t="str">
        <f>IF(ISNUMBER(MATCH(B105, 'Sprint 17'!B:B, 0)), "มาจาก Sprint 17", "")</f>
        <v>มาจาก Sprint 17</v>
      </c>
      <c r="V105" s="102" t="str">
        <f t="array" ref="V105">IF(ISNUMBER(MATCH(B105, 'Sprint 17'!B:B, 0)), INDEX('Sprint 17'!J:J, MATCH(B105, 'Sprint 17'!B:B, 0)), "")</f>
        <v>In Review</v>
      </c>
      <c r="X105" s="102" t="s">
        <v>3557</v>
      </c>
      <c r="Y105" s="102" t="s">
        <v>1991</v>
      </c>
    </row>
    <row r="106">
      <c r="A106" s="102" t="s">
        <v>310</v>
      </c>
      <c r="B106" s="102" t="s">
        <v>4840</v>
      </c>
      <c r="C106" s="229" t="s">
        <v>4841</v>
      </c>
      <c r="D106" s="102" t="s">
        <v>4842</v>
      </c>
      <c r="E106" s="102" t="s">
        <v>495</v>
      </c>
      <c r="F106" s="102" t="s">
        <v>496</v>
      </c>
      <c r="G106" s="102" t="s">
        <v>282</v>
      </c>
      <c r="H106" s="102" t="s">
        <v>283</v>
      </c>
      <c r="I106" s="102" t="s">
        <v>284</v>
      </c>
      <c r="J106" s="102" t="s">
        <v>26</v>
      </c>
      <c r="L106" s="229" t="s">
        <v>4838</v>
      </c>
      <c r="M106" s="229" t="s">
        <v>4753</v>
      </c>
      <c r="O106" s="102">
        <v>1.0</v>
      </c>
      <c r="P106" s="102" t="s">
        <v>593</v>
      </c>
      <c r="T106" s="102">
        <v>0.0</v>
      </c>
      <c r="U106" s="102" t="str">
        <f>IF(ISNUMBER(MATCH(B106, 'Sprint 17'!B:B, 0)), "มาจาก Sprint 17", "")</f>
        <v>มาจาก Sprint 17</v>
      </c>
      <c r="V106" s="102" t="str">
        <f t="array" ref="V106">IF(ISNUMBER(MATCH(B106, 'Sprint 17'!B:B, 0)), INDEX('Sprint 17'!J:J, MATCH(B106, 'Sprint 17'!B:B, 0)), "")</f>
        <v>In Review</v>
      </c>
      <c r="W106" s="229" t="s">
        <v>4791</v>
      </c>
      <c r="X106" s="102" t="s">
        <v>3557</v>
      </c>
      <c r="Y106" s="102" t="s">
        <v>1991</v>
      </c>
    </row>
    <row r="107">
      <c r="A107" s="102" t="s">
        <v>310</v>
      </c>
      <c r="B107" s="102" t="s">
        <v>4843</v>
      </c>
      <c r="C107" s="229" t="s">
        <v>4844</v>
      </c>
      <c r="D107" s="102" t="s">
        <v>4845</v>
      </c>
      <c r="E107" s="102" t="s">
        <v>556</v>
      </c>
      <c r="F107" s="102" t="s">
        <v>557</v>
      </c>
      <c r="G107" s="102" t="s">
        <v>282</v>
      </c>
      <c r="H107" s="102" t="s">
        <v>283</v>
      </c>
      <c r="I107" s="102" t="s">
        <v>284</v>
      </c>
      <c r="J107" s="102" t="s">
        <v>26</v>
      </c>
      <c r="L107" s="229" t="s">
        <v>4838</v>
      </c>
      <c r="M107" s="229" t="s">
        <v>4846</v>
      </c>
      <c r="O107" s="102">
        <v>1.0</v>
      </c>
      <c r="P107" s="102" t="s">
        <v>593</v>
      </c>
      <c r="T107" s="230"/>
      <c r="U107" s="102" t="str">
        <f>IF(ISNUMBER(MATCH(B107, 'Sprint 17'!B:B, 0)), "มาจาก Sprint 17", "")</f>
        <v>มาจาก Sprint 17</v>
      </c>
      <c r="V107" s="102" t="str">
        <f t="array" ref="V107">IF(ISNUMBER(MATCH(B107, 'Sprint 17'!B:B, 0)), INDEX('Sprint 17'!J:J, MATCH(B107, 'Sprint 17'!B:B, 0)), "")</f>
        <v>In Review</v>
      </c>
      <c r="X107" s="102" t="s">
        <v>3557</v>
      </c>
      <c r="Y107" s="102" t="s">
        <v>1991</v>
      </c>
    </row>
    <row r="108">
      <c r="A108" s="102" t="s">
        <v>310</v>
      </c>
      <c r="B108" s="102" t="s">
        <v>4847</v>
      </c>
      <c r="C108" s="229" t="s">
        <v>4848</v>
      </c>
      <c r="D108" s="102" t="s">
        <v>4849</v>
      </c>
      <c r="E108" s="102" t="s">
        <v>314</v>
      </c>
      <c r="F108" s="102" t="s">
        <v>315</v>
      </c>
      <c r="G108" s="102" t="s">
        <v>282</v>
      </c>
      <c r="H108" s="102" t="s">
        <v>283</v>
      </c>
      <c r="I108" s="102" t="s">
        <v>284</v>
      </c>
      <c r="J108" s="102" t="s">
        <v>26</v>
      </c>
      <c r="L108" s="229" t="s">
        <v>4850</v>
      </c>
      <c r="M108" s="229" t="s">
        <v>4851</v>
      </c>
      <c r="O108" s="102">
        <v>2.0</v>
      </c>
      <c r="P108" s="102" t="s">
        <v>593</v>
      </c>
      <c r="T108" s="102">
        <v>0.0</v>
      </c>
      <c r="U108" s="102" t="str">
        <f>IF(ISNUMBER(MATCH(B108, 'Sprint 17'!B:B, 0)), "มาจาก Sprint 17", "")</f>
        <v>มาจาก Sprint 17</v>
      </c>
      <c r="V108" s="102" t="str">
        <f t="array" ref="V108">IF(ISNUMBER(MATCH(B108, 'Sprint 17'!B:B, 0)), INDEX('Sprint 17'!J:J, MATCH(B108, 'Sprint 17'!B:B, 0)), "")</f>
        <v>In Review</v>
      </c>
      <c r="W108" s="229" t="s">
        <v>4852</v>
      </c>
      <c r="X108" s="102" t="s">
        <v>3557</v>
      </c>
      <c r="Y108" s="102" t="s">
        <v>1991</v>
      </c>
    </row>
    <row r="109">
      <c r="A109" s="102" t="s">
        <v>310</v>
      </c>
      <c r="B109" s="102" t="s">
        <v>4231</v>
      </c>
      <c r="C109" s="229" t="s">
        <v>4232</v>
      </c>
      <c r="D109" s="102" t="s">
        <v>4233</v>
      </c>
      <c r="E109" s="102" t="s">
        <v>495</v>
      </c>
      <c r="F109" s="102" t="s">
        <v>496</v>
      </c>
      <c r="G109" s="102" t="s">
        <v>353</v>
      </c>
      <c r="H109" s="102" t="s">
        <v>354</v>
      </c>
      <c r="I109" s="102" t="s">
        <v>284</v>
      </c>
      <c r="J109" s="102" t="s">
        <v>678</v>
      </c>
      <c r="L109" s="229" t="s">
        <v>4234</v>
      </c>
      <c r="M109" s="229" t="s">
        <v>4853</v>
      </c>
      <c r="O109" s="102">
        <v>1.0</v>
      </c>
      <c r="T109" s="102">
        <v>14400.0</v>
      </c>
      <c r="U109" s="102" t="str">
        <f>IF(ISNUMBER(MATCH(B109, 'Sprint 17'!B:B, 0)), "มาจาก Sprint 17", "")</f>
        <v/>
      </c>
      <c r="V109" s="102" t="str">
        <f t="array" ref="V109">IF(ISNUMBER(MATCH(B109, 'Sprint 17'!B:B, 0)), INDEX('Sprint 17'!J:J, MATCH(B109, 'Sprint 17'!B:B, 0)), "")</f>
        <v/>
      </c>
      <c r="W109" s="102"/>
      <c r="X109" s="102" t="s">
        <v>3035</v>
      </c>
      <c r="Y109" s="102" t="s">
        <v>3036</v>
      </c>
    </row>
    <row r="110">
      <c r="A110" s="102" t="s">
        <v>310</v>
      </c>
      <c r="B110" s="102" t="s">
        <v>3031</v>
      </c>
      <c r="C110" s="229" t="s">
        <v>3032</v>
      </c>
      <c r="D110" s="102" t="s">
        <v>3033</v>
      </c>
      <c r="E110" s="102" t="s">
        <v>495</v>
      </c>
      <c r="F110" s="102" t="s">
        <v>496</v>
      </c>
      <c r="G110" s="102" t="s">
        <v>353</v>
      </c>
      <c r="H110" s="102" t="s">
        <v>354</v>
      </c>
      <c r="I110" s="102" t="s">
        <v>284</v>
      </c>
      <c r="J110" s="102" t="s">
        <v>678</v>
      </c>
      <c r="L110" s="229" t="s">
        <v>3034</v>
      </c>
      <c r="M110" s="229" t="s">
        <v>4781</v>
      </c>
      <c r="O110" s="102">
        <v>3.0</v>
      </c>
      <c r="T110" s="102">
        <v>28800.0</v>
      </c>
      <c r="U110" s="102" t="str">
        <f>IF(ISNUMBER(MATCH(B110, 'Sprint 17'!B:B, 0)), "มาจาก Sprint 17", "")</f>
        <v/>
      </c>
      <c r="V110" s="102" t="str">
        <f t="array" ref="V110">IF(ISNUMBER(MATCH(B110, 'Sprint 17'!B:B, 0)), INDEX('Sprint 17'!J:J, MATCH(B110, 'Sprint 17'!B:B, 0)), "")</f>
        <v/>
      </c>
      <c r="W110" s="102"/>
      <c r="X110" s="102" t="s">
        <v>3035</v>
      </c>
      <c r="Y110" s="102" t="s">
        <v>3036</v>
      </c>
    </row>
    <row r="111">
      <c r="A111" s="102" t="s">
        <v>310</v>
      </c>
      <c r="B111" s="102" t="s">
        <v>4854</v>
      </c>
      <c r="C111" s="229" t="s">
        <v>4855</v>
      </c>
      <c r="D111" s="102" t="s">
        <v>4856</v>
      </c>
      <c r="E111" s="102" t="s">
        <v>353</v>
      </c>
      <c r="F111" s="102" t="s">
        <v>354</v>
      </c>
      <c r="G111" s="102" t="s">
        <v>353</v>
      </c>
      <c r="H111" s="102" t="s">
        <v>354</v>
      </c>
      <c r="I111" s="102" t="s">
        <v>284</v>
      </c>
      <c r="J111" s="102" t="s">
        <v>355</v>
      </c>
      <c r="L111" s="229" t="s">
        <v>4857</v>
      </c>
      <c r="M111" s="229" t="s">
        <v>4858</v>
      </c>
      <c r="O111" s="102">
        <v>3.0</v>
      </c>
      <c r="T111" s="230"/>
      <c r="U111" s="102" t="str">
        <f>IF(ISNUMBER(MATCH(B111, 'Sprint 17'!B:B, 0)), "มาจาก Sprint 17", "")</f>
        <v/>
      </c>
      <c r="V111" s="102" t="str">
        <f t="array" ref="V111">IF(ISNUMBER(MATCH(B111, 'Sprint 17'!B:B, 0)), INDEX('Sprint 17'!J:J, MATCH(B111, 'Sprint 17'!B:B, 0)), "")</f>
        <v/>
      </c>
      <c r="X111" s="102" t="s">
        <v>3035</v>
      </c>
      <c r="Y111" s="102" t="s">
        <v>3036</v>
      </c>
    </row>
    <row r="112">
      <c r="A112" s="102" t="s">
        <v>310</v>
      </c>
      <c r="B112" s="102" t="s">
        <v>4859</v>
      </c>
      <c r="C112" s="229" t="s">
        <v>4860</v>
      </c>
      <c r="D112" s="102" t="s">
        <v>4861</v>
      </c>
      <c r="E112" s="102" t="s">
        <v>564</v>
      </c>
      <c r="F112" s="102" t="s">
        <v>565</v>
      </c>
      <c r="G112" s="102" t="s">
        <v>282</v>
      </c>
      <c r="H112" s="102" t="s">
        <v>283</v>
      </c>
      <c r="I112" s="102" t="s">
        <v>284</v>
      </c>
      <c r="J112" s="102" t="s">
        <v>26</v>
      </c>
      <c r="L112" s="229" t="s">
        <v>4862</v>
      </c>
      <c r="M112" s="229" t="s">
        <v>4808</v>
      </c>
      <c r="O112" s="102">
        <v>2.0</v>
      </c>
      <c r="P112" s="102" t="s">
        <v>593</v>
      </c>
      <c r="T112" s="230"/>
      <c r="U112" s="102" t="str">
        <f>IF(ISNUMBER(MATCH(B112, 'Sprint 17'!B:B, 0)), "มาจาก Sprint 17", "")</f>
        <v>มาจาก Sprint 17</v>
      </c>
      <c r="V112" s="102" t="str">
        <f t="array" ref="V112">IF(ISNUMBER(MATCH(B112, 'Sprint 17'!B:B, 0)), INDEX('Sprint 17'!J:J, MATCH(B112, 'Sprint 17'!B:B, 0)), "")</f>
        <v>In Review</v>
      </c>
      <c r="X112" s="102" t="s">
        <v>3557</v>
      </c>
      <c r="Y112" s="102" t="s">
        <v>1991</v>
      </c>
    </row>
    <row r="113">
      <c r="A113" s="102" t="s">
        <v>310</v>
      </c>
      <c r="B113" s="102" t="s">
        <v>4863</v>
      </c>
      <c r="C113" s="229" t="s">
        <v>4864</v>
      </c>
      <c r="D113" s="102" t="s">
        <v>4865</v>
      </c>
      <c r="E113" s="102" t="s">
        <v>353</v>
      </c>
      <c r="F113" s="102" t="s">
        <v>354</v>
      </c>
      <c r="G113" s="102" t="s">
        <v>282</v>
      </c>
      <c r="H113" s="102" t="s">
        <v>283</v>
      </c>
      <c r="I113" s="102" t="s">
        <v>284</v>
      </c>
      <c r="J113" s="102" t="s">
        <v>26</v>
      </c>
      <c r="L113" s="229" t="s">
        <v>4866</v>
      </c>
      <c r="M113" s="229" t="s">
        <v>4867</v>
      </c>
      <c r="O113" s="102">
        <v>1.0</v>
      </c>
      <c r="P113" s="102" t="s">
        <v>593</v>
      </c>
      <c r="T113" s="230"/>
      <c r="U113" s="102" t="str">
        <f>IF(ISNUMBER(MATCH(B113, 'Sprint 17'!B:B, 0)), "มาจาก Sprint 17", "")</f>
        <v>มาจาก Sprint 17</v>
      </c>
      <c r="V113" s="102" t="str">
        <f t="array" ref="V113">IF(ISNUMBER(MATCH(B113, 'Sprint 17'!B:B, 0)), INDEX('Sprint 17'!J:J, MATCH(B113, 'Sprint 17'!B:B, 0)), "")</f>
        <v>In Review</v>
      </c>
      <c r="X113" s="102" t="s">
        <v>3557</v>
      </c>
      <c r="Y113" s="102" t="s">
        <v>1991</v>
      </c>
    </row>
    <row r="114">
      <c r="A114" s="102" t="s">
        <v>310</v>
      </c>
      <c r="B114" s="102" t="s">
        <v>4868</v>
      </c>
      <c r="C114" s="229" t="s">
        <v>4869</v>
      </c>
      <c r="D114" s="102" t="s">
        <v>4870</v>
      </c>
      <c r="E114" s="102" t="s">
        <v>353</v>
      </c>
      <c r="F114" s="102" t="s">
        <v>354</v>
      </c>
      <c r="G114" s="102" t="s">
        <v>282</v>
      </c>
      <c r="H114" s="102" t="s">
        <v>283</v>
      </c>
      <c r="I114" s="102" t="s">
        <v>284</v>
      </c>
      <c r="J114" s="102" t="s">
        <v>26</v>
      </c>
      <c r="L114" s="229" t="s">
        <v>4871</v>
      </c>
      <c r="M114" s="229" t="s">
        <v>4808</v>
      </c>
      <c r="O114" s="102">
        <v>3.0</v>
      </c>
      <c r="P114" s="102" t="s">
        <v>593</v>
      </c>
      <c r="T114" s="230"/>
      <c r="U114" s="102" t="str">
        <f>IF(ISNUMBER(MATCH(B114, 'Sprint 17'!B:B, 0)), "มาจาก Sprint 17", "")</f>
        <v>มาจาก Sprint 17</v>
      </c>
      <c r="V114" s="102" t="str">
        <f t="array" ref="V114">IF(ISNUMBER(MATCH(B114, 'Sprint 17'!B:B, 0)), INDEX('Sprint 17'!J:J, MATCH(B114, 'Sprint 17'!B:B, 0)), "")</f>
        <v>In Review</v>
      </c>
      <c r="X114" s="102" t="s">
        <v>3557</v>
      </c>
      <c r="Y114" s="102" t="s">
        <v>1991</v>
      </c>
    </row>
    <row r="115">
      <c r="A115" s="102" t="s">
        <v>310</v>
      </c>
      <c r="B115" s="102" t="s">
        <v>4872</v>
      </c>
      <c r="C115" s="229" t="s">
        <v>4873</v>
      </c>
      <c r="D115" s="102" t="s">
        <v>4874</v>
      </c>
      <c r="E115" s="102" t="s">
        <v>584</v>
      </c>
      <c r="F115" s="102" t="s">
        <v>585</v>
      </c>
      <c r="G115" s="102" t="s">
        <v>362</v>
      </c>
      <c r="H115" s="102" t="s">
        <v>363</v>
      </c>
      <c r="I115" s="102" t="s">
        <v>284</v>
      </c>
      <c r="J115" s="102" t="s">
        <v>26</v>
      </c>
      <c r="L115" s="229" t="s">
        <v>4875</v>
      </c>
      <c r="M115" s="229" t="s">
        <v>4876</v>
      </c>
      <c r="O115" s="102">
        <v>1.0</v>
      </c>
      <c r="P115" s="102" t="s">
        <v>4656</v>
      </c>
      <c r="Q115" s="102" t="s">
        <v>368</v>
      </c>
      <c r="T115" s="102">
        <v>7200.0</v>
      </c>
      <c r="U115" s="102" t="str">
        <f>IF(ISNUMBER(MATCH(B115, 'Sprint 17'!B:B, 0)), "มาจาก Sprint 17", "")</f>
        <v/>
      </c>
      <c r="V115" s="102" t="str">
        <f t="array" ref="V115">IF(ISNUMBER(MATCH(B115, 'Sprint 17'!B:B, 0)), INDEX('Sprint 17'!J:J, MATCH(B115, 'Sprint 17'!B:B, 0)), "")</f>
        <v/>
      </c>
      <c r="W115" s="102"/>
      <c r="X115" s="102" t="s">
        <v>2267</v>
      </c>
      <c r="Y115" s="102" t="s">
        <v>4150</v>
      </c>
      <c r="AK115" s="102"/>
    </row>
    <row r="116">
      <c r="A116" s="102" t="s">
        <v>276</v>
      </c>
      <c r="B116" s="102" t="s">
        <v>4569</v>
      </c>
      <c r="C116" s="229" t="s">
        <v>4570</v>
      </c>
      <c r="D116" s="102" t="s">
        <v>4571</v>
      </c>
      <c r="E116" s="102" t="s">
        <v>521</v>
      </c>
      <c r="F116" s="102" t="s">
        <v>522</v>
      </c>
      <c r="G116" s="102" t="s">
        <v>521</v>
      </c>
      <c r="H116" s="102" t="s">
        <v>522</v>
      </c>
      <c r="I116" s="102" t="s">
        <v>284</v>
      </c>
      <c r="J116" s="102" t="s">
        <v>63</v>
      </c>
      <c r="L116" s="229" t="s">
        <v>4572</v>
      </c>
      <c r="M116" s="229" t="s">
        <v>4877</v>
      </c>
      <c r="O116" s="230"/>
      <c r="T116" s="230"/>
      <c r="U116" s="102" t="str">
        <f>IF(ISNUMBER(MATCH(B116, 'Sprint 17'!B:B, 0)), "มาจาก Sprint 17", "")</f>
        <v>มาจาก Sprint 17</v>
      </c>
      <c r="V116" s="102" t="str">
        <f t="array" ref="V116">IF(ISNUMBER(MATCH(B116, 'Sprint 17'!B:B, 0)), INDEX('Sprint 17'!J:J, MATCH(B116, 'Sprint 17'!B:B, 0)), "")</f>
        <v>To Do</v>
      </c>
      <c r="X116" s="102" t="s">
        <v>4247</v>
      </c>
      <c r="Y116" s="102" t="s">
        <v>4248</v>
      </c>
      <c r="Z116" s="102" t="s">
        <v>4249</v>
      </c>
      <c r="AK116" s="102"/>
    </row>
    <row r="117">
      <c r="A117" s="102" t="s">
        <v>276</v>
      </c>
      <c r="B117" s="102" t="s">
        <v>4574</v>
      </c>
      <c r="C117" s="229" t="s">
        <v>4575</v>
      </c>
      <c r="D117" s="102" t="s">
        <v>4576</v>
      </c>
      <c r="E117" s="102" t="s">
        <v>521</v>
      </c>
      <c r="F117" s="102" t="s">
        <v>522</v>
      </c>
      <c r="G117" s="102" t="s">
        <v>521</v>
      </c>
      <c r="H117" s="102" t="s">
        <v>522</v>
      </c>
      <c r="I117" s="102" t="s">
        <v>284</v>
      </c>
      <c r="J117" s="102" t="s">
        <v>26</v>
      </c>
      <c r="L117" s="229" t="s">
        <v>4572</v>
      </c>
      <c r="M117" s="229" t="s">
        <v>4577</v>
      </c>
      <c r="O117" s="230"/>
      <c r="T117" s="230"/>
      <c r="U117" s="102" t="str">
        <f>IF(ISNUMBER(MATCH(B117, 'Sprint 17'!B:B, 0)), "มาจาก Sprint 17", "")</f>
        <v>มาจาก Sprint 17</v>
      </c>
      <c r="V117" s="102" t="str">
        <f t="array" ref="V117">IF(ISNUMBER(MATCH(B117, 'Sprint 17'!B:B, 0)), INDEX('Sprint 17'!J:J, MATCH(B117, 'Sprint 17'!B:B, 0)), "")</f>
        <v>To Do</v>
      </c>
      <c r="X117" s="102" t="s">
        <v>4247</v>
      </c>
      <c r="Y117" s="102" t="s">
        <v>4248</v>
      </c>
      <c r="Z117" s="102" t="s">
        <v>4249</v>
      </c>
      <c r="AK117" s="102"/>
    </row>
    <row r="118">
      <c r="A118" s="102" t="s">
        <v>276</v>
      </c>
      <c r="B118" s="102" t="s">
        <v>4578</v>
      </c>
      <c r="C118" s="229" t="s">
        <v>4579</v>
      </c>
      <c r="D118" s="102" t="s">
        <v>4580</v>
      </c>
      <c r="E118" s="102" t="s">
        <v>521</v>
      </c>
      <c r="F118" s="102" t="s">
        <v>522</v>
      </c>
      <c r="G118" s="102" t="s">
        <v>521</v>
      </c>
      <c r="H118" s="102" t="s">
        <v>522</v>
      </c>
      <c r="I118" s="102" t="s">
        <v>284</v>
      </c>
      <c r="J118" s="102" t="s">
        <v>26</v>
      </c>
      <c r="L118" s="229" t="s">
        <v>4581</v>
      </c>
      <c r="M118" s="229" t="s">
        <v>4582</v>
      </c>
      <c r="O118" s="230"/>
      <c r="T118" s="230"/>
      <c r="U118" s="102" t="str">
        <f>IF(ISNUMBER(MATCH(B118, 'Sprint 17'!B:B, 0)), "มาจาก Sprint 17", "")</f>
        <v>มาจาก Sprint 17</v>
      </c>
      <c r="V118" s="102" t="str">
        <f t="array" ref="V118">IF(ISNUMBER(MATCH(B118, 'Sprint 17'!B:B, 0)), INDEX('Sprint 17'!J:J, MATCH(B118, 'Sprint 17'!B:B, 0)), "")</f>
        <v>In Progress</v>
      </c>
      <c r="X118" s="102" t="s">
        <v>4247</v>
      </c>
      <c r="Y118" s="102" t="s">
        <v>4248</v>
      </c>
      <c r="Z118" s="102" t="s">
        <v>4249</v>
      </c>
      <c r="AK118" s="102"/>
    </row>
    <row r="119">
      <c r="A119" s="102" t="s">
        <v>276</v>
      </c>
      <c r="B119" s="102" t="s">
        <v>4583</v>
      </c>
      <c r="C119" s="229" t="s">
        <v>4584</v>
      </c>
      <c r="D119" s="102" t="s">
        <v>4585</v>
      </c>
      <c r="E119" s="102" t="s">
        <v>521</v>
      </c>
      <c r="F119" s="102" t="s">
        <v>522</v>
      </c>
      <c r="G119" s="102" t="s">
        <v>521</v>
      </c>
      <c r="H119" s="102" t="s">
        <v>522</v>
      </c>
      <c r="I119" s="102" t="s">
        <v>284</v>
      </c>
      <c r="J119" s="102" t="s">
        <v>34</v>
      </c>
      <c r="L119" s="229" t="s">
        <v>4586</v>
      </c>
      <c r="M119" s="229" t="s">
        <v>4878</v>
      </c>
      <c r="O119" s="230"/>
      <c r="T119" s="230"/>
      <c r="U119" s="102" t="str">
        <f>IF(ISNUMBER(MATCH(B119, 'Sprint 17'!B:B, 0)), "มาจาก Sprint 17", "")</f>
        <v>มาจาก Sprint 17</v>
      </c>
      <c r="V119" s="102" t="str">
        <f t="array" ref="V119">IF(ISNUMBER(MATCH(B119, 'Sprint 17'!B:B, 0)), INDEX('Sprint 17'!J:J, MATCH(B119, 'Sprint 17'!B:B, 0)), "")</f>
        <v>In Progress</v>
      </c>
      <c r="X119" s="102" t="s">
        <v>4247</v>
      </c>
      <c r="Y119" s="102" t="s">
        <v>4248</v>
      </c>
      <c r="Z119" s="102" t="s">
        <v>4249</v>
      </c>
      <c r="AK119" s="102"/>
    </row>
    <row r="120">
      <c r="A120" s="102" t="s">
        <v>276</v>
      </c>
      <c r="B120" s="102" t="s">
        <v>4588</v>
      </c>
      <c r="C120" s="229" t="s">
        <v>4589</v>
      </c>
      <c r="D120" s="102" t="s">
        <v>4590</v>
      </c>
      <c r="E120" s="102" t="s">
        <v>521</v>
      </c>
      <c r="F120" s="102" t="s">
        <v>522</v>
      </c>
      <c r="G120" s="102" t="s">
        <v>521</v>
      </c>
      <c r="H120" s="102" t="s">
        <v>522</v>
      </c>
      <c r="I120" s="102" t="s">
        <v>284</v>
      </c>
      <c r="J120" s="102" t="s">
        <v>34</v>
      </c>
      <c r="L120" s="229" t="s">
        <v>4591</v>
      </c>
      <c r="M120" s="229" t="s">
        <v>4555</v>
      </c>
      <c r="O120" s="230"/>
      <c r="S120" s="230"/>
      <c r="T120" s="230"/>
      <c r="U120" s="102" t="str">
        <f>IF(ISNUMBER(MATCH(B120, 'Sprint 17'!B:B, 0)), "มาจาก Sprint 17", "")</f>
        <v>มาจาก Sprint 17</v>
      </c>
      <c r="V120" s="102" t="str">
        <f t="array" ref="V120">IF(ISNUMBER(MATCH(B120, 'Sprint 17'!B:B, 0)), INDEX('Sprint 17'!J:J, MATCH(B120, 'Sprint 17'!B:B, 0)), "")</f>
        <v>In Progress</v>
      </c>
      <c r="W120" s="230"/>
      <c r="X120" s="102" t="s">
        <v>4247</v>
      </c>
      <c r="Y120" s="102" t="s">
        <v>4248</v>
      </c>
      <c r="Z120" s="102" t="s">
        <v>4249</v>
      </c>
    </row>
    <row r="121">
      <c r="A121" s="102" t="s">
        <v>276</v>
      </c>
      <c r="B121" s="102" t="s">
        <v>4592</v>
      </c>
      <c r="C121" s="229" t="s">
        <v>4593</v>
      </c>
      <c r="D121" s="102" t="s">
        <v>4594</v>
      </c>
      <c r="E121" s="102" t="s">
        <v>521</v>
      </c>
      <c r="F121" s="102" t="s">
        <v>522</v>
      </c>
      <c r="G121" s="102" t="s">
        <v>521</v>
      </c>
      <c r="H121" s="102" t="s">
        <v>522</v>
      </c>
      <c r="I121" s="102" t="s">
        <v>284</v>
      </c>
      <c r="J121" s="102" t="s">
        <v>34</v>
      </c>
      <c r="L121" s="229" t="s">
        <v>4591</v>
      </c>
      <c r="M121" s="229" t="s">
        <v>4555</v>
      </c>
      <c r="O121" s="230"/>
      <c r="S121" s="230"/>
      <c r="T121" s="230"/>
      <c r="U121" s="102" t="str">
        <f>IF(ISNUMBER(MATCH(B121, 'Sprint 17'!B:B, 0)), "มาจาก Sprint 17", "")</f>
        <v>มาจาก Sprint 17</v>
      </c>
      <c r="V121" s="102" t="str">
        <f t="array" ref="V121">IF(ISNUMBER(MATCH(B121, 'Sprint 17'!B:B, 0)), INDEX('Sprint 17'!J:J, MATCH(B121, 'Sprint 17'!B:B, 0)), "")</f>
        <v>In Progress</v>
      </c>
      <c r="W121" s="230"/>
      <c r="X121" s="102" t="s">
        <v>4247</v>
      </c>
      <c r="Y121" s="102" t="s">
        <v>4248</v>
      </c>
      <c r="Z121" s="102" t="s">
        <v>4249</v>
      </c>
      <c r="AJ121" s="102"/>
      <c r="AK121" s="102"/>
      <c r="AL121" s="102"/>
    </row>
    <row r="122">
      <c r="A122" s="102" t="s">
        <v>630</v>
      </c>
      <c r="B122" s="102" t="s">
        <v>4879</v>
      </c>
      <c r="C122" s="229" t="s">
        <v>4880</v>
      </c>
      <c r="D122" s="102" t="s">
        <v>4881</v>
      </c>
      <c r="G122" s="102" t="s">
        <v>353</v>
      </c>
      <c r="H122" s="102" t="s">
        <v>354</v>
      </c>
      <c r="I122" s="102" t="s">
        <v>284</v>
      </c>
      <c r="J122" s="102" t="s">
        <v>63</v>
      </c>
      <c r="L122" s="229" t="s">
        <v>4882</v>
      </c>
      <c r="M122" s="229" t="s">
        <v>4883</v>
      </c>
      <c r="O122" s="230"/>
      <c r="S122" s="230"/>
      <c r="T122" s="230"/>
      <c r="U122" s="102" t="str">
        <f>IF(ISNUMBER(MATCH(B122, 'Sprint 17'!B:B, 0)), "มาจาก Sprint 17", "")</f>
        <v>มาจาก Sprint 17</v>
      </c>
      <c r="V122" s="102" t="str">
        <f t="array" ref="V122">IF(ISNUMBER(MATCH(B122, 'Sprint 17'!B:B, 0)), INDEX('Sprint 17'!J:J, MATCH(B122, 'Sprint 17'!B:B, 0)), "")</f>
        <v>To Do</v>
      </c>
      <c r="W122" s="230"/>
      <c r="X122" s="102" t="s">
        <v>2267</v>
      </c>
      <c r="Y122" s="102" t="s">
        <v>4884</v>
      </c>
      <c r="Z122" s="102" t="s">
        <v>4150</v>
      </c>
      <c r="AJ122" s="102"/>
      <c r="AK122" s="102"/>
      <c r="AL122" s="102"/>
    </row>
    <row r="123">
      <c r="A123" s="102" t="s">
        <v>310</v>
      </c>
      <c r="B123" s="102" t="s">
        <v>4236</v>
      </c>
      <c r="C123" s="229" t="s">
        <v>4237</v>
      </c>
      <c r="D123" s="102" t="s">
        <v>2057</v>
      </c>
      <c r="E123" s="102" t="s">
        <v>495</v>
      </c>
      <c r="F123" s="102" t="s">
        <v>496</v>
      </c>
      <c r="G123" s="102" t="s">
        <v>353</v>
      </c>
      <c r="H123" s="102" t="s">
        <v>354</v>
      </c>
      <c r="I123" s="102" t="s">
        <v>284</v>
      </c>
      <c r="J123" s="102" t="s">
        <v>678</v>
      </c>
      <c r="L123" s="229" t="s">
        <v>4238</v>
      </c>
      <c r="M123" s="229" t="s">
        <v>4781</v>
      </c>
      <c r="O123" s="102">
        <v>2.0</v>
      </c>
      <c r="P123" s="102" t="s">
        <v>593</v>
      </c>
      <c r="Q123" s="102" t="s">
        <v>4240</v>
      </c>
      <c r="S123" s="230"/>
      <c r="T123" s="102">
        <v>14400.0</v>
      </c>
      <c r="U123" s="102" t="str">
        <f>IF(ISNUMBER(MATCH(B123, 'Sprint 17'!B:B, 0)), "มาจาก Sprint 17", "")</f>
        <v/>
      </c>
      <c r="V123" s="102" t="str">
        <f t="array" ref="V123">IF(ISNUMBER(MATCH(B123, 'Sprint 17'!B:B, 0)), INDEX('Sprint 17'!J:J, MATCH(B123, 'Sprint 17'!B:B, 0)), "")</f>
        <v/>
      </c>
      <c r="W123" s="102"/>
      <c r="X123" s="102" t="s">
        <v>3043</v>
      </c>
      <c r="Y123" s="102" t="s">
        <v>3035</v>
      </c>
      <c r="Z123" s="102" t="s">
        <v>3036</v>
      </c>
    </row>
    <row r="124">
      <c r="A124" s="102" t="s">
        <v>310</v>
      </c>
      <c r="B124" s="102" t="s">
        <v>4595</v>
      </c>
      <c r="C124" s="229" t="s">
        <v>4596</v>
      </c>
      <c r="D124" s="102" t="s">
        <v>4597</v>
      </c>
      <c r="E124" s="102" t="s">
        <v>495</v>
      </c>
      <c r="F124" s="102" t="s">
        <v>496</v>
      </c>
      <c r="G124" s="102" t="s">
        <v>282</v>
      </c>
      <c r="H124" s="102" t="s">
        <v>283</v>
      </c>
      <c r="I124" s="102" t="s">
        <v>284</v>
      </c>
      <c r="J124" s="102" t="s">
        <v>678</v>
      </c>
      <c r="L124" s="229" t="s">
        <v>4598</v>
      </c>
      <c r="M124" s="229" t="s">
        <v>4885</v>
      </c>
      <c r="O124" s="102">
        <v>8.0</v>
      </c>
      <c r="S124" s="230"/>
      <c r="T124" s="102">
        <v>43200.0</v>
      </c>
      <c r="U124" s="102" t="str">
        <f>IF(ISNUMBER(MATCH(B124, 'Sprint 17'!B:B, 0)), "มาจาก Sprint 17", "")</f>
        <v/>
      </c>
      <c r="V124" s="102" t="str">
        <f t="array" ref="V124">IF(ISNUMBER(MATCH(B124, 'Sprint 17'!B:B, 0)), INDEX('Sprint 17'!J:J, MATCH(B124, 'Sprint 17'!B:B, 0)), "")</f>
        <v/>
      </c>
      <c r="W124" s="102"/>
      <c r="X124" s="102" t="s">
        <v>4249</v>
      </c>
      <c r="Y124" s="230"/>
      <c r="AJ124" s="102"/>
      <c r="AK124" s="102"/>
    </row>
    <row r="125">
      <c r="A125" s="102" t="s">
        <v>310</v>
      </c>
      <c r="B125" s="102" t="s">
        <v>4241</v>
      </c>
      <c r="C125" s="229" t="s">
        <v>4242</v>
      </c>
      <c r="D125" s="102" t="s">
        <v>4243</v>
      </c>
      <c r="E125" s="102" t="s">
        <v>564</v>
      </c>
      <c r="F125" s="102" t="s">
        <v>565</v>
      </c>
      <c r="G125" s="102" t="s">
        <v>282</v>
      </c>
      <c r="H125" s="102" t="s">
        <v>283</v>
      </c>
      <c r="I125" s="102" t="s">
        <v>284</v>
      </c>
      <c r="J125" s="102" t="s">
        <v>454</v>
      </c>
      <c r="L125" s="229" t="s">
        <v>4244</v>
      </c>
      <c r="M125" s="229" t="s">
        <v>4600</v>
      </c>
      <c r="N125" s="229" t="s">
        <v>4246</v>
      </c>
      <c r="O125" s="102">
        <v>5.0</v>
      </c>
      <c r="P125" s="102" t="s">
        <v>593</v>
      </c>
      <c r="S125" s="230"/>
      <c r="T125" s="102">
        <v>0.0</v>
      </c>
      <c r="U125" s="102" t="str">
        <f>IF(ISNUMBER(MATCH(B125, 'Sprint 17'!B:B, 0)), "มาจาก Sprint 17", "")</f>
        <v>มาจาก Sprint 17</v>
      </c>
      <c r="V125" s="102" t="str">
        <f t="array" ref="V125">IF(ISNUMBER(MATCH(B125, 'Sprint 17'!B:B, 0)), INDEX('Sprint 17'!J:J, MATCH(B125, 'Sprint 17'!B:B, 0)), "")</f>
        <v>Ready To Test</v>
      </c>
      <c r="W125" s="229" t="s">
        <v>4886</v>
      </c>
      <c r="X125" s="102" t="s">
        <v>4247</v>
      </c>
      <c r="Y125" s="102" t="s">
        <v>4248</v>
      </c>
      <c r="Z125" s="102" t="s">
        <v>4249</v>
      </c>
      <c r="AJ125" s="102"/>
      <c r="AK125" s="102"/>
    </row>
    <row r="126">
      <c r="A126" s="102" t="s">
        <v>310</v>
      </c>
      <c r="B126" s="102" t="s">
        <v>4251</v>
      </c>
      <c r="C126" s="229" t="s">
        <v>4252</v>
      </c>
      <c r="D126" s="102" t="s">
        <v>4253</v>
      </c>
      <c r="E126" s="102" t="s">
        <v>556</v>
      </c>
      <c r="F126" s="102" t="s">
        <v>557</v>
      </c>
      <c r="G126" s="102" t="s">
        <v>353</v>
      </c>
      <c r="H126" s="102" t="s">
        <v>354</v>
      </c>
      <c r="I126" s="102" t="s">
        <v>284</v>
      </c>
      <c r="J126" s="102" t="s">
        <v>678</v>
      </c>
      <c r="L126" s="229" t="s">
        <v>4254</v>
      </c>
      <c r="M126" s="229" t="s">
        <v>4781</v>
      </c>
      <c r="O126" s="230"/>
      <c r="S126" s="230"/>
      <c r="T126" s="230"/>
      <c r="U126" s="102" t="str">
        <f>IF(ISNUMBER(MATCH(B126, 'Sprint 17'!B:B, 0)), "มาจาก Sprint 17", "")</f>
        <v/>
      </c>
      <c r="V126" s="102" t="str">
        <f t="array" ref="V126">IF(ISNUMBER(MATCH(B126, 'Sprint 17'!B:B, 0)), INDEX('Sprint 17'!J:J, MATCH(B126, 'Sprint 17'!B:B, 0)), "")</f>
        <v/>
      </c>
      <c r="W126" s="230"/>
      <c r="X126" s="102" t="s">
        <v>3043</v>
      </c>
      <c r="Y126" s="102" t="s">
        <v>3035</v>
      </c>
      <c r="Z126" s="102" t="s">
        <v>3036</v>
      </c>
      <c r="AJ126" s="102"/>
      <c r="AK126" s="102"/>
    </row>
    <row r="127">
      <c r="A127" s="102" t="s">
        <v>310</v>
      </c>
      <c r="B127" s="102" t="s">
        <v>4256</v>
      </c>
      <c r="C127" s="229" t="s">
        <v>4257</v>
      </c>
      <c r="D127" s="102" t="s">
        <v>4258</v>
      </c>
      <c r="E127" s="102" t="s">
        <v>556</v>
      </c>
      <c r="F127" s="102" t="s">
        <v>557</v>
      </c>
      <c r="G127" s="102" t="s">
        <v>353</v>
      </c>
      <c r="H127" s="102" t="s">
        <v>354</v>
      </c>
      <c r="I127" s="102" t="s">
        <v>284</v>
      </c>
      <c r="J127" s="102" t="s">
        <v>678</v>
      </c>
      <c r="L127" s="229" t="s">
        <v>4259</v>
      </c>
      <c r="M127" s="229" t="s">
        <v>4781</v>
      </c>
      <c r="O127" s="102">
        <v>3.0</v>
      </c>
      <c r="S127" s="230"/>
      <c r="T127" s="230"/>
      <c r="U127" s="102" t="str">
        <f>IF(ISNUMBER(MATCH(B127, 'Sprint 17'!B:B, 0)), "มาจาก Sprint 17", "")</f>
        <v/>
      </c>
      <c r="V127" s="102" t="str">
        <f t="array" ref="V127">IF(ISNUMBER(MATCH(B127, 'Sprint 17'!B:B, 0)), INDEX('Sprint 17'!J:J, MATCH(B127, 'Sprint 17'!B:B, 0)), "")</f>
        <v/>
      </c>
      <c r="W127" s="230"/>
      <c r="X127" s="102" t="s">
        <v>3043</v>
      </c>
      <c r="Y127" s="102" t="s">
        <v>3035</v>
      </c>
      <c r="Z127" s="102" t="s">
        <v>3036</v>
      </c>
      <c r="AJ127" s="102"/>
      <c r="AK127" s="102"/>
    </row>
    <row r="128">
      <c r="A128" s="102" t="s">
        <v>310</v>
      </c>
      <c r="B128" s="102" t="s">
        <v>4261</v>
      </c>
      <c r="C128" s="229" t="s">
        <v>4262</v>
      </c>
      <c r="D128" s="102" t="s">
        <v>4263</v>
      </c>
      <c r="E128" s="102" t="s">
        <v>556</v>
      </c>
      <c r="F128" s="102" t="s">
        <v>557</v>
      </c>
      <c r="G128" s="102" t="s">
        <v>353</v>
      </c>
      <c r="H128" s="102" t="s">
        <v>354</v>
      </c>
      <c r="I128" s="102" t="s">
        <v>284</v>
      </c>
      <c r="J128" s="102" t="s">
        <v>678</v>
      </c>
      <c r="L128" s="229" t="s">
        <v>4264</v>
      </c>
      <c r="M128" s="229" t="s">
        <v>4781</v>
      </c>
      <c r="O128" s="102">
        <v>3.0</v>
      </c>
      <c r="S128" s="230"/>
      <c r="T128" s="230"/>
      <c r="U128" s="102" t="str">
        <f>IF(ISNUMBER(MATCH(B128, 'Sprint 17'!B:B, 0)), "มาจาก Sprint 17", "")</f>
        <v/>
      </c>
      <c r="V128" s="102" t="str">
        <f t="array" ref="V128">IF(ISNUMBER(MATCH(B128, 'Sprint 17'!B:B, 0)), INDEX('Sprint 17'!J:J, MATCH(B128, 'Sprint 17'!B:B, 0)), "")</f>
        <v/>
      </c>
      <c r="W128" s="230"/>
      <c r="X128" s="102" t="s">
        <v>3043</v>
      </c>
      <c r="Y128" s="102" t="s">
        <v>3035</v>
      </c>
      <c r="Z128" s="102" t="s">
        <v>3036</v>
      </c>
      <c r="AJ128" s="102"/>
      <c r="AK128" s="102"/>
    </row>
    <row r="129">
      <c r="A129" s="102" t="s">
        <v>310</v>
      </c>
      <c r="B129" s="102" t="s">
        <v>4265</v>
      </c>
      <c r="C129" s="229" t="s">
        <v>4266</v>
      </c>
      <c r="D129" s="102" t="s">
        <v>4267</v>
      </c>
      <c r="E129" s="102" t="s">
        <v>564</v>
      </c>
      <c r="F129" s="102" t="s">
        <v>565</v>
      </c>
      <c r="G129" s="102" t="s">
        <v>353</v>
      </c>
      <c r="H129" s="102" t="s">
        <v>354</v>
      </c>
      <c r="I129" s="102" t="s">
        <v>284</v>
      </c>
      <c r="J129" s="102" t="s">
        <v>678</v>
      </c>
      <c r="L129" s="229" t="s">
        <v>4264</v>
      </c>
      <c r="M129" s="229" t="s">
        <v>4781</v>
      </c>
      <c r="N129" s="229" t="s">
        <v>4268</v>
      </c>
      <c r="O129" s="102">
        <v>3.0</v>
      </c>
      <c r="S129" s="230"/>
      <c r="T129" s="102">
        <v>28800.0</v>
      </c>
      <c r="U129" s="102" t="str">
        <f>IF(ISNUMBER(MATCH(B129, 'Sprint 17'!B:B, 0)), "มาจาก Sprint 17", "")</f>
        <v/>
      </c>
      <c r="V129" s="102" t="str">
        <f t="array" ref="V129">IF(ISNUMBER(MATCH(B129, 'Sprint 17'!B:B, 0)), INDEX('Sprint 17'!J:J, MATCH(B129, 'Sprint 17'!B:B, 0)), "")</f>
        <v/>
      </c>
      <c r="W129" s="102"/>
      <c r="X129" s="102" t="s">
        <v>3043</v>
      </c>
      <c r="Y129" s="102" t="s">
        <v>3035</v>
      </c>
      <c r="Z129" s="102" t="s">
        <v>3036</v>
      </c>
      <c r="AJ129" s="102"/>
      <c r="AK129" s="102"/>
    </row>
    <row r="130">
      <c r="A130" s="102" t="s">
        <v>310</v>
      </c>
      <c r="B130" s="102" t="s">
        <v>3039</v>
      </c>
      <c r="C130" s="229" t="s">
        <v>3040</v>
      </c>
      <c r="D130" s="102" t="s">
        <v>3041</v>
      </c>
      <c r="E130" s="102" t="s">
        <v>584</v>
      </c>
      <c r="F130" s="102" t="s">
        <v>585</v>
      </c>
      <c r="G130" s="102" t="s">
        <v>353</v>
      </c>
      <c r="H130" s="102" t="s">
        <v>354</v>
      </c>
      <c r="I130" s="102" t="s">
        <v>284</v>
      </c>
      <c r="J130" s="102" t="s">
        <v>678</v>
      </c>
      <c r="L130" s="229" t="s">
        <v>3042</v>
      </c>
      <c r="M130" s="229" t="s">
        <v>4781</v>
      </c>
      <c r="O130" s="102">
        <v>5.0</v>
      </c>
      <c r="S130" s="230"/>
      <c r="T130" s="102">
        <v>86400.0</v>
      </c>
      <c r="U130" s="102" t="str">
        <f>IF(ISNUMBER(MATCH(B130, 'Sprint 17'!B:B, 0)), "มาจาก Sprint 17", "")</f>
        <v/>
      </c>
      <c r="V130" s="102" t="str">
        <f t="array" ref="V130">IF(ISNUMBER(MATCH(B130, 'Sprint 17'!B:B, 0)), INDEX('Sprint 17'!J:J, MATCH(B130, 'Sprint 17'!B:B, 0)), "")</f>
        <v/>
      </c>
      <c r="W130" s="102"/>
      <c r="X130" s="102" t="s">
        <v>3043</v>
      </c>
      <c r="Y130" s="102" t="s">
        <v>3035</v>
      </c>
      <c r="Z130" s="102" t="s">
        <v>3036</v>
      </c>
      <c r="AJ130" s="102"/>
      <c r="AK130" s="102"/>
      <c r="AL130" s="102"/>
    </row>
    <row r="131">
      <c r="A131" s="102" t="s">
        <v>310</v>
      </c>
      <c r="B131" s="102" t="s">
        <v>4269</v>
      </c>
      <c r="C131" s="229" t="s">
        <v>4270</v>
      </c>
      <c r="D131" s="102" t="s">
        <v>4271</v>
      </c>
      <c r="E131" s="102" t="s">
        <v>556</v>
      </c>
      <c r="F131" s="102" t="s">
        <v>557</v>
      </c>
      <c r="G131" s="102" t="s">
        <v>353</v>
      </c>
      <c r="H131" s="102" t="s">
        <v>354</v>
      </c>
      <c r="I131" s="102" t="s">
        <v>284</v>
      </c>
      <c r="J131" s="102" t="s">
        <v>678</v>
      </c>
      <c r="L131" s="229" t="s">
        <v>4272</v>
      </c>
      <c r="M131" s="229" t="s">
        <v>4781</v>
      </c>
      <c r="O131" s="102">
        <v>5.0</v>
      </c>
      <c r="P131" s="102" t="s">
        <v>593</v>
      </c>
      <c r="Q131" s="102" t="s">
        <v>4240</v>
      </c>
      <c r="S131" s="230"/>
      <c r="T131" s="230"/>
      <c r="U131" s="102" t="str">
        <f>IF(ISNUMBER(MATCH(B131, 'Sprint 17'!B:B, 0)), "มาจาก Sprint 17", "")</f>
        <v/>
      </c>
      <c r="V131" s="102" t="str">
        <f t="array" ref="V131">IF(ISNUMBER(MATCH(B131, 'Sprint 17'!B:B, 0)), INDEX('Sprint 17'!J:J, MATCH(B131, 'Sprint 17'!B:B, 0)), "")</f>
        <v/>
      </c>
      <c r="W131" s="230"/>
      <c r="X131" s="102" t="s">
        <v>3043</v>
      </c>
      <c r="Y131" s="102" t="s">
        <v>3035</v>
      </c>
      <c r="Z131" s="102" t="s">
        <v>3036</v>
      </c>
      <c r="AJ131" s="102"/>
      <c r="AK131" s="102"/>
      <c r="AL131" s="102"/>
    </row>
    <row r="132">
      <c r="A132" s="102" t="s">
        <v>310</v>
      </c>
      <c r="B132" s="102" t="s">
        <v>4602</v>
      </c>
      <c r="C132" s="229" t="s">
        <v>4603</v>
      </c>
      <c r="D132" s="102" t="s">
        <v>4604</v>
      </c>
      <c r="E132" s="102" t="s">
        <v>556</v>
      </c>
      <c r="F132" s="102" t="s">
        <v>557</v>
      </c>
      <c r="G132" s="102" t="s">
        <v>282</v>
      </c>
      <c r="H132" s="102" t="s">
        <v>283</v>
      </c>
      <c r="I132" s="102" t="s">
        <v>284</v>
      </c>
      <c r="J132" s="102" t="s">
        <v>678</v>
      </c>
      <c r="L132" s="229" t="s">
        <v>4605</v>
      </c>
      <c r="M132" s="229" t="s">
        <v>4600</v>
      </c>
      <c r="O132" s="102">
        <v>5.0</v>
      </c>
      <c r="S132" s="230"/>
      <c r="T132" s="230"/>
      <c r="U132" s="102" t="str">
        <f>IF(ISNUMBER(MATCH(B132, 'Sprint 17'!B:B, 0)), "มาจาก Sprint 17", "")</f>
        <v>มาจาก Sprint 17</v>
      </c>
      <c r="V132" s="102" t="str">
        <f t="array" ref="V132">IF(ISNUMBER(MATCH(B132, 'Sprint 17'!B:B, 0)), INDEX('Sprint 17'!J:J, MATCH(B132, 'Sprint 17'!B:B, 0)), "")</f>
        <v>Ready to Staging</v>
      </c>
      <c r="W132" s="230"/>
      <c r="X132" s="102" t="s">
        <v>4248</v>
      </c>
      <c r="Y132" s="102" t="s">
        <v>4249</v>
      </c>
      <c r="AJ132" s="102"/>
      <c r="AK132" s="102"/>
      <c r="AL132" s="102"/>
    </row>
    <row r="133">
      <c r="A133" s="102" t="s">
        <v>310</v>
      </c>
      <c r="B133" s="102" t="s">
        <v>2563</v>
      </c>
      <c r="C133" s="229" t="s">
        <v>2564</v>
      </c>
      <c r="D133" s="102" t="s">
        <v>2565</v>
      </c>
      <c r="E133" s="102" t="s">
        <v>564</v>
      </c>
      <c r="F133" s="102" t="s">
        <v>565</v>
      </c>
      <c r="G133" s="102" t="s">
        <v>282</v>
      </c>
      <c r="H133" s="102" t="s">
        <v>283</v>
      </c>
      <c r="I133" s="102" t="s">
        <v>515</v>
      </c>
      <c r="J133" s="102" t="s">
        <v>678</v>
      </c>
      <c r="L133" s="229" t="s">
        <v>2566</v>
      </c>
      <c r="M133" s="229" t="s">
        <v>4887</v>
      </c>
      <c r="N133" s="229" t="s">
        <v>2165</v>
      </c>
      <c r="O133" s="102">
        <v>3.0</v>
      </c>
      <c r="S133" s="230"/>
      <c r="T133" s="102">
        <v>28800.0</v>
      </c>
      <c r="U133" s="102" t="str">
        <f>IF(ISNUMBER(MATCH(B133, 'Sprint 17'!B:B, 0)), "มาจาก Sprint 17", "")</f>
        <v/>
      </c>
      <c r="V133" s="102" t="str">
        <f t="array" ref="V133">IF(ISNUMBER(MATCH(B133, 'Sprint 17'!B:B, 0)), INDEX('Sprint 17'!J:J, MATCH(B133, 'Sprint 17'!B:B, 0)), "")</f>
        <v/>
      </c>
      <c r="W133" s="102"/>
      <c r="X133" s="102" t="s">
        <v>2269</v>
      </c>
      <c r="Y133" s="230"/>
    </row>
    <row r="134">
      <c r="A134" s="102" t="s">
        <v>310</v>
      </c>
      <c r="B134" s="102" t="s">
        <v>2567</v>
      </c>
      <c r="C134" s="229" t="s">
        <v>2568</v>
      </c>
      <c r="D134" s="102" t="s">
        <v>2569</v>
      </c>
      <c r="E134" s="102" t="s">
        <v>564</v>
      </c>
      <c r="F134" s="102" t="s">
        <v>565</v>
      </c>
      <c r="G134" s="102" t="s">
        <v>282</v>
      </c>
      <c r="H134" s="102" t="s">
        <v>283</v>
      </c>
      <c r="I134" s="102" t="s">
        <v>515</v>
      </c>
      <c r="J134" s="102" t="s">
        <v>678</v>
      </c>
      <c r="L134" s="229" t="s">
        <v>2566</v>
      </c>
      <c r="M134" s="229" t="s">
        <v>4730</v>
      </c>
      <c r="N134" s="229" t="s">
        <v>2570</v>
      </c>
      <c r="O134" s="102">
        <v>3.0</v>
      </c>
      <c r="S134" s="230"/>
      <c r="T134" s="102">
        <v>28800.0</v>
      </c>
      <c r="U134" s="102" t="str">
        <f>IF(ISNUMBER(MATCH(B134, 'Sprint 17'!B:B, 0)), "มาจาก Sprint 17", "")</f>
        <v/>
      </c>
      <c r="V134" s="102" t="str">
        <f t="array" ref="V134">IF(ISNUMBER(MATCH(B134, 'Sprint 17'!B:B, 0)), INDEX('Sprint 17'!J:J, MATCH(B134, 'Sprint 17'!B:B, 0)), "")</f>
        <v/>
      </c>
      <c r="W134" s="102"/>
      <c r="X134" s="102" t="s">
        <v>2269</v>
      </c>
      <c r="Y134" s="230"/>
    </row>
    <row r="135">
      <c r="A135" s="102" t="s">
        <v>310</v>
      </c>
      <c r="B135" s="102" t="s">
        <v>4607</v>
      </c>
      <c r="C135" s="229" t="s">
        <v>4608</v>
      </c>
      <c r="D135" s="102" t="s">
        <v>4609</v>
      </c>
      <c r="E135" s="102" t="s">
        <v>564</v>
      </c>
      <c r="F135" s="102" t="s">
        <v>565</v>
      </c>
      <c r="G135" s="102" t="s">
        <v>282</v>
      </c>
      <c r="H135" s="102" t="s">
        <v>283</v>
      </c>
      <c r="I135" s="102" t="s">
        <v>284</v>
      </c>
      <c r="J135" s="102" t="s">
        <v>454</v>
      </c>
      <c r="L135" s="229" t="s">
        <v>4610</v>
      </c>
      <c r="M135" s="229" t="s">
        <v>4888</v>
      </c>
      <c r="N135" s="229" t="s">
        <v>4612</v>
      </c>
      <c r="O135" s="102">
        <v>5.0</v>
      </c>
      <c r="S135" s="230"/>
      <c r="T135" s="102">
        <v>0.0</v>
      </c>
      <c r="U135" s="102" t="str">
        <f>IF(ISNUMBER(MATCH(B135, 'Sprint 17'!B:B, 0)), "มาจาก Sprint 17", "")</f>
        <v>มาจาก Sprint 17</v>
      </c>
      <c r="V135" s="102" t="str">
        <f t="array" ref="V135">IF(ISNUMBER(MATCH(B135, 'Sprint 17'!B:B, 0)), INDEX('Sprint 17'!J:J, MATCH(B135, 'Sprint 17'!B:B, 0)), "")</f>
        <v>Ready to Staging</v>
      </c>
      <c r="W135" s="229" t="s">
        <v>4889</v>
      </c>
      <c r="X135" s="102" t="s">
        <v>4248</v>
      </c>
      <c r="Y135" s="102" t="s">
        <v>4249</v>
      </c>
    </row>
    <row r="136">
      <c r="A136" s="102" t="s">
        <v>310</v>
      </c>
      <c r="B136" s="102" t="s">
        <v>4613</v>
      </c>
      <c r="C136" s="229" t="s">
        <v>4614</v>
      </c>
      <c r="D136" s="102" t="s">
        <v>4615</v>
      </c>
      <c r="E136" s="102" t="s">
        <v>584</v>
      </c>
      <c r="F136" s="102" t="s">
        <v>585</v>
      </c>
      <c r="G136" s="102" t="s">
        <v>282</v>
      </c>
      <c r="H136" s="102" t="s">
        <v>283</v>
      </c>
      <c r="I136" s="102" t="s">
        <v>284</v>
      </c>
      <c r="J136" s="102" t="s">
        <v>454</v>
      </c>
      <c r="L136" s="229" t="s">
        <v>4616</v>
      </c>
      <c r="M136" s="229" t="s">
        <v>4600</v>
      </c>
      <c r="O136" s="102">
        <v>5.0</v>
      </c>
      <c r="S136" s="230"/>
      <c r="T136" s="102">
        <v>0.0</v>
      </c>
      <c r="U136" s="102" t="str">
        <f>IF(ISNUMBER(MATCH(B136, 'Sprint 17'!B:B, 0)), "มาจาก Sprint 17", "")</f>
        <v>มาจาก Sprint 17</v>
      </c>
      <c r="V136" s="102" t="str">
        <f t="array" ref="V136">IF(ISNUMBER(MATCH(B136, 'Sprint 17'!B:B, 0)), INDEX('Sprint 17'!J:J, MATCH(B136, 'Sprint 17'!B:B, 0)), "")</f>
        <v>Ready To Test</v>
      </c>
      <c r="W136" s="229" t="s">
        <v>4890</v>
      </c>
      <c r="X136" s="102" t="s">
        <v>4248</v>
      </c>
      <c r="Y136" s="102" t="s">
        <v>4249</v>
      </c>
    </row>
    <row r="137">
      <c r="A137" s="102" t="s">
        <v>310</v>
      </c>
      <c r="B137" s="102" t="s">
        <v>4618</v>
      </c>
      <c r="C137" s="229" t="s">
        <v>4619</v>
      </c>
      <c r="D137" s="102" t="s">
        <v>4620</v>
      </c>
      <c r="E137" s="102" t="s">
        <v>495</v>
      </c>
      <c r="F137" s="102" t="s">
        <v>496</v>
      </c>
      <c r="G137" s="102" t="s">
        <v>282</v>
      </c>
      <c r="H137" s="102" t="s">
        <v>283</v>
      </c>
      <c r="I137" s="102" t="s">
        <v>284</v>
      </c>
      <c r="J137" s="102" t="s">
        <v>454</v>
      </c>
      <c r="L137" s="229" t="s">
        <v>4621</v>
      </c>
      <c r="M137" s="229" t="s">
        <v>4891</v>
      </c>
      <c r="O137" s="102">
        <v>5.0</v>
      </c>
      <c r="S137" s="230"/>
      <c r="T137" s="102">
        <v>0.0</v>
      </c>
      <c r="U137" s="102" t="str">
        <f>IF(ISNUMBER(MATCH(B137, 'Sprint 17'!B:B, 0)), "มาจาก Sprint 17", "")</f>
        <v>มาจาก Sprint 17</v>
      </c>
      <c r="V137" s="102" t="str">
        <f t="array" ref="V137">IF(ISNUMBER(MATCH(B137, 'Sprint 17'!B:B, 0)), INDEX('Sprint 17'!J:J, MATCH(B137, 'Sprint 17'!B:B, 0)), "")</f>
        <v>Ready To Test</v>
      </c>
      <c r="W137" s="229" t="s">
        <v>4886</v>
      </c>
      <c r="X137" s="102" t="s">
        <v>4247</v>
      </c>
      <c r="Y137" s="102" t="s">
        <v>4248</v>
      </c>
      <c r="Z137" s="102" t="s">
        <v>4249</v>
      </c>
      <c r="AA137" s="230"/>
      <c r="AB137" s="230"/>
      <c r="AC137" s="230"/>
    </row>
    <row r="138">
      <c r="A138" s="102" t="s">
        <v>310</v>
      </c>
      <c r="B138" s="102" t="s">
        <v>4623</v>
      </c>
      <c r="C138" s="229" t="s">
        <v>4624</v>
      </c>
      <c r="D138" s="102" t="s">
        <v>4625</v>
      </c>
      <c r="E138" s="102" t="s">
        <v>584</v>
      </c>
      <c r="F138" s="102" t="s">
        <v>585</v>
      </c>
      <c r="G138" s="102" t="s">
        <v>282</v>
      </c>
      <c r="H138" s="102" t="s">
        <v>283</v>
      </c>
      <c r="I138" s="102" t="s">
        <v>284</v>
      </c>
      <c r="J138" s="102" t="s">
        <v>454</v>
      </c>
      <c r="L138" s="229" t="s">
        <v>4626</v>
      </c>
      <c r="M138" s="229" t="s">
        <v>4600</v>
      </c>
      <c r="O138" s="102">
        <v>5.0</v>
      </c>
      <c r="S138" s="230"/>
      <c r="T138" s="102">
        <v>0.0</v>
      </c>
      <c r="U138" s="102" t="str">
        <f>IF(ISNUMBER(MATCH(B138, 'Sprint 17'!B:B, 0)), "มาจาก Sprint 17", "")</f>
        <v>มาจาก Sprint 17</v>
      </c>
      <c r="V138" s="102" t="str">
        <f t="array" ref="V138">IF(ISNUMBER(MATCH(B138, 'Sprint 17'!B:B, 0)), INDEX('Sprint 17'!J:J, MATCH(B138, 'Sprint 17'!B:B, 0)), "")</f>
        <v>Ready To Test</v>
      </c>
      <c r="W138" s="229" t="s">
        <v>4892</v>
      </c>
      <c r="X138" s="102" t="s">
        <v>4247</v>
      </c>
      <c r="Y138" s="102" t="s">
        <v>4248</v>
      </c>
      <c r="Z138" s="102" t="s">
        <v>4249</v>
      </c>
      <c r="AA138" s="230"/>
      <c r="AB138" s="230"/>
      <c r="AC138" s="230"/>
    </row>
    <row r="139">
      <c r="A139" s="102" t="s">
        <v>310</v>
      </c>
      <c r="B139" s="102" t="s">
        <v>4628</v>
      </c>
      <c r="C139" s="229" t="s">
        <v>4629</v>
      </c>
      <c r="D139" s="102" t="s">
        <v>4630</v>
      </c>
      <c r="E139" s="102" t="s">
        <v>495</v>
      </c>
      <c r="F139" s="102" t="s">
        <v>496</v>
      </c>
      <c r="G139" s="102" t="s">
        <v>282</v>
      </c>
      <c r="H139" s="102" t="s">
        <v>283</v>
      </c>
      <c r="I139" s="102" t="s">
        <v>284</v>
      </c>
      <c r="J139" s="102" t="s">
        <v>454</v>
      </c>
      <c r="L139" s="229" t="s">
        <v>4631</v>
      </c>
      <c r="M139" s="229" t="s">
        <v>4600</v>
      </c>
      <c r="O139" s="102">
        <v>8.0</v>
      </c>
      <c r="S139" s="230"/>
      <c r="T139" s="102">
        <v>0.0</v>
      </c>
      <c r="U139" s="102" t="str">
        <f>IF(ISNUMBER(MATCH(B139, 'Sprint 17'!B:B, 0)), "มาจาก Sprint 17", "")</f>
        <v>มาจาก Sprint 17</v>
      </c>
      <c r="V139" s="102" t="str">
        <f t="array" ref="V139">IF(ISNUMBER(MATCH(B139, 'Sprint 17'!B:B, 0)), INDEX('Sprint 17'!J:J, MATCH(B139, 'Sprint 17'!B:B, 0)), "")</f>
        <v>Ready To Test</v>
      </c>
      <c r="W139" s="229" t="s">
        <v>4892</v>
      </c>
      <c r="X139" s="102" t="s">
        <v>4247</v>
      </c>
      <c r="Y139" s="102" t="s">
        <v>4248</v>
      </c>
      <c r="Z139" s="102" t="s">
        <v>4249</v>
      </c>
      <c r="AA139" s="230"/>
      <c r="AB139" s="230"/>
      <c r="AC139" s="230"/>
    </row>
    <row r="140">
      <c r="A140" s="102" t="s">
        <v>332</v>
      </c>
      <c r="B140" s="102" t="s">
        <v>4893</v>
      </c>
      <c r="C140" s="229" t="s">
        <v>4894</v>
      </c>
      <c r="D140" s="102" t="s">
        <v>4895</v>
      </c>
      <c r="E140" s="102" t="s">
        <v>584</v>
      </c>
      <c r="F140" s="102" t="s">
        <v>585</v>
      </c>
      <c r="G140" s="102" t="s">
        <v>316</v>
      </c>
      <c r="H140" s="102" t="s">
        <v>317</v>
      </c>
      <c r="I140" s="102" t="s">
        <v>648</v>
      </c>
      <c r="J140" s="102" t="s">
        <v>1738</v>
      </c>
      <c r="L140" s="229" t="s">
        <v>4896</v>
      </c>
      <c r="M140" s="229" t="s">
        <v>4730</v>
      </c>
      <c r="N140" s="229" t="s">
        <v>4222</v>
      </c>
      <c r="O140" s="102">
        <v>1.0</v>
      </c>
      <c r="P140" s="102" t="s">
        <v>538</v>
      </c>
      <c r="S140" s="230"/>
      <c r="T140" s="230"/>
      <c r="U140" s="102" t="str">
        <f>IF(ISNUMBER(MATCH(B140, 'Sprint 17'!B:B, 0)), "มาจาก Sprint 17", "")</f>
        <v/>
      </c>
      <c r="V140" s="102" t="str">
        <f t="array" ref="V140">IF(ISNUMBER(MATCH(B140, 'Sprint 17'!B:B, 0)), INDEX('Sprint 17'!J:J, MATCH(B140, 'Sprint 17'!B:B, 0)), "")</f>
        <v/>
      </c>
      <c r="W140" s="230"/>
      <c r="X140" s="102" t="s">
        <v>2266</v>
      </c>
      <c r="Y140" s="102" t="s">
        <v>4150</v>
      </c>
      <c r="Z140" s="230"/>
      <c r="AA140" s="230"/>
      <c r="AB140" s="230"/>
      <c r="AC140" s="230"/>
    </row>
    <row r="141">
      <c r="A141" s="102" t="s">
        <v>310</v>
      </c>
      <c r="B141" s="102" t="s">
        <v>4897</v>
      </c>
      <c r="C141" s="229" t="s">
        <v>4898</v>
      </c>
      <c r="D141" s="102" t="s">
        <v>4899</v>
      </c>
      <c r="E141" s="102" t="s">
        <v>328</v>
      </c>
      <c r="F141" s="102" t="s">
        <v>329</v>
      </c>
      <c r="G141" s="102" t="s">
        <v>282</v>
      </c>
      <c r="H141" s="102" t="s">
        <v>283</v>
      </c>
      <c r="I141" s="102" t="s">
        <v>515</v>
      </c>
      <c r="J141" s="102" t="s">
        <v>678</v>
      </c>
      <c r="L141" s="229" t="s">
        <v>4900</v>
      </c>
      <c r="M141" s="229" t="s">
        <v>4883</v>
      </c>
      <c r="O141" s="230"/>
      <c r="S141" s="230"/>
      <c r="T141" s="230"/>
      <c r="U141" s="102" t="str">
        <f>IF(ISNUMBER(MATCH(B141, 'Sprint 17'!B:B, 0)), "มาจาก Sprint 17", "")</f>
        <v>มาจาก Sprint 17</v>
      </c>
      <c r="V141" s="102" t="str">
        <f t="array" ref="V141">IF(ISNUMBER(MATCH(B141, 'Sprint 17'!B:B, 0)), INDEX('Sprint 17'!J:J, MATCH(B141, 'Sprint 17'!B:B, 0)), "")</f>
        <v>Ready to Staging</v>
      </c>
      <c r="W141" s="230"/>
      <c r="X141" s="102" t="s">
        <v>2266</v>
      </c>
      <c r="Y141" s="102" t="s">
        <v>2267</v>
      </c>
      <c r="Z141" s="102" t="s">
        <v>4884</v>
      </c>
      <c r="AA141" s="102" t="s">
        <v>4150</v>
      </c>
      <c r="AB141" s="230"/>
      <c r="AC141" s="230"/>
    </row>
    <row r="142">
      <c r="A142" s="102" t="s">
        <v>310</v>
      </c>
      <c r="B142" s="102" t="s">
        <v>4633</v>
      </c>
      <c r="C142" s="229" t="s">
        <v>4634</v>
      </c>
      <c r="D142" s="102" t="s">
        <v>4635</v>
      </c>
      <c r="E142" s="102" t="s">
        <v>564</v>
      </c>
      <c r="F142" s="102" t="s">
        <v>565</v>
      </c>
      <c r="G142" s="102" t="s">
        <v>282</v>
      </c>
      <c r="H142" s="102" t="s">
        <v>283</v>
      </c>
      <c r="I142" s="102" t="s">
        <v>284</v>
      </c>
      <c r="J142" s="102" t="s">
        <v>454</v>
      </c>
      <c r="L142" s="229" t="s">
        <v>4636</v>
      </c>
      <c r="M142" s="229" t="s">
        <v>4600</v>
      </c>
      <c r="N142" s="229" t="s">
        <v>4638</v>
      </c>
      <c r="O142" s="102">
        <v>3.0</v>
      </c>
      <c r="S142" s="230"/>
      <c r="T142" s="102">
        <v>0.0</v>
      </c>
      <c r="U142" s="102" t="str">
        <f>IF(ISNUMBER(MATCH(B142, 'Sprint 17'!B:B, 0)), "มาจาก Sprint 17", "")</f>
        <v>มาจาก Sprint 17</v>
      </c>
      <c r="V142" s="102" t="str">
        <f t="array" ref="V142">IF(ISNUMBER(MATCH(B142, 'Sprint 17'!B:B, 0)), INDEX('Sprint 17'!J:J, MATCH(B142, 'Sprint 17'!B:B, 0)), "")</f>
        <v>Ready To Test</v>
      </c>
      <c r="W142" s="229" t="s">
        <v>4901</v>
      </c>
      <c r="X142" s="102" t="s">
        <v>4247</v>
      </c>
      <c r="Y142" s="102" t="s">
        <v>4248</v>
      </c>
      <c r="Z142" s="102" t="s">
        <v>4249</v>
      </c>
      <c r="AA142" s="230"/>
      <c r="AB142" s="230"/>
      <c r="AC142" s="230"/>
    </row>
    <row r="143">
      <c r="A143" s="102" t="s">
        <v>310</v>
      </c>
      <c r="B143" s="102" t="s">
        <v>4639</v>
      </c>
      <c r="C143" s="229" t="s">
        <v>4640</v>
      </c>
      <c r="D143" s="102" t="s">
        <v>4641</v>
      </c>
      <c r="E143" s="102" t="s">
        <v>328</v>
      </c>
      <c r="F143" s="102" t="s">
        <v>329</v>
      </c>
      <c r="G143" s="102" t="s">
        <v>282</v>
      </c>
      <c r="H143" s="102" t="s">
        <v>283</v>
      </c>
      <c r="I143" s="102" t="s">
        <v>284</v>
      </c>
      <c r="J143" s="102" t="s">
        <v>678</v>
      </c>
      <c r="L143" s="229" t="s">
        <v>4642</v>
      </c>
      <c r="M143" s="229" t="s">
        <v>4600</v>
      </c>
      <c r="O143" s="102">
        <v>5.0</v>
      </c>
      <c r="S143" s="230"/>
      <c r="T143" s="230"/>
      <c r="U143" s="102" t="str">
        <f>IF(ISNUMBER(MATCH(B143, 'Sprint 17'!B:B, 0)), "มาจาก Sprint 17", "")</f>
        <v>มาจาก Sprint 17</v>
      </c>
      <c r="V143" s="102" t="str">
        <f t="array" ref="V143">IF(ISNUMBER(MATCH(B143, 'Sprint 17'!B:B, 0)), INDEX('Sprint 17'!J:J, MATCH(B143, 'Sprint 17'!B:B, 0)), "")</f>
        <v>Ready to Staging</v>
      </c>
      <c r="W143" s="230"/>
      <c r="X143" s="102" t="s">
        <v>4247</v>
      </c>
      <c r="Y143" s="102" t="s">
        <v>4248</v>
      </c>
      <c r="Z143" s="102" t="s">
        <v>4249</v>
      </c>
      <c r="AA143" s="230"/>
      <c r="AB143" s="230"/>
      <c r="AC143" s="230"/>
    </row>
    <row r="144">
      <c r="A144" s="102" t="s">
        <v>310</v>
      </c>
      <c r="B144" s="102" t="s">
        <v>4643</v>
      </c>
      <c r="C144" s="229" t="s">
        <v>4644</v>
      </c>
      <c r="D144" s="102" t="s">
        <v>4645</v>
      </c>
      <c r="E144" s="102" t="s">
        <v>564</v>
      </c>
      <c r="F144" s="102" t="s">
        <v>565</v>
      </c>
      <c r="G144" s="102" t="s">
        <v>282</v>
      </c>
      <c r="H144" s="102" t="s">
        <v>283</v>
      </c>
      <c r="I144" s="102" t="s">
        <v>284</v>
      </c>
      <c r="J144" s="102" t="s">
        <v>454</v>
      </c>
      <c r="L144" s="229" t="s">
        <v>4646</v>
      </c>
      <c r="M144" s="229" t="s">
        <v>4600</v>
      </c>
      <c r="N144" s="229" t="s">
        <v>4647</v>
      </c>
      <c r="O144" s="102">
        <v>8.0</v>
      </c>
      <c r="P144" s="102" t="s">
        <v>4648</v>
      </c>
      <c r="S144" s="230"/>
      <c r="T144" s="102">
        <v>0.0</v>
      </c>
      <c r="U144" s="102" t="str">
        <f>IF(ISNUMBER(MATCH(B144, 'Sprint 17'!B:B, 0)), "มาจาก Sprint 17", "")</f>
        <v>มาจาก Sprint 17</v>
      </c>
      <c r="V144" s="102" t="str">
        <f t="array" ref="V144">IF(ISNUMBER(MATCH(B144, 'Sprint 17'!B:B, 0)), INDEX('Sprint 17'!J:J, MATCH(B144, 'Sprint 17'!B:B, 0)), "")</f>
        <v>Ready To Test</v>
      </c>
      <c r="W144" s="229" t="s">
        <v>4892</v>
      </c>
      <c r="X144" s="102" t="s">
        <v>4247</v>
      </c>
      <c r="Y144" s="102" t="s">
        <v>4248</v>
      </c>
      <c r="Z144" s="102" t="s">
        <v>4249</v>
      </c>
      <c r="AA144" s="230"/>
      <c r="AB144" s="230"/>
      <c r="AC144" s="230"/>
    </row>
    <row r="145">
      <c r="A145" s="102" t="s">
        <v>310</v>
      </c>
      <c r="B145" s="102" t="s">
        <v>2571</v>
      </c>
      <c r="C145" s="229" t="s">
        <v>2572</v>
      </c>
      <c r="D145" s="102" t="s">
        <v>2573</v>
      </c>
      <c r="E145" s="102" t="s">
        <v>564</v>
      </c>
      <c r="F145" s="102" t="s">
        <v>565</v>
      </c>
      <c r="G145" s="102" t="s">
        <v>282</v>
      </c>
      <c r="H145" s="102" t="s">
        <v>283</v>
      </c>
      <c r="I145" s="102" t="s">
        <v>515</v>
      </c>
      <c r="J145" s="102" t="s">
        <v>678</v>
      </c>
      <c r="L145" s="229" t="s">
        <v>2574</v>
      </c>
      <c r="M145" s="229" t="s">
        <v>4730</v>
      </c>
      <c r="N145" s="229" t="s">
        <v>2575</v>
      </c>
      <c r="O145" s="102">
        <v>3.0</v>
      </c>
      <c r="S145" s="230"/>
      <c r="T145" s="102">
        <v>28800.0</v>
      </c>
      <c r="U145" s="102" t="str">
        <f>IF(ISNUMBER(MATCH(B145, 'Sprint 17'!B:B, 0)), "มาจาก Sprint 17", "")</f>
        <v/>
      </c>
      <c r="V145" s="102" t="str">
        <f t="array" ref="V145">IF(ISNUMBER(MATCH(B145, 'Sprint 17'!B:B, 0)), INDEX('Sprint 17'!J:J, MATCH(B145, 'Sprint 17'!B:B, 0)), "")</f>
        <v/>
      </c>
      <c r="W145" s="102"/>
      <c r="X145" s="102" t="s">
        <v>2266</v>
      </c>
      <c r="Y145" s="102" t="s">
        <v>2267</v>
      </c>
      <c r="Z145" s="102" t="s">
        <v>2268</v>
      </c>
      <c r="AA145" s="102" t="s">
        <v>2269</v>
      </c>
      <c r="AB145" s="230"/>
      <c r="AC145" s="230"/>
    </row>
    <row r="146">
      <c r="A146" s="102" t="s">
        <v>310</v>
      </c>
      <c r="B146" s="102" t="s">
        <v>4902</v>
      </c>
      <c r="C146" s="229" t="s">
        <v>4903</v>
      </c>
      <c r="D146" s="102" t="s">
        <v>4904</v>
      </c>
      <c r="E146" s="102" t="s">
        <v>564</v>
      </c>
      <c r="F146" s="102" t="s">
        <v>565</v>
      </c>
      <c r="G146" s="102" t="s">
        <v>316</v>
      </c>
      <c r="H146" s="102" t="s">
        <v>317</v>
      </c>
      <c r="I146" s="102" t="s">
        <v>284</v>
      </c>
      <c r="J146" s="102" t="s">
        <v>26</v>
      </c>
      <c r="L146" s="229" t="s">
        <v>4905</v>
      </c>
      <c r="M146" s="229" t="s">
        <v>4906</v>
      </c>
      <c r="O146" s="102">
        <v>3.0</v>
      </c>
      <c r="S146" s="230"/>
      <c r="T146" s="102">
        <v>28800.0</v>
      </c>
      <c r="U146" s="102" t="str">
        <f>IF(ISNUMBER(MATCH(B146, 'Sprint 17'!B:B, 0)), "มาจาก Sprint 17", "")</f>
        <v/>
      </c>
      <c r="V146" s="102" t="str">
        <f t="array" ref="V146">IF(ISNUMBER(MATCH(B146, 'Sprint 17'!B:B, 0)), INDEX('Sprint 17'!J:J, MATCH(B146, 'Sprint 17'!B:B, 0)), "")</f>
        <v/>
      </c>
      <c r="W146" s="102"/>
      <c r="X146" s="102" t="s">
        <v>2266</v>
      </c>
      <c r="Y146" s="102" t="s">
        <v>4150</v>
      </c>
      <c r="Z146" s="230"/>
      <c r="AA146" s="230"/>
      <c r="AB146" s="230"/>
      <c r="AC146" s="230"/>
    </row>
    <row r="147">
      <c r="A147" s="102" t="s">
        <v>310</v>
      </c>
      <c r="B147" s="102" t="s">
        <v>4276</v>
      </c>
      <c r="C147" s="229" t="s">
        <v>4277</v>
      </c>
      <c r="D147" s="102" t="s">
        <v>4278</v>
      </c>
      <c r="E147" s="102" t="s">
        <v>282</v>
      </c>
      <c r="F147" s="102" t="s">
        <v>283</v>
      </c>
      <c r="G147" s="102" t="s">
        <v>316</v>
      </c>
      <c r="H147" s="102" t="s">
        <v>317</v>
      </c>
      <c r="I147" s="102" t="s">
        <v>284</v>
      </c>
      <c r="J147" s="102" t="s">
        <v>63</v>
      </c>
      <c r="L147" s="229" t="s">
        <v>4279</v>
      </c>
      <c r="M147" s="229" t="s">
        <v>4776</v>
      </c>
      <c r="O147" s="230"/>
      <c r="P147" s="102" t="s">
        <v>433</v>
      </c>
      <c r="Q147" s="102" t="s">
        <v>368</v>
      </c>
      <c r="S147" s="230"/>
      <c r="T147" s="230"/>
      <c r="U147" s="102" t="str">
        <f>IF(ISNUMBER(MATCH(B147, 'Sprint 17'!B:B, 0)), "มาจาก Sprint 17", "")</f>
        <v/>
      </c>
      <c r="V147" s="102" t="str">
        <f t="array" ref="V147">IF(ISNUMBER(MATCH(B147, 'Sprint 17'!B:B, 0)), INDEX('Sprint 17'!J:J, MATCH(B147, 'Sprint 17'!B:B, 0)), "")</f>
        <v/>
      </c>
      <c r="W147" s="230"/>
      <c r="X147" s="102" t="s">
        <v>4150</v>
      </c>
      <c r="Y147" s="230"/>
      <c r="Z147" s="230"/>
      <c r="AA147" s="230"/>
      <c r="AB147" s="230"/>
      <c r="AC147" s="230"/>
    </row>
    <row r="148">
      <c r="A148" s="102" t="s">
        <v>310</v>
      </c>
      <c r="B148" s="102" t="s">
        <v>4907</v>
      </c>
      <c r="C148" s="229" t="s">
        <v>4908</v>
      </c>
      <c r="D148" s="102" t="s">
        <v>4909</v>
      </c>
      <c r="E148" s="102" t="s">
        <v>353</v>
      </c>
      <c r="F148" s="102" t="s">
        <v>354</v>
      </c>
      <c r="G148" s="102" t="s">
        <v>353</v>
      </c>
      <c r="H148" s="102" t="s">
        <v>354</v>
      </c>
      <c r="I148" s="102" t="s">
        <v>284</v>
      </c>
      <c r="J148" s="102" t="s">
        <v>26</v>
      </c>
      <c r="L148" s="229" t="s">
        <v>4910</v>
      </c>
      <c r="M148" s="229" t="s">
        <v>4723</v>
      </c>
      <c r="O148" s="102">
        <v>3.0</v>
      </c>
      <c r="S148" s="230"/>
      <c r="T148" s="230"/>
      <c r="U148" s="102" t="str">
        <f>IF(ISNUMBER(MATCH(B148, 'Sprint 17'!B:B, 0)), "มาจาก Sprint 17", "")</f>
        <v/>
      </c>
      <c r="V148" s="102" t="str">
        <f t="array" ref="V148">IF(ISNUMBER(MATCH(B148, 'Sprint 17'!B:B, 0)), INDEX('Sprint 17'!J:J, MATCH(B148, 'Sprint 17'!B:B, 0)), "")</f>
        <v/>
      </c>
      <c r="W148" s="230"/>
      <c r="X148" s="102" t="s">
        <v>1260</v>
      </c>
      <c r="Y148" s="230"/>
      <c r="Z148" s="230"/>
      <c r="AA148" s="230"/>
      <c r="AB148" s="230"/>
      <c r="AC148" s="230"/>
    </row>
    <row r="149">
      <c r="A149" s="102" t="s">
        <v>332</v>
      </c>
      <c r="B149" s="102" t="s">
        <v>4911</v>
      </c>
      <c r="C149" s="229" t="s">
        <v>4912</v>
      </c>
      <c r="D149" s="102" t="s">
        <v>4913</v>
      </c>
      <c r="E149" s="102" t="s">
        <v>353</v>
      </c>
      <c r="F149" s="102" t="s">
        <v>354</v>
      </c>
      <c r="G149" s="102" t="s">
        <v>316</v>
      </c>
      <c r="H149" s="102" t="s">
        <v>317</v>
      </c>
      <c r="I149" s="102" t="s">
        <v>648</v>
      </c>
      <c r="J149" s="102" t="s">
        <v>922</v>
      </c>
      <c r="L149" s="229" t="s">
        <v>4914</v>
      </c>
      <c r="M149" s="229" t="s">
        <v>4776</v>
      </c>
      <c r="N149" s="229" t="s">
        <v>4663</v>
      </c>
      <c r="O149" s="230"/>
      <c r="P149" s="102" t="s">
        <v>538</v>
      </c>
      <c r="Q149" s="102" t="s">
        <v>4656</v>
      </c>
      <c r="S149" s="230"/>
      <c r="T149" s="230"/>
      <c r="U149" s="102" t="str">
        <f>IF(ISNUMBER(MATCH(B149, 'Sprint 17'!B:B, 0)), "มาจาก Sprint 17", "")</f>
        <v/>
      </c>
      <c r="V149" s="102" t="str">
        <f t="array" ref="V149">IF(ISNUMBER(MATCH(B149, 'Sprint 17'!B:B, 0)), INDEX('Sprint 17'!J:J, MATCH(B149, 'Sprint 17'!B:B, 0)), "")</f>
        <v/>
      </c>
      <c r="W149" s="230"/>
      <c r="X149" s="102" t="s">
        <v>4657</v>
      </c>
      <c r="Y149" s="102" t="s">
        <v>4150</v>
      </c>
      <c r="Z149" s="230"/>
      <c r="AA149" s="230"/>
      <c r="AB149" s="230"/>
      <c r="AC149" s="230"/>
    </row>
    <row r="150">
      <c r="A150" s="102" t="s">
        <v>332</v>
      </c>
      <c r="B150" s="102" t="s">
        <v>4650</v>
      </c>
      <c r="C150" s="229" t="s">
        <v>4651</v>
      </c>
      <c r="D150" s="102" t="s">
        <v>4652</v>
      </c>
      <c r="E150" s="102" t="s">
        <v>353</v>
      </c>
      <c r="F150" s="102" t="s">
        <v>354</v>
      </c>
      <c r="G150" s="102" t="s">
        <v>316</v>
      </c>
      <c r="H150" s="102" t="s">
        <v>317</v>
      </c>
      <c r="I150" s="102" t="s">
        <v>284</v>
      </c>
      <c r="J150" s="102" t="s">
        <v>922</v>
      </c>
      <c r="L150" s="229" t="s">
        <v>4653</v>
      </c>
      <c r="M150" s="229" t="s">
        <v>4776</v>
      </c>
      <c r="N150" s="229" t="s">
        <v>4655</v>
      </c>
      <c r="O150" s="230"/>
      <c r="P150" s="102" t="s">
        <v>538</v>
      </c>
      <c r="Q150" s="102" t="s">
        <v>4656</v>
      </c>
      <c r="S150" s="230"/>
      <c r="T150" s="230"/>
      <c r="U150" s="102" t="str">
        <f>IF(ISNUMBER(MATCH(B150, 'Sprint 17'!B:B, 0)), "มาจาก Sprint 17", "")</f>
        <v/>
      </c>
      <c r="V150" s="102" t="str">
        <f t="array" ref="V150">IF(ISNUMBER(MATCH(B150, 'Sprint 17'!B:B, 0)), INDEX('Sprint 17'!J:J, MATCH(B150, 'Sprint 17'!B:B, 0)), "")</f>
        <v/>
      </c>
      <c r="W150" s="230"/>
      <c r="X150" s="102" t="s">
        <v>4657</v>
      </c>
      <c r="Y150" s="102" t="s">
        <v>4150</v>
      </c>
      <c r="Z150" s="230"/>
      <c r="AA150" s="230"/>
      <c r="AB150" s="230"/>
      <c r="AC150" s="230"/>
    </row>
    <row r="151">
      <c r="A151" s="102" t="s">
        <v>332</v>
      </c>
      <c r="B151" s="102" t="s">
        <v>4658</v>
      </c>
      <c r="C151" s="229" t="s">
        <v>4659</v>
      </c>
      <c r="D151" s="102" t="s">
        <v>4660</v>
      </c>
      <c r="E151" s="102" t="s">
        <v>564</v>
      </c>
      <c r="F151" s="102" t="s">
        <v>565</v>
      </c>
      <c r="G151" s="102" t="s">
        <v>316</v>
      </c>
      <c r="H151" s="102" t="s">
        <v>317</v>
      </c>
      <c r="I151" s="102" t="s">
        <v>648</v>
      </c>
      <c r="J151" s="102" t="s">
        <v>922</v>
      </c>
      <c r="L151" s="229" t="s">
        <v>4661</v>
      </c>
      <c r="M151" s="229" t="s">
        <v>4776</v>
      </c>
      <c r="N151" s="229" t="s">
        <v>4663</v>
      </c>
      <c r="O151" s="230"/>
      <c r="P151" s="102" t="s">
        <v>481</v>
      </c>
      <c r="Q151" s="102" t="s">
        <v>4656</v>
      </c>
      <c r="R151" s="102" t="s">
        <v>367</v>
      </c>
      <c r="S151" s="102" t="s">
        <v>368</v>
      </c>
      <c r="T151" s="230"/>
      <c r="U151" s="102" t="str">
        <f>IF(ISNUMBER(MATCH(B151, 'Sprint 17'!B:B, 0)), "มาจาก Sprint 17", "")</f>
        <v/>
      </c>
      <c r="V151" s="102" t="str">
        <f t="array" ref="V151">IF(ISNUMBER(MATCH(B151, 'Sprint 17'!B:B, 0)), INDEX('Sprint 17'!J:J, MATCH(B151, 'Sprint 17'!B:B, 0)), "")</f>
        <v/>
      </c>
      <c r="W151" s="230"/>
      <c r="X151" s="102" t="s">
        <v>4657</v>
      </c>
      <c r="Y151" s="102" t="s">
        <v>2266</v>
      </c>
      <c r="Z151" s="102" t="s">
        <v>4150</v>
      </c>
      <c r="AA151" s="230"/>
      <c r="AB151" s="230"/>
      <c r="AC151" s="230"/>
    </row>
    <row r="152">
      <c r="A152" s="102" t="s">
        <v>332</v>
      </c>
      <c r="B152" s="102" t="s">
        <v>4915</v>
      </c>
      <c r="C152" s="229" t="s">
        <v>4916</v>
      </c>
      <c r="D152" s="102" t="s">
        <v>4917</v>
      </c>
      <c r="E152" s="102" t="s">
        <v>282</v>
      </c>
      <c r="F152" s="102" t="s">
        <v>283</v>
      </c>
      <c r="G152" s="102" t="s">
        <v>282</v>
      </c>
      <c r="H152" s="102" t="s">
        <v>283</v>
      </c>
      <c r="I152" s="102" t="s">
        <v>284</v>
      </c>
      <c r="J152" s="102" t="s">
        <v>1738</v>
      </c>
      <c r="L152" s="229" t="s">
        <v>4918</v>
      </c>
      <c r="M152" s="229" t="s">
        <v>4883</v>
      </c>
      <c r="O152" s="102">
        <v>2.0</v>
      </c>
      <c r="S152" s="230"/>
      <c r="T152" s="230"/>
      <c r="U152" s="102" t="str">
        <f>IF(ISNUMBER(MATCH(B152, 'Sprint 17'!B:B, 0)), "มาจาก Sprint 17", "")</f>
        <v>มาจาก Sprint 17</v>
      </c>
      <c r="V152" s="102" t="str">
        <f t="array" ref="V152">IF(ISNUMBER(MATCH(B152, 'Sprint 17'!B:B, 0)), INDEX('Sprint 17'!J:J, MATCH(B152, 'Sprint 17'!B:B, 0)), "")</f>
        <v>Pass : Waiting for deployment</v>
      </c>
      <c r="W152" s="230"/>
      <c r="X152" s="102" t="s">
        <v>4919</v>
      </c>
      <c r="Y152" s="102" t="s">
        <v>4657</v>
      </c>
      <c r="Z152" s="102" t="s">
        <v>2266</v>
      </c>
      <c r="AA152" s="102" t="s">
        <v>2267</v>
      </c>
      <c r="AB152" s="102" t="s">
        <v>4884</v>
      </c>
      <c r="AC152" s="102" t="s">
        <v>4150</v>
      </c>
    </row>
    <row r="153">
      <c r="A153" s="102" t="s">
        <v>310</v>
      </c>
      <c r="B153" s="102" t="s">
        <v>4920</v>
      </c>
      <c r="C153" s="229" t="s">
        <v>4921</v>
      </c>
      <c r="D153" s="102" t="s">
        <v>4922</v>
      </c>
      <c r="E153" s="102" t="s">
        <v>282</v>
      </c>
      <c r="F153" s="102" t="s">
        <v>283</v>
      </c>
      <c r="G153" s="102" t="s">
        <v>316</v>
      </c>
      <c r="H153" s="102" t="s">
        <v>317</v>
      </c>
      <c r="I153" s="102" t="s">
        <v>284</v>
      </c>
      <c r="J153" s="102" t="s">
        <v>26</v>
      </c>
      <c r="L153" s="229" t="s">
        <v>4923</v>
      </c>
      <c r="M153" s="229" t="s">
        <v>4924</v>
      </c>
      <c r="N153" s="229" t="s">
        <v>4925</v>
      </c>
      <c r="O153" s="102">
        <v>8.0</v>
      </c>
      <c r="S153" s="230"/>
      <c r="T153" s="230"/>
      <c r="U153" s="102" t="str">
        <f>IF(ISNUMBER(MATCH(B153, 'Sprint 17'!B:B, 0)), "มาจาก Sprint 17", "")</f>
        <v/>
      </c>
      <c r="V153" s="102" t="str">
        <f t="array" ref="V153">IF(ISNUMBER(MATCH(B153, 'Sprint 17'!B:B, 0)), INDEX('Sprint 17'!J:J, MATCH(B153, 'Sprint 17'!B:B, 0)), "")</f>
        <v/>
      </c>
      <c r="W153" s="230"/>
      <c r="X153" s="102" t="s">
        <v>4919</v>
      </c>
      <c r="Y153" s="102" t="s">
        <v>4657</v>
      </c>
      <c r="Z153" s="102" t="s">
        <v>2267</v>
      </c>
      <c r="AA153" s="102" t="s">
        <v>4150</v>
      </c>
      <c r="AB153" s="230"/>
      <c r="AC153" s="230"/>
    </row>
    <row r="154">
      <c r="A154" s="102" t="s">
        <v>310</v>
      </c>
      <c r="B154" s="102" t="s">
        <v>4926</v>
      </c>
      <c r="C154" s="229" t="s">
        <v>4927</v>
      </c>
      <c r="D154" s="102" t="s">
        <v>4928</v>
      </c>
      <c r="E154" s="102" t="s">
        <v>513</v>
      </c>
      <c r="F154" s="102" t="s">
        <v>514</v>
      </c>
      <c r="G154" s="102" t="s">
        <v>513</v>
      </c>
      <c r="H154" s="102" t="s">
        <v>514</v>
      </c>
      <c r="I154" s="102" t="s">
        <v>648</v>
      </c>
      <c r="J154" s="102" t="s">
        <v>26</v>
      </c>
      <c r="L154" s="229" t="s">
        <v>4929</v>
      </c>
      <c r="M154" s="229" t="s">
        <v>4853</v>
      </c>
      <c r="O154" s="102">
        <v>1.0</v>
      </c>
      <c r="P154" s="102" t="s">
        <v>593</v>
      </c>
      <c r="S154" s="230"/>
      <c r="T154" s="102">
        <v>7200.0</v>
      </c>
      <c r="U154" s="102" t="str">
        <f>IF(ISNUMBER(MATCH(B154, 'Sprint 17'!B:B, 0)), "มาจาก Sprint 17", "")</f>
        <v>มาจาก Sprint 17</v>
      </c>
      <c r="V154" s="102" t="str">
        <f t="array" ref="V154">IF(ISNUMBER(MATCH(B154, 'Sprint 17'!B:B, 0)), INDEX('Sprint 17'!J:J, MATCH(B154, 'Sprint 17'!B:B, 0)), "")</f>
        <v>To Do</v>
      </c>
      <c r="W154" s="102"/>
      <c r="X154" s="102" t="s">
        <v>4566</v>
      </c>
      <c r="Y154" s="102" t="s">
        <v>4567</v>
      </c>
      <c r="Z154" s="230"/>
      <c r="AA154" s="230"/>
      <c r="AB154" s="230"/>
      <c r="AC154" s="230"/>
    </row>
    <row r="155">
      <c r="A155" s="102" t="s">
        <v>310</v>
      </c>
      <c r="B155" s="102" t="s">
        <v>4930</v>
      </c>
      <c r="C155" s="229" t="s">
        <v>4931</v>
      </c>
      <c r="D155" s="102" t="s">
        <v>4932</v>
      </c>
      <c r="E155" s="102" t="s">
        <v>513</v>
      </c>
      <c r="F155" s="102" t="s">
        <v>514</v>
      </c>
      <c r="G155" s="102" t="s">
        <v>513</v>
      </c>
      <c r="H155" s="102" t="s">
        <v>514</v>
      </c>
      <c r="I155" s="102" t="s">
        <v>284</v>
      </c>
      <c r="J155" s="102" t="s">
        <v>26</v>
      </c>
      <c r="L155" s="229" t="s">
        <v>4933</v>
      </c>
      <c r="M155" s="229" t="s">
        <v>4853</v>
      </c>
      <c r="N155" s="229" t="s">
        <v>4112</v>
      </c>
      <c r="O155" s="102">
        <v>2.0</v>
      </c>
      <c r="P155" s="102" t="s">
        <v>593</v>
      </c>
      <c r="S155" s="230"/>
      <c r="T155" s="102">
        <v>7200.0</v>
      </c>
      <c r="U155" s="102" t="str">
        <f>IF(ISNUMBER(MATCH(B155, 'Sprint 17'!B:B, 0)), "มาจาก Sprint 17", "")</f>
        <v>มาจาก Sprint 17</v>
      </c>
      <c r="V155" s="102" t="str">
        <f t="array" ref="V155">IF(ISNUMBER(MATCH(B155, 'Sprint 17'!B:B, 0)), INDEX('Sprint 17'!J:J, MATCH(B155, 'Sprint 17'!B:B, 0)), "")</f>
        <v>In Progress</v>
      </c>
      <c r="W155" s="102" t="s">
        <v>4934</v>
      </c>
      <c r="X155" s="102" t="s">
        <v>4566</v>
      </c>
      <c r="Y155" s="102" t="s">
        <v>4567</v>
      </c>
      <c r="Z155" s="230"/>
      <c r="AA155" s="230"/>
      <c r="AB155" s="230"/>
      <c r="AC155" s="230"/>
    </row>
    <row r="156">
      <c r="A156" s="102" t="s">
        <v>310</v>
      </c>
      <c r="B156" s="102" t="s">
        <v>4935</v>
      </c>
      <c r="C156" s="229" t="s">
        <v>4936</v>
      </c>
      <c r="D156" s="102" t="s">
        <v>4937</v>
      </c>
      <c r="E156" s="102" t="s">
        <v>513</v>
      </c>
      <c r="F156" s="102" t="s">
        <v>514</v>
      </c>
      <c r="G156" s="102" t="s">
        <v>513</v>
      </c>
      <c r="H156" s="102" t="s">
        <v>514</v>
      </c>
      <c r="I156" s="102" t="s">
        <v>648</v>
      </c>
      <c r="J156" s="102" t="s">
        <v>34</v>
      </c>
      <c r="L156" s="229" t="s">
        <v>4938</v>
      </c>
      <c r="M156" s="229" t="s">
        <v>4815</v>
      </c>
      <c r="O156" s="102">
        <v>3.0</v>
      </c>
      <c r="P156" s="102" t="s">
        <v>593</v>
      </c>
      <c r="S156" s="230"/>
      <c r="T156" s="102">
        <v>28800.0</v>
      </c>
      <c r="U156" s="102" t="str">
        <f>IF(ISNUMBER(MATCH(B156, 'Sprint 17'!B:B, 0)), "มาจาก Sprint 17", "")</f>
        <v>มาจาก Sprint 17</v>
      </c>
      <c r="V156" s="102" t="str">
        <f t="array" ref="V156">IF(ISNUMBER(MATCH(B156, 'Sprint 17'!B:B, 0)), INDEX('Sprint 17'!J:J, MATCH(B156, 'Sprint 17'!B:B, 0)), "")</f>
        <v>To Do</v>
      </c>
      <c r="W156" s="102"/>
      <c r="X156" s="102" t="s">
        <v>4566</v>
      </c>
      <c r="Y156" s="102" t="s">
        <v>4567</v>
      </c>
      <c r="Z156" s="230"/>
      <c r="AA156" s="230"/>
      <c r="AB156" s="230"/>
      <c r="AC156" s="230"/>
    </row>
    <row r="157">
      <c r="A157" s="102" t="s">
        <v>310</v>
      </c>
      <c r="B157" s="102" t="s">
        <v>4939</v>
      </c>
      <c r="C157" s="229" t="s">
        <v>4940</v>
      </c>
      <c r="D157" s="102" t="s">
        <v>4941</v>
      </c>
      <c r="G157" s="102" t="s">
        <v>513</v>
      </c>
      <c r="H157" s="102" t="s">
        <v>514</v>
      </c>
      <c r="I157" s="102" t="s">
        <v>648</v>
      </c>
      <c r="J157" s="102" t="s">
        <v>63</v>
      </c>
      <c r="L157" s="229" t="s">
        <v>4942</v>
      </c>
      <c r="M157" s="229" t="s">
        <v>4853</v>
      </c>
      <c r="O157" s="102">
        <v>3.0</v>
      </c>
      <c r="P157" s="102" t="s">
        <v>593</v>
      </c>
      <c r="S157" s="230"/>
      <c r="T157" s="230"/>
      <c r="U157" s="102" t="str">
        <f>IF(ISNUMBER(MATCH(B157, 'Sprint 17'!B:B, 0)), "มาจาก Sprint 17", "")</f>
        <v>มาจาก Sprint 17</v>
      </c>
      <c r="V157" s="102" t="str">
        <f t="array" ref="V157">IF(ISNUMBER(MATCH(B157, 'Sprint 17'!B:B, 0)), INDEX('Sprint 17'!J:J, MATCH(B157, 'Sprint 17'!B:B, 0)), "")</f>
        <v>To Do</v>
      </c>
      <c r="W157" s="230"/>
      <c r="X157" s="102" t="s">
        <v>4566</v>
      </c>
      <c r="Y157" s="102" t="s">
        <v>4567</v>
      </c>
      <c r="Z157" s="230"/>
      <c r="AA157" s="230"/>
      <c r="AB157" s="230"/>
      <c r="AC157" s="230"/>
    </row>
    <row r="158">
      <c r="A158" s="102" t="s">
        <v>4943</v>
      </c>
      <c r="B158" s="102" t="s">
        <v>4944</v>
      </c>
      <c r="C158" s="229" t="s">
        <v>4945</v>
      </c>
      <c r="D158" s="102" t="s">
        <v>4946</v>
      </c>
      <c r="E158" s="102" t="s">
        <v>282</v>
      </c>
      <c r="F158" s="102" t="s">
        <v>283</v>
      </c>
      <c r="G158" s="102" t="s">
        <v>316</v>
      </c>
      <c r="H158" s="102" t="s">
        <v>317</v>
      </c>
      <c r="I158" s="102" t="s">
        <v>284</v>
      </c>
      <c r="J158" s="102" t="s">
        <v>355</v>
      </c>
      <c r="L158" s="229" t="s">
        <v>4947</v>
      </c>
      <c r="M158" s="229" t="s">
        <v>4776</v>
      </c>
      <c r="N158" s="229" t="s">
        <v>4948</v>
      </c>
      <c r="O158" s="230"/>
      <c r="P158" s="102" t="s">
        <v>783</v>
      </c>
      <c r="S158" s="230"/>
      <c r="T158" s="230"/>
      <c r="U158" s="102" t="str">
        <f>IF(ISNUMBER(MATCH(B158, 'Sprint 17'!B:B, 0)), "มาจาก Sprint 17", "")</f>
        <v/>
      </c>
      <c r="V158" s="102" t="str">
        <f t="array" ref="V158">IF(ISNUMBER(MATCH(B158, 'Sprint 17'!B:B, 0)), INDEX('Sprint 17'!J:J, MATCH(B158, 'Sprint 17'!B:B, 0)), "")</f>
        <v/>
      </c>
      <c r="W158" s="230"/>
      <c r="X158" s="102" t="s">
        <v>4919</v>
      </c>
      <c r="Y158" s="102" t="s">
        <v>4657</v>
      </c>
      <c r="Z158" s="102" t="s">
        <v>4150</v>
      </c>
      <c r="AA158" s="230"/>
      <c r="AB158" s="230"/>
      <c r="AC158" s="230"/>
    </row>
    <row r="159">
      <c r="A159" s="102" t="s">
        <v>332</v>
      </c>
      <c r="B159" s="102" t="s">
        <v>4949</v>
      </c>
      <c r="C159" s="229" t="s">
        <v>4950</v>
      </c>
      <c r="D159" s="102" t="s">
        <v>4951</v>
      </c>
      <c r="E159" s="102" t="s">
        <v>353</v>
      </c>
      <c r="F159" s="102" t="s">
        <v>354</v>
      </c>
      <c r="G159" s="102" t="s">
        <v>353</v>
      </c>
      <c r="H159" s="102" t="s">
        <v>354</v>
      </c>
      <c r="I159" s="102" t="s">
        <v>284</v>
      </c>
      <c r="J159" s="102" t="s">
        <v>1738</v>
      </c>
      <c r="L159" s="229" t="s">
        <v>4952</v>
      </c>
      <c r="M159" s="229" t="s">
        <v>4883</v>
      </c>
      <c r="O159" s="102">
        <v>2.0</v>
      </c>
      <c r="P159" s="102" t="s">
        <v>593</v>
      </c>
      <c r="S159" s="230"/>
      <c r="T159" s="230"/>
      <c r="U159" s="102" t="str">
        <f>IF(ISNUMBER(MATCH(B159, 'Sprint 17'!B:B, 0)), "มาจาก Sprint 17", "")</f>
        <v>มาจาก Sprint 17</v>
      </c>
      <c r="V159" s="102" t="str">
        <f t="array" ref="V159">IF(ISNUMBER(MATCH(B159, 'Sprint 17'!B:B, 0)), INDEX('Sprint 17'!J:J, MATCH(B159, 'Sprint 17'!B:B, 0)), "")</f>
        <v>Pass : Waiting for deployment</v>
      </c>
      <c r="W159" s="230"/>
      <c r="X159" s="102" t="s">
        <v>4953</v>
      </c>
      <c r="Y159" s="102" t="s">
        <v>4954</v>
      </c>
      <c r="Z159" s="102" t="s">
        <v>4919</v>
      </c>
      <c r="AA159" s="102" t="s">
        <v>4657</v>
      </c>
      <c r="AB159" s="102" t="s">
        <v>2266</v>
      </c>
      <c r="AC159" s="102" t="s">
        <v>2267</v>
      </c>
      <c r="AD159" s="102" t="s">
        <v>4884</v>
      </c>
      <c r="AE159" s="102" t="s">
        <v>4150</v>
      </c>
    </row>
    <row r="160">
      <c r="A160" s="102" t="s">
        <v>4410</v>
      </c>
      <c r="B160" s="102" t="s">
        <v>4955</v>
      </c>
      <c r="C160" s="229" t="s">
        <v>4956</v>
      </c>
      <c r="D160" s="102" t="s">
        <v>4957</v>
      </c>
      <c r="E160" s="102" t="s">
        <v>282</v>
      </c>
      <c r="F160" s="102" t="s">
        <v>283</v>
      </c>
      <c r="G160" s="102" t="s">
        <v>316</v>
      </c>
      <c r="H160" s="102" t="s">
        <v>317</v>
      </c>
      <c r="I160" s="102" t="s">
        <v>284</v>
      </c>
      <c r="J160" s="102" t="s">
        <v>2509</v>
      </c>
      <c r="L160" s="229" t="s">
        <v>4958</v>
      </c>
      <c r="M160" s="229" t="s">
        <v>4776</v>
      </c>
      <c r="N160" s="229" t="s">
        <v>4959</v>
      </c>
      <c r="O160" s="102">
        <v>5.0</v>
      </c>
      <c r="S160" s="230"/>
      <c r="T160" s="230"/>
      <c r="U160" s="102" t="str">
        <f>IF(ISNUMBER(MATCH(B160, 'Sprint 17'!B:B, 0)), "มาจาก Sprint 17", "")</f>
        <v/>
      </c>
      <c r="V160" s="102" t="str">
        <f t="array" ref="V160">IF(ISNUMBER(MATCH(B160, 'Sprint 17'!B:B, 0)), INDEX('Sprint 17'!J:J, MATCH(B160, 'Sprint 17'!B:B, 0)), "")</f>
        <v/>
      </c>
      <c r="W160" s="230"/>
      <c r="X160" s="102" t="s">
        <v>4960</v>
      </c>
      <c r="Y160" s="102" t="s">
        <v>4961</v>
      </c>
      <c r="Z160" s="102" t="s">
        <v>4953</v>
      </c>
      <c r="AA160" s="102" t="s">
        <v>4954</v>
      </c>
      <c r="AB160" s="102" t="s">
        <v>4150</v>
      </c>
      <c r="AC160" s="230"/>
    </row>
    <row r="161">
      <c r="A161" s="102" t="s">
        <v>310</v>
      </c>
      <c r="B161" s="102" t="s">
        <v>4962</v>
      </c>
      <c r="C161" s="229" t="s">
        <v>4963</v>
      </c>
      <c r="D161" s="102" t="s">
        <v>4964</v>
      </c>
      <c r="E161" s="102" t="s">
        <v>556</v>
      </c>
      <c r="F161" s="102" t="s">
        <v>557</v>
      </c>
      <c r="G161" s="102" t="s">
        <v>353</v>
      </c>
      <c r="H161" s="102" t="s">
        <v>354</v>
      </c>
      <c r="I161" s="102" t="s">
        <v>284</v>
      </c>
      <c r="J161" s="102" t="s">
        <v>454</v>
      </c>
      <c r="L161" s="229" t="s">
        <v>4965</v>
      </c>
      <c r="M161" s="229" t="s">
        <v>4883</v>
      </c>
      <c r="N161" s="229" t="s">
        <v>4966</v>
      </c>
      <c r="O161" s="102">
        <v>1.0</v>
      </c>
      <c r="S161" s="230"/>
      <c r="T161" s="102">
        <v>0.0</v>
      </c>
      <c r="U161" s="102" t="str">
        <f>IF(ISNUMBER(MATCH(B161, 'Sprint 17'!B:B, 0)), "มาจาก Sprint 17", "")</f>
        <v>มาจาก Sprint 17</v>
      </c>
      <c r="V161" s="102" t="str">
        <f t="array" ref="V161">IF(ISNUMBER(MATCH(B161, 'Sprint 17'!B:B, 0)), INDEX('Sprint 17'!J:J, MATCH(B161, 'Sprint 17'!B:B, 0)), "")</f>
        <v>Ready To Test</v>
      </c>
      <c r="W161" s="229" t="s">
        <v>4783</v>
      </c>
      <c r="X161" s="102" t="s">
        <v>4967</v>
      </c>
      <c r="Y161" s="102" t="s">
        <v>4968</v>
      </c>
      <c r="Z161" s="102" t="s">
        <v>4960</v>
      </c>
      <c r="AA161" s="102" t="s">
        <v>4961</v>
      </c>
      <c r="AB161" s="102" t="s">
        <v>4953</v>
      </c>
      <c r="AC161" s="102" t="s">
        <v>4954</v>
      </c>
      <c r="AD161" s="102" t="s">
        <v>4919</v>
      </c>
      <c r="AE161" s="102" t="s">
        <v>4657</v>
      </c>
      <c r="AF161" s="102" t="s">
        <v>2266</v>
      </c>
      <c r="AG161" s="102" t="s">
        <v>2267</v>
      </c>
      <c r="AH161" s="102" t="s">
        <v>4884</v>
      </c>
      <c r="AI161" s="102" t="s">
        <v>4150</v>
      </c>
    </row>
    <row r="162">
      <c r="O162" s="230"/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</row>
    <row r="163">
      <c r="O163" s="230"/>
      <c r="S163" s="230"/>
      <c r="T163" s="230"/>
      <c r="U163" s="230"/>
      <c r="V163" s="230"/>
      <c r="W163" s="230"/>
      <c r="X163" s="230"/>
      <c r="Y163" s="230"/>
      <c r="Z163" s="230"/>
      <c r="AA163" s="230"/>
      <c r="AB163" s="230"/>
      <c r="AC163" s="230"/>
    </row>
    <row r="164">
      <c r="O164" s="230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</row>
    <row r="165">
      <c r="O165" s="230"/>
      <c r="S165" s="230"/>
      <c r="T165" s="230"/>
      <c r="U165" s="230"/>
      <c r="V165" s="230"/>
      <c r="W165" s="230"/>
      <c r="X165" s="230"/>
      <c r="Y165" s="230"/>
      <c r="Z165" s="230"/>
      <c r="AA165" s="230"/>
      <c r="AB165" s="230"/>
      <c r="AC165" s="230"/>
    </row>
    <row r="166">
      <c r="O166" s="230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</row>
    <row r="167">
      <c r="O167" s="230"/>
      <c r="S167" s="230"/>
      <c r="T167" s="230"/>
      <c r="U167" s="230"/>
      <c r="V167" s="230"/>
      <c r="W167" s="230"/>
      <c r="X167" s="230"/>
      <c r="Y167" s="230"/>
      <c r="Z167" s="230"/>
      <c r="AA167" s="230"/>
      <c r="AB167" s="230"/>
      <c r="AC167" s="230"/>
    </row>
    <row r="168">
      <c r="O168" s="230"/>
      <c r="S168" s="230"/>
      <c r="T168" s="230"/>
      <c r="U168" s="230"/>
      <c r="V168" s="230"/>
      <c r="W168" s="230"/>
      <c r="X168" s="230"/>
      <c r="Y168" s="230"/>
      <c r="Z168" s="230"/>
      <c r="AA168" s="230"/>
      <c r="AB168" s="230"/>
      <c r="AC168" s="230"/>
    </row>
    <row r="169">
      <c r="O169" s="230"/>
      <c r="S169" s="230"/>
      <c r="T169" s="230"/>
      <c r="U169" s="230"/>
      <c r="V169" s="230"/>
      <c r="W169" s="230"/>
      <c r="X169" s="230"/>
      <c r="Y169" s="230"/>
      <c r="Z169" s="230"/>
      <c r="AA169" s="230"/>
      <c r="AB169" s="230"/>
      <c r="AC169" s="230"/>
    </row>
    <row r="170">
      <c r="O170" s="230"/>
      <c r="S170" s="230"/>
      <c r="T170" s="230"/>
      <c r="U170" s="230"/>
      <c r="V170" s="230"/>
      <c r="W170" s="230"/>
      <c r="X170" s="230"/>
      <c r="Y170" s="230"/>
      <c r="Z170" s="230"/>
      <c r="AA170" s="230"/>
      <c r="AB170" s="230"/>
      <c r="AC170" s="230"/>
    </row>
    <row r="171">
      <c r="O171" s="230"/>
      <c r="S171" s="230"/>
      <c r="T171" s="230"/>
      <c r="U171" s="230"/>
      <c r="V171" s="230"/>
      <c r="W171" s="230"/>
      <c r="X171" s="230"/>
      <c r="Y171" s="230"/>
      <c r="Z171" s="230"/>
      <c r="AA171" s="230"/>
      <c r="AB171" s="230"/>
      <c r="AC171" s="230"/>
    </row>
    <row r="172">
      <c r="O172" s="230"/>
      <c r="S172" s="230"/>
      <c r="T172" s="230"/>
      <c r="U172" s="230"/>
      <c r="V172" s="230"/>
      <c r="W172" s="230"/>
      <c r="X172" s="230"/>
      <c r="Y172" s="230"/>
      <c r="Z172" s="230"/>
      <c r="AA172" s="230"/>
      <c r="AB172" s="230"/>
      <c r="AC172" s="230"/>
    </row>
    <row r="173">
      <c r="O173" s="230"/>
      <c r="S173" s="230"/>
      <c r="T173" s="230"/>
      <c r="U173" s="230"/>
      <c r="V173" s="230"/>
      <c r="W173" s="230"/>
      <c r="X173" s="230"/>
      <c r="Y173" s="230"/>
      <c r="Z173" s="230"/>
      <c r="AA173" s="230"/>
      <c r="AB173" s="230"/>
      <c r="AC173" s="230"/>
    </row>
    <row r="174">
      <c r="O174" s="230"/>
      <c r="S174" s="230"/>
      <c r="T174" s="230"/>
      <c r="U174" s="230"/>
      <c r="V174" s="230"/>
      <c r="W174" s="230"/>
      <c r="X174" s="230"/>
      <c r="Y174" s="230"/>
      <c r="Z174" s="230"/>
      <c r="AA174" s="230"/>
      <c r="AB174" s="230"/>
      <c r="AC174" s="230"/>
    </row>
    <row r="175">
      <c r="O175" s="230"/>
      <c r="S175" s="230"/>
      <c r="T175" s="230"/>
      <c r="U175" s="230"/>
      <c r="V175" s="230"/>
      <c r="W175" s="230"/>
      <c r="X175" s="230"/>
      <c r="Y175" s="230"/>
      <c r="Z175" s="230"/>
      <c r="AA175" s="230"/>
      <c r="AB175" s="230"/>
      <c r="AC175" s="230"/>
    </row>
    <row r="176">
      <c r="O176" s="230"/>
      <c r="S176" s="230"/>
      <c r="T176" s="230"/>
      <c r="U176" s="230"/>
      <c r="V176" s="230"/>
      <c r="W176" s="230"/>
      <c r="X176" s="230"/>
      <c r="Y176" s="230"/>
      <c r="Z176" s="230"/>
      <c r="AA176" s="230"/>
      <c r="AB176" s="230"/>
      <c r="AC176" s="230"/>
    </row>
    <row r="177">
      <c r="O177" s="230"/>
      <c r="S177" s="230"/>
      <c r="T177" s="230"/>
      <c r="U177" s="230"/>
      <c r="V177" s="230"/>
      <c r="W177" s="230"/>
      <c r="X177" s="230"/>
      <c r="Y177" s="230"/>
      <c r="Z177" s="230"/>
      <c r="AA177" s="230"/>
      <c r="AB177" s="230"/>
      <c r="AC177" s="230"/>
    </row>
    <row r="178">
      <c r="O178" s="230"/>
      <c r="S178" s="230"/>
      <c r="T178" s="230"/>
      <c r="U178" s="230"/>
      <c r="V178" s="230"/>
      <c r="W178" s="230"/>
      <c r="X178" s="230"/>
      <c r="Y178" s="230"/>
      <c r="Z178" s="230"/>
      <c r="AA178" s="230"/>
      <c r="AB178" s="230"/>
      <c r="AC178" s="230"/>
    </row>
    <row r="179">
      <c r="O179" s="230"/>
      <c r="S179" s="230"/>
      <c r="T179" s="230"/>
      <c r="U179" s="230"/>
      <c r="V179" s="230"/>
      <c r="W179" s="230"/>
      <c r="X179" s="230"/>
      <c r="Y179" s="230"/>
      <c r="Z179" s="230"/>
      <c r="AA179" s="230"/>
      <c r="AB179" s="230"/>
      <c r="AC179" s="230"/>
    </row>
    <row r="180">
      <c r="O180" s="230"/>
      <c r="S180" s="230"/>
      <c r="T180" s="230"/>
      <c r="U180" s="230"/>
      <c r="V180" s="230"/>
      <c r="W180" s="230"/>
      <c r="X180" s="230"/>
      <c r="Y180" s="230"/>
      <c r="Z180" s="230"/>
      <c r="AA180" s="230"/>
      <c r="AB180" s="230"/>
      <c r="AC180" s="230"/>
    </row>
    <row r="181">
      <c r="O181" s="230"/>
      <c r="S181" s="230"/>
      <c r="T181" s="230"/>
      <c r="U181" s="230"/>
      <c r="V181" s="230"/>
      <c r="W181" s="230"/>
      <c r="X181" s="230"/>
      <c r="Y181" s="230"/>
      <c r="Z181" s="230"/>
      <c r="AA181" s="230"/>
      <c r="AB181" s="230"/>
      <c r="AC181" s="230"/>
    </row>
    <row r="182">
      <c r="O182" s="230"/>
      <c r="S182" s="230"/>
      <c r="T182" s="230"/>
      <c r="U182" s="230"/>
      <c r="V182" s="230"/>
      <c r="W182" s="230"/>
      <c r="X182" s="230"/>
      <c r="Y182" s="230"/>
      <c r="Z182" s="230"/>
      <c r="AA182" s="230"/>
      <c r="AB182" s="230"/>
      <c r="AC182" s="230"/>
    </row>
    <row r="183">
      <c r="O183" s="230"/>
      <c r="S183" s="230"/>
      <c r="T183" s="230"/>
      <c r="U183" s="230"/>
      <c r="V183" s="230"/>
      <c r="W183" s="230"/>
      <c r="X183" s="230"/>
      <c r="Y183" s="230"/>
      <c r="Z183" s="230"/>
      <c r="AA183" s="230"/>
      <c r="AB183" s="230"/>
      <c r="AC183" s="230"/>
    </row>
    <row r="184">
      <c r="O184" s="230"/>
      <c r="S184" s="230"/>
      <c r="T184" s="230"/>
      <c r="U184" s="230"/>
      <c r="V184" s="230"/>
      <c r="W184" s="230"/>
      <c r="X184" s="230"/>
      <c r="Y184" s="230"/>
      <c r="Z184" s="230"/>
      <c r="AA184" s="230"/>
      <c r="AB184" s="230"/>
      <c r="AC184" s="230"/>
    </row>
    <row r="185">
      <c r="O185" s="230"/>
      <c r="S185" s="230"/>
      <c r="T185" s="230"/>
      <c r="U185" s="230"/>
      <c r="V185" s="230"/>
      <c r="W185" s="230"/>
      <c r="X185" s="230"/>
      <c r="Y185" s="230"/>
      <c r="Z185" s="230"/>
      <c r="AA185" s="230"/>
      <c r="AB185" s="230"/>
      <c r="AC185" s="230"/>
    </row>
    <row r="186">
      <c r="O186" s="230"/>
      <c r="S186" s="230"/>
      <c r="T186" s="230"/>
      <c r="U186" s="230"/>
      <c r="V186" s="230"/>
      <c r="W186" s="230"/>
      <c r="X186" s="230"/>
      <c r="Y186" s="230"/>
      <c r="Z186" s="230"/>
      <c r="AA186" s="230"/>
      <c r="AB186" s="230"/>
      <c r="AC186" s="230"/>
    </row>
    <row r="187">
      <c r="O187" s="230"/>
      <c r="S187" s="230"/>
      <c r="T187" s="230"/>
      <c r="U187" s="230"/>
      <c r="V187" s="230"/>
      <c r="W187" s="230"/>
      <c r="X187" s="230"/>
      <c r="Y187" s="230"/>
      <c r="Z187" s="230"/>
      <c r="AA187" s="230"/>
      <c r="AB187" s="230"/>
      <c r="AC187" s="230"/>
    </row>
    <row r="188">
      <c r="O188" s="230"/>
      <c r="S188" s="230"/>
      <c r="T188" s="230"/>
      <c r="U188" s="230"/>
      <c r="V188" s="230"/>
      <c r="W188" s="230"/>
      <c r="X188" s="230"/>
      <c r="Y188" s="230"/>
      <c r="Z188" s="230"/>
      <c r="AA188" s="230"/>
      <c r="AB188" s="230"/>
      <c r="AC188" s="230"/>
    </row>
    <row r="189">
      <c r="O189" s="230"/>
      <c r="S189" s="230"/>
      <c r="T189" s="230"/>
      <c r="U189" s="230"/>
      <c r="V189" s="230"/>
      <c r="W189" s="230"/>
      <c r="X189" s="230"/>
      <c r="Y189" s="230"/>
      <c r="Z189" s="230"/>
      <c r="AA189" s="230"/>
      <c r="AB189" s="230"/>
      <c r="AC189" s="230"/>
    </row>
    <row r="190">
      <c r="O190" s="230"/>
      <c r="S190" s="230"/>
      <c r="T190" s="230"/>
      <c r="U190" s="230"/>
      <c r="V190" s="230"/>
      <c r="W190" s="230"/>
      <c r="X190" s="230"/>
      <c r="Y190" s="230"/>
      <c r="Z190" s="230"/>
      <c r="AA190" s="230"/>
      <c r="AB190" s="230"/>
      <c r="AC190" s="230"/>
    </row>
    <row r="191">
      <c r="O191" s="230"/>
      <c r="S191" s="230"/>
      <c r="T191" s="230"/>
      <c r="U191" s="230"/>
      <c r="V191" s="230"/>
      <c r="W191" s="230"/>
      <c r="X191" s="230"/>
      <c r="Y191" s="230"/>
      <c r="Z191" s="230"/>
      <c r="AA191" s="230"/>
      <c r="AB191" s="230"/>
      <c r="AC191" s="230"/>
    </row>
    <row r="192">
      <c r="O192" s="230"/>
      <c r="S192" s="230"/>
      <c r="T192" s="230"/>
      <c r="U192" s="230"/>
      <c r="V192" s="230"/>
      <c r="W192" s="230"/>
      <c r="X192" s="230"/>
      <c r="Y192" s="230"/>
      <c r="Z192" s="230"/>
      <c r="AA192" s="230"/>
      <c r="AB192" s="230"/>
      <c r="AC192" s="230"/>
    </row>
    <row r="193">
      <c r="O193" s="230"/>
      <c r="S193" s="230"/>
      <c r="T193" s="230"/>
      <c r="U193" s="230"/>
      <c r="V193" s="230"/>
      <c r="W193" s="230"/>
      <c r="X193" s="230"/>
      <c r="Y193" s="230"/>
      <c r="Z193" s="230"/>
      <c r="AA193" s="230"/>
      <c r="AB193" s="230"/>
      <c r="AC193" s="230"/>
    </row>
    <row r="194">
      <c r="O194" s="230"/>
      <c r="S194" s="230"/>
      <c r="T194" s="230"/>
      <c r="U194" s="230"/>
      <c r="V194" s="230"/>
      <c r="W194" s="230"/>
      <c r="X194" s="230"/>
      <c r="Y194" s="230"/>
      <c r="Z194" s="230"/>
      <c r="AA194" s="230"/>
      <c r="AB194" s="230"/>
      <c r="AC194" s="230"/>
    </row>
    <row r="195">
      <c r="O195" s="230"/>
      <c r="S195" s="230"/>
      <c r="T195" s="230"/>
      <c r="U195" s="230"/>
      <c r="V195" s="230"/>
      <c r="W195" s="230"/>
      <c r="X195" s="230"/>
      <c r="Y195" s="230"/>
      <c r="Z195" s="230"/>
      <c r="AA195" s="230"/>
      <c r="AB195" s="230"/>
      <c r="AC195" s="230"/>
    </row>
    <row r="196">
      <c r="O196" s="230"/>
      <c r="S196" s="230"/>
      <c r="T196" s="230"/>
      <c r="U196" s="230"/>
      <c r="V196" s="230"/>
      <c r="W196" s="230"/>
      <c r="X196" s="230"/>
      <c r="Y196" s="230"/>
      <c r="Z196" s="230"/>
      <c r="AA196" s="230"/>
      <c r="AB196" s="230"/>
      <c r="AC196" s="230"/>
    </row>
    <row r="197">
      <c r="O197" s="230"/>
      <c r="S197" s="230"/>
      <c r="T197" s="230"/>
      <c r="U197" s="230"/>
      <c r="V197" s="230"/>
      <c r="W197" s="230"/>
      <c r="X197" s="230"/>
      <c r="Y197" s="230"/>
      <c r="Z197" s="230"/>
      <c r="AA197" s="230"/>
      <c r="AB197" s="230"/>
      <c r="AC197" s="230"/>
    </row>
    <row r="198">
      <c r="O198" s="230"/>
      <c r="S198" s="230"/>
      <c r="T198" s="230"/>
      <c r="U198" s="230"/>
      <c r="V198" s="230"/>
      <c r="W198" s="230"/>
      <c r="X198" s="230"/>
      <c r="Y198" s="230"/>
      <c r="Z198" s="230"/>
      <c r="AA198" s="230"/>
      <c r="AB198" s="230"/>
      <c r="AC198" s="230"/>
    </row>
    <row r="199">
      <c r="O199" s="230"/>
      <c r="S199" s="230"/>
      <c r="T199" s="230"/>
      <c r="U199" s="230"/>
      <c r="V199" s="230"/>
      <c r="W199" s="230"/>
      <c r="X199" s="230"/>
      <c r="Y199" s="230"/>
      <c r="Z199" s="230"/>
      <c r="AA199" s="230"/>
      <c r="AB199" s="230"/>
      <c r="AC199" s="230"/>
    </row>
    <row r="200">
      <c r="O200" s="230"/>
      <c r="S200" s="230"/>
      <c r="T200" s="230"/>
      <c r="U200" s="230"/>
      <c r="V200" s="230"/>
      <c r="W200" s="230"/>
      <c r="X200" s="230"/>
      <c r="Y200" s="230"/>
      <c r="Z200" s="230"/>
      <c r="AA200" s="230"/>
      <c r="AB200" s="230"/>
      <c r="AC200" s="230"/>
    </row>
    <row r="201">
      <c r="O201" s="230"/>
      <c r="S201" s="230"/>
      <c r="T201" s="230"/>
      <c r="U201" s="230"/>
      <c r="V201" s="230"/>
      <c r="W201" s="230"/>
      <c r="X201" s="230"/>
      <c r="Y201" s="230"/>
      <c r="Z201" s="230"/>
      <c r="AA201" s="230"/>
      <c r="AB201" s="230"/>
      <c r="AC201" s="230"/>
    </row>
    <row r="202">
      <c r="O202" s="230"/>
      <c r="S202" s="230"/>
      <c r="T202" s="230"/>
      <c r="U202" s="230"/>
      <c r="V202" s="230"/>
      <c r="W202" s="230"/>
      <c r="X202" s="230"/>
      <c r="Y202" s="230"/>
      <c r="Z202" s="230"/>
      <c r="AA202" s="230"/>
      <c r="AB202" s="230"/>
      <c r="AC202" s="230"/>
    </row>
    <row r="203">
      <c r="O203" s="230"/>
      <c r="S203" s="230"/>
      <c r="T203" s="230"/>
      <c r="U203" s="230"/>
      <c r="V203" s="230"/>
      <c r="W203" s="230"/>
      <c r="X203" s="230"/>
      <c r="Y203" s="230"/>
      <c r="Z203" s="230"/>
      <c r="AA203" s="230"/>
      <c r="AB203" s="230"/>
      <c r="AC203" s="230"/>
    </row>
    <row r="204">
      <c r="O204" s="230"/>
      <c r="S204" s="230"/>
      <c r="T204" s="230"/>
      <c r="U204" s="230"/>
      <c r="V204" s="230"/>
      <c r="W204" s="230"/>
      <c r="X204" s="230"/>
      <c r="Y204" s="230"/>
      <c r="Z204" s="230"/>
      <c r="AA204" s="230"/>
      <c r="AB204" s="230"/>
      <c r="AC204" s="230"/>
    </row>
    <row r="205">
      <c r="O205" s="230"/>
      <c r="S205" s="230"/>
      <c r="T205" s="230"/>
      <c r="U205" s="230"/>
      <c r="V205" s="230"/>
      <c r="W205" s="230"/>
      <c r="X205" s="230"/>
      <c r="Y205" s="230"/>
      <c r="Z205" s="230"/>
      <c r="AA205" s="230"/>
      <c r="AB205" s="230"/>
      <c r="AC205" s="230"/>
    </row>
    <row r="206">
      <c r="O206" s="230"/>
      <c r="S206" s="230"/>
      <c r="T206" s="230"/>
      <c r="U206" s="230"/>
      <c r="V206" s="230"/>
      <c r="W206" s="230"/>
      <c r="X206" s="230"/>
      <c r="Y206" s="230"/>
      <c r="Z206" s="230"/>
      <c r="AA206" s="230"/>
      <c r="AB206" s="230"/>
      <c r="AC206" s="230"/>
    </row>
    <row r="207">
      <c r="O207" s="230"/>
      <c r="S207" s="230"/>
      <c r="T207" s="230"/>
      <c r="U207" s="230"/>
      <c r="V207" s="230"/>
      <c r="W207" s="230"/>
      <c r="X207" s="230"/>
      <c r="Y207" s="230"/>
      <c r="Z207" s="230"/>
      <c r="AA207" s="230"/>
      <c r="AB207" s="230"/>
      <c r="AC207" s="230"/>
    </row>
    <row r="208">
      <c r="O208" s="230"/>
      <c r="S208" s="230"/>
      <c r="T208" s="230"/>
      <c r="U208" s="230"/>
      <c r="V208" s="230"/>
      <c r="W208" s="230"/>
      <c r="X208" s="230"/>
      <c r="Y208" s="230"/>
      <c r="Z208" s="230"/>
      <c r="AA208" s="230"/>
      <c r="AB208" s="230"/>
      <c r="AC208" s="230"/>
    </row>
    <row r="209">
      <c r="O209" s="230"/>
      <c r="S209" s="230"/>
      <c r="T209" s="230"/>
      <c r="U209" s="230"/>
      <c r="V209" s="230"/>
      <c r="W209" s="230"/>
      <c r="X209" s="230"/>
      <c r="Y209" s="230"/>
      <c r="Z209" s="230"/>
      <c r="AA209" s="230"/>
      <c r="AB209" s="230"/>
      <c r="AC209" s="230"/>
    </row>
    <row r="210">
      <c r="O210" s="230"/>
      <c r="S210" s="230"/>
      <c r="T210" s="230"/>
      <c r="U210" s="230"/>
      <c r="V210" s="230"/>
      <c r="W210" s="230"/>
      <c r="X210" s="230"/>
      <c r="Y210" s="230"/>
      <c r="Z210" s="230"/>
      <c r="AA210" s="230"/>
      <c r="AB210" s="230"/>
      <c r="AC210" s="230"/>
    </row>
    <row r="211">
      <c r="O211" s="230"/>
      <c r="S211" s="230"/>
      <c r="T211" s="230"/>
      <c r="U211" s="230"/>
      <c r="V211" s="230"/>
      <c r="W211" s="230"/>
      <c r="X211" s="230"/>
      <c r="Y211" s="230"/>
      <c r="Z211" s="230"/>
      <c r="AA211" s="230"/>
      <c r="AB211" s="230"/>
      <c r="AC211" s="230"/>
    </row>
    <row r="212">
      <c r="O212" s="230"/>
      <c r="S212" s="230"/>
      <c r="T212" s="230"/>
      <c r="U212" s="230"/>
      <c r="V212" s="230"/>
      <c r="W212" s="230"/>
      <c r="X212" s="230"/>
      <c r="Y212" s="230"/>
      <c r="Z212" s="230"/>
      <c r="AA212" s="230"/>
      <c r="AB212" s="230"/>
      <c r="AC212" s="230"/>
    </row>
    <row r="213">
      <c r="O213" s="230"/>
      <c r="S213" s="230"/>
      <c r="T213" s="230"/>
      <c r="U213" s="230"/>
      <c r="V213" s="230"/>
      <c r="W213" s="230"/>
      <c r="X213" s="230"/>
      <c r="Y213" s="230"/>
      <c r="Z213" s="230"/>
      <c r="AA213" s="230"/>
      <c r="AB213" s="230"/>
      <c r="AC213" s="230"/>
    </row>
    <row r="214">
      <c r="O214" s="230"/>
      <c r="S214" s="230"/>
      <c r="T214" s="230"/>
      <c r="U214" s="230"/>
      <c r="V214" s="230"/>
      <c r="W214" s="230"/>
      <c r="X214" s="230"/>
      <c r="Y214" s="230"/>
      <c r="Z214" s="230"/>
      <c r="AA214" s="230"/>
      <c r="AB214" s="230"/>
      <c r="AC214" s="230"/>
    </row>
    <row r="215">
      <c r="O215" s="230"/>
      <c r="S215" s="230"/>
      <c r="T215" s="230"/>
      <c r="U215" s="230"/>
      <c r="V215" s="230"/>
      <c r="W215" s="230"/>
      <c r="X215" s="230"/>
      <c r="Y215" s="230"/>
      <c r="Z215" s="230"/>
      <c r="AA215" s="230"/>
      <c r="AB215" s="230"/>
      <c r="AC215" s="230"/>
    </row>
    <row r="216">
      <c r="O216" s="230"/>
      <c r="S216" s="230"/>
      <c r="T216" s="230"/>
      <c r="U216" s="230"/>
      <c r="V216" s="230"/>
      <c r="W216" s="230"/>
      <c r="X216" s="230"/>
      <c r="Y216" s="230"/>
      <c r="Z216" s="230"/>
      <c r="AA216" s="230"/>
      <c r="AB216" s="230"/>
      <c r="AC216" s="230"/>
    </row>
    <row r="217">
      <c r="O217" s="230"/>
      <c r="S217" s="230"/>
      <c r="T217" s="230"/>
      <c r="U217" s="230"/>
      <c r="V217" s="230"/>
      <c r="W217" s="230"/>
      <c r="X217" s="230"/>
      <c r="Y217" s="230"/>
      <c r="Z217" s="230"/>
      <c r="AA217" s="230"/>
      <c r="AB217" s="230"/>
      <c r="AC217" s="230"/>
    </row>
    <row r="218">
      <c r="O218" s="230"/>
      <c r="S218" s="230"/>
      <c r="T218" s="230"/>
      <c r="U218" s="230"/>
      <c r="V218" s="230"/>
      <c r="W218" s="230"/>
      <c r="X218" s="230"/>
      <c r="Y218" s="230"/>
      <c r="Z218" s="230"/>
      <c r="AA218" s="230"/>
      <c r="AB218" s="230"/>
      <c r="AC218" s="230"/>
    </row>
    <row r="219">
      <c r="O219" s="230"/>
      <c r="S219" s="230"/>
      <c r="T219" s="230"/>
      <c r="U219" s="230"/>
      <c r="V219" s="230"/>
      <c r="W219" s="230"/>
      <c r="X219" s="230"/>
      <c r="Y219" s="230"/>
      <c r="Z219" s="230"/>
      <c r="AA219" s="230"/>
      <c r="AB219" s="230"/>
      <c r="AC219" s="230"/>
    </row>
    <row r="220">
      <c r="O220" s="230"/>
      <c r="S220" s="230"/>
      <c r="T220" s="230"/>
      <c r="U220" s="230"/>
      <c r="V220" s="230"/>
      <c r="W220" s="230"/>
      <c r="X220" s="230"/>
      <c r="Y220" s="230"/>
      <c r="Z220" s="230"/>
      <c r="AA220" s="230"/>
      <c r="AB220" s="230"/>
      <c r="AC220" s="230"/>
    </row>
    <row r="221">
      <c r="O221" s="230"/>
      <c r="S221" s="230"/>
      <c r="T221" s="230"/>
      <c r="U221" s="230"/>
      <c r="V221" s="230"/>
      <c r="W221" s="230"/>
      <c r="X221" s="230"/>
      <c r="Y221" s="230"/>
      <c r="Z221" s="230"/>
      <c r="AA221" s="230"/>
      <c r="AB221" s="230"/>
      <c r="AC221" s="230"/>
    </row>
    <row r="222">
      <c r="O222" s="230"/>
      <c r="S222" s="230"/>
      <c r="T222" s="230"/>
      <c r="U222" s="230"/>
      <c r="V222" s="230"/>
      <c r="W222" s="230"/>
      <c r="X222" s="230"/>
      <c r="Y222" s="230"/>
      <c r="Z222" s="230"/>
      <c r="AA222" s="230"/>
      <c r="AB222" s="230"/>
      <c r="AC222" s="230"/>
    </row>
    <row r="223">
      <c r="O223" s="230"/>
      <c r="S223" s="230"/>
      <c r="T223" s="230"/>
      <c r="U223" s="230"/>
      <c r="V223" s="230"/>
      <c r="W223" s="230"/>
      <c r="X223" s="230"/>
      <c r="Y223" s="230"/>
      <c r="Z223" s="230"/>
      <c r="AA223" s="230"/>
      <c r="AB223" s="230"/>
      <c r="AC223" s="230"/>
    </row>
    <row r="224">
      <c r="O224" s="230"/>
      <c r="S224" s="230"/>
      <c r="T224" s="230"/>
      <c r="U224" s="230"/>
      <c r="V224" s="230"/>
      <c r="W224" s="230"/>
      <c r="X224" s="230"/>
      <c r="Y224" s="230"/>
      <c r="Z224" s="230"/>
      <c r="AA224" s="230"/>
      <c r="AB224" s="230"/>
      <c r="AC224" s="230"/>
    </row>
    <row r="225">
      <c r="O225" s="230"/>
      <c r="S225" s="230"/>
      <c r="T225" s="230"/>
      <c r="U225" s="230"/>
      <c r="V225" s="230"/>
      <c r="W225" s="230"/>
      <c r="X225" s="230"/>
      <c r="Y225" s="230"/>
      <c r="Z225" s="230"/>
      <c r="AA225" s="230"/>
      <c r="AB225" s="230"/>
      <c r="AC225" s="230"/>
    </row>
    <row r="226">
      <c r="O226" s="230"/>
      <c r="S226" s="230"/>
      <c r="T226" s="230"/>
      <c r="U226" s="230"/>
      <c r="V226" s="230"/>
      <c r="W226" s="230"/>
      <c r="X226" s="230"/>
      <c r="Y226" s="230"/>
      <c r="Z226" s="230"/>
      <c r="AA226" s="230"/>
      <c r="AB226" s="230"/>
      <c r="AC226" s="230"/>
    </row>
    <row r="227">
      <c r="O227" s="230"/>
      <c r="S227" s="230"/>
      <c r="T227" s="230"/>
      <c r="U227" s="230"/>
      <c r="V227" s="230"/>
      <c r="W227" s="230"/>
      <c r="X227" s="230"/>
      <c r="Y227" s="230"/>
      <c r="Z227" s="230"/>
      <c r="AA227" s="230"/>
      <c r="AB227" s="230"/>
      <c r="AC227" s="230"/>
    </row>
    <row r="228">
      <c r="O228" s="230"/>
      <c r="S228" s="230"/>
      <c r="T228" s="230"/>
      <c r="U228" s="230"/>
      <c r="V228" s="230"/>
      <c r="W228" s="230"/>
      <c r="X228" s="230"/>
      <c r="Y228" s="230"/>
      <c r="Z228" s="230"/>
      <c r="AA228" s="230"/>
      <c r="AB228" s="230"/>
      <c r="AC228" s="230"/>
    </row>
    <row r="229">
      <c r="O229" s="230"/>
      <c r="S229" s="230"/>
      <c r="T229" s="230"/>
      <c r="U229" s="230"/>
      <c r="V229" s="230"/>
      <c r="W229" s="230"/>
      <c r="X229" s="230"/>
      <c r="Y229" s="230"/>
      <c r="Z229" s="230"/>
      <c r="AA229" s="230"/>
      <c r="AB229" s="230"/>
      <c r="AC229" s="230"/>
    </row>
    <row r="230">
      <c r="O230" s="230"/>
      <c r="S230" s="230"/>
      <c r="T230" s="230"/>
      <c r="U230" s="230"/>
      <c r="V230" s="230"/>
      <c r="W230" s="230"/>
      <c r="X230" s="230"/>
      <c r="Y230" s="230"/>
      <c r="Z230" s="230"/>
      <c r="AA230" s="230"/>
      <c r="AB230" s="230"/>
      <c r="AC230" s="230"/>
    </row>
    <row r="231">
      <c r="O231" s="230"/>
      <c r="S231" s="230"/>
      <c r="T231" s="230"/>
      <c r="U231" s="230"/>
      <c r="V231" s="230"/>
      <c r="W231" s="230"/>
      <c r="X231" s="230"/>
      <c r="Y231" s="230"/>
      <c r="Z231" s="230"/>
      <c r="AA231" s="230"/>
      <c r="AB231" s="230"/>
      <c r="AC231" s="230"/>
    </row>
    <row r="232">
      <c r="O232" s="230"/>
      <c r="S232" s="230"/>
      <c r="T232" s="230"/>
      <c r="U232" s="230"/>
      <c r="V232" s="230"/>
      <c r="W232" s="230"/>
      <c r="X232" s="230"/>
      <c r="Y232" s="230"/>
      <c r="Z232" s="230"/>
      <c r="AA232" s="230"/>
      <c r="AB232" s="230"/>
      <c r="AC232" s="230"/>
    </row>
    <row r="233">
      <c r="O233" s="230"/>
      <c r="S233" s="230"/>
      <c r="T233" s="230"/>
      <c r="U233" s="230"/>
      <c r="V233" s="230"/>
      <c r="W233" s="230"/>
      <c r="X233" s="230"/>
      <c r="Y233" s="230"/>
      <c r="Z233" s="230"/>
      <c r="AA233" s="230"/>
      <c r="AB233" s="230"/>
      <c r="AC233" s="230"/>
    </row>
    <row r="234">
      <c r="O234" s="230"/>
      <c r="S234" s="230"/>
      <c r="T234" s="230"/>
      <c r="U234" s="230"/>
      <c r="V234" s="230"/>
      <c r="W234" s="230"/>
      <c r="X234" s="230"/>
      <c r="Y234" s="230"/>
      <c r="Z234" s="230"/>
      <c r="AA234" s="230"/>
      <c r="AB234" s="230"/>
      <c r="AC234" s="230"/>
    </row>
    <row r="235">
      <c r="O235" s="230"/>
      <c r="S235" s="230"/>
      <c r="T235" s="230"/>
      <c r="U235" s="230"/>
      <c r="V235" s="230"/>
      <c r="W235" s="230"/>
      <c r="X235" s="230"/>
      <c r="Y235" s="230"/>
      <c r="Z235" s="230"/>
      <c r="AA235" s="230"/>
      <c r="AB235" s="230"/>
      <c r="AC235" s="230"/>
    </row>
    <row r="236">
      <c r="O236" s="230"/>
      <c r="S236" s="230"/>
      <c r="T236" s="230"/>
      <c r="U236" s="230"/>
      <c r="V236" s="230"/>
      <c r="W236" s="230"/>
      <c r="X236" s="230"/>
      <c r="Y236" s="230"/>
      <c r="Z236" s="230"/>
      <c r="AA236" s="230"/>
      <c r="AB236" s="230"/>
      <c r="AC236" s="230"/>
    </row>
    <row r="237">
      <c r="O237" s="230"/>
      <c r="S237" s="230"/>
      <c r="T237" s="230"/>
      <c r="U237" s="230"/>
      <c r="V237" s="230"/>
      <c r="W237" s="230"/>
      <c r="X237" s="230"/>
      <c r="Y237" s="230"/>
      <c r="Z237" s="230"/>
      <c r="AA237" s="230"/>
      <c r="AB237" s="230"/>
      <c r="AC237" s="230"/>
    </row>
    <row r="238">
      <c r="O238" s="230"/>
      <c r="S238" s="230"/>
      <c r="T238" s="230"/>
      <c r="U238" s="230"/>
      <c r="V238" s="230"/>
      <c r="W238" s="230"/>
      <c r="X238" s="230"/>
      <c r="Y238" s="230"/>
      <c r="Z238" s="230"/>
      <c r="AA238" s="230"/>
      <c r="AB238" s="230"/>
      <c r="AC238" s="230"/>
    </row>
    <row r="239">
      <c r="O239" s="230"/>
      <c r="S239" s="230"/>
      <c r="T239" s="230"/>
      <c r="U239" s="230"/>
      <c r="V239" s="230"/>
      <c r="W239" s="230"/>
      <c r="X239" s="230"/>
      <c r="Y239" s="230"/>
      <c r="Z239" s="230"/>
      <c r="AA239" s="230"/>
      <c r="AB239" s="230"/>
      <c r="AC239" s="230"/>
    </row>
    <row r="240">
      <c r="O240" s="230"/>
      <c r="S240" s="230"/>
      <c r="T240" s="230"/>
      <c r="U240" s="230"/>
      <c r="V240" s="230"/>
      <c r="W240" s="230"/>
      <c r="X240" s="230"/>
      <c r="Y240" s="230"/>
      <c r="Z240" s="230"/>
      <c r="AA240" s="230"/>
      <c r="AB240" s="230"/>
      <c r="AC240" s="230"/>
    </row>
    <row r="241">
      <c r="O241" s="230"/>
      <c r="S241" s="230"/>
      <c r="T241" s="230"/>
      <c r="U241" s="230"/>
      <c r="V241" s="230"/>
      <c r="W241" s="230"/>
      <c r="X241" s="230"/>
      <c r="Y241" s="230"/>
      <c r="Z241" s="230"/>
      <c r="AA241" s="230"/>
      <c r="AB241" s="230"/>
      <c r="AC241" s="230"/>
    </row>
    <row r="242">
      <c r="O242" s="230"/>
      <c r="S242" s="230"/>
      <c r="T242" s="230"/>
      <c r="U242" s="230"/>
      <c r="V242" s="230"/>
      <c r="W242" s="230"/>
      <c r="X242" s="230"/>
      <c r="Y242" s="230"/>
      <c r="Z242" s="230"/>
      <c r="AA242" s="230"/>
      <c r="AB242" s="230"/>
      <c r="AC242" s="230"/>
    </row>
    <row r="243">
      <c r="O243" s="230"/>
      <c r="S243" s="230"/>
      <c r="T243" s="230"/>
      <c r="U243" s="230"/>
      <c r="V243" s="230"/>
      <c r="W243" s="230"/>
      <c r="X243" s="230"/>
      <c r="Y243" s="230"/>
      <c r="Z243" s="230"/>
      <c r="AA243" s="230"/>
      <c r="AB243" s="230"/>
      <c r="AC243" s="230"/>
    </row>
    <row r="244">
      <c r="O244" s="230"/>
      <c r="S244" s="230"/>
      <c r="T244" s="230"/>
      <c r="U244" s="230"/>
      <c r="V244" s="230"/>
      <c r="W244" s="230"/>
      <c r="X244" s="230"/>
      <c r="Y244" s="230"/>
      <c r="Z244" s="230"/>
      <c r="AA244" s="230"/>
      <c r="AB244" s="230"/>
      <c r="AC244" s="230"/>
    </row>
    <row r="245">
      <c r="O245" s="230"/>
      <c r="S245" s="230"/>
      <c r="T245" s="230"/>
      <c r="U245" s="230"/>
      <c r="V245" s="230"/>
      <c r="W245" s="230"/>
      <c r="X245" s="230"/>
      <c r="Y245" s="230"/>
      <c r="Z245" s="230"/>
      <c r="AA245" s="230"/>
      <c r="AB245" s="230"/>
      <c r="AC245" s="230"/>
    </row>
    <row r="246">
      <c r="O246" s="230"/>
      <c r="S246" s="230"/>
      <c r="T246" s="230"/>
      <c r="U246" s="230"/>
      <c r="V246" s="230"/>
      <c r="W246" s="230"/>
      <c r="X246" s="230"/>
      <c r="Y246" s="230"/>
      <c r="Z246" s="230"/>
      <c r="AA246" s="230"/>
      <c r="AB246" s="230"/>
      <c r="AC246" s="230"/>
    </row>
    <row r="247">
      <c r="O247" s="230"/>
      <c r="S247" s="230"/>
      <c r="T247" s="230"/>
      <c r="U247" s="230"/>
      <c r="V247" s="230"/>
      <c r="W247" s="230"/>
      <c r="X247" s="230"/>
      <c r="Y247" s="230"/>
      <c r="Z247" s="230"/>
      <c r="AA247" s="230"/>
      <c r="AB247" s="230"/>
      <c r="AC247" s="230"/>
    </row>
    <row r="248">
      <c r="O248" s="230"/>
      <c r="S248" s="230"/>
      <c r="T248" s="230"/>
      <c r="U248" s="230"/>
      <c r="V248" s="230"/>
      <c r="W248" s="230"/>
      <c r="X248" s="230"/>
      <c r="Y248" s="230"/>
      <c r="Z248" s="230"/>
      <c r="AA248" s="230"/>
      <c r="AB248" s="230"/>
      <c r="AC248" s="230"/>
    </row>
    <row r="249">
      <c r="O249" s="230"/>
      <c r="S249" s="230"/>
      <c r="T249" s="230"/>
      <c r="U249" s="230"/>
      <c r="V249" s="230"/>
      <c r="W249" s="230"/>
      <c r="X249" s="230"/>
      <c r="Y249" s="230"/>
      <c r="Z249" s="230"/>
      <c r="AA249" s="230"/>
      <c r="AB249" s="230"/>
      <c r="AC249" s="230"/>
    </row>
    <row r="250">
      <c r="O250" s="230"/>
      <c r="S250" s="230"/>
      <c r="T250" s="230"/>
      <c r="U250" s="230"/>
      <c r="V250" s="230"/>
      <c r="W250" s="230"/>
      <c r="X250" s="230"/>
      <c r="Y250" s="230"/>
      <c r="Z250" s="230"/>
      <c r="AA250" s="230"/>
      <c r="AB250" s="230"/>
      <c r="AC250" s="230"/>
    </row>
    <row r="251">
      <c r="O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</row>
    <row r="252">
      <c r="O252" s="230"/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  <c r="AC252" s="230"/>
    </row>
    <row r="253">
      <c r="O253" s="230"/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  <c r="AC253" s="230"/>
    </row>
    <row r="254">
      <c r="O254" s="230"/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  <c r="AC254" s="230"/>
    </row>
    <row r="255">
      <c r="O255" s="230"/>
      <c r="S255" s="230"/>
      <c r="T255" s="230"/>
      <c r="U255" s="230"/>
      <c r="V255" s="230"/>
      <c r="W255" s="230"/>
      <c r="X255" s="230"/>
      <c r="Y255" s="230"/>
      <c r="Z255" s="230"/>
      <c r="AA255" s="230"/>
      <c r="AB255" s="230"/>
      <c r="AC255" s="230"/>
    </row>
    <row r="256">
      <c r="O256" s="230"/>
      <c r="S256" s="230"/>
      <c r="T256" s="230"/>
      <c r="U256" s="230"/>
      <c r="V256" s="230"/>
      <c r="W256" s="230"/>
      <c r="X256" s="230"/>
      <c r="Y256" s="230"/>
      <c r="Z256" s="230"/>
      <c r="AA256" s="230"/>
      <c r="AB256" s="230"/>
      <c r="AC256" s="230"/>
    </row>
    <row r="257">
      <c r="O257" s="230"/>
      <c r="S257" s="230"/>
      <c r="T257" s="230"/>
      <c r="U257" s="230"/>
      <c r="V257" s="230"/>
      <c r="W257" s="230"/>
      <c r="X257" s="230"/>
      <c r="Y257" s="230"/>
      <c r="Z257" s="230"/>
      <c r="AA257" s="230"/>
      <c r="AB257" s="230"/>
      <c r="AC257" s="230"/>
    </row>
    <row r="258">
      <c r="O258" s="230"/>
      <c r="S258" s="230"/>
      <c r="T258" s="230"/>
      <c r="U258" s="230"/>
      <c r="V258" s="230"/>
      <c r="W258" s="230"/>
      <c r="X258" s="230"/>
      <c r="Y258" s="230"/>
      <c r="Z258" s="230"/>
      <c r="AA258" s="230"/>
      <c r="AB258" s="230"/>
      <c r="AC258" s="230"/>
    </row>
    <row r="259">
      <c r="O259" s="230"/>
      <c r="S259" s="230"/>
      <c r="T259" s="230"/>
      <c r="U259" s="230"/>
      <c r="V259" s="230"/>
      <c r="W259" s="230"/>
      <c r="X259" s="230"/>
      <c r="Y259" s="230"/>
      <c r="Z259" s="230"/>
      <c r="AA259" s="230"/>
      <c r="AB259" s="230"/>
      <c r="AC259" s="230"/>
    </row>
    <row r="260">
      <c r="O260" s="230"/>
      <c r="S260" s="230"/>
      <c r="T260" s="230"/>
      <c r="U260" s="230"/>
      <c r="V260" s="230"/>
      <c r="W260" s="230"/>
      <c r="X260" s="230"/>
      <c r="Y260" s="230"/>
      <c r="Z260" s="230"/>
      <c r="AA260" s="230"/>
      <c r="AB260" s="230"/>
      <c r="AC260" s="230"/>
    </row>
    <row r="261">
      <c r="O261" s="230"/>
      <c r="S261" s="230"/>
      <c r="T261" s="230"/>
      <c r="U261" s="230"/>
      <c r="V261" s="230"/>
      <c r="W261" s="230"/>
      <c r="X261" s="230"/>
      <c r="Y261" s="230"/>
      <c r="Z261" s="230"/>
      <c r="AA261" s="230"/>
      <c r="AB261" s="230"/>
      <c r="AC261" s="230"/>
    </row>
    <row r="262">
      <c r="O262" s="230"/>
      <c r="S262" s="230"/>
      <c r="T262" s="230"/>
      <c r="U262" s="230"/>
      <c r="V262" s="230"/>
      <c r="W262" s="230"/>
      <c r="X262" s="230"/>
      <c r="Y262" s="230"/>
      <c r="Z262" s="230"/>
      <c r="AA262" s="230"/>
      <c r="AB262" s="230"/>
      <c r="AC262" s="230"/>
    </row>
    <row r="263">
      <c r="O263" s="230"/>
      <c r="S263" s="230"/>
      <c r="T263" s="230"/>
      <c r="U263" s="230"/>
      <c r="V263" s="230"/>
      <c r="W263" s="230"/>
      <c r="X263" s="230"/>
      <c r="Y263" s="230"/>
      <c r="Z263" s="230"/>
      <c r="AA263" s="230"/>
      <c r="AB263" s="230"/>
      <c r="AC263" s="230"/>
    </row>
    <row r="264">
      <c r="O264" s="230"/>
      <c r="S264" s="230"/>
      <c r="T264" s="230"/>
      <c r="U264" s="230"/>
      <c r="V264" s="230"/>
      <c r="W264" s="230"/>
      <c r="X264" s="230"/>
      <c r="Y264" s="230"/>
      <c r="Z264" s="230"/>
      <c r="AA264" s="230"/>
      <c r="AB264" s="230"/>
      <c r="AC264" s="230"/>
    </row>
    <row r="265">
      <c r="O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</row>
    <row r="266">
      <c r="O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  <c r="AC266" s="230"/>
    </row>
    <row r="267">
      <c r="O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  <c r="AC267" s="230"/>
    </row>
    <row r="268">
      <c r="O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  <c r="AC268" s="230"/>
    </row>
    <row r="269">
      <c r="O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  <c r="AC269" s="230"/>
    </row>
    <row r="270">
      <c r="O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  <c r="AC270" s="230"/>
    </row>
    <row r="271">
      <c r="O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  <c r="AC271" s="230"/>
    </row>
    <row r="272">
      <c r="O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  <c r="AC272" s="230"/>
    </row>
    <row r="273">
      <c r="O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  <c r="AC273" s="230"/>
    </row>
    <row r="274">
      <c r="O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  <c r="AC274" s="230"/>
    </row>
    <row r="275">
      <c r="O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</row>
    <row r="276">
      <c r="O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  <c r="AC276" s="230"/>
    </row>
    <row r="277">
      <c r="O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  <c r="AC277" s="230"/>
    </row>
    <row r="278">
      <c r="O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  <c r="AC278" s="230"/>
    </row>
    <row r="279">
      <c r="O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  <c r="AC279" s="230"/>
    </row>
    <row r="280">
      <c r="O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  <c r="AC280" s="230"/>
    </row>
    <row r="281">
      <c r="O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  <c r="AC281" s="230"/>
    </row>
    <row r="282">
      <c r="O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  <c r="AC282" s="230"/>
    </row>
    <row r="283">
      <c r="O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  <c r="AC283" s="230"/>
    </row>
    <row r="284">
      <c r="O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  <c r="AC284" s="230"/>
    </row>
    <row r="285">
      <c r="O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  <c r="AC285" s="230"/>
    </row>
    <row r="286">
      <c r="O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  <c r="AC286" s="230"/>
    </row>
    <row r="287">
      <c r="O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</row>
    <row r="288">
      <c r="O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  <c r="AC288" s="230"/>
    </row>
    <row r="289">
      <c r="O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  <c r="AC289" s="230"/>
    </row>
    <row r="290">
      <c r="O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  <c r="AC290" s="230"/>
    </row>
    <row r="291">
      <c r="O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  <c r="AC291" s="230"/>
    </row>
    <row r="292">
      <c r="O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  <c r="AC292" s="230"/>
    </row>
    <row r="293">
      <c r="O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  <c r="AC293" s="230"/>
    </row>
    <row r="294">
      <c r="O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</row>
    <row r="295">
      <c r="O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</row>
    <row r="296">
      <c r="O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</row>
    <row r="297">
      <c r="O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</row>
    <row r="298">
      <c r="O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</row>
    <row r="299">
      <c r="O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</row>
    <row r="300">
      <c r="O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</row>
    <row r="301">
      <c r="O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</row>
    <row r="302">
      <c r="O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</row>
    <row r="303">
      <c r="O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</row>
    <row r="304">
      <c r="O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</row>
    <row r="305">
      <c r="O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</row>
    <row r="306">
      <c r="O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</row>
    <row r="307">
      <c r="O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</row>
    <row r="308">
      <c r="O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</row>
    <row r="309">
      <c r="O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</row>
    <row r="310">
      <c r="O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</row>
    <row r="311">
      <c r="O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</row>
    <row r="312">
      <c r="O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</row>
    <row r="313">
      <c r="O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</row>
    <row r="314">
      <c r="O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</row>
    <row r="315">
      <c r="O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</row>
    <row r="316">
      <c r="O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</row>
    <row r="317">
      <c r="O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</row>
    <row r="318">
      <c r="O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</row>
    <row r="319">
      <c r="O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</row>
    <row r="320">
      <c r="O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</row>
    <row r="321">
      <c r="O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</row>
    <row r="322">
      <c r="O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</row>
    <row r="323">
      <c r="O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</row>
    <row r="324">
      <c r="O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</row>
    <row r="325">
      <c r="O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</row>
    <row r="326">
      <c r="O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</row>
    <row r="327">
      <c r="O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</row>
    <row r="328">
      <c r="O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</row>
    <row r="329">
      <c r="O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</row>
    <row r="330">
      <c r="O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</row>
    <row r="331">
      <c r="O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</row>
    <row r="332">
      <c r="O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</row>
    <row r="333">
      <c r="O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</row>
    <row r="334">
      <c r="O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</row>
    <row r="335">
      <c r="O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</row>
    <row r="336">
      <c r="O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</row>
    <row r="337">
      <c r="O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</row>
    <row r="338">
      <c r="O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</row>
    <row r="339">
      <c r="O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</row>
    <row r="340">
      <c r="O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</row>
    <row r="341">
      <c r="O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</row>
    <row r="342">
      <c r="O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</row>
    <row r="343">
      <c r="O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</row>
    <row r="344">
      <c r="O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</row>
    <row r="345">
      <c r="O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</row>
    <row r="346">
      <c r="O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</row>
    <row r="347">
      <c r="O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</row>
    <row r="348">
      <c r="O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</row>
    <row r="349">
      <c r="O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</row>
    <row r="350">
      <c r="O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</row>
    <row r="351">
      <c r="O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</row>
    <row r="352">
      <c r="O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</row>
    <row r="353">
      <c r="O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</row>
    <row r="354">
      <c r="O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</row>
    <row r="355">
      <c r="O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</row>
    <row r="356">
      <c r="O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</row>
    <row r="357">
      <c r="O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</row>
    <row r="358">
      <c r="O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</row>
    <row r="359">
      <c r="O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</row>
    <row r="360">
      <c r="O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</row>
    <row r="361">
      <c r="O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</row>
    <row r="362">
      <c r="O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</row>
    <row r="363">
      <c r="O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</row>
    <row r="364">
      <c r="O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</row>
    <row r="365">
      <c r="O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</row>
    <row r="366">
      <c r="O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</row>
    <row r="367">
      <c r="O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</row>
    <row r="368">
      <c r="O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</row>
    <row r="369">
      <c r="O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</row>
    <row r="370">
      <c r="O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</row>
    <row r="371">
      <c r="O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</row>
    <row r="372">
      <c r="O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</row>
    <row r="373">
      <c r="O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</row>
    <row r="374">
      <c r="O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</row>
    <row r="375">
      <c r="O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</row>
    <row r="376">
      <c r="O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</row>
    <row r="377">
      <c r="O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</row>
    <row r="378">
      <c r="O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</row>
    <row r="379">
      <c r="O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</row>
    <row r="380">
      <c r="O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</row>
    <row r="381">
      <c r="O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</row>
    <row r="382">
      <c r="O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</row>
    <row r="383">
      <c r="O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</row>
    <row r="384">
      <c r="O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</row>
    <row r="385">
      <c r="O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</row>
    <row r="386">
      <c r="O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</row>
    <row r="387">
      <c r="O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</row>
    <row r="388">
      <c r="O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</row>
    <row r="389">
      <c r="O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</row>
    <row r="390">
      <c r="O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</row>
    <row r="391">
      <c r="O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</row>
    <row r="392">
      <c r="O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</row>
    <row r="393">
      <c r="O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</row>
    <row r="394">
      <c r="O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</row>
    <row r="395">
      <c r="O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</row>
    <row r="396">
      <c r="O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</row>
    <row r="397">
      <c r="O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</row>
    <row r="398">
      <c r="O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</row>
    <row r="399">
      <c r="O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</row>
    <row r="400">
      <c r="O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</row>
    <row r="401">
      <c r="O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</row>
    <row r="402">
      <c r="O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</row>
    <row r="403">
      <c r="O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</row>
    <row r="404">
      <c r="O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</row>
    <row r="405">
      <c r="O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</row>
    <row r="406">
      <c r="O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</row>
    <row r="407">
      <c r="O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</row>
    <row r="408">
      <c r="O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</row>
    <row r="409">
      <c r="O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</row>
    <row r="410">
      <c r="O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</row>
    <row r="411">
      <c r="O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</row>
    <row r="412">
      <c r="O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</row>
    <row r="413">
      <c r="O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</row>
    <row r="414">
      <c r="O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</row>
    <row r="415">
      <c r="O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</row>
    <row r="416">
      <c r="O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</row>
    <row r="417">
      <c r="O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</row>
    <row r="418">
      <c r="O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</row>
    <row r="419">
      <c r="O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</row>
    <row r="420">
      <c r="O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</row>
    <row r="421">
      <c r="O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</row>
    <row r="422">
      <c r="O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</row>
    <row r="423">
      <c r="O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</row>
    <row r="424">
      <c r="O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</row>
    <row r="425">
      <c r="O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</row>
    <row r="426">
      <c r="O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</row>
    <row r="427">
      <c r="O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</row>
    <row r="428">
      <c r="O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</row>
    <row r="429">
      <c r="O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</row>
    <row r="430">
      <c r="O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</row>
    <row r="431">
      <c r="O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</row>
    <row r="432">
      <c r="O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</row>
    <row r="433">
      <c r="O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</row>
    <row r="434">
      <c r="O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</row>
    <row r="435">
      <c r="O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</row>
    <row r="436">
      <c r="O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</row>
    <row r="437">
      <c r="O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</row>
    <row r="438">
      <c r="O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</row>
    <row r="439">
      <c r="O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</row>
    <row r="440">
      <c r="O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</row>
    <row r="441">
      <c r="O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</row>
    <row r="442">
      <c r="O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</row>
    <row r="443">
      <c r="O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</row>
    <row r="444">
      <c r="O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</row>
    <row r="445">
      <c r="O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</row>
    <row r="446">
      <c r="O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</row>
    <row r="447">
      <c r="O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</row>
    <row r="448">
      <c r="O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</row>
    <row r="449">
      <c r="O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</row>
    <row r="450">
      <c r="O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</row>
    <row r="451">
      <c r="O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</row>
    <row r="452">
      <c r="O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</row>
    <row r="453">
      <c r="O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</row>
    <row r="454">
      <c r="O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</row>
    <row r="455">
      <c r="O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</row>
    <row r="456">
      <c r="O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</row>
    <row r="457">
      <c r="O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</row>
    <row r="458">
      <c r="O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</row>
    <row r="459">
      <c r="O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</row>
    <row r="460">
      <c r="O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</row>
    <row r="461">
      <c r="O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</row>
    <row r="462">
      <c r="O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</row>
    <row r="463">
      <c r="O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</row>
    <row r="464">
      <c r="O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</row>
    <row r="465">
      <c r="O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</row>
    <row r="466">
      <c r="O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</row>
    <row r="467">
      <c r="O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</row>
    <row r="468">
      <c r="O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</row>
    <row r="469">
      <c r="O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</row>
    <row r="470">
      <c r="O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</row>
    <row r="471">
      <c r="O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</row>
    <row r="472">
      <c r="O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</row>
    <row r="473">
      <c r="O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</row>
    <row r="474">
      <c r="O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</row>
    <row r="475">
      <c r="O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</row>
    <row r="476">
      <c r="O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</row>
    <row r="477">
      <c r="O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</row>
    <row r="478">
      <c r="O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</row>
    <row r="479">
      <c r="O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</row>
    <row r="480">
      <c r="O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</row>
    <row r="481">
      <c r="O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</row>
    <row r="482">
      <c r="O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</row>
    <row r="483">
      <c r="O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</row>
    <row r="484">
      <c r="O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</row>
    <row r="485">
      <c r="O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</row>
    <row r="486">
      <c r="O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</row>
    <row r="487">
      <c r="O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</row>
    <row r="488">
      <c r="O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</row>
    <row r="489">
      <c r="O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</row>
    <row r="490">
      <c r="O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</row>
    <row r="491">
      <c r="O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</row>
    <row r="492">
      <c r="O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</row>
    <row r="493">
      <c r="O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</row>
    <row r="494">
      <c r="O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</row>
    <row r="495">
      <c r="O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</row>
    <row r="496">
      <c r="O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</row>
    <row r="497">
      <c r="O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</row>
    <row r="498">
      <c r="O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</row>
    <row r="499">
      <c r="O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</row>
    <row r="500">
      <c r="O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</row>
    <row r="501">
      <c r="O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</row>
    <row r="502">
      <c r="O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</row>
    <row r="503">
      <c r="O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</row>
    <row r="504">
      <c r="O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</row>
    <row r="505">
      <c r="O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</row>
    <row r="506">
      <c r="O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</row>
    <row r="507">
      <c r="O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</row>
    <row r="508">
      <c r="O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</row>
    <row r="509">
      <c r="O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</row>
    <row r="510">
      <c r="O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</row>
    <row r="511">
      <c r="O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</row>
    <row r="512">
      <c r="O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</row>
    <row r="513">
      <c r="O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</row>
    <row r="514">
      <c r="O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</row>
    <row r="515">
      <c r="O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</row>
    <row r="516">
      <c r="O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</row>
    <row r="517">
      <c r="O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</row>
    <row r="518">
      <c r="O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</row>
    <row r="519">
      <c r="O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</row>
    <row r="520">
      <c r="O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</row>
    <row r="521">
      <c r="O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</row>
    <row r="522">
      <c r="O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</row>
    <row r="523">
      <c r="O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</row>
    <row r="524">
      <c r="O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</row>
    <row r="525">
      <c r="O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</row>
    <row r="526">
      <c r="O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</row>
    <row r="527">
      <c r="O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</row>
    <row r="528">
      <c r="O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</row>
    <row r="529">
      <c r="O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</row>
    <row r="530">
      <c r="O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</row>
    <row r="531">
      <c r="O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</row>
    <row r="532">
      <c r="O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</row>
    <row r="533">
      <c r="O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</row>
    <row r="534">
      <c r="O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</row>
    <row r="535">
      <c r="O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</row>
    <row r="536">
      <c r="O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</row>
    <row r="537">
      <c r="O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</row>
    <row r="538">
      <c r="O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</row>
    <row r="539">
      <c r="O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</row>
    <row r="540">
      <c r="O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</row>
    <row r="541">
      <c r="O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</row>
    <row r="542">
      <c r="O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</row>
    <row r="543">
      <c r="O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</row>
    <row r="544">
      <c r="O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</row>
    <row r="545">
      <c r="O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</row>
    <row r="546">
      <c r="O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</row>
    <row r="547">
      <c r="O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</row>
    <row r="548">
      <c r="O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</row>
    <row r="549">
      <c r="O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</row>
    <row r="550">
      <c r="O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</row>
    <row r="551">
      <c r="O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</row>
    <row r="552">
      <c r="O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</row>
    <row r="553">
      <c r="O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</row>
    <row r="554">
      <c r="O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</row>
    <row r="555">
      <c r="O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</row>
    <row r="556">
      <c r="O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</row>
    <row r="557">
      <c r="O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</row>
    <row r="558">
      <c r="O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</row>
    <row r="559">
      <c r="O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</row>
    <row r="560">
      <c r="O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</row>
    <row r="561">
      <c r="O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</row>
    <row r="562">
      <c r="O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</row>
    <row r="563">
      <c r="O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</row>
    <row r="564">
      <c r="O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</row>
    <row r="565">
      <c r="O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</row>
    <row r="566">
      <c r="O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</row>
    <row r="567">
      <c r="O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</row>
    <row r="568">
      <c r="O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</row>
    <row r="569">
      <c r="O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</row>
    <row r="570">
      <c r="O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</row>
    <row r="571">
      <c r="O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</row>
    <row r="572">
      <c r="O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</row>
    <row r="573">
      <c r="O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</row>
    <row r="574">
      <c r="O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</row>
    <row r="575">
      <c r="O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</row>
    <row r="576">
      <c r="O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</row>
    <row r="577">
      <c r="O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</row>
    <row r="578">
      <c r="O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</row>
    <row r="579">
      <c r="O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</row>
    <row r="580">
      <c r="O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</row>
    <row r="581">
      <c r="O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</row>
    <row r="582">
      <c r="O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</row>
    <row r="583">
      <c r="O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</row>
    <row r="584">
      <c r="O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</row>
    <row r="585">
      <c r="O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</row>
    <row r="586">
      <c r="O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</row>
    <row r="587">
      <c r="O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</row>
    <row r="588">
      <c r="O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</row>
    <row r="589">
      <c r="O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</row>
    <row r="590">
      <c r="O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</row>
    <row r="591">
      <c r="O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</row>
    <row r="592">
      <c r="O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</row>
    <row r="593">
      <c r="O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</row>
    <row r="594">
      <c r="O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</row>
    <row r="595">
      <c r="O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</row>
    <row r="596">
      <c r="O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</row>
    <row r="597">
      <c r="O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</row>
    <row r="598">
      <c r="O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</row>
    <row r="599">
      <c r="O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</row>
    <row r="600">
      <c r="O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</row>
    <row r="601">
      <c r="O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</row>
    <row r="602">
      <c r="O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</row>
    <row r="603">
      <c r="O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</row>
    <row r="604">
      <c r="O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</row>
    <row r="605">
      <c r="O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</row>
    <row r="606">
      <c r="O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</row>
    <row r="607">
      <c r="O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</row>
    <row r="608">
      <c r="O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</row>
    <row r="609">
      <c r="O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</row>
    <row r="610">
      <c r="O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</row>
    <row r="611">
      <c r="O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</row>
    <row r="612">
      <c r="O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</row>
    <row r="613">
      <c r="O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</row>
    <row r="614">
      <c r="O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</row>
    <row r="615">
      <c r="O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</row>
    <row r="616">
      <c r="O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</row>
    <row r="617">
      <c r="O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</row>
    <row r="618">
      <c r="O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</row>
    <row r="619">
      <c r="O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</row>
    <row r="620">
      <c r="O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</row>
    <row r="621">
      <c r="O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</row>
    <row r="622">
      <c r="O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</row>
    <row r="623">
      <c r="O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</row>
    <row r="624">
      <c r="O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</row>
    <row r="625">
      <c r="O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</row>
    <row r="626">
      <c r="O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</row>
    <row r="627">
      <c r="O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</row>
    <row r="628">
      <c r="O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</row>
    <row r="629">
      <c r="O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</row>
    <row r="630">
      <c r="O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</row>
    <row r="631">
      <c r="O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</row>
    <row r="632">
      <c r="O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</row>
    <row r="633">
      <c r="O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</row>
    <row r="634">
      <c r="O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</row>
    <row r="635">
      <c r="O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</row>
    <row r="636">
      <c r="O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</row>
    <row r="637">
      <c r="O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</row>
    <row r="638">
      <c r="O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</row>
    <row r="639">
      <c r="O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</row>
    <row r="640">
      <c r="O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</row>
    <row r="641">
      <c r="O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</row>
    <row r="642">
      <c r="O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</row>
    <row r="643">
      <c r="O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</row>
    <row r="644">
      <c r="O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</row>
    <row r="645">
      <c r="O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</row>
    <row r="646">
      <c r="O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</row>
    <row r="647">
      <c r="O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</row>
    <row r="648">
      <c r="O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</row>
    <row r="649">
      <c r="O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</row>
    <row r="650">
      <c r="O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</row>
    <row r="651">
      <c r="O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</row>
    <row r="652">
      <c r="O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</row>
    <row r="653">
      <c r="O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</row>
    <row r="654">
      <c r="O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</row>
    <row r="655">
      <c r="O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</row>
    <row r="656">
      <c r="O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</row>
    <row r="657">
      <c r="O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</row>
    <row r="658">
      <c r="O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</row>
    <row r="659">
      <c r="O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</row>
    <row r="660">
      <c r="O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</row>
    <row r="661">
      <c r="O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</row>
    <row r="662">
      <c r="O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</row>
    <row r="663">
      <c r="O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</row>
    <row r="664">
      <c r="O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</row>
    <row r="665">
      <c r="O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</row>
    <row r="666">
      <c r="O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</row>
    <row r="667">
      <c r="O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</row>
    <row r="668">
      <c r="O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</row>
    <row r="669">
      <c r="O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</row>
    <row r="670">
      <c r="O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</row>
    <row r="671">
      <c r="O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</row>
    <row r="672">
      <c r="O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</row>
    <row r="673">
      <c r="O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</row>
    <row r="674">
      <c r="O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</row>
    <row r="675">
      <c r="O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</row>
    <row r="676">
      <c r="O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</row>
    <row r="677">
      <c r="O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</row>
    <row r="678">
      <c r="O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</row>
    <row r="679">
      <c r="O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</row>
    <row r="680">
      <c r="O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</row>
    <row r="681">
      <c r="O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</row>
    <row r="682">
      <c r="O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</row>
    <row r="683">
      <c r="O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</row>
    <row r="684">
      <c r="O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</row>
    <row r="685">
      <c r="O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</row>
    <row r="686">
      <c r="O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</row>
    <row r="687">
      <c r="O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</row>
    <row r="688">
      <c r="O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</row>
    <row r="689">
      <c r="O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</row>
    <row r="690">
      <c r="O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</row>
    <row r="691">
      <c r="O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</row>
    <row r="692">
      <c r="O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</row>
    <row r="693">
      <c r="O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</row>
    <row r="694">
      <c r="O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</row>
    <row r="695">
      <c r="O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</row>
    <row r="696">
      <c r="O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</row>
    <row r="697">
      <c r="O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</row>
    <row r="698">
      <c r="O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</row>
    <row r="699">
      <c r="O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</row>
    <row r="700">
      <c r="O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</row>
    <row r="701">
      <c r="O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</row>
    <row r="702">
      <c r="O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</row>
    <row r="703">
      <c r="O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</row>
    <row r="704">
      <c r="O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</row>
    <row r="705">
      <c r="O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</row>
    <row r="706">
      <c r="O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</row>
    <row r="707">
      <c r="O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</row>
    <row r="708">
      <c r="O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</row>
    <row r="709">
      <c r="O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</row>
    <row r="710">
      <c r="O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</row>
    <row r="711">
      <c r="O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</row>
    <row r="712">
      <c r="O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</row>
    <row r="713">
      <c r="O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</row>
    <row r="714">
      <c r="O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</row>
    <row r="715">
      <c r="O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</row>
    <row r="716">
      <c r="O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</row>
    <row r="717">
      <c r="O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</row>
    <row r="718">
      <c r="O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</row>
    <row r="719">
      <c r="O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</row>
    <row r="720">
      <c r="O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</row>
    <row r="721">
      <c r="O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</row>
    <row r="722">
      <c r="O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</row>
    <row r="723">
      <c r="O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</row>
    <row r="724">
      <c r="O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</row>
    <row r="725">
      <c r="O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</row>
    <row r="726">
      <c r="O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</row>
    <row r="727">
      <c r="O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</row>
    <row r="728">
      <c r="O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</row>
    <row r="729">
      <c r="O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</row>
    <row r="730">
      <c r="O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</row>
    <row r="731">
      <c r="O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</row>
    <row r="732">
      <c r="O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</row>
    <row r="733">
      <c r="O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</row>
    <row r="734">
      <c r="O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</row>
    <row r="735">
      <c r="O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</row>
    <row r="736">
      <c r="O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</row>
    <row r="737">
      <c r="O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</row>
    <row r="738">
      <c r="O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</row>
    <row r="739">
      <c r="O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</row>
    <row r="740">
      <c r="O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</row>
    <row r="741">
      <c r="O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</row>
    <row r="742">
      <c r="O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</row>
    <row r="743">
      <c r="O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</row>
    <row r="744">
      <c r="O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</row>
    <row r="745">
      <c r="O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</row>
    <row r="746">
      <c r="O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</row>
    <row r="747">
      <c r="O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</row>
    <row r="748">
      <c r="O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</row>
    <row r="749">
      <c r="O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</row>
    <row r="750">
      <c r="O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</row>
    <row r="751">
      <c r="O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</row>
    <row r="752">
      <c r="O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</row>
    <row r="753">
      <c r="O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</row>
    <row r="754">
      <c r="O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</row>
    <row r="755">
      <c r="O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</row>
    <row r="756">
      <c r="O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</row>
    <row r="757">
      <c r="O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</row>
    <row r="758">
      <c r="O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</row>
    <row r="759">
      <c r="O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</row>
    <row r="760">
      <c r="O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</row>
    <row r="761">
      <c r="O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</row>
    <row r="762">
      <c r="O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</row>
    <row r="763">
      <c r="O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</row>
    <row r="764">
      <c r="O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</row>
    <row r="765">
      <c r="O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</row>
    <row r="766">
      <c r="O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</row>
    <row r="767">
      <c r="O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</row>
    <row r="768">
      <c r="O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</row>
    <row r="769">
      <c r="O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</row>
    <row r="770">
      <c r="O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</row>
    <row r="771">
      <c r="O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</row>
    <row r="772">
      <c r="O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</row>
    <row r="773">
      <c r="O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</row>
    <row r="774">
      <c r="O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</row>
    <row r="775">
      <c r="O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</row>
    <row r="776">
      <c r="O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</row>
    <row r="777">
      <c r="O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</row>
    <row r="778">
      <c r="O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</row>
    <row r="779">
      <c r="O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</row>
    <row r="780">
      <c r="O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</row>
    <row r="781">
      <c r="O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</row>
    <row r="782">
      <c r="O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</row>
    <row r="783">
      <c r="O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</row>
    <row r="784">
      <c r="O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</row>
    <row r="785">
      <c r="O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</row>
    <row r="786">
      <c r="O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</row>
    <row r="787">
      <c r="O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</row>
    <row r="788">
      <c r="O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</row>
    <row r="789">
      <c r="O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</row>
    <row r="790">
      <c r="O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</row>
    <row r="791">
      <c r="O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</row>
    <row r="792">
      <c r="O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</row>
    <row r="793">
      <c r="O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</row>
    <row r="794">
      <c r="O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</row>
    <row r="795">
      <c r="O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</row>
    <row r="796">
      <c r="O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</row>
    <row r="797">
      <c r="O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</row>
    <row r="798">
      <c r="O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</row>
    <row r="799">
      <c r="O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</row>
    <row r="800">
      <c r="O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</row>
    <row r="801">
      <c r="O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</row>
    <row r="802">
      <c r="O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</row>
    <row r="803">
      <c r="O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</row>
    <row r="804">
      <c r="O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</row>
    <row r="805">
      <c r="O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</row>
    <row r="806">
      <c r="O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</row>
    <row r="807">
      <c r="O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</row>
    <row r="808">
      <c r="O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</row>
    <row r="809">
      <c r="O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</row>
    <row r="810">
      <c r="O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</row>
    <row r="811">
      <c r="O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</row>
    <row r="812">
      <c r="O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</row>
    <row r="813">
      <c r="O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</row>
    <row r="814">
      <c r="O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</row>
    <row r="815">
      <c r="O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</row>
    <row r="816">
      <c r="O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</row>
    <row r="817">
      <c r="O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</row>
    <row r="818">
      <c r="O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</row>
    <row r="819">
      <c r="O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</row>
    <row r="820">
      <c r="O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</row>
    <row r="821">
      <c r="O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</row>
    <row r="822">
      <c r="O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</row>
    <row r="823">
      <c r="O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</row>
    <row r="824">
      <c r="O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</row>
    <row r="825">
      <c r="O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</row>
    <row r="826">
      <c r="O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</row>
    <row r="827">
      <c r="O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</row>
    <row r="828">
      <c r="O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</row>
    <row r="829">
      <c r="O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</row>
    <row r="830">
      <c r="O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</row>
    <row r="831">
      <c r="O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</row>
    <row r="832">
      <c r="O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</row>
    <row r="833">
      <c r="O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</row>
    <row r="834">
      <c r="O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</row>
    <row r="835">
      <c r="O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</row>
    <row r="836">
      <c r="O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</row>
    <row r="837">
      <c r="O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</row>
    <row r="838">
      <c r="O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</row>
    <row r="839">
      <c r="O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</row>
    <row r="840">
      <c r="O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</row>
    <row r="841">
      <c r="O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</row>
    <row r="842">
      <c r="O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</row>
    <row r="843">
      <c r="O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</row>
    <row r="844">
      <c r="O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</row>
    <row r="845">
      <c r="O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</row>
    <row r="846">
      <c r="O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</row>
    <row r="847">
      <c r="O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</row>
    <row r="848">
      <c r="O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</row>
    <row r="849">
      <c r="O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</row>
    <row r="850">
      <c r="O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</row>
    <row r="851">
      <c r="O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</row>
    <row r="852">
      <c r="O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</row>
    <row r="853">
      <c r="O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</row>
    <row r="854">
      <c r="O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</row>
    <row r="855">
      <c r="O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</row>
    <row r="856">
      <c r="O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</row>
    <row r="857">
      <c r="O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</row>
    <row r="858">
      <c r="O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</row>
    <row r="859">
      <c r="O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</row>
    <row r="860">
      <c r="O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</row>
    <row r="861">
      <c r="O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</row>
    <row r="862">
      <c r="O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</row>
    <row r="863">
      <c r="O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</row>
    <row r="864">
      <c r="O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</row>
    <row r="865">
      <c r="O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</row>
    <row r="866">
      <c r="O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</row>
    <row r="867">
      <c r="O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</row>
    <row r="868">
      <c r="O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</row>
    <row r="869">
      <c r="O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</row>
    <row r="870">
      <c r="O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</row>
    <row r="871">
      <c r="O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</row>
    <row r="872">
      <c r="O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</row>
    <row r="873">
      <c r="O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</row>
    <row r="874">
      <c r="O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</row>
    <row r="875">
      <c r="O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</row>
    <row r="876">
      <c r="O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</row>
    <row r="877">
      <c r="O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</row>
    <row r="878">
      <c r="O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</row>
    <row r="879">
      <c r="O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</row>
    <row r="880">
      <c r="O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</row>
    <row r="881">
      <c r="O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</row>
    <row r="882">
      <c r="O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</row>
    <row r="883">
      <c r="O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</row>
    <row r="884">
      <c r="O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</row>
    <row r="885">
      <c r="O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</row>
    <row r="886">
      <c r="O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</row>
    <row r="887">
      <c r="O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</row>
    <row r="888">
      <c r="O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</row>
    <row r="889">
      <c r="O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</row>
    <row r="890">
      <c r="O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</row>
    <row r="891">
      <c r="O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</row>
    <row r="892">
      <c r="O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</row>
    <row r="893">
      <c r="O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</row>
    <row r="894">
      <c r="O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</row>
    <row r="895">
      <c r="O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</row>
    <row r="896">
      <c r="O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</row>
    <row r="897">
      <c r="O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</row>
    <row r="898">
      <c r="O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</row>
    <row r="899">
      <c r="O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</row>
    <row r="900">
      <c r="O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</row>
    <row r="901">
      <c r="O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</row>
    <row r="902">
      <c r="O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</row>
    <row r="903">
      <c r="O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</row>
    <row r="904">
      <c r="O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</row>
    <row r="905">
      <c r="O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</row>
    <row r="906">
      <c r="O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</row>
    <row r="907">
      <c r="O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</row>
    <row r="908">
      <c r="O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</row>
    <row r="909">
      <c r="O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</row>
    <row r="910">
      <c r="O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</row>
    <row r="911">
      <c r="O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</row>
    <row r="912">
      <c r="O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</row>
    <row r="913">
      <c r="O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</row>
    <row r="914">
      <c r="O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</row>
    <row r="915">
      <c r="O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</row>
    <row r="916">
      <c r="O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</row>
    <row r="917">
      <c r="O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</row>
    <row r="918">
      <c r="O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</row>
    <row r="919">
      <c r="O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</row>
    <row r="920">
      <c r="O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</row>
    <row r="921">
      <c r="O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</row>
    <row r="922">
      <c r="O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</row>
    <row r="923">
      <c r="O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</row>
    <row r="924">
      <c r="O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</row>
    <row r="925">
      <c r="O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</row>
    <row r="926">
      <c r="O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</row>
    <row r="927">
      <c r="O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</row>
    <row r="928">
      <c r="O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</row>
    <row r="929">
      <c r="O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</row>
    <row r="930">
      <c r="O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</row>
    <row r="931">
      <c r="O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</row>
    <row r="932">
      <c r="O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</row>
    <row r="933">
      <c r="O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</row>
    <row r="934">
      <c r="O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</row>
    <row r="935">
      <c r="O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</row>
    <row r="936">
      <c r="O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</row>
    <row r="937">
      <c r="O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</row>
    <row r="938">
      <c r="O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</row>
    <row r="939">
      <c r="O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</row>
    <row r="940">
      <c r="O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</row>
    <row r="941">
      <c r="O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</row>
    <row r="942">
      <c r="O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</row>
    <row r="943">
      <c r="O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</row>
    <row r="944">
      <c r="O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</row>
    <row r="945">
      <c r="O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</row>
    <row r="946">
      <c r="O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</row>
    <row r="947">
      <c r="O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</row>
    <row r="948">
      <c r="O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</row>
    <row r="949">
      <c r="O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</row>
    <row r="950">
      <c r="O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</row>
    <row r="951">
      <c r="O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</row>
    <row r="952">
      <c r="O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</row>
    <row r="953">
      <c r="O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</row>
    <row r="954">
      <c r="O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</row>
    <row r="955">
      <c r="O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</row>
    <row r="956">
      <c r="O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</row>
    <row r="957">
      <c r="O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</row>
    <row r="958">
      <c r="O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</row>
    <row r="959">
      <c r="O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</row>
    <row r="960">
      <c r="O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</row>
    <row r="961">
      <c r="O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</row>
    <row r="962">
      <c r="O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</row>
    <row r="963">
      <c r="O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</row>
    <row r="964">
      <c r="O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</row>
    <row r="965">
      <c r="O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</row>
    <row r="966">
      <c r="O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</row>
    <row r="967">
      <c r="O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</row>
    <row r="968">
      <c r="O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</row>
    <row r="969">
      <c r="O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</row>
    <row r="970">
      <c r="O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</row>
    <row r="971">
      <c r="O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</row>
    <row r="972">
      <c r="O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</row>
    <row r="973">
      <c r="O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</row>
    <row r="974">
      <c r="O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</row>
    <row r="975">
      <c r="O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</row>
    <row r="976">
      <c r="O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</row>
    <row r="977">
      <c r="O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</row>
    <row r="978">
      <c r="O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</row>
    <row r="979">
      <c r="O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</row>
    <row r="980">
      <c r="O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</row>
    <row r="981">
      <c r="O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</row>
    <row r="982">
      <c r="O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</row>
    <row r="983">
      <c r="O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</row>
    <row r="984">
      <c r="O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</row>
    <row r="985">
      <c r="O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</row>
    <row r="986">
      <c r="O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</row>
    <row r="987">
      <c r="O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</row>
    <row r="988">
      <c r="O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</row>
    <row r="989">
      <c r="O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</row>
    <row r="990">
      <c r="O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</row>
    <row r="991">
      <c r="O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</row>
    <row r="992">
      <c r="O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</row>
    <row r="993">
      <c r="O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</row>
    <row r="994">
      <c r="O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</row>
    <row r="995">
      <c r="O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</row>
    <row r="996">
      <c r="O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</row>
    <row r="997">
      <c r="O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</row>
    <row r="998">
      <c r="O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</row>
    <row r="999">
      <c r="O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</row>
    <row r="1000">
      <c r="O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</row>
    <row r="1001">
      <c r="O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</row>
    <row r="1002">
      <c r="O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</row>
    <row r="1003">
      <c r="O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</row>
    <row r="1004">
      <c r="O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</row>
    <row r="1005">
      <c r="O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</row>
    <row r="1006">
      <c r="O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</row>
    <row r="1007">
      <c r="O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</row>
    <row r="1008">
      <c r="O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</row>
    <row r="1009">
      <c r="O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</row>
    <row r="1010">
      <c r="O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</row>
    <row r="1011">
      <c r="O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</row>
    <row r="1012">
      <c r="O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</row>
    <row r="1013">
      <c r="O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</row>
    <row r="1014">
      <c r="O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</row>
    <row r="1015">
      <c r="O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</row>
    <row r="1016">
      <c r="O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</row>
    <row r="1017">
      <c r="O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</row>
    <row r="1018">
      <c r="O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</row>
    <row r="1019">
      <c r="O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</row>
    <row r="1020">
      <c r="O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</row>
    <row r="1021">
      <c r="O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</row>
    <row r="1022">
      <c r="O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</row>
    <row r="1023">
      <c r="O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</row>
    <row r="1024">
      <c r="O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</row>
    <row r="1025">
      <c r="O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</row>
    <row r="1026">
      <c r="O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</row>
    <row r="1027">
      <c r="O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</row>
    <row r="1028">
      <c r="O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</row>
    <row r="1029">
      <c r="O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</row>
    <row r="1030">
      <c r="O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</row>
    <row r="1031">
      <c r="O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</row>
    <row r="1032">
      <c r="O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</row>
    <row r="1033">
      <c r="O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</row>
    <row r="1034">
      <c r="O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</row>
    <row r="1035">
      <c r="O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</row>
    <row r="1036">
      <c r="O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</row>
    <row r="1037">
      <c r="O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</row>
    <row r="1038">
      <c r="O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</row>
    <row r="1039">
      <c r="O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</row>
    <row r="1040">
      <c r="O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</row>
    <row r="1041">
      <c r="O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</row>
    <row r="1042">
      <c r="O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</row>
    <row r="1043">
      <c r="O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</row>
    <row r="1044">
      <c r="O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</row>
    <row r="1045">
      <c r="O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</row>
    <row r="1046">
      <c r="O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</row>
    <row r="1047">
      <c r="O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</row>
    <row r="1048">
      <c r="O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</row>
    <row r="1049">
      <c r="O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</row>
    <row r="1050">
      <c r="O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</row>
    <row r="1051">
      <c r="O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</row>
    <row r="1052">
      <c r="O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</row>
    <row r="1053">
      <c r="O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</row>
    <row r="1054">
      <c r="O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</row>
    <row r="1055">
      <c r="O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</row>
    <row r="1056">
      <c r="O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</row>
    <row r="1057">
      <c r="O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</row>
    <row r="1058">
      <c r="O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</row>
    <row r="1059">
      <c r="O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</row>
    <row r="1060">
      <c r="O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</row>
    <row r="1061">
      <c r="O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</row>
    <row r="1062">
      <c r="O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</row>
    <row r="1063">
      <c r="O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</row>
    <row r="1064">
      <c r="O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</row>
    <row r="1065">
      <c r="O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</row>
    <row r="1066">
      <c r="O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</row>
    <row r="1067">
      <c r="O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</row>
    <row r="1068">
      <c r="O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</row>
    <row r="1069">
      <c r="O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</row>
    <row r="1070">
      <c r="O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</row>
    <row r="1071">
      <c r="O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</row>
    <row r="1072">
      <c r="O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</row>
    <row r="1073">
      <c r="O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</row>
    <row r="1074">
      <c r="O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</row>
    <row r="1075">
      <c r="O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</row>
    <row r="1076">
      <c r="O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</row>
    <row r="1077">
      <c r="O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</row>
    <row r="1078">
      <c r="O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</row>
    <row r="1079">
      <c r="O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</row>
    <row r="1080">
      <c r="O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</row>
    <row r="1081">
      <c r="O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</row>
    <row r="1082">
      <c r="O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</row>
    <row r="1083">
      <c r="O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</row>
    <row r="1084">
      <c r="O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</row>
    <row r="1085">
      <c r="O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</row>
    <row r="1086">
      <c r="O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</row>
    <row r="1087">
      <c r="O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</row>
    <row r="1088">
      <c r="O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</row>
    <row r="1089">
      <c r="O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</row>
    <row r="1090">
      <c r="O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</row>
    <row r="1091">
      <c r="O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</row>
    <row r="1092">
      <c r="O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</row>
    <row r="1093">
      <c r="O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</row>
    <row r="1094">
      <c r="O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</row>
    <row r="1095">
      <c r="O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</row>
    <row r="1096">
      <c r="O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</row>
    <row r="1097">
      <c r="O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</row>
    <row r="1098">
      <c r="O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</row>
    <row r="1099">
      <c r="O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</row>
    <row r="1100">
      <c r="O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</row>
    <row r="1101">
      <c r="O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</row>
    <row r="1102">
      <c r="O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</row>
    <row r="1103">
      <c r="O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</row>
    <row r="1104">
      <c r="O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</row>
    <row r="1105">
      <c r="O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</row>
    <row r="1106">
      <c r="O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</row>
    <row r="1107">
      <c r="O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</row>
    <row r="1108">
      <c r="O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</row>
    <row r="1109">
      <c r="O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</row>
    <row r="1110">
      <c r="O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</row>
    <row r="1111">
      <c r="O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</row>
    <row r="1112">
      <c r="O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</row>
    <row r="1113">
      <c r="O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</row>
    <row r="1114">
      <c r="O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</row>
    <row r="1115">
      <c r="O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</row>
    <row r="1116">
      <c r="O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</row>
    <row r="1117">
      <c r="O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</row>
    <row r="1118">
      <c r="O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</row>
    <row r="1119">
      <c r="O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</row>
    <row r="1120">
      <c r="O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</row>
    <row r="1121">
      <c r="O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</row>
    <row r="1122">
      <c r="O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</row>
    <row r="1123">
      <c r="O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</row>
    <row r="1124">
      <c r="O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</row>
    <row r="1125">
      <c r="O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</row>
    <row r="1126">
      <c r="O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</row>
    <row r="1127">
      <c r="O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</row>
    <row r="1128">
      <c r="O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</row>
    <row r="1129">
      <c r="O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</row>
    <row r="1130">
      <c r="O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</row>
    <row r="1131">
      <c r="O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</row>
    <row r="1132">
      <c r="O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</row>
    <row r="1133">
      <c r="O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</row>
    <row r="1134">
      <c r="O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</row>
    <row r="1135">
      <c r="O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</row>
    <row r="1136">
      <c r="O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</row>
    <row r="1137">
      <c r="O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</row>
    <row r="1138">
      <c r="O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</row>
    <row r="1139">
      <c r="O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</row>
    <row r="1140">
      <c r="O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</row>
    <row r="1141">
      <c r="O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</row>
    <row r="1142">
      <c r="O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</row>
    <row r="1143">
      <c r="O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</row>
    <row r="1144">
      <c r="O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</row>
    <row r="1145">
      <c r="O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</row>
    <row r="1146">
      <c r="O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</row>
    <row r="1147">
      <c r="O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</row>
    <row r="1148">
      <c r="O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</row>
    <row r="1149">
      <c r="O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</row>
    <row r="1150">
      <c r="O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</row>
    <row r="1151">
      <c r="O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</row>
    <row r="1152">
      <c r="O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</row>
    <row r="1153">
      <c r="O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</row>
    <row r="1154">
      <c r="O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</row>
    <row r="1155">
      <c r="O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</row>
    <row r="1156">
      <c r="O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</row>
    <row r="1157">
      <c r="O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</row>
    <row r="1158">
      <c r="O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</row>
    <row r="1159">
      <c r="O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</row>
    <row r="1160">
      <c r="O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</row>
    <row r="1161">
      <c r="O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</row>
    <row r="1162">
      <c r="O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</row>
    <row r="1163">
      <c r="O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</row>
    <row r="1164">
      <c r="O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</row>
    <row r="1165">
      <c r="O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</row>
    <row r="1166">
      <c r="O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</row>
    <row r="1167">
      <c r="O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</row>
    <row r="1168">
      <c r="O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</row>
    <row r="1169">
      <c r="O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</row>
    <row r="1170">
      <c r="O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</row>
    <row r="1171">
      <c r="O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</row>
    <row r="1172">
      <c r="O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</row>
    <row r="1173">
      <c r="O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</row>
    <row r="1174">
      <c r="O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</row>
    <row r="1175">
      <c r="O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</row>
    <row r="1176">
      <c r="O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</row>
    <row r="1177">
      <c r="O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</row>
    <row r="1178">
      <c r="O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</row>
    <row r="1179">
      <c r="O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</row>
    <row r="1180">
      <c r="O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</row>
    <row r="1181">
      <c r="O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</row>
    <row r="1182">
      <c r="O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</row>
    <row r="1183">
      <c r="O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</row>
    <row r="1184">
      <c r="O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</row>
    <row r="1185">
      <c r="O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</row>
    <row r="1186">
      <c r="O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</row>
    <row r="1187">
      <c r="O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</row>
    <row r="1188">
      <c r="O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</row>
    <row r="1189">
      <c r="O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</row>
    <row r="1190">
      <c r="O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</row>
    <row r="1191">
      <c r="O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</row>
    <row r="1192">
      <c r="O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</row>
    <row r="1193">
      <c r="O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</row>
    <row r="1194">
      <c r="O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</row>
    <row r="1195">
      <c r="O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</row>
    <row r="1196">
      <c r="O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</row>
    <row r="1197">
      <c r="O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</row>
    <row r="1198">
      <c r="O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</row>
    <row r="1199">
      <c r="O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</row>
    <row r="1200">
      <c r="O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</row>
    <row r="1201">
      <c r="O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</row>
    <row r="1202">
      <c r="O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</row>
    <row r="1203">
      <c r="O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</row>
    <row r="1204">
      <c r="O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</row>
    <row r="1205">
      <c r="O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</row>
    <row r="1206">
      <c r="O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</row>
    <row r="1207">
      <c r="O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</row>
    <row r="1208">
      <c r="O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</row>
    <row r="1209">
      <c r="O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</row>
    <row r="1210">
      <c r="O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</row>
    <row r="1211">
      <c r="O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</row>
    <row r="1212">
      <c r="O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</row>
    <row r="1213">
      <c r="O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</row>
    <row r="1214">
      <c r="O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</row>
    <row r="1215">
      <c r="O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</row>
    <row r="1216">
      <c r="O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</row>
    <row r="1217">
      <c r="O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</row>
    <row r="1218">
      <c r="O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</row>
    <row r="1219">
      <c r="O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</row>
    <row r="1220">
      <c r="O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</row>
    <row r="1221">
      <c r="O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</row>
    <row r="1222">
      <c r="O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</row>
    <row r="1223">
      <c r="O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</row>
    <row r="1224">
      <c r="O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</row>
    <row r="1225">
      <c r="O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</row>
    <row r="1226">
      <c r="O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</row>
    <row r="1227">
      <c r="O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</row>
    <row r="1228">
      <c r="O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</row>
    <row r="1229">
      <c r="O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</row>
    <row r="1230">
      <c r="O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</row>
    <row r="1231">
      <c r="O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</row>
    <row r="1232">
      <c r="O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</row>
    <row r="1233">
      <c r="O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</row>
    <row r="1234">
      <c r="O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</row>
    <row r="1235">
      <c r="O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</row>
    <row r="1236">
      <c r="O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</row>
    <row r="1237">
      <c r="O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</row>
    <row r="1238">
      <c r="O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</row>
    <row r="1239">
      <c r="O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</row>
    <row r="1240">
      <c r="O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</row>
    <row r="1241">
      <c r="O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</row>
    <row r="1242">
      <c r="O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</row>
    <row r="1243">
      <c r="O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</row>
    <row r="1244">
      <c r="O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</row>
    <row r="1245">
      <c r="O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</row>
    <row r="1246">
      <c r="O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</row>
    <row r="1247">
      <c r="O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</row>
    <row r="1248">
      <c r="O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</row>
    <row r="1249">
      <c r="O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</row>
    <row r="1250">
      <c r="O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</row>
    <row r="1251">
      <c r="O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</row>
    <row r="1252">
      <c r="O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</row>
    <row r="1253">
      <c r="O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</row>
    <row r="1254">
      <c r="O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</row>
    <row r="1255">
      <c r="O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</row>
    <row r="1256">
      <c r="O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</row>
    <row r="1257">
      <c r="O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</row>
    <row r="1258">
      <c r="O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</row>
    <row r="1259">
      <c r="O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</row>
    <row r="1260">
      <c r="O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</row>
    <row r="1261">
      <c r="O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</row>
    <row r="1262">
      <c r="O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</row>
    <row r="1263">
      <c r="O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</row>
    <row r="1264">
      <c r="O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</row>
    <row r="1265">
      <c r="O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</row>
    <row r="1266">
      <c r="O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</row>
    <row r="1267">
      <c r="O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</row>
    <row r="1268">
      <c r="O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</row>
    <row r="1269">
      <c r="O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</row>
    <row r="1270">
      <c r="O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</row>
    <row r="1271">
      <c r="O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</row>
    <row r="1272">
      <c r="O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</row>
    <row r="1273">
      <c r="O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</row>
    <row r="1274">
      <c r="O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</row>
    <row r="1275">
      <c r="O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</row>
    <row r="1276">
      <c r="O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</row>
    <row r="1277">
      <c r="O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</row>
    <row r="1278">
      <c r="O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</row>
    <row r="1279">
      <c r="O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</row>
    <row r="1280">
      <c r="O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</row>
    <row r="1281">
      <c r="O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</row>
    <row r="1282">
      <c r="O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</row>
    <row r="1283">
      <c r="O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</row>
    <row r="1284">
      <c r="O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</row>
    <row r="1285">
      <c r="O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</row>
    <row r="1286">
      <c r="O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</row>
    <row r="1287">
      <c r="O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</row>
    <row r="1288">
      <c r="O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</row>
    <row r="1289">
      <c r="O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</row>
    <row r="1290">
      <c r="O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</row>
    <row r="1291">
      <c r="O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</row>
    <row r="1292">
      <c r="O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</row>
    <row r="1293">
      <c r="O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</row>
    <row r="1294">
      <c r="O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</row>
    <row r="1295">
      <c r="O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</row>
    <row r="1296">
      <c r="O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</row>
    <row r="1297">
      <c r="O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</row>
    <row r="1298">
      <c r="O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</row>
    <row r="1299">
      <c r="O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</row>
    <row r="1300">
      <c r="O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</row>
    <row r="1301">
      <c r="O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</row>
    <row r="1302">
      <c r="O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</row>
    <row r="1303">
      <c r="O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</row>
    <row r="1304">
      <c r="O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</row>
    <row r="1305">
      <c r="O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</row>
    <row r="1306">
      <c r="O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</row>
    <row r="1307">
      <c r="O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</row>
    <row r="1308">
      <c r="O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</row>
    <row r="1309">
      <c r="O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</row>
    <row r="1310">
      <c r="O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</row>
    <row r="1311">
      <c r="O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</row>
    <row r="1312">
      <c r="O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</row>
    <row r="1313">
      <c r="O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</row>
    <row r="1314">
      <c r="O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</row>
    <row r="1315">
      <c r="O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</row>
    <row r="1316">
      <c r="O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</row>
    <row r="1317">
      <c r="O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</row>
    <row r="1318">
      <c r="O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</row>
    <row r="1319">
      <c r="O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</row>
    <row r="1320">
      <c r="O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</row>
    <row r="1321">
      <c r="O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</row>
    <row r="1322">
      <c r="O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</row>
    <row r="1323">
      <c r="O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</row>
    <row r="1324">
      <c r="O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</row>
    <row r="1325">
      <c r="O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</row>
    <row r="1326">
      <c r="O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</row>
    <row r="1327">
      <c r="O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</row>
    <row r="1328">
      <c r="O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</row>
    <row r="1329">
      <c r="O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</row>
    <row r="1330">
      <c r="O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</row>
    <row r="1331">
      <c r="O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</row>
    <row r="1332">
      <c r="O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</row>
    <row r="1333">
      <c r="O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</row>
    <row r="1334">
      <c r="O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</row>
    <row r="1335">
      <c r="O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</row>
    <row r="1336">
      <c r="O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</row>
    <row r="1337">
      <c r="O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</row>
    <row r="1338">
      <c r="O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</row>
    <row r="1339">
      <c r="O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</row>
    <row r="1340">
      <c r="O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</row>
    <row r="1341">
      <c r="O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</row>
    <row r="1342">
      <c r="O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</row>
    <row r="1343">
      <c r="O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</row>
    <row r="1344">
      <c r="O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</row>
    <row r="1345">
      <c r="O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</row>
    <row r="1346">
      <c r="O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</row>
    <row r="1347">
      <c r="O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</row>
    <row r="1348">
      <c r="O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</row>
    <row r="1349">
      <c r="O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</row>
    <row r="1350">
      <c r="O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</row>
    <row r="1351">
      <c r="O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</row>
    <row r="1352">
      <c r="O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</row>
    <row r="1353">
      <c r="O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</row>
    <row r="1354">
      <c r="O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</row>
    <row r="1355">
      <c r="O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</row>
    <row r="1356">
      <c r="O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</row>
    <row r="1357">
      <c r="O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</row>
    <row r="1358">
      <c r="O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</row>
    <row r="1359">
      <c r="O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</row>
    <row r="1360">
      <c r="O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</row>
    <row r="1361">
      <c r="O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</row>
    <row r="1362">
      <c r="O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</row>
    <row r="1363">
      <c r="O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</row>
    <row r="1364">
      <c r="O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</row>
    <row r="1365">
      <c r="O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</row>
    <row r="1366">
      <c r="O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</row>
    <row r="1367">
      <c r="O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</row>
    <row r="1368">
      <c r="O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</row>
    <row r="1369">
      <c r="O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</row>
    <row r="1370">
      <c r="O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</row>
    <row r="1371">
      <c r="O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</row>
    <row r="1372">
      <c r="O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</row>
    <row r="1373">
      <c r="O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</row>
    <row r="1374">
      <c r="O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</row>
    <row r="1375">
      <c r="O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</row>
    <row r="1376">
      <c r="O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</row>
    <row r="1377">
      <c r="O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</row>
    <row r="1378">
      <c r="O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</row>
    <row r="1379">
      <c r="O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</row>
    <row r="1380">
      <c r="O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</row>
    <row r="1381">
      <c r="O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</row>
    <row r="1382">
      <c r="O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</row>
    <row r="1383">
      <c r="O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</row>
    <row r="1384">
      <c r="O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</row>
    <row r="1385">
      <c r="O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</row>
    <row r="1386">
      <c r="O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</row>
    <row r="1387">
      <c r="O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</row>
    <row r="1388">
      <c r="O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</row>
    <row r="1389">
      <c r="O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</row>
    <row r="1390">
      <c r="O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</row>
    <row r="1391">
      <c r="O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</row>
    <row r="1392">
      <c r="O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</row>
    <row r="1393">
      <c r="O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</row>
    <row r="1394">
      <c r="O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</row>
    <row r="1395">
      <c r="O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</row>
    <row r="1396">
      <c r="O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</row>
    <row r="1397">
      <c r="O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</row>
    <row r="1398">
      <c r="O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</row>
    <row r="1399">
      <c r="O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</row>
    <row r="1400">
      <c r="O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</row>
    <row r="1401">
      <c r="O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</row>
    <row r="1402">
      <c r="O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</row>
    <row r="1403">
      <c r="O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</row>
    <row r="1404">
      <c r="O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</row>
    <row r="1405">
      <c r="O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</row>
    <row r="1406">
      <c r="O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</row>
    <row r="1407">
      <c r="O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</row>
    <row r="1408">
      <c r="O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</row>
    <row r="1409">
      <c r="O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</row>
    <row r="1410">
      <c r="O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</row>
    <row r="1411">
      <c r="O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</row>
    <row r="1412">
      <c r="O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</row>
    <row r="1413">
      <c r="O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</row>
    <row r="1414">
      <c r="O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</row>
    <row r="1415">
      <c r="O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</row>
    <row r="1416">
      <c r="O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</row>
    <row r="1417">
      <c r="O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</row>
    <row r="1418">
      <c r="O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</row>
    <row r="1419">
      <c r="O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</row>
    <row r="1420">
      <c r="O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</row>
    <row r="1421">
      <c r="O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</row>
    <row r="1422">
      <c r="O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</row>
    <row r="1423">
      <c r="O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</row>
    <row r="1424">
      <c r="O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</row>
    <row r="1425">
      <c r="O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</row>
    <row r="1426">
      <c r="O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</row>
    <row r="1427">
      <c r="O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</row>
    <row r="1428">
      <c r="O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</row>
    <row r="1429">
      <c r="O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</row>
    <row r="1430">
      <c r="O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</row>
    <row r="1431">
      <c r="O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</row>
    <row r="1432">
      <c r="O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</row>
    <row r="1433">
      <c r="O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</row>
    <row r="1434">
      <c r="O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</row>
    <row r="1435">
      <c r="O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</row>
    <row r="1436">
      <c r="O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</row>
    <row r="1437">
      <c r="O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</row>
    <row r="1438">
      <c r="O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</row>
    <row r="1439">
      <c r="O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</row>
    <row r="1440">
      <c r="O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</row>
    <row r="1441">
      <c r="O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</row>
    <row r="1442">
      <c r="O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</row>
    <row r="1443">
      <c r="O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</row>
    <row r="1444">
      <c r="O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</row>
    <row r="1445">
      <c r="O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</row>
    <row r="1446">
      <c r="O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</row>
    <row r="1447">
      <c r="O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</row>
    <row r="1448">
      <c r="O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</row>
    <row r="1449">
      <c r="O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</row>
    <row r="1450">
      <c r="O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</row>
    <row r="1451">
      <c r="O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</row>
    <row r="1452">
      <c r="O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</row>
    <row r="1453">
      <c r="O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</row>
    <row r="1454">
      <c r="O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</row>
    <row r="1455">
      <c r="O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</row>
    <row r="1456">
      <c r="O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</row>
    <row r="1457">
      <c r="O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</row>
    <row r="1458">
      <c r="O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</row>
    <row r="1459">
      <c r="O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</row>
    <row r="1460">
      <c r="O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</row>
    <row r="1461">
      <c r="O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</row>
    <row r="1462">
      <c r="O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</row>
    <row r="1463">
      <c r="O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</row>
    <row r="1464">
      <c r="O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</row>
    <row r="1465">
      <c r="O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</row>
    <row r="1466">
      <c r="O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</row>
    <row r="1467">
      <c r="O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</row>
    <row r="1468">
      <c r="O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</row>
    <row r="1469">
      <c r="O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</row>
    <row r="1470">
      <c r="O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</row>
    <row r="1471">
      <c r="O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</row>
    <row r="1472">
      <c r="O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</row>
    <row r="1473">
      <c r="O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</row>
    <row r="1474">
      <c r="O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</row>
    <row r="1475">
      <c r="O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</row>
    <row r="1476">
      <c r="O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</row>
    <row r="1477">
      <c r="O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</row>
    <row r="1478">
      <c r="O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</row>
    <row r="1479">
      <c r="O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</row>
    <row r="1480">
      <c r="O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</row>
    <row r="1481">
      <c r="O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</row>
    <row r="1482">
      <c r="O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</row>
    <row r="1483">
      <c r="O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</row>
    <row r="1484">
      <c r="O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</row>
    <row r="1485">
      <c r="O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</row>
    <row r="1486">
      <c r="O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</row>
    <row r="1487">
      <c r="O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</row>
    <row r="1488">
      <c r="O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</row>
    <row r="1489">
      <c r="O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</row>
    <row r="1490">
      <c r="O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</row>
    <row r="1491">
      <c r="O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</row>
    <row r="1492">
      <c r="O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</row>
    <row r="1493">
      <c r="O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</row>
    <row r="1494">
      <c r="O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</row>
    <row r="1495">
      <c r="O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</row>
    <row r="1496">
      <c r="O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</row>
    <row r="1497">
      <c r="O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</row>
    <row r="1498">
      <c r="O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</row>
    <row r="1499">
      <c r="O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</row>
    <row r="1500">
      <c r="O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</row>
    <row r="1501">
      <c r="O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</row>
    <row r="1502">
      <c r="O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</row>
    <row r="1503">
      <c r="O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</row>
    <row r="1504">
      <c r="O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</row>
    <row r="1505">
      <c r="O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</row>
    <row r="1506">
      <c r="O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</row>
    <row r="1507">
      <c r="O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</row>
    <row r="1508">
      <c r="O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</row>
    <row r="1509">
      <c r="O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</row>
    <row r="1510">
      <c r="O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</row>
    <row r="1511">
      <c r="O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</row>
    <row r="1512">
      <c r="O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</row>
    <row r="1513">
      <c r="O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</row>
    <row r="1514">
      <c r="O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</row>
    <row r="1515">
      <c r="O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</row>
    <row r="1516">
      <c r="O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</row>
    <row r="1517">
      <c r="O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</row>
    <row r="1518">
      <c r="O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</row>
    <row r="1519">
      <c r="O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</row>
    <row r="1520">
      <c r="O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</row>
    <row r="1521">
      <c r="O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</row>
    <row r="1522">
      <c r="O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</row>
    <row r="1523">
      <c r="O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</row>
    <row r="1524">
      <c r="O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</row>
    <row r="1525">
      <c r="O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</row>
    <row r="1526">
      <c r="O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</row>
    <row r="1527">
      <c r="O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</row>
    <row r="1528">
      <c r="O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</row>
    <row r="1529">
      <c r="O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</row>
    <row r="1530">
      <c r="O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</row>
    <row r="1531">
      <c r="O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</row>
    <row r="1532">
      <c r="O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</row>
    <row r="1533">
      <c r="O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</row>
    <row r="1534">
      <c r="O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</row>
    <row r="1535">
      <c r="O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</row>
    <row r="1536">
      <c r="O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</row>
    <row r="1537">
      <c r="O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</row>
    <row r="1538">
      <c r="O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</row>
    <row r="1539">
      <c r="O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</row>
    <row r="1540">
      <c r="O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</row>
    <row r="1541">
      <c r="O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</row>
    <row r="1542">
      <c r="O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</row>
    <row r="1543">
      <c r="O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</row>
    <row r="1544">
      <c r="O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</row>
    <row r="1545">
      <c r="O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</row>
    <row r="1546">
      <c r="O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</row>
    <row r="1547">
      <c r="O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</row>
    <row r="1548">
      <c r="O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</row>
    <row r="1549">
      <c r="O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</row>
    <row r="1550">
      <c r="O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</row>
    <row r="1551">
      <c r="O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</row>
    <row r="1552">
      <c r="O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</row>
    <row r="1553">
      <c r="O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</row>
    <row r="1554">
      <c r="O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</row>
    <row r="1555">
      <c r="O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</row>
    <row r="1556">
      <c r="O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</row>
    <row r="1557">
      <c r="O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</row>
    <row r="1558">
      <c r="O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</row>
    <row r="1559">
      <c r="O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</row>
    <row r="1560">
      <c r="O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</row>
    <row r="1561">
      <c r="O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</row>
    <row r="1562">
      <c r="O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</row>
    <row r="1563">
      <c r="O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</row>
    <row r="1564">
      <c r="O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</row>
    <row r="1565">
      <c r="O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</row>
    <row r="1566">
      <c r="O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</row>
    <row r="1567">
      <c r="O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</row>
    <row r="1568">
      <c r="O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</row>
    <row r="1569">
      <c r="O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</row>
    <row r="1570">
      <c r="O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</row>
    <row r="1571">
      <c r="O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</row>
    <row r="1572">
      <c r="O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</row>
    <row r="1573">
      <c r="O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</row>
    <row r="1574">
      <c r="O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</row>
    <row r="1575">
      <c r="O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</row>
    <row r="1576">
      <c r="O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</row>
    <row r="1577">
      <c r="O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</row>
    <row r="1578">
      <c r="O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</row>
    <row r="1579">
      <c r="O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</row>
    <row r="1580">
      <c r="O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</row>
    <row r="1581">
      <c r="O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</row>
    <row r="1582">
      <c r="O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</row>
    <row r="1583">
      <c r="O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</row>
    <row r="1584">
      <c r="O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</row>
    <row r="1585">
      <c r="O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</row>
    <row r="1586">
      <c r="O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</row>
    <row r="1587">
      <c r="O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</row>
    <row r="1588">
      <c r="O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</row>
    <row r="1589">
      <c r="O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</row>
    <row r="1590">
      <c r="O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</row>
    <row r="1591">
      <c r="O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</row>
    <row r="1592">
      <c r="O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</row>
    <row r="1593">
      <c r="O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</row>
    <row r="1594">
      <c r="O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</row>
    <row r="1595">
      <c r="O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</row>
    <row r="1596">
      <c r="O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</row>
    <row r="1597">
      <c r="O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</row>
    <row r="1598">
      <c r="O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</row>
    <row r="1599">
      <c r="O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</row>
    <row r="1600">
      <c r="O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</row>
    <row r="1601">
      <c r="O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</row>
    <row r="1602">
      <c r="O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</row>
    <row r="1603">
      <c r="O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</row>
    <row r="1604">
      <c r="O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</row>
    <row r="1605">
      <c r="O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</row>
    <row r="1606">
      <c r="O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</row>
    <row r="1607">
      <c r="O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</row>
    <row r="1608">
      <c r="O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</row>
    <row r="1609">
      <c r="O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</row>
    <row r="1610">
      <c r="O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</row>
    <row r="1611">
      <c r="O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</row>
    <row r="1612">
      <c r="O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</row>
    <row r="1613">
      <c r="O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</row>
    <row r="1614">
      <c r="O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</row>
    <row r="1615">
      <c r="O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</row>
    <row r="1616">
      <c r="O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</row>
    <row r="1617">
      <c r="O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</row>
    <row r="1618">
      <c r="O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</row>
    <row r="1619">
      <c r="O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</row>
    <row r="1620">
      <c r="O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</row>
    <row r="1621">
      <c r="O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</row>
    <row r="1622">
      <c r="O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</row>
    <row r="1623">
      <c r="O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</row>
    <row r="1624">
      <c r="O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</row>
    <row r="1625">
      <c r="O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</row>
    <row r="1626">
      <c r="O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</row>
    <row r="1627">
      <c r="O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</row>
    <row r="1628">
      <c r="O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</row>
    <row r="1629">
      <c r="O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</row>
    <row r="1630">
      <c r="O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</row>
    <row r="1631">
      <c r="O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</row>
    <row r="1632">
      <c r="O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</row>
    <row r="1633">
      <c r="O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</row>
    <row r="1634">
      <c r="O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</row>
    <row r="1635">
      <c r="O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</row>
    <row r="1636">
      <c r="O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</row>
    <row r="1637">
      <c r="O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</row>
    <row r="1638">
      <c r="O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</row>
    <row r="1639">
      <c r="O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</row>
    <row r="1640">
      <c r="O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</row>
    <row r="1641">
      <c r="O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</row>
    <row r="1642">
      <c r="O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</row>
    <row r="1643">
      <c r="O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</row>
    <row r="1644">
      <c r="O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</row>
    <row r="1645">
      <c r="O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</row>
    <row r="1646">
      <c r="O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</row>
    <row r="1647">
      <c r="O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</row>
    <row r="1648">
      <c r="O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</row>
    <row r="1649">
      <c r="O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</row>
    <row r="1650">
      <c r="O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</row>
    <row r="1651">
      <c r="O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</row>
    <row r="1652">
      <c r="O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</row>
    <row r="1653">
      <c r="O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</row>
    <row r="1654">
      <c r="O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</row>
    <row r="1655">
      <c r="O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</row>
    <row r="1656">
      <c r="O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</row>
    <row r="1657">
      <c r="O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</row>
    <row r="1658">
      <c r="O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</row>
    <row r="1659">
      <c r="O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</row>
    <row r="1660">
      <c r="O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</row>
    <row r="1661">
      <c r="O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</row>
    <row r="1662">
      <c r="O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</row>
    <row r="1663">
      <c r="O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</row>
    <row r="1664">
      <c r="O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</row>
    <row r="1665">
      <c r="O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</row>
    <row r="1666">
      <c r="O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</row>
    <row r="1667">
      <c r="O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</row>
    <row r="1668">
      <c r="O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</row>
    <row r="1669">
      <c r="O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</row>
    <row r="1670">
      <c r="O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</row>
    <row r="1671">
      <c r="O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</row>
    <row r="1672">
      <c r="O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</row>
    <row r="1673">
      <c r="O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</row>
    <row r="1674">
      <c r="O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</row>
    <row r="1675">
      <c r="O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</row>
    <row r="1676">
      <c r="O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</row>
    <row r="1677">
      <c r="O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</row>
    <row r="1678">
      <c r="O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</row>
    <row r="1679">
      <c r="O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</row>
    <row r="1680">
      <c r="O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</row>
    <row r="1681">
      <c r="O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</row>
    <row r="1682">
      <c r="O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</row>
    <row r="1683">
      <c r="O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</row>
    <row r="1684">
      <c r="O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</row>
    <row r="1685">
      <c r="O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</row>
    <row r="1686">
      <c r="O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</row>
    <row r="1687">
      <c r="O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</row>
    <row r="1688">
      <c r="O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</row>
    <row r="1689">
      <c r="O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</row>
    <row r="1690">
      <c r="O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</row>
    <row r="1691">
      <c r="O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</row>
    <row r="1692">
      <c r="O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</row>
    <row r="1693">
      <c r="O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</row>
    <row r="1694">
      <c r="O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</row>
    <row r="1695">
      <c r="O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</row>
    <row r="1696">
      <c r="O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</row>
    <row r="1697">
      <c r="O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</row>
    <row r="1698">
      <c r="O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</row>
    <row r="1699">
      <c r="O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</row>
    <row r="1700">
      <c r="O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</row>
    <row r="1701">
      <c r="O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</row>
    <row r="1702">
      <c r="O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</row>
    <row r="1703">
      <c r="O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</row>
    <row r="1704">
      <c r="O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</row>
    <row r="1705">
      <c r="O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</row>
    <row r="1706">
      <c r="O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</row>
    <row r="1707">
      <c r="O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</row>
    <row r="1708">
      <c r="O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</row>
    <row r="1709">
      <c r="O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</row>
    <row r="1710">
      <c r="O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</row>
    <row r="1711">
      <c r="O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</row>
    <row r="1712">
      <c r="O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</row>
    <row r="1713">
      <c r="O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</row>
    <row r="1714">
      <c r="O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</row>
    <row r="1715">
      <c r="O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</row>
    <row r="1716">
      <c r="O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</row>
    <row r="1717">
      <c r="O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</row>
    <row r="1718">
      <c r="O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</row>
    <row r="1719">
      <c r="O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</row>
    <row r="1720">
      <c r="O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</row>
    <row r="1721">
      <c r="O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</row>
    <row r="1722">
      <c r="O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</row>
    <row r="1723">
      <c r="O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</row>
    <row r="1724">
      <c r="O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</row>
    <row r="1725">
      <c r="O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</row>
    <row r="1726">
      <c r="O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</row>
    <row r="1727">
      <c r="O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</row>
    <row r="1728">
      <c r="O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</row>
    <row r="1729">
      <c r="O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</row>
    <row r="1730">
      <c r="O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</row>
    <row r="1731">
      <c r="O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</row>
    <row r="1732">
      <c r="O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</row>
    <row r="1733">
      <c r="O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</row>
    <row r="1734">
      <c r="O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</row>
    <row r="1735">
      <c r="O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</row>
    <row r="1736">
      <c r="O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</row>
    <row r="1737">
      <c r="O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</row>
    <row r="1738">
      <c r="O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</row>
    <row r="1739">
      <c r="O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</row>
    <row r="1740">
      <c r="O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</row>
    <row r="1741">
      <c r="O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</row>
    <row r="1742">
      <c r="O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</row>
    <row r="1743">
      <c r="O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</row>
    <row r="1744">
      <c r="O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</row>
    <row r="1745">
      <c r="O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</row>
    <row r="1746">
      <c r="O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</row>
    <row r="1747">
      <c r="O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</row>
    <row r="1748">
      <c r="O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</row>
    <row r="1749">
      <c r="O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</row>
    <row r="1750">
      <c r="O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</row>
    <row r="1751">
      <c r="O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</row>
    <row r="1752">
      <c r="O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</row>
    <row r="1753">
      <c r="O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</row>
    <row r="1754">
      <c r="O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</row>
    <row r="1755">
      <c r="O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</row>
    <row r="1756">
      <c r="O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</row>
    <row r="1757">
      <c r="O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</row>
    <row r="1758">
      <c r="O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</row>
    <row r="1759">
      <c r="O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</row>
    <row r="1760">
      <c r="O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</row>
    <row r="1761">
      <c r="O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</row>
    <row r="1762">
      <c r="O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</row>
    <row r="1763">
      <c r="O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</row>
    <row r="1764">
      <c r="O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</row>
    <row r="1765">
      <c r="O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</row>
    <row r="1766">
      <c r="O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</row>
    <row r="1767">
      <c r="O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</row>
    <row r="1768">
      <c r="O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</row>
    <row r="1769">
      <c r="O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</row>
    <row r="1770">
      <c r="O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</row>
    <row r="1771">
      <c r="O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</row>
    <row r="1772">
      <c r="O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</row>
    <row r="1773">
      <c r="O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</row>
    <row r="1774">
      <c r="O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</row>
    <row r="1775">
      <c r="O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</row>
    <row r="1776">
      <c r="O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</row>
    <row r="1777">
      <c r="O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</row>
    <row r="1778">
      <c r="O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</row>
    <row r="1779">
      <c r="O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</row>
    <row r="1780">
      <c r="O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</row>
    <row r="1781">
      <c r="O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</row>
    <row r="1782">
      <c r="O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</row>
    <row r="1783">
      <c r="O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</row>
    <row r="1784">
      <c r="O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</row>
    <row r="1785">
      <c r="O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</row>
    <row r="1786">
      <c r="O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</row>
    <row r="1787">
      <c r="O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</row>
    <row r="1788">
      <c r="O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</row>
    <row r="1789">
      <c r="O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</row>
    <row r="1790">
      <c r="O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</row>
    <row r="1791">
      <c r="O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</row>
    <row r="1792">
      <c r="O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</row>
    <row r="1793">
      <c r="O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</row>
    <row r="1794">
      <c r="O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</row>
    <row r="1795">
      <c r="O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</row>
    <row r="1796">
      <c r="O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</row>
    <row r="1797">
      <c r="O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</row>
    <row r="1798">
      <c r="O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</row>
    <row r="1799">
      <c r="O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</row>
    <row r="1800">
      <c r="O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</row>
    <row r="1801">
      <c r="O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</row>
    <row r="1802">
      <c r="O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</row>
    <row r="1803">
      <c r="O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</row>
    <row r="1804">
      <c r="O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</row>
    <row r="1805">
      <c r="O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</row>
    <row r="1806">
      <c r="O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</row>
    <row r="1807">
      <c r="O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</row>
    <row r="1808">
      <c r="O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</row>
    <row r="1809">
      <c r="O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</row>
    <row r="1810">
      <c r="O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</row>
    <row r="1811">
      <c r="O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</row>
    <row r="1812">
      <c r="O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</row>
    <row r="1813">
      <c r="O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</row>
    <row r="1814">
      <c r="O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</row>
    <row r="1815">
      <c r="O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</row>
    <row r="1816">
      <c r="O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</row>
    <row r="1817">
      <c r="O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</row>
    <row r="1818">
      <c r="O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</row>
    <row r="1819">
      <c r="O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</row>
    <row r="1820">
      <c r="O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</row>
    <row r="1821">
      <c r="O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</row>
    <row r="1822">
      <c r="O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</row>
    <row r="1823">
      <c r="O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</row>
    <row r="1824">
      <c r="O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</row>
    <row r="1825">
      <c r="O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</row>
    <row r="1826">
      <c r="O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</row>
    <row r="1827">
      <c r="O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</row>
    <row r="1828">
      <c r="O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</row>
    <row r="1829">
      <c r="O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</row>
    <row r="1830">
      <c r="O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</row>
    <row r="1831">
      <c r="O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</row>
    <row r="1832">
      <c r="O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</row>
    <row r="1833">
      <c r="O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</row>
    <row r="1834">
      <c r="O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</row>
    <row r="1835">
      <c r="O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</row>
    <row r="1836">
      <c r="O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</row>
    <row r="1837">
      <c r="O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</row>
    <row r="1838">
      <c r="O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</row>
    <row r="1839">
      <c r="O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</row>
    <row r="1840">
      <c r="O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</row>
    <row r="1841">
      <c r="O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</row>
    <row r="1842">
      <c r="O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</row>
    <row r="1843">
      <c r="O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</row>
    <row r="1844">
      <c r="O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</row>
    <row r="1845">
      <c r="O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</row>
    <row r="1846">
      <c r="O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</row>
    <row r="1847">
      <c r="O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</row>
    <row r="1848">
      <c r="O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</row>
    <row r="1849">
      <c r="O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</row>
    <row r="1850">
      <c r="O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</row>
    <row r="1851">
      <c r="O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</row>
    <row r="1852">
      <c r="O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</row>
    <row r="1853">
      <c r="O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</row>
    <row r="1854">
      <c r="O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</row>
    <row r="1855">
      <c r="O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</row>
    <row r="1856">
      <c r="O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</row>
    <row r="1857">
      <c r="O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</row>
    <row r="1858">
      <c r="O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</row>
    <row r="1859">
      <c r="O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</row>
    <row r="1860">
      <c r="O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</row>
    <row r="1861">
      <c r="O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</row>
    <row r="1862">
      <c r="O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</row>
    <row r="1863">
      <c r="O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</row>
    <row r="1864">
      <c r="O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</row>
    <row r="1865">
      <c r="O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</row>
    <row r="1866">
      <c r="O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</row>
    <row r="1867">
      <c r="O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</row>
    <row r="1868">
      <c r="O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</row>
    <row r="1869">
      <c r="O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</row>
    <row r="1870">
      <c r="O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</row>
    <row r="1871">
      <c r="O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</row>
    <row r="1872">
      <c r="O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</row>
    <row r="1873">
      <c r="O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</row>
    <row r="1874">
      <c r="O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</row>
    <row r="1875">
      <c r="O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</row>
    <row r="1876">
      <c r="O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</row>
    <row r="1877">
      <c r="O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</row>
    <row r="1878">
      <c r="O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</row>
    <row r="1879">
      <c r="O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</row>
    <row r="1880">
      <c r="O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</row>
    <row r="1881">
      <c r="O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</row>
    <row r="1882">
      <c r="O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</row>
    <row r="1883">
      <c r="O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</row>
    <row r="1884">
      <c r="O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</row>
    <row r="1885">
      <c r="O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</row>
    <row r="1886">
      <c r="O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</row>
    <row r="1887">
      <c r="O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</row>
    <row r="1888">
      <c r="O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</row>
    <row r="1889">
      <c r="O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</row>
    <row r="1890">
      <c r="O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</row>
    <row r="1891">
      <c r="O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</row>
    <row r="1892">
      <c r="O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</row>
    <row r="1893">
      <c r="O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</row>
    <row r="1894">
      <c r="O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</row>
    <row r="1895">
      <c r="O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</row>
    <row r="1896">
      <c r="O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</row>
    <row r="1897">
      <c r="O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</row>
    <row r="1898">
      <c r="O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</row>
    <row r="1899">
      <c r="O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</row>
    <row r="1900">
      <c r="O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</row>
    <row r="1901">
      <c r="O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</row>
    <row r="1902">
      <c r="O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</row>
    <row r="1903">
      <c r="O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</row>
    <row r="1904">
      <c r="O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</row>
    <row r="1905">
      <c r="O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</row>
    <row r="1906">
      <c r="O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</row>
    <row r="1907">
      <c r="O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</row>
    <row r="1908">
      <c r="O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</row>
    <row r="1909">
      <c r="O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</row>
    <row r="1910">
      <c r="O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</row>
    <row r="1911">
      <c r="O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</row>
    <row r="1912">
      <c r="O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</row>
    <row r="1913">
      <c r="O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</row>
    <row r="1914">
      <c r="O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</row>
    <row r="1915">
      <c r="O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</row>
    <row r="1916">
      <c r="O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</row>
    <row r="1917">
      <c r="O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</row>
    <row r="1918">
      <c r="O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</row>
    <row r="1919">
      <c r="O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</row>
    <row r="1920">
      <c r="O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</row>
    <row r="1921">
      <c r="O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</row>
    <row r="1922">
      <c r="O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</row>
    <row r="1923">
      <c r="O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</row>
    <row r="1924">
      <c r="O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</row>
    <row r="1925">
      <c r="O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</row>
    <row r="1926">
      <c r="O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</row>
    <row r="1927">
      <c r="O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</row>
    <row r="1928">
      <c r="O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</row>
    <row r="1929">
      <c r="O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</row>
    <row r="1930">
      <c r="O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</row>
    <row r="1931">
      <c r="O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</row>
    <row r="1932">
      <c r="O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</row>
    <row r="1933">
      <c r="O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</row>
    <row r="1934">
      <c r="O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</row>
    <row r="1935">
      <c r="O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</row>
    <row r="1936">
      <c r="O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</row>
    <row r="1937">
      <c r="O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</row>
    <row r="1938">
      <c r="O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</row>
    <row r="1939">
      <c r="O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</row>
    <row r="1940">
      <c r="O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</row>
    <row r="1941">
      <c r="O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</row>
    <row r="1942">
      <c r="O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</row>
    <row r="1943">
      <c r="O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</row>
    <row r="1944">
      <c r="O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</row>
    <row r="1945">
      <c r="O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</row>
    <row r="1946">
      <c r="O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</row>
    <row r="1947">
      <c r="O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</row>
    <row r="1948">
      <c r="O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</row>
    <row r="1949">
      <c r="O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</row>
    <row r="1950">
      <c r="O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</row>
    <row r="1951">
      <c r="O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</row>
    <row r="1952">
      <c r="O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</row>
    <row r="1953">
      <c r="O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</row>
    <row r="1954">
      <c r="O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</row>
    <row r="1955">
      <c r="O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</row>
    <row r="1956">
      <c r="O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</row>
    <row r="1957">
      <c r="O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</row>
    <row r="1958">
      <c r="O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</row>
    <row r="1959">
      <c r="O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</row>
    <row r="1960">
      <c r="O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</row>
    <row r="1961">
      <c r="O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</row>
    <row r="1962">
      <c r="O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</row>
    <row r="1963">
      <c r="O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</row>
    <row r="1964">
      <c r="O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</row>
    <row r="1965">
      <c r="O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</row>
    <row r="1966">
      <c r="O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</row>
    <row r="1967">
      <c r="O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</row>
    <row r="1968">
      <c r="O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</row>
    <row r="1969">
      <c r="O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</row>
    <row r="1970">
      <c r="O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</row>
    <row r="1971">
      <c r="O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</row>
    <row r="1972">
      <c r="O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</row>
    <row r="1973">
      <c r="O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</row>
    <row r="1974">
      <c r="O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</row>
    <row r="1975">
      <c r="O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</row>
    <row r="1976">
      <c r="O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</row>
    <row r="1977">
      <c r="O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</row>
    <row r="1978">
      <c r="O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</row>
    <row r="1979">
      <c r="O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</row>
    <row r="1980">
      <c r="O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</row>
    <row r="1981">
      <c r="O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</row>
    <row r="1982">
      <c r="O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</row>
    <row r="1983">
      <c r="O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</row>
    <row r="1984">
      <c r="O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</row>
    <row r="1985">
      <c r="O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</row>
    <row r="1986">
      <c r="O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</row>
    <row r="1987">
      <c r="O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</row>
    <row r="1988">
      <c r="O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</row>
    <row r="1989">
      <c r="O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</row>
    <row r="1990">
      <c r="O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</row>
    <row r="1991">
      <c r="O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</row>
    <row r="1992">
      <c r="O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</row>
    <row r="1993">
      <c r="O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</row>
    <row r="1994">
      <c r="O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</row>
    <row r="1995">
      <c r="O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</row>
    <row r="1996">
      <c r="O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</row>
    <row r="1997">
      <c r="O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</row>
    <row r="1998">
      <c r="O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</row>
    <row r="1999">
      <c r="O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</row>
    <row r="2000">
      <c r="O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</row>
    <row r="2001">
      <c r="O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</row>
    <row r="2002">
      <c r="O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</row>
    <row r="2003">
      <c r="O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</row>
    <row r="2004">
      <c r="O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</row>
  </sheetData>
  <autoFilter ref="$A$1:$BG$2004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122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12.0</v>
      </c>
      <c r="C3" s="219">
        <v>338.0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3.0</v>
      </c>
      <c r="D6" s="212"/>
      <c r="E6" s="212"/>
      <c r="F6" s="221" t="s">
        <v>4969</v>
      </c>
    </row>
    <row r="7" ht="22.5" customHeight="1">
      <c r="A7" s="218" t="s">
        <v>255</v>
      </c>
      <c r="B7" s="216">
        <f>SUM('Sprint 17'!O:O)</f>
        <v>182</v>
      </c>
      <c r="C7" s="212">
        <f>ROUND(SUM('Sprint 17'!S:S)/3600,2)</f>
        <v>250.17</v>
      </c>
      <c r="D7" s="216">
        <f>SUMIF('Sprint 17'!J:J, "Done", 'Sprint 17'!O:O)</f>
        <v>72</v>
      </c>
      <c r="E7" s="212">
        <f>ROUND(SUMIF('Sprint 17'!J:J, "Done", 'Sprint 17'!S:S)/3600,2)</f>
        <v>142.17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17'!S:S, ('Sprint 17'!Q:Q = ""mid-sprint"")))/3600,0),2)"),0.0)</f>
        <v>0</v>
      </c>
      <c r="D9" s="212">
        <f>IFERROR(__xludf.DUMMYFUNCTION("IFERROR(SUM(FILTER('Sprint 17'!O:O, (('Sprint 17'!J:J = ""Done"")) * ('Sprint 17'!Q:Q = ""mid-sprint""))),0)"),1.0)</f>
        <v>1</v>
      </c>
      <c r="E9" s="212">
        <f>IFERROR(__xludf.DUMMYFUNCTION("ROUND(IFERROR(SUM(FILTER('Sprint 17'!S:S, (('Sprint 17'!J:J = ""Done"")) * ('Sprint 17'!P:P = ""mid-sprint"")))/3600,0),2)"),0.0)</f>
        <v>0</v>
      </c>
      <c r="F9" s="225" t="s">
        <v>259</v>
      </c>
    </row>
    <row r="10" ht="22.5" customHeight="1">
      <c r="A10" s="218" t="s">
        <v>258</v>
      </c>
      <c r="B10" s="212">
        <f>IFERROR(__xludf.DUMMYFUNCTION("ROUND(IFERROR(SUM(FILTER('Sprint 17'!S:S, ('Sprint 17'!Q:Q = ""change-request"")))/3600,0),2)"),0.0)</f>
        <v>0</v>
      </c>
      <c r="D10" s="212">
        <f>IFERROR(__xludf.DUMMYFUNCTION("IFERROR(SUM(FILTER('Sprint 17'!O:O, (('Sprint 17'!J:J = ""Done"")) * ('Sprint 17'!Q:Q = ""change-request""))),0)"),0.0)</f>
        <v>0</v>
      </c>
      <c r="E10" s="212">
        <f>IFERROR(__xludf.DUMMYFUNCTION("ROUND(IFERROR(SUM(FILTER('Sprint 17'!S:S, (('Sprint 17'!J:J = ""Done"")) * ('Sprint 17'!Q:Q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17'!O:O, ('Sprint 17'!E:E = ""Aek:Atiphat Nanthachitvanich""))),0)"),1.0)</f>
        <v>1</v>
      </c>
      <c r="C12" s="223">
        <f>IFERROR(__xludf.DUMMYFUNCTION("ROUND(IFERROR(SUM(FILTER('Sprint 17'!S:S, ('Sprint 17'!E:E = ""Aek:Atiphat Nanthachitvanich"")))/3600,0),2)"),0.0)</f>
        <v>0</v>
      </c>
      <c r="D12" s="216">
        <f>IFERROR(__xludf.DUMMYFUNCTION("IFERROR(SUM(FILTER('Sprint 17'!O:O, (('Sprint 17'!J:J = ""Done"")) * ('Sprint 17'!E:E = ""Aek:Atiphat Nanthachitvanich""))),0)"),0.0)</f>
        <v>0</v>
      </c>
      <c r="E12" s="223">
        <f>IFERROR(__xludf.DUMMYFUNCTION("ROUND(IFERROR(SUM(FILTER('Sprint 17'!S:S, (('Sprint 17'!J:J = ""Done"")) * ('Sprint 17'!E:E = ""Aek:Atiphat Nanthachitvanich"")))/3600,0),2)"),0.0)</f>
        <v>0</v>
      </c>
      <c r="F12" s="224"/>
    </row>
    <row r="13" ht="22.5" customHeight="1">
      <c r="A13" s="218" t="s">
        <v>32</v>
      </c>
      <c r="B13" s="216">
        <f>IFERROR(__xludf.DUMMYFUNCTION("IFERROR(SUM(FILTER('Sprint 17'!O:O, ('Sprint 17'!E:E = ""A:Phongthorn""))),0)"),62.0)</f>
        <v>62</v>
      </c>
      <c r="C13" s="223">
        <f>IFERROR(__xludf.DUMMYFUNCTION("ROUND(IFERROR(SUM(FILTER('Sprint 17'!S:S, ('Sprint 17'!E:E = ""A:Phongthorn"")))/3600,0),2)"),150.0)</f>
        <v>150</v>
      </c>
      <c r="D13" s="216">
        <f>IFERROR(__xludf.DUMMYFUNCTION("IFERROR(SUM(FILTER('Sprint 17'!O:O, (('Sprint 17'!J:J = ""Done"")) * ('Sprint 17'!E:E = ""A:Phongthorn""))),0)"),52.0)</f>
        <v>52</v>
      </c>
      <c r="E13" s="223">
        <f>IFERROR(__xludf.DUMMYFUNCTION("ROUND(IFERROR(SUM(FILTER('Sprint 17'!S:S, (('Sprint 17'!J:J = ""Done"")) * ('Sprint 17'!E:E = ""A:Phongthorn"")))/3600,0),2)"),122.0)</f>
        <v>122</v>
      </c>
      <c r="F13" s="224"/>
    </row>
    <row r="14" ht="22.5" customHeight="1">
      <c r="A14" s="218" t="s">
        <v>72</v>
      </c>
      <c r="B14" s="216">
        <f>IFERROR(__xludf.DUMMYFUNCTION("IFERROR(SUM(FILTER('Sprint 17'!O:O, ('Sprint 17'!E:E = ""Aom: Pornsawan Polnyiem""))),0)"),22.0)</f>
        <v>22</v>
      </c>
      <c r="C14" s="223">
        <f>IFERROR(__xludf.DUMMYFUNCTION("ROUND(IFERROR(SUM(FILTER('Sprint 17'!S:S, ('Sprint 17'!E:E = ""Aom: Pornsawan Polnyiem"")))/3600,0),2)"),16.17)</f>
        <v>16.17</v>
      </c>
      <c r="D14" s="216">
        <f>IFERROR(__xludf.DUMMYFUNCTION("IFERROR(SUM(FILTER('Sprint 17'!O:O, (('Sprint 17'!J:J = ""Done"")) * ('Sprint 17'!E:E = ""Aom: Pornsawan Polnyiem""))),0)"),10.0)</f>
        <v>10</v>
      </c>
      <c r="E14" s="223">
        <f>IFERROR(__xludf.DUMMYFUNCTION("ROUND(IFERROR(SUM(FILTER('Sprint 17'!S:S, (('Sprint 17'!J:J = ""Done"")) * ('Sprint 17'!E:E = ""Aom: Pornsawan Polnyiem"")))/3600,0),2)"),16.17)</f>
        <v>16.17</v>
      </c>
      <c r="F14" s="224"/>
    </row>
    <row r="15" ht="22.5" customHeight="1">
      <c r="A15" s="218" t="s">
        <v>24</v>
      </c>
      <c r="B15" s="216">
        <f>IFERROR(__xludf.DUMMYFUNCTION("IFERROR(SUM(FILTER('Sprint 17'!O:O, ('Sprint 17'!E:E = ""Zan : Isarapong Bulan""))),0)"),6.0)</f>
        <v>6</v>
      </c>
      <c r="C15" s="223">
        <f>IFERROR(__xludf.DUMMYFUNCTION("ROUND(IFERROR(SUM(FILTER('Sprint 17'!S:S, ('Sprint 17'!E:E = ""Zan : Isarapong Bulan"")))/3600,0),2)"),0.0)</f>
        <v>0</v>
      </c>
      <c r="D15" s="216">
        <f>IFERROR(__xludf.DUMMYFUNCTION("IFERROR(SUM(FILTER('Sprint 17'!O:O, (('Sprint 17'!J:J = ""Done"")) * ('Sprint 17'!E:E = ""Zan : Isarapong Bulan""))),0)"),0.0)</f>
        <v>0</v>
      </c>
      <c r="E15" s="223">
        <f>IFERROR(__xludf.DUMMYFUNCTION("ROUND(IFERROR(SUM(FILTER('Sprint 17'!S:S, (('Sprint 17'!J:J = ""Done"")) * ('Sprint 17'!E:E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17'!O:O, ('Sprint 17'!E:E = ""Mai:Sateta Abvanawong""))),0)"),13.0)</f>
        <v>13</v>
      </c>
      <c r="C16" s="223">
        <f>IFERROR(__xludf.DUMMYFUNCTION("ROUND(IFERROR(SUM(FILTER('Sprint 17'!S:S, ('Sprint 17'!E:E = ""Mai:Sateta Abvanawong"")))/3600,0),2)"),8.0)</f>
        <v>8</v>
      </c>
      <c r="D16" s="216">
        <f>IFERROR(__xludf.DUMMYFUNCTION("IFERROR(SUM(FILTER('Sprint 17'!O:O, (('Sprint 17'!J:J = ""Done"")) * ('Sprint 17'!E:E = ""Mai:Sateta Abvanawong""))),0)"),1.0)</f>
        <v>1</v>
      </c>
      <c r="E16" s="223">
        <f>IFERROR(__xludf.DUMMYFUNCTION("ROUND(IFERROR(SUM(FILTER('Sprint 17'!S:S, (('Sprint 17'!J:J = ""Done"")) * ('Sprint 17'!E:E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17'!O:O, ('Sprint 17'!E:E = ""Mac: Jarupong Pawichpongkul""))),0)"),29.0)</f>
        <v>29</v>
      </c>
      <c r="C17" s="223">
        <f>IFERROR(__xludf.DUMMYFUNCTION("ROUND(IFERROR(SUM(FILTER('Sprint 17'!S:S, ('Sprint 17'!E:E = ""Mac: Jarupong Pawichpongkul"")))/3600,0),2)"),20.0)</f>
        <v>20</v>
      </c>
      <c r="D17" s="216">
        <f>IFERROR(__xludf.DUMMYFUNCTION("IFERROR(SUM(FILTER('Sprint 17'!O:O, (('Sprint 17'!J:J = ""Done"")) * ('Sprint 17'!E:E = ""Mac: Jarupong Pawichpongkul""))),0)"),4.0)</f>
        <v>4</v>
      </c>
      <c r="E17" s="223">
        <f>IFERROR(__xludf.DUMMYFUNCTION("ROUND(IFERROR(SUM(FILTER('Sprint 17'!S:S, (('Sprint 17'!J:J = ""Done"")) * ('Sprint 17'!E:E = ""Mac: 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17'!O:O, ('Sprint 17'!E:E = ""Moss : Kittapath Sangvikukit""))),0)"),19.0)</f>
        <v>19</v>
      </c>
      <c r="C18" s="223">
        <f>IFERROR(__xludf.DUMMYFUNCTION("ROUND(IFERROR(SUM(FILTER('Sprint 17'!S:S, ('Sprint 17'!E:E = ""Moss : Kittapath Sangvikukit"")))/3600,0),2)"),24.0)</f>
        <v>24</v>
      </c>
      <c r="D18" s="216">
        <f>IFERROR(__xludf.DUMMYFUNCTION("IFERROR(SUM(FILTER('Sprint 17'!O:O, (('Sprint 17'!J:J = ""Done"")) * ('Sprint 17'!E:E = ""Moss : Kittapath Sangvikukit""))),0)"),0.0)</f>
        <v>0</v>
      </c>
      <c r="E18" s="223">
        <f>IFERROR(__xludf.DUMMYFUNCTION("ROUND(IFERROR(SUM(FILTER('Sprint 17'!S:S, (('Sprint 17'!J:J = ""Done"")) * ('Sprint 17'!E:E = ""Moss : Kittapath Sangvikukit"")))/3600,0),2)"),0.0)</f>
        <v>0</v>
      </c>
      <c r="F18" s="224"/>
    </row>
    <row r="19" ht="22.5" customHeight="1">
      <c r="A19" s="218" t="s">
        <v>28</v>
      </c>
      <c r="B19" s="216">
        <f>IFERROR(__xludf.DUMMYFUNCTION("IFERROR(SUM(FILTER('Sprint 17'!O:O, ('Sprint 17'!E:E = ""Jack: Warin Kesorn""))),0)"),1.0)</f>
        <v>1</v>
      </c>
      <c r="C19" s="223">
        <f>IFERROR(__xludf.DUMMYFUNCTION("ROUND(IFERROR(SUM(FILTER('Sprint 17'!S:S, ('Sprint 17'!E:E = ""Jack: Warin Kesorn"")))/3600,0),2)"),0.0)</f>
        <v>0</v>
      </c>
      <c r="D19" s="216">
        <f>IFERROR(__xludf.DUMMYFUNCTION("IFERROR(SUM(FILTER('Sprint 17'!O:O, (('Sprint 17'!J:J = ""Done"")) * ('Sprint 17'!E:E = ""Jack: Warin Kesorn""))),0)"),1.0)</f>
        <v>1</v>
      </c>
      <c r="E19" s="223">
        <f>IFERROR(__xludf.DUMMYFUNCTION("ROUND(IFERROR(SUM(FILTER('Sprint 17'!S:S, (('Sprint 17'!J:J = ""Done"")) * ('Sprint 17'!E:E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17'!O:O, ('Sprint 17'!E:E = ""Nim : muthita munmueang""))),0)"),13.0)</f>
        <v>13</v>
      </c>
      <c r="C20" s="223">
        <f>IFERROR(__xludf.DUMMYFUNCTION("ROUND(IFERROR(SUM(FILTER('Sprint 17'!S:S, ('Sprint 17'!E:E = ""Nim : muthita munmueang"")))/3600,0),2)"),32.0)</f>
        <v>32</v>
      </c>
      <c r="D20" s="216">
        <f>IFERROR(__xludf.DUMMYFUNCTION("IFERROR(SUM(FILTER('Sprint 17'!O:O, (('Sprint 17'!J:J = ""Done"")) * ('Sprint 17'!E:E = ""Nim : muthita munmueang""))),0)"),2.0)</f>
        <v>2</v>
      </c>
      <c r="E20" s="223">
        <f>IFERROR(__xludf.DUMMYFUNCTION("ROUND(IFERROR(SUM(FILTER('Sprint 17'!S:S, (('Sprint 17'!J:J = ""Done"")) * ('Sprint 17'!E:E = ""Nim : muthita munmueang"")))/3600,0),2)"),4.0)</f>
        <v>4</v>
      </c>
      <c r="F20" s="224"/>
    </row>
    <row r="21" ht="22.5" customHeight="1">
      <c r="A21" s="221" t="s">
        <v>77</v>
      </c>
      <c r="B21" s="224">
        <f>IFERROR(__xludf.DUMMYFUNCTION("IFERROR(SUM(FILTER('Sprint 17'!O:O, ('Sprint 17'!E:E = ""Arm:Worawat Chotipongchoawalit""))),0)"),10.0)</f>
        <v>10</v>
      </c>
      <c r="C21" s="223">
        <f>IFERROR(__xludf.DUMMYFUNCTION("ROUND(IFERROR(SUM(FILTER('Sprint 17'!S:S, ('Sprint 17'!E:E = ""Arm:Worawat Chotipongchoawalit"")))/3600,0),2)"),0.0)</f>
        <v>0</v>
      </c>
      <c r="D21" s="216">
        <f>IFERROR(__xludf.DUMMYFUNCTION("IFERROR(SUM(FILTER('Sprint 17'!O:O, (('Sprint 17'!J:J = ""Done"")) * ('Sprint 17'!E:E = ""Arm:Worawat Chotipongchoawalit""))),0)"),2.0)</f>
        <v>2</v>
      </c>
      <c r="E21" s="223">
        <f>IFERROR(__xludf.DUMMYFUNCTION("ROUND(IFERROR(SUM(FILTER('Sprint 17'!S:S, (('Sprint 17'!J:J = ""Done"")) * ('Sprint 17'!E:E = ""Arm:Worawat Chotipongchoawalit"")))/3600,0),2)"),0.0)</f>
        <v>0</v>
      </c>
      <c r="F21" s="224"/>
    </row>
    <row r="22">
      <c r="C22" s="125"/>
    </row>
    <row r="23" ht="24.75" customHeight="1">
      <c r="A23" s="232"/>
      <c r="B23" s="233" t="s">
        <v>2210</v>
      </c>
      <c r="C23" s="234"/>
      <c r="D23" s="234"/>
      <c r="E23" s="235"/>
      <c r="F23" s="236" t="s">
        <v>2211</v>
      </c>
      <c r="G23" s="234"/>
      <c r="H23" s="235"/>
      <c r="I23" s="242" t="s">
        <v>3615</v>
      </c>
      <c r="J23" s="234"/>
      <c r="K23" s="234"/>
      <c r="L23" s="234"/>
      <c r="M23" s="235"/>
    </row>
    <row r="24" ht="20.25" customHeight="1">
      <c r="A24" s="239" t="s">
        <v>2214</v>
      </c>
      <c r="B24" s="243" t="s">
        <v>30</v>
      </c>
      <c r="C24" s="243" t="s">
        <v>24</v>
      </c>
      <c r="D24" s="243" t="s">
        <v>72</v>
      </c>
      <c r="E24" s="243" t="s">
        <v>28</v>
      </c>
      <c r="F24" s="243" t="s">
        <v>32</v>
      </c>
      <c r="G24" s="243" t="s">
        <v>3616</v>
      </c>
      <c r="H24" s="243" t="s">
        <v>73</v>
      </c>
      <c r="I24" s="243" t="s">
        <v>3617</v>
      </c>
      <c r="J24" s="243" t="s">
        <v>74</v>
      </c>
      <c r="K24" s="243" t="s">
        <v>76</v>
      </c>
      <c r="L24" s="243" t="s">
        <v>75</v>
      </c>
      <c r="M24" s="243" t="s">
        <v>77</v>
      </c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</row>
    <row r="25">
      <c r="A25" s="101" t="s">
        <v>4665</v>
      </c>
      <c r="B25" s="99">
        <f>IFERROR(__xludf.DUMMYFUNCTION("IFERROR(
  SUM(
    FILTER(
      'Sprint 17'!O:O,
      ('Sprint 17'!E:E = ""Aek:Atiphat Nanthachitvanich"") *
      (LEFT('Sprint 17'!B:B,7) = ""RDTHANA"")
    )
  ),
0)"),0.0)</f>
        <v>0</v>
      </c>
      <c r="C25" s="99">
        <f>IFERROR(__xludf.DUMMYFUNCTION("IFERROR(
  SUM(
    FILTER(
      'Sprint 17'!O:O,
      ('Sprint 17'!E:E = ""Zan : Isarapong Bulan"") *
      (LEFT('Sprint 17'!B:B,7) = ""RDTHANA"")
    )
  ),
0)"),0.0)</f>
        <v>0</v>
      </c>
      <c r="D25" s="99">
        <f>IFERROR(__xludf.DUMMYFUNCTION("IFERROR(
  SUM(
    FILTER(
      'Sprint 17'!O:O,
      ('Sprint 17'!E:E = ""Aom: Pornsawan Polnyiem"") *
      (LEFT('Sprint 17'!B:B,7) = ""RDTHANA"")
    )
  ),
0)"),0.0)</f>
        <v>0</v>
      </c>
      <c r="E25" s="99">
        <f>IFERROR(__xludf.DUMMYFUNCTION("IFERROR(
  SUM(
    FILTER(
      'Sprint 17'!O:O,
      ('Sprint 17'!E:E = ""Jack: Warin Kesorn"") *
      (LEFT('Sprint 17'!B:B,7) = ""RDTHANA"")
    )
  ),
0)"),0.0)</f>
        <v>0</v>
      </c>
      <c r="F25" s="99">
        <f>IFERROR(__xludf.DUMMYFUNCTION("IFERROR(
  SUM(
    FILTER(
      'Sprint 17'!O:O,
      ('Sprint 17'!E:E = ""A:Phongthorn"") *
      (LEFT('Sprint 17'!B:B,7) = ""RDTHANA"")
    )
  ),
0)"),0.0)</f>
        <v>0</v>
      </c>
      <c r="G25" s="99">
        <f>IFERROR(__xludf.DUMMYFUNCTION("IFERROR(
  SUM(
    FILTER(
      'Sprint 17'!O:O,
      ('Sprint 17'!E:E = ""Art: Narupontp"") *
      (LEFT('Sprint 17'!B:B,7) = ""RDTHANA"")
    )
  ),
0)"),0.0)</f>
        <v>0</v>
      </c>
      <c r="H25" s="99">
        <f>IFERROR(__xludf.DUMMYFUNCTION("IFERROR(
  SUM(
    FILTER(
      'Sprint 17'!O:O,
      ('Sprint 17'!E:E = ""Mai:Sateta Abvanawong"") *
      (LEFT('Sprint 17'!B:B,7) = ""RDTHANA"")
    )
  ),
0)"),0.0)</f>
        <v>0</v>
      </c>
      <c r="I25" s="99">
        <f>IFERROR(__xludf.DUMMYFUNCTION("IFERROR(
  SUM(
    FILTER(
      'Sprint 17'!O:O,
      ('Sprint 17'!E:E = ""Kae: Pimonrath Jaiyen"") *
      (LEFT('Sprint 17'!B:B,7) = ""RDTHANA"")
    )
  ),
0)"),0.0)</f>
        <v>0</v>
      </c>
      <c r="J25" s="99">
        <f>IFERROR(__xludf.DUMMYFUNCTION("IFERROR(
  SUM(
    FILTER(
      'Sprint 17'!O:O,
      ('Sprint 17'!E:E = ""Mac: Jarupong Pawichpongkul"") *
      (LEFT('Sprint 17'!B:B,7) = ""RDTHANA"")
    )
  ),
0)"),0.0)</f>
        <v>0</v>
      </c>
      <c r="K25" s="99">
        <f>IFERROR(__xludf.DUMMYFUNCTION("IFERROR(
  SUM(
    FILTER(
      'Sprint 17'!O:O,
      ('Sprint 17'!E:E = ""Nim : muthita munmueang"") *
      (LEFT('Sprint 17'!B:B,7) = ""RDTHANA"")
    )
  ),
0)"),0.0)</f>
        <v>0</v>
      </c>
      <c r="L25" s="99">
        <f>IFERROR(__xludf.DUMMYFUNCTION("IFERROR(
  SUM(
    FILTER(
      'Sprint 17'!O:O,
      ('Sprint 17'!E:E = ""Moss : Kittapath Sangvikukit"") *
      (LEFT('Sprint 17'!B:B,7) = ""RDTHANA"")
    )
  ),
0)"),0.0)</f>
        <v>0</v>
      </c>
      <c r="M25" s="99">
        <f>IFERROR(__xludf.DUMMYFUNCTION("IFERROR(
  SUM(
    FILTER(
      'Sprint 17'!O:O,
      ('Sprint 17'!E:E = ""Arm:Worawat Chotipongchoawalit"") *
      (LEFT('Sprint 17'!B:B,7) = ""RDTHANA"")
    )
  ),
0)"),0.0)</f>
        <v>0</v>
      </c>
    </row>
    <row r="26">
      <c r="A26" s="101" t="s">
        <v>4666</v>
      </c>
      <c r="B26" s="99">
        <f>IFERROR(__xludf.DUMMYFUNCTION("IFERROR(
  SUM(
    FILTER(
      'Sprint 17'!O:O,
      ('Sprint 17'!E:E = ""Aek:Atiphat Nanthachitvanich"") *
      (LEFT('Sprint 17'!B:B,9) = ""DEVRDECOM"")
    )
  ),
0)"),0.0)</f>
        <v>0</v>
      </c>
      <c r="C26" s="99">
        <f>IFERROR(__xludf.DUMMYFUNCTION("IFERROR(
  SUM(
    FILTER(
      'Sprint 17'!O:O,
      ('Sprint 17'!E:E = ""Zan : Isarapong Bulan"") *
      (LEFT('Sprint 17'!B:B,9) = ""DEVRDECOM"")
    )
  ),
0)"),0.0)</f>
        <v>0</v>
      </c>
      <c r="D26" s="99">
        <f>IFERROR(__xludf.DUMMYFUNCTION("IFERROR(
  SUM(
    FILTER(
      'Sprint 17'!O:O,
      ('Sprint 17'!E:E = ""Aom: Pornsawan Polnyiem"") *
      (LEFT('Sprint 17'!B:B,9) = ""DEVRDECOM"")
    )
  ),
0)"),0.0)</f>
        <v>0</v>
      </c>
      <c r="E26" s="99">
        <f>IFERROR(__xludf.DUMMYFUNCTION("IFERROR(
  SUM(
    FILTER(
      'Sprint 17'!O:O,
      ('Sprint 17'!E:E = ""Jack: Warin Kesorn"") *
      (LEFT('Sprint 17'!B:B,9) = ""DEVRDECOM"")
    )
  ),
0)"),0.0)</f>
        <v>0</v>
      </c>
      <c r="F26" s="99">
        <f>IFERROR(__xludf.DUMMYFUNCTION("IFERROR(
  SUM(
    FILTER(
      'Sprint 17'!O:O,
      ('Sprint 17'!E:E = ""A:Phongthorn"") *
      (LEFT('Sprint 17'!B:B,9) = ""DEVRDECOM"")
    )
  ),
0)"),0.0)</f>
        <v>0</v>
      </c>
      <c r="G26" s="99">
        <f>IFERROR(__xludf.DUMMYFUNCTION("IFERROR(
  SUM(
    FILTER(
      'Sprint 17'!O:O,
      ('Sprint 17'!E:E = ""Art: Narupontp"") *
      (LEFT('Sprint 17'!B:B,9) = ""DEVRDECOM"")
    )
  ),
0)"),0.0)</f>
        <v>0</v>
      </c>
      <c r="H26" s="99">
        <f>IFERROR(__xludf.DUMMYFUNCTION("IFERROR(
  SUM(
    FILTER(
      'Sprint 17'!O:O,
      ('Sprint 17'!E:E = ""Mai:Sateta Abvanawong"") *
      (LEFT('Sprint 17'!B:B,9) = ""DEVRDECOM"")
    )
  ),
0)"),0.0)</f>
        <v>0</v>
      </c>
      <c r="I26" s="99">
        <f>IFERROR(__xludf.DUMMYFUNCTION("IFERROR(
  SUM(
    FILTER(
      'Sprint 17'!O:O,
      ('Sprint 17'!E:E = ""Kae: Pimonrath Jaiyen"") *
      (LEFT('Sprint 17'!B:B,9) = ""DEVRDECOM"")
    )
  ),
0)"),0.0)</f>
        <v>0</v>
      </c>
      <c r="J26" s="99">
        <f>IFERROR(__xludf.DUMMYFUNCTION("IFERROR(
  SUM(
    FILTER(
      'Sprint 17'!O:O,
      ('Sprint 17'!E:E = ""Mac: Jarupong Pawichpongkul"") *
      (LEFT('Sprint 17'!B:B,9) = ""DEVRDECOM"")
    )
  ),
0)"),0.0)</f>
        <v>0</v>
      </c>
      <c r="K26" s="99">
        <f>IFERROR(__xludf.DUMMYFUNCTION("IFERROR(
  SUM(
    FILTER(
      'Sprint 17'!O:O,
      ('Sprint 17'!E:E = ""Nim : muthita munmueang"") *
      (LEFT('Sprint 17'!B:B,9) = ""DEVRDECOM"")
    )
  ),
0)"),0.0)</f>
        <v>0</v>
      </c>
      <c r="L26" s="99">
        <f>IFERROR(__xludf.DUMMYFUNCTION("IFERROR(
  SUM(
    FILTER(
      'Sprint 17'!O:O,
      ('Sprint 17'!E:E = ""Moss : Kittapath Sangvikukit"") *
      (LEFT('Sprint 17'!B:B,9) = ""DEVRDECOM"")
    )
  ),
0)"),0.0)</f>
        <v>0</v>
      </c>
      <c r="M26" s="99">
        <f>IFERROR(__xludf.DUMMYFUNCTION("IFERROR(
  SUM(
    FILTER(
      'Sprint 17'!O:O,
      ('Sprint 17'!E:E = ""Arm:Worawat Chotipongchoawalit"") *
      (LEFT('Sprint 17'!B:B,9) = ""DEVRDECOM"")
    )
  ),
0)"),0.0)</f>
        <v>0</v>
      </c>
    </row>
    <row r="27" ht="32.25" customHeight="1">
      <c r="A27" s="101" t="s">
        <v>4667</v>
      </c>
      <c r="B27" s="99">
        <f>IFERROR(__xludf.DUMMYFUNCTION("IFERROR(
  SUM(
    FILTER(
      'Sprint 17'!O:O,
      ('Sprint 17'!E:E = ""Aek:Atiphat Nanthachitvanich"") *
      (LEFT('Sprint 17'!B:B,7) = ""DEVRDCT"")
    )
  ),
0)"),0.0)</f>
        <v>0</v>
      </c>
      <c r="C27" s="99">
        <f>IFERROR(__xludf.DUMMYFUNCTION("IFERROR(
  SUM(
    FILTER(
      'Sprint 17'!O:O,
      ('Sprint 17'!E:E = ""Zan : Isarapong Bulan"") *
      (LEFT('Sprint 17'!B:B,7) = ""DEVRDCT"")
    )
  ),
0)"),0.0)</f>
        <v>0</v>
      </c>
      <c r="D27" s="99">
        <f>IFERROR(__xludf.DUMMYFUNCTION("IFERROR(
  SUM(
    FILTER(
      'Sprint 17'!O:O,
      ('Sprint 17'!E:E = ""Aom: Pornsawan Polnyiem"") *
      (LEFT('Sprint 17'!B:B,7) = ""DEVRDCT"")
    )
  ),
0)"),0.0)</f>
        <v>0</v>
      </c>
      <c r="E27" s="99">
        <f>IFERROR(__xludf.DUMMYFUNCTION("IFERROR(
  SUM(
    FILTER(
      'Sprint 17'!O:O,
      ('Sprint 17'!E:E = ""Jack: Warin Kesorn"") *
      (LEFT('Sprint 17'!B:B,7) = ""DEVRDCT"")
    )
  ),
0)"),0.0)</f>
        <v>0</v>
      </c>
      <c r="F27" s="99">
        <f>IFERROR(__xludf.DUMMYFUNCTION("IFERROR(
  SUM(
    FILTER(
      'Sprint 17'!O:O,
      ('Sprint 17'!E:E = ""A:Phongthorn"") *
      (LEFT('Sprint 17'!B:B,7) = ""DEVRDCT"")
    )
  ),
0)"),0.0)</f>
        <v>0</v>
      </c>
      <c r="G27" s="99">
        <f>IFERROR(__xludf.DUMMYFUNCTION("IFERROR(
  SUM(
    FILTER(
      'Sprint 17'!O:O,
      ('Sprint 17'!E:E = ""Art: Narupontp"") *
      (LEFT('Sprint 17'!B:B,7) = ""DEVRDCT"")
    )
  ),
0)"),0.0)</f>
        <v>0</v>
      </c>
      <c r="H27" s="99">
        <f>IFERROR(__xludf.DUMMYFUNCTION("IFERROR(
  SUM(
    FILTER(
      'Sprint 17'!O:O,
      ('Sprint 17'!E:E = ""Mai:Sateta Abvanawong"") *
      (LEFT('Sprint 17'!B:B,7) = ""DEVRDCT"")
    )
  ),
0)"),0.0)</f>
        <v>0</v>
      </c>
      <c r="I27" s="99">
        <f>IFERROR(__xludf.DUMMYFUNCTION("IFERROR(
  SUM(
    FILTER(
      'Sprint 17'!O:O,
      ('Sprint 17'!E:E = ""Moss : Kittapath Sangvikukit"") *
      (LEFT('Sprint 17'!B:B,7) = ""DEVRDCT"")
    )
  ),
0)"),2.0)</f>
        <v>2</v>
      </c>
      <c r="J27" s="99">
        <f>IFERROR(__xludf.DUMMYFUNCTION("IFERROR(
  SUM(
    FILTER(
      'Sprint 17'!O:O,
      ('Sprint 17'!E:E = ""Mac: Jarupong Pawichpongkul"") *
      (LEFT('Sprint 17'!B:B,7) = ""DEVRDCT"")
    )
  ),
0)"),0.0)</f>
        <v>0</v>
      </c>
      <c r="K27" s="99">
        <f>IFERROR(__xludf.DUMMYFUNCTION("IFERROR(
  SUM(
    FILTER(
      'Sprint 17'!O:O,
      ('Sprint 17'!E:E = ""Moss : Kittapath Sangvikukit"") *
      (LEFT('Sprint 17'!B:B,7) = ""DEVRDCT"")
    )
  ),
0)"),2.0)</f>
        <v>2</v>
      </c>
      <c r="L27" s="99">
        <f>IFERROR(__xludf.DUMMYFUNCTION("IFERROR(
  SUM(
    FILTER(
      'Sprint 17'!O:O,
      ('Sprint 17'!E:E = ""Moss : Kittapath Sangvikukit"") *
      (LEFT('Sprint 17'!B:B,7) = ""DEVRDCT"")
    )
  ),
0)"),2.0)</f>
        <v>2</v>
      </c>
      <c r="M27" s="99">
        <f>IFERROR(__xludf.DUMMYFUNCTION("IFERROR(
  SUM(
    FILTER(
      'Sprint 17'!O:O,
      ('Sprint 17'!E:E = ""Arm:Worawat Chotipongchoawalit"") *
      (LEFT('Sprint 17'!B:B,7) = ""DEVRDCT"")
    )
  ),
0)"),0.0)</f>
        <v>0</v>
      </c>
    </row>
    <row r="28" ht="22.5" customHeight="1">
      <c r="A28" s="101" t="s">
        <v>4668</v>
      </c>
      <c r="B28" s="99">
        <f>IFERROR(__xludf.DUMMYFUNCTION("IFERROR(
  SUM(
    FILTER(
      'Sprint 17'!O:O,
      ('Sprint 17'!E:E = ""Aek:Atiphat Nanthachitvanich"") *
      (LEFT('Sprint 17'!B:B,8) = ""DEVRDADJ"")
    )
  ),
0)"),0.0)</f>
        <v>0</v>
      </c>
      <c r="C28" s="99">
        <f>IFERROR(__xludf.DUMMYFUNCTION("IFERROR(
  SUM(
    FILTER(
      'Sprint 17'!O:O,
      ('Sprint 17'!E:E = ""Zan : Isarapong Bulan"") *
      (LEFT('Sprint 17'!B:B,8) = ""DEVRDADJ"")
    )
  ),
0)"),0.0)</f>
        <v>0</v>
      </c>
      <c r="D28" s="99">
        <f>IFERROR(__xludf.DUMMYFUNCTION("IFERROR(
  SUM(
    FILTER(
      'Sprint 17'!O:O,
      ('Sprint 17'!E:E = ""Aom: Pornsawan Polnyiem"") *
      (LEFT('Sprint 17'!B:B,8) = ""DEVRDADJ"")
    )
  ),
0)"),0.0)</f>
        <v>0</v>
      </c>
      <c r="E28" s="99">
        <f>IFERROR(__xludf.DUMMYFUNCTION("IFERROR(
  SUM(
    FILTER(
      'Sprint 17'!O:O,
      ('Sprint 17'!E:E = ""Jack: Warin Kesorn"") *
      (LEFT('Sprint 17'!B:B,8) = ""DEVRDADJ"")
    )
  ),
0)"),0.0)</f>
        <v>0</v>
      </c>
      <c r="F28" s="99">
        <f>IFERROR(__xludf.DUMMYFUNCTION("IFERROR(
  SUM(
    FILTER(
      'Sprint 17'!O:O,
      ('Sprint 17'!E:E = ""A:Phongthorn"") *
      (LEFT('Sprint 17'!B:B,8) = ""DEVRDADJ"")
    )
  ),
0)"),0.0)</f>
        <v>0</v>
      </c>
      <c r="G28" s="99">
        <f>IFERROR(__xludf.DUMMYFUNCTION("IFERROR(
  SUM(
    FILTER(
      'Sprint 17'!O:O,
      ('Sprint 17'!E:E = ""Art: Narupontp"") *
      (LEFT('Sprint 17'!B:B,8) = ""DEVRDADJ"")
    )
  ),
0)"),0.0)</f>
        <v>0</v>
      </c>
      <c r="H28" s="99">
        <f>IFERROR(__xludf.DUMMYFUNCTION("IFERROR(
  SUM(
    FILTER(
      'Sprint 17'!O:O,
      ('Sprint 17'!E:E = ""Mai:Sateta Abvanawong"") *
      (LEFT('Sprint 17'!B:B,8) = ""DEVRDADJ"")
    )
  ),
0)"),0.0)</f>
        <v>0</v>
      </c>
      <c r="I28" s="99">
        <f>IFERROR(__xludf.DUMMYFUNCTION("IFERROR(
  SUM(
    FILTER(
      'Sprint 17'!O:O,
      ('Sprint 17'!E:E = ""Kae: Pimonrath Jaiyen"") *
      (LEFT('Sprint 17'!B:B,8) = ""DEVRDADJ"")
    )
  ),
0)"),0.0)</f>
        <v>0</v>
      </c>
      <c r="J28" s="99">
        <f>IFERROR(__xludf.DUMMYFUNCTION("IFERROR(
  SUM(
    FILTER(
      'Sprint 17'!O:O,
      ('Sprint 17'!E:E = ""Mac: Jarupong Pawichpongkul"") *
      (LEFT('Sprint 17'!B:B,8) = ""DEVRDADJ"")
    )
  ),
0)"),0.0)</f>
        <v>0</v>
      </c>
      <c r="K28" s="99">
        <f>IFERROR(__xludf.DUMMYFUNCTION("IFERROR(
  SUM(
    FILTER(
      'Sprint 17'!O:O,
      ('Sprint 17'!E:E = ""Nim : muthita munmueang"") *
      (LEFT('Sprint 17'!B:B,8) = ""DEVRDADJ"")
    )
  ),
0)"),0.0)</f>
        <v>0</v>
      </c>
      <c r="L28" s="99">
        <f>IFERROR(__xludf.DUMMYFUNCTION("IFERROR(
  SUM(
    FILTER(
      'Sprint 17'!O:O,
      ('Sprint 17'!E:E = ""Moss : Kittapath Sangvikukit"") *
      (LEFT('Sprint 17'!B:B,8) = ""DEVRDADJ"")
    )
  ),
0)"),0.0)</f>
        <v>0</v>
      </c>
      <c r="M28" s="99">
        <f>IFERROR(__xludf.DUMMYFUNCTION("IFERROR(
  SUM(
    FILTER(
      'Sprint 17'!O:O,
      ('Sprint 17'!E:E = ""Arm:Worawat Chotipongchoawalit"") *
      (LEFT('Sprint 17'!B:B,8) = ""DEVRDADJ"")
    )
  ),
0)"),0.0)</f>
        <v>0</v>
      </c>
    </row>
    <row r="29">
      <c r="A29" s="101" t="s">
        <v>4669</v>
      </c>
      <c r="B29" s="101">
        <f>IFERROR(__xludf.DUMMYFUNCTION("IFERROR(
  SUM(
    FILTER(
      'Sprint 17'!O:O,
      ('Sprint 17'!E:E = ""Aek:Atiphat Nanthachitvanich"") *
      (LEFT('Sprint 17'!B:B,5) = ""RDAPS"")
    )
  ),
0)"),0.0)</f>
        <v>0</v>
      </c>
      <c r="C29" s="99">
        <f>IFERROR(__xludf.DUMMYFUNCTION("IFERROR(
  SUM(
    FILTER(
      'Sprint 17'!O:O,
      ('Sprint 17'!E:E = ""Zan : Isarapong Bulan"") *
      (LEFT('Sprint 17'!B:B,5) = ""RDAPS"")
    )
  ),
0)"),2.0)</f>
        <v>2</v>
      </c>
      <c r="D29" s="99">
        <f>IFERROR(__xludf.DUMMYFUNCTION("IFERROR(
  SUM(
    FILTER(
      'Sprint 17'!O:O,
      ('Sprint 17'!E:E = ""Aom: Pornsawan Polnyiem"") *
      (LEFT('Sprint 17'!B:B,5) = ""RDAPS"")
    )
  ),
0)"),9.0)</f>
        <v>9</v>
      </c>
      <c r="E29" s="99">
        <f>IFERROR(__xludf.DUMMYFUNCTION("IFERROR(
  SUM(
    FILTER(
      'Sprint 17'!O:O,
      ('Sprint 17'!E:E = ""Jack: Warin Kesorn"") *
      (LEFT('Sprint 17'!B:B,5) = ""RDAPS"")
    )
  ),
0)"),0.0)</f>
        <v>0</v>
      </c>
      <c r="F29" s="99">
        <f>IFERROR(__xludf.DUMMYFUNCTION("IFERROR(
  SUM(
    FILTER(
      'Sprint 17'!O:O,
      ('Sprint 17'!E:E = ""A:Phongthorn"") *
      (LEFT('Sprint 17'!B:B,5) = ""RDAPS"")
    )
  ),
0)"),0.0)</f>
        <v>0</v>
      </c>
      <c r="G29" s="99">
        <f>IFERROR(__xludf.DUMMYFUNCTION("IFERROR(
  SUM(
    FILTER(
      'Sprint 17'!O:O,
      ('Sprint 17'!E:E = ""Art: Narupontp"") *
      (LEFT('Sprint 17'!B:B,5) = ""RDAPS"")
    )
  ),
0)"),0.0)</f>
        <v>0</v>
      </c>
      <c r="H29" s="99">
        <f>IFERROR(__xludf.DUMMYFUNCTION("IFERROR(
  SUM(
    FILTER(
      'Sprint 17'!O:O,
      ('Sprint 17'!E:E = ""Mai:Sateta Abvanawong"") *
      (LEFT('Sprint 17'!B:B,5) = ""RDAPS"")
    )
  ),
0)"),1.0)</f>
        <v>1</v>
      </c>
      <c r="I29" s="99">
        <f>IFERROR(__xludf.DUMMYFUNCTION("IFERROR(
  SUM(
    FILTER(
      'Sprint 17'!O:O,
      ('Sprint 17'!E:E = ""Kae: Pimonrath Jaiyen"") *
      (LEFT('Sprint 17'!B:B,5) = ""RDAPS"")
    )
  ),
0)"),0.0)</f>
        <v>0</v>
      </c>
      <c r="J29" s="99">
        <f>IFERROR(__xludf.DUMMYFUNCTION("IFERROR(
  SUM(
    FILTER(
      'Sprint 17'!O:O,
      ('Sprint 17'!E:E = ""Mac: Jarupong Pawichpongkul"") *
      (LEFT('Sprint 17'!B:B,5) = ""RDAPS"")
    )
  ),
0)"),0.0)</f>
        <v>0</v>
      </c>
      <c r="K29" s="99">
        <f>IFERROR(__xludf.DUMMYFUNCTION("IFERROR(
  SUM(
    FILTER(
      'Sprint 17'!O:O,
      ('Sprint 17'!E:E = ""Moss : Kittapath Sangvikukitฃ"") *
      (LEFT('Sprint 17'!B:B,5) = ""RDAPS"")
    )
  ),
0)"),0.0)</f>
        <v>0</v>
      </c>
      <c r="L29" s="99">
        <f>IFERROR(__xludf.DUMMYFUNCTION("IFERROR(
  SUM(
    FILTER(
      'Sprint 17'!O:O,
      ('Sprint 17'!E:E = ""Moss : Kittapath Sangvikukit"") *
      (LEFT('Sprint 17'!B:B,5) = ""RDAPS"")
    )
  ),
0)"),0.0)</f>
        <v>0</v>
      </c>
      <c r="M29" s="99">
        <f>IFERROR(__xludf.DUMMYFUNCTION("IFERROR(
  SUM(
    FILTER(
      'Sprint 17'!O:O,
      ('Sprint 17'!E:E = ""Arm:Worawat Chotipongchoawalit"") *
      (LEFT('Sprint 17'!B:B,5) = ""RDAPS"")
    )
  ),
0)"),0.0)</f>
        <v>0</v>
      </c>
    </row>
    <row r="30" ht="21.0" customHeight="1">
      <c r="A30" s="101" t="s">
        <v>4670</v>
      </c>
      <c r="B30" s="101">
        <f>IFERROR(__xludf.DUMMYFUNCTION("IFERROR(
  SUM(
    FILTER(
      'Sprint 17'!O:O,
      ('Sprint 17'!E:E = ""Aek:Atiphat Nanthachitvanich"") *
      (LEFT('Sprint 17'!B:B,8) = ""DEVRDSUP"")
    )
  ),
0)"),0.0)</f>
        <v>0</v>
      </c>
      <c r="C30" s="99">
        <f>IFERROR(__xludf.DUMMYFUNCTION("IFERROR(
  SUM(
    FILTER(
      'Sprint 17'!O:O,
      ('Sprint 17'!E:E = ""Zan : Isarapong Bulan"") *
      (LEFT('Sprint 17'!B:B,8) = ""DEVRDSUP"")
    )
  ),
0)"),0.0)</f>
        <v>0</v>
      </c>
      <c r="D30" s="99">
        <f>IFERROR(__xludf.DUMMYFUNCTION("IFERROR(
  SUM(
    FILTER(
      'Sprint 17'!O:O,
      ('Sprint 17'!E:E = ""Aom: Pornsawan Polnyiem"") *
      (LEFT('Sprint 17'!B:B,8) = ""DEVRDSUP"")
    )
  ),
0)"),1.0)</f>
        <v>1</v>
      </c>
      <c r="E30" s="99">
        <f>IFERROR(__xludf.DUMMYFUNCTION("IFERROR(
  SUM(
    FILTER(
      'Sprint 17'!O:O,
      ('Sprint 17'!E:E = ""Jack: Warin Kesorn"") *
      (LEFT('Sprint 17'!B:B,8) = ""DEVRDSUP"")
    )
  ),
0)"),0.0)</f>
        <v>0</v>
      </c>
      <c r="F30" s="101">
        <f>IFERROR(__xludf.DUMMYFUNCTION("IFERROR(
  SUM(
    FILTER(
      'Sprint 17'!P:P,
      ('Sprint 17'!F:F = ""A:Phongthorn"") *
      (LEFT('Sprint 17'!C:C,8) = ""DEVRDSUP"")
    )
  ),
0)"),0.0)</f>
        <v>0</v>
      </c>
      <c r="G30" s="99">
        <f>IFERROR(__xludf.DUMMYFUNCTION("IFERROR(
  SUM(
    FILTER(
      'Sprint 17'!O:O,
      ('Sprint 17'!E:E = ""Art: Narupontp"") *
      (LEFT('Sprint 17'!B:B,8) = ""DEVRDSUP"")
    )
  ),
0)"),0.0)</f>
        <v>0</v>
      </c>
      <c r="H30" s="99">
        <f>IFERROR(__xludf.DUMMYFUNCTION("IFERROR(
  SUM(
    FILTER(
      'Sprint 17'!O:O,
      ('Sprint 17'!E:E = ""Mai:Sateta Abvanawong"") *
      (LEFT('Sprint 17'!B:B,8) = ""DEVRDSUP"")
    )
  ),
0)"),0.0)</f>
        <v>0</v>
      </c>
      <c r="I30" s="99">
        <f>IFERROR(__xludf.DUMMYFUNCTION("IFERROR(
  SUM(
    FILTER(
      'Sprint 17'!O:O,
      ('Sprint 17'!E:E = ""Kae: Pimonrath Jaiyen"") *
      (LEFT('Sprint 17'!B:B,8) = ""DEVRDSUP"")
    )
  ),
0)"),0.0)</f>
        <v>0</v>
      </c>
      <c r="J30" s="99">
        <f>IFERROR(__xludf.DUMMYFUNCTION("IFERROR(
  SUM(
    FILTER(
      'Sprint 17'!O:O,
      ('Sprint 17'!E:E = ""Mac: Jarupong Pawichpongkul"") *
      (LEFT('Sprint 17'!B:B,8) = ""DEVRDSUP"")
    )
  ),
0)"),0.0)</f>
        <v>0</v>
      </c>
      <c r="K30" s="99">
        <f>IFERROR(__xludf.DUMMYFUNCTION("IFERROR(
  SUM(
    FILTER(
      'Sprint 17'!O:O,
      ('Sprint 17'!E:E = ""Nim : muthita munmueang"") *
      (LEFT('Sprint 17'!B:B,8) = ""DEVRDSUP"")
    )
  ),
0)"),0.0)</f>
        <v>0</v>
      </c>
      <c r="L30" s="99">
        <f>IFERROR(__xludf.DUMMYFUNCTION("IFERROR(
  SUM(
    FILTER(
      'Sprint 17'!O:O,
      ('Sprint 17'!E:E = ""Moss : Kittapath Sangvikukit"") *
      (LEFT('Sprint 17'!B:B,8) = ""DEVRDSUP"")
    )
  ),
0)"),0.0)</f>
        <v>0</v>
      </c>
      <c r="M30" s="99">
        <f>IFERROR(__xludf.DUMMYFUNCTION("IFERROR(
  SUM(
    FILTER(
      'Sprint 17'!O:O,
      ('Sprint 17'!E:E = ""Arm:Worawat Chotipongchoawalit"") *
      (LEFT('Sprint 17'!B:B,8) = ""DEVRDSUP"")
    )
  ),
0)"),0.0)</f>
        <v>0</v>
      </c>
    </row>
    <row r="31">
      <c r="C31" s="125"/>
    </row>
    <row r="32">
      <c r="C32" s="125"/>
    </row>
    <row r="33" ht="24.75" customHeight="1">
      <c r="A33" s="232"/>
      <c r="B33" s="233" t="s">
        <v>2210</v>
      </c>
      <c r="C33" s="234"/>
      <c r="D33" s="234"/>
      <c r="E33" s="235"/>
      <c r="F33" s="236" t="s">
        <v>2211</v>
      </c>
      <c r="G33" s="234"/>
      <c r="H33" s="235"/>
      <c r="I33" s="242" t="s">
        <v>3615</v>
      </c>
      <c r="J33" s="234"/>
      <c r="K33" s="234"/>
      <c r="L33" s="234"/>
      <c r="M33" s="235"/>
    </row>
    <row r="34" ht="20.25" customHeight="1">
      <c r="A34" s="239" t="s">
        <v>3618</v>
      </c>
      <c r="B34" s="243" t="s">
        <v>30</v>
      </c>
      <c r="C34" s="243" t="s">
        <v>24</v>
      </c>
      <c r="D34" s="243" t="s">
        <v>72</v>
      </c>
      <c r="E34" s="243" t="s">
        <v>28</v>
      </c>
      <c r="F34" s="243" t="s">
        <v>32</v>
      </c>
      <c r="G34" s="243" t="s">
        <v>3616</v>
      </c>
      <c r="H34" s="243" t="s">
        <v>73</v>
      </c>
      <c r="I34" s="243" t="s">
        <v>3617</v>
      </c>
      <c r="J34" s="243" t="s">
        <v>74</v>
      </c>
      <c r="K34" s="243" t="s">
        <v>76</v>
      </c>
      <c r="L34" s="243" t="s">
        <v>75</v>
      </c>
      <c r="M34" s="243" t="s">
        <v>77</v>
      </c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</row>
    <row r="35">
      <c r="A35" s="101" t="s">
        <v>4665</v>
      </c>
      <c r="B35" s="99">
        <f>IFERROR(__xludf.DUMMYFUNCTION("ROUND(
  IFERROR(
    SUM(
      FILTER(
        'Sprint 17'!S:S,
        ('Sprint 17'!E:E = ""Aek:Atiphat Nanthachitvanich"") *
        (LEFT('Sprint 17'!B:B,7) = ""RDTHANA"")
      )
    ) / 3600,
    0
  ),
  2
)"),0.0)</f>
        <v>0</v>
      </c>
      <c r="C35" s="99">
        <f>IFERROR(__xludf.DUMMYFUNCTION("ROUND(
  IFERROR(
    SUM(
      FILTER(
        'Sprint 17'!S:S,
        ('Sprint 17'!E:E = ""Zan : Isarapong Bulan"") *
        (LEFT('Sprint 17'!B:B,7) = ""RDTHANA"")
      )
    ) / 3600,
    0
  ),
  2
)"),0.0)</f>
        <v>0</v>
      </c>
      <c r="D35" s="99">
        <f>IFERROR(__xludf.DUMMYFUNCTION("ROUND(
  IFERROR(
    SUM(
      FILTER(
        'Sprint 17'!S:S,
        ('Sprint 17'!E:E = ""Aom: Pornsawan Polnyiem"") *
        (LEFT('Sprint 17'!B:B,7) = ""RDTHANA"")
      )
    ) / 3600,
    0
  ),
  2
)"),0.0)</f>
        <v>0</v>
      </c>
      <c r="E35" s="99">
        <f>IFERROR(__xludf.DUMMYFUNCTION("ROUND(
  IFERROR(
    SUM(
      FILTER(
        'Sprint 17'!S:S,
        ('Sprint 17'!E:E = ""Jack: Warin Kesorn"") *
        (LEFT('Sprint 17'!B:B,7) = ""RDTHANA"")
      )
    ) / 3600,
    0
  ),
  2
)"),0.0)</f>
        <v>0</v>
      </c>
      <c r="F35" s="99">
        <f>IFERROR(__xludf.DUMMYFUNCTION("ROUND(
  IFERROR(
    SUM(
      FILTER(
        'Sprint 17'!S:S,
        ('Sprint 17'!E:E = ""A:Phongthorn"") *
        (LEFT('Sprint 17'!B:B,7) = ""RDTHANA"")
      )
    ) / 3600,
    0
  ),
  2
)"),0.0)</f>
        <v>0</v>
      </c>
      <c r="G35" s="99">
        <f>IFERROR(__xludf.DUMMYFUNCTION("ROUND(
  IFERROR(
    SUM(
      FILTER(
        'Sprint 17'!S:S,
        ('Sprint 17'!E:E = ""Art: Narupontp"") *
        (LEFT('Sprint 17'!B:B,7) = ""RDTHANA"")
      )
    ) / 3600,
    0
  ),
  2
)"),0.0)</f>
        <v>0</v>
      </c>
      <c r="H35" s="99">
        <f>IFERROR(__xludf.DUMMYFUNCTION("ROUND(
  IFERROR(
    SUM(
      FILTER(
        'Sprint 17'!S:S,
        ('Sprint 17'!E:E = ""Mai:Sateta Abvanawong"") *
        (LEFT('Sprint 17'!B:B,7) = ""RDTHANA"")
      )
    ) / 3600,
    0
  ),
  2
)"),0.0)</f>
        <v>0</v>
      </c>
      <c r="I35" s="99">
        <f>IFERROR(__xludf.DUMMYFUNCTION("ROUND(
  IFERROR(
    SUM(
      FILTER(
        'Sprint 17'!S:S,
        ('Sprint 17'!E:E = ""Kae: Pimonrath Jaiyen"") *
        (LEFT('Sprint 17'!B:B,7) = ""RDTHANA"")
      )
    ) / 3600,
    0
  ),
  2
)"),0.0)</f>
        <v>0</v>
      </c>
      <c r="J35" s="99">
        <f>IFERROR(__xludf.DUMMYFUNCTION("ROUND(
  IFERROR(
    SUM(
      FILTER(
        'Sprint 17'!S:S,
        ('Sprint 17'!E:E = ""Mac: Jarupong Pawichpongkul"") *
        (LEFT('Sprint 17'!B:B,7) = ""RDTHANA"")
      )
    ) / 3600,
    0
  ),
  2
)"),0.0)</f>
        <v>0</v>
      </c>
      <c r="K35" s="99">
        <f>IFERROR(__xludf.DUMMYFUNCTION("ROUND(
  IFERROR(
    SUM(
      FILTER(
        'Sprint 17'!S:S,
        ('Sprint 17'!E:E = ""Nim : muthita munmueang"") *
        (LEFT('Sprint 17'!B:B,7) = ""RDTHANA"")
      )
    ) / 3600,
    0
  ),
  2
)"),0.0)</f>
        <v>0</v>
      </c>
      <c r="L35" s="99">
        <f>IFERROR(__xludf.DUMMYFUNCTION("ROUND(
  IFERROR(
    SUM(
      FILTER(
        'Sprint 17'!S:S,
        ('Sprint 17'!E:E = ""Moss : Kittapath Sangvikukit"") *
        (LEFT('Sprint 17'!B:B,7) = ""RDTHANA"")
      )
    ) / 3600,
    0
  ),
  2
)"),0.0)</f>
        <v>0</v>
      </c>
      <c r="M35" s="99">
        <f>IFERROR(__xludf.DUMMYFUNCTION("ROUND(
  IFERROR(
    SUM(
      FILTER(
        'Sprint 17'!S:S,
        ('Sprint 17'!E:E = ""Arm:Worawat Chotipongchoawalit"") *
        (LEFT('Sprint 17'!B:B,7) = ""RDTHANA"")
      )
    ) / 3600,
    0
  ),
  2
)"),0.0)</f>
        <v>0</v>
      </c>
    </row>
    <row r="36">
      <c r="A36" s="101" t="s">
        <v>4666</v>
      </c>
      <c r="B36" s="99">
        <f>IFERROR(__xludf.DUMMYFUNCTION("ROUND(
  IFERROR(
    SUM(
      FILTER(
        'Sprint 17'!S:S,
        ('Sprint 17'!E:E = ""Aek:Atiphat Nanthachitvanich"") *
        (LEFT('Sprint 17'!B:B,9) = ""DEVRDECOM"")
      )
    ) / 3600,
    0
  ),
  2
)"),0.0)</f>
        <v>0</v>
      </c>
      <c r="C36" s="99">
        <f>IFERROR(__xludf.DUMMYFUNCTION("ROUND(
  IFERROR(
    SUM(
      FILTER(
        'Sprint 17'!S:S,
        ('Sprint 17'!E:E = ""Zan : Isarapong Bulan"") *
        (LEFT('Sprint 17'!B:B,9) = ""DEVRDECOM"")
      )
    ) / 3600,
    0
  ),
  2
)"),0.0)</f>
        <v>0</v>
      </c>
      <c r="D36" s="99">
        <f>IFERROR(__xludf.DUMMYFUNCTION("ROUND(
  IFERROR(
    SUM(
      FILTER(
        'Sprint 17'!S:S,
        ('Sprint 17'!E:E = ""Aom: Pornsawan Polnyiem"") *
        (LEFT('Sprint 17'!B:B,9) = ""DEVRDECOM"")
      )
    ) / 3600,
    0
  ),
  2
)"),0.0)</f>
        <v>0</v>
      </c>
      <c r="E36" s="99">
        <f>IFERROR(__xludf.DUMMYFUNCTION("ROUND(
  IFERROR(
    SUM(
      FILTER(
        'Sprint 17'!S:S,
        ('Sprint 17'!E:E = ""Jack: Warin Kesorn"") *
        (LEFT('Sprint 17'!B:B,9) = ""DEVRDECOM"")
      )
    ) / 3600,
    0
  ),
  2
)"),0.0)</f>
        <v>0</v>
      </c>
      <c r="F36" s="99">
        <f>IFERROR(__xludf.DUMMYFUNCTION("ROUND(
  IFERROR(
    SUM(
      FILTER(
        'Sprint 17'!S:S,
        ('Sprint 17'!E:E = ""A:Phongthorn"") *
        (LEFT('Sprint 17'!B:B,9) = ""DEVRDECOM"")
      )
    ) / 3600,
    0
  ),
  2
)"),0.0)</f>
        <v>0</v>
      </c>
      <c r="G36" s="99">
        <f>IFERROR(__xludf.DUMMYFUNCTION("ROUND(
  IFERROR(
    SUM(
      FILTER(
        'Sprint 17'!S:S,
        ('Sprint 17'!E:E = ""Art: Narupontp"") *
        (LEFT('Sprint 17'!B:B,9) = ""DEVRDECOM"")
      )
    ) / 3600,
    0
  ),
  2
)"),0.0)</f>
        <v>0</v>
      </c>
      <c r="H36" s="99">
        <f>IFERROR(__xludf.DUMMYFUNCTION("ROUND(
  IFERROR(
    SUM(
      FILTER(
        'Sprint 17'!S:S,
        ('Sprint 17'!E:E = ""Mai:Sateta Abvanawong"") *
        (LEFT('Sprint 17'!B:B,9) = ""DEVRDECOM"")
      )
    ) / 3600,
    0
  ),
  2
)"),0.0)</f>
        <v>0</v>
      </c>
      <c r="I36" s="99">
        <f>IFERROR(__xludf.DUMMYFUNCTION("ROUND(
  IFERROR(
    SUM(
      FILTER(
        'Sprint 17'!S:S,
        ('Sprint 17'!E:E = ""Kae: Pimonrath Jaiyen"") *
        (LEFT('Sprint 17'!B:B,9) = ""DEVRDECOM"")
      )
    ) / 3600,
    0
  ),
  2
)"),0.0)</f>
        <v>0</v>
      </c>
      <c r="J36" s="99">
        <f>IFERROR(__xludf.DUMMYFUNCTION("ROUND(
  IFERROR(
    SUM(
      FILTER(
        'Sprint 17'!S:S,
        ('Sprint 17'!E:E = ""Mac: Jarupong Pawichpongkul"") *
        (LEFT('Sprint 17'!B:B,9) = ""DEVRDECOM"")
      )
    ) / 3600,
    0
  ),
  2
)"),0.0)</f>
        <v>0</v>
      </c>
      <c r="K36" s="99">
        <f>IFERROR(__xludf.DUMMYFUNCTION("ROUND(
  IFERROR(
    SUM(
      FILTER(
        'Sprint 17'!S:S,
        ('Sprint 17'!E:E = ""Nim : muthita munmueang"") *
        (LEFT('Sprint 17'!B:B,9) = ""DEVRDECOM"")
      )
    ) / 3600,
    0
  ),
  2
)"),0.0)</f>
        <v>0</v>
      </c>
      <c r="L36" s="99">
        <f>IFERROR(__xludf.DUMMYFUNCTION("ROUND(
  IFERROR(
    SUM(
      FILTER(
        'Sprint 17'!S:S,
        ('Sprint 17'!E:E = ""Moss : Kittapath Sangvikukit"") *
        (LEFT('Sprint 17'!B:B,9) = ""DEVRDECOM"")
      )
    ) / 3600,
    0
  ),
  2
)"),0.0)</f>
        <v>0</v>
      </c>
      <c r="M36" s="99">
        <f>IFERROR(__xludf.DUMMYFUNCTION("ROUND(
  IFERROR(
    SUM(
      FILTER(
        'Sprint 17'!S:S,
        ('Sprint 17'!E:E = ""Arm:Worawat Chotipongchoawalit"") *
        (LEFT('Sprint 17'!B:B,9) = ""DEVRDECOM"")
      )
    ) / 3600,
    0
  ),
  2
)"),0.0)</f>
        <v>0</v>
      </c>
    </row>
    <row r="37" ht="32.25" customHeight="1">
      <c r="A37" s="101" t="s">
        <v>4667</v>
      </c>
      <c r="B37" s="99">
        <f>IFERROR(__xludf.DUMMYFUNCTION("ROUND(
  IFERROR(
    SUM(
      FILTER(
        'Sprint 17'!S:S,
        ('Sprint 17'!E:E = ""Aek:Atiphat Nanthachitvanich"") *
        (LEFT('Sprint 17'!B:B,7) = ""DEVRDCT"")
      )
    ) / 3600,
    0
  ),
  2
)"),0.0)</f>
        <v>0</v>
      </c>
      <c r="C37" s="99">
        <f>IFERROR(__xludf.DUMMYFUNCTION("ROUND(
  IFERROR(
    SUM(
      FILTER(
        'Sprint 17'!S:S,
        ('Sprint 17'!E:E = ""Zan : Isarapong Bulan"") *
        (LEFT('Sprint 17'!B:B,7) = ""DEVRDCT"")
      )
    ) / 3600,
    0
  ),
  2
)"),0.0)</f>
        <v>0</v>
      </c>
      <c r="D37" s="99">
        <f>IFERROR(__xludf.DUMMYFUNCTION("ROUND(
  IFERROR(
    SUM(
      FILTER(
        'Sprint 17'!S:S,
        ('Sprint 17'!E:E = ""Aom: Pornsawan Polnyiem"") *
        (LEFT('Sprint 17'!B:B,7) = ""DEVRDCT"")
      )
    ) / 3600,
    0
  ),
  2
)"),0.0)</f>
        <v>0</v>
      </c>
      <c r="E37" s="99">
        <f>IFERROR(__xludf.DUMMYFUNCTION("ROUND(
  IFERROR(
    SUM(
      FILTER(
        'Sprint 17'!S:S,
        ('Sprint 17'!E:E = ""Jack: Warin Kesorn"") *
        (LEFT('Sprint 17'!B:B,7) = ""DEVRDCT"")
      )
    ) / 3600,
    0
  ),
  2
)"),0.0)</f>
        <v>0</v>
      </c>
      <c r="F37" s="99">
        <f>IFERROR(__xludf.DUMMYFUNCTION("ROUND(
  IFERROR(
    SUM(
      FILTER(
        'Sprint 17'!S:S,
        ('Sprint 17'!E:E = ""A:Phongthorn"") *
        (LEFT('Sprint 17'!B:B,7) = ""DEVRDCT"")
      )
    ) / 3600,
    0
  ),
  2
)"),0.0)</f>
        <v>0</v>
      </c>
      <c r="G37" s="99">
        <f>IFERROR(__xludf.DUMMYFUNCTION("ROUND(
  IFERROR(
    SUM(
      FILTER(
        'Sprint 17'!S:S,
        ('Sprint 17'!E:E = ""Art: Narupontp"") *
        (LEFT('Sprint 17'!B:B,7) = ""DEVRDCT"")
      )
    ) / 3600,
    0
  ),
  2
)"),0.0)</f>
        <v>0</v>
      </c>
      <c r="H37" s="99">
        <f>IFERROR(__xludf.DUMMYFUNCTION("ROUND(
  IFERROR(
    SUM(
      FILTER(
        'Sprint 17'!S:S,
        ('Sprint 17'!E:E = ""Mai:Sateta Abvanawong"") *
        (LEFT('Sprint 17'!B:B,7) = ""DEVRDCT"")
      )
    ) / 3600,
    0
  ),
  2
)"),0.0)</f>
        <v>0</v>
      </c>
      <c r="I37" s="99">
        <f>IFERROR(__xludf.DUMMYFUNCTION("ROUND(
  IFERROR(
    SUM(
      FILTER(
        'Sprint 17'!S:S,
        ('Sprint 17'!E:E = ""Kae: Pimonrath Jaiyen"") *
        (LEFT('Sprint 17'!B:B,7) = ""DEVRDCT"")
      )
    ) / 3600,
    0
  ),
  2
)"),0.0)</f>
        <v>0</v>
      </c>
      <c r="J37" s="99">
        <f>IFERROR(__xludf.DUMMYFUNCTION("ROUND(
  IFERROR(
    SUM(
      FILTER(
        'Sprint 17'!S:S,
        ('Sprint 17'!E:E = ""Mac: Jarupong Pawichpongkul"") *
        (LEFT('Sprint 17'!B:B,7) = ""DEVRDCT"")
      )
    ) / 3600,
    0
  ),
  2
)"),0.0)</f>
        <v>0</v>
      </c>
      <c r="K37" s="99">
        <f>IFERROR(__xludf.DUMMYFUNCTION("ROUND(
  IFERROR(
    SUM(
      FILTER(
        'Sprint 17'!S:S,
        ('Sprint 17'!E:E = ""Nim : muthita munmueang"") *
        (LEFT('Sprint 17'!B:B,7) = ""DEVRDCT"")
      )
    ) / 3600,
    0
  ),
  2
)"),0.0)</f>
        <v>0</v>
      </c>
      <c r="L37" s="99">
        <f>IFERROR(__xludf.DUMMYFUNCTION("ROUND(
  IFERROR(
    SUM(
      FILTER(
        'Sprint 17'!S:S,
        ('Sprint 17'!E:E = ""Moss : Kittapath Sangvikukit"") *
        (LEFT('Sprint 17'!B:B,7) = ""DEVRDCT"")
      )
    ) / 3600,
    0
  ),
  2
)"),0.0)</f>
        <v>0</v>
      </c>
      <c r="M37" s="99">
        <f>IFERROR(__xludf.DUMMYFUNCTION("ROUND(
  IFERROR(
    SUM(
      FILTER(
        'Sprint 17'!S:S,
        ('Sprint 17'!E:E = ""Arm:Worawat Chotipongchoawalit"") *
        (LEFT('Sprint 17'!B:B,7) = ""DEVRDCT"")
      )
    ) / 3600,
    0
  ),
  2
)"),0.0)</f>
        <v>0</v>
      </c>
    </row>
    <row r="38" ht="22.5" customHeight="1">
      <c r="A38" s="101" t="s">
        <v>4668</v>
      </c>
      <c r="B38" s="99">
        <f>IFERROR(__xludf.DUMMYFUNCTION("ROUND(
  IFERROR(
    SUM(
      FILTER(
        'Sprint 17'!S:S,
        ('Sprint 17'!E:E = ""Aek:Atiphat Nanthachitvanich"") *
        (LEFT('Sprint 17'!B:B,8) = ""DEVRDADJ"")
      )
    ) / 3600,
    0
  ),
  2
)"),0.0)</f>
        <v>0</v>
      </c>
      <c r="C38" s="99">
        <f>IFERROR(__xludf.DUMMYFUNCTION("ROUND(
  IFERROR(
    SUM(
      FILTER(
        'Sprint 17'!S:S,
        ('Sprint 17'!E:E = ""Zan : Isarapong Bulan"") *
        (LEFT('Sprint 17'!B:B,8) = ""DEVRDADJ"")
      )
    ) / 3600,
    0
  ),
  2
)"),0.0)</f>
        <v>0</v>
      </c>
      <c r="D38" s="99">
        <f>IFERROR(__xludf.DUMMYFUNCTION("ROUND(
  IFERROR(
    SUM(
      FILTER(
        'Sprint 17'!S:S,
        ('Sprint 17'!E:E = ""Aom: Pornsawan Polnyiem"") *
        (LEFT('Sprint 17'!B:B,8) = ""DEVRDADJ"")
      )
    ) / 3600,
    0
  ),
  2
)"),0.0)</f>
        <v>0</v>
      </c>
      <c r="E38" s="99">
        <f>IFERROR(__xludf.DUMMYFUNCTION("ROUND(
  IFERROR(
    SUM(
      FILTER(
        'Sprint 17'!S:S,
        ('Sprint 17'!E:E = ""Jack: Warin Kesorn"") *
        (LEFT('Sprint 17'!B:B,8) = ""DEVRDADJ"")
      )
    ) / 3600,
    0
  ),
  2
)"),0.0)</f>
        <v>0</v>
      </c>
      <c r="F38" s="99">
        <f>IFERROR(__xludf.DUMMYFUNCTION("ROUND(
  IFERROR(
    SUM(
      FILTER(
        'Sprint 17'!S:S,
        ('Sprint 17'!E:E = ""A:Phongthorn"") *
        (LEFT('Sprint 17'!B:B,8) = ""DEVRDADJ"")
      )
    ) / 3600,
    0
  ),
  2
)"),0.0)</f>
        <v>0</v>
      </c>
      <c r="G38" s="99">
        <f>IFERROR(__xludf.DUMMYFUNCTION("ROUND(
  IFERROR(
    SUM(
      FILTER(
        'Sprint 17'!S:S,
        ('Sprint 17'!E:E = ""Aek:Atiphat Nanthachitvanich"") *
        (LEFT('Sprint 17'!B:B,8) = ""DEVRDADJ"")
      )
    ) / 3600,
    0
  ),
  2
)"),0.0)</f>
        <v>0</v>
      </c>
      <c r="H38" s="99">
        <f>IFERROR(__xludf.DUMMYFUNCTION("ROUND(
  IFERROR(
    SUM(
      FILTER(
        'Sprint 17'!S:S,
        ('Sprint 17'!E:E = ""Mai:Sateta Abvanawong"") *
        (LEFT('Sprint 17'!B:B,8) = ""DEVRDADJ"")
      )
    ) / 3600,
    0
  ),
  2
)"),0.0)</f>
        <v>0</v>
      </c>
      <c r="I38" s="99">
        <f>IFERROR(__xludf.DUMMYFUNCTION("ROUND(
  IFERROR(
    SUM(
      FILTER(
        'Sprint 17'!S:S,
        ('Sprint 17'!E:E = ""Kae: Pimonrath Jaiyen"") *
        (LEFT('Sprint 17'!B:B,8) = ""DEVRDADJ"")
      )
    ) / 3600,
    0
  ),
  2
)"),0.0)</f>
        <v>0</v>
      </c>
      <c r="J38" s="99">
        <f>IFERROR(__xludf.DUMMYFUNCTION("ROUND(
  IFERROR(
    SUM(
      FILTER(
        'Sprint 17'!S:S,
        ('Sprint 17'!E:E = ""Mac: Jarupong Pawichpongkul"") *
        (LEFT('Sprint 17'!B:B,8) = ""DEVRDADJ"")
      )
    ) / 3600,
    0
  ),
  2
)"),0.0)</f>
        <v>0</v>
      </c>
      <c r="K38" s="99">
        <f>IFERROR(__xludf.DUMMYFUNCTION("ROUND(
  IFERROR(
    SUM(
      FILTER(
        'Sprint 17'!S:S,
        ('Sprint 17'!E:E = ""Aek:Atiphat Nanthachitvanich"") *
        (LEFT('Sprint 17'!B:B,8) = ""DEVRDADJ"")
      )
    ) / 3600,
    0
  ),
  2
)"),0.0)</f>
        <v>0</v>
      </c>
      <c r="L38" s="99">
        <f>IFERROR(__xludf.DUMMYFUNCTION("ROUND(
  IFERROR(
    SUM(
      FILTER(
        'Sprint 17'!S:S,
        ('Sprint 17'!E:E = ""Moss : Kittapath Sangvikukit"") *
        (LEFT('Sprint 17'!B:B,8) = ""DEVRDADJ"")
      )
    ) / 3600,
    0
  ),
  2
)"),0.0)</f>
        <v>0</v>
      </c>
      <c r="M38" s="99">
        <f>IFERROR(__xludf.DUMMYFUNCTION("ROUND(
  IFERROR(
    SUM(
      FILTER(
        'Sprint 17'!S:S,
        ('Sprint 17'!E:E = ""Arm:Worawat Chotipongchoawalit"") *
        (LEFT('Sprint 17'!B:B,8) = ""DEVRDADJ"")
      )
    ) / 3600,
    0
  ),
  2
)"),0.0)</f>
        <v>0</v>
      </c>
    </row>
    <row r="39">
      <c r="A39" s="101" t="s">
        <v>4669</v>
      </c>
      <c r="B39" s="101">
        <f>IFERROR(__xludf.DUMMYFUNCTION("ROUND(
  IFERROR(
    SUM(
      FILTER(
        'Sprint 17'!S:S,
        ('Sprint 17'!E:E = ""Aek:Atiphat Nanthachitvanich"") *
        (LEFT('Sprint 17'!B:B,5) = ""RDAPS"")
      )
    ) / 3600,
    0
  ),
  2
)"),0.0)</f>
        <v>0</v>
      </c>
      <c r="C39" s="99">
        <f>IFERROR(__xludf.DUMMYFUNCTION("ROUND(
  IFERROR(
    SUM(
      FILTER(
        'Sprint 17'!S:S,
        ('Sprint 17'!E:E = ""Zan : Isarapong Bulan"") *
        (LEFT('Sprint 17'!B:B,5) = ""RDAPS"")
      )
    ) / 3600,
    0
  ),
  2
)"),0.0)</f>
        <v>0</v>
      </c>
      <c r="D39" s="99">
        <f>IFERROR(__xludf.DUMMYFUNCTION("ROUND(
  IFERROR(
    SUM(
      FILTER(
        'Sprint 17'!S:S,
        ('Sprint 17'!E:E = ""Aom: Pornsawan Polnyiem"") *
        (LEFT('Sprint 17'!B:B,5) = ""RDAPS"")
      )
    ) / 3600,
    0
  ),
  2
)"),0.0)</f>
        <v>0</v>
      </c>
      <c r="E39" s="99">
        <f>IFERROR(__xludf.DUMMYFUNCTION("ROUND(
  IFERROR(
    SUM(
      FILTER(
        'Sprint 17'!S:S,
        ('Sprint 17'!E:E = ""Jack: Warin Kesorn"") *
        (LEFT('Sprint 17'!B:B,5) = ""RDAPS"")
      )
    ) / 3600,
    0
  ),
  2
)"),0.0)</f>
        <v>0</v>
      </c>
      <c r="F39" s="99">
        <f>IFERROR(__xludf.DUMMYFUNCTION("ROUND(
  IFERROR(
    SUM(
      FILTER(
        'Sprint 17'!S:S,
        ('Sprint 17'!E:E = ""A:Phongthorn"") *
        (LEFT('Sprint 17'!B:B,5) = ""RDAPS"")
      )
    ) / 3600,
    0
  ),
  2
)"),0.0)</f>
        <v>0</v>
      </c>
      <c r="G39" s="99">
        <f>IFERROR(__xludf.DUMMYFUNCTION("ROUND(
  IFERROR(
    SUM(
      FILTER(
        'Sprint 17'!S:S,
        ('Sprint 17'!E:E = ""Art: Narupontp"") *
        (LEFT('Sprint 17'!B:B,5) = ""RDAPS"")
      )
    ) / 3600,
    0
  ),
  2
)"),0.0)</f>
        <v>0</v>
      </c>
      <c r="H39" s="99">
        <f>IFERROR(__xludf.DUMMYFUNCTION("ROUND(
  IFERROR(
    SUM(
      FILTER(
        'Sprint 17'!S:S,
        ('Sprint 17'!E:E = ""Mai:Sateta Abvanawong"") *
        (LEFT('Sprint 17'!B:B,5) = ""RDAPS"")
      )
    ) / 3600,
    0
  ),
  2
)"),0.0)</f>
        <v>0</v>
      </c>
      <c r="I39" s="99">
        <f>IFERROR(__xludf.DUMMYFUNCTION("ROUND(
  IFERROR(
    SUM(
      FILTER(
        'Sprint 17'!S:S,
        ('Sprint 17'!E:E = ""Kae: Pimonrath Jaiyen"") *
        (LEFT('Sprint 17'!B:B,5) = ""RDAPS"")
      )
    ) / 3600,
    0
  ),
  2
)"),0.0)</f>
        <v>0</v>
      </c>
      <c r="J39" s="99">
        <f>IFERROR(__xludf.DUMMYFUNCTION("ROUND(
  IFERROR(
    SUM(
      FILTER(
        'Sprint 17'!S:S,
        ('Sprint 17'!E:E = ""Mac: Jarupong Pawichpongkul"") *
        (LEFT('Sprint 17'!B:B,5) = ""RDAPS"")
      )
    ) / 3600,
    0
  ),
  2
)"),0.0)</f>
        <v>0</v>
      </c>
      <c r="K39" s="99">
        <f>IFERROR(__xludf.DUMMYFUNCTION("ROUND(
  IFERROR(
    SUM(
      FILTER(
        'Sprint 17'!S:S,
        ('Sprint 17'!E:E = ""Nim : muthita munmueang"") *
        (LEFT('Sprint 17'!B:B,5) = ""RDAPS"")
      )
    ) / 3600,
    0
  ),
  2
)"),0.0)</f>
        <v>0</v>
      </c>
      <c r="L39" s="99">
        <f>IFERROR(__xludf.DUMMYFUNCTION("ROUND(
  IFERROR(
    SUM(
      FILTER(
        'Sprint 17'!S:S,
        ('Sprint 17'!E:E = ""Moss : Kittapath Sangvikukit"") *
        (LEFT('Sprint 17'!B:B,5) = ""RDAPS"")
      )
    ) / 3600,
    0
  ),
  2
)"),0.0)</f>
        <v>0</v>
      </c>
      <c r="M39" s="99">
        <f>IFERROR(__xludf.DUMMYFUNCTION("ROUND(
  IFERROR(
    SUM(
      FILTER(
        'Sprint 17'!S:S,
        ('Sprint 17'!E:E = ""Arm:Worawat Chotipongchoawalit"") *
        (LEFT('Sprint 17'!B:B,5) = ""RDAPS"")
      )
    ) / 3600,
    0
  ),
  2
)"),0.0)</f>
        <v>0</v>
      </c>
    </row>
    <row r="40" ht="21.0" customHeight="1">
      <c r="A40" s="101" t="s">
        <v>4670</v>
      </c>
      <c r="B40" s="101">
        <f>IFERROR(__xludf.DUMMYFUNCTION("ROUND(
  IFERROR(
    SUM(
      FILTER(
        'Sprint 17'!S:S,
        ('Sprint 17'!E:E = ""Aek:Atiphat Nanthachitvanich"") *
        (LEFT('Sprint 17'!B:B,8) = ""DEVRDSUP"")
      )
    ) / 3600,
    0
  ),
  2
)"),0.0)</f>
        <v>0</v>
      </c>
      <c r="C40" s="99">
        <f>IFERROR(__xludf.DUMMYFUNCTION("ROUND(
  IFERROR(
    SUM(
      FILTER(
        'Sprint 17'!S:S,
        ('Sprint 17'!E:E = ""Zan : Isarapong Bulan"") *
        (LEFT('Sprint 17'!B:B,8) = ""DEVRDSUP"")
      )
    ) / 3600,
    0
  ),
  2
)"),0.0)</f>
        <v>0</v>
      </c>
      <c r="D40" s="99">
        <f>IFERROR(__xludf.DUMMYFUNCTION("ROUND(
  IFERROR(
    SUM(
      FILTER(
        'Sprint 17'!S:S,
        ('Sprint 17'!E:E = ""Aom: Pornsawan Polnyiem"") *
        (LEFT('Sprint 17'!B:B,8) = ""DEVRDSUP"")
      )
    ) / 3600,
    0
  ),
  2
)"),0.17)</f>
        <v>0.17</v>
      </c>
      <c r="E40" s="99">
        <f>IFERROR(__xludf.DUMMYFUNCTION("ROUND(
  IFERROR(
    SUM(
      FILTER(
        'Sprint 17'!S:S,
        ('Sprint 17'!E:E = ""Jack: Warin Kesorn"") *
        (LEFT('Sprint 17'!B:B,8) = ""DEVRDSUP"")
      )
    ) / 3600,
    0
  ),
  2
)"),0.0)</f>
        <v>0</v>
      </c>
      <c r="F40" s="101">
        <f>IFERROR(__xludf.DUMMYFUNCTION("ROUND(
  IFERROR(
    SUM(
      FILTER(
        'Sprint 17'!S:S,
        ('Sprint 17'!E:E = ""A:Phongthorn"") *
        (LEFT('Sprint 17'!B:B,8) = ""DEVRDSUP"")
      )
    ) / 3600,
    0
  ),
  2
)"),0.0)</f>
        <v>0</v>
      </c>
      <c r="G40" s="99">
        <f>IFERROR(__xludf.DUMMYFUNCTION("ROUND(
  IFERROR(
    SUM(
      FILTER(
        'Sprint 17'!S:S,
        ('Sprint 17'!E:E = ""Art: Narupontp"") *
        (LEFT('Sprint 17'!B:B,8) = ""DEVRDSUP"")
      )
    ) / 3600,
    0
  ),
  2
)"),0.0)</f>
        <v>0</v>
      </c>
      <c r="H40" s="99">
        <f>IFERROR(__xludf.DUMMYFUNCTION("ROUND(
  IFERROR(
    SUM(
      FILTER(
        'Sprint 17'!S:S,
        ('Sprint 17'!E:E = ""Mai:Sateta Abvanawong"") *
        (LEFT('Sprint 17'!B:B,8) = ""DEVRDSUP"")
      )
    ) / 3600,
    0
  ),
  2
)"),0.0)</f>
        <v>0</v>
      </c>
      <c r="I40" s="99">
        <f>IFERROR(__xludf.DUMMYFUNCTION("ROUND(
  IFERROR(
    SUM(
      FILTER(
        'Sprint 17'!S:S,
        ('Sprint 17'!E:E = ""Kae: Pimonrath Jaiyen"") *
        (LEFT('Sprint 17'!B:B,8) = ""DEVRDSUP"")
      )
    ) / 3600,
    0
  ),
  2
)"),0.0)</f>
        <v>0</v>
      </c>
      <c r="J40" s="99">
        <f>IFERROR(__xludf.DUMMYFUNCTION("ROUND(
  IFERROR(
    SUM(
      FILTER(
        'Sprint 17'!S:S,
        ('Sprint 17'!E:E = ""Mac: Jarupong Pawichpongkul"") *
        (LEFT('Sprint 17'!B:B,8) = ""DEVRDSUP"")
      )
    ) / 3600,
    0
  ),
  2
)"),0.0)</f>
        <v>0</v>
      </c>
      <c r="K40" s="99">
        <f>IFERROR(__xludf.DUMMYFUNCTION("ROUND(
  IFERROR(
    SUM(
      FILTER(
        'Sprint 17'!S:S,
        ('Sprint 17'!E:E = ""Nim : muthita munmueang"") *
        (LEFT('Sprint 17'!B:B,8) = ""DEVRDSUP"")
      )
    ) / 3600,
    0
  ),
  2
)"),0.0)</f>
        <v>0</v>
      </c>
      <c r="L40" s="99">
        <f>IFERROR(__xludf.DUMMYFUNCTION("ROUND(
  IFERROR(
    SUM(
      FILTER(
        'Sprint 17'!S:S,
        ('Sprint 17'!E:E = ""Moss : Kittapath Sangvikukit"") *
        (LEFT('Sprint 17'!B:B,8) = ""DEVRDSUP"")
      )
    ) / 3600,
    0
  ),
  2
)"),0.0)</f>
        <v>0</v>
      </c>
      <c r="M40" s="99">
        <f>IFERROR(__xludf.DUMMYFUNCTION("ROUND(
  IFERROR(
    SUM(
      FILTER(
        'Sprint 17'!S:S,
        ('Sprint 17'!E:E = ""Arm:Worawat Chotipongchoawalit"") *
        (LEFT('Sprint 17'!B:B,8) = ""DEVRDSUP"")
      )
    ) / 3600,
    0
  ),
  2
)"),0.0)</f>
        <v>0</v>
      </c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</sheetData>
  <mergeCells count="6">
    <mergeCell ref="B23:E23"/>
    <mergeCell ref="F23:H23"/>
    <mergeCell ref="I23:M23"/>
    <mergeCell ref="B33:E33"/>
    <mergeCell ref="F33:H33"/>
    <mergeCell ref="I33:M33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20" width="17.5"/>
    <col customWidth="1" min="21" max="21" width="25.38"/>
    <col customWidth="1" min="22" max="30" width="17.5"/>
    <col customWidth="1" min="31" max="31" width="21.38"/>
    <col customWidth="1" min="32" max="34" width="17.5"/>
    <col customWidth="1" min="35" max="35" width="21.25"/>
    <col customWidth="1" min="36" max="36" width="17.5"/>
    <col customWidth="1" min="37" max="37" width="21.25"/>
    <col customWidth="1" min="38" max="38" width="20.13"/>
    <col customWidth="1" min="39" max="39" width="21.25"/>
    <col customWidth="1" min="40" max="40" width="20.13"/>
    <col customWidth="1" min="41" max="41" width="21.25"/>
    <col customWidth="1" min="42" max="42" width="20.13"/>
    <col customWidth="1" min="44" max="44" width="17.5"/>
    <col customWidth="1" min="45" max="45" width="21.25"/>
    <col customWidth="1" min="46" max="46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49" t="s">
        <v>3245</v>
      </c>
      <c r="U1" s="115" t="s">
        <v>4970</v>
      </c>
      <c r="V1" s="115" t="s">
        <v>6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102" t="s">
        <v>70</v>
      </c>
      <c r="AF1" s="102" t="s">
        <v>70</v>
      </c>
      <c r="AG1" s="102" t="s">
        <v>70</v>
      </c>
      <c r="AH1" s="102"/>
      <c r="AI1" s="102"/>
      <c r="BC1" s="88"/>
      <c r="BD1" s="88"/>
    </row>
    <row r="2">
      <c r="A2" s="102" t="s">
        <v>310</v>
      </c>
      <c r="B2" s="102" t="s">
        <v>4971</v>
      </c>
      <c r="C2" s="229" t="s">
        <v>4972</v>
      </c>
      <c r="D2" s="102" t="s">
        <v>4973</v>
      </c>
      <c r="E2" s="102" t="s">
        <v>282</v>
      </c>
      <c r="F2" s="102" t="s">
        <v>283</v>
      </c>
      <c r="G2" s="102" t="s">
        <v>282</v>
      </c>
      <c r="H2" s="102" t="s">
        <v>283</v>
      </c>
      <c r="I2" s="102" t="s">
        <v>284</v>
      </c>
      <c r="J2" s="102" t="s">
        <v>26</v>
      </c>
      <c r="L2" s="229" t="s">
        <v>4974</v>
      </c>
      <c r="M2" s="229" t="s">
        <v>4975</v>
      </c>
      <c r="O2" s="102">
        <v>2.0</v>
      </c>
      <c r="P2" s="102" t="s">
        <v>4656</v>
      </c>
      <c r="S2" s="230"/>
      <c r="T2" s="230" t="str">
        <f>IF(ISNUMBER(MATCH(B2, 'Sprint 16'!B:B, 0)), "มาจาก Sprint 16", "")</f>
        <v/>
      </c>
      <c r="U2" s="230" t="str">
        <f t="array" ref="U2">IF(ISNUMBER(MATCH(B2, 'Sprint 16'!B:B, 0)), INDEX('Sprint 16'!J:J, MATCH(B2, 'Sprint 16'!B:B, 0)), "")</f>
        <v/>
      </c>
      <c r="V2" s="230"/>
      <c r="W2" s="102" t="s">
        <v>4884</v>
      </c>
    </row>
    <row r="3">
      <c r="A3" s="102" t="s">
        <v>310</v>
      </c>
      <c r="B3" s="102" t="s">
        <v>4185</v>
      </c>
      <c r="C3" s="229" t="s">
        <v>4186</v>
      </c>
      <c r="D3" s="102" t="s">
        <v>4976</v>
      </c>
      <c r="E3" s="102" t="s">
        <v>495</v>
      </c>
      <c r="F3" s="102" t="s">
        <v>496</v>
      </c>
      <c r="G3" s="102" t="s">
        <v>282</v>
      </c>
      <c r="H3" s="102" t="s">
        <v>283</v>
      </c>
      <c r="I3" s="102" t="s">
        <v>284</v>
      </c>
      <c r="J3" s="102" t="s">
        <v>678</v>
      </c>
      <c r="L3" s="229" t="s">
        <v>4188</v>
      </c>
      <c r="M3" s="229" t="s">
        <v>4977</v>
      </c>
      <c r="O3" s="230"/>
      <c r="S3" s="102">
        <v>7200.0</v>
      </c>
      <c r="T3" s="230" t="str">
        <f>IF(ISNUMBER(MATCH(B3, 'Sprint 16'!B:B, 0)), "มาจาก Sprint 16", "")</f>
        <v/>
      </c>
      <c r="U3" s="230" t="str">
        <f t="array" ref="U3">IF(ISNUMBER(MATCH(B3, 'Sprint 16'!B:B, 0)), INDEX('Sprint 16'!J:J, MATCH(B3, 'Sprint 16'!B:B, 0)), "")</f>
        <v/>
      </c>
      <c r="V3" s="102"/>
      <c r="W3" s="102" t="s">
        <v>3557</v>
      </c>
    </row>
    <row r="4">
      <c r="A4" s="102" t="s">
        <v>310</v>
      </c>
      <c r="B4" s="102" t="s">
        <v>4189</v>
      </c>
      <c r="C4" s="229" t="s">
        <v>4190</v>
      </c>
      <c r="D4" s="102" t="s">
        <v>4191</v>
      </c>
      <c r="E4" s="102" t="s">
        <v>495</v>
      </c>
      <c r="F4" s="102" t="s">
        <v>496</v>
      </c>
      <c r="G4" s="102" t="s">
        <v>282</v>
      </c>
      <c r="H4" s="102" t="s">
        <v>283</v>
      </c>
      <c r="I4" s="102" t="s">
        <v>284</v>
      </c>
      <c r="J4" s="102" t="s">
        <v>678</v>
      </c>
      <c r="L4" s="229" t="s">
        <v>4192</v>
      </c>
      <c r="M4" s="229" t="s">
        <v>4978</v>
      </c>
      <c r="O4" s="230"/>
      <c r="S4" s="102">
        <v>7200.0</v>
      </c>
      <c r="T4" s="230" t="str">
        <f>IF(ISNUMBER(MATCH(B4, 'Sprint 16'!B:B, 0)), "มาจาก Sprint 16", "")</f>
        <v/>
      </c>
      <c r="U4" s="230" t="str">
        <f t="array" ref="U4">IF(ISNUMBER(MATCH(B4, 'Sprint 16'!B:B, 0)), INDEX('Sprint 16'!J:J, MATCH(B4, 'Sprint 16'!B:B, 0)), "")</f>
        <v/>
      </c>
      <c r="V4" s="102"/>
      <c r="W4" s="102" t="s">
        <v>3557</v>
      </c>
    </row>
    <row r="5">
      <c r="A5" s="102" t="s">
        <v>310</v>
      </c>
      <c r="B5" s="102" t="s">
        <v>4193</v>
      </c>
      <c r="C5" s="229" t="s">
        <v>4194</v>
      </c>
      <c r="D5" s="102" t="s">
        <v>4195</v>
      </c>
      <c r="E5" s="102" t="s">
        <v>556</v>
      </c>
      <c r="F5" s="102" t="s">
        <v>557</v>
      </c>
      <c r="G5" s="102" t="s">
        <v>282</v>
      </c>
      <c r="H5" s="102" t="s">
        <v>283</v>
      </c>
      <c r="I5" s="102" t="s">
        <v>284</v>
      </c>
      <c r="J5" s="102" t="s">
        <v>63</v>
      </c>
      <c r="L5" s="229" t="s">
        <v>4192</v>
      </c>
      <c r="M5" s="229" t="s">
        <v>4979</v>
      </c>
      <c r="O5" s="230"/>
      <c r="S5" s="230"/>
      <c r="T5" s="230" t="str">
        <f>IF(ISNUMBER(MATCH(B5, 'Sprint 16'!B:B, 0)), "มาจาก Sprint 16", "")</f>
        <v/>
      </c>
      <c r="U5" s="230" t="str">
        <f t="array" ref="U5">IF(ISNUMBER(MATCH(B5, 'Sprint 16'!B:B, 0)), INDEX('Sprint 16'!J:J, MATCH(B5, 'Sprint 16'!B:B, 0)), "")</f>
        <v/>
      </c>
      <c r="V5" s="230"/>
      <c r="W5" s="102" t="s">
        <v>3557</v>
      </c>
    </row>
    <row r="6">
      <c r="A6" s="102" t="s">
        <v>310</v>
      </c>
      <c r="B6" s="102" t="s">
        <v>3596</v>
      </c>
      <c r="C6" s="229" t="s">
        <v>3597</v>
      </c>
      <c r="D6" s="102" t="s">
        <v>3598</v>
      </c>
      <c r="E6" s="102" t="s">
        <v>556</v>
      </c>
      <c r="F6" s="102" t="s">
        <v>557</v>
      </c>
      <c r="G6" s="102" t="s">
        <v>282</v>
      </c>
      <c r="H6" s="102" t="s">
        <v>283</v>
      </c>
      <c r="I6" s="102" t="s">
        <v>284</v>
      </c>
      <c r="J6" s="102" t="s">
        <v>355</v>
      </c>
      <c r="L6" s="229" t="s">
        <v>3599</v>
      </c>
      <c r="M6" s="229" t="s">
        <v>4980</v>
      </c>
      <c r="N6" s="229" t="s">
        <v>3600</v>
      </c>
      <c r="O6" s="230"/>
      <c r="S6" s="102">
        <v>28800.0</v>
      </c>
      <c r="T6" s="230" t="str">
        <f>IF(ISNUMBER(MATCH(B6, 'Sprint 16'!B:B, 0)), "มาจาก Sprint 16", "")</f>
        <v/>
      </c>
      <c r="U6" s="230" t="str">
        <f t="array" ref="U6">IF(ISNUMBER(MATCH(B6, 'Sprint 16'!B:B, 0)), INDEX('Sprint 16'!J:J, MATCH(B6, 'Sprint 16'!B:B, 0)), "")</f>
        <v/>
      </c>
      <c r="V6" s="102"/>
      <c r="W6" s="102" t="s">
        <v>3557</v>
      </c>
    </row>
    <row r="7">
      <c r="A7" s="102" t="s">
        <v>4410</v>
      </c>
      <c r="B7" s="102" t="s">
        <v>4981</v>
      </c>
      <c r="C7" s="229" t="s">
        <v>4982</v>
      </c>
      <c r="D7" s="102" t="s">
        <v>4983</v>
      </c>
      <c r="E7" s="102" t="s">
        <v>513</v>
      </c>
      <c r="F7" s="102" t="s">
        <v>514</v>
      </c>
      <c r="G7" s="102" t="s">
        <v>513</v>
      </c>
      <c r="H7" s="102" t="s">
        <v>514</v>
      </c>
      <c r="I7" s="102" t="s">
        <v>284</v>
      </c>
      <c r="J7" s="102" t="s">
        <v>26</v>
      </c>
      <c r="L7" s="229" t="s">
        <v>4984</v>
      </c>
      <c r="M7" s="229" t="s">
        <v>4985</v>
      </c>
      <c r="N7" s="229" t="s">
        <v>4222</v>
      </c>
      <c r="O7" s="102">
        <v>1.0</v>
      </c>
      <c r="P7" s="102" t="s">
        <v>593</v>
      </c>
      <c r="S7" s="102">
        <v>7200.0</v>
      </c>
      <c r="T7" s="230" t="str">
        <f>IF(ISNUMBER(MATCH(B7, 'Sprint 16'!B:B, 0)), "มาจาก Sprint 16", "")</f>
        <v/>
      </c>
      <c r="U7" s="230" t="str">
        <f t="array" ref="U7">IF(ISNUMBER(MATCH(B7, 'Sprint 16'!B:B, 0)), INDEX('Sprint 16'!J:J, MATCH(B7, 'Sprint 16'!B:B, 0)), "")</f>
        <v/>
      </c>
      <c r="V7" s="102"/>
      <c r="W7" s="102" t="s">
        <v>4566</v>
      </c>
    </row>
    <row r="8">
      <c r="A8" s="102" t="s">
        <v>276</v>
      </c>
      <c r="B8" s="102" t="s">
        <v>4509</v>
      </c>
      <c r="C8" s="229" t="s">
        <v>4510</v>
      </c>
      <c r="D8" s="102" t="s">
        <v>4797</v>
      </c>
      <c r="E8" s="102" t="s">
        <v>521</v>
      </c>
      <c r="F8" s="102" t="s">
        <v>522</v>
      </c>
      <c r="G8" s="102" t="s">
        <v>521</v>
      </c>
      <c r="H8" s="102" t="s">
        <v>522</v>
      </c>
      <c r="I8" s="102" t="s">
        <v>284</v>
      </c>
      <c r="J8" s="102" t="s">
        <v>63</v>
      </c>
      <c r="L8" s="229" t="s">
        <v>4512</v>
      </c>
      <c r="M8" s="229" t="s">
        <v>4798</v>
      </c>
      <c r="O8" s="230"/>
      <c r="S8" s="230"/>
      <c r="T8" s="230" t="str">
        <f>IF(ISNUMBER(MATCH(B8, 'Sprint 16'!B:B, 0)), "มาจาก Sprint 16", "")</f>
        <v/>
      </c>
      <c r="U8" s="230" t="str">
        <f t="array" ref="U8">IF(ISNUMBER(MATCH(B8, 'Sprint 16'!B:B, 0)), INDEX('Sprint 16'!J:J, MATCH(B8, 'Sprint 16'!B:B, 0)), "")</f>
        <v/>
      </c>
      <c r="V8" s="230"/>
      <c r="W8" s="102" t="s">
        <v>4248</v>
      </c>
    </row>
    <row r="9">
      <c r="A9" s="102" t="s">
        <v>276</v>
      </c>
      <c r="B9" s="102" t="s">
        <v>4513</v>
      </c>
      <c r="C9" s="229" t="s">
        <v>4514</v>
      </c>
      <c r="D9" s="102" t="s">
        <v>4799</v>
      </c>
      <c r="E9" s="102" t="s">
        <v>521</v>
      </c>
      <c r="F9" s="102" t="s">
        <v>522</v>
      </c>
      <c r="G9" s="102" t="s">
        <v>521</v>
      </c>
      <c r="H9" s="102" t="s">
        <v>522</v>
      </c>
      <c r="I9" s="102" t="s">
        <v>284</v>
      </c>
      <c r="J9" s="102" t="s">
        <v>63</v>
      </c>
      <c r="L9" s="229" t="s">
        <v>4516</v>
      </c>
      <c r="M9" s="229" t="s">
        <v>4516</v>
      </c>
      <c r="O9" s="230"/>
      <c r="S9" s="230"/>
      <c r="T9" s="230" t="str">
        <f>IF(ISNUMBER(MATCH(B9, 'Sprint 16'!B:B, 0)), "มาจาก Sprint 16", "")</f>
        <v/>
      </c>
      <c r="U9" s="230" t="str">
        <f t="array" ref="U9">IF(ISNUMBER(MATCH(B9, 'Sprint 16'!B:B, 0)), INDEX('Sprint 16'!J:J, MATCH(B9, 'Sprint 16'!B:B, 0)), "")</f>
        <v/>
      </c>
      <c r="V9" s="230"/>
      <c r="W9" s="102" t="s">
        <v>4248</v>
      </c>
    </row>
    <row r="10">
      <c r="A10" s="102" t="s">
        <v>276</v>
      </c>
      <c r="B10" s="102" t="s">
        <v>4517</v>
      </c>
      <c r="C10" s="229" t="s">
        <v>4518</v>
      </c>
      <c r="D10" s="102" t="s">
        <v>4800</v>
      </c>
      <c r="E10" s="102" t="s">
        <v>521</v>
      </c>
      <c r="F10" s="102" t="s">
        <v>522</v>
      </c>
      <c r="G10" s="102" t="s">
        <v>521</v>
      </c>
      <c r="H10" s="102" t="s">
        <v>522</v>
      </c>
      <c r="I10" s="102" t="s">
        <v>284</v>
      </c>
      <c r="J10" s="102" t="s">
        <v>63</v>
      </c>
      <c r="L10" s="229" t="s">
        <v>4520</v>
      </c>
      <c r="M10" s="229" t="s">
        <v>4798</v>
      </c>
      <c r="O10" s="230"/>
      <c r="S10" s="230"/>
      <c r="T10" s="230" t="str">
        <f>IF(ISNUMBER(MATCH(B10, 'Sprint 16'!B:B, 0)), "มาจาก Sprint 16", "")</f>
        <v/>
      </c>
      <c r="U10" s="230" t="str">
        <f t="array" ref="U10">IF(ISNUMBER(MATCH(B10, 'Sprint 16'!B:B, 0)), INDEX('Sprint 16'!J:J, MATCH(B10, 'Sprint 16'!B:B, 0)), "")</f>
        <v/>
      </c>
      <c r="V10" s="230"/>
      <c r="W10" s="102" t="s">
        <v>4248</v>
      </c>
    </row>
    <row r="11">
      <c r="A11" s="102" t="s">
        <v>276</v>
      </c>
      <c r="B11" s="102" t="s">
        <v>4522</v>
      </c>
      <c r="C11" s="229" t="s">
        <v>4523</v>
      </c>
      <c r="D11" s="102" t="s">
        <v>4801</v>
      </c>
      <c r="E11" s="102" t="s">
        <v>521</v>
      </c>
      <c r="F11" s="102" t="s">
        <v>522</v>
      </c>
      <c r="G11" s="102" t="s">
        <v>521</v>
      </c>
      <c r="H11" s="102" t="s">
        <v>522</v>
      </c>
      <c r="I11" s="102" t="s">
        <v>284</v>
      </c>
      <c r="J11" s="102" t="s">
        <v>63</v>
      </c>
      <c r="L11" s="229" t="s">
        <v>4525</v>
      </c>
      <c r="M11" s="229" t="s">
        <v>4802</v>
      </c>
      <c r="O11" s="230"/>
      <c r="S11" s="230"/>
      <c r="T11" s="230" t="str">
        <f>IF(ISNUMBER(MATCH(B11, 'Sprint 16'!B:B, 0)), "มาจาก Sprint 16", "")</f>
        <v/>
      </c>
      <c r="U11" s="230" t="str">
        <f t="array" ref="U11">IF(ISNUMBER(MATCH(B11, 'Sprint 16'!B:B, 0)), INDEX('Sprint 16'!J:J, MATCH(B11, 'Sprint 16'!B:B, 0)), "")</f>
        <v/>
      </c>
      <c r="V11" s="230"/>
      <c r="W11" s="102" t="s">
        <v>4247</v>
      </c>
      <c r="X11" s="102" t="s">
        <v>4248</v>
      </c>
    </row>
    <row r="12">
      <c r="A12" s="102" t="s">
        <v>276</v>
      </c>
      <c r="B12" s="102" t="s">
        <v>4526</v>
      </c>
      <c r="C12" s="229" t="s">
        <v>4527</v>
      </c>
      <c r="D12" s="102" t="s">
        <v>4528</v>
      </c>
      <c r="E12" s="102" t="s">
        <v>521</v>
      </c>
      <c r="F12" s="102" t="s">
        <v>522</v>
      </c>
      <c r="G12" s="102" t="s">
        <v>521</v>
      </c>
      <c r="H12" s="102" t="s">
        <v>522</v>
      </c>
      <c r="I12" s="102" t="s">
        <v>284</v>
      </c>
      <c r="J12" s="102" t="s">
        <v>63</v>
      </c>
      <c r="L12" s="229" t="s">
        <v>4529</v>
      </c>
      <c r="M12" s="229" t="s">
        <v>4530</v>
      </c>
      <c r="O12" s="230"/>
      <c r="S12" s="230"/>
      <c r="T12" s="230" t="str">
        <f>IF(ISNUMBER(MATCH(B12, 'Sprint 16'!B:B, 0)), "มาจาก Sprint 16", "")</f>
        <v/>
      </c>
      <c r="U12" s="230" t="str">
        <f t="array" ref="U12">IF(ISNUMBER(MATCH(B12, 'Sprint 16'!B:B, 0)), INDEX('Sprint 16'!J:J, MATCH(B12, 'Sprint 16'!B:B, 0)), "")</f>
        <v/>
      </c>
      <c r="V12" s="230"/>
      <c r="W12" s="102" t="s">
        <v>4247</v>
      </c>
      <c r="X12" s="102" t="s">
        <v>4248</v>
      </c>
    </row>
    <row r="13">
      <c r="A13" s="102" t="s">
        <v>276</v>
      </c>
      <c r="B13" s="102" t="s">
        <v>4531</v>
      </c>
      <c r="C13" s="229" t="s">
        <v>4532</v>
      </c>
      <c r="D13" s="102" t="s">
        <v>4803</v>
      </c>
      <c r="E13" s="102" t="s">
        <v>521</v>
      </c>
      <c r="F13" s="102" t="s">
        <v>522</v>
      </c>
      <c r="G13" s="102" t="s">
        <v>521</v>
      </c>
      <c r="H13" s="102" t="s">
        <v>522</v>
      </c>
      <c r="I13" s="102" t="s">
        <v>284</v>
      </c>
      <c r="J13" s="102" t="s">
        <v>63</v>
      </c>
      <c r="L13" s="229" t="s">
        <v>4534</v>
      </c>
      <c r="M13" s="229" t="s">
        <v>4530</v>
      </c>
      <c r="O13" s="230"/>
      <c r="S13" s="230"/>
      <c r="T13" s="230" t="str">
        <f>IF(ISNUMBER(MATCH(B13, 'Sprint 16'!B:B, 0)), "มาจาก Sprint 16", "")</f>
        <v/>
      </c>
      <c r="U13" s="230" t="str">
        <f t="array" ref="U13">IF(ISNUMBER(MATCH(B13, 'Sprint 16'!B:B, 0)), INDEX('Sprint 16'!J:J, MATCH(B13, 'Sprint 16'!B:B, 0)), "")</f>
        <v/>
      </c>
      <c r="V13" s="230"/>
      <c r="W13" s="102" t="s">
        <v>4247</v>
      </c>
      <c r="X13" s="102" t="s">
        <v>4248</v>
      </c>
    </row>
    <row r="14">
      <c r="A14" s="102" t="s">
        <v>310</v>
      </c>
      <c r="B14" s="102" t="s">
        <v>4986</v>
      </c>
      <c r="C14" s="229" t="s">
        <v>4987</v>
      </c>
      <c r="D14" s="102" t="s">
        <v>4988</v>
      </c>
      <c r="E14" s="102" t="s">
        <v>282</v>
      </c>
      <c r="F14" s="102" t="s">
        <v>283</v>
      </c>
      <c r="G14" s="102" t="s">
        <v>316</v>
      </c>
      <c r="H14" s="102" t="s">
        <v>317</v>
      </c>
      <c r="I14" s="102" t="s">
        <v>284</v>
      </c>
      <c r="J14" s="102" t="s">
        <v>26</v>
      </c>
      <c r="L14" s="229" t="s">
        <v>4989</v>
      </c>
      <c r="M14" s="229" t="s">
        <v>4990</v>
      </c>
      <c r="N14" s="229" t="s">
        <v>4222</v>
      </c>
      <c r="O14" s="102">
        <v>1.0</v>
      </c>
      <c r="P14" s="102" t="s">
        <v>433</v>
      </c>
      <c r="Q14" s="102" t="s">
        <v>4656</v>
      </c>
      <c r="R14" s="102" t="s">
        <v>783</v>
      </c>
      <c r="S14" s="230"/>
      <c r="T14" s="230" t="str">
        <f>IF(ISNUMBER(MATCH(B14, 'Sprint 16'!B:B, 0)), "มาจาก Sprint 16", "")</f>
        <v/>
      </c>
      <c r="U14" s="230" t="str">
        <f t="array" ref="U14">IF(ISNUMBER(MATCH(B14, 'Sprint 16'!B:B, 0)), INDEX('Sprint 16'!J:J, MATCH(B14, 'Sprint 16'!B:B, 0)), "")</f>
        <v/>
      </c>
      <c r="V14" s="230"/>
      <c r="W14" s="102" t="s">
        <v>4884</v>
      </c>
    </row>
    <row r="15">
      <c r="A15" s="102" t="s">
        <v>310</v>
      </c>
      <c r="B15" s="102" t="s">
        <v>4991</v>
      </c>
      <c r="C15" s="229" t="s">
        <v>4992</v>
      </c>
      <c r="D15" s="102" t="s">
        <v>4993</v>
      </c>
      <c r="E15" s="102" t="s">
        <v>282</v>
      </c>
      <c r="F15" s="102" t="s">
        <v>283</v>
      </c>
      <c r="G15" s="102" t="s">
        <v>316</v>
      </c>
      <c r="H15" s="102" t="s">
        <v>317</v>
      </c>
      <c r="I15" s="102" t="s">
        <v>284</v>
      </c>
      <c r="J15" s="102" t="s">
        <v>26</v>
      </c>
      <c r="L15" s="229" t="s">
        <v>4994</v>
      </c>
      <c r="M15" s="229" t="s">
        <v>4995</v>
      </c>
      <c r="O15" s="230"/>
      <c r="P15" s="102" t="s">
        <v>433</v>
      </c>
      <c r="Q15" s="102" t="s">
        <v>368</v>
      </c>
      <c r="S15" s="102">
        <v>600.0</v>
      </c>
      <c r="T15" s="230" t="str">
        <f>IF(ISNUMBER(MATCH(B15, 'Sprint 16'!B:B, 0)), "มาจาก Sprint 16", "")</f>
        <v/>
      </c>
      <c r="U15" s="230" t="str">
        <f t="array" ref="U15">IF(ISNUMBER(MATCH(B15, 'Sprint 16'!B:B, 0)), INDEX('Sprint 16'!J:J, MATCH(B15, 'Sprint 16'!B:B, 0)), "")</f>
        <v/>
      </c>
      <c r="V15" s="102"/>
      <c r="W15" s="102" t="s">
        <v>4884</v>
      </c>
    </row>
    <row r="16">
      <c r="A16" s="102" t="s">
        <v>4410</v>
      </c>
      <c r="B16" s="102" t="s">
        <v>4996</v>
      </c>
      <c r="C16" s="229" t="s">
        <v>4997</v>
      </c>
      <c r="D16" s="102" t="s">
        <v>4998</v>
      </c>
      <c r="E16" s="102" t="s">
        <v>513</v>
      </c>
      <c r="F16" s="102" t="s">
        <v>514</v>
      </c>
      <c r="G16" s="102" t="s">
        <v>513</v>
      </c>
      <c r="H16" s="102" t="s">
        <v>514</v>
      </c>
      <c r="I16" s="102" t="s">
        <v>515</v>
      </c>
      <c r="J16" s="102" t="s">
        <v>26</v>
      </c>
      <c r="L16" s="229" t="s">
        <v>4999</v>
      </c>
      <c r="M16" s="229" t="s">
        <v>5000</v>
      </c>
      <c r="N16" s="229" t="s">
        <v>5001</v>
      </c>
      <c r="O16" s="102">
        <v>1.0</v>
      </c>
      <c r="P16" s="102" t="s">
        <v>593</v>
      </c>
      <c r="Q16" s="102" t="s">
        <v>473</v>
      </c>
      <c r="S16" s="102">
        <v>7200.0</v>
      </c>
      <c r="T16" s="230" t="str">
        <f>IF(ISNUMBER(MATCH(B16, 'Sprint 16'!B:B, 0)), "มาจาก Sprint 16", "")</f>
        <v/>
      </c>
      <c r="U16" s="230" t="str">
        <f t="array" ref="U16">IF(ISNUMBER(MATCH(B16, 'Sprint 16'!B:B, 0)), INDEX('Sprint 16'!J:J, MATCH(B16, 'Sprint 16'!B:B, 0)), "")</f>
        <v/>
      </c>
      <c r="V16" s="102"/>
      <c r="W16" s="102" t="s">
        <v>4566</v>
      </c>
    </row>
    <row r="17">
      <c r="A17" s="102" t="s">
        <v>276</v>
      </c>
      <c r="B17" s="102" t="s">
        <v>4536</v>
      </c>
      <c r="C17" s="229" t="s">
        <v>4537</v>
      </c>
      <c r="D17" s="102" t="s">
        <v>4538</v>
      </c>
      <c r="E17" s="102" t="s">
        <v>521</v>
      </c>
      <c r="F17" s="102" t="s">
        <v>522</v>
      </c>
      <c r="G17" s="102" t="s">
        <v>521</v>
      </c>
      <c r="H17" s="102" t="s">
        <v>522</v>
      </c>
      <c r="I17" s="102" t="s">
        <v>284</v>
      </c>
      <c r="J17" s="102" t="s">
        <v>63</v>
      </c>
      <c r="L17" s="229" t="s">
        <v>4539</v>
      </c>
      <c r="M17" s="229" t="s">
        <v>4539</v>
      </c>
      <c r="O17" s="230"/>
      <c r="S17" s="230"/>
      <c r="T17" s="230" t="str">
        <f>IF(ISNUMBER(MATCH(B17, 'Sprint 16'!B:B, 0)), "มาจาก Sprint 16", "")</f>
        <v/>
      </c>
      <c r="U17" s="230" t="str">
        <f t="array" ref="U17">IF(ISNUMBER(MATCH(B17, 'Sprint 16'!B:B, 0)), INDEX('Sprint 16'!J:J, MATCH(B17, 'Sprint 16'!B:B, 0)), "")</f>
        <v/>
      </c>
      <c r="V17" s="230"/>
      <c r="W17" s="102" t="s">
        <v>4248</v>
      </c>
    </row>
    <row r="18">
      <c r="A18" s="102" t="s">
        <v>276</v>
      </c>
      <c r="B18" s="102" t="s">
        <v>4540</v>
      </c>
      <c r="C18" s="229" t="s">
        <v>4541</v>
      </c>
      <c r="D18" s="102" t="s">
        <v>4542</v>
      </c>
      <c r="E18" s="102" t="s">
        <v>521</v>
      </c>
      <c r="F18" s="102" t="s">
        <v>522</v>
      </c>
      <c r="G18" s="102" t="s">
        <v>521</v>
      </c>
      <c r="H18" s="102" t="s">
        <v>522</v>
      </c>
      <c r="I18" s="102" t="s">
        <v>284</v>
      </c>
      <c r="J18" s="102" t="s">
        <v>63</v>
      </c>
      <c r="L18" s="229" t="s">
        <v>4543</v>
      </c>
      <c r="M18" s="229" t="s">
        <v>4516</v>
      </c>
      <c r="O18" s="230"/>
      <c r="S18" s="230"/>
      <c r="T18" s="230" t="str">
        <f>IF(ISNUMBER(MATCH(B18, 'Sprint 16'!B:B, 0)), "มาจาก Sprint 16", "")</f>
        <v/>
      </c>
      <c r="U18" s="230" t="str">
        <f t="array" ref="U18">IF(ISNUMBER(MATCH(B18, 'Sprint 16'!B:B, 0)), INDEX('Sprint 16'!J:J, MATCH(B18, 'Sprint 16'!B:B, 0)), "")</f>
        <v/>
      </c>
      <c r="V18" s="230"/>
      <c r="W18" s="102" t="s">
        <v>4248</v>
      </c>
    </row>
    <row r="19">
      <c r="A19" s="102" t="s">
        <v>276</v>
      </c>
      <c r="B19" s="102" t="s">
        <v>4544</v>
      </c>
      <c r="C19" s="229" t="s">
        <v>4545</v>
      </c>
      <c r="D19" s="102" t="s">
        <v>4546</v>
      </c>
      <c r="E19" s="102" t="s">
        <v>521</v>
      </c>
      <c r="F19" s="102" t="s">
        <v>522</v>
      </c>
      <c r="G19" s="102" t="s">
        <v>521</v>
      </c>
      <c r="H19" s="102" t="s">
        <v>522</v>
      </c>
      <c r="I19" s="102" t="s">
        <v>284</v>
      </c>
      <c r="J19" s="102" t="s">
        <v>63</v>
      </c>
      <c r="L19" s="229" t="s">
        <v>3057</v>
      </c>
      <c r="M19" s="229" t="s">
        <v>4520</v>
      </c>
      <c r="O19" s="230"/>
      <c r="S19" s="230"/>
      <c r="T19" s="230" t="str">
        <f>IF(ISNUMBER(MATCH(B19, 'Sprint 16'!B:B, 0)), "มาจาก Sprint 16", "")</f>
        <v/>
      </c>
      <c r="U19" s="230" t="str">
        <f t="array" ref="U19">IF(ISNUMBER(MATCH(B19, 'Sprint 16'!B:B, 0)), INDEX('Sprint 16'!J:J, MATCH(B19, 'Sprint 16'!B:B, 0)), "")</f>
        <v/>
      </c>
      <c r="V19" s="230"/>
      <c r="W19" s="102" t="s">
        <v>4248</v>
      </c>
    </row>
    <row r="20">
      <c r="A20" s="102" t="s">
        <v>276</v>
      </c>
      <c r="B20" s="102" t="s">
        <v>4548</v>
      </c>
      <c r="C20" s="229" t="s">
        <v>4549</v>
      </c>
      <c r="D20" s="102" t="s">
        <v>4809</v>
      </c>
      <c r="E20" s="102" t="s">
        <v>521</v>
      </c>
      <c r="F20" s="102" t="s">
        <v>522</v>
      </c>
      <c r="G20" s="102" t="s">
        <v>521</v>
      </c>
      <c r="H20" s="102" t="s">
        <v>522</v>
      </c>
      <c r="I20" s="102" t="s">
        <v>284</v>
      </c>
      <c r="J20" s="102" t="s">
        <v>63</v>
      </c>
      <c r="L20" s="229" t="s">
        <v>4551</v>
      </c>
      <c r="M20" s="229" t="s">
        <v>4810</v>
      </c>
      <c r="O20" s="230"/>
      <c r="S20" s="230"/>
      <c r="T20" s="230" t="str">
        <f>IF(ISNUMBER(MATCH(B20, 'Sprint 16'!B:B, 0)), "มาจาก Sprint 16", "")</f>
        <v/>
      </c>
      <c r="U20" s="230" t="str">
        <f t="array" ref="U20">IF(ISNUMBER(MATCH(B20, 'Sprint 16'!B:B, 0)), INDEX('Sprint 16'!J:J, MATCH(B20, 'Sprint 16'!B:B, 0)), "")</f>
        <v/>
      </c>
      <c r="V20" s="230"/>
      <c r="W20" s="102" t="s">
        <v>4247</v>
      </c>
      <c r="X20" s="102" t="s">
        <v>4248</v>
      </c>
    </row>
    <row r="21">
      <c r="A21" s="102" t="s">
        <v>276</v>
      </c>
      <c r="B21" s="102" t="s">
        <v>4552</v>
      </c>
      <c r="C21" s="229" t="s">
        <v>4553</v>
      </c>
      <c r="D21" s="102" t="s">
        <v>4811</v>
      </c>
      <c r="E21" s="102" t="s">
        <v>521</v>
      </c>
      <c r="F21" s="102" t="s">
        <v>522</v>
      </c>
      <c r="G21" s="102" t="s">
        <v>521</v>
      </c>
      <c r="H21" s="102" t="s">
        <v>522</v>
      </c>
      <c r="I21" s="102" t="s">
        <v>284</v>
      </c>
      <c r="J21" s="102" t="s">
        <v>63</v>
      </c>
      <c r="L21" s="229" t="s">
        <v>4555</v>
      </c>
      <c r="M21" s="229" t="s">
        <v>4812</v>
      </c>
      <c r="O21" s="230"/>
      <c r="S21" s="230"/>
      <c r="T21" s="230" t="str">
        <f>IF(ISNUMBER(MATCH(B21, 'Sprint 16'!B:B, 0)), "มาจาก Sprint 16", "")</f>
        <v/>
      </c>
      <c r="U21" s="230" t="str">
        <f t="array" ref="U21">IF(ISNUMBER(MATCH(B21, 'Sprint 16'!B:B, 0)), INDEX('Sprint 16'!J:J, MATCH(B21, 'Sprint 16'!B:B, 0)), "")</f>
        <v/>
      </c>
      <c r="V21" s="230"/>
      <c r="W21" s="102" t="s">
        <v>4247</v>
      </c>
      <c r="X21" s="102" t="s">
        <v>4248</v>
      </c>
    </row>
    <row r="22">
      <c r="A22" s="102" t="s">
        <v>276</v>
      </c>
      <c r="B22" s="102" t="s">
        <v>4557</v>
      </c>
      <c r="C22" s="229" t="s">
        <v>4558</v>
      </c>
      <c r="D22" s="102" t="s">
        <v>4813</v>
      </c>
      <c r="E22" s="102" t="s">
        <v>521</v>
      </c>
      <c r="F22" s="102" t="s">
        <v>522</v>
      </c>
      <c r="G22" s="102" t="s">
        <v>521</v>
      </c>
      <c r="H22" s="102" t="s">
        <v>522</v>
      </c>
      <c r="I22" s="102" t="s">
        <v>284</v>
      </c>
      <c r="J22" s="102" t="s">
        <v>63</v>
      </c>
      <c r="L22" s="229" t="s">
        <v>4560</v>
      </c>
      <c r="M22" s="229" t="s">
        <v>4814</v>
      </c>
      <c r="O22" s="230"/>
      <c r="S22" s="230"/>
      <c r="T22" s="230" t="str">
        <f>IF(ISNUMBER(MATCH(B22, 'Sprint 16'!B:B, 0)), "มาจาก Sprint 16", "")</f>
        <v/>
      </c>
      <c r="U22" s="230" t="str">
        <f t="array" ref="U22">IF(ISNUMBER(MATCH(B22, 'Sprint 16'!B:B, 0)), INDEX('Sprint 16'!J:J, MATCH(B22, 'Sprint 16'!B:B, 0)), "")</f>
        <v/>
      </c>
      <c r="V22" s="230"/>
      <c r="W22" s="102" t="s">
        <v>4247</v>
      </c>
      <c r="X22" s="102" t="s">
        <v>4248</v>
      </c>
    </row>
    <row r="23">
      <c r="A23" s="102" t="s">
        <v>310</v>
      </c>
      <c r="B23" s="102" t="s">
        <v>5002</v>
      </c>
      <c r="C23" s="229" t="s">
        <v>5003</v>
      </c>
      <c r="D23" s="102" t="s">
        <v>5004</v>
      </c>
      <c r="E23" s="102" t="s">
        <v>513</v>
      </c>
      <c r="F23" s="102" t="s">
        <v>514</v>
      </c>
      <c r="G23" s="102" t="s">
        <v>513</v>
      </c>
      <c r="H23" s="102" t="s">
        <v>514</v>
      </c>
      <c r="I23" s="102" t="s">
        <v>284</v>
      </c>
      <c r="J23" s="102" t="s">
        <v>26</v>
      </c>
      <c r="L23" s="229" t="s">
        <v>5005</v>
      </c>
      <c r="M23" s="229" t="s">
        <v>5006</v>
      </c>
      <c r="N23" s="229" t="s">
        <v>5007</v>
      </c>
      <c r="O23" s="102">
        <v>1.0</v>
      </c>
      <c r="P23" s="102" t="s">
        <v>593</v>
      </c>
      <c r="S23" s="102">
        <v>7200.0</v>
      </c>
      <c r="T23" s="230" t="str">
        <f>IF(ISNUMBER(MATCH(B23, 'Sprint 16'!B:B, 0)), "มาจาก Sprint 16", "")</f>
        <v/>
      </c>
      <c r="U23" s="230" t="str">
        <f t="array" ref="U23">IF(ISNUMBER(MATCH(B23, 'Sprint 16'!B:B, 0)), INDEX('Sprint 16'!J:J, MATCH(B23, 'Sprint 16'!B:B, 0)), "")</f>
        <v/>
      </c>
      <c r="V23" s="102"/>
      <c r="W23" s="102" t="s">
        <v>4566</v>
      </c>
    </row>
    <row r="24">
      <c r="A24" s="102" t="s">
        <v>310</v>
      </c>
      <c r="B24" s="102" t="s">
        <v>4562</v>
      </c>
      <c r="C24" s="229" t="s">
        <v>4563</v>
      </c>
      <c r="D24" s="102" t="s">
        <v>4564</v>
      </c>
      <c r="E24" s="102" t="s">
        <v>513</v>
      </c>
      <c r="F24" s="102" t="s">
        <v>514</v>
      </c>
      <c r="G24" s="102" t="s">
        <v>513</v>
      </c>
      <c r="H24" s="102" t="s">
        <v>514</v>
      </c>
      <c r="I24" s="102" t="s">
        <v>284</v>
      </c>
      <c r="J24" s="102" t="s">
        <v>34</v>
      </c>
      <c r="L24" s="229" t="s">
        <v>4565</v>
      </c>
      <c r="M24" s="229" t="s">
        <v>5008</v>
      </c>
      <c r="N24" s="229" t="s">
        <v>4612</v>
      </c>
      <c r="O24" s="102">
        <v>5.0</v>
      </c>
      <c r="P24" s="102" t="s">
        <v>593</v>
      </c>
      <c r="S24" s="102">
        <v>86400.0</v>
      </c>
      <c r="T24" s="230" t="str">
        <f>IF(ISNUMBER(MATCH(B24, 'Sprint 16'!B:B, 0)), "มาจาก Sprint 16", "")</f>
        <v/>
      </c>
      <c r="U24" s="230" t="str">
        <f t="array" ref="U24">IF(ISNUMBER(MATCH(B24, 'Sprint 16'!B:B, 0)), INDEX('Sprint 16'!J:J, MATCH(B24, 'Sprint 16'!B:B, 0)), "")</f>
        <v/>
      </c>
      <c r="V24" s="102"/>
      <c r="W24" s="102" t="s">
        <v>4566</v>
      </c>
    </row>
    <row r="25">
      <c r="A25" s="102" t="s">
        <v>310</v>
      </c>
      <c r="B25" s="102" t="s">
        <v>5009</v>
      </c>
      <c r="C25" s="229" t="s">
        <v>5010</v>
      </c>
      <c r="D25" s="102" t="s">
        <v>5011</v>
      </c>
      <c r="E25" s="102" t="s">
        <v>282</v>
      </c>
      <c r="F25" s="102" t="s">
        <v>283</v>
      </c>
      <c r="G25" s="102" t="s">
        <v>282</v>
      </c>
      <c r="H25" s="102" t="s">
        <v>283</v>
      </c>
      <c r="I25" s="102" t="s">
        <v>284</v>
      </c>
      <c r="J25" s="102" t="s">
        <v>355</v>
      </c>
      <c r="L25" s="229" t="s">
        <v>5012</v>
      </c>
      <c r="M25" s="229" t="s">
        <v>5013</v>
      </c>
      <c r="O25" s="102">
        <v>2.0</v>
      </c>
      <c r="P25" s="102" t="s">
        <v>593</v>
      </c>
      <c r="S25" s="230"/>
      <c r="T25" s="230" t="str">
        <f>IF(ISNUMBER(MATCH(B25, 'Sprint 16'!B:B, 0)), "มาจาก Sprint 16", "")</f>
        <v/>
      </c>
      <c r="U25" s="230" t="str">
        <f t="array" ref="U25">IF(ISNUMBER(MATCH(B25, 'Sprint 16'!B:B, 0)), INDEX('Sprint 16'!J:J, MATCH(B25, 'Sprint 16'!B:B, 0)), "")</f>
        <v/>
      </c>
      <c r="V25" s="230"/>
      <c r="W25" s="102" t="s">
        <v>3557</v>
      </c>
    </row>
    <row r="26">
      <c r="A26" s="102" t="s">
        <v>310</v>
      </c>
      <c r="B26" s="102" t="s">
        <v>5014</v>
      </c>
      <c r="C26" s="229" t="s">
        <v>5015</v>
      </c>
      <c r="D26" s="102" t="s">
        <v>5016</v>
      </c>
      <c r="E26" s="102" t="s">
        <v>282</v>
      </c>
      <c r="F26" s="102" t="s">
        <v>283</v>
      </c>
      <c r="G26" s="102" t="s">
        <v>282</v>
      </c>
      <c r="H26" s="102" t="s">
        <v>283</v>
      </c>
      <c r="I26" s="102" t="s">
        <v>284</v>
      </c>
      <c r="J26" s="102" t="s">
        <v>63</v>
      </c>
      <c r="L26" s="229" t="s">
        <v>5017</v>
      </c>
      <c r="M26" s="229" t="s">
        <v>5018</v>
      </c>
      <c r="O26" s="102">
        <v>5.0</v>
      </c>
      <c r="S26" s="230"/>
      <c r="T26" s="230" t="str">
        <f>IF(ISNUMBER(MATCH(B26, 'Sprint 16'!B:B, 0)), "มาจาก Sprint 16", "")</f>
        <v/>
      </c>
      <c r="U26" s="230" t="str">
        <f t="array" ref="U26">IF(ISNUMBER(MATCH(B26, 'Sprint 16'!B:B, 0)), INDEX('Sprint 16'!J:J, MATCH(B26, 'Sprint 16'!B:B, 0)), "")</f>
        <v/>
      </c>
      <c r="V26" s="230"/>
      <c r="W26" s="102" t="s">
        <v>4884</v>
      </c>
    </row>
    <row r="27">
      <c r="A27" s="102" t="s">
        <v>310</v>
      </c>
      <c r="B27" s="102" t="s">
        <v>5019</v>
      </c>
      <c r="C27" s="229" t="s">
        <v>5020</v>
      </c>
      <c r="D27" s="102" t="s">
        <v>5021</v>
      </c>
      <c r="E27" s="102" t="s">
        <v>495</v>
      </c>
      <c r="F27" s="102" t="s">
        <v>496</v>
      </c>
      <c r="G27" s="102" t="s">
        <v>282</v>
      </c>
      <c r="H27" s="102" t="s">
        <v>283</v>
      </c>
      <c r="I27" s="102" t="s">
        <v>284</v>
      </c>
      <c r="J27" s="102" t="s">
        <v>355</v>
      </c>
      <c r="L27" s="229" t="s">
        <v>5022</v>
      </c>
      <c r="M27" s="229" t="s">
        <v>5023</v>
      </c>
      <c r="O27" s="102">
        <v>1.0</v>
      </c>
      <c r="S27" s="102">
        <v>14400.0</v>
      </c>
      <c r="T27" s="230" t="str">
        <f>IF(ISNUMBER(MATCH(B27, 'Sprint 16'!B:B, 0)), "มาจาก Sprint 16", "")</f>
        <v/>
      </c>
      <c r="U27" s="230" t="str">
        <f t="array" ref="U27">IF(ISNUMBER(MATCH(B27, 'Sprint 16'!B:B, 0)), INDEX('Sprint 16'!J:J, MATCH(B27, 'Sprint 16'!B:B, 0)), "")</f>
        <v/>
      </c>
      <c r="V27" s="102"/>
      <c r="W27" s="102" t="s">
        <v>3557</v>
      </c>
    </row>
    <row r="28">
      <c r="A28" s="102" t="s">
        <v>310</v>
      </c>
      <c r="B28" s="102" t="s">
        <v>5024</v>
      </c>
      <c r="C28" s="229" t="s">
        <v>5025</v>
      </c>
      <c r="D28" s="102" t="s">
        <v>5026</v>
      </c>
      <c r="E28" s="102" t="s">
        <v>564</v>
      </c>
      <c r="F28" s="102" t="s">
        <v>565</v>
      </c>
      <c r="G28" s="102" t="s">
        <v>282</v>
      </c>
      <c r="H28" s="102" t="s">
        <v>283</v>
      </c>
      <c r="I28" s="102" t="s">
        <v>284</v>
      </c>
      <c r="J28" s="102" t="s">
        <v>26</v>
      </c>
      <c r="L28" s="229" t="s">
        <v>5022</v>
      </c>
      <c r="M28" s="229" t="s">
        <v>5027</v>
      </c>
      <c r="O28" s="102">
        <v>1.0</v>
      </c>
      <c r="S28" s="230"/>
      <c r="T28" s="230" t="str">
        <f>IF(ISNUMBER(MATCH(B28, 'Sprint 16'!B:B, 0)), "มาจาก Sprint 16", "")</f>
        <v/>
      </c>
      <c r="U28" s="230" t="str">
        <f t="array" ref="U28">IF(ISNUMBER(MATCH(B28, 'Sprint 16'!B:B, 0)), INDEX('Sprint 16'!J:J, MATCH(B28, 'Sprint 16'!B:B, 0)), "")</f>
        <v/>
      </c>
      <c r="V28" s="230"/>
      <c r="W28" s="102" t="s">
        <v>3557</v>
      </c>
    </row>
    <row r="29">
      <c r="A29" s="102" t="s">
        <v>310</v>
      </c>
      <c r="B29" s="102" t="s">
        <v>5028</v>
      </c>
      <c r="C29" s="229" t="s">
        <v>5029</v>
      </c>
      <c r="D29" s="102" t="s">
        <v>5030</v>
      </c>
      <c r="E29" s="102" t="s">
        <v>564</v>
      </c>
      <c r="F29" s="102" t="s">
        <v>565</v>
      </c>
      <c r="G29" s="102" t="s">
        <v>282</v>
      </c>
      <c r="H29" s="102" t="s">
        <v>283</v>
      </c>
      <c r="I29" s="102" t="s">
        <v>284</v>
      </c>
      <c r="J29" s="102" t="s">
        <v>26</v>
      </c>
      <c r="L29" s="229" t="s">
        <v>5022</v>
      </c>
      <c r="M29" s="229" t="s">
        <v>5027</v>
      </c>
      <c r="O29" s="102">
        <v>1.0</v>
      </c>
      <c r="S29" s="230"/>
      <c r="T29" s="230" t="str">
        <f>IF(ISNUMBER(MATCH(B29, 'Sprint 16'!B:B, 0)), "มาจาก Sprint 16", "")</f>
        <v/>
      </c>
      <c r="U29" s="230" t="str">
        <f t="array" ref="U29">IF(ISNUMBER(MATCH(B29, 'Sprint 16'!B:B, 0)), INDEX('Sprint 16'!J:J, MATCH(B29, 'Sprint 16'!B:B, 0)), "")</f>
        <v/>
      </c>
      <c r="V29" s="230"/>
      <c r="W29" s="102" t="s">
        <v>3557</v>
      </c>
    </row>
    <row r="30">
      <c r="A30" s="102" t="s">
        <v>310</v>
      </c>
      <c r="B30" s="102" t="s">
        <v>5031</v>
      </c>
      <c r="C30" s="229" t="s">
        <v>5032</v>
      </c>
      <c r="D30" s="102" t="s">
        <v>5033</v>
      </c>
      <c r="E30" s="102" t="s">
        <v>564</v>
      </c>
      <c r="F30" s="102" t="s">
        <v>565</v>
      </c>
      <c r="G30" s="102" t="s">
        <v>282</v>
      </c>
      <c r="H30" s="102" t="s">
        <v>283</v>
      </c>
      <c r="I30" s="102" t="s">
        <v>284</v>
      </c>
      <c r="J30" s="102" t="s">
        <v>355</v>
      </c>
      <c r="L30" s="229" t="s">
        <v>5022</v>
      </c>
      <c r="M30" s="229" t="s">
        <v>5034</v>
      </c>
      <c r="O30" s="102">
        <v>1.0</v>
      </c>
      <c r="S30" s="230"/>
      <c r="T30" s="230" t="str">
        <f>IF(ISNUMBER(MATCH(B30, 'Sprint 16'!B:B, 0)), "มาจาก Sprint 16", "")</f>
        <v/>
      </c>
      <c r="U30" s="230" t="str">
        <f t="array" ref="U30">IF(ISNUMBER(MATCH(B30, 'Sprint 16'!B:B, 0)), INDEX('Sprint 16'!J:J, MATCH(B30, 'Sprint 16'!B:B, 0)), "")</f>
        <v/>
      </c>
      <c r="V30" s="230"/>
      <c r="W30" s="102" t="s">
        <v>3557</v>
      </c>
    </row>
    <row r="31">
      <c r="A31" s="102" t="s">
        <v>310</v>
      </c>
      <c r="B31" s="102" t="s">
        <v>5035</v>
      </c>
      <c r="C31" s="229" t="s">
        <v>5036</v>
      </c>
      <c r="D31" s="102" t="s">
        <v>5037</v>
      </c>
      <c r="E31" s="102" t="s">
        <v>584</v>
      </c>
      <c r="F31" s="102" t="s">
        <v>585</v>
      </c>
      <c r="G31" s="102" t="s">
        <v>282</v>
      </c>
      <c r="H31" s="102" t="s">
        <v>283</v>
      </c>
      <c r="I31" s="102" t="s">
        <v>284</v>
      </c>
      <c r="J31" s="102" t="s">
        <v>26</v>
      </c>
      <c r="L31" s="229" t="s">
        <v>5022</v>
      </c>
      <c r="M31" s="229" t="s">
        <v>5038</v>
      </c>
      <c r="O31" s="102">
        <v>1.0</v>
      </c>
      <c r="S31" s="102">
        <v>7200.0</v>
      </c>
      <c r="T31" s="230" t="str">
        <f>IF(ISNUMBER(MATCH(B31, 'Sprint 16'!B:B, 0)), "มาจาก Sprint 16", "")</f>
        <v/>
      </c>
      <c r="U31" s="230" t="str">
        <f t="array" ref="U31">IF(ISNUMBER(MATCH(B31, 'Sprint 16'!B:B, 0)), INDEX('Sprint 16'!J:J, MATCH(B31, 'Sprint 16'!B:B, 0)), "")</f>
        <v/>
      </c>
      <c r="V31" s="102"/>
      <c r="W31" s="102" t="s">
        <v>3557</v>
      </c>
    </row>
    <row r="32">
      <c r="A32" s="102" t="s">
        <v>310</v>
      </c>
      <c r="B32" s="102" t="s">
        <v>5039</v>
      </c>
      <c r="C32" s="229" t="s">
        <v>5040</v>
      </c>
      <c r="D32" s="102" t="s">
        <v>5041</v>
      </c>
      <c r="E32" s="102" t="s">
        <v>556</v>
      </c>
      <c r="F32" s="102" t="s">
        <v>557</v>
      </c>
      <c r="G32" s="102" t="s">
        <v>282</v>
      </c>
      <c r="H32" s="102" t="s">
        <v>283</v>
      </c>
      <c r="I32" s="102" t="s">
        <v>284</v>
      </c>
      <c r="J32" s="102" t="s">
        <v>355</v>
      </c>
      <c r="L32" s="229" t="s">
        <v>5022</v>
      </c>
      <c r="M32" s="229" t="s">
        <v>5042</v>
      </c>
      <c r="O32" s="102">
        <v>1.0</v>
      </c>
      <c r="S32" s="230"/>
      <c r="T32" s="230" t="str">
        <f>IF(ISNUMBER(MATCH(B32, 'Sprint 16'!B:B, 0)), "มาจาก Sprint 16", "")</f>
        <v/>
      </c>
      <c r="U32" s="230" t="str">
        <f t="array" ref="U32">IF(ISNUMBER(MATCH(B32, 'Sprint 16'!B:B, 0)), INDEX('Sprint 16'!J:J, MATCH(B32, 'Sprint 16'!B:B, 0)), "")</f>
        <v/>
      </c>
      <c r="V32" s="230"/>
      <c r="W32" s="102" t="s">
        <v>3557</v>
      </c>
    </row>
    <row r="33">
      <c r="A33" s="102" t="s">
        <v>310</v>
      </c>
      <c r="B33" s="102" t="s">
        <v>5043</v>
      </c>
      <c r="C33" s="229" t="s">
        <v>5044</v>
      </c>
      <c r="D33" s="102" t="s">
        <v>5045</v>
      </c>
      <c r="E33" s="102" t="s">
        <v>328</v>
      </c>
      <c r="F33" s="102" t="s">
        <v>329</v>
      </c>
      <c r="G33" s="102" t="s">
        <v>282</v>
      </c>
      <c r="H33" s="102" t="s">
        <v>283</v>
      </c>
      <c r="I33" s="102" t="s">
        <v>284</v>
      </c>
      <c r="J33" s="102" t="s">
        <v>34</v>
      </c>
      <c r="L33" s="229" t="s">
        <v>5022</v>
      </c>
      <c r="M33" s="229" t="s">
        <v>5046</v>
      </c>
      <c r="O33" s="102">
        <v>1.0</v>
      </c>
      <c r="S33" s="230"/>
      <c r="T33" s="230" t="str">
        <f>IF(ISNUMBER(MATCH(B33, 'Sprint 16'!B:B, 0)), "มาจาก Sprint 16", "")</f>
        <v/>
      </c>
      <c r="U33" s="230" t="str">
        <f t="array" ref="U33">IF(ISNUMBER(MATCH(B33, 'Sprint 16'!B:B, 0)), INDEX('Sprint 16'!J:J, MATCH(B33, 'Sprint 16'!B:B, 0)), "")</f>
        <v/>
      </c>
      <c r="V33" s="230"/>
      <c r="W33" s="102" t="s">
        <v>3557</v>
      </c>
    </row>
    <row r="34">
      <c r="A34" s="102" t="s">
        <v>310</v>
      </c>
      <c r="B34" s="102" t="s">
        <v>5047</v>
      </c>
      <c r="C34" s="229" t="s">
        <v>5048</v>
      </c>
      <c r="D34" s="102" t="s">
        <v>5049</v>
      </c>
      <c r="E34" s="102" t="s">
        <v>584</v>
      </c>
      <c r="F34" s="102" t="s">
        <v>585</v>
      </c>
      <c r="G34" s="102" t="s">
        <v>282</v>
      </c>
      <c r="H34" s="102" t="s">
        <v>283</v>
      </c>
      <c r="I34" s="102" t="s">
        <v>284</v>
      </c>
      <c r="J34" s="102" t="s">
        <v>355</v>
      </c>
      <c r="L34" s="229" t="s">
        <v>5022</v>
      </c>
      <c r="M34" s="229" t="s">
        <v>5050</v>
      </c>
      <c r="O34" s="102">
        <v>1.0</v>
      </c>
      <c r="S34" s="102">
        <v>28800.0</v>
      </c>
      <c r="T34" s="230" t="str">
        <f>IF(ISNUMBER(MATCH(B34, 'Sprint 16'!B:B, 0)), "มาจาก Sprint 16", "")</f>
        <v/>
      </c>
      <c r="U34" s="230" t="str">
        <f t="array" ref="U34">IF(ISNUMBER(MATCH(B34, 'Sprint 16'!B:B, 0)), INDEX('Sprint 16'!J:J, MATCH(B34, 'Sprint 16'!B:B, 0)), "")</f>
        <v/>
      </c>
      <c r="V34" s="102"/>
      <c r="W34" s="102" t="s">
        <v>3557</v>
      </c>
    </row>
    <row r="35">
      <c r="A35" s="102" t="s">
        <v>310</v>
      </c>
      <c r="B35" s="102" t="s">
        <v>5051</v>
      </c>
      <c r="C35" s="229" t="s">
        <v>5052</v>
      </c>
      <c r="D35" s="102" t="s">
        <v>5053</v>
      </c>
      <c r="E35" s="102" t="s">
        <v>584</v>
      </c>
      <c r="F35" s="102" t="s">
        <v>585</v>
      </c>
      <c r="G35" s="102" t="s">
        <v>282</v>
      </c>
      <c r="H35" s="102" t="s">
        <v>283</v>
      </c>
      <c r="I35" s="102" t="s">
        <v>284</v>
      </c>
      <c r="J35" s="102" t="s">
        <v>26</v>
      </c>
      <c r="L35" s="229" t="s">
        <v>5022</v>
      </c>
      <c r="M35" s="229" t="s">
        <v>5038</v>
      </c>
      <c r="O35" s="102">
        <v>1.0</v>
      </c>
      <c r="S35" s="102">
        <v>7200.0</v>
      </c>
      <c r="T35" s="230" t="str">
        <f>IF(ISNUMBER(MATCH(B35, 'Sprint 16'!B:B, 0)), "มาจาก Sprint 16", "")</f>
        <v/>
      </c>
      <c r="U35" s="230" t="str">
        <f t="array" ref="U35">IF(ISNUMBER(MATCH(B35, 'Sprint 16'!B:B, 0)), INDEX('Sprint 16'!J:J, MATCH(B35, 'Sprint 16'!B:B, 0)), "")</f>
        <v/>
      </c>
      <c r="V35" s="102"/>
      <c r="W35" s="102" t="s">
        <v>3557</v>
      </c>
    </row>
    <row r="36">
      <c r="A36" s="102" t="s">
        <v>310</v>
      </c>
      <c r="B36" s="102" t="s">
        <v>5054</v>
      </c>
      <c r="C36" s="229" t="s">
        <v>5055</v>
      </c>
      <c r="D36" s="102" t="s">
        <v>5056</v>
      </c>
      <c r="E36" s="102" t="s">
        <v>556</v>
      </c>
      <c r="F36" s="102" t="s">
        <v>557</v>
      </c>
      <c r="G36" s="102" t="s">
        <v>282</v>
      </c>
      <c r="H36" s="102" t="s">
        <v>283</v>
      </c>
      <c r="I36" s="102" t="s">
        <v>284</v>
      </c>
      <c r="J36" s="102" t="s">
        <v>26</v>
      </c>
      <c r="L36" s="229" t="s">
        <v>5022</v>
      </c>
      <c r="M36" s="229" t="s">
        <v>5057</v>
      </c>
      <c r="O36" s="102">
        <v>1.0</v>
      </c>
      <c r="S36" s="230"/>
      <c r="T36" s="230" t="str">
        <f>IF(ISNUMBER(MATCH(B36, 'Sprint 16'!B:B, 0)), "มาจาก Sprint 16", "")</f>
        <v/>
      </c>
      <c r="U36" s="230" t="str">
        <f t="array" ref="U36">IF(ISNUMBER(MATCH(B36, 'Sprint 16'!B:B, 0)), INDEX('Sprint 16'!J:J, MATCH(B36, 'Sprint 16'!B:B, 0)), "")</f>
        <v/>
      </c>
      <c r="V36" s="230"/>
      <c r="W36" s="102" t="s">
        <v>3557</v>
      </c>
    </row>
    <row r="37">
      <c r="A37" s="102" t="s">
        <v>310</v>
      </c>
      <c r="B37" s="102" t="s">
        <v>5058</v>
      </c>
      <c r="C37" s="229" t="s">
        <v>5059</v>
      </c>
      <c r="D37" s="102" t="s">
        <v>5060</v>
      </c>
      <c r="E37" s="102" t="s">
        <v>328</v>
      </c>
      <c r="F37" s="102" t="s">
        <v>329</v>
      </c>
      <c r="G37" s="102" t="s">
        <v>282</v>
      </c>
      <c r="H37" s="102" t="s">
        <v>283</v>
      </c>
      <c r="I37" s="102" t="s">
        <v>284</v>
      </c>
      <c r="J37" s="102" t="s">
        <v>355</v>
      </c>
      <c r="L37" s="229" t="s">
        <v>5061</v>
      </c>
      <c r="M37" s="229" t="s">
        <v>5046</v>
      </c>
      <c r="O37" s="102">
        <v>1.0</v>
      </c>
      <c r="S37" s="230"/>
      <c r="T37" s="230" t="str">
        <f>IF(ISNUMBER(MATCH(B37, 'Sprint 16'!B:B, 0)), "มาจาก Sprint 16", "")</f>
        <v/>
      </c>
      <c r="U37" s="230" t="str">
        <f t="array" ref="U37">IF(ISNUMBER(MATCH(B37, 'Sprint 16'!B:B, 0)), INDEX('Sprint 16'!J:J, MATCH(B37, 'Sprint 16'!B:B, 0)), "")</f>
        <v/>
      </c>
      <c r="V37" s="230"/>
      <c r="W37" s="102" t="s">
        <v>3557</v>
      </c>
    </row>
    <row r="38">
      <c r="A38" s="102" t="s">
        <v>310</v>
      </c>
      <c r="B38" s="102" t="s">
        <v>5062</v>
      </c>
      <c r="C38" s="229" t="s">
        <v>5063</v>
      </c>
      <c r="D38" s="102" t="s">
        <v>5064</v>
      </c>
      <c r="E38" s="102" t="s">
        <v>495</v>
      </c>
      <c r="F38" s="102" t="s">
        <v>496</v>
      </c>
      <c r="G38" s="102" t="s">
        <v>282</v>
      </c>
      <c r="H38" s="102" t="s">
        <v>283</v>
      </c>
      <c r="I38" s="102" t="s">
        <v>284</v>
      </c>
      <c r="J38" s="102" t="s">
        <v>355</v>
      </c>
      <c r="L38" s="229" t="s">
        <v>5061</v>
      </c>
      <c r="M38" s="229" t="s">
        <v>5050</v>
      </c>
      <c r="O38" s="102">
        <v>1.0</v>
      </c>
      <c r="S38" s="102">
        <v>14400.0</v>
      </c>
      <c r="T38" s="230" t="str">
        <f>IF(ISNUMBER(MATCH(B38, 'Sprint 16'!B:B, 0)), "มาจาก Sprint 16", "")</f>
        <v/>
      </c>
      <c r="U38" s="230" t="str">
        <f t="array" ref="U38">IF(ISNUMBER(MATCH(B38, 'Sprint 16'!B:B, 0)), INDEX('Sprint 16'!J:J, MATCH(B38, 'Sprint 16'!B:B, 0)), "")</f>
        <v/>
      </c>
      <c r="V38" s="102"/>
      <c r="W38" s="102" t="s">
        <v>3557</v>
      </c>
    </row>
    <row r="39">
      <c r="A39" s="102" t="s">
        <v>310</v>
      </c>
      <c r="B39" s="102" t="s">
        <v>5065</v>
      </c>
      <c r="C39" s="229" t="s">
        <v>5066</v>
      </c>
      <c r="D39" s="102" t="s">
        <v>5067</v>
      </c>
      <c r="E39" s="102" t="s">
        <v>304</v>
      </c>
      <c r="F39" s="102" t="s">
        <v>305</v>
      </c>
      <c r="G39" s="102" t="s">
        <v>282</v>
      </c>
      <c r="H39" s="102" t="s">
        <v>283</v>
      </c>
      <c r="I39" s="102" t="s">
        <v>284</v>
      </c>
      <c r="J39" s="102" t="s">
        <v>26</v>
      </c>
      <c r="L39" s="229" t="s">
        <v>5061</v>
      </c>
      <c r="M39" s="229" t="s">
        <v>5068</v>
      </c>
      <c r="O39" s="102">
        <v>1.0</v>
      </c>
      <c r="S39" s="230"/>
      <c r="T39" s="230" t="str">
        <f>IF(ISNUMBER(MATCH(B39, 'Sprint 16'!B:B, 0)), "มาจาก Sprint 16", "")</f>
        <v/>
      </c>
      <c r="U39" s="230" t="str">
        <f t="array" ref="U39">IF(ISNUMBER(MATCH(B39, 'Sprint 16'!B:B, 0)), INDEX('Sprint 16'!J:J, MATCH(B39, 'Sprint 16'!B:B, 0)), "")</f>
        <v/>
      </c>
      <c r="V39" s="230"/>
      <c r="W39" s="102" t="s">
        <v>3557</v>
      </c>
    </row>
    <row r="40">
      <c r="A40" s="102" t="s">
        <v>310</v>
      </c>
      <c r="B40" s="102" t="s">
        <v>5069</v>
      </c>
      <c r="C40" s="229" t="s">
        <v>5070</v>
      </c>
      <c r="D40" s="102" t="s">
        <v>5071</v>
      </c>
      <c r="E40" s="102" t="s">
        <v>495</v>
      </c>
      <c r="F40" s="102" t="s">
        <v>496</v>
      </c>
      <c r="G40" s="102" t="s">
        <v>282</v>
      </c>
      <c r="H40" s="102" t="s">
        <v>283</v>
      </c>
      <c r="I40" s="102" t="s">
        <v>284</v>
      </c>
      <c r="J40" s="102" t="s">
        <v>355</v>
      </c>
      <c r="L40" s="229" t="s">
        <v>5061</v>
      </c>
      <c r="M40" s="229" t="s">
        <v>5050</v>
      </c>
      <c r="O40" s="102">
        <v>1.0</v>
      </c>
      <c r="P40" s="102" t="s">
        <v>593</v>
      </c>
      <c r="S40" s="102">
        <v>14400.0</v>
      </c>
      <c r="T40" s="230" t="str">
        <f>IF(ISNUMBER(MATCH(B40, 'Sprint 16'!B:B, 0)), "มาจาก Sprint 16", "")</f>
        <v/>
      </c>
      <c r="U40" s="230" t="str">
        <f t="array" ref="U40">IF(ISNUMBER(MATCH(B40, 'Sprint 16'!B:B, 0)), INDEX('Sprint 16'!J:J, MATCH(B40, 'Sprint 16'!B:B, 0)), "")</f>
        <v/>
      </c>
      <c r="V40" s="102"/>
      <c r="W40" s="102" t="s">
        <v>3557</v>
      </c>
    </row>
    <row r="41">
      <c r="A41" s="102" t="s">
        <v>310</v>
      </c>
      <c r="B41" s="102" t="s">
        <v>5072</v>
      </c>
      <c r="C41" s="229" t="s">
        <v>5073</v>
      </c>
      <c r="D41" s="102" t="s">
        <v>5074</v>
      </c>
      <c r="E41" s="102" t="s">
        <v>564</v>
      </c>
      <c r="F41" s="102" t="s">
        <v>565</v>
      </c>
      <c r="G41" s="102" t="s">
        <v>282</v>
      </c>
      <c r="H41" s="102" t="s">
        <v>283</v>
      </c>
      <c r="I41" s="102" t="s">
        <v>284</v>
      </c>
      <c r="J41" s="102" t="s">
        <v>26</v>
      </c>
      <c r="L41" s="229" t="s">
        <v>4838</v>
      </c>
      <c r="M41" s="229" t="s">
        <v>5057</v>
      </c>
      <c r="O41" s="102">
        <v>1.0</v>
      </c>
      <c r="P41" s="102" t="s">
        <v>593</v>
      </c>
      <c r="S41" s="230"/>
      <c r="T41" s="230" t="str">
        <f>IF(ISNUMBER(MATCH(B41, 'Sprint 16'!B:B, 0)), "มาจาก Sprint 16", "")</f>
        <v/>
      </c>
      <c r="U41" s="230" t="str">
        <f t="array" ref="U41">IF(ISNUMBER(MATCH(B41, 'Sprint 16'!B:B, 0)), INDEX('Sprint 16'!J:J, MATCH(B41, 'Sprint 16'!B:B, 0)), "")</f>
        <v/>
      </c>
      <c r="V41" s="230"/>
      <c r="W41" s="102" t="s">
        <v>3557</v>
      </c>
    </row>
    <row r="42">
      <c r="A42" s="102" t="s">
        <v>310</v>
      </c>
      <c r="B42" s="102" t="s">
        <v>5075</v>
      </c>
      <c r="C42" s="229" t="s">
        <v>5076</v>
      </c>
      <c r="D42" s="102" t="s">
        <v>5077</v>
      </c>
      <c r="E42" s="102" t="s">
        <v>328</v>
      </c>
      <c r="F42" s="102" t="s">
        <v>329</v>
      </c>
      <c r="G42" s="102" t="s">
        <v>282</v>
      </c>
      <c r="H42" s="102" t="s">
        <v>283</v>
      </c>
      <c r="I42" s="102" t="s">
        <v>284</v>
      </c>
      <c r="J42" s="102" t="s">
        <v>26</v>
      </c>
      <c r="L42" s="229" t="s">
        <v>4838</v>
      </c>
      <c r="M42" s="229" t="s">
        <v>5057</v>
      </c>
      <c r="O42" s="102">
        <v>1.0</v>
      </c>
      <c r="P42" s="102" t="s">
        <v>593</v>
      </c>
      <c r="S42" s="230"/>
      <c r="T42" s="230" t="str">
        <f>IF(ISNUMBER(MATCH(B42, 'Sprint 16'!B:B, 0)), "มาจาก Sprint 16", "")</f>
        <v/>
      </c>
      <c r="U42" s="230" t="str">
        <f t="array" ref="U42">IF(ISNUMBER(MATCH(B42, 'Sprint 16'!B:B, 0)), INDEX('Sprint 16'!J:J, MATCH(B42, 'Sprint 16'!B:B, 0)), "")</f>
        <v/>
      </c>
      <c r="V42" s="230"/>
      <c r="W42" s="102" t="s">
        <v>3557</v>
      </c>
    </row>
    <row r="43">
      <c r="A43" s="102" t="s">
        <v>310</v>
      </c>
      <c r="B43" s="102" t="s">
        <v>5078</v>
      </c>
      <c r="C43" s="229" t="s">
        <v>5079</v>
      </c>
      <c r="D43" s="102" t="s">
        <v>5080</v>
      </c>
      <c r="E43" s="102" t="s">
        <v>282</v>
      </c>
      <c r="F43" s="102" t="s">
        <v>283</v>
      </c>
      <c r="G43" s="102" t="s">
        <v>282</v>
      </c>
      <c r="H43" s="102" t="s">
        <v>283</v>
      </c>
      <c r="I43" s="102" t="s">
        <v>284</v>
      </c>
      <c r="J43" s="102" t="s">
        <v>26</v>
      </c>
      <c r="L43" s="229" t="s">
        <v>4838</v>
      </c>
      <c r="M43" s="229" t="s">
        <v>5081</v>
      </c>
      <c r="O43" s="102">
        <v>1.0</v>
      </c>
      <c r="P43" s="102" t="s">
        <v>593</v>
      </c>
      <c r="S43" s="230"/>
      <c r="T43" s="230" t="str">
        <f>IF(ISNUMBER(MATCH(B43, 'Sprint 16'!B:B, 0)), "มาจาก Sprint 16", "")</f>
        <v/>
      </c>
      <c r="U43" s="230" t="str">
        <f t="array" ref="U43">IF(ISNUMBER(MATCH(B43, 'Sprint 16'!B:B, 0)), INDEX('Sprint 16'!J:J, MATCH(B43, 'Sprint 16'!B:B, 0)), "")</f>
        <v/>
      </c>
      <c r="V43" s="230"/>
      <c r="W43" s="102" t="s">
        <v>3557</v>
      </c>
    </row>
    <row r="44">
      <c r="A44" s="102" t="s">
        <v>310</v>
      </c>
      <c r="B44" s="102" t="s">
        <v>5082</v>
      </c>
      <c r="C44" s="229" t="s">
        <v>5083</v>
      </c>
      <c r="D44" s="102" t="s">
        <v>5084</v>
      </c>
      <c r="E44" s="102" t="s">
        <v>282</v>
      </c>
      <c r="F44" s="102" t="s">
        <v>283</v>
      </c>
      <c r="G44" s="102" t="s">
        <v>282</v>
      </c>
      <c r="H44" s="102" t="s">
        <v>283</v>
      </c>
      <c r="I44" s="102" t="s">
        <v>284</v>
      </c>
      <c r="J44" s="102" t="s">
        <v>26</v>
      </c>
      <c r="L44" s="229" t="s">
        <v>4838</v>
      </c>
      <c r="M44" s="229" t="s">
        <v>5081</v>
      </c>
      <c r="O44" s="102">
        <v>1.0</v>
      </c>
      <c r="P44" s="102" t="s">
        <v>593</v>
      </c>
      <c r="S44" s="230"/>
      <c r="T44" s="230" t="str">
        <f>IF(ISNUMBER(MATCH(B44, 'Sprint 16'!B:B, 0)), "มาจาก Sprint 16", "")</f>
        <v/>
      </c>
      <c r="U44" s="230" t="str">
        <f t="array" ref="U44">IF(ISNUMBER(MATCH(B44, 'Sprint 16'!B:B, 0)), INDEX('Sprint 16'!J:J, MATCH(B44, 'Sprint 16'!B:B, 0)), "")</f>
        <v/>
      </c>
      <c r="V44" s="230"/>
      <c r="W44" s="102" t="s">
        <v>3557</v>
      </c>
    </row>
    <row r="45">
      <c r="A45" s="102" t="s">
        <v>310</v>
      </c>
      <c r="B45" s="102" t="s">
        <v>5085</v>
      </c>
      <c r="C45" s="229" t="s">
        <v>5086</v>
      </c>
      <c r="D45" s="102" t="s">
        <v>5087</v>
      </c>
      <c r="E45" s="102" t="s">
        <v>564</v>
      </c>
      <c r="F45" s="102" t="s">
        <v>565</v>
      </c>
      <c r="G45" s="102" t="s">
        <v>282</v>
      </c>
      <c r="H45" s="102" t="s">
        <v>283</v>
      </c>
      <c r="I45" s="102" t="s">
        <v>284</v>
      </c>
      <c r="J45" s="102" t="s">
        <v>26</v>
      </c>
      <c r="L45" s="229" t="s">
        <v>4838</v>
      </c>
      <c r="M45" s="229" t="s">
        <v>5088</v>
      </c>
      <c r="O45" s="102">
        <v>1.0</v>
      </c>
      <c r="P45" s="102" t="s">
        <v>593</v>
      </c>
      <c r="S45" s="230"/>
      <c r="T45" s="230" t="str">
        <f>IF(ISNUMBER(MATCH(B45, 'Sprint 16'!B:B, 0)), "มาจาก Sprint 16", "")</f>
        <v/>
      </c>
      <c r="U45" s="230" t="str">
        <f t="array" ref="U45">IF(ISNUMBER(MATCH(B45, 'Sprint 16'!B:B, 0)), INDEX('Sprint 16'!J:J, MATCH(B45, 'Sprint 16'!B:B, 0)), "")</f>
        <v/>
      </c>
      <c r="V45" s="230"/>
      <c r="W45" s="102" t="s">
        <v>3557</v>
      </c>
    </row>
    <row r="46">
      <c r="A46" s="102" t="s">
        <v>310</v>
      </c>
      <c r="B46" s="102" t="s">
        <v>5089</v>
      </c>
      <c r="C46" s="229" t="s">
        <v>5090</v>
      </c>
      <c r="D46" s="102" t="s">
        <v>5091</v>
      </c>
      <c r="E46" s="102" t="s">
        <v>328</v>
      </c>
      <c r="F46" s="102" t="s">
        <v>329</v>
      </c>
      <c r="G46" s="102" t="s">
        <v>282</v>
      </c>
      <c r="H46" s="102" t="s">
        <v>283</v>
      </c>
      <c r="I46" s="102" t="s">
        <v>284</v>
      </c>
      <c r="J46" s="102" t="s">
        <v>26</v>
      </c>
      <c r="L46" s="229" t="s">
        <v>4838</v>
      </c>
      <c r="M46" s="229" t="s">
        <v>5088</v>
      </c>
      <c r="O46" s="102">
        <v>1.0</v>
      </c>
      <c r="P46" s="102" t="s">
        <v>593</v>
      </c>
      <c r="S46" s="230"/>
      <c r="T46" s="230" t="str">
        <f>IF(ISNUMBER(MATCH(B46, 'Sprint 16'!B:B, 0)), "มาจาก Sprint 16", "")</f>
        <v/>
      </c>
      <c r="U46" s="230" t="str">
        <f t="array" ref="U46">IF(ISNUMBER(MATCH(B46, 'Sprint 16'!B:B, 0)), INDEX('Sprint 16'!J:J, MATCH(B46, 'Sprint 16'!B:B, 0)), "")</f>
        <v/>
      </c>
      <c r="V46" s="230"/>
      <c r="W46" s="102" t="s">
        <v>3557</v>
      </c>
    </row>
    <row r="47">
      <c r="A47" s="102" t="s">
        <v>310</v>
      </c>
      <c r="B47" s="102" t="s">
        <v>5092</v>
      </c>
      <c r="C47" s="229" t="s">
        <v>5093</v>
      </c>
      <c r="D47" s="102" t="s">
        <v>5094</v>
      </c>
      <c r="E47" s="102" t="s">
        <v>564</v>
      </c>
      <c r="F47" s="102" t="s">
        <v>565</v>
      </c>
      <c r="G47" s="102" t="s">
        <v>282</v>
      </c>
      <c r="H47" s="102" t="s">
        <v>283</v>
      </c>
      <c r="I47" s="102" t="s">
        <v>284</v>
      </c>
      <c r="J47" s="102" t="s">
        <v>355</v>
      </c>
      <c r="L47" s="229" t="s">
        <v>4838</v>
      </c>
      <c r="M47" s="229" t="s">
        <v>5095</v>
      </c>
      <c r="O47" s="102">
        <v>1.0</v>
      </c>
      <c r="P47" s="102" t="s">
        <v>593</v>
      </c>
      <c r="S47" s="230"/>
      <c r="T47" s="230" t="str">
        <f>IF(ISNUMBER(MATCH(B47, 'Sprint 16'!B:B, 0)), "มาจาก Sprint 16", "")</f>
        <v/>
      </c>
      <c r="U47" s="230" t="str">
        <f t="array" ref="U47">IF(ISNUMBER(MATCH(B47, 'Sprint 16'!B:B, 0)), INDEX('Sprint 16'!J:J, MATCH(B47, 'Sprint 16'!B:B, 0)), "")</f>
        <v/>
      </c>
      <c r="V47" s="230"/>
      <c r="W47" s="102" t="s">
        <v>3557</v>
      </c>
    </row>
    <row r="48">
      <c r="A48" s="102" t="s">
        <v>310</v>
      </c>
      <c r="B48" s="102" t="s">
        <v>4835</v>
      </c>
      <c r="C48" s="229" t="s">
        <v>4836</v>
      </c>
      <c r="D48" s="102" t="s">
        <v>4837</v>
      </c>
      <c r="E48" s="102" t="s">
        <v>556</v>
      </c>
      <c r="F48" s="102" t="s">
        <v>557</v>
      </c>
      <c r="G48" s="102" t="s">
        <v>282</v>
      </c>
      <c r="H48" s="102" t="s">
        <v>283</v>
      </c>
      <c r="I48" s="102" t="s">
        <v>284</v>
      </c>
      <c r="J48" s="102" t="s">
        <v>355</v>
      </c>
      <c r="L48" s="229" t="s">
        <v>4838</v>
      </c>
      <c r="M48" s="229" t="s">
        <v>5096</v>
      </c>
      <c r="O48" s="102">
        <v>1.0</v>
      </c>
      <c r="P48" s="102" t="s">
        <v>593</v>
      </c>
      <c r="S48" s="230"/>
      <c r="T48" s="230" t="str">
        <f>IF(ISNUMBER(MATCH(B48, 'Sprint 16'!B:B, 0)), "มาจาก Sprint 16", "")</f>
        <v/>
      </c>
      <c r="U48" s="230" t="str">
        <f t="array" ref="U48">IF(ISNUMBER(MATCH(B48, 'Sprint 16'!B:B, 0)), INDEX('Sprint 16'!J:J, MATCH(B48, 'Sprint 16'!B:B, 0)), "")</f>
        <v/>
      </c>
      <c r="V48" s="230"/>
      <c r="W48" s="102" t="s">
        <v>3557</v>
      </c>
    </row>
    <row r="49">
      <c r="A49" s="102" t="s">
        <v>310</v>
      </c>
      <c r="B49" s="102" t="s">
        <v>5097</v>
      </c>
      <c r="C49" s="229" t="s">
        <v>5098</v>
      </c>
      <c r="D49" s="102" t="s">
        <v>5099</v>
      </c>
      <c r="E49" s="102" t="s">
        <v>282</v>
      </c>
      <c r="F49" s="102" t="s">
        <v>283</v>
      </c>
      <c r="G49" s="102" t="s">
        <v>282</v>
      </c>
      <c r="H49" s="102" t="s">
        <v>283</v>
      </c>
      <c r="I49" s="102" t="s">
        <v>284</v>
      </c>
      <c r="J49" s="102" t="s">
        <v>355</v>
      </c>
      <c r="L49" s="229" t="s">
        <v>4838</v>
      </c>
      <c r="M49" s="229" t="s">
        <v>5100</v>
      </c>
      <c r="O49" s="102">
        <v>1.0</v>
      </c>
      <c r="P49" s="102" t="s">
        <v>593</v>
      </c>
      <c r="S49" s="230"/>
      <c r="T49" s="230" t="str">
        <f>IF(ISNUMBER(MATCH(B49, 'Sprint 16'!B:B, 0)), "มาจาก Sprint 16", "")</f>
        <v/>
      </c>
      <c r="U49" s="230" t="str">
        <f t="array" ref="U49">IF(ISNUMBER(MATCH(B49, 'Sprint 16'!B:B, 0)), INDEX('Sprint 16'!J:J, MATCH(B49, 'Sprint 16'!B:B, 0)), "")</f>
        <v/>
      </c>
      <c r="V49" s="230"/>
      <c r="W49" s="102" t="s">
        <v>3557</v>
      </c>
    </row>
    <row r="50">
      <c r="A50" s="102" t="s">
        <v>310</v>
      </c>
      <c r="B50" s="102" t="s">
        <v>5101</v>
      </c>
      <c r="C50" s="229" t="s">
        <v>5102</v>
      </c>
      <c r="D50" s="102" t="s">
        <v>5103</v>
      </c>
      <c r="E50" s="102" t="s">
        <v>282</v>
      </c>
      <c r="F50" s="102" t="s">
        <v>283</v>
      </c>
      <c r="G50" s="102" t="s">
        <v>282</v>
      </c>
      <c r="H50" s="102" t="s">
        <v>283</v>
      </c>
      <c r="I50" s="102" t="s">
        <v>284</v>
      </c>
      <c r="J50" s="102" t="s">
        <v>355</v>
      </c>
      <c r="L50" s="229" t="s">
        <v>4838</v>
      </c>
      <c r="M50" s="229" t="s">
        <v>5100</v>
      </c>
      <c r="O50" s="102">
        <v>1.0</v>
      </c>
      <c r="P50" s="102" t="s">
        <v>593</v>
      </c>
      <c r="S50" s="230"/>
      <c r="T50" s="230" t="str">
        <f>IF(ISNUMBER(MATCH(B50, 'Sprint 16'!B:B, 0)), "มาจาก Sprint 16", "")</f>
        <v/>
      </c>
      <c r="U50" s="230" t="str">
        <f t="array" ref="U50">IF(ISNUMBER(MATCH(B50, 'Sprint 16'!B:B, 0)), INDEX('Sprint 16'!J:J, MATCH(B50, 'Sprint 16'!B:B, 0)), "")</f>
        <v/>
      </c>
      <c r="V50" s="230"/>
      <c r="W50" s="102" t="s">
        <v>3557</v>
      </c>
    </row>
    <row r="51">
      <c r="A51" s="102" t="s">
        <v>310</v>
      </c>
      <c r="B51" s="102" t="s">
        <v>5104</v>
      </c>
      <c r="C51" s="229" t="s">
        <v>5105</v>
      </c>
      <c r="D51" s="102" t="s">
        <v>5106</v>
      </c>
      <c r="E51" s="102" t="s">
        <v>282</v>
      </c>
      <c r="F51" s="102" t="s">
        <v>283</v>
      </c>
      <c r="G51" s="102" t="s">
        <v>282</v>
      </c>
      <c r="H51" s="102" t="s">
        <v>283</v>
      </c>
      <c r="I51" s="102" t="s">
        <v>284</v>
      </c>
      <c r="J51" s="102" t="s">
        <v>355</v>
      </c>
      <c r="L51" s="229" t="s">
        <v>4838</v>
      </c>
      <c r="M51" s="229" t="s">
        <v>5107</v>
      </c>
      <c r="O51" s="102">
        <v>1.0</v>
      </c>
      <c r="P51" s="102" t="s">
        <v>593</v>
      </c>
      <c r="S51" s="230"/>
      <c r="T51" s="230" t="str">
        <f>IF(ISNUMBER(MATCH(B51, 'Sprint 16'!B:B, 0)), "มาจาก Sprint 16", "")</f>
        <v/>
      </c>
      <c r="U51" s="230" t="str">
        <f t="array" ref="U51">IF(ISNUMBER(MATCH(B51, 'Sprint 16'!B:B, 0)), INDEX('Sprint 16'!J:J, MATCH(B51, 'Sprint 16'!B:B, 0)), "")</f>
        <v/>
      </c>
      <c r="V51" s="230"/>
      <c r="W51" s="102" t="s">
        <v>3557</v>
      </c>
    </row>
    <row r="52">
      <c r="A52" s="102" t="s">
        <v>310</v>
      </c>
      <c r="B52" s="102" t="s">
        <v>4840</v>
      </c>
      <c r="C52" s="229" t="s">
        <v>4841</v>
      </c>
      <c r="D52" s="102" t="s">
        <v>4842</v>
      </c>
      <c r="E52" s="102" t="s">
        <v>495</v>
      </c>
      <c r="F52" s="102" t="s">
        <v>496</v>
      </c>
      <c r="G52" s="102" t="s">
        <v>282</v>
      </c>
      <c r="H52" s="102" t="s">
        <v>283</v>
      </c>
      <c r="I52" s="102" t="s">
        <v>284</v>
      </c>
      <c r="J52" s="102" t="s">
        <v>355</v>
      </c>
      <c r="L52" s="229" t="s">
        <v>4838</v>
      </c>
      <c r="M52" s="229" t="s">
        <v>5050</v>
      </c>
      <c r="O52" s="102">
        <v>1.0</v>
      </c>
      <c r="P52" s="102" t="s">
        <v>593</v>
      </c>
      <c r="S52" s="102">
        <v>28800.0</v>
      </c>
      <c r="T52" s="230" t="str">
        <f>IF(ISNUMBER(MATCH(B52, 'Sprint 16'!B:B, 0)), "มาจาก Sprint 16", "")</f>
        <v/>
      </c>
      <c r="U52" s="230" t="str">
        <f t="array" ref="U52">IF(ISNUMBER(MATCH(B52, 'Sprint 16'!B:B, 0)), INDEX('Sprint 16'!J:J, MATCH(B52, 'Sprint 16'!B:B, 0)), "")</f>
        <v/>
      </c>
      <c r="V52" s="102"/>
      <c r="W52" s="102" t="s">
        <v>3557</v>
      </c>
    </row>
    <row r="53">
      <c r="A53" s="102" t="s">
        <v>310</v>
      </c>
      <c r="B53" s="102" t="s">
        <v>5108</v>
      </c>
      <c r="C53" s="229" t="s">
        <v>5109</v>
      </c>
      <c r="D53" s="102" t="s">
        <v>5110</v>
      </c>
      <c r="E53" s="102" t="s">
        <v>328</v>
      </c>
      <c r="F53" s="102" t="s">
        <v>329</v>
      </c>
      <c r="G53" s="102" t="s">
        <v>282</v>
      </c>
      <c r="H53" s="102" t="s">
        <v>283</v>
      </c>
      <c r="I53" s="102" t="s">
        <v>284</v>
      </c>
      <c r="J53" s="102" t="s">
        <v>355</v>
      </c>
      <c r="L53" s="229" t="s">
        <v>4838</v>
      </c>
      <c r="M53" s="229" t="s">
        <v>5111</v>
      </c>
      <c r="O53" s="102">
        <v>1.0</v>
      </c>
      <c r="P53" s="102" t="s">
        <v>593</v>
      </c>
      <c r="S53" s="230"/>
      <c r="T53" s="230" t="str">
        <f>IF(ISNUMBER(MATCH(B53, 'Sprint 16'!B:B, 0)), "มาจาก Sprint 16", "")</f>
        <v/>
      </c>
      <c r="U53" s="230" t="str">
        <f t="array" ref="U53">IF(ISNUMBER(MATCH(B53, 'Sprint 16'!B:B, 0)), INDEX('Sprint 16'!J:J, MATCH(B53, 'Sprint 16'!B:B, 0)), "")</f>
        <v/>
      </c>
      <c r="V53" s="230"/>
      <c r="W53" s="102" t="s">
        <v>3557</v>
      </c>
    </row>
    <row r="54">
      <c r="A54" s="102" t="s">
        <v>310</v>
      </c>
      <c r="B54" s="102" t="s">
        <v>4843</v>
      </c>
      <c r="C54" s="229" t="s">
        <v>4844</v>
      </c>
      <c r="D54" s="102" t="s">
        <v>4845</v>
      </c>
      <c r="E54" s="102" t="s">
        <v>556</v>
      </c>
      <c r="F54" s="102" t="s">
        <v>557</v>
      </c>
      <c r="G54" s="102" t="s">
        <v>282</v>
      </c>
      <c r="H54" s="102" t="s">
        <v>283</v>
      </c>
      <c r="I54" s="102" t="s">
        <v>284</v>
      </c>
      <c r="J54" s="102" t="s">
        <v>355</v>
      </c>
      <c r="L54" s="229" t="s">
        <v>4838</v>
      </c>
      <c r="M54" s="229" t="s">
        <v>5112</v>
      </c>
      <c r="O54" s="102">
        <v>1.0</v>
      </c>
      <c r="P54" s="102" t="s">
        <v>593</v>
      </c>
      <c r="S54" s="230"/>
      <c r="T54" s="230" t="str">
        <f>IF(ISNUMBER(MATCH(B54, 'Sprint 16'!B:B, 0)), "มาจาก Sprint 16", "")</f>
        <v/>
      </c>
      <c r="U54" s="230" t="str">
        <f t="array" ref="U54">IF(ISNUMBER(MATCH(B54, 'Sprint 16'!B:B, 0)), INDEX('Sprint 16'!J:J, MATCH(B54, 'Sprint 16'!B:B, 0)), "")</f>
        <v/>
      </c>
      <c r="V54" s="230"/>
      <c r="W54" s="102" t="s">
        <v>3557</v>
      </c>
    </row>
    <row r="55">
      <c r="A55" s="102" t="s">
        <v>310</v>
      </c>
      <c r="B55" s="102" t="s">
        <v>5113</v>
      </c>
      <c r="C55" s="229" t="s">
        <v>5114</v>
      </c>
      <c r="D55" s="102" t="s">
        <v>5115</v>
      </c>
      <c r="E55" s="102" t="s">
        <v>556</v>
      </c>
      <c r="F55" s="102" t="s">
        <v>557</v>
      </c>
      <c r="G55" s="102" t="s">
        <v>282</v>
      </c>
      <c r="H55" s="102" t="s">
        <v>283</v>
      </c>
      <c r="I55" s="102" t="s">
        <v>284</v>
      </c>
      <c r="J55" s="102" t="s">
        <v>355</v>
      </c>
      <c r="L55" s="229" t="s">
        <v>4838</v>
      </c>
      <c r="M55" s="229" t="s">
        <v>5116</v>
      </c>
      <c r="O55" s="102">
        <v>1.0</v>
      </c>
      <c r="P55" s="102" t="s">
        <v>593</v>
      </c>
      <c r="S55" s="230"/>
      <c r="T55" s="230" t="str">
        <f>IF(ISNUMBER(MATCH(B55, 'Sprint 16'!B:B, 0)), "มาจาก Sprint 16", "")</f>
        <v/>
      </c>
      <c r="U55" s="230" t="str">
        <f t="array" ref="U55">IF(ISNUMBER(MATCH(B55, 'Sprint 16'!B:B, 0)), INDEX('Sprint 16'!J:J, MATCH(B55, 'Sprint 16'!B:B, 0)), "")</f>
        <v/>
      </c>
      <c r="V55" s="230"/>
      <c r="W55" s="102" t="s">
        <v>3557</v>
      </c>
    </row>
    <row r="56">
      <c r="A56" s="102" t="s">
        <v>310</v>
      </c>
      <c r="B56" s="102" t="s">
        <v>5117</v>
      </c>
      <c r="C56" s="229" t="s">
        <v>5118</v>
      </c>
      <c r="D56" s="102" t="s">
        <v>5119</v>
      </c>
      <c r="E56" s="102" t="s">
        <v>556</v>
      </c>
      <c r="F56" s="102" t="s">
        <v>557</v>
      </c>
      <c r="G56" s="102" t="s">
        <v>282</v>
      </c>
      <c r="H56" s="102" t="s">
        <v>283</v>
      </c>
      <c r="I56" s="102" t="s">
        <v>284</v>
      </c>
      <c r="J56" s="102" t="s">
        <v>355</v>
      </c>
      <c r="L56" s="229" t="s">
        <v>4838</v>
      </c>
      <c r="M56" s="229" t="s">
        <v>5120</v>
      </c>
      <c r="O56" s="102">
        <v>2.0</v>
      </c>
      <c r="P56" s="102" t="s">
        <v>593</v>
      </c>
      <c r="S56" s="230"/>
      <c r="T56" s="230" t="str">
        <f>IF(ISNUMBER(MATCH(B56, 'Sprint 16'!B:B, 0)), "มาจาก Sprint 16", "")</f>
        <v/>
      </c>
      <c r="U56" s="230" t="str">
        <f t="array" ref="U56">IF(ISNUMBER(MATCH(B56, 'Sprint 16'!B:B, 0)), INDEX('Sprint 16'!J:J, MATCH(B56, 'Sprint 16'!B:B, 0)), "")</f>
        <v/>
      </c>
      <c r="V56" s="230"/>
      <c r="W56" s="102" t="s">
        <v>3557</v>
      </c>
    </row>
    <row r="57">
      <c r="A57" s="102" t="s">
        <v>310</v>
      </c>
      <c r="B57" s="102" t="s">
        <v>4847</v>
      </c>
      <c r="C57" s="229" t="s">
        <v>4848</v>
      </c>
      <c r="D57" s="102" t="s">
        <v>4849</v>
      </c>
      <c r="E57" s="102" t="s">
        <v>314</v>
      </c>
      <c r="F57" s="102" t="s">
        <v>315</v>
      </c>
      <c r="G57" s="102" t="s">
        <v>282</v>
      </c>
      <c r="H57" s="102" t="s">
        <v>283</v>
      </c>
      <c r="I57" s="102" t="s">
        <v>284</v>
      </c>
      <c r="J57" s="102" t="s">
        <v>355</v>
      </c>
      <c r="L57" s="229" t="s">
        <v>4850</v>
      </c>
      <c r="M57" s="229" t="s">
        <v>5121</v>
      </c>
      <c r="O57" s="102">
        <v>1.0</v>
      </c>
      <c r="P57" s="102" t="s">
        <v>593</v>
      </c>
      <c r="S57" s="230"/>
      <c r="T57" s="230" t="str">
        <f>IF(ISNUMBER(MATCH(B57, 'Sprint 16'!B:B, 0)), "มาจาก Sprint 16", "")</f>
        <v/>
      </c>
      <c r="U57" s="230" t="str">
        <f t="array" ref="U57">IF(ISNUMBER(MATCH(B57, 'Sprint 16'!B:B, 0)), INDEX('Sprint 16'!J:J, MATCH(B57, 'Sprint 16'!B:B, 0)), "")</f>
        <v/>
      </c>
      <c r="V57" s="230"/>
      <c r="W57" s="102" t="s">
        <v>3557</v>
      </c>
    </row>
    <row r="58">
      <c r="A58" s="102" t="s">
        <v>310</v>
      </c>
      <c r="B58" s="102" t="s">
        <v>4859</v>
      </c>
      <c r="C58" s="229" t="s">
        <v>4860</v>
      </c>
      <c r="D58" s="102" t="s">
        <v>4861</v>
      </c>
      <c r="E58" s="102" t="s">
        <v>564</v>
      </c>
      <c r="F58" s="102" t="s">
        <v>565</v>
      </c>
      <c r="G58" s="102" t="s">
        <v>282</v>
      </c>
      <c r="H58" s="102" t="s">
        <v>283</v>
      </c>
      <c r="I58" s="102" t="s">
        <v>284</v>
      </c>
      <c r="J58" s="102" t="s">
        <v>355</v>
      </c>
      <c r="L58" s="229" t="s">
        <v>4862</v>
      </c>
      <c r="M58" s="229" t="s">
        <v>5122</v>
      </c>
      <c r="O58" s="102">
        <v>2.0</v>
      </c>
      <c r="P58" s="102" t="s">
        <v>593</v>
      </c>
      <c r="S58" s="230"/>
      <c r="T58" s="230" t="str">
        <f>IF(ISNUMBER(MATCH(B58, 'Sprint 16'!B:B, 0)), "มาจาก Sprint 16", "")</f>
        <v/>
      </c>
      <c r="U58" s="230" t="str">
        <f t="array" ref="U58">IF(ISNUMBER(MATCH(B58, 'Sprint 16'!B:B, 0)), INDEX('Sprint 16'!J:J, MATCH(B58, 'Sprint 16'!B:B, 0)), "")</f>
        <v/>
      </c>
      <c r="V58" s="230"/>
      <c r="W58" s="102" t="s">
        <v>3557</v>
      </c>
    </row>
    <row r="59">
      <c r="A59" s="102" t="s">
        <v>310</v>
      </c>
      <c r="B59" s="102" t="s">
        <v>4863</v>
      </c>
      <c r="C59" s="229" t="s">
        <v>4864</v>
      </c>
      <c r="D59" s="102" t="s">
        <v>4865</v>
      </c>
      <c r="E59" s="102" t="s">
        <v>353</v>
      </c>
      <c r="F59" s="102" t="s">
        <v>354</v>
      </c>
      <c r="G59" s="102" t="s">
        <v>282</v>
      </c>
      <c r="H59" s="102" t="s">
        <v>283</v>
      </c>
      <c r="I59" s="102" t="s">
        <v>284</v>
      </c>
      <c r="J59" s="102" t="s">
        <v>355</v>
      </c>
      <c r="L59" s="229" t="s">
        <v>4866</v>
      </c>
      <c r="M59" s="229" t="s">
        <v>5123</v>
      </c>
      <c r="O59" s="102">
        <v>1.0</v>
      </c>
      <c r="P59" s="102" t="s">
        <v>593</v>
      </c>
      <c r="S59" s="230"/>
      <c r="T59" s="230" t="str">
        <f>IF(ISNUMBER(MATCH(B59, 'Sprint 16'!B:B, 0)), "มาจาก Sprint 16", "")</f>
        <v/>
      </c>
      <c r="U59" s="230" t="str">
        <f t="array" ref="U59">IF(ISNUMBER(MATCH(B59, 'Sprint 16'!B:B, 0)), INDEX('Sprint 16'!J:J, MATCH(B59, 'Sprint 16'!B:B, 0)), "")</f>
        <v/>
      </c>
      <c r="V59" s="230"/>
      <c r="W59" s="102" t="s">
        <v>3557</v>
      </c>
    </row>
    <row r="60">
      <c r="A60" s="102" t="s">
        <v>310</v>
      </c>
      <c r="B60" s="102" t="s">
        <v>5124</v>
      </c>
      <c r="C60" s="229" t="s">
        <v>5125</v>
      </c>
      <c r="D60" s="102" t="s">
        <v>5126</v>
      </c>
      <c r="E60" s="102" t="s">
        <v>282</v>
      </c>
      <c r="F60" s="102" t="s">
        <v>283</v>
      </c>
      <c r="G60" s="102" t="s">
        <v>282</v>
      </c>
      <c r="H60" s="102" t="s">
        <v>283</v>
      </c>
      <c r="I60" s="102" t="s">
        <v>284</v>
      </c>
      <c r="J60" s="102" t="s">
        <v>26</v>
      </c>
      <c r="L60" s="229" t="s">
        <v>5127</v>
      </c>
      <c r="M60" s="229" t="s">
        <v>5027</v>
      </c>
      <c r="O60" s="102">
        <v>5.0</v>
      </c>
      <c r="S60" s="102">
        <v>57600.0</v>
      </c>
      <c r="T60" s="230" t="str">
        <f>IF(ISNUMBER(MATCH(B60, 'Sprint 16'!B:B, 0)), "มาจาก Sprint 16", "")</f>
        <v/>
      </c>
      <c r="U60" s="230" t="str">
        <f t="array" ref="U60">IF(ISNUMBER(MATCH(B60, 'Sprint 16'!B:B, 0)), INDEX('Sprint 16'!J:J, MATCH(B60, 'Sprint 16'!B:B, 0)), "")</f>
        <v/>
      </c>
      <c r="V60" s="102"/>
      <c r="W60" s="102" t="s">
        <v>3557</v>
      </c>
    </row>
    <row r="61">
      <c r="A61" s="102" t="s">
        <v>310</v>
      </c>
      <c r="B61" s="102" t="s">
        <v>4868</v>
      </c>
      <c r="C61" s="229" t="s">
        <v>4869</v>
      </c>
      <c r="D61" s="102" t="s">
        <v>4870</v>
      </c>
      <c r="E61" s="102" t="s">
        <v>353</v>
      </c>
      <c r="F61" s="102" t="s">
        <v>354</v>
      </c>
      <c r="G61" s="102" t="s">
        <v>282</v>
      </c>
      <c r="H61" s="102" t="s">
        <v>283</v>
      </c>
      <c r="I61" s="102" t="s">
        <v>284</v>
      </c>
      <c r="J61" s="102" t="s">
        <v>355</v>
      </c>
      <c r="L61" s="229" t="s">
        <v>4871</v>
      </c>
      <c r="M61" s="229" t="s">
        <v>5128</v>
      </c>
      <c r="O61" s="102">
        <v>3.0</v>
      </c>
      <c r="P61" s="102" t="s">
        <v>593</v>
      </c>
      <c r="S61" s="230"/>
      <c r="T61" s="230" t="str">
        <f>IF(ISNUMBER(MATCH(B61, 'Sprint 16'!B:B, 0)), "มาจาก Sprint 16", "")</f>
        <v/>
      </c>
      <c r="U61" s="230" t="str">
        <f t="array" ref="U61">IF(ISNUMBER(MATCH(B61, 'Sprint 16'!B:B, 0)), INDEX('Sprint 16'!J:J, MATCH(B61, 'Sprint 16'!B:B, 0)), "")</f>
        <v/>
      </c>
      <c r="V61" s="230"/>
      <c r="W61" s="102" t="s">
        <v>3557</v>
      </c>
    </row>
    <row r="62">
      <c r="A62" s="102" t="s">
        <v>276</v>
      </c>
      <c r="B62" s="102" t="s">
        <v>4569</v>
      </c>
      <c r="C62" s="229" t="s">
        <v>4570</v>
      </c>
      <c r="D62" s="102" t="s">
        <v>4571</v>
      </c>
      <c r="E62" s="102" t="s">
        <v>521</v>
      </c>
      <c r="F62" s="102" t="s">
        <v>522</v>
      </c>
      <c r="G62" s="102" t="s">
        <v>521</v>
      </c>
      <c r="H62" s="102" t="s">
        <v>522</v>
      </c>
      <c r="I62" s="102" t="s">
        <v>284</v>
      </c>
      <c r="J62" s="102" t="s">
        <v>63</v>
      </c>
      <c r="L62" s="229" t="s">
        <v>4572</v>
      </c>
      <c r="M62" s="229" t="s">
        <v>4877</v>
      </c>
      <c r="O62" s="230"/>
      <c r="S62" s="230"/>
      <c r="T62" s="230" t="str">
        <f>IF(ISNUMBER(MATCH(B62, 'Sprint 16'!B:B, 0)), "มาจาก Sprint 16", "")</f>
        <v>มาจาก Sprint 16</v>
      </c>
      <c r="U62" s="230" t="str">
        <f t="array" ref="U62">IF(ISNUMBER(MATCH(B62, 'Sprint 16'!B:B, 0)), INDEX('Sprint 16'!J:J, MATCH(B62, 'Sprint 16'!B:B, 0)), "")</f>
        <v>To Do</v>
      </c>
      <c r="V62" s="230"/>
      <c r="W62" s="102" t="s">
        <v>4247</v>
      </c>
      <c r="X62" s="102" t="s">
        <v>4248</v>
      </c>
    </row>
    <row r="63">
      <c r="A63" s="102" t="s">
        <v>276</v>
      </c>
      <c r="B63" s="102" t="s">
        <v>4574</v>
      </c>
      <c r="C63" s="229" t="s">
        <v>4575</v>
      </c>
      <c r="D63" s="102" t="s">
        <v>4576</v>
      </c>
      <c r="E63" s="102" t="s">
        <v>521</v>
      </c>
      <c r="F63" s="102" t="s">
        <v>522</v>
      </c>
      <c r="G63" s="102" t="s">
        <v>521</v>
      </c>
      <c r="H63" s="102" t="s">
        <v>522</v>
      </c>
      <c r="I63" s="102" t="s">
        <v>284</v>
      </c>
      <c r="J63" s="102" t="s">
        <v>63</v>
      </c>
      <c r="L63" s="229" t="s">
        <v>4572</v>
      </c>
      <c r="M63" s="229" t="s">
        <v>4810</v>
      </c>
      <c r="O63" s="230"/>
      <c r="S63" s="230"/>
      <c r="T63" s="230" t="str">
        <f>IF(ISNUMBER(MATCH(B63, 'Sprint 16'!B:B, 0)), "มาจาก Sprint 16", "")</f>
        <v>มาจาก Sprint 16</v>
      </c>
      <c r="U63" s="230" t="str">
        <f t="array" ref="U63">IF(ISNUMBER(MATCH(B63, 'Sprint 16'!B:B, 0)), INDEX('Sprint 16'!J:J, MATCH(B63, 'Sprint 16'!B:B, 0)), "")</f>
        <v>To Do</v>
      </c>
      <c r="V63" s="230"/>
      <c r="W63" s="102" t="s">
        <v>4247</v>
      </c>
      <c r="X63" s="102" t="s">
        <v>4248</v>
      </c>
    </row>
    <row r="64">
      <c r="A64" s="102" t="s">
        <v>276</v>
      </c>
      <c r="B64" s="102" t="s">
        <v>4578</v>
      </c>
      <c r="C64" s="229" t="s">
        <v>4579</v>
      </c>
      <c r="D64" s="102" t="s">
        <v>4580</v>
      </c>
      <c r="E64" s="102" t="s">
        <v>521</v>
      </c>
      <c r="F64" s="102" t="s">
        <v>522</v>
      </c>
      <c r="G64" s="102" t="s">
        <v>521</v>
      </c>
      <c r="H64" s="102" t="s">
        <v>522</v>
      </c>
      <c r="I64" s="102" t="s">
        <v>284</v>
      </c>
      <c r="J64" s="102" t="s">
        <v>34</v>
      </c>
      <c r="L64" s="229" t="s">
        <v>4581</v>
      </c>
      <c r="M64" s="229" t="s">
        <v>5129</v>
      </c>
      <c r="O64" s="230"/>
      <c r="S64" s="230"/>
      <c r="T64" s="230" t="str">
        <f>IF(ISNUMBER(MATCH(B64, 'Sprint 16'!B:B, 0)), "มาจาก Sprint 16", "")</f>
        <v>มาจาก Sprint 16</v>
      </c>
      <c r="U64" s="230" t="str">
        <f t="array" ref="U64">IF(ISNUMBER(MATCH(B64, 'Sprint 16'!B:B, 0)), INDEX('Sprint 16'!J:J, MATCH(B64, 'Sprint 16'!B:B, 0)), "")</f>
        <v>To Do</v>
      </c>
      <c r="V64" s="230"/>
      <c r="W64" s="102" t="s">
        <v>4247</v>
      </c>
      <c r="X64" s="102" t="s">
        <v>4248</v>
      </c>
    </row>
    <row r="65">
      <c r="A65" s="102" t="s">
        <v>276</v>
      </c>
      <c r="B65" s="102" t="s">
        <v>4583</v>
      </c>
      <c r="C65" s="229" t="s">
        <v>4584</v>
      </c>
      <c r="D65" s="102" t="s">
        <v>4585</v>
      </c>
      <c r="E65" s="102" t="s">
        <v>521</v>
      </c>
      <c r="F65" s="102" t="s">
        <v>522</v>
      </c>
      <c r="G65" s="102" t="s">
        <v>521</v>
      </c>
      <c r="H65" s="102" t="s">
        <v>522</v>
      </c>
      <c r="I65" s="102" t="s">
        <v>284</v>
      </c>
      <c r="J65" s="102" t="s">
        <v>34</v>
      </c>
      <c r="L65" s="229" t="s">
        <v>4586</v>
      </c>
      <c r="M65" s="229" t="s">
        <v>4878</v>
      </c>
      <c r="O65" s="230"/>
      <c r="S65" s="230"/>
      <c r="T65" s="230" t="str">
        <f>IF(ISNUMBER(MATCH(B65, 'Sprint 16'!B:B, 0)), "มาจาก Sprint 16", "")</f>
        <v>มาจาก Sprint 16</v>
      </c>
      <c r="U65" s="230" t="str">
        <f t="array" ref="U65">IF(ISNUMBER(MATCH(B65, 'Sprint 16'!B:B, 0)), INDEX('Sprint 16'!J:J, MATCH(B65, 'Sprint 16'!B:B, 0)), "")</f>
        <v>In Progress</v>
      </c>
      <c r="V65" s="230"/>
      <c r="W65" s="102" t="s">
        <v>4247</v>
      </c>
      <c r="X65" s="102" t="s">
        <v>4248</v>
      </c>
    </row>
    <row r="66">
      <c r="A66" s="102" t="s">
        <v>276</v>
      </c>
      <c r="B66" s="102" t="s">
        <v>4588</v>
      </c>
      <c r="C66" s="229" t="s">
        <v>4589</v>
      </c>
      <c r="D66" s="102" t="s">
        <v>4590</v>
      </c>
      <c r="E66" s="102" t="s">
        <v>521</v>
      </c>
      <c r="F66" s="102" t="s">
        <v>522</v>
      </c>
      <c r="G66" s="102" t="s">
        <v>521</v>
      </c>
      <c r="H66" s="102" t="s">
        <v>522</v>
      </c>
      <c r="I66" s="102" t="s">
        <v>284</v>
      </c>
      <c r="J66" s="102" t="s">
        <v>34</v>
      </c>
      <c r="L66" s="229" t="s">
        <v>4591</v>
      </c>
      <c r="M66" s="229" t="s">
        <v>4555</v>
      </c>
      <c r="O66" s="230"/>
      <c r="S66" s="230"/>
      <c r="T66" s="230" t="str">
        <f>IF(ISNUMBER(MATCH(B66, 'Sprint 16'!B:B, 0)), "มาจาก Sprint 16", "")</f>
        <v>มาจาก Sprint 16</v>
      </c>
      <c r="U66" s="230" t="str">
        <f t="array" ref="U66">IF(ISNUMBER(MATCH(B66, 'Sprint 16'!B:B, 0)), INDEX('Sprint 16'!J:J, MATCH(B66, 'Sprint 16'!B:B, 0)), "")</f>
        <v>In Progress</v>
      </c>
      <c r="V66" s="230"/>
      <c r="W66" s="102" t="s">
        <v>4247</v>
      </c>
      <c r="X66" s="102" t="s">
        <v>4248</v>
      </c>
    </row>
    <row r="67">
      <c r="A67" s="102" t="s">
        <v>276</v>
      </c>
      <c r="B67" s="102" t="s">
        <v>4592</v>
      </c>
      <c r="C67" s="229" t="s">
        <v>4593</v>
      </c>
      <c r="D67" s="102" t="s">
        <v>4594</v>
      </c>
      <c r="E67" s="102" t="s">
        <v>521</v>
      </c>
      <c r="F67" s="102" t="s">
        <v>522</v>
      </c>
      <c r="G67" s="102" t="s">
        <v>521</v>
      </c>
      <c r="H67" s="102" t="s">
        <v>522</v>
      </c>
      <c r="I67" s="102" t="s">
        <v>284</v>
      </c>
      <c r="J67" s="102" t="s">
        <v>34</v>
      </c>
      <c r="L67" s="229" t="s">
        <v>4591</v>
      </c>
      <c r="M67" s="229" t="s">
        <v>4555</v>
      </c>
      <c r="O67" s="230"/>
      <c r="S67" s="230"/>
      <c r="T67" s="230" t="str">
        <f>IF(ISNUMBER(MATCH(B67, 'Sprint 16'!B:B, 0)), "มาจาก Sprint 16", "")</f>
        <v>มาจาก Sprint 16</v>
      </c>
      <c r="U67" s="230" t="str">
        <f t="array" ref="U67">IF(ISNUMBER(MATCH(B67, 'Sprint 16'!B:B, 0)), INDEX('Sprint 16'!J:J, MATCH(B67, 'Sprint 16'!B:B, 0)), "")</f>
        <v>In Progress</v>
      </c>
      <c r="V67" s="230"/>
      <c r="W67" s="102" t="s">
        <v>4247</v>
      </c>
      <c r="X67" s="102" t="s">
        <v>4248</v>
      </c>
    </row>
    <row r="68">
      <c r="A68" s="102" t="s">
        <v>630</v>
      </c>
      <c r="B68" s="102" t="s">
        <v>4879</v>
      </c>
      <c r="C68" s="229" t="s">
        <v>4880</v>
      </c>
      <c r="D68" s="102" t="s">
        <v>4881</v>
      </c>
      <c r="G68" s="102" t="s">
        <v>353</v>
      </c>
      <c r="H68" s="102" t="s">
        <v>354</v>
      </c>
      <c r="I68" s="102" t="s">
        <v>284</v>
      </c>
      <c r="J68" s="102" t="s">
        <v>63</v>
      </c>
      <c r="L68" s="229" t="s">
        <v>4882</v>
      </c>
      <c r="M68" s="229" t="s">
        <v>5130</v>
      </c>
      <c r="O68" s="230"/>
      <c r="S68" s="230"/>
      <c r="T68" s="230" t="str">
        <f>IF(ISNUMBER(MATCH(B68, 'Sprint 16'!B:B, 0)), "มาจาก Sprint 16", "")</f>
        <v>มาจาก Sprint 16</v>
      </c>
      <c r="U68" s="230" t="str">
        <f t="array" ref="U68">IF(ISNUMBER(MATCH(B68, 'Sprint 16'!B:B, 0)), INDEX('Sprint 16'!J:J, MATCH(B68, 'Sprint 16'!B:B, 0)), "")</f>
        <v>To Do</v>
      </c>
      <c r="V68" s="230"/>
      <c r="W68" s="102" t="s">
        <v>2267</v>
      </c>
      <c r="X68" s="102" t="s">
        <v>4884</v>
      </c>
    </row>
    <row r="69">
      <c r="A69" s="102" t="s">
        <v>310</v>
      </c>
      <c r="B69" s="102" t="s">
        <v>4241</v>
      </c>
      <c r="C69" s="229" t="s">
        <v>4242</v>
      </c>
      <c r="D69" s="102" t="s">
        <v>4243</v>
      </c>
      <c r="E69" s="102" t="s">
        <v>564</v>
      </c>
      <c r="F69" s="102" t="s">
        <v>565</v>
      </c>
      <c r="G69" s="102" t="s">
        <v>282</v>
      </c>
      <c r="H69" s="102" t="s">
        <v>283</v>
      </c>
      <c r="I69" s="102" t="s">
        <v>284</v>
      </c>
      <c r="J69" s="102" t="s">
        <v>454</v>
      </c>
      <c r="L69" s="229" t="s">
        <v>4244</v>
      </c>
      <c r="M69" s="229" t="s">
        <v>5131</v>
      </c>
      <c r="N69" s="229" t="s">
        <v>4246</v>
      </c>
      <c r="O69" s="102">
        <v>5.0</v>
      </c>
      <c r="P69" s="102" t="s">
        <v>593</v>
      </c>
      <c r="S69" s="102">
        <v>28800.0</v>
      </c>
      <c r="T69" s="230" t="str">
        <f>IF(ISNUMBER(MATCH(B69, 'Sprint 16'!B:B, 0)), "มาจาก Sprint 16", "")</f>
        <v>มาจาก Sprint 16</v>
      </c>
      <c r="U69" s="230" t="str">
        <f t="array" ref="U69">IF(ISNUMBER(MATCH(B69, 'Sprint 16'!B:B, 0)), INDEX('Sprint 16'!J:J, MATCH(B69, 'Sprint 16'!B:B, 0)), "")</f>
        <v>In Progress</v>
      </c>
      <c r="V69" s="102" t="s">
        <v>5132</v>
      </c>
      <c r="W69" s="102" t="s">
        <v>4247</v>
      </c>
      <c r="X69" s="102" t="s">
        <v>4248</v>
      </c>
    </row>
    <row r="70">
      <c r="A70" s="102" t="s">
        <v>310</v>
      </c>
      <c r="B70" s="102" t="s">
        <v>4602</v>
      </c>
      <c r="C70" s="229" t="s">
        <v>4603</v>
      </c>
      <c r="D70" s="102" t="s">
        <v>4604</v>
      </c>
      <c r="E70" s="102" t="s">
        <v>556</v>
      </c>
      <c r="F70" s="102" t="s">
        <v>557</v>
      </c>
      <c r="G70" s="102" t="s">
        <v>282</v>
      </c>
      <c r="H70" s="102" t="s">
        <v>283</v>
      </c>
      <c r="I70" s="102" t="s">
        <v>284</v>
      </c>
      <c r="J70" s="102" t="s">
        <v>678</v>
      </c>
      <c r="L70" s="229" t="s">
        <v>4605</v>
      </c>
      <c r="M70" s="229" t="s">
        <v>5133</v>
      </c>
      <c r="O70" s="102">
        <v>5.0</v>
      </c>
      <c r="S70" s="230"/>
      <c r="T70" s="230" t="str">
        <f>IF(ISNUMBER(MATCH(B70, 'Sprint 16'!B:B, 0)), "มาจาก Sprint 16", "")</f>
        <v/>
      </c>
      <c r="U70" s="230" t="str">
        <f t="array" ref="U70">IF(ISNUMBER(MATCH(B70, 'Sprint 16'!B:B, 0)), INDEX('Sprint 16'!J:J, MATCH(B70, 'Sprint 16'!B:B, 0)), "")</f>
        <v/>
      </c>
      <c r="V70" s="230"/>
      <c r="W70" s="102" t="s">
        <v>4248</v>
      </c>
    </row>
    <row r="71">
      <c r="A71" s="102" t="s">
        <v>310</v>
      </c>
      <c r="B71" s="102" t="s">
        <v>4607</v>
      </c>
      <c r="C71" s="229" t="s">
        <v>4608</v>
      </c>
      <c r="D71" s="102" t="s">
        <v>4609</v>
      </c>
      <c r="E71" s="102" t="s">
        <v>564</v>
      </c>
      <c r="F71" s="102" t="s">
        <v>565</v>
      </c>
      <c r="G71" s="102" t="s">
        <v>282</v>
      </c>
      <c r="H71" s="102" t="s">
        <v>283</v>
      </c>
      <c r="I71" s="102" t="s">
        <v>284</v>
      </c>
      <c r="J71" s="102" t="s">
        <v>678</v>
      </c>
      <c r="L71" s="229" t="s">
        <v>4610</v>
      </c>
      <c r="M71" s="229" t="s">
        <v>5134</v>
      </c>
      <c r="N71" s="229" t="s">
        <v>4612</v>
      </c>
      <c r="O71" s="102">
        <v>5.0</v>
      </c>
      <c r="S71" s="102">
        <v>43200.0</v>
      </c>
      <c r="T71" s="230" t="str">
        <f>IF(ISNUMBER(MATCH(B71, 'Sprint 16'!B:B, 0)), "มาจาก Sprint 16", "")</f>
        <v/>
      </c>
      <c r="U71" s="230" t="str">
        <f t="array" ref="U71">IF(ISNUMBER(MATCH(B71, 'Sprint 16'!B:B, 0)), INDEX('Sprint 16'!J:J, MATCH(B71, 'Sprint 16'!B:B, 0)), "")</f>
        <v/>
      </c>
      <c r="V71" s="102"/>
      <c r="W71" s="102" t="s">
        <v>4248</v>
      </c>
    </row>
    <row r="72">
      <c r="A72" s="102" t="s">
        <v>310</v>
      </c>
      <c r="B72" s="102" t="s">
        <v>4613</v>
      </c>
      <c r="C72" s="229" t="s">
        <v>4614</v>
      </c>
      <c r="D72" s="102" t="s">
        <v>4615</v>
      </c>
      <c r="E72" s="102" t="s">
        <v>584</v>
      </c>
      <c r="F72" s="102" t="s">
        <v>585</v>
      </c>
      <c r="G72" s="102" t="s">
        <v>282</v>
      </c>
      <c r="H72" s="102" t="s">
        <v>283</v>
      </c>
      <c r="I72" s="102" t="s">
        <v>284</v>
      </c>
      <c r="J72" s="102" t="s">
        <v>454</v>
      </c>
      <c r="L72" s="229" t="s">
        <v>4616</v>
      </c>
      <c r="M72" s="229" t="s">
        <v>5135</v>
      </c>
      <c r="O72" s="102">
        <v>5.0</v>
      </c>
      <c r="S72" s="102">
        <v>72000.0</v>
      </c>
      <c r="T72" s="230" t="str">
        <f>IF(ISNUMBER(MATCH(B72, 'Sprint 16'!B:B, 0)), "มาจาก Sprint 16", "")</f>
        <v/>
      </c>
      <c r="U72" s="230" t="str">
        <f t="array" ref="U72">IF(ISNUMBER(MATCH(B72, 'Sprint 16'!B:B, 0)), INDEX('Sprint 16'!J:J, MATCH(B72, 'Sprint 16'!B:B, 0)), "")</f>
        <v/>
      </c>
      <c r="V72" s="102"/>
      <c r="W72" s="102" t="s">
        <v>4248</v>
      </c>
    </row>
    <row r="73">
      <c r="A73" s="102" t="s">
        <v>310</v>
      </c>
      <c r="B73" s="102" t="s">
        <v>4618</v>
      </c>
      <c r="C73" s="229" t="s">
        <v>4619</v>
      </c>
      <c r="D73" s="102" t="s">
        <v>4620</v>
      </c>
      <c r="E73" s="102" t="s">
        <v>495</v>
      </c>
      <c r="F73" s="102" t="s">
        <v>496</v>
      </c>
      <c r="G73" s="102" t="s">
        <v>282</v>
      </c>
      <c r="H73" s="102" t="s">
        <v>283</v>
      </c>
      <c r="I73" s="102" t="s">
        <v>284</v>
      </c>
      <c r="J73" s="102" t="s">
        <v>454</v>
      </c>
      <c r="L73" s="229" t="s">
        <v>4621</v>
      </c>
      <c r="M73" s="229" t="s">
        <v>5136</v>
      </c>
      <c r="O73" s="102">
        <v>5.0</v>
      </c>
      <c r="S73" s="102">
        <v>0.0</v>
      </c>
      <c r="T73" s="230" t="str">
        <f>IF(ISNUMBER(MATCH(B73, 'Sprint 16'!B:B, 0)), "มาจาก Sprint 16", "")</f>
        <v>มาจาก Sprint 16</v>
      </c>
      <c r="U73" s="230" t="str">
        <f t="array" ref="U73">IF(ISNUMBER(MATCH(B73, 'Sprint 16'!B:B, 0)), INDEX('Sprint 16'!J:J, MATCH(B73, 'Sprint 16'!B:B, 0)), "")</f>
        <v>Ready to Staging</v>
      </c>
      <c r="V73" s="102">
        <v>57600.0</v>
      </c>
      <c r="W73" s="102" t="s">
        <v>4247</v>
      </c>
      <c r="X73" s="102" t="s">
        <v>4248</v>
      </c>
    </row>
    <row r="74">
      <c r="A74" s="102" t="s">
        <v>310</v>
      </c>
      <c r="B74" s="102" t="s">
        <v>4623</v>
      </c>
      <c r="C74" s="229" t="s">
        <v>4624</v>
      </c>
      <c r="D74" s="102" t="s">
        <v>4625</v>
      </c>
      <c r="E74" s="102" t="s">
        <v>584</v>
      </c>
      <c r="F74" s="102" t="s">
        <v>585</v>
      </c>
      <c r="G74" s="102" t="s">
        <v>282</v>
      </c>
      <c r="H74" s="102" t="s">
        <v>283</v>
      </c>
      <c r="I74" s="102" t="s">
        <v>284</v>
      </c>
      <c r="J74" s="102" t="s">
        <v>454</v>
      </c>
      <c r="L74" s="229" t="s">
        <v>4626</v>
      </c>
      <c r="M74" s="229" t="s">
        <v>5137</v>
      </c>
      <c r="O74" s="102">
        <v>5.0</v>
      </c>
      <c r="S74" s="102">
        <v>0.0</v>
      </c>
      <c r="T74" s="230" t="str">
        <f>IF(ISNUMBER(MATCH(B74, 'Sprint 16'!B:B, 0)), "มาจาก Sprint 16", "")</f>
        <v>มาจาก Sprint 16</v>
      </c>
      <c r="U74" s="230" t="str">
        <f t="array" ref="U74">IF(ISNUMBER(MATCH(B74, 'Sprint 16'!B:B, 0)), INDEX('Sprint 16'!J:J, MATCH(B74, 'Sprint 16'!B:B, 0)), "")</f>
        <v>Ready to Staging</v>
      </c>
      <c r="V74" s="102">
        <v>86400.0</v>
      </c>
      <c r="W74" s="102" t="s">
        <v>4247</v>
      </c>
      <c r="X74" s="102" t="s">
        <v>4248</v>
      </c>
    </row>
    <row r="75">
      <c r="A75" s="102" t="s">
        <v>310</v>
      </c>
      <c r="B75" s="102" t="s">
        <v>4628</v>
      </c>
      <c r="C75" s="229" t="s">
        <v>4629</v>
      </c>
      <c r="D75" s="102" t="s">
        <v>4630</v>
      </c>
      <c r="E75" s="102" t="s">
        <v>495</v>
      </c>
      <c r="F75" s="102" t="s">
        <v>496</v>
      </c>
      <c r="G75" s="102" t="s">
        <v>282</v>
      </c>
      <c r="H75" s="102" t="s">
        <v>283</v>
      </c>
      <c r="I75" s="102" t="s">
        <v>284</v>
      </c>
      <c r="J75" s="102" t="s">
        <v>454</v>
      </c>
      <c r="L75" s="229" t="s">
        <v>4631</v>
      </c>
      <c r="M75" s="229" t="s">
        <v>5050</v>
      </c>
      <c r="O75" s="102">
        <v>8.0</v>
      </c>
      <c r="S75" s="102">
        <v>0.0</v>
      </c>
      <c r="T75" s="230" t="str">
        <f>IF(ISNUMBER(MATCH(B75, 'Sprint 16'!B:B, 0)), "มาจาก Sprint 16", "")</f>
        <v>มาจาก Sprint 16</v>
      </c>
      <c r="U75" s="230" t="str">
        <f t="array" ref="U75">IF(ISNUMBER(MATCH(B75, 'Sprint 16'!B:B, 0)), INDEX('Sprint 16'!J:J, MATCH(B75, 'Sprint 16'!B:B, 0)), "")</f>
        <v>Ready to Staging</v>
      </c>
      <c r="V75" s="102">
        <v>86400.0</v>
      </c>
      <c r="W75" s="102" t="s">
        <v>4247</v>
      </c>
      <c r="X75" s="102" t="s">
        <v>4248</v>
      </c>
    </row>
    <row r="76">
      <c r="A76" s="102" t="s">
        <v>310</v>
      </c>
      <c r="B76" s="102" t="s">
        <v>4897</v>
      </c>
      <c r="C76" s="229" t="s">
        <v>4898</v>
      </c>
      <c r="D76" s="102" t="s">
        <v>4899</v>
      </c>
      <c r="E76" s="102" t="s">
        <v>328</v>
      </c>
      <c r="F76" s="102" t="s">
        <v>329</v>
      </c>
      <c r="G76" s="102" t="s">
        <v>282</v>
      </c>
      <c r="H76" s="102" t="s">
        <v>283</v>
      </c>
      <c r="I76" s="102" t="s">
        <v>515</v>
      </c>
      <c r="J76" s="102" t="s">
        <v>678</v>
      </c>
      <c r="L76" s="229" t="s">
        <v>4900</v>
      </c>
      <c r="M76" s="229" t="s">
        <v>5138</v>
      </c>
      <c r="O76" s="230"/>
      <c r="S76" s="230"/>
      <c r="T76" s="230" t="str">
        <f>IF(ISNUMBER(MATCH(B76, 'Sprint 16'!B:B, 0)), "มาจาก Sprint 16", "")</f>
        <v>มาจาก Sprint 16</v>
      </c>
      <c r="U76" s="230" t="str">
        <f t="array" ref="U76">IF(ISNUMBER(MATCH(B76, 'Sprint 16'!B:B, 0)), INDEX('Sprint 16'!J:J, MATCH(B76, 'Sprint 16'!B:B, 0)), "")</f>
        <v>Ready to Staging</v>
      </c>
      <c r="V76" s="230"/>
      <c r="W76" s="102" t="s">
        <v>2266</v>
      </c>
      <c r="X76" s="102" t="s">
        <v>2267</v>
      </c>
      <c r="Y76" s="102" t="s">
        <v>4884</v>
      </c>
    </row>
    <row r="77">
      <c r="A77" s="102" t="s">
        <v>310</v>
      </c>
      <c r="B77" s="102" t="s">
        <v>4633</v>
      </c>
      <c r="C77" s="229" t="s">
        <v>4634</v>
      </c>
      <c r="D77" s="102" t="s">
        <v>4635</v>
      </c>
      <c r="E77" s="102" t="s">
        <v>564</v>
      </c>
      <c r="F77" s="102" t="s">
        <v>565</v>
      </c>
      <c r="G77" s="102" t="s">
        <v>282</v>
      </c>
      <c r="H77" s="102" t="s">
        <v>283</v>
      </c>
      <c r="I77" s="102" t="s">
        <v>284</v>
      </c>
      <c r="J77" s="102" t="s">
        <v>454</v>
      </c>
      <c r="L77" s="229" t="s">
        <v>4636</v>
      </c>
      <c r="M77" s="229" t="s">
        <v>5139</v>
      </c>
      <c r="N77" s="229" t="s">
        <v>4638</v>
      </c>
      <c r="O77" s="102">
        <v>3.0</v>
      </c>
      <c r="S77" s="102">
        <v>0.0</v>
      </c>
      <c r="T77" s="230" t="str">
        <f>IF(ISNUMBER(MATCH(B77, 'Sprint 16'!B:B, 0)), "มาจาก Sprint 16", "")</f>
        <v>มาจาก Sprint 16</v>
      </c>
      <c r="U77" s="230" t="str">
        <f t="array" ref="U77">IF(ISNUMBER(MATCH(B77, 'Sprint 16'!B:B, 0)), INDEX('Sprint 16'!J:J, MATCH(B77, 'Sprint 16'!B:B, 0)), "")</f>
        <v>Ready to Staging</v>
      </c>
      <c r="V77" s="102">
        <v>21600.0</v>
      </c>
      <c r="W77" s="102" t="s">
        <v>4247</v>
      </c>
      <c r="X77" s="102" t="s">
        <v>4248</v>
      </c>
    </row>
    <row r="78">
      <c r="A78" s="102" t="s">
        <v>310</v>
      </c>
      <c r="B78" s="102" t="s">
        <v>4639</v>
      </c>
      <c r="C78" s="229" t="s">
        <v>4640</v>
      </c>
      <c r="D78" s="102" t="s">
        <v>4641</v>
      </c>
      <c r="E78" s="102" t="s">
        <v>328</v>
      </c>
      <c r="F78" s="102" t="s">
        <v>329</v>
      </c>
      <c r="G78" s="102" t="s">
        <v>282</v>
      </c>
      <c r="H78" s="102" t="s">
        <v>283</v>
      </c>
      <c r="I78" s="102" t="s">
        <v>284</v>
      </c>
      <c r="J78" s="102" t="s">
        <v>678</v>
      </c>
      <c r="L78" s="229" t="s">
        <v>4642</v>
      </c>
      <c r="M78" s="229" t="s">
        <v>5140</v>
      </c>
      <c r="O78" s="102">
        <v>5.0</v>
      </c>
      <c r="S78" s="230"/>
      <c r="T78" s="230" t="str">
        <f>IF(ISNUMBER(MATCH(B78, 'Sprint 16'!B:B, 0)), "มาจาก Sprint 16", "")</f>
        <v>มาจาก Sprint 16</v>
      </c>
      <c r="U78" s="230" t="str">
        <f t="array" ref="U78">IF(ISNUMBER(MATCH(B78, 'Sprint 16'!B:B, 0)), INDEX('Sprint 16'!J:J, MATCH(B78, 'Sprint 16'!B:B, 0)), "")</f>
        <v>Ready to Staging</v>
      </c>
      <c r="V78" s="230"/>
      <c r="W78" s="102" t="s">
        <v>4247</v>
      </c>
      <c r="X78" s="102" t="s">
        <v>4248</v>
      </c>
    </row>
    <row r="79">
      <c r="A79" s="102" t="s">
        <v>310</v>
      </c>
      <c r="B79" s="102" t="s">
        <v>4643</v>
      </c>
      <c r="C79" s="229" t="s">
        <v>4644</v>
      </c>
      <c r="D79" s="102" t="s">
        <v>4645</v>
      </c>
      <c r="E79" s="102" t="s">
        <v>564</v>
      </c>
      <c r="F79" s="102" t="s">
        <v>565</v>
      </c>
      <c r="G79" s="102" t="s">
        <v>282</v>
      </c>
      <c r="H79" s="102" t="s">
        <v>283</v>
      </c>
      <c r="I79" s="102" t="s">
        <v>284</v>
      </c>
      <c r="J79" s="102" t="s">
        <v>454</v>
      </c>
      <c r="L79" s="229" t="s">
        <v>4646</v>
      </c>
      <c r="M79" s="229" t="s">
        <v>5141</v>
      </c>
      <c r="N79" s="229" t="s">
        <v>4647</v>
      </c>
      <c r="O79" s="102">
        <v>8.0</v>
      </c>
      <c r="P79" s="102" t="s">
        <v>4648</v>
      </c>
      <c r="S79" s="102">
        <v>0.0</v>
      </c>
      <c r="T79" s="230" t="str">
        <f>IF(ISNUMBER(MATCH(B79, 'Sprint 16'!B:B, 0)), "มาจาก Sprint 16", "")</f>
        <v>มาจาก Sprint 16</v>
      </c>
      <c r="U79" s="230" t="str">
        <f t="array" ref="U79">IF(ISNUMBER(MATCH(B79, 'Sprint 16'!B:B, 0)), INDEX('Sprint 16'!J:J, MATCH(B79, 'Sprint 16'!B:B, 0)), "")</f>
        <v>Ready to Staging</v>
      </c>
      <c r="V79" s="102">
        <v>86400.0</v>
      </c>
      <c r="W79" s="102" t="s">
        <v>4247</v>
      </c>
      <c r="X79" s="102" t="s">
        <v>4248</v>
      </c>
    </row>
    <row r="80">
      <c r="A80" s="102" t="s">
        <v>630</v>
      </c>
      <c r="B80" s="102" t="s">
        <v>2180</v>
      </c>
      <c r="C80" s="229" t="s">
        <v>2181</v>
      </c>
      <c r="D80" s="102" t="s">
        <v>2182</v>
      </c>
      <c r="G80" s="102" t="s">
        <v>304</v>
      </c>
      <c r="H80" s="102" t="s">
        <v>305</v>
      </c>
      <c r="I80" s="102" t="s">
        <v>284</v>
      </c>
      <c r="J80" s="102" t="s">
        <v>63</v>
      </c>
      <c r="L80" s="229" t="s">
        <v>2183</v>
      </c>
      <c r="M80" s="229" t="s">
        <v>4275</v>
      </c>
      <c r="O80" s="230"/>
      <c r="S80" s="230"/>
      <c r="T80" s="230" t="str">
        <f>IF(ISNUMBER(MATCH(B80, 'Sprint 16'!B:B, 0)), "มาจาก Sprint 16", "")</f>
        <v>มาจาก Sprint 16</v>
      </c>
      <c r="U80" s="230" t="str">
        <f t="array" ref="U80">IF(ISNUMBER(MATCH(B80, 'Sprint 16'!B:B, 0)), INDEX('Sprint 16'!J:J, MATCH(B80, 'Sprint 16'!B:B, 0)), "")</f>
        <v>To Do</v>
      </c>
      <c r="V80" s="230"/>
      <c r="W80" s="102" t="s">
        <v>2185</v>
      </c>
      <c r="X80" s="102" t="s">
        <v>2186</v>
      </c>
      <c r="Y80" s="102" t="s">
        <v>2187</v>
      </c>
    </row>
    <row r="81">
      <c r="A81" s="102" t="s">
        <v>332</v>
      </c>
      <c r="B81" s="102" t="s">
        <v>3053</v>
      </c>
      <c r="C81" s="229" t="s">
        <v>3054</v>
      </c>
      <c r="D81" s="102" t="s">
        <v>3055</v>
      </c>
      <c r="E81" s="102" t="s">
        <v>495</v>
      </c>
      <c r="F81" s="102" t="s">
        <v>496</v>
      </c>
      <c r="G81" s="102" t="s">
        <v>304</v>
      </c>
      <c r="H81" s="102" t="s">
        <v>305</v>
      </c>
      <c r="I81" s="102" t="s">
        <v>284</v>
      </c>
      <c r="J81" s="102" t="s">
        <v>922</v>
      </c>
      <c r="L81" s="229" t="s">
        <v>3056</v>
      </c>
      <c r="M81" s="229" t="s">
        <v>4275</v>
      </c>
      <c r="O81" s="102">
        <v>2.0</v>
      </c>
      <c r="S81" s="230"/>
      <c r="T81" s="230" t="str">
        <f>IF(ISNUMBER(MATCH(B81, 'Sprint 16'!B:B, 0)), "มาจาก Sprint 16", "")</f>
        <v>มาจาก Sprint 16</v>
      </c>
      <c r="U81" s="230" t="str">
        <f t="array" ref="U81">IF(ISNUMBER(MATCH(B81, 'Sprint 16'!B:B, 0)), INDEX('Sprint 16'!J:J, MATCH(B81, 'Sprint 16'!B:B, 0)), "")</f>
        <v>Resolved</v>
      </c>
      <c r="V81" s="230"/>
      <c r="W81" s="102" t="s">
        <v>2185</v>
      </c>
      <c r="X81" s="102" t="s">
        <v>2186</v>
      </c>
      <c r="Y81" s="102" t="s">
        <v>2187</v>
      </c>
    </row>
    <row r="82">
      <c r="A82" s="102" t="s">
        <v>1465</v>
      </c>
      <c r="B82" s="102" t="s">
        <v>3241</v>
      </c>
      <c r="C82" s="229" t="s">
        <v>3242</v>
      </c>
      <c r="D82" s="102" t="s">
        <v>3243</v>
      </c>
      <c r="G82" s="102" t="s">
        <v>521</v>
      </c>
      <c r="H82" s="102" t="s">
        <v>522</v>
      </c>
      <c r="I82" s="102" t="s">
        <v>284</v>
      </c>
      <c r="J82" s="102" t="s">
        <v>63</v>
      </c>
      <c r="L82" s="229" t="s">
        <v>3244</v>
      </c>
      <c r="M82" s="229" t="s">
        <v>4275</v>
      </c>
      <c r="O82" s="230"/>
      <c r="S82" s="230"/>
      <c r="T82" s="230" t="str">
        <f>IF(ISNUMBER(MATCH(B82, 'Sprint 16'!B:B, 0)), "มาจาก Sprint 16", "")</f>
        <v>มาจาก Sprint 16</v>
      </c>
      <c r="U82" s="230" t="str">
        <f t="array" ref="U82">IF(ISNUMBER(MATCH(B82, 'Sprint 16'!B:B, 0)), INDEX('Sprint 16'!J:J, MATCH(B82, 'Sprint 16'!B:B, 0)), "")</f>
        <v>To Do</v>
      </c>
      <c r="V82" s="230"/>
      <c r="W82" s="102" t="s">
        <v>2196</v>
      </c>
      <c r="X82" s="102" t="s">
        <v>2185</v>
      </c>
      <c r="Y82" s="102" t="s">
        <v>2186</v>
      </c>
      <c r="Z82" s="102" t="s">
        <v>2187</v>
      </c>
    </row>
    <row r="83">
      <c r="A83" s="102" t="s">
        <v>332</v>
      </c>
      <c r="B83" s="102" t="s">
        <v>4915</v>
      </c>
      <c r="C83" s="229" t="s">
        <v>4916</v>
      </c>
      <c r="D83" s="102" t="s">
        <v>4917</v>
      </c>
      <c r="E83" s="102" t="s">
        <v>282</v>
      </c>
      <c r="F83" s="102" t="s">
        <v>283</v>
      </c>
      <c r="G83" s="102" t="s">
        <v>282</v>
      </c>
      <c r="H83" s="102" t="s">
        <v>283</v>
      </c>
      <c r="I83" s="102" t="s">
        <v>284</v>
      </c>
      <c r="J83" s="102" t="s">
        <v>1738</v>
      </c>
      <c r="L83" s="229" t="s">
        <v>4918</v>
      </c>
      <c r="M83" s="229" t="s">
        <v>5130</v>
      </c>
      <c r="O83" s="102">
        <v>2.0</v>
      </c>
      <c r="S83" s="230"/>
      <c r="T83" s="230" t="str">
        <f>IF(ISNUMBER(MATCH(B83, 'Sprint 16'!B:B, 0)), "มาจาก Sprint 16", "")</f>
        <v>มาจาก Sprint 16</v>
      </c>
      <c r="U83" s="230" t="str">
        <f t="array" ref="U83">IF(ISNUMBER(MATCH(B83, 'Sprint 16'!B:B, 0)), INDEX('Sprint 16'!J:J, MATCH(B83, 'Sprint 16'!B:B, 0)), "")</f>
        <v>Pass : Waiting for deployment</v>
      </c>
      <c r="V83" s="230"/>
      <c r="W83" s="102" t="s">
        <v>4919</v>
      </c>
      <c r="X83" s="102" t="s">
        <v>4657</v>
      </c>
      <c r="Y83" s="102" t="s">
        <v>2266</v>
      </c>
      <c r="Z83" s="102" t="s">
        <v>2267</v>
      </c>
      <c r="AA83" s="102" t="s">
        <v>4884</v>
      </c>
    </row>
    <row r="84">
      <c r="A84" s="102" t="s">
        <v>630</v>
      </c>
      <c r="B84" s="102" t="s">
        <v>2192</v>
      </c>
      <c r="C84" s="229" t="s">
        <v>2193</v>
      </c>
      <c r="D84" s="102" t="s">
        <v>2194</v>
      </c>
      <c r="G84" s="102" t="s">
        <v>304</v>
      </c>
      <c r="H84" s="102" t="s">
        <v>305</v>
      </c>
      <c r="I84" s="102" t="s">
        <v>284</v>
      </c>
      <c r="J84" s="102" t="s">
        <v>63</v>
      </c>
      <c r="L84" s="229" t="s">
        <v>2195</v>
      </c>
      <c r="M84" s="229" t="s">
        <v>4275</v>
      </c>
      <c r="O84" s="230"/>
      <c r="S84" s="230"/>
      <c r="T84" s="230" t="str">
        <f>IF(ISNUMBER(MATCH(B84, 'Sprint 16'!B:B, 0)), "มาจาก Sprint 16", "")</f>
        <v>มาจาก Sprint 16</v>
      </c>
      <c r="U84" s="230" t="str">
        <f t="array" ref="U84">IF(ISNUMBER(MATCH(B84, 'Sprint 16'!B:B, 0)), INDEX('Sprint 16'!J:J, MATCH(B84, 'Sprint 16'!B:B, 0)), "")</f>
        <v>To Do</v>
      </c>
      <c r="V84" s="230"/>
      <c r="W84" s="102" t="s">
        <v>2196</v>
      </c>
      <c r="X84" s="102" t="s">
        <v>2185</v>
      </c>
      <c r="Y84" s="102" t="s">
        <v>2186</v>
      </c>
      <c r="Z84" s="102" t="s">
        <v>2187</v>
      </c>
    </row>
    <row r="85">
      <c r="A85" s="102" t="s">
        <v>630</v>
      </c>
      <c r="B85" s="102" t="s">
        <v>2197</v>
      </c>
      <c r="C85" s="229" t="s">
        <v>2198</v>
      </c>
      <c r="D85" s="102" t="s">
        <v>2199</v>
      </c>
      <c r="G85" s="102" t="s">
        <v>304</v>
      </c>
      <c r="H85" s="102" t="s">
        <v>305</v>
      </c>
      <c r="I85" s="102" t="s">
        <v>284</v>
      </c>
      <c r="J85" s="102" t="s">
        <v>63</v>
      </c>
      <c r="L85" s="229" t="s">
        <v>2200</v>
      </c>
      <c r="M85" s="229" t="s">
        <v>4275</v>
      </c>
      <c r="O85" s="230"/>
      <c r="S85" s="230"/>
      <c r="T85" s="230" t="str">
        <f>IF(ISNUMBER(MATCH(B85, 'Sprint 16'!B:B, 0)), "มาจาก Sprint 16", "")</f>
        <v>มาจาก Sprint 16</v>
      </c>
      <c r="U85" s="230" t="str">
        <f t="array" ref="U85">IF(ISNUMBER(MATCH(B85, 'Sprint 16'!B:B, 0)), INDEX('Sprint 16'!J:J, MATCH(B85, 'Sprint 16'!B:B, 0)), "")</f>
        <v>To Do</v>
      </c>
      <c r="V85" s="230"/>
      <c r="W85" s="102" t="s">
        <v>2196</v>
      </c>
      <c r="X85" s="102" t="s">
        <v>2185</v>
      </c>
      <c r="Y85" s="102" t="s">
        <v>2186</v>
      </c>
      <c r="Z85" s="102" t="s">
        <v>2187</v>
      </c>
    </row>
    <row r="86">
      <c r="A86" s="102" t="s">
        <v>630</v>
      </c>
      <c r="B86" s="102" t="s">
        <v>2201</v>
      </c>
      <c r="C86" s="229" t="s">
        <v>2202</v>
      </c>
      <c r="D86" s="102" t="s">
        <v>2203</v>
      </c>
      <c r="G86" s="102" t="s">
        <v>304</v>
      </c>
      <c r="H86" s="102" t="s">
        <v>305</v>
      </c>
      <c r="I86" s="102" t="s">
        <v>284</v>
      </c>
      <c r="J86" s="102" t="s">
        <v>63</v>
      </c>
      <c r="L86" s="229" t="s">
        <v>2204</v>
      </c>
      <c r="M86" s="229" t="s">
        <v>4275</v>
      </c>
      <c r="O86" s="230"/>
      <c r="S86" s="230"/>
      <c r="T86" s="230" t="str">
        <f>IF(ISNUMBER(MATCH(B86, 'Sprint 16'!B:B, 0)), "มาจาก Sprint 16", "")</f>
        <v>มาจาก Sprint 16</v>
      </c>
      <c r="U86" s="230" t="str">
        <f t="array" ref="U86">IF(ISNUMBER(MATCH(B86, 'Sprint 16'!B:B, 0)), INDEX('Sprint 16'!J:J, MATCH(B86, 'Sprint 16'!B:B, 0)), "")</f>
        <v>To Do</v>
      </c>
      <c r="V86" s="230"/>
      <c r="W86" s="102" t="s">
        <v>2205</v>
      </c>
      <c r="X86" s="102" t="s">
        <v>2196</v>
      </c>
      <c r="Y86" s="102" t="s">
        <v>2185</v>
      </c>
      <c r="Z86" s="102" t="s">
        <v>2186</v>
      </c>
      <c r="AA86" s="102" t="s">
        <v>2187</v>
      </c>
    </row>
    <row r="87">
      <c r="A87" s="102" t="s">
        <v>630</v>
      </c>
      <c r="B87" s="102" t="s">
        <v>2206</v>
      </c>
      <c r="C87" s="229" t="s">
        <v>2207</v>
      </c>
      <c r="D87" s="102" t="s">
        <v>2208</v>
      </c>
      <c r="G87" s="102" t="s">
        <v>304</v>
      </c>
      <c r="H87" s="102" t="s">
        <v>305</v>
      </c>
      <c r="I87" s="102" t="s">
        <v>284</v>
      </c>
      <c r="J87" s="102" t="s">
        <v>63</v>
      </c>
      <c r="L87" s="229" t="s">
        <v>2209</v>
      </c>
      <c r="M87" s="229" t="s">
        <v>4275</v>
      </c>
      <c r="O87" s="230"/>
      <c r="P87" s="102" t="s">
        <v>1808</v>
      </c>
      <c r="S87" s="230"/>
      <c r="T87" s="230" t="str">
        <f>IF(ISNUMBER(MATCH(B87, 'Sprint 16'!B:B, 0)), "มาจาก Sprint 16", "")</f>
        <v>มาจาก Sprint 16</v>
      </c>
      <c r="U87" s="230" t="str">
        <f t="array" ref="U87">IF(ISNUMBER(MATCH(B87, 'Sprint 16'!B:B, 0)), INDEX('Sprint 16'!J:J, MATCH(B87, 'Sprint 16'!B:B, 0)), "")</f>
        <v>To Do</v>
      </c>
      <c r="V87" s="230"/>
      <c r="W87" s="102" t="s">
        <v>2205</v>
      </c>
      <c r="X87" s="102" t="s">
        <v>2196</v>
      </c>
      <c r="Y87" s="102" t="s">
        <v>2185</v>
      </c>
      <c r="Z87" s="102" t="s">
        <v>2186</v>
      </c>
      <c r="AA87" s="102" t="s">
        <v>2187</v>
      </c>
    </row>
    <row r="88">
      <c r="A88" s="102" t="s">
        <v>310</v>
      </c>
      <c r="B88" s="102" t="s">
        <v>5142</v>
      </c>
      <c r="C88" s="229" t="s">
        <v>5143</v>
      </c>
      <c r="D88" s="102" t="s">
        <v>5144</v>
      </c>
      <c r="E88" s="102" t="s">
        <v>513</v>
      </c>
      <c r="F88" s="102" t="s">
        <v>514</v>
      </c>
      <c r="G88" s="102" t="s">
        <v>513</v>
      </c>
      <c r="H88" s="102" t="s">
        <v>514</v>
      </c>
      <c r="I88" s="102" t="s">
        <v>284</v>
      </c>
      <c r="J88" s="102" t="s">
        <v>26</v>
      </c>
      <c r="L88" s="229" t="s">
        <v>5145</v>
      </c>
      <c r="M88" s="229" t="s">
        <v>5000</v>
      </c>
      <c r="N88" s="229" t="s">
        <v>5146</v>
      </c>
      <c r="O88" s="102">
        <v>2.0</v>
      </c>
      <c r="P88" s="102" t="s">
        <v>593</v>
      </c>
      <c r="Q88" s="102" t="s">
        <v>473</v>
      </c>
      <c r="S88" s="102">
        <v>7200.0</v>
      </c>
      <c r="T88" s="230" t="str">
        <f>IF(ISNUMBER(MATCH(B88, 'Sprint 16'!B:B, 0)), "มาจาก Sprint 16", "")</f>
        <v>มาจาก Sprint 16</v>
      </c>
      <c r="U88" s="230" t="str">
        <f t="array" ref="U88">IF(ISNUMBER(MATCH(B88, 'Sprint 16'!B:B, 0)), INDEX('Sprint 16'!J:J, MATCH(B88, 'Sprint 16'!B:B, 0)), "")</f>
        <v>In Progress</v>
      </c>
      <c r="V88" s="102" t="s">
        <v>3949</v>
      </c>
      <c r="W88" s="102" t="s">
        <v>5147</v>
      </c>
      <c r="X88" s="102" t="s">
        <v>4566</v>
      </c>
    </row>
    <row r="89">
      <c r="A89" s="102" t="s">
        <v>310</v>
      </c>
      <c r="B89" s="102" t="s">
        <v>5148</v>
      </c>
      <c r="C89" s="229" t="s">
        <v>5149</v>
      </c>
      <c r="D89" s="102" t="s">
        <v>5150</v>
      </c>
      <c r="E89" s="102" t="s">
        <v>513</v>
      </c>
      <c r="F89" s="102" t="s">
        <v>514</v>
      </c>
      <c r="G89" s="102" t="s">
        <v>513</v>
      </c>
      <c r="H89" s="102" t="s">
        <v>514</v>
      </c>
      <c r="I89" s="102" t="s">
        <v>284</v>
      </c>
      <c r="J89" s="102" t="s">
        <v>26</v>
      </c>
      <c r="L89" s="229" t="s">
        <v>5151</v>
      </c>
      <c r="M89" s="229" t="s">
        <v>5000</v>
      </c>
      <c r="N89" s="229" t="s">
        <v>5152</v>
      </c>
      <c r="O89" s="102">
        <v>2.0</v>
      </c>
      <c r="P89" s="102" t="s">
        <v>593</v>
      </c>
      <c r="S89" s="102">
        <v>14400.0</v>
      </c>
      <c r="T89" s="230" t="str">
        <f>IF(ISNUMBER(MATCH(B89, 'Sprint 16'!B:B, 0)), "มาจาก Sprint 16", "")</f>
        <v>มาจาก Sprint 16</v>
      </c>
      <c r="U89" s="230" t="str">
        <f t="array" ref="U89">IF(ISNUMBER(MATCH(B89, 'Sprint 16'!B:B, 0)), INDEX('Sprint 16'!J:J, MATCH(B89, 'Sprint 16'!B:B, 0)), "")</f>
        <v>To Do</v>
      </c>
      <c r="V89" s="102"/>
      <c r="W89" s="102" t="s">
        <v>4566</v>
      </c>
    </row>
    <row r="90">
      <c r="A90" s="102" t="s">
        <v>310</v>
      </c>
      <c r="B90" s="102" t="s">
        <v>5153</v>
      </c>
      <c r="C90" s="229" t="s">
        <v>5154</v>
      </c>
      <c r="D90" s="102" t="s">
        <v>5155</v>
      </c>
      <c r="E90" s="102" t="s">
        <v>513</v>
      </c>
      <c r="F90" s="102" t="s">
        <v>514</v>
      </c>
      <c r="G90" s="102" t="s">
        <v>513</v>
      </c>
      <c r="H90" s="102" t="s">
        <v>514</v>
      </c>
      <c r="I90" s="102" t="s">
        <v>284</v>
      </c>
      <c r="J90" s="102" t="s">
        <v>26</v>
      </c>
      <c r="L90" s="229" t="s">
        <v>5156</v>
      </c>
      <c r="M90" s="229" t="s">
        <v>5000</v>
      </c>
      <c r="N90" s="229" t="s">
        <v>4196</v>
      </c>
      <c r="O90" s="102">
        <v>2.0</v>
      </c>
      <c r="P90" s="102" t="s">
        <v>593</v>
      </c>
      <c r="S90" s="102">
        <v>14400.0</v>
      </c>
      <c r="T90" s="230" t="str">
        <f>IF(ISNUMBER(MATCH(B90, 'Sprint 16'!B:B, 0)), "มาจาก Sprint 16", "")</f>
        <v>มาจาก Sprint 16</v>
      </c>
      <c r="U90" s="230" t="str">
        <f t="array" ref="U90">IF(ISNUMBER(MATCH(B90, 'Sprint 16'!B:B, 0)), INDEX('Sprint 16'!J:J, MATCH(B90, 'Sprint 16'!B:B, 0)), "")</f>
        <v>To Do</v>
      </c>
      <c r="V90" s="102"/>
      <c r="W90" s="102" t="s">
        <v>4566</v>
      </c>
    </row>
    <row r="91">
      <c r="A91" s="102" t="s">
        <v>310</v>
      </c>
      <c r="B91" s="102" t="s">
        <v>4926</v>
      </c>
      <c r="C91" s="229" t="s">
        <v>4927</v>
      </c>
      <c r="D91" s="102" t="s">
        <v>4928</v>
      </c>
      <c r="E91" s="102" t="s">
        <v>513</v>
      </c>
      <c r="F91" s="102" t="s">
        <v>514</v>
      </c>
      <c r="G91" s="102" t="s">
        <v>513</v>
      </c>
      <c r="H91" s="102" t="s">
        <v>514</v>
      </c>
      <c r="I91" s="102" t="s">
        <v>284</v>
      </c>
      <c r="J91" s="102" t="s">
        <v>63</v>
      </c>
      <c r="L91" s="229" t="s">
        <v>4929</v>
      </c>
      <c r="M91" s="229" t="s">
        <v>5000</v>
      </c>
      <c r="O91" s="102">
        <v>3.0</v>
      </c>
      <c r="P91" s="102" t="s">
        <v>593</v>
      </c>
      <c r="S91" s="230"/>
      <c r="T91" s="230" t="str">
        <f>IF(ISNUMBER(MATCH(B91, 'Sprint 16'!B:B, 0)), "มาจาก Sprint 16", "")</f>
        <v>มาจาก Sprint 16</v>
      </c>
      <c r="U91" s="230" t="str">
        <f t="array" ref="U91">IF(ISNUMBER(MATCH(B91, 'Sprint 16'!B:B, 0)), INDEX('Sprint 16'!J:J, MATCH(B91, 'Sprint 16'!B:B, 0)), "")</f>
        <v>To Do</v>
      </c>
      <c r="V91" s="230"/>
      <c r="W91" s="102" t="s">
        <v>4566</v>
      </c>
    </row>
    <row r="92">
      <c r="A92" s="102" t="s">
        <v>310</v>
      </c>
      <c r="B92" s="102" t="s">
        <v>5157</v>
      </c>
      <c r="C92" s="229" t="s">
        <v>5158</v>
      </c>
      <c r="D92" s="102" t="s">
        <v>5159</v>
      </c>
      <c r="E92" s="102" t="s">
        <v>513</v>
      </c>
      <c r="F92" s="102" t="s">
        <v>514</v>
      </c>
      <c r="G92" s="102" t="s">
        <v>513</v>
      </c>
      <c r="H92" s="102" t="s">
        <v>514</v>
      </c>
      <c r="I92" s="102" t="s">
        <v>284</v>
      </c>
      <c r="J92" s="102" t="s">
        <v>26</v>
      </c>
      <c r="L92" s="229" t="s">
        <v>4929</v>
      </c>
      <c r="M92" s="229" t="s">
        <v>5000</v>
      </c>
      <c r="N92" s="229" t="s">
        <v>5152</v>
      </c>
      <c r="O92" s="102">
        <v>1.0</v>
      </c>
      <c r="P92" s="102" t="s">
        <v>593</v>
      </c>
      <c r="S92" s="102">
        <v>7200.0</v>
      </c>
      <c r="T92" s="230" t="str">
        <f>IF(ISNUMBER(MATCH(B92, 'Sprint 16'!B:B, 0)), "มาจาก Sprint 16", "")</f>
        <v>มาจาก Sprint 16</v>
      </c>
      <c r="U92" s="230" t="str">
        <f t="array" ref="U92">IF(ISNUMBER(MATCH(B92, 'Sprint 16'!B:B, 0)), INDEX('Sprint 16'!J:J, MATCH(B92, 'Sprint 16'!B:B, 0)), "")</f>
        <v>To Do</v>
      </c>
      <c r="V92" s="102"/>
      <c r="W92" s="102" t="s">
        <v>4566</v>
      </c>
    </row>
    <row r="93">
      <c r="A93" s="102" t="s">
        <v>310</v>
      </c>
      <c r="B93" s="102" t="s">
        <v>5160</v>
      </c>
      <c r="C93" s="229" t="s">
        <v>5161</v>
      </c>
      <c r="D93" s="102" t="s">
        <v>5162</v>
      </c>
      <c r="E93" s="102" t="s">
        <v>513</v>
      </c>
      <c r="F93" s="102" t="s">
        <v>514</v>
      </c>
      <c r="G93" s="102" t="s">
        <v>513</v>
      </c>
      <c r="H93" s="102" t="s">
        <v>514</v>
      </c>
      <c r="I93" s="102" t="s">
        <v>284</v>
      </c>
      <c r="J93" s="102" t="s">
        <v>26</v>
      </c>
      <c r="L93" s="229" t="s">
        <v>4933</v>
      </c>
      <c r="M93" s="229" t="s">
        <v>5000</v>
      </c>
      <c r="N93" s="229" t="s">
        <v>5152</v>
      </c>
      <c r="O93" s="102">
        <v>3.0</v>
      </c>
      <c r="P93" s="102" t="s">
        <v>593</v>
      </c>
      <c r="S93" s="102">
        <v>28800.0</v>
      </c>
      <c r="T93" s="230" t="str">
        <f>IF(ISNUMBER(MATCH(B93, 'Sprint 16'!B:B, 0)), "มาจาก Sprint 16", "")</f>
        <v>มาจาก Sprint 16</v>
      </c>
      <c r="U93" s="230" t="str">
        <f t="array" ref="U93">IF(ISNUMBER(MATCH(B93, 'Sprint 16'!B:B, 0)), INDEX('Sprint 16'!J:J, MATCH(B93, 'Sprint 16'!B:B, 0)), "")</f>
        <v>To Do</v>
      </c>
      <c r="V93" s="102"/>
      <c r="W93" s="102" t="s">
        <v>4566</v>
      </c>
    </row>
    <row r="94">
      <c r="A94" s="102" t="s">
        <v>310</v>
      </c>
      <c r="B94" s="102" t="s">
        <v>4930</v>
      </c>
      <c r="C94" s="229" t="s">
        <v>4931</v>
      </c>
      <c r="D94" s="102" t="s">
        <v>4932</v>
      </c>
      <c r="E94" s="102" t="s">
        <v>513</v>
      </c>
      <c r="F94" s="102" t="s">
        <v>514</v>
      </c>
      <c r="G94" s="102" t="s">
        <v>513</v>
      </c>
      <c r="H94" s="102" t="s">
        <v>514</v>
      </c>
      <c r="I94" s="102" t="s">
        <v>284</v>
      </c>
      <c r="J94" s="102" t="s">
        <v>34</v>
      </c>
      <c r="L94" s="229" t="s">
        <v>4933</v>
      </c>
      <c r="M94" s="229" t="s">
        <v>5163</v>
      </c>
      <c r="N94" s="229" t="s">
        <v>4196</v>
      </c>
      <c r="O94" s="102">
        <v>2.0</v>
      </c>
      <c r="P94" s="102" t="s">
        <v>593</v>
      </c>
      <c r="S94" s="102">
        <v>14400.0</v>
      </c>
      <c r="T94" s="230" t="str">
        <f>IF(ISNUMBER(MATCH(B94, 'Sprint 16'!B:B, 0)), "มาจาก Sprint 16", "")</f>
        <v>มาจาก Sprint 16</v>
      </c>
      <c r="U94" s="230" t="str">
        <f t="array" ref="U94">IF(ISNUMBER(MATCH(B94, 'Sprint 16'!B:B, 0)), INDEX('Sprint 16'!J:J, MATCH(B94, 'Sprint 16'!B:B, 0)), "")</f>
        <v>To Do</v>
      </c>
      <c r="V94" s="102"/>
      <c r="W94" s="102" t="s">
        <v>4566</v>
      </c>
    </row>
    <row r="95">
      <c r="A95" s="102" t="s">
        <v>310</v>
      </c>
      <c r="B95" s="102" t="s">
        <v>5164</v>
      </c>
      <c r="C95" s="229" t="s">
        <v>5165</v>
      </c>
      <c r="D95" s="102" t="s">
        <v>5166</v>
      </c>
      <c r="E95" s="102" t="s">
        <v>513</v>
      </c>
      <c r="F95" s="102" t="s">
        <v>514</v>
      </c>
      <c r="G95" s="102" t="s">
        <v>513</v>
      </c>
      <c r="H95" s="102" t="s">
        <v>514</v>
      </c>
      <c r="I95" s="102" t="s">
        <v>284</v>
      </c>
      <c r="J95" s="102" t="s">
        <v>26</v>
      </c>
      <c r="L95" s="229" t="s">
        <v>4933</v>
      </c>
      <c r="M95" s="229" t="s">
        <v>5000</v>
      </c>
      <c r="N95" s="229" t="s">
        <v>4222</v>
      </c>
      <c r="O95" s="102">
        <v>1.0</v>
      </c>
      <c r="P95" s="102" t="s">
        <v>593</v>
      </c>
      <c r="S95" s="102">
        <v>7200.0</v>
      </c>
      <c r="T95" s="230" t="str">
        <f>IF(ISNUMBER(MATCH(B95, 'Sprint 16'!B:B, 0)), "มาจาก Sprint 16", "")</f>
        <v>มาจาก Sprint 16</v>
      </c>
      <c r="U95" s="230" t="str">
        <f t="array" ref="U95">IF(ISNUMBER(MATCH(B95, 'Sprint 16'!B:B, 0)), INDEX('Sprint 16'!J:J, MATCH(B95, 'Sprint 16'!B:B, 0)), "")</f>
        <v>To Do</v>
      </c>
      <c r="V95" s="102"/>
      <c r="W95" s="102" t="s">
        <v>4566</v>
      </c>
    </row>
    <row r="96">
      <c r="A96" s="102" t="s">
        <v>310</v>
      </c>
      <c r="B96" s="102" t="s">
        <v>5167</v>
      </c>
      <c r="C96" s="229" t="s">
        <v>5168</v>
      </c>
      <c r="D96" s="102" t="s">
        <v>5169</v>
      </c>
      <c r="E96" s="102" t="s">
        <v>513</v>
      </c>
      <c r="F96" s="102" t="s">
        <v>514</v>
      </c>
      <c r="G96" s="102" t="s">
        <v>513</v>
      </c>
      <c r="H96" s="102" t="s">
        <v>514</v>
      </c>
      <c r="I96" s="102" t="s">
        <v>284</v>
      </c>
      <c r="J96" s="102" t="s">
        <v>26</v>
      </c>
      <c r="L96" s="229" t="s">
        <v>5170</v>
      </c>
      <c r="M96" s="229" t="s">
        <v>5000</v>
      </c>
      <c r="N96" s="229" t="s">
        <v>3600</v>
      </c>
      <c r="O96" s="102">
        <v>3.0</v>
      </c>
      <c r="P96" s="102" t="s">
        <v>593</v>
      </c>
      <c r="S96" s="102">
        <v>28800.0</v>
      </c>
      <c r="T96" s="230" t="str">
        <f>IF(ISNUMBER(MATCH(B96, 'Sprint 16'!B:B, 0)), "มาจาก Sprint 16", "")</f>
        <v>มาจาก Sprint 16</v>
      </c>
      <c r="U96" s="230" t="str">
        <f t="array" ref="U96">IF(ISNUMBER(MATCH(B96, 'Sprint 16'!B:B, 0)), INDEX('Sprint 16'!J:J, MATCH(B96, 'Sprint 16'!B:B, 0)), "")</f>
        <v>To Do</v>
      </c>
      <c r="V96" s="102"/>
      <c r="W96" s="102" t="s">
        <v>4566</v>
      </c>
    </row>
    <row r="97">
      <c r="A97" s="102" t="s">
        <v>310</v>
      </c>
      <c r="B97" s="102" t="s">
        <v>5171</v>
      </c>
      <c r="C97" s="229" t="s">
        <v>5172</v>
      </c>
      <c r="D97" s="102" t="s">
        <v>5173</v>
      </c>
      <c r="E97" s="102" t="s">
        <v>513</v>
      </c>
      <c r="F97" s="102" t="s">
        <v>514</v>
      </c>
      <c r="G97" s="102" t="s">
        <v>513</v>
      </c>
      <c r="H97" s="102" t="s">
        <v>514</v>
      </c>
      <c r="I97" s="102" t="s">
        <v>284</v>
      </c>
      <c r="J97" s="102" t="s">
        <v>26</v>
      </c>
      <c r="L97" s="229" t="s">
        <v>5170</v>
      </c>
      <c r="M97" s="229" t="s">
        <v>5000</v>
      </c>
      <c r="N97" s="229" t="s">
        <v>4612</v>
      </c>
      <c r="O97" s="102">
        <v>1.0</v>
      </c>
      <c r="P97" s="102" t="s">
        <v>593</v>
      </c>
      <c r="S97" s="102">
        <v>7200.0</v>
      </c>
      <c r="T97" s="230" t="str">
        <f>IF(ISNUMBER(MATCH(B97, 'Sprint 16'!B:B, 0)), "มาจาก Sprint 16", "")</f>
        <v>มาจาก Sprint 16</v>
      </c>
      <c r="U97" s="230" t="str">
        <f t="array" ref="U97">IF(ISNUMBER(MATCH(B97, 'Sprint 16'!B:B, 0)), INDEX('Sprint 16'!J:J, MATCH(B97, 'Sprint 16'!B:B, 0)), "")</f>
        <v>To Do</v>
      </c>
      <c r="V97" s="102"/>
      <c r="W97" s="102" t="s">
        <v>4566</v>
      </c>
    </row>
    <row r="98">
      <c r="A98" s="102" t="s">
        <v>310</v>
      </c>
      <c r="B98" s="102" t="s">
        <v>5174</v>
      </c>
      <c r="C98" s="229" t="s">
        <v>5175</v>
      </c>
      <c r="D98" s="102" t="s">
        <v>5176</v>
      </c>
      <c r="E98" s="102" t="s">
        <v>513</v>
      </c>
      <c r="F98" s="102" t="s">
        <v>514</v>
      </c>
      <c r="G98" s="102" t="s">
        <v>513</v>
      </c>
      <c r="H98" s="102" t="s">
        <v>514</v>
      </c>
      <c r="I98" s="102" t="s">
        <v>284</v>
      </c>
      <c r="J98" s="102" t="s">
        <v>26</v>
      </c>
      <c r="L98" s="229" t="s">
        <v>5170</v>
      </c>
      <c r="M98" s="229" t="s">
        <v>5000</v>
      </c>
      <c r="N98" s="229" t="s">
        <v>4222</v>
      </c>
      <c r="O98" s="102">
        <v>1.0</v>
      </c>
      <c r="P98" s="102" t="s">
        <v>593</v>
      </c>
      <c r="S98" s="102">
        <v>7200.0</v>
      </c>
      <c r="T98" s="230" t="str">
        <f>IF(ISNUMBER(MATCH(B98, 'Sprint 16'!B:B, 0)), "มาจาก Sprint 16", "")</f>
        <v>มาจาก Sprint 16</v>
      </c>
      <c r="U98" s="230" t="str">
        <f t="array" ref="U98">IF(ISNUMBER(MATCH(B98, 'Sprint 16'!B:B, 0)), INDEX('Sprint 16'!J:J, MATCH(B98, 'Sprint 16'!B:B, 0)), "")</f>
        <v>To Do</v>
      </c>
      <c r="V98" s="102"/>
      <c r="W98" s="102" t="s">
        <v>4566</v>
      </c>
    </row>
    <row r="99">
      <c r="A99" s="102" t="s">
        <v>310</v>
      </c>
      <c r="B99" s="102" t="s">
        <v>5177</v>
      </c>
      <c r="C99" s="229" t="s">
        <v>5178</v>
      </c>
      <c r="D99" s="102" t="s">
        <v>5179</v>
      </c>
      <c r="E99" s="102" t="s">
        <v>513</v>
      </c>
      <c r="F99" s="102" t="s">
        <v>514</v>
      </c>
      <c r="G99" s="102" t="s">
        <v>513</v>
      </c>
      <c r="H99" s="102" t="s">
        <v>514</v>
      </c>
      <c r="I99" s="102" t="s">
        <v>284</v>
      </c>
      <c r="J99" s="102" t="s">
        <v>26</v>
      </c>
      <c r="L99" s="229" t="s">
        <v>5180</v>
      </c>
      <c r="M99" s="229" t="s">
        <v>5000</v>
      </c>
      <c r="O99" s="102">
        <v>2.0</v>
      </c>
      <c r="P99" s="102" t="s">
        <v>593</v>
      </c>
      <c r="S99" s="102">
        <v>7200.0</v>
      </c>
      <c r="T99" s="230" t="str">
        <f>IF(ISNUMBER(MATCH(B99, 'Sprint 16'!B:B, 0)), "มาจาก Sprint 16", "")</f>
        <v>มาจาก Sprint 16</v>
      </c>
      <c r="U99" s="230" t="str">
        <f t="array" ref="U99">IF(ISNUMBER(MATCH(B99, 'Sprint 16'!B:B, 0)), INDEX('Sprint 16'!J:J, MATCH(B99, 'Sprint 16'!B:B, 0)), "")</f>
        <v>To Do</v>
      </c>
      <c r="V99" s="102"/>
      <c r="W99" s="102" t="s">
        <v>4566</v>
      </c>
    </row>
    <row r="100">
      <c r="A100" s="102" t="s">
        <v>310</v>
      </c>
      <c r="B100" s="102" t="s">
        <v>4935</v>
      </c>
      <c r="C100" s="229" t="s">
        <v>4936</v>
      </c>
      <c r="D100" s="102" t="s">
        <v>4937</v>
      </c>
      <c r="G100" s="102" t="s">
        <v>513</v>
      </c>
      <c r="H100" s="102" t="s">
        <v>514</v>
      </c>
      <c r="I100" s="102" t="s">
        <v>284</v>
      </c>
      <c r="J100" s="102" t="s">
        <v>63</v>
      </c>
      <c r="L100" s="229" t="s">
        <v>4938</v>
      </c>
      <c r="M100" s="229" t="s">
        <v>5000</v>
      </c>
      <c r="O100" s="102">
        <v>3.0</v>
      </c>
      <c r="P100" s="102" t="s">
        <v>593</v>
      </c>
      <c r="S100" s="230"/>
      <c r="T100" s="230" t="str">
        <f>IF(ISNUMBER(MATCH(B100, 'Sprint 16'!B:B, 0)), "มาจาก Sprint 16", "")</f>
        <v>มาจาก Sprint 16</v>
      </c>
      <c r="U100" s="230" t="str">
        <f t="array" ref="U100">IF(ISNUMBER(MATCH(B100, 'Sprint 16'!B:B, 0)), INDEX('Sprint 16'!J:J, MATCH(B100, 'Sprint 16'!B:B, 0)), "")</f>
        <v>To Do</v>
      </c>
      <c r="V100" s="230"/>
      <c r="W100" s="102" t="s">
        <v>4566</v>
      </c>
    </row>
    <row r="101">
      <c r="A101" s="102" t="s">
        <v>310</v>
      </c>
      <c r="B101" s="102" t="s">
        <v>5181</v>
      </c>
      <c r="C101" s="229" t="s">
        <v>5182</v>
      </c>
      <c r="D101" s="102" t="s">
        <v>5183</v>
      </c>
      <c r="E101" s="102" t="s">
        <v>513</v>
      </c>
      <c r="F101" s="102" t="s">
        <v>514</v>
      </c>
      <c r="G101" s="102" t="s">
        <v>513</v>
      </c>
      <c r="H101" s="102" t="s">
        <v>514</v>
      </c>
      <c r="I101" s="102" t="s">
        <v>284</v>
      </c>
      <c r="J101" s="102" t="s">
        <v>26</v>
      </c>
      <c r="L101" s="229" t="s">
        <v>4938</v>
      </c>
      <c r="M101" s="229" t="s">
        <v>5000</v>
      </c>
      <c r="N101" s="229" t="s">
        <v>4612</v>
      </c>
      <c r="O101" s="102">
        <v>1.0</v>
      </c>
      <c r="P101" s="102" t="s">
        <v>593</v>
      </c>
      <c r="S101" s="102">
        <v>7200.0</v>
      </c>
      <c r="T101" s="230" t="str">
        <f>IF(ISNUMBER(MATCH(B101, 'Sprint 16'!B:B, 0)), "มาจาก Sprint 16", "")</f>
        <v>มาจาก Sprint 16</v>
      </c>
      <c r="U101" s="230" t="str">
        <f t="array" ref="U101">IF(ISNUMBER(MATCH(B101, 'Sprint 16'!B:B, 0)), INDEX('Sprint 16'!J:J, MATCH(B101, 'Sprint 16'!B:B, 0)), "")</f>
        <v>To Do</v>
      </c>
      <c r="V101" s="102"/>
      <c r="W101" s="102" t="s">
        <v>4566</v>
      </c>
    </row>
    <row r="102">
      <c r="A102" s="102" t="s">
        <v>310</v>
      </c>
      <c r="B102" s="102" t="s">
        <v>5184</v>
      </c>
      <c r="C102" s="229" t="s">
        <v>5185</v>
      </c>
      <c r="D102" s="102" t="s">
        <v>5186</v>
      </c>
      <c r="E102" s="102" t="s">
        <v>513</v>
      </c>
      <c r="F102" s="102" t="s">
        <v>514</v>
      </c>
      <c r="G102" s="102" t="s">
        <v>513</v>
      </c>
      <c r="H102" s="102" t="s">
        <v>514</v>
      </c>
      <c r="I102" s="102" t="s">
        <v>284</v>
      </c>
      <c r="J102" s="102" t="s">
        <v>26</v>
      </c>
      <c r="L102" s="229" t="s">
        <v>4938</v>
      </c>
      <c r="M102" s="229" t="s">
        <v>5187</v>
      </c>
      <c r="N102" s="229" t="s">
        <v>4196</v>
      </c>
      <c r="O102" s="102">
        <v>2.0</v>
      </c>
      <c r="P102" s="102" t="s">
        <v>593</v>
      </c>
      <c r="S102" s="102">
        <v>14400.0</v>
      </c>
      <c r="T102" s="230" t="str">
        <f>IF(ISNUMBER(MATCH(B102, 'Sprint 16'!B:B, 0)), "มาจาก Sprint 16", "")</f>
        <v>มาจาก Sprint 16</v>
      </c>
      <c r="U102" s="230" t="str">
        <f t="array" ref="U102">IF(ISNUMBER(MATCH(B102, 'Sprint 16'!B:B, 0)), INDEX('Sprint 16'!J:J, MATCH(B102, 'Sprint 16'!B:B, 0)), "")</f>
        <v>To Do</v>
      </c>
      <c r="V102" s="102"/>
      <c r="W102" s="102" t="s">
        <v>4566</v>
      </c>
    </row>
    <row r="103">
      <c r="A103" s="102" t="s">
        <v>310</v>
      </c>
      <c r="B103" s="102" t="s">
        <v>5188</v>
      </c>
      <c r="C103" s="229" t="s">
        <v>5189</v>
      </c>
      <c r="D103" s="102" t="s">
        <v>5190</v>
      </c>
      <c r="E103" s="102" t="s">
        <v>513</v>
      </c>
      <c r="F103" s="102" t="s">
        <v>514</v>
      </c>
      <c r="G103" s="102" t="s">
        <v>513</v>
      </c>
      <c r="H103" s="102" t="s">
        <v>514</v>
      </c>
      <c r="I103" s="102" t="s">
        <v>284</v>
      </c>
      <c r="J103" s="102" t="s">
        <v>26</v>
      </c>
      <c r="L103" s="229" t="s">
        <v>5191</v>
      </c>
      <c r="M103" s="229" t="s">
        <v>5000</v>
      </c>
      <c r="N103" s="229" t="s">
        <v>4196</v>
      </c>
      <c r="O103" s="102">
        <v>3.0</v>
      </c>
      <c r="P103" s="102" t="s">
        <v>593</v>
      </c>
      <c r="S103" s="102">
        <v>28800.0</v>
      </c>
      <c r="T103" s="230" t="str">
        <f>IF(ISNUMBER(MATCH(B103, 'Sprint 16'!B:B, 0)), "มาจาก Sprint 16", "")</f>
        <v>มาจาก Sprint 16</v>
      </c>
      <c r="U103" s="230" t="str">
        <f t="array" ref="U103">IF(ISNUMBER(MATCH(B103, 'Sprint 16'!B:B, 0)), INDEX('Sprint 16'!J:J, MATCH(B103, 'Sprint 16'!B:B, 0)), "")</f>
        <v>To Do</v>
      </c>
      <c r="V103" s="102"/>
      <c r="W103" s="102" t="s">
        <v>4566</v>
      </c>
    </row>
    <row r="104">
      <c r="A104" s="102" t="s">
        <v>310</v>
      </c>
      <c r="B104" s="102" t="s">
        <v>5192</v>
      </c>
      <c r="C104" s="229" t="s">
        <v>5193</v>
      </c>
      <c r="D104" s="102" t="s">
        <v>5194</v>
      </c>
      <c r="E104" s="102" t="s">
        <v>513</v>
      </c>
      <c r="F104" s="102" t="s">
        <v>514</v>
      </c>
      <c r="G104" s="102" t="s">
        <v>513</v>
      </c>
      <c r="H104" s="102" t="s">
        <v>514</v>
      </c>
      <c r="I104" s="102" t="s">
        <v>284</v>
      </c>
      <c r="J104" s="102" t="s">
        <v>26</v>
      </c>
      <c r="L104" s="229" t="s">
        <v>5191</v>
      </c>
      <c r="M104" s="229" t="s">
        <v>5000</v>
      </c>
      <c r="N104" s="229" t="s">
        <v>5152</v>
      </c>
      <c r="O104" s="102">
        <v>1.0</v>
      </c>
      <c r="P104" s="102" t="s">
        <v>593</v>
      </c>
      <c r="S104" s="102">
        <v>28800.0</v>
      </c>
      <c r="T104" s="230" t="str">
        <f>IF(ISNUMBER(MATCH(B104, 'Sprint 16'!B:B, 0)), "มาจาก Sprint 16", "")</f>
        <v>มาจาก Sprint 16</v>
      </c>
      <c r="U104" s="230" t="str">
        <f t="array" ref="U104">IF(ISNUMBER(MATCH(B104, 'Sprint 16'!B:B, 0)), INDEX('Sprint 16'!J:J, MATCH(B104, 'Sprint 16'!B:B, 0)), "")</f>
        <v>To Do</v>
      </c>
      <c r="V104" s="102"/>
      <c r="W104" s="102" t="s">
        <v>4566</v>
      </c>
    </row>
    <row r="105">
      <c r="A105" s="102" t="s">
        <v>310</v>
      </c>
      <c r="B105" s="102" t="s">
        <v>5195</v>
      </c>
      <c r="C105" s="229" t="s">
        <v>5196</v>
      </c>
      <c r="D105" s="102" t="s">
        <v>5197</v>
      </c>
      <c r="E105" s="102" t="s">
        <v>513</v>
      </c>
      <c r="F105" s="102" t="s">
        <v>514</v>
      </c>
      <c r="G105" s="102" t="s">
        <v>513</v>
      </c>
      <c r="H105" s="102" t="s">
        <v>514</v>
      </c>
      <c r="I105" s="102" t="s">
        <v>284</v>
      </c>
      <c r="J105" s="102" t="s">
        <v>26</v>
      </c>
      <c r="L105" s="229" t="s">
        <v>5191</v>
      </c>
      <c r="M105" s="229" t="s">
        <v>5000</v>
      </c>
      <c r="N105" s="229" t="s">
        <v>4222</v>
      </c>
      <c r="O105" s="102">
        <v>3.0</v>
      </c>
      <c r="P105" s="102" t="s">
        <v>593</v>
      </c>
      <c r="S105" s="102">
        <v>28800.0</v>
      </c>
      <c r="T105" s="230" t="str">
        <f>IF(ISNUMBER(MATCH(B105, 'Sprint 16'!B:B, 0)), "มาจาก Sprint 16", "")</f>
        <v>มาจาก Sprint 16</v>
      </c>
      <c r="U105" s="230" t="str">
        <f t="array" ref="U105">IF(ISNUMBER(MATCH(B105, 'Sprint 16'!B:B, 0)), INDEX('Sprint 16'!J:J, MATCH(B105, 'Sprint 16'!B:B, 0)), "")</f>
        <v>To Do</v>
      </c>
      <c r="V105" s="102"/>
      <c r="W105" s="102" t="s">
        <v>4566</v>
      </c>
    </row>
    <row r="106">
      <c r="A106" s="102" t="s">
        <v>310</v>
      </c>
      <c r="B106" s="102" t="s">
        <v>5198</v>
      </c>
      <c r="C106" s="229" t="s">
        <v>5199</v>
      </c>
      <c r="D106" s="102" t="s">
        <v>5200</v>
      </c>
      <c r="E106" s="102" t="s">
        <v>513</v>
      </c>
      <c r="F106" s="102" t="s">
        <v>514</v>
      </c>
      <c r="G106" s="102" t="s">
        <v>513</v>
      </c>
      <c r="H106" s="102" t="s">
        <v>514</v>
      </c>
      <c r="I106" s="102" t="s">
        <v>284</v>
      </c>
      <c r="J106" s="102" t="s">
        <v>26</v>
      </c>
      <c r="L106" s="229" t="s">
        <v>5191</v>
      </c>
      <c r="M106" s="229" t="s">
        <v>5000</v>
      </c>
      <c r="N106" s="229" t="s">
        <v>5152</v>
      </c>
      <c r="O106" s="102">
        <v>3.0</v>
      </c>
      <c r="P106" s="102" t="s">
        <v>593</v>
      </c>
      <c r="S106" s="102">
        <v>28800.0</v>
      </c>
      <c r="T106" s="230" t="str">
        <f>IF(ISNUMBER(MATCH(B106, 'Sprint 16'!B:B, 0)), "มาจาก Sprint 16", "")</f>
        <v>มาจาก Sprint 16</v>
      </c>
      <c r="U106" s="230" t="str">
        <f t="array" ref="U106">IF(ISNUMBER(MATCH(B106, 'Sprint 16'!B:B, 0)), INDEX('Sprint 16'!J:J, MATCH(B106, 'Sprint 16'!B:B, 0)), "")</f>
        <v>To Do</v>
      </c>
      <c r="V106" s="102"/>
      <c r="W106" s="102" t="s">
        <v>4566</v>
      </c>
    </row>
    <row r="107">
      <c r="A107" s="102" t="s">
        <v>310</v>
      </c>
      <c r="B107" s="102" t="s">
        <v>5201</v>
      </c>
      <c r="C107" s="229" t="s">
        <v>5202</v>
      </c>
      <c r="D107" s="102" t="s">
        <v>5203</v>
      </c>
      <c r="E107" s="102" t="s">
        <v>513</v>
      </c>
      <c r="F107" s="102" t="s">
        <v>514</v>
      </c>
      <c r="G107" s="102" t="s">
        <v>513</v>
      </c>
      <c r="H107" s="102" t="s">
        <v>514</v>
      </c>
      <c r="I107" s="102" t="s">
        <v>284</v>
      </c>
      <c r="J107" s="102" t="s">
        <v>26</v>
      </c>
      <c r="L107" s="229" t="s">
        <v>5204</v>
      </c>
      <c r="M107" s="229" t="s">
        <v>5000</v>
      </c>
      <c r="N107" s="229" t="s">
        <v>5152</v>
      </c>
      <c r="O107" s="102">
        <v>3.0</v>
      </c>
      <c r="P107" s="102" t="s">
        <v>593</v>
      </c>
      <c r="S107" s="102">
        <v>28800.0</v>
      </c>
      <c r="T107" s="230" t="str">
        <f>IF(ISNUMBER(MATCH(B107, 'Sprint 16'!B:B, 0)), "มาจาก Sprint 16", "")</f>
        <v>มาจาก Sprint 16</v>
      </c>
      <c r="U107" s="230" t="str">
        <f t="array" ref="U107">IF(ISNUMBER(MATCH(B107, 'Sprint 16'!B:B, 0)), INDEX('Sprint 16'!J:J, MATCH(B107, 'Sprint 16'!B:B, 0)), "")</f>
        <v>To Do</v>
      </c>
      <c r="V107" s="102"/>
      <c r="W107" s="102" t="s">
        <v>4566</v>
      </c>
    </row>
    <row r="108">
      <c r="A108" s="102" t="s">
        <v>310</v>
      </c>
      <c r="B108" s="102" t="s">
        <v>5205</v>
      </c>
      <c r="C108" s="229" t="s">
        <v>5206</v>
      </c>
      <c r="D108" s="102" t="s">
        <v>5207</v>
      </c>
      <c r="E108" s="102" t="s">
        <v>513</v>
      </c>
      <c r="F108" s="102" t="s">
        <v>514</v>
      </c>
      <c r="G108" s="102" t="s">
        <v>513</v>
      </c>
      <c r="H108" s="102" t="s">
        <v>514</v>
      </c>
      <c r="I108" s="102" t="s">
        <v>284</v>
      </c>
      <c r="J108" s="102" t="s">
        <v>26</v>
      </c>
      <c r="L108" s="229" t="s">
        <v>5204</v>
      </c>
      <c r="M108" s="229" t="s">
        <v>5000</v>
      </c>
      <c r="N108" s="229" t="s">
        <v>5001</v>
      </c>
      <c r="O108" s="102">
        <v>1.0</v>
      </c>
      <c r="S108" s="102">
        <v>7200.0</v>
      </c>
      <c r="T108" s="230" t="str">
        <f>IF(ISNUMBER(MATCH(B108, 'Sprint 16'!B:B, 0)), "มาจาก Sprint 16", "")</f>
        <v>มาจาก Sprint 16</v>
      </c>
      <c r="U108" s="230" t="str">
        <f t="array" ref="U108">IF(ISNUMBER(MATCH(B108, 'Sprint 16'!B:B, 0)), INDEX('Sprint 16'!J:J, MATCH(B108, 'Sprint 16'!B:B, 0)), "")</f>
        <v>To Do</v>
      </c>
      <c r="V108" s="102"/>
      <c r="W108" s="102" t="s">
        <v>4566</v>
      </c>
    </row>
    <row r="109">
      <c r="A109" s="102" t="s">
        <v>310</v>
      </c>
      <c r="B109" s="102" t="s">
        <v>5208</v>
      </c>
      <c r="C109" s="229" t="s">
        <v>5209</v>
      </c>
      <c r="D109" s="102" t="s">
        <v>5210</v>
      </c>
      <c r="E109" s="102" t="s">
        <v>513</v>
      </c>
      <c r="F109" s="102" t="s">
        <v>514</v>
      </c>
      <c r="G109" s="102" t="s">
        <v>513</v>
      </c>
      <c r="H109" s="102" t="s">
        <v>514</v>
      </c>
      <c r="I109" s="102" t="s">
        <v>284</v>
      </c>
      <c r="J109" s="102" t="s">
        <v>26</v>
      </c>
      <c r="L109" s="229" t="s">
        <v>5211</v>
      </c>
      <c r="M109" s="229" t="s">
        <v>5000</v>
      </c>
      <c r="N109" s="229" t="s">
        <v>4612</v>
      </c>
      <c r="O109" s="102">
        <v>3.0</v>
      </c>
      <c r="P109" s="102" t="s">
        <v>593</v>
      </c>
      <c r="S109" s="102">
        <v>28800.0</v>
      </c>
      <c r="T109" s="230" t="str">
        <f>IF(ISNUMBER(MATCH(B109, 'Sprint 16'!B:B, 0)), "มาจาก Sprint 16", "")</f>
        <v>มาจาก Sprint 16</v>
      </c>
      <c r="U109" s="230" t="str">
        <f t="array" ref="U109">IF(ISNUMBER(MATCH(B109, 'Sprint 16'!B:B, 0)), INDEX('Sprint 16'!J:J, MATCH(B109, 'Sprint 16'!B:B, 0)), "")</f>
        <v>To Do</v>
      </c>
      <c r="V109" s="102"/>
      <c r="W109" s="102" t="s">
        <v>4566</v>
      </c>
    </row>
    <row r="110">
      <c r="A110" s="102" t="s">
        <v>310</v>
      </c>
      <c r="B110" s="102" t="s">
        <v>5212</v>
      </c>
      <c r="C110" s="229" t="s">
        <v>5213</v>
      </c>
      <c r="D110" s="102" t="s">
        <v>5214</v>
      </c>
      <c r="E110" s="102" t="s">
        <v>513</v>
      </c>
      <c r="F110" s="102" t="s">
        <v>514</v>
      </c>
      <c r="G110" s="102" t="s">
        <v>513</v>
      </c>
      <c r="H110" s="102" t="s">
        <v>514</v>
      </c>
      <c r="I110" s="102" t="s">
        <v>284</v>
      </c>
      <c r="J110" s="102" t="s">
        <v>26</v>
      </c>
      <c r="L110" s="229" t="s">
        <v>5211</v>
      </c>
      <c r="M110" s="229" t="s">
        <v>5000</v>
      </c>
      <c r="N110" s="229" t="s">
        <v>4222</v>
      </c>
      <c r="O110" s="102">
        <v>3.0</v>
      </c>
      <c r="P110" s="102" t="s">
        <v>593</v>
      </c>
      <c r="S110" s="102">
        <v>28800.0</v>
      </c>
      <c r="T110" s="230" t="str">
        <f>IF(ISNUMBER(MATCH(B110, 'Sprint 16'!B:B, 0)), "มาจาก Sprint 16", "")</f>
        <v>มาจาก Sprint 16</v>
      </c>
      <c r="U110" s="230" t="str">
        <f t="array" ref="U110">IF(ISNUMBER(MATCH(B110, 'Sprint 16'!B:B, 0)), INDEX('Sprint 16'!J:J, MATCH(B110, 'Sprint 16'!B:B, 0)), "")</f>
        <v>To Do</v>
      </c>
      <c r="V110" s="102"/>
      <c r="W110" s="102" t="s">
        <v>4566</v>
      </c>
    </row>
    <row r="111">
      <c r="A111" s="102" t="s">
        <v>310</v>
      </c>
      <c r="B111" s="102" t="s">
        <v>5215</v>
      </c>
      <c r="C111" s="229" t="s">
        <v>5216</v>
      </c>
      <c r="D111" s="102" t="s">
        <v>5217</v>
      </c>
      <c r="E111" s="102" t="s">
        <v>513</v>
      </c>
      <c r="F111" s="102" t="s">
        <v>514</v>
      </c>
      <c r="G111" s="102" t="s">
        <v>513</v>
      </c>
      <c r="H111" s="102" t="s">
        <v>514</v>
      </c>
      <c r="I111" s="102" t="s">
        <v>284</v>
      </c>
      <c r="J111" s="102" t="s">
        <v>26</v>
      </c>
      <c r="L111" s="229" t="s">
        <v>5211</v>
      </c>
      <c r="M111" s="229" t="s">
        <v>5000</v>
      </c>
      <c r="O111" s="102">
        <v>1.0</v>
      </c>
      <c r="P111" s="102" t="s">
        <v>593</v>
      </c>
      <c r="S111" s="102">
        <v>7200.0</v>
      </c>
      <c r="T111" s="230" t="str">
        <f>IF(ISNUMBER(MATCH(B111, 'Sprint 16'!B:B, 0)), "มาจาก Sprint 16", "")</f>
        <v>มาจาก Sprint 16</v>
      </c>
      <c r="U111" s="230" t="str">
        <f t="array" ref="U111">IF(ISNUMBER(MATCH(B111, 'Sprint 16'!B:B, 0)), INDEX('Sprint 16'!J:J, MATCH(B111, 'Sprint 16'!B:B, 0)), "")</f>
        <v>To Do</v>
      </c>
      <c r="V111" s="102"/>
      <c r="W111" s="102" t="s">
        <v>4566</v>
      </c>
    </row>
    <row r="112">
      <c r="A112" s="102" t="s">
        <v>310</v>
      </c>
      <c r="B112" s="102" t="s">
        <v>5218</v>
      </c>
      <c r="C112" s="229" t="s">
        <v>5219</v>
      </c>
      <c r="D112" s="102" t="s">
        <v>5220</v>
      </c>
      <c r="E112" s="102" t="s">
        <v>513</v>
      </c>
      <c r="F112" s="102" t="s">
        <v>514</v>
      </c>
      <c r="G112" s="102" t="s">
        <v>513</v>
      </c>
      <c r="H112" s="102" t="s">
        <v>514</v>
      </c>
      <c r="I112" s="102" t="s">
        <v>284</v>
      </c>
      <c r="J112" s="102" t="s">
        <v>26</v>
      </c>
      <c r="L112" s="229" t="s">
        <v>5211</v>
      </c>
      <c r="M112" s="229" t="s">
        <v>5000</v>
      </c>
      <c r="N112" s="229" t="s">
        <v>4222</v>
      </c>
      <c r="O112" s="102">
        <v>3.0</v>
      </c>
      <c r="P112" s="102" t="s">
        <v>593</v>
      </c>
      <c r="S112" s="102">
        <v>28800.0</v>
      </c>
      <c r="T112" s="230" t="str">
        <f>IF(ISNUMBER(MATCH(B112, 'Sprint 16'!B:B, 0)), "มาจาก Sprint 16", "")</f>
        <v>มาจาก Sprint 16</v>
      </c>
      <c r="U112" s="230" t="str">
        <f t="array" ref="U112">IF(ISNUMBER(MATCH(B112, 'Sprint 16'!B:B, 0)), INDEX('Sprint 16'!J:J, MATCH(B112, 'Sprint 16'!B:B, 0)), "")</f>
        <v>To Do</v>
      </c>
      <c r="V112" s="102"/>
      <c r="W112" s="102" t="s">
        <v>4566</v>
      </c>
    </row>
    <row r="113">
      <c r="A113" s="102" t="s">
        <v>310</v>
      </c>
      <c r="B113" s="102" t="s">
        <v>5221</v>
      </c>
      <c r="C113" s="229" t="s">
        <v>5222</v>
      </c>
      <c r="D113" s="102" t="s">
        <v>5223</v>
      </c>
      <c r="E113" s="102" t="s">
        <v>513</v>
      </c>
      <c r="F113" s="102" t="s">
        <v>514</v>
      </c>
      <c r="G113" s="102" t="s">
        <v>513</v>
      </c>
      <c r="H113" s="102" t="s">
        <v>514</v>
      </c>
      <c r="I113" s="102" t="s">
        <v>284</v>
      </c>
      <c r="J113" s="102" t="s">
        <v>26</v>
      </c>
      <c r="L113" s="229" t="s">
        <v>5224</v>
      </c>
      <c r="M113" s="229" t="s">
        <v>5000</v>
      </c>
      <c r="N113" s="229" t="s">
        <v>5152</v>
      </c>
      <c r="O113" s="102">
        <v>1.0</v>
      </c>
      <c r="P113" s="102" t="s">
        <v>593</v>
      </c>
      <c r="S113" s="102">
        <v>0.0</v>
      </c>
      <c r="T113" s="230" t="str">
        <f>IF(ISNUMBER(MATCH(B113, 'Sprint 16'!B:B, 0)), "มาจาก Sprint 16", "")</f>
        <v>มาจาก Sprint 16</v>
      </c>
      <c r="U113" s="230" t="str">
        <f t="array" ref="U113">IF(ISNUMBER(MATCH(B113, 'Sprint 16'!B:B, 0)), INDEX('Sprint 16'!J:J, MATCH(B113, 'Sprint 16'!B:B, 0)), "")</f>
        <v>To Do</v>
      </c>
      <c r="V113" s="102"/>
      <c r="W113" s="102" t="s">
        <v>4566</v>
      </c>
    </row>
    <row r="114">
      <c r="A114" s="102" t="s">
        <v>310</v>
      </c>
      <c r="B114" s="102" t="s">
        <v>5225</v>
      </c>
      <c r="C114" s="229" t="s">
        <v>5226</v>
      </c>
      <c r="D114" s="102" t="s">
        <v>5227</v>
      </c>
      <c r="E114" s="102" t="s">
        <v>513</v>
      </c>
      <c r="F114" s="102" t="s">
        <v>514</v>
      </c>
      <c r="G114" s="102" t="s">
        <v>513</v>
      </c>
      <c r="H114" s="102" t="s">
        <v>514</v>
      </c>
      <c r="I114" s="102" t="s">
        <v>284</v>
      </c>
      <c r="J114" s="102" t="s">
        <v>26</v>
      </c>
      <c r="L114" s="229" t="s">
        <v>5228</v>
      </c>
      <c r="M114" s="229" t="s">
        <v>5000</v>
      </c>
      <c r="N114" s="229" t="s">
        <v>5152</v>
      </c>
      <c r="O114" s="102">
        <v>1.0</v>
      </c>
      <c r="P114" s="102" t="s">
        <v>593</v>
      </c>
      <c r="S114" s="102">
        <v>7200.0</v>
      </c>
      <c r="T114" s="230" t="str">
        <f>IF(ISNUMBER(MATCH(B114, 'Sprint 16'!B:B, 0)), "มาจาก Sprint 16", "")</f>
        <v>มาจาก Sprint 16</v>
      </c>
      <c r="U114" s="230" t="str">
        <f t="array" ref="U114">IF(ISNUMBER(MATCH(B114, 'Sprint 16'!B:B, 0)), INDEX('Sprint 16'!J:J, MATCH(B114, 'Sprint 16'!B:B, 0)), "")</f>
        <v>To Do</v>
      </c>
      <c r="V114" s="102"/>
      <c r="W114" s="102" t="s">
        <v>4566</v>
      </c>
    </row>
    <row r="115">
      <c r="A115" s="102" t="s">
        <v>310</v>
      </c>
      <c r="B115" s="102" t="s">
        <v>4939</v>
      </c>
      <c r="C115" s="229" t="s">
        <v>4940</v>
      </c>
      <c r="D115" s="102" t="s">
        <v>4941</v>
      </c>
      <c r="G115" s="102" t="s">
        <v>513</v>
      </c>
      <c r="H115" s="102" t="s">
        <v>514</v>
      </c>
      <c r="I115" s="102" t="s">
        <v>284</v>
      </c>
      <c r="J115" s="102" t="s">
        <v>63</v>
      </c>
      <c r="L115" s="229" t="s">
        <v>4942</v>
      </c>
      <c r="M115" s="229" t="s">
        <v>5000</v>
      </c>
      <c r="O115" s="102">
        <v>3.0</v>
      </c>
      <c r="P115" s="102" t="s">
        <v>593</v>
      </c>
      <c r="S115" s="230"/>
      <c r="T115" s="230" t="str">
        <f>IF(ISNUMBER(MATCH(B115, 'Sprint 16'!B:B, 0)), "มาจาก Sprint 16", "")</f>
        <v>มาจาก Sprint 16</v>
      </c>
      <c r="U115" s="230" t="str">
        <f t="array" ref="U115">IF(ISNUMBER(MATCH(B115, 'Sprint 16'!B:B, 0)), INDEX('Sprint 16'!J:J, MATCH(B115, 'Sprint 16'!B:B, 0)), "")</f>
        <v>To Do</v>
      </c>
      <c r="V115" s="230"/>
      <c r="W115" s="102" t="s">
        <v>4566</v>
      </c>
      <c r="AG115" s="102"/>
      <c r="AH115" s="102"/>
    </row>
    <row r="116">
      <c r="A116" s="102" t="s">
        <v>310</v>
      </c>
      <c r="B116" s="102" t="s">
        <v>5229</v>
      </c>
      <c r="C116" s="229" t="s">
        <v>5230</v>
      </c>
      <c r="D116" s="102" t="s">
        <v>5231</v>
      </c>
      <c r="E116" s="102" t="s">
        <v>513</v>
      </c>
      <c r="F116" s="102" t="s">
        <v>514</v>
      </c>
      <c r="G116" s="102" t="s">
        <v>513</v>
      </c>
      <c r="H116" s="102" t="s">
        <v>514</v>
      </c>
      <c r="I116" s="102" t="s">
        <v>284</v>
      </c>
      <c r="J116" s="102" t="s">
        <v>26</v>
      </c>
      <c r="L116" s="229" t="s">
        <v>5232</v>
      </c>
      <c r="M116" s="229" t="s">
        <v>5000</v>
      </c>
      <c r="N116" s="229" t="s">
        <v>5152</v>
      </c>
      <c r="O116" s="102">
        <v>1.0</v>
      </c>
      <c r="P116" s="102" t="s">
        <v>593</v>
      </c>
      <c r="S116" s="102">
        <v>7200.0</v>
      </c>
      <c r="T116" s="230" t="str">
        <f>IF(ISNUMBER(MATCH(B116, 'Sprint 16'!B:B, 0)), "มาจาก Sprint 16", "")</f>
        <v>มาจาก Sprint 16</v>
      </c>
      <c r="U116" s="230" t="str">
        <f t="array" ref="U116">IF(ISNUMBER(MATCH(B116, 'Sprint 16'!B:B, 0)), INDEX('Sprint 16'!J:J, MATCH(B116, 'Sprint 16'!B:B, 0)), "")</f>
        <v>To Do</v>
      </c>
      <c r="V116" s="102"/>
      <c r="W116" s="102" t="s">
        <v>4566</v>
      </c>
      <c r="AG116" s="102"/>
      <c r="AH116" s="102"/>
    </row>
    <row r="117">
      <c r="A117" s="102" t="s">
        <v>310</v>
      </c>
      <c r="B117" s="102" t="s">
        <v>5233</v>
      </c>
      <c r="C117" s="229" t="s">
        <v>5234</v>
      </c>
      <c r="D117" s="102" t="s">
        <v>5235</v>
      </c>
      <c r="E117" s="102" t="s">
        <v>513</v>
      </c>
      <c r="F117" s="102" t="s">
        <v>514</v>
      </c>
      <c r="G117" s="102" t="s">
        <v>513</v>
      </c>
      <c r="H117" s="102" t="s">
        <v>514</v>
      </c>
      <c r="I117" s="102" t="s">
        <v>284</v>
      </c>
      <c r="J117" s="102" t="s">
        <v>26</v>
      </c>
      <c r="L117" s="229" t="s">
        <v>5236</v>
      </c>
      <c r="M117" s="229" t="s">
        <v>5000</v>
      </c>
      <c r="N117" s="229" t="s">
        <v>5001</v>
      </c>
      <c r="O117" s="102">
        <v>1.0</v>
      </c>
      <c r="P117" s="102" t="s">
        <v>593</v>
      </c>
      <c r="S117" s="102">
        <v>7200.0</v>
      </c>
      <c r="T117" s="230" t="str">
        <f>IF(ISNUMBER(MATCH(B117, 'Sprint 16'!B:B, 0)), "มาจาก Sprint 16", "")</f>
        <v>มาจาก Sprint 16</v>
      </c>
      <c r="U117" s="230" t="str">
        <f t="array" ref="U117">IF(ISNUMBER(MATCH(B117, 'Sprint 16'!B:B, 0)), INDEX('Sprint 16'!J:J, MATCH(B117, 'Sprint 16'!B:B, 0)), "")</f>
        <v>To Do</v>
      </c>
      <c r="V117" s="102"/>
      <c r="W117" s="102" t="s">
        <v>4566</v>
      </c>
      <c r="AG117" s="102"/>
      <c r="AH117" s="102"/>
    </row>
    <row r="118">
      <c r="A118" s="102" t="s">
        <v>332</v>
      </c>
      <c r="B118" s="102" t="s">
        <v>4949</v>
      </c>
      <c r="C118" s="229" t="s">
        <v>4950</v>
      </c>
      <c r="D118" s="102" t="s">
        <v>4951</v>
      </c>
      <c r="E118" s="102" t="s">
        <v>353</v>
      </c>
      <c r="F118" s="102" t="s">
        <v>354</v>
      </c>
      <c r="G118" s="102" t="s">
        <v>353</v>
      </c>
      <c r="H118" s="102" t="s">
        <v>354</v>
      </c>
      <c r="I118" s="102" t="s">
        <v>284</v>
      </c>
      <c r="J118" s="102" t="s">
        <v>1738</v>
      </c>
      <c r="L118" s="229" t="s">
        <v>4952</v>
      </c>
      <c r="M118" s="229" t="s">
        <v>5130</v>
      </c>
      <c r="O118" s="102">
        <v>2.0</v>
      </c>
      <c r="P118" s="102" t="s">
        <v>593</v>
      </c>
      <c r="S118" s="230"/>
      <c r="T118" s="230" t="str">
        <f>IF(ISNUMBER(MATCH(B118, 'Sprint 16'!B:B, 0)), "มาจาก Sprint 16", "")</f>
        <v>มาจาก Sprint 16</v>
      </c>
      <c r="U118" s="230" t="str">
        <f t="array" ref="U118">IF(ISNUMBER(MATCH(B118, 'Sprint 16'!B:B, 0)), INDEX('Sprint 16'!J:J, MATCH(B118, 'Sprint 16'!B:B, 0)), "")</f>
        <v>Pass : Waiting for deployment</v>
      </c>
      <c r="V118" s="230"/>
      <c r="W118" s="102" t="s">
        <v>4953</v>
      </c>
      <c r="X118" s="102" t="s">
        <v>4954</v>
      </c>
      <c r="Y118" s="102" t="s">
        <v>4919</v>
      </c>
      <c r="Z118" s="102" t="s">
        <v>4657</v>
      </c>
      <c r="AA118" s="102" t="s">
        <v>2266</v>
      </c>
      <c r="AB118" s="102" t="s">
        <v>2267</v>
      </c>
      <c r="AC118" s="102" t="s">
        <v>4884</v>
      </c>
      <c r="AG118" s="102"/>
      <c r="AH118" s="102"/>
    </row>
    <row r="119">
      <c r="A119" s="102" t="s">
        <v>310</v>
      </c>
      <c r="B119" s="102" t="s">
        <v>4962</v>
      </c>
      <c r="C119" s="229" t="s">
        <v>4963</v>
      </c>
      <c r="D119" s="102" t="s">
        <v>4964</v>
      </c>
      <c r="E119" s="102" t="s">
        <v>556</v>
      </c>
      <c r="F119" s="102" t="s">
        <v>557</v>
      </c>
      <c r="G119" s="102" t="s">
        <v>353</v>
      </c>
      <c r="H119" s="102" t="s">
        <v>354</v>
      </c>
      <c r="I119" s="102" t="s">
        <v>284</v>
      </c>
      <c r="J119" s="102" t="s">
        <v>454</v>
      </c>
      <c r="L119" s="229" t="s">
        <v>4965</v>
      </c>
      <c r="M119" s="229" t="s">
        <v>5130</v>
      </c>
      <c r="N119" s="229" t="s">
        <v>4966</v>
      </c>
      <c r="O119" s="102">
        <v>1.0</v>
      </c>
      <c r="S119" s="102">
        <v>0.0</v>
      </c>
      <c r="T119" s="230" t="str">
        <f>IF(ISNUMBER(MATCH(B119, 'Sprint 16'!B:B, 0)), "มาจาก Sprint 16", "")</f>
        <v>มาจาก Sprint 16</v>
      </c>
      <c r="U119" s="230" t="str">
        <f t="array" ref="U119">IF(ISNUMBER(MATCH(B119, 'Sprint 16'!B:B, 0)), INDEX('Sprint 16'!J:J, MATCH(B119, 'Sprint 16'!B:B, 0)), "")</f>
        <v>Ready To Test</v>
      </c>
      <c r="V119" s="102">
        <v>7200.0</v>
      </c>
      <c r="W119" s="102" t="s">
        <v>4967</v>
      </c>
      <c r="X119" s="102" t="s">
        <v>4968</v>
      </c>
      <c r="Y119" s="102" t="s">
        <v>4960</v>
      </c>
      <c r="Z119" s="102" t="s">
        <v>4961</v>
      </c>
      <c r="AA119" s="102" t="s">
        <v>4953</v>
      </c>
      <c r="AB119" s="102" t="s">
        <v>4954</v>
      </c>
      <c r="AC119" s="102" t="s">
        <v>4919</v>
      </c>
      <c r="AD119" s="102" t="s">
        <v>4657</v>
      </c>
      <c r="AE119" s="102" t="s">
        <v>2266</v>
      </c>
      <c r="AF119" s="102" t="s">
        <v>2267</v>
      </c>
      <c r="AG119" s="102" t="s">
        <v>4884</v>
      </c>
      <c r="AH119" s="102"/>
    </row>
    <row r="120">
      <c r="O120" s="230"/>
      <c r="S120" s="230"/>
      <c r="T120" s="230"/>
      <c r="U120" s="230"/>
      <c r="V120" s="230"/>
    </row>
    <row r="121">
      <c r="O121" s="230"/>
      <c r="S121" s="230"/>
      <c r="T121" s="230"/>
      <c r="U121" s="230"/>
      <c r="V121" s="230"/>
      <c r="AG121" s="102"/>
      <c r="AH121" s="102"/>
      <c r="AI121" s="102"/>
    </row>
    <row r="122">
      <c r="O122" s="230"/>
      <c r="S122" s="230"/>
      <c r="T122" s="230"/>
      <c r="U122" s="230"/>
      <c r="V122" s="230"/>
      <c r="AG122" s="102"/>
      <c r="AH122" s="102"/>
      <c r="AI122" s="102"/>
    </row>
    <row r="123">
      <c r="O123" s="230"/>
      <c r="S123" s="230"/>
      <c r="T123" s="230"/>
      <c r="U123" s="230"/>
      <c r="V123" s="230"/>
    </row>
    <row r="124">
      <c r="O124" s="230"/>
      <c r="S124" s="230"/>
      <c r="T124" s="230"/>
      <c r="U124" s="230"/>
      <c r="V124" s="230"/>
      <c r="AG124" s="102"/>
      <c r="AH124" s="102"/>
    </row>
    <row r="125">
      <c r="O125" s="230"/>
      <c r="S125" s="230"/>
      <c r="T125" s="230"/>
      <c r="U125" s="230"/>
      <c r="V125" s="230"/>
      <c r="AG125" s="102"/>
      <c r="AH125" s="102"/>
    </row>
    <row r="126">
      <c r="O126" s="230"/>
      <c r="S126" s="230"/>
      <c r="T126" s="230"/>
      <c r="U126" s="230"/>
      <c r="V126" s="230"/>
      <c r="AG126" s="102"/>
      <c r="AH126" s="102"/>
    </row>
    <row r="127">
      <c r="O127" s="230"/>
      <c r="S127" s="230"/>
      <c r="T127" s="230"/>
      <c r="U127" s="230"/>
      <c r="V127" s="230"/>
      <c r="AG127" s="102"/>
      <c r="AH127" s="102"/>
    </row>
    <row r="128">
      <c r="O128" s="230"/>
      <c r="S128" s="230"/>
      <c r="T128" s="230"/>
      <c r="U128" s="230"/>
      <c r="V128" s="230"/>
      <c r="AG128" s="102"/>
      <c r="AH128" s="102"/>
    </row>
    <row r="129">
      <c r="O129" s="230"/>
      <c r="S129" s="230"/>
      <c r="T129" s="230"/>
      <c r="U129" s="230"/>
      <c r="V129" s="230"/>
      <c r="AG129" s="102"/>
      <c r="AH129" s="102"/>
    </row>
    <row r="130">
      <c r="O130" s="230"/>
      <c r="S130" s="230"/>
      <c r="T130" s="230"/>
      <c r="U130" s="230"/>
      <c r="V130" s="230"/>
      <c r="AG130" s="102"/>
      <c r="AH130" s="102"/>
      <c r="AI130" s="102"/>
    </row>
    <row r="131">
      <c r="O131" s="230"/>
      <c r="S131" s="230"/>
      <c r="T131" s="230"/>
      <c r="U131" s="230"/>
      <c r="V131" s="230"/>
      <c r="AG131" s="102"/>
      <c r="AH131" s="102"/>
      <c r="AI131" s="102"/>
    </row>
    <row r="132">
      <c r="O132" s="230"/>
      <c r="S132" s="230"/>
      <c r="T132" s="230"/>
      <c r="U132" s="230"/>
      <c r="V132" s="230"/>
      <c r="AG132" s="102"/>
      <c r="AH132" s="102"/>
      <c r="AI132" s="102"/>
    </row>
    <row r="133">
      <c r="O133" s="230"/>
      <c r="S133" s="230"/>
      <c r="T133" s="230"/>
      <c r="U133" s="230"/>
      <c r="V133" s="230"/>
    </row>
    <row r="134">
      <c r="O134" s="230"/>
      <c r="S134" s="230"/>
      <c r="T134" s="230"/>
      <c r="U134" s="230"/>
      <c r="V134" s="230"/>
    </row>
    <row r="135">
      <c r="O135" s="230"/>
      <c r="S135" s="230"/>
      <c r="T135" s="230"/>
      <c r="U135" s="230"/>
      <c r="V135" s="230"/>
    </row>
    <row r="136">
      <c r="O136" s="230"/>
      <c r="S136" s="230"/>
      <c r="T136" s="230"/>
      <c r="U136" s="230"/>
      <c r="V136" s="230"/>
    </row>
    <row r="137">
      <c r="O137" s="230"/>
      <c r="S137" s="230"/>
      <c r="T137" s="230"/>
      <c r="U137" s="230"/>
      <c r="V137" s="230"/>
      <c r="W137" s="230"/>
      <c r="X137" s="230"/>
      <c r="Y137" s="230"/>
      <c r="Z137" s="230"/>
    </row>
    <row r="138">
      <c r="O138" s="230"/>
      <c r="S138" s="230"/>
      <c r="T138" s="230"/>
      <c r="U138" s="230"/>
      <c r="V138" s="230"/>
      <c r="W138" s="230"/>
      <c r="X138" s="230"/>
      <c r="Y138" s="230"/>
      <c r="Z138" s="230"/>
    </row>
    <row r="139">
      <c r="O139" s="230"/>
      <c r="S139" s="230"/>
      <c r="T139" s="230"/>
      <c r="U139" s="230"/>
      <c r="V139" s="230"/>
      <c r="W139" s="230"/>
      <c r="X139" s="230"/>
      <c r="Y139" s="230"/>
      <c r="Z139" s="230"/>
    </row>
    <row r="140">
      <c r="O140" s="230"/>
      <c r="S140" s="230"/>
      <c r="T140" s="230"/>
      <c r="U140" s="230"/>
      <c r="V140" s="230"/>
      <c r="W140" s="230"/>
      <c r="X140" s="230"/>
      <c r="Y140" s="230"/>
      <c r="Z140" s="230"/>
    </row>
    <row r="141">
      <c r="O141" s="230"/>
      <c r="S141" s="230"/>
      <c r="T141" s="230"/>
      <c r="U141" s="230"/>
      <c r="V141" s="230"/>
      <c r="W141" s="230"/>
      <c r="X141" s="230"/>
      <c r="Y141" s="230"/>
      <c r="Z141" s="230"/>
    </row>
    <row r="142">
      <c r="O142" s="230"/>
      <c r="S142" s="230"/>
      <c r="T142" s="230"/>
      <c r="U142" s="230"/>
      <c r="V142" s="230"/>
      <c r="W142" s="230"/>
      <c r="X142" s="230"/>
      <c r="Y142" s="230"/>
      <c r="Z142" s="230"/>
    </row>
    <row r="143">
      <c r="O143" s="230"/>
      <c r="S143" s="230"/>
      <c r="T143" s="230"/>
      <c r="U143" s="230"/>
      <c r="V143" s="230"/>
      <c r="W143" s="230"/>
      <c r="X143" s="230"/>
      <c r="Y143" s="230"/>
      <c r="Z143" s="230"/>
    </row>
    <row r="144">
      <c r="O144" s="230"/>
      <c r="S144" s="230"/>
      <c r="T144" s="230"/>
      <c r="U144" s="230"/>
      <c r="V144" s="230"/>
      <c r="W144" s="230"/>
      <c r="X144" s="230"/>
      <c r="Y144" s="230"/>
      <c r="Z144" s="230"/>
    </row>
    <row r="145">
      <c r="O145" s="230"/>
      <c r="S145" s="230"/>
      <c r="T145" s="230"/>
      <c r="U145" s="230"/>
      <c r="V145" s="230"/>
      <c r="W145" s="230"/>
      <c r="X145" s="230"/>
      <c r="Y145" s="230"/>
      <c r="Z145" s="230"/>
    </row>
    <row r="146">
      <c r="O146" s="230"/>
      <c r="S146" s="230"/>
      <c r="T146" s="230"/>
      <c r="U146" s="230"/>
      <c r="V146" s="230"/>
      <c r="W146" s="230"/>
      <c r="X146" s="230"/>
      <c r="Y146" s="230"/>
      <c r="Z146" s="230"/>
    </row>
    <row r="147">
      <c r="O147" s="230"/>
      <c r="S147" s="230"/>
      <c r="T147" s="230"/>
      <c r="U147" s="230"/>
      <c r="V147" s="230"/>
      <c r="W147" s="230"/>
      <c r="X147" s="230"/>
      <c r="Y147" s="230"/>
      <c r="Z147" s="230"/>
    </row>
    <row r="148">
      <c r="O148" s="230"/>
      <c r="S148" s="230"/>
      <c r="T148" s="230"/>
      <c r="U148" s="230"/>
      <c r="V148" s="230"/>
      <c r="W148" s="230"/>
      <c r="X148" s="230"/>
      <c r="Y148" s="230"/>
      <c r="Z148" s="230"/>
    </row>
    <row r="149">
      <c r="O149" s="230"/>
      <c r="S149" s="230"/>
      <c r="T149" s="230"/>
      <c r="U149" s="230"/>
      <c r="V149" s="230"/>
      <c r="W149" s="230"/>
      <c r="X149" s="230"/>
      <c r="Y149" s="230"/>
      <c r="Z149" s="230"/>
    </row>
    <row r="150">
      <c r="O150" s="230"/>
      <c r="S150" s="230"/>
      <c r="T150" s="230"/>
      <c r="U150" s="230"/>
      <c r="V150" s="230"/>
      <c r="W150" s="230"/>
      <c r="X150" s="230"/>
      <c r="Y150" s="230"/>
      <c r="Z150" s="230"/>
    </row>
    <row r="151">
      <c r="O151" s="230"/>
      <c r="S151" s="230"/>
      <c r="T151" s="230"/>
      <c r="U151" s="230"/>
      <c r="V151" s="230"/>
      <c r="W151" s="230"/>
      <c r="X151" s="230"/>
      <c r="Y151" s="230"/>
      <c r="Z151" s="230"/>
    </row>
    <row r="152">
      <c r="O152" s="230"/>
      <c r="S152" s="230"/>
      <c r="T152" s="230"/>
      <c r="U152" s="230"/>
      <c r="V152" s="230"/>
      <c r="W152" s="230"/>
      <c r="X152" s="230"/>
      <c r="Y152" s="230"/>
      <c r="Z152" s="230"/>
    </row>
    <row r="153">
      <c r="O153" s="230"/>
      <c r="S153" s="230"/>
      <c r="T153" s="230"/>
      <c r="U153" s="230"/>
      <c r="V153" s="230"/>
      <c r="W153" s="230"/>
      <c r="X153" s="230"/>
      <c r="Y153" s="230"/>
      <c r="Z153" s="230"/>
    </row>
    <row r="154">
      <c r="O154" s="230"/>
      <c r="S154" s="230"/>
      <c r="T154" s="230"/>
      <c r="U154" s="230"/>
      <c r="V154" s="230"/>
      <c r="W154" s="230"/>
      <c r="X154" s="230"/>
      <c r="Y154" s="230"/>
      <c r="Z154" s="230"/>
    </row>
    <row r="155">
      <c r="O155" s="230"/>
      <c r="S155" s="230"/>
      <c r="T155" s="230"/>
      <c r="U155" s="230"/>
      <c r="V155" s="230"/>
      <c r="W155" s="230"/>
      <c r="X155" s="230"/>
      <c r="Y155" s="230"/>
      <c r="Z155" s="230"/>
    </row>
    <row r="156">
      <c r="O156" s="230"/>
      <c r="S156" s="230"/>
      <c r="T156" s="230"/>
      <c r="U156" s="230"/>
      <c r="V156" s="230"/>
      <c r="W156" s="230"/>
      <c r="X156" s="230"/>
      <c r="Y156" s="230"/>
      <c r="Z156" s="230"/>
    </row>
    <row r="157">
      <c r="O157" s="230"/>
      <c r="S157" s="230"/>
      <c r="T157" s="230"/>
      <c r="U157" s="230"/>
      <c r="V157" s="230"/>
      <c r="W157" s="230"/>
      <c r="X157" s="230"/>
      <c r="Y157" s="230"/>
      <c r="Z157" s="230"/>
    </row>
    <row r="158">
      <c r="O158" s="230"/>
      <c r="S158" s="230"/>
      <c r="T158" s="230"/>
      <c r="U158" s="230"/>
      <c r="V158" s="230"/>
      <c r="W158" s="230"/>
      <c r="X158" s="230"/>
      <c r="Y158" s="230"/>
      <c r="Z158" s="230"/>
    </row>
    <row r="159">
      <c r="O159" s="230"/>
      <c r="S159" s="230"/>
      <c r="T159" s="230"/>
      <c r="U159" s="230"/>
      <c r="V159" s="230"/>
      <c r="W159" s="230"/>
      <c r="X159" s="230"/>
      <c r="Y159" s="230"/>
      <c r="Z159" s="230"/>
    </row>
    <row r="160">
      <c r="O160" s="230"/>
      <c r="S160" s="230"/>
      <c r="T160" s="230"/>
      <c r="U160" s="230"/>
      <c r="V160" s="230"/>
      <c r="W160" s="230"/>
      <c r="X160" s="230"/>
      <c r="Y160" s="230"/>
      <c r="Z160" s="230"/>
    </row>
    <row r="161">
      <c r="O161" s="230"/>
      <c r="S161" s="230"/>
      <c r="T161" s="230"/>
      <c r="U161" s="230"/>
      <c r="V161" s="230"/>
      <c r="W161" s="230"/>
      <c r="X161" s="230"/>
      <c r="Y161" s="230"/>
      <c r="Z161" s="230"/>
    </row>
    <row r="162">
      <c r="O162" s="230"/>
      <c r="S162" s="230"/>
      <c r="T162" s="230"/>
      <c r="U162" s="230"/>
      <c r="V162" s="230"/>
      <c r="W162" s="230"/>
      <c r="X162" s="230"/>
      <c r="Y162" s="230"/>
      <c r="Z162" s="230"/>
    </row>
    <row r="163">
      <c r="O163" s="230"/>
      <c r="S163" s="230"/>
      <c r="T163" s="230"/>
      <c r="U163" s="230"/>
      <c r="V163" s="230"/>
      <c r="W163" s="230"/>
      <c r="X163" s="230"/>
      <c r="Y163" s="230"/>
      <c r="Z163" s="230"/>
    </row>
    <row r="164">
      <c r="O164" s="230"/>
      <c r="S164" s="230"/>
      <c r="T164" s="230"/>
      <c r="U164" s="230"/>
      <c r="V164" s="230"/>
      <c r="W164" s="230"/>
      <c r="X164" s="230"/>
      <c r="Y164" s="230"/>
      <c r="Z164" s="230"/>
    </row>
    <row r="165">
      <c r="O165" s="230"/>
      <c r="S165" s="230"/>
      <c r="T165" s="230"/>
      <c r="U165" s="230"/>
      <c r="V165" s="230"/>
      <c r="W165" s="230"/>
      <c r="X165" s="230"/>
      <c r="Y165" s="230"/>
      <c r="Z165" s="230"/>
    </row>
    <row r="166">
      <c r="O166" s="230"/>
      <c r="S166" s="230"/>
      <c r="T166" s="230"/>
      <c r="U166" s="230"/>
      <c r="V166" s="230"/>
      <c r="W166" s="230"/>
      <c r="X166" s="230"/>
      <c r="Y166" s="230"/>
      <c r="Z166" s="230"/>
    </row>
    <row r="167">
      <c r="O167" s="230"/>
      <c r="S167" s="230"/>
      <c r="T167" s="230"/>
      <c r="U167" s="230"/>
      <c r="V167" s="230"/>
      <c r="W167" s="230"/>
      <c r="X167" s="230"/>
      <c r="Y167" s="230"/>
      <c r="Z167" s="230"/>
    </row>
    <row r="168">
      <c r="O168" s="230"/>
      <c r="S168" s="230"/>
      <c r="T168" s="230"/>
      <c r="U168" s="230"/>
      <c r="V168" s="230"/>
      <c r="W168" s="230"/>
      <c r="X168" s="230"/>
      <c r="Y168" s="230"/>
      <c r="Z168" s="230"/>
    </row>
    <row r="169">
      <c r="O169" s="230"/>
      <c r="S169" s="230"/>
      <c r="T169" s="230"/>
      <c r="U169" s="230"/>
      <c r="V169" s="230"/>
      <c r="W169" s="230"/>
      <c r="X169" s="230"/>
      <c r="Y169" s="230"/>
      <c r="Z169" s="230"/>
    </row>
    <row r="170">
      <c r="O170" s="230"/>
      <c r="S170" s="230"/>
      <c r="T170" s="230"/>
      <c r="U170" s="230"/>
      <c r="V170" s="230"/>
      <c r="W170" s="230"/>
      <c r="X170" s="230"/>
      <c r="Y170" s="230"/>
      <c r="Z170" s="230"/>
    </row>
    <row r="171">
      <c r="O171" s="230"/>
      <c r="S171" s="230"/>
      <c r="T171" s="230"/>
      <c r="U171" s="230"/>
      <c r="V171" s="230"/>
      <c r="W171" s="230"/>
      <c r="X171" s="230"/>
      <c r="Y171" s="230"/>
      <c r="Z171" s="230"/>
    </row>
    <row r="172">
      <c r="O172" s="230"/>
      <c r="S172" s="230"/>
      <c r="T172" s="230"/>
      <c r="U172" s="230"/>
      <c r="V172" s="230"/>
      <c r="W172" s="230"/>
      <c r="X172" s="230"/>
      <c r="Y172" s="230"/>
      <c r="Z172" s="230"/>
    </row>
    <row r="173">
      <c r="O173" s="230"/>
      <c r="S173" s="230"/>
      <c r="T173" s="230"/>
      <c r="U173" s="230"/>
      <c r="V173" s="230"/>
      <c r="W173" s="230"/>
      <c r="X173" s="230"/>
      <c r="Y173" s="230"/>
      <c r="Z173" s="230"/>
    </row>
    <row r="174">
      <c r="O174" s="230"/>
      <c r="S174" s="230"/>
      <c r="T174" s="230"/>
      <c r="U174" s="230"/>
      <c r="V174" s="230"/>
      <c r="W174" s="230"/>
      <c r="X174" s="230"/>
      <c r="Y174" s="230"/>
      <c r="Z174" s="230"/>
    </row>
    <row r="175">
      <c r="O175" s="230"/>
      <c r="S175" s="230"/>
      <c r="T175" s="230"/>
      <c r="U175" s="230"/>
      <c r="V175" s="230"/>
      <c r="W175" s="230"/>
      <c r="X175" s="230"/>
      <c r="Y175" s="230"/>
      <c r="Z175" s="230"/>
    </row>
    <row r="176">
      <c r="O176" s="230"/>
      <c r="S176" s="230"/>
      <c r="T176" s="230"/>
      <c r="U176" s="230"/>
      <c r="V176" s="230"/>
      <c r="W176" s="230"/>
      <c r="X176" s="230"/>
      <c r="Y176" s="230"/>
      <c r="Z176" s="230"/>
    </row>
    <row r="177">
      <c r="O177" s="230"/>
      <c r="S177" s="230"/>
      <c r="T177" s="230"/>
      <c r="U177" s="230"/>
      <c r="V177" s="230"/>
      <c r="W177" s="230"/>
      <c r="X177" s="230"/>
      <c r="Y177" s="230"/>
      <c r="Z177" s="230"/>
    </row>
    <row r="178">
      <c r="O178" s="230"/>
      <c r="S178" s="230"/>
      <c r="T178" s="230"/>
      <c r="U178" s="230"/>
      <c r="V178" s="230"/>
      <c r="W178" s="230"/>
      <c r="X178" s="230"/>
      <c r="Y178" s="230"/>
      <c r="Z178" s="230"/>
    </row>
    <row r="179">
      <c r="O179" s="230"/>
      <c r="S179" s="230"/>
      <c r="T179" s="230"/>
      <c r="U179" s="230"/>
      <c r="V179" s="230"/>
      <c r="W179" s="230"/>
      <c r="X179" s="230"/>
      <c r="Y179" s="230"/>
      <c r="Z179" s="230"/>
    </row>
    <row r="180">
      <c r="O180" s="230"/>
      <c r="S180" s="230"/>
      <c r="T180" s="230"/>
      <c r="U180" s="230"/>
      <c r="V180" s="230"/>
      <c r="W180" s="230"/>
      <c r="X180" s="230"/>
      <c r="Y180" s="230"/>
      <c r="Z180" s="230"/>
    </row>
    <row r="181">
      <c r="O181" s="230"/>
      <c r="S181" s="230"/>
      <c r="T181" s="230"/>
      <c r="U181" s="230"/>
      <c r="V181" s="230"/>
      <c r="W181" s="230"/>
      <c r="X181" s="230"/>
      <c r="Y181" s="230"/>
      <c r="Z181" s="230"/>
    </row>
    <row r="182">
      <c r="O182" s="230"/>
      <c r="S182" s="230"/>
      <c r="T182" s="230"/>
      <c r="U182" s="230"/>
      <c r="V182" s="230"/>
      <c r="W182" s="230"/>
      <c r="X182" s="230"/>
      <c r="Y182" s="230"/>
      <c r="Z182" s="230"/>
    </row>
    <row r="183">
      <c r="O183" s="230"/>
      <c r="S183" s="230"/>
      <c r="T183" s="230"/>
      <c r="U183" s="230"/>
      <c r="V183" s="230"/>
      <c r="W183" s="230"/>
      <c r="X183" s="230"/>
      <c r="Y183" s="230"/>
      <c r="Z183" s="230"/>
    </row>
    <row r="184">
      <c r="O184" s="230"/>
      <c r="S184" s="230"/>
      <c r="T184" s="230"/>
      <c r="U184" s="230"/>
      <c r="V184" s="230"/>
      <c r="W184" s="230"/>
      <c r="X184" s="230"/>
      <c r="Y184" s="230"/>
      <c r="Z184" s="230"/>
    </row>
    <row r="185">
      <c r="O185" s="230"/>
      <c r="S185" s="230"/>
      <c r="T185" s="230"/>
      <c r="U185" s="230"/>
      <c r="V185" s="230"/>
      <c r="W185" s="230"/>
      <c r="X185" s="230"/>
      <c r="Y185" s="230"/>
      <c r="Z185" s="230"/>
    </row>
    <row r="186">
      <c r="O186" s="230"/>
      <c r="S186" s="230"/>
      <c r="T186" s="230"/>
      <c r="U186" s="230"/>
      <c r="V186" s="230"/>
      <c r="W186" s="230"/>
      <c r="X186" s="230"/>
      <c r="Y186" s="230"/>
      <c r="Z186" s="230"/>
    </row>
    <row r="187">
      <c r="O187" s="230"/>
      <c r="S187" s="230"/>
      <c r="T187" s="230"/>
      <c r="U187" s="230"/>
      <c r="V187" s="230"/>
      <c r="W187" s="230"/>
      <c r="X187" s="230"/>
      <c r="Y187" s="230"/>
      <c r="Z187" s="230"/>
    </row>
    <row r="188">
      <c r="O188" s="230"/>
      <c r="S188" s="230"/>
      <c r="T188" s="230"/>
      <c r="U188" s="230"/>
      <c r="V188" s="230"/>
      <c r="W188" s="230"/>
      <c r="X188" s="230"/>
      <c r="Y188" s="230"/>
      <c r="Z188" s="230"/>
    </row>
    <row r="189">
      <c r="O189" s="230"/>
      <c r="S189" s="230"/>
      <c r="T189" s="230"/>
      <c r="U189" s="230"/>
      <c r="V189" s="230"/>
      <c r="W189" s="230"/>
      <c r="X189" s="230"/>
      <c r="Y189" s="230"/>
      <c r="Z189" s="230"/>
    </row>
    <row r="190">
      <c r="O190" s="230"/>
      <c r="S190" s="230"/>
      <c r="T190" s="230"/>
      <c r="U190" s="230"/>
      <c r="V190" s="230"/>
      <c r="W190" s="230"/>
      <c r="X190" s="230"/>
      <c r="Y190" s="230"/>
      <c r="Z190" s="230"/>
    </row>
    <row r="191">
      <c r="O191" s="230"/>
      <c r="S191" s="230"/>
      <c r="T191" s="230"/>
      <c r="U191" s="230"/>
      <c r="V191" s="230"/>
      <c r="W191" s="230"/>
      <c r="X191" s="230"/>
      <c r="Y191" s="230"/>
      <c r="Z191" s="230"/>
    </row>
    <row r="192">
      <c r="O192" s="230"/>
      <c r="S192" s="230"/>
      <c r="T192" s="230"/>
      <c r="U192" s="230"/>
      <c r="V192" s="230"/>
      <c r="W192" s="230"/>
      <c r="X192" s="230"/>
      <c r="Y192" s="230"/>
      <c r="Z192" s="230"/>
    </row>
    <row r="193">
      <c r="O193" s="230"/>
      <c r="S193" s="230"/>
      <c r="T193" s="230"/>
      <c r="U193" s="230"/>
      <c r="V193" s="230"/>
      <c r="W193" s="230"/>
      <c r="X193" s="230"/>
      <c r="Y193" s="230"/>
      <c r="Z193" s="230"/>
    </row>
    <row r="194">
      <c r="O194" s="230"/>
      <c r="S194" s="230"/>
      <c r="T194" s="230"/>
      <c r="U194" s="230"/>
      <c r="V194" s="230"/>
      <c r="W194" s="230"/>
      <c r="X194" s="230"/>
      <c r="Y194" s="230"/>
      <c r="Z194" s="230"/>
    </row>
    <row r="195">
      <c r="O195" s="230"/>
      <c r="S195" s="230"/>
      <c r="T195" s="230"/>
      <c r="U195" s="230"/>
      <c r="V195" s="230"/>
      <c r="W195" s="230"/>
      <c r="X195" s="230"/>
      <c r="Y195" s="230"/>
      <c r="Z195" s="230"/>
    </row>
    <row r="196">
      <c r="O196" s="230"/>
      <c r="S196" s="230"/>
      <c r="T196" s="230"/>
      <c r="U196" s="230"/>
      <c r="V196" s="230"/>
      <c r="W196" s="230"/>
      <c r="X196" s="230"/>
      <c r="Y196" s="230"/>
      <c r="Z196" s="230"/>
    </row>
    <row r="197">
      <c r="O197" s="230"/>
      <c r="S197" s="230"/>
      <c r="T197" s="230"/>
      <c r="U197" s="230"/>
      <c r="V197" s="230"/>
      <c r="W197" s="230"/>
      <c r="X197" s="230"/>
      <c r="Y197" s="230"/>
      <c r="Z197" s="230"/>
    </row>
    <row r="198">
      <c r="O198" s="230"/>
      <c r="S198" s="230"/>
      <c r="T198" s="230"/>
      <c r="U198" s="230"/>
      <c r="V198" s="230"/>
      <c r="W198" s="230"/>
      <c r="X198" s="230"/>
      <c r="Y198" s="230"/>
      <c r="Z198" s="230"/>
    </row>
    <row r="199">
      <c r="O199" s="230"/>
      <c r="S199" s="230"/>
      <c r="T199" s="230"/>
      <c r="U199" s="230"/>
      <c r="V199" s="230"/>
      <c r="W199" s="230"/>
      <c r="X199" s="230"/>
      <c r="Y199" s="230"/>
      <c r="Z199" s="230"/>
    </row>
    <row r="200">
      <c r="O200" s="230"/>
      <c r="S200" s="230"/>
      <c r="T200" s="230"/>
      <c r="U200" s="230"/>
      <c r="V200" s="230"/>
      <c r="W200" s="230"/>
      <c r="X200" s="230"/>
      <c r="Y200" s="230"/>
      <c r="Z200" s="230"/>
    </row>
    <row r="201">
      <c r="O201" s="230"/>
      <c r="S201" s="230"/>
      <c r="T201" s="230"/>
      <c r="U201" s="230"/>
      <c r="V201" s="230"/>
      <c r="W201" s="230"/>
      <c r="X201" s="230"/>
      <c r="Y201" s="230"/>
      <c r="Z201" s="230"/>
    </row>
    <row r="202">
      <c r="O202" s="230"/>
      <c r="S202" s="230"/>
      <c r="T202" s="230"/>
      <c r="U202" s="230"/>
      <c r="V202" s="230"/>
      <c r="W202" s="230"/>
      <c r="X202" s="230"/>
      <c r="Y202" s="230"/>
      <c r="Z202" s="230"/>
    </row>
    <row r="203">
      <c r="O203" s="230"/>
      <c r="S203" s="230"/>
      <c r="T203" s="230"/>
      <c r="U203" s="230"/>
      <c r="V203" s="230"/>
      <c r="W203" s="230"/>
      <c r="X203" s="230"/>
      <c r="Y203" s="230"/>
      <c r="Z203" s="230"/>
    </row>
    <row r="204">
      <c r="O204" s="230"/>
      <c r="S204" s="230"/>
      <c r="T204" s="230"/>
      <c r="U204" s="230"/>
      <c r="V204" s="230"/>
      <c r="W204" s="230"/>
      <c r="X204" s="230"/>
      <c r="Y204" s="230"/>
      <c r="Z204" s="230"/>
    </row>
    <row r="205">
      <c r="O205" s="230"/>
      <c r="S205" s="230"/>
      <c r="T205" s="230"/>
      <c r="U205" s="230"/>
      <c r="V205" s="230"/>
      <c r="W205" s="230"/>
      <c r="X205" s="230"/>
      <c r="Y205" s="230"/>
      <c r="Z205" s="230"/>
    </row>
    <row r="206">
      <c r="O206" s="230"/>
      <c r="S206" s="230"/>
      <c r="T206" s="230"/>
      <c r="U206" s="230"/>
      <c r="V206" s="230"/>
      <c r="W206" s="230"/>
      <c r="X206" s="230"/>
      <c r="Y206" s="230"/>
      <c r="Z206" s="230"/>
    </row>
    <row r="207">
      <c r="O207" s="230"/>
      <c r="S207" s="230"/>
      <c r="T207" s="230"/>
      <c r="U207" s="230"/>
      <c r="V207" s="230"/>
      <c r="W207" s="230"/>
      <c r="X207" s="230"/>
      <c r="Y207" s="230"/>
      <c r="Z207" s="230"/>
    </row>
    <row r="208">
      <c r="O208" s="230"/>
      <c r="S208" s="230"/>
      <c r="T208" s="230"/>
      <c r="U208" s="230"/>
      <c r="V208" s="230"/>
      <c r="W208" s="230"/>
      <c r="X208" s="230"/>
      <c r="Y208" s="230"/>
      <c r="Z208" s="230"/>
    </row>
    <row r="209">
      <c r="O209" s="230"/>
      <c r="S209" s="230"/>
      <c r="T209" s="230"/>
      <c r="U209" s="230"/>
      <c r="V209" s="230"/>
      <c r="W209" s="230"/>
      <c r="X209" s="230"/>
      <c r="Y209" s="230"/>
      <c r="Z209" s="230"/>
    </row>
    <row r="210">
      <c r="O210" s="230"/>
      <c r="S210" s="230"/>
      <c r="T210" s="230"/>
      <c r="U210" s="230"/>
      <c r="V210" s="230"/>
      <c r="W210" s="230"/>
      <c r="X210" s="230"/>
      <c r="Y210" s="230"/>
      <c r="Z210" s="230"/>
    </row>
    <row r="211">
      <c r="O211" s="230"/>
      <c r="S211" s="230"/>
      <c r="T211" s="230"/>
      <c r="U211" s="230"/>
      <c r="V211" s="230"/>
      <c r="W211" s="230"/>
      <c r="X211" s="230"/>
      <c r="Y211" s="230"/>
      <c r="Z211" s="230"/>
    </row>
    <row r="212">
      <c r="O212" s="230"/>
      <c r="S212" s="230"/>
      <c r="T212" s="230"/>
      <c r="U212" s="230"/>
      <c r="V212" s="230"/>
      <c r="W212" s="230"/>
      <c r="X212" s="230"/>
      <c r="Y212" s="230"/>
      <c r="Z212" s="230"/>
    </row>
    <row r="213">
      <c r="O213" s="230"/>
      <c r="S213" s="230"/>
      <c r="T213" s="230"/>
      <c r="U213" s="230"/>
      <c r="V213" s="230"/>
      <c r="W213" s="230"/>
      <c r="X213" s="230"/>
      <c r="Y213" s="230"/>
      <c r="Z213" s="230"/>
    </row>
    <row r="214">
      <c r="O214" s="230"/>
      <c r="S214" s="230"/>
      <c r="T214" s="230"/>
      <c r="U214" s="230"/>
      <c r="V214" s="230"/>
      <c r="W214" s="230"/>
      <c r="X214" s="230"/>
      <c r="Y214" s="230"/>
      <c r="Z214" s="230"/>
    </row>
    <row r="215">
      <c r="O215" s="230"/>
      <c r="S215" s="230"/>
      <c r="T215" s="230"/>
      <c r="U215" s="230"/>
      <c r="V215" s="230"/>
      <c r="W215" s="230"/>
      <c r="X215" s="230"/>
      <c r="Y215" s="230"/>
      <c r="Z215" s="230"/>
    </row>
    <row r="216">
      <c r="O216" s="230"/>
      <c r="S216" s="230"/>
      <c r="T216" s="230"/>
      <c r="U216" s="230"/>
      <c r="V216" s="230"/>
      <c r="W216" s="230"/>
      <c r="X216" s="230"/>
      <c r="Y216" s="230"/>
      <c r="Z216" s="230"/>
    </row>
    <row r="217">
      <c r="O217" s="230"/>
      <c r="S217" s="230"/>
      <c r="T217" s="230"/>
      <c r="U217" s="230"/>
      <c r="V217" s="230"/>
      <c r="W217" s="230"/>
      <c r="X217" s="230"/>
      <c r="Y217" s="230"/>
      <c r="Z217" s="230"/>
    </row>
    <row r="218">
      <c r="O218" s="230"/>
      <c r="S218" s="230"/>
      <c r="T218" s="230"/>
      <c r="U218" s="230"/>
      <c r="V218" s="230"/>
      <c r="W218" s="230"/>
      <c r="X218" s="230"/>
      <c r="Y218" s="230"/>
      <c r="Z218" s="230"/>
    </row>
    <row r="219">
      <c r="O219" s="230"/>
      <c r="S219" s="230"/>
      <c r="T219" s="230"/>
      <c r="U219" s="230"/>
      <c r="V219" s="230"/>
      <c r="W219" s="230"/>
      <c r="X219" s="230"/>
      <c r="Y219" s="230"/>
      <c r="Z219" s="230"/>
    </row>
    <row r="220">
      <c r="O220" s="230"/>
      <c r="S220" s="230"/>
      <c r="T220" s="230"/>
      <c r="U220" s="230"/>
      <c r="V220" s="230"/>
      <c r="W220" s="230"/>
      <c r="X220" s="230"/>
      <c r="Y220" s="230"/>
      <c r="Z220" s="230"/>
    </row>
    <row r="221">
      <c r="O221" s="230"/>
      <c r="S221" s="230"/>
      <c r="T221" s="230"/>
      <c r="U221" s="230"/>
      <c r="V221" s="230"/>
      <c r="W221" s="230"/>
      <c r="X221" s="230"/>
      <c r="Y221" s="230"/>
      <c r="Z221" s="230"/>
    </row>
    <row r="222">
      <c r="O222" s="230"/>
      <c r="S222" s="230"/>
      <c r="T222" s="230"/>
      <c r="U222" s="230"/>
      <c r="V222" s="230"/>
      <c r="W222" s="230"/>
      <c r="X222" s="230"/>
      <c r="Y222" s="230"/>
      <c r="Z222" s="230"/>
    </row>
    <row r="223">
      <c r="O223" s="230"/>
      <c r="S223" s="230"/>
      <c r="T223" s="230"/>
      <c r="U223" s="230"/>
      <c r="V223" s="230"/>
      <c r="W223" s="230"/>
      <c r="X223" s="230"/>
      <c r="Y223" s="230"/>
      <c r="Z223" s="230"/>
    </row>
    <row r="224">
      <c r="O224" s="230"/>
      <c r="S224" s="230"/>
      <c r="T224" s="230"/>
      <c r="U224" s="230"/>
      <c r="V224" s="230"/>
      <c r="W224" s="230"/>
      <c r="X224" s="230"/>
      <c r="Y224" s="230"/>
      <c r="Z224" s="230"/>
    </row>
    <row r="225">
      <c r="O225" s="230"/>
      <c r="S225" s="230"/>
      <c r="T225" s="230"/>
      <c r="U225" s="230"/>
      <c r="V225" s="230"/>
      <c r="W225" s="230"/>
      <c r="X225" s="230"/>
      <c r="Y225" s="230"/>
      <c r="Z225" s="230"/>
    </row>
    <row r="226">
      <c r="O226" s="230"/>
      <c r="S226" s="230"/>
      <c r="T226" s="230"/>
      <c r="U226" s="230"/>
      <c r="V226" s="230"/>
      <c r="W226" s="230"/>
      <c r="X226" s="230"/>
      <c r="Y226" s="230"/>
      <c r="Z226" s="230"/>
    </row>
    <row r="227">
      <c r="O227" s="230"/>
      <c r="S227" s="230"/>
      <c r="T227" s="230"/>
      <c r="U227" s="230"/>
      <c r="V227" s="230"/>
      <c r="W227" s="230"/>
      <c r="X227" s="230"/>
      <c r="Y227" s="230"/>
      <c r="Z227" s="230"/>
    </row>
    <row r="228">
      <c r="O228" s="230"/>
      <c r="S228" s="230"/>
      <c r="T228" s="230"/>
      <c r="U228" s="230"/>
      <c r="V228" s="230"/>
      <c r="W228" s="230"/>
      <c r="X228" s="230"/>
      <c r="Y228" s="230"/>
      <c r="Z228" s="230"/>
    </row>
    <row r="229">
      <c r="O229" s="230"/>
      <c r="S229" s="230"/>
      <c r="T229" s="230"/>
      <c r="U229" s="230"/>
      <c r="V229" s="230"/>
      <c r="W229" s="230"/>
      <c r="X229" s="230"/>
      <c r="Y229" s="230"/>
      <c r="Z229" s="230"/>
    </row>
    <row r="230">
      <c r="O230" s="230"/>
      <c r="S230" s="230"/>
      <c r="T230" s="230"/>
      <c r="U230" s="230"/>
      <c r="V230" s="230"/>
      <c r="W230" s="230"/>
      <c r="X230" s="230"/>
      <c r="Y230" s="230"/>
      <c r="Z230" s="230"/>
    </row>
    <row r="231">
      <c r="O231" s="230"/>
      <c r="S231" s="230"/>
      <c r="T231" s="230"/>
      <c r="U231" s="230"/>
      <c r="V231" s="230"/>
      <c r="W231" s="230"/>
      <c r="X231" s="230"/>
      <c r="Y231" s="230"/>
      <c r="Z231" s="230"/>
    </row>
    <row r="232">
      <c r="O232" s="230"/>
      <c r="S232" s="230"/>
      <c r="T232" s="230"/>
      <c r="U232" s="230"/>
      <c r="V232" s="230"/>
      <c r="W232" s="230"/>
      <c r="X232" s="230"/>
      <c r="Y232" s="230"/>
      <c r="Z232" s="230"/>
    </row>
    <row r="233">
      <c r="O233" s="230"/>
      <c r="S233" s="230"/>
      <c r="T233" s="230"/>
      <c r="U233" s="230"/>
      <c r="V233" s="230"/>
      <c r="W233" s="230"/>
      <c r="X233" s="230"/>
      <c r="Y233" s="230"/>
      <c r="Z233" s="230"/>
    </row>
    <row r="234">
      <c r="O234" s="230"/>
      <c r="S234" s="230"/>
      <c r="T234" s="230"/>
      <c r="U234" s="230"/>
      <c r="V234" s="230"/>
      <c r="W234" s="230"/>
      <c r="X234" s="230"/>
      <c r="Y234" s="230"/>
      <c r="Z234" s="230"/>
    </row>
    <row r="235">
      <c r="O235" s="230"/>
      <c r="S235" s="230"/>
      <c r="T235" s="230"/>
      <c r="U235" s="230"/>
      <c r="V235" s="230"/>
      <c r="W235" s="230"/>
      <c r="X235" s="230"/>
      <c r="Y235" s="230"/>
      <c r="Z235" s="230"/>
    </row>
    <row r="236">
      <c r="O236" s="230"/>
      <c r="S236" s="230"/>
      <c r="T236" s="230"/>
      <c r="U236" s="230"/>
      <c r="V236" s="230"/>
      <c r="W236" s="230"/>
      <c r="X236" s="230"/>
      <c r="Y236" s="230"/>
      <c r="Z236" s="230"/>
    </row>
    <row r="237">
      <c r="O237" s="230"/>
      <c r="S237" s="230"/>
      <c r="T237" s="230"/>
      <c r="U237" s="230"/>
      <c r="V237" s="230"/>
      <c r="W237" s="230"/>
      <c r="X237" s="230"/>
      <c r="Y237" s="230"/>
      <c r="Z237" s="230"/>
    </row>
    <row r="238">
      <c r="O238" s="230"/>
      <c r="S238" s="230"/>
      <c r="T238" s="230"/>
      <c r="U238" s="230"/>
      <c r="V238" s="230"/>
      <c r="W238" s="230"/>
      <c r="X238" s="230"/>
      <c r="Y238" s="230"/>
      <c r="Z238" s="230"/>
    </row>
    <row r="239">
      <c r="O239" s="230"/>
      <c r="S239" s="230"/>
      <c r="T239" s="230"/>
      <c r="U239" s="230"/>
      <c r="V239" s="230"/>
      <c r="W239" s="230"/>
      <c r="X239" s="230"/>
      <c r="Y239" s="230"/>
      <c r="Z239" s="230"/>
    </row>
    <row r="240">
      <c r="O240" s="230"/>
      <c r="S240" s="230"/>
      <c r="T240" s="230"/>
      <c r="U240" s="230"/>
      <c r="V240" s="230"/>
      <c r="W240" s="230"/>
      <c r="X240" s="230"/>
      <c r="Y240" s="230"/>
      <c r="Z240" s="230"/>
    </row>
    <row r="241">
      <c r="O241" s="230"/>
      <c r="S241" s="230"/>
      <c r="T241" s="230"/>
      <c r="U241" s="230"/>
      <c r="V241" s="230"/>
      <c r="W241" s="230"/>
      <c r="X241" s="230"/>
      <c r="Y241" s="230"/>
      <c r="Z241" s="230"/>
    </row>
    <row r="242">
      <c r="O242" s="230"/>
      <c r="S242" s="230"/>
      <c r="T242" s="230"/>
      <c r="U242" s="230"/>
      <c r="V242" s="230"/>
      <c r="W242" s="230"/>
      <c r="X242" s="230"/>
      <c r="Y242" s="230"/>
      <c r="Z242" s="230"/>
    </row>
    <row r="243">
      <c r="O243" s="230"/>
      <c r="S243" s="230"/>
      <c r="T243" s="230"/>
      <c r="U243" s="230"/>
      <c r="V243" s="230"/>
      <c r="W243" s="230"/>
      <c r="X243" s="230"/>
      <c r="Y243" s="230"/>
      <c r="Z243" s="230"/>
    </row>
    <row r="244">
      <c r="O244" s="230"/>
      <c r="S244" s="230"/>
      <c r="T244" s="230"/>
      <c r="U244" s="230"/>
      <c r="V244" s="230"/>
      <c r="W244" s="230"/>
      <c r="X244" s="230"/>
      <c r="Y244" s="230"/>
      <c r="Z244" s="230"/>
    </row>
    <row r="245">
      <c r="O245" s="230"/>
      <c r="S245" s="230"/>
      <c r="T245" s="230"/>
      <c r="U245" s="230"/>
      <c r="V245" s="230"/>
      <c r="W245" s="230"/>
      <c r="X245" s="230"/>
      <c r="Y245" s="230"/>
      <c r="Z245" s="230"/>
    </row>
    <row r="246">
      <c r="O246" s="230"/>
      <c r="S246" s="230"/>
      <c r="T246" s="230"/>
      <c r="U246" s="230"/>
      <c r="V246" s="230"/>
      <c r="W246" s="230"/>
      <c r="X246" s="230"/>
      <c r="Y246" s="230"/>
      <c r="Z246" s="230"/>
    </row>
    <row r="247">
      <c r="O247" s="230"/>
      <c r="S247" s="230"/>
      <c r="T247" s="230"/>
      <c r="U247" s="230"/>
      <c r="V247" s="230"/>
      <c r="W247" s="230"/>
      <c r="X247" s="230"/>
      <c r="Y247" s="230"/>
      <c r="Z247" s="230"/>
    </row>
    <row r="248">
      <c r="O248" s="230"/>
      <c r="S248" s="230"/>
      <c r="T248" s="230"/>
      <c r="U248" s="230"/>
      <c r="V248" s="230"/>
      <c r="W248" s="230"/>
      <c r="X248" s="230"/>
      <c r="Y248" s="230"/>
      <c r="Z248" s="230"/>
    </row>
    <row r="249">
      <c r="O249" s="230"/>
      <c r="S249" s="230"/>
      <c r="T249" s="230"/>
      <c r="U249" s="230"/>
      <c r="V249" s="230"/>
      <c r="W249" s="230"/>
      <c r="X249" s="230"/>
      <c r="Y249" s="230"/>
      <c r="Z249" s="230"/>
    </row>
    <row r="250">
      <c r="O250" s="230"/>
      <c r="S250" s="230"/>
      <c r="T250" s="230"/>
      <c r="U250" s="230"/>
      <c r="V250" s="230"/>
      <c r="W250" s="230"/>
      <c r="X250" s="230"/>
      <c r="Y250" s="230"/>
      <c r="Z250" s="230"/>
    </row>
    <row r="251">
      <c r="O251" s="230"/>
      <c r="S251" s="230"/>
      <c r="T251" s="230"/>
      <c r="U251" s="230"/>
      <c r="V251" s="230"/>
      <c r="W251" s="230"/>
      <c r="X251" s="230"/>
      <c r="Y251" s="230"/>
      <c r="Z251" s="230"/>
    </row>
    <row r="252">
      <c r="O252" s="230"/>
      <c r="S252" s="230"/>
      <c r="T252" s="230"/>
      <c r="U252" s="230"/>
      <c r="V252" s="230"/>
      <c r="W252" s="230"/>
      <c r="X252" s="230"/>
      <c r="Y252" s="230"/>
      <c r="Z252" s="230"/>
    </row>
    <row r="253">
      <c r="O253" s="230"/>
      <c r="S253" s="230"/>
      <c r="T253" s="230"/>
      <c r="U253" s="230"/>
      <c r="V253" s="230"/>
      <c r="W253" s="230"/>
      <c r="X253" s="230"/>
      <c r="Y253" s="230"/>
      <c r="Z253" s="230"/>
    </row>
    <row r="254">
      <c r="O254" s="230"/>
      <c r="S254" s="230"/>
      <c r="T254" s="230"/>
      <c r="U254" s="230"/>
      <c r="V254" s="230"/>
      <c r="W254" s="230"/>
      <c r="X254" s="230"/>
      <c r="Y254" s="230"/>
      <c r="Z254" s="230"/>
    </row>
    <row r="255">
      <c r="O255" s="230"/>
      <c r="S255" s="230"/>
      <c r="T255" s="230"/>
      <c r="U255" s="230"/>
      <c r="V255" s="230"/>
      <c r="W255" s="230"/>
      <c r="X255" s="230"/>
      <c r="Y255" s="230"/>
      <c r="Z255" s="230"/>
    </row>
    <row r="256">
      <c r="O256" s="230"/>
      <c r="S256" s="230"/>
      <c r="T256" s="230"/>
      <c r="U256" s="230"/>
      <c r="V256" s="230"/>
      <c r="W256" s="230"/>
      <c r="X256" s="230"/>
      <c r="Y256" s="230"/>
      <c r="Z256" s="230"/>
    </row>
    <row r="257">
      <c r="O257" s="230"/>
      <c r="S257" s="230"/>
      <c r="T257" s="230"/>
      <c r="U257" s="230"/>
      <c r="V257" s="230"/>
      <c r="W257" s="230"/>
      <c r="X257" s="230"/>
      <c r="Y257" s="230"/>
      <c r="Z257" s="230"/>
    </row>
    <row r="258">
      <c r="O258" s="230"/>
      <c r="S258" s="230"/>
      <c r="T258" s="230"/>
      <c r="U258" s="230"/>
      <c r="V258" s="230"/>
      <c r="W258" s="230"/>
      <c r="X258" s="230"/>
      <c r="Y258" s="230"/>
      <c r="Z258" s="230"/>
    </row>
    <row r="259">
      <c r="O259" s="230"/>
      <c r="S259" s="230"/>
      <c r="T259" s="230"/>
      <c r="U259" s="230"/>
      <c r="V259" s="230"/>
      <c r="W259" s="230"/>
      <c r="X259" s="230"/>
      <c r="Y259" s="230"/>
      <c r="Z259" s="230"/>
    </row>
    <row r="260">
      <c r="O260" s="230"/>
      <c r="S260" s="230"/>
      <c r="T260" s="230"/>
      <c r="U260" s="230"/>
      <c r="V260" s="230"/>
      <c r="W260" s="230"/>
      <c r="X260" s="230"/>
      <c r="Y260" s="230"/>
      <c r="Z260" s="230"/>
    </row>
    <row r="261">
      <c r="O261" s="230"/>
      <c r="S261" s="230"/>
      <c r="T261" s="230"/>
      <c r="U261" s="230"/>
      <c r="V261" s="230"/>
      <c r="W261" s="230"/>
      <c r="X261" s="230"/>
      <c r="Y261" s="230"/>
      <c r="Z261" s="230"/>
    </row>
    <row r="262">
      <c r="O262" s="230"/>
      <c r="S262" s="230"/>
      <c r="T262" s="230"/>
      <c r="U262" s="230"/>
      <c r="V262" s="230"/>
      <c r="W262" s="230"/>
      <c r="X262" s="230"/>
      <c r="Y262" s="230"/>
      <c r="Z262" s="230"/>
    </row>
    <row r="263">
      <c r="O263" s="230"/>
      <c r="S263" s="230"/>
      <c r="T263" s="230"/>
      <c r="U263" s="230"/>
      <c r="V263" s="230"/>
      <c r="W263" s="230"/>
      <c r="X263" s="230"/>
      <c r="Y263" s="230"/>
      <c r="Z263" s="230"/>
    </row>
    <row r="264">
      <c r="O264" s="230"/>
      <c r="S264" s="230"/>
      <c r="T264" s="230"/>
      <c r="U264" s="230"/>
      <c r="V264" s="230"/>
      <c r="W264" s="230"/>
      <c r="X264" s="230"/>
      <c r="Y264" s="230"/>
      <c r="Z264" s="230"/>
    </row>
    <row r="265">
      <c r="O265" s="230"/>
      <c r="S265" s="230"/>
      <c r="T265" s="230"/>
      <c r="U265" s="230"/>
      <c r="V265" s="230"/>
      <c r="W265" s="230"/>
      <c r="X265" s="230"/>
      <c r="Y265" s="230"/>
      <c r="Z265" s="230"/>
    </row>
    <row r="266">
      <c r="O266" s="230"/>
      <c r="S266" s="230"/>
      <c r="T266" s="230"/>
      <c r="U266" s="230"/>
      <c r="V266" s="230"/>
      <c r="W266" s="230"/>
      <c r="X266" s="230"/>
      <c r="Y266" s="230"/>
      <c r="Z266" s="230"/>
    </row>
    <row r="267">
      <c r="O267" s="230"/>
      <c r="S267" s="230"/>
      <c r="T267" s="230"/>
      <c r="U267" s="230"/>
      <c r="V267" s="230"/>
      <c r="W267" s="230"/>
      <c r="X267" s="230"/>
      <c r="Y267" s="230"/>
      <c r="Z267" s="230"/>
    </row>
    <row r="268">
      <c r="O268" s="230"/>
      <c r="S268" s="230"/>
      <c r="T268" s="230"/>
      <c r="U268" s="230"/>
      <c r="V268" s="230"/>
      <c r="W268" s="230"/>
      <c r="X268" s="230"/>
      <c r="Y268" s="230"/>
      <c r="Z268" s="230"/>
    </row>
    <row r="269">
      <c r="O269" s="230"/>
      <c r="S269" s="230"/>
      <c r="T269" s="230"/>
      <c r="U269" s="230"/>
      <c r="V269" s="230"/>
      <c r="W269" s="230"/>
      <c r="X269" s="230"/>
      <c r="Y269" s="230"/>
      <c r="Z269" s="230"/>
    </row>
    <row r="270">
      <c r="O270" s="230"/>
      <c r="S270" s="230"/>
      <c r="T270" s="230"/>
      <c r="U270" s="230"/>
      <c r="V270" s="230"/>
      <c r="W270" s="230"/>
      <c r="X270" s="230"/>
      <c r="Y270" s="230"/>
      <c r="Z270" s="230"/>
    </row>
    <row r="271">
      <c r="O271" s="230"/>
      <c r="S271" s="230"/>
      <c r="T271" s="230"/>
      <c r="U271" s="230"/>
      <c r="V271" s="230"/>
      <c r="W271" s="230"/>
      <c r="X271" s="230"/>
      <c r="Y271" s="230"/>
      <c r="Z271" s="230"/>
    </row>
    <row r="272">
      <c r="O272" s="230"/>
      <c r="S272" s="230"/>
      <c r="T272" s="230"/>
      <c r="U272" s="230"/>
      <c r="V272" s="230"/>
      <c r="W272" s="230"/>
      <c r="X272" s="230"/>
      <c r="Y272" s="230"/>
      <c r="Z272" s="230"/>
    </row>
    <row r="273">
      <c r="O273" s="230"/>
      <c r="S273" s="230"/>
      <c r="T273" s="230"/>
      <c r="U273" s="230"/>
      <c r="V273" s="230"/>
      <c r="W273" s="230"/>
      <c r="X273" s="230"/>
      <c r="Y273" s="230"/>
      <c r="Z273" s="230"/>
    </row>
    <row r="274">
      <c r="O274" s="230"/>
      <c r="S274" s="230"/>
      <c r="T274" s="230"/>
      <c r="U274" s="230"/>
      <c r="V274" s="230"/>
      <c r="W274" s="230"/>
      <c r="X274" s="230"/>
      <c r="Y274" s="230"/>
      <c r="Z274" s="230"/>
    </row>
    <row r="275">
      <c r="O275" s="230"/>
      <c r="S275" s="230"/>
      <c r="T275" s="230"/>
      <c r="U275" s="230"/>
      <c r="V275" s="230"/>
      <c r="W275" s="230"/>
      <c r="X275" s="230"/>
      <c r="Y275" s="230"/>
      <c r="Z275" s="230"/>
    </row>
    <row r="276">
      <c r="O276" s="230"/>
      <c r="S276" s="230"/>
      <c r="T276" s="230"/>
      <c r="U276" s="230"/>
      <c r="V276" s="230"/>
      <c r="W276" s="230"/>
      <c r="X276" s="230"/>
      <c r="Y276" s="230"/>
      <c r="Z276" s="230"/>
    </row>
    <row r="277">
      <c r="O277" s="230"/>
      <c r="S277" s="230"/>
      <c r="T277" s="230"/>
      <c r="U277" s="230"/>
      <c r="V277" s="230"/>
      <c r="W277" s="230"/>
      <c r="X277" s="230"/>
      <c r="Y277" s="230"/>
      <c r="Z277" s="230"/>
    </row>
    <row r="278">
      <c r="O278" s="230"/>
      <c r="S278" s="230"/>
      <c r="T278" s="230"/>
      <c r="U278" s="230"/>
      <c r="V278" s="230"/>
      <c r="W278" s="230"/>
      <c r="X278" s="230"/>
      <c r="Y278" s="230"/>
      <c r="Z278" s="230"/>
    </row>
    <row r="279">
      <c r="O279" s="230"/>
      <c r="S279" s="230"/>
      <c r="T279" s="230"/>
      <c r="U279" s="230"/>
      <c r="V279" s="230"/>
      <c r="W279" s="230"/>
      <c r="X279" s="230"/>
      <c r="Y279" s="230"/>
      <c r="Z279" s="230"/>
    </row>
    <row r="280">
      <c r="O280" s="230"/>
      <c r="S280" s="230"/>
      <c r="T280" s="230"/>
      <c r="U280" s="230"/>
      <c r="V280" s="230"/>
      <c r="W280" s="230"/>
      <c r="X280" s="230"/>
      <c r="Y280" s="230"/>
      <c r="Z280" s="230"/>
    </row>
    <row r="281">
      <c r="O281" s="230"/>
      <c r="S281" s="230"/>
      <c r="T281" s="230"/>
      <c r="U281" s="230"/>
      <c r="V281" s="230"/>
      <c r="W281" s="230"/>
      <c r="X281" s="230"/>
      <c r="Y281" s="230"/>
      <c r="Z281" s="230"/>
    </row>
    <row r="282">
      <c r="O282" s="230"/>
      <c r="S282" s="230"/>
      <c r="T282" s="230"/>
      <c r="U282" s="230"/>
      <c r="V282" s="230"/>
      <c r="W282" s="230"/>
      <c r="X282" s="230"/>
      <c r="Y282" s="230"/>
      <c r="Z282" s="230"/>
    </row>
    <row r="283">
      <c r="O283" s="230"/>
      <c r="S283" s="230"/>
      <c r="T283" s="230"/>
      <c r="U283" s="230"/>
      <c r="V283" s="230"/>
      <c r="W283" s="230"/>
      <c r="X283" s="230"/>
      <c r="Y283" s="230"/>
      <c r="Z283" s="230"/>
    </row>
    <row r="284">
      <c r="O284" s="230"/>
      <c r="S284" s="230"/>
      <c r="T284" s="230"/>
      <c r="U284" s="230"/>
      <c r="V284" s="230"/>
      <c r="W284" s="230"/>
      <c r="X284" s="230"/>
      <c r="Y284" s="230"/>
      <c r="Z284" s="230"/>
    </row>
    <row r="285">
      <c r="O285" s="230"/>
      <c r="S285" s="230"/>
      <c r="T285" s="230"/>
      <c r="U285" s="230"/>
      <c r="V285" s="230"/>
      <c r="W285" s="230"/>
      <c r="X285" s="230"/>
      <c r="Y285" s="230"/>
      <c r="Z285" s="230"/>
    </row>
    <row r="286">
      <c r="O286" s="230"/>
      <c r="S286" s="230"/>
      <c r="T286" s="230"/>
      <c r="U286" s="230"/>
      <c r="V286" s="230"/>
      <c r="W286" s="230"/>
      <c r="X286" s="230"/>
      <c r="Y286" s="230"/>
      <c r="Z286" s="230"/>
    </row>
    <row r="287">
      <c r="O287" s="230"/>
      <c r="S287" s="230"/>
      <c r="T287" s="230"/>
      <c r="U287" s="230"/>
      <c r="V287" s="230"/>
      <c r="W287" s="230"/>
      <c r="X287" s="230"/>
      <c r="Y287" s="230"/>
      <c r="Z287" s="230"/>
    </row>
    <row r="288">
      <c r="O288" s="230"/>
      <c r="S288" s="230"/>
      <c r="T288" s="230"/>
      <c r="U288" s="230"/>
      <c r="V288" s="230"/>
      <c r="W288" s="230"/>
      <c r="X288" s="230"/>
      <c r="Y288" s="230"/>
      <c r="Z288" s="230"/>
    </row>
    <row r="289">
      <c r="O289" s="230"/>
      <c r="S289" s="230"/>
      <c r="T289" s="230"/>
      <c r="U289" s="230"/>
      <c r="V289" s="230"/>
      <c r="W289" s="230"/>
      <c r="X289" s="230"/>
      <c r="Y289" s="230"/>
      <c r="Z289" s="230"/>
    </row>
    <row r="290">
      <c r="O290" s="230"/>
      <c r="S290" s="230"/>
      <c r="T290" s="230"/>
      <c r="U290" s="230"/>
      <c r="V290" s="230"/>
      <c r="W290" s="230"/>
      <c r="X290" s="230"/>
      <c r="Y290" s="230"/>
      <c r="Z290" s="230"/>
    </row>
    <row r="291">
      <c r="O291" s="230"/>
      <c r="S291" s="230"/>
      <c r="T291" s="230"/>
      <c r="U291" s="230"/>
      <c r="V291" s="230"/>
      <c r="W291" s="230"/>
      <c r="X291" s="230"/>
      <c r="Y291" s="230"/>
      <c r="Z291" s="230"/>
    </row>
    <row r="292">
      <c r="O292" s="230"/>
      <c r="S292" s="230"/>
      <c r="T292" s="230"/>
      <c r="U292" s="230"/>
      <c r="V292" s="230"/>
      <c r="W292" s="230"/>
      <c r="X292" s="230"/>
      <c r="Y292" s="230"/>
      <c r="Z292" s="230"/>
    </row>
    <row r="293">
      <c r="O293" s="230"/>
      <c r="S293" s="230"/>
      <c r="T293" s="230"/>
      <c r="U293" s="230"/>
      <c r="V293" s="230"/>
      <c r="W293" s="230"/>
      <c r="X293" s="230"/>
      <c r="Y293" s="230"/>
      <c r="Z293" s="230"/>
    </row>
    <row r="294">
      <c r="O294" s="230"/>
      <c r="S294" s="230"/>
      <c r="T294" s="230"/>
      <c r="U294" s="230"/>
      <c r="V294" s="230"/>
      <c r="W294" s="230"/>
      <c r="X294" s="230"/>
      <c r="Y294" s="230"/>
      <c r="Z294" s="230"/>
    </row>
    <row r="295">
      <c r="O295" s="230"/>
      <c r="S295" s="230"/>
      <c r="T295" s="230"/>
      <c r="U295" s="230"/>
      <c r="V295" s="230"/>
      <c r="W295" s="230"/>
      <c r="X295" s="230"/>
      <c r="Y295" s="230"/>
      <c r="Z295" s="230"/>
    </row>
    <row r="296">
      <c r="O296" s="230"/>
      <c r="S296" s="230"/>
      <c r="T296" s="230"/>
      <c r="U296" s="230"/>
      <c r="V296" s="230"/>
      <c r="W296" s="230"/>
      <c r="X296" s="230"/>
      <c r="Y296" s="230"/>
      <c r="Z296" s="230"/>
    </row>
    <row r="297">
      <c r="O297" s="230"/>
      <c r="S297" s="230"/>
      <c r="T297" s="230"/>
      <c r="U297" s="230"/>
      <c r="V297" s="230"/>
      <c r="W297" s="230"/>
      <c r="X297" s="230"/>
      <c r="Y297" s="230"/>
      <c r="Z297" s="230"/>
    </row>
    <row r="298">
      <c r="O298" s="230"/>
      <c r="S298" s="230"/>
      <c r="T298" s="230"/>
      <c r="U298" s="230"/>
      <c r="V298" s="230"/>
      <c r="W298" s="230"/>
      <c r="X298" s="230"/>
      <c r="Y298" s="230"/>
      <c r="Z298" s="230"/>
    </row>
    <row r="299">
      <c r="O299" s="230"/>
      <c r="S299" s="230"/>
      <c r="T299" s="230"/>
      <c r="U299" s="230"/>
      <c r="V299" s="230"/>
      <c r="W299" s="230"/>
      <c r="X299" s="230"/>
      <c r="Y299" s="230"/>
      <c r="Z299" s="230"/>
    </row>
    <row r="300">
      <c r="O300" s="230"/>
      <c r="S300" s="230"/>
      <c r="T300" s="230"/>
      <c r="U300" s="230"/>
      <c r="V300" s="230"/>
      <c r="W300" s="230"/>
      <c r="X300" s="230"/>
      <c r="Y300" s="230"/>
      <c r="Z300" s="230"/>
    </row>
    <row r="301">
      <c r="O301" s="230"/>
      <c r="S301" s="230"/>
      <c r="T301" s="230"/>
      <c r="U301" s="230"/>
      <c r="V301" s="230"/>
      <c r="W301" s="230"/>
      <c r="X301" s="230"/>
      <c r="Y301" s="230"/>
      <c r="Z301" s="230"/>
    </row>
    <row r="302">
      <c r="O302" s="230"/>
      <c r="S302" s="230"/>
      <c r="T302" s="230"/>
      <c r="U302" s="230"/>
      <c r="V302" s="230"/>
      <c r="W302" s="230"/>
      <c r="X302" s="230"/>
      <c r="Y302" s="230"/>
      <c r="Z302" s="230"/>
    </row>
    <row r="303">
      <c r="O303" s="230"/>
      <c r="S303" s="230"/>
      <c r="T303" s="230"/>
      <c r="U303" s="230"/>
      <c r="V303" s="230"/>
      <c r="W303" s="230"/>
      <c r="X303" s="230"/>
      <c r="Y303" s="230"/>
      <c r="Z303" s="230"/>
    </row>
    <row r="304">
      <c r="O304" s="230"/>
      <c r="S304" s="230"/>
      <c r="T304" s="230"/>
      <c r="U304" s="230"/>
      <c r="V304" s="230"/>
      <c r="W304" s="230"/>
      <c r="X304" s="230"/>
      <c r="Y304" s="230"/>
      <c r="Z304" s="230"/>
    </row>
    <row r="305">
      <c r="O305" s="230"/>
      <c r="S305" s="230"/>
      <c r="T305" s="230"/>
      <c r="U305" s="230"/>
      <c r="V305" s="230"/>
      <c r="W305" s="230"/>
      <c r="X305" s="230"/>
      <c r="Y305" s="230"/>
      <c r="Z305" s="230"/>
    </row>
    <row r="306">
      <c r="O306" s="230"/>
      <c r="S306" s="230"/>
      <c r="T306" s="230"/>
      <c r="U306" s="230"/>
      <c r="V306" s="230"/>
      <c r="W306" s="230"/>
      <c r="X306" s="230"/>
      <c r="Y306" s="230"/>
      <c r="Z306" s="230"/>
    </row>
    <row r="307">
      <c r="O307" s="230"/>
      <c r="S307" s="230"/>
      <c r="T307" s="230"/>
      <c r="U307" s="230"/>
      <c r="V307" s="230"/>
      <c r="W307" s="230"/>
      <c r="X307" s="230"/>
      <c r="Y307" s="230"/>
      <c r="Z307" s="230"/>
    </row>
    <row r="308">
      <c r="O308" s="230"/>
      <c r="S308" s="230"/>
      <c r="T308" s="230"/>
      <c r="U308" s="230"/>
      <c r="V308" s="230"/>
      <c r="W308" s="230"/>
      <c r="X308" s="230"/>
      <c r="Y308" s="230"/>
      <c r="Z308" s="230"/>
    </row>
    <row r="309">
      <c r="O309" s="230"/>
      <c r="S309" s="230"/>
      <c r="T309" s="230"/>
      <c r="U309" s="230"/>
      <c r="V309" s="230"/>
      <c r="W309" s="230"/>
      <c r="X309" s="230"/>
      <c r="Y309" s="230"/>
      <c r="Z309" s="230"/>
    </row>
    <row r="310">
      <c r="O310" s="230"/>
      <c r="S310" s="230"/>
      <c r="T310" s="230"/>
      <c r="U310" s="230"/>
      <c r="V310" s="230"/>
      <c r="W310" s="230"/>
      <c r="X310" s="230"/>
      <c r="Y310" s="230"/>
      <c r="Z310" s="230"/>
    </row>
    <row r="311">
      <c r="O311" s="230"/>
      <c r="S311" s="230"/>
      <c r="T311" s="230"/>
      <c r="U311" s="230"/>
      <c r="V311" s="230"/>
      <c r="W311" s="230"/>
      <c r="X311" s="230"/>
      <c r="Y311" s="230"/>
      <c r="Z311" s="230"/>
    </row>
    <row r="312">
      <c r="O312" s="230"/>
      <c r="S312" s="230"/>
      <c r="T312" s="230"/>
      <c r="U312" s="230"/>
      <c r="V312" s="230"/>
      <c r="W312" s="230"/>
      <c r="X312" s="230"/>
      <c r="Y312" s="230"/>
      <c r="Z312" s="230"/>
    </row>
    <row r="313">
      <c r="O313" s="230"/>
      <c r="S313" s="230"/>
      <c r="T313" s="230"/>
      <c r="U313" s="230"/>
      <c r="V313" s="230"/>
      <c r="W313" s="230"/>
      <c r="X313" s="230"/>
      <c r="Y313" s="230"/>
      <c r="Z313" s="230"/>
    </row>
    <row r="314">
      <c r="O314" s="230"/>
      <c r="S314" s="230"/>
      <c r="T314" s="230"/>
      <c r="U314" s="230"/>
      <c r="V314" s="230"/>
      <c r="W314" s="230"/>
      <c r="X314" s="230"/>
      <c r="Y314" s="230"/>
      <c r="Z314" s="230"/>
    </row>
    <row r="315">
      <c r="O315" s="230"/>
      <c r="S315" s="230"/>
      <c r="T315" s="230"/>
      <c r="U315" s="230"/>
      <c r="V315" s="230"/>
      <c r="W315" s="230"/>
      <c r="X315" s="230"/>
      <c r="Y315" s="230"/>
      <c r="Z315" s="230"/>
    </row>
    <row r="316">
      <c r="O316" s="230"/>
      <c r="S316" s="230"/>
      <c r="T316" s="230"/>
      <c r="U316" s="230"/>
      <c r="V316" s="230"/>
      <c r="W316" s="230"/>
      <c r="X316" s="230"/>
      <c r="Y316" s="230"/>
      <c r="Z316" s="230"/>
    </row>
    <row r="317">
      <c r="O317" s="230"/>
      <c r="S317" s="230"/>
      <c r="T317" s="230"/>
      <c r="U317" s="230"/>
      <c r="V317" s="230"/>
      <c r="W317" s="230"/>
      <c r="X317" s="230"/>
      <c r="Y317" s="230"/>
      <c r="Z317" s="230"/>
    </row>
    <row r="318">
      <c r="O318" s="230"/>
      <c r="S318" s="230"/>
      <c r="T318" s="230"/>
      <c r="U318" s="230"/>
      <c r="V318" s="230"/>
      <c r="W318" s="230"/>
      <c r="X318" s="230"/>
      <c r="Y318" s="230"/>
      <c r="Z318" s="230"/>
    </row>
    <row r="319">
      <c r="O319" s="230"/>
      <c r="S319" s="230"/>
      <c r="T319" s="230"/>
      <c r="U319" s="230"/>
      <c r="V319" s="230"/>
      <c r="W319" s="230"/>
      <c r="X319" s="230"/>
      <c r="Y319" s="230"/>
      <c r="Z319" s="230"/>
    </row>
    <row r="320">
      <c r="O320" s="230"/>
      <c r="S320" s="230"/>
      <c r="T320" s="230"/>
      <c r="U320" s="230"/>
      <c r="V320" s="230"/>
      <c r="W320" s="230"/>
      <c r="X320" s="230"/>
      <c r="Y320" s="230"/>
      <c r="Z320" s="230"/>
    </row>
    <row r="321">
      <c r="O321" s="230"/>
      <c r="S321" s="230"/>
      <c r="T321" s="230"/>
      <c r="U321" s="230"/>
      <c r="V321" s="230"/>
      <c r="W321" s="230"/>
      <c r="X321" s="230"/>
      <c r="Y321" s="230"/>
      <c r="Z321" s="230"/>
    </row>
    <row r="322">
      <c r="O322" s="230"/>
      <c r="S322" s="230"/>
      <c r="T322" s="230"/>
      <c r="U322" s="230"/>
      <c r="V322" s="230"/>
      <c r="W322" s="230"/>
      <c r="X322" s="230"/>
      <c r="Y322" s="230"/>
      <c r="Z322" s="230"/>
    </row>
    <row r="323">
      <c r="O323" s="230"/>
      <c r="S323" s="230"/>
      <c r="T323" s="230"/>
      <c r="U323" s="230"/>
      <c r="V323" s="230"/>
      <c r="W323" s="230"/>
      <c r="X323" s="230"/>
      <c r="Y323" s="230"/>
      <c r="Z323" s="230"/>
    </row>
    <row r="324">
      <c r="O324" s="230"/>
      <c r="S324" s="230"/>
      <c r="T324" s="230"/>
      <c r="U324" s="230"/>
      <c r="V324" s="230"/>
      <c r="W324" s="230"/>
      <c r="X324" s="230"/>
      <c r="Y324" s="230"/>
      <c r="Z324" s="230"/>
    </row>
    <row r="325">
      <c r="O325" s="230"/>
      <c r="S325" s="230"/>
      <c r="T325" s="230"/>
      <c r="U325" s="230"/>
      <c r="V325" s="230"/>
      <c r="W325" s="230"/>
      <c r="X325" s="230"/>
      <c r="Y325" s="230"/>
      <c r="Z325" s="230"/>
    </row>
    <row r="326">
      <c r="O326" s="230"/>
      <c r="S326" s="230"/>
      <c r="T326" s="230"/>
      <c r="U326" s="230"/>
      <c r="V326" s="230"/>
      <c r="W326" s="230"/>
      <c r="X326" s="230"/>
      <c r="Y326" s="230"/>
      <c r="Z326" s="230"/>
    </row>
    <row r="327">
      <c r="O327" s="230"/>
      <c r="S327" s="230"/>
      <c r="T327" s="230"/>
      <c r="U327" s="230"/>
      <c r="V327" s="230"/>
      <c r="W327" s="230"/>
      <c r="X327" s="230"/>
      <c r="Y327" s="230"/>
      <c r="Z327" s="230"/>
    </row>
    <row r="328">
      <c r="O328" s="230"/>
      <c r="S328" s="230"/>
      <c r="T328" s="230"/>
      <c r="U328" s="230"/>
      <c r="V328" s="230"/>
      <c r="W328" s="230"/>
      <c r="X328" s="230"/>
      <c r="Y328" s="230"/>
      <c r="Z328" s="230"/>
    </row>
    <row r="329">
      <c r="O329" s="230"/>
      <c r="S329" s="230"/>
      <c r="T329" s="230"/>
      <c r="U329" s="230"/>
      <c r="V329" s="230"/>
      <c r="W329" s="230"/>
      <c r="X329" s="230"/>
      <c r="Y329" s="230"/>
      <c r="Z329" s="230"/>
    </row>
    <row r="330">
      <c r="O330" s="230"/>
      <c r="S330" s="230"/>
      <c r="T330" s="230"/>
      <c r="U330" s="230"/>
      <c r="V330" s="230"/>
      <c r="W330" s="230"/>
      <c r="X330" s="230"/>
      <c r="Y330" s="230"/>
      <c r="Z330" s="230"/>
    </row>
    <row r="331">
      <c r="O331" s="230"/>
      <c r="S331" s="230"/>
      <c r="T331" s="230"/>
      <c r="U331" s="230"/>
      <c r="V331" s="230"/>
      <c r="W331" s="230"/>
      <c r="X331" s="230"/>
      <c r="Y331" s="230"/>
      <c r="Z331" s="230"/>
    </row>
    <row r="332">
      <c r="O332" s="230"/>
      <c r="S332" s="230"/>
      <c r="T332" s="230"/>
      <c r="U332" s="230"/>
      <c r="V332" s="230"/>
      <c r="W332" s="230"/>
      <c r="X332" s="230"/>
      <c r="Y332" s="230"/>
      <c r="Z332" s="230"/>
    </row>
    <row r="333">
      <c r="O333" s="230"/>
      <c r="S333" s="230"/>
      <c r="T333" s="230"/>
      <c r="U333" s="230"/>
      <c r="V333" s="230"/>
      <c r="W333" s="230"/>
      <c r="X333" s="230"/>
      <c r="Y333" s="230"/>
      <c r="Z333" s="230"/>
    </row>
    <row r="334">
      <c r="O334" s="230"/>
      <c r="S334" s="230"/>
      <c r="T334" s="230"/>
      <c r="U334" s="230"/>
      <c r="V334" s="230"/>
      <c r="W334" s="230"/>
      <c r="X334" s="230"/>
      <c r="Y334" s="230"/>
      <c r="Z334" s="230"/>
    </row>
    <row r="335">
      <c r="O335" s="230"/>
      <c r="S335" s="230"/>
      <c r="T335" s="230"/>
      <c r="U335" s="230"/>
      <c r="V335" s="230"/>
      <c r="W335" s="230"/>
      <c r="X335" s="230"/>
      <c r="Y335" s="230"/>
      <c r="Z335" s="230"/>
    </row>
    <row r="336">
      <c r="O336" s="230"/>
      <c r="S336" s="230"/>
      <c r="T336" s="230"/>
      <c r="U336" s="230"/>
      <c r="V336" s="230"/>
      <c r="W336" s="230"/>
      <c r="X336" s="230"/>
      <c r="Y336" s="230"/>
      <c r="Z336" s="230"/>
    </row>
    <row r="337">
      <c r="O337" s="230"/>
      <c r="S337" s="230"/>
      <c r="T337" s="230"/>
      <c r="U337" s="230"/>
      <c r="V337" s="230"/>
      <c r="W337" s="230"/>
      <c r="X337" s="230"/>
      <c r="Y337" s="230"/>
      <c r="Z337" s="230"/>
    </row>
    <row r="338">
      <c r="O338" s="230"/>
      <c r="S338" s="230"/>
      <c r="T338" s="230"/>
      <c r="U338" s="230"/>
      <c r="V338" s="230"/>
      <c r="W338" s="230"/>
      <c r="X338" s="230"/>
      <c r="Y338" s="230"/>
      <c r="Z338" s="230"/>
    </row>
    <row r="339">
      <c r="O339" s="230"/>
      <c r="S339" s="230"/>
      <c r="T339" s="230"/>
      <c r="U339" s="230"/>
      <c r="V339" s="230"/>
      <c r="W339" s="230"/>
      <c r="X339" s="230"/>
      <c r="Y339" s="230"/>
      <c r="Z339" s="230"/>
    </row>
    <row r="340">
      <c r="O340" s="230"/>
      <c r="S340" s="230"/>
      <c r="T340" s="230"/>
      <c r="U340" s="230"/>
      <c r="V340" s="230"/>
      <c r="W340" s="230"/>
      <c r="X340" s="230"/>
      <c r="Y340" s="230"/>
      <c r="Z340" s="230"/>
    </row>
    <row r="341">
      <c r="O341" s="230"/>
      <c r="S341" s="230"/>
      <c r="T341" s="230"/>
      <c r="U341" s="230"/>
      <c r="V341" s="230"/>
      <c r="W341" s="230"/>
      <c r="X341" s="230"/>
      <c r="Y341" s="230"/>
      <c r="Z341" s="230"/>
    </row>
    <row r="342">
      <c r="O342" s="230"/>
      <c r="S342" s="230"/>
      <c r="T342" s="230"/>
      <c r="U342" s="230"/>
      <c r="V342" s="230"/>
      <c r="W342" s="230"/>
      <c r="X342" s="230"/>
      <c r="Y342" s="230"/>
      <c r="Z342" s="230"/>
    </row>
    <row r="343">
      <c r="O343" s="230"/>
      <c r="S343" s="230"/>
      <c r="T343" s="230"/>
      <c r="U343" s="230"/>
      <c r="V343" s="230"/>
      <c r="W343" s="230"/>
      <c r="X343" s="230"/>
      <c r="Y343" s="230"/>
      <c r="Z343" s="230"/>
    </row>
    <row r="344">
      <c r="O344" s="230"/>
      <c r="S344" s="230"/>
      <c r="T344" s="230"/>
      <c r="U344" s="230"/>
      <c r="V344" s="230"/>
      <c r="W344" s="230"/>
      <c r="X344" s="230"/>
      <c r="Y344" s="230"/>
      <c r="Z344" s="230"/>
    </row>
    <row r="345">
      <c r="O345" s="230"/>
      <c r="S345" s="230"/>
      <c r="T345" s="230"/>
      <c r="U345" s="230"/>
      <c r="V345" s="230"/>
      <c r="W345" s="230"/>
      <c r="X345" s="230"/>
      <c r="Y345" s="230"/>
      <c r="Z345" s="230"/>
    </row>
    <row r="346">
      <c r="O346" s="230"/>
      <c r="S346" s="230"/>
      <c r="T346" s="230"/>
      <c r="U346" s="230"/>
      <c r="V346" s="230"/>
      <c r="W346" s="230"/>
      <c r="X346" s="230"/>
      <c r="Y346" s="230"/>
      <c r="Z346" s="230"/>
    </row>
    <row r="347">
      <c r="O347" s="230"/>
      <c r="S347" s="230"/>
      <c r="T347" s="230"/>
      <c r="U347" s="230"/>
      <c r="V347" s="230"/>
      <c r="W347" s="230"/>
      <c r="X347" s="230"/>
      <c r="Y347" s="230"/>
      <c r="Z347" s="230"/>
    </row>
    <row r="348">
      <c r="O348" s="230"/>
      <c r="S348" s="230"/>
      <c r="T348" s="230"/>
      <c r="U348" s="230"/>
      <c r="V348" s="230"/>
      <c r="W348" s="230"/>
      <c r="X348" s="230"/>
      <c r="Y348" s="230"/>
      <c r="Z348" s="230"/>
    </row>
    <row r="349">
      <c r="O349" s="230"/>
      <c r="S349" s="230"/>
      <c r="T349" s="230"/>
      <c r="U349" s="230"/>
      <c r="V349" s="230"/>
      <c r="W349" s="230"/>
      <c r="X349" s="230"/>
      <c r="Y349" s="230"/>
      <c r="Z349" s="230"/>
    </row>
    <row r="350">
      <c r="O350" s="230"/>
      <c r="S350" s="230"/>
      <c r="T350" s="230"/>
      <c r="U350" s="230"/>
      <c r="V350" s="230"/>
      <c r="W350" s="230"/>
      <c r="X350" s="230"/>
      <c r="Y350" s="230"/>
      <c r="Z350" s="230"/>
    </row>
    <row r="351">
      <c r="O351" s="230"/>
      <c r="S351" s="230"/>
      <c r="T351" s="230"/>
      <c r="U351" s="230"/>
      <c r="V351" s="230"/>
      <c r="W351" s="230"/>
      <c r="X351" s="230"/>
      <c r="Y351" s="230"/>
      <c r="Z351" s="230"/>
    </row>
    <row r="352">
      <c r="O352" s="230"/>
      <c r="S352" s="230"/>
      <c r="T352" s="230"/>
      <c r="U352" s="230"/>
      <c r="V352" s="230"/>
      <c r="W352" s="230"/>
      <c r="X352" s="230"/>
      <c r="Y352" s="230"/>
      <c r="Z352" s="230"/>
    </row>
    <row r="353">
      <c r="O353" s="230"/>
      <c r="S353" s="230"/>
      <c r="T353" s="230"/>
      <c r="U353" s="230"/>
      <c r="V353" s="230"/>
      <c r="W353" s="230"/>
      <c r="X353" s="230"/>
      <c r="Y353" s="230"/>
      <c r="Z353" s="230"/>
    </row>
    <row r="354">
      <c r="O354" s="230"/>
      <c r="S354" s="230"/>
      <c r="T354" s="230"/>
      <c r="U354" s="230"/>
      <c r="V354" s="230"/>
      <c r="W354" s="230"/>
      <c r="X354" s="230"/>
      <c r="Y354" s="230"/>
      <c r="Z354" s="230"/>
    </row>
    <row r="355">
      <c r="O355" s="230"/>
      <c r="S355" s="230"/>
      <c r="T355" s="230"/>
      <c r="U355" s="230"/>
      <c r="V355" s="230"/>
      <c r="W355" s="230"/>
      <c r="X355" s="230"/>
      <c r="Y355" s="230"/>
      <c r="Z355" s="230"/>
    </row>
    <row r="356">
      <c r="O356" s="230"/>
      <c r="S356" s="230"/>
      <c r="T356" s="230"/>
      <c r="U356" s="230"/>
      <c r="V356" s="230"/>
      <c r="W356" s="230"/>
      <c r="X356" s="230"/>
      <c r="Y356" s="230"/>
      <c r="Z356" s="230"/>
    </row>
    <row r="357">
      <c r="O357" s="230"/>
      <c r="S357" s="230"/>
      <c r="T357" s="230"/>
      <c r="U357" s="230"/>
      <c r="V357" s="230"/>
      <c r="W357" s="230"/>
      <c r="X357" s="230"/>
      <c r="Y357" s="230"/>
      <c r="Z357" s="230"/>
    </row>
    <row r="358">
      <c r="O358" s="230"/>
      <c r="S358" s="230"/>
      <c r="T358" s="230"/>
      <c r="U358" s="230"/>
      <c r="V358" s="230"/>
      <c r="W358" s="230"/>
      <c r="X358" s="230"/>
      <c r="Y358" s="230"/>
      <c r="Z358" s="230"/>
    </row>
    <row r="359">
      <c r="O359" s="230"/>
      <c r="S359" s="230"/>
      <c r="T359" s="230"/>
      <c r="U359" s="230"/>
      <c r="V359" s="230"/>
      <c r="W359" s="230"/>
      <c r="X359" s="230"/>
      <c r="Y359" s="230"/>
      <c r="Z359" s="230"/>
    </row>
    <row r="360">
      <c r="O360" s="230"/>
      <c r="S360" s="230"/>
      <c r="T360" s="230"/>
      <c r="U360" s="230"/>
      <c r="V360" s="230"/>
      <c r="W360" s="230"/>
      <c r="X360" s="230"/>
      <c r="Y360" s="230"/>
      <c r="Z360" s="230"/>
    </row>
    <row r="361">
      <c r="O361" s="230"/>
      <c r="S361" s="230"/>
      <c r="T361" s="230"/>
      <c r="U361" s="230"/>
      <c r="V361" s="230"/>
      <c r="W361" s="230"/>
      <c r="X361" s="230"/>
      <c r="Y361" s="230"/>
      <c r="Z361" s="230"/>
    </row>
    <row r="362">
      <c r="O362" s="230"/>
      <c r="S362" s="230"/>
      <c r="T362" s="230"/>
      <c r="U362" s="230"/>
      <c r="V362" s="230"/>
      <c r="W362" s="230"/>
      <c r="X362" s="230"/>
      <c r="Y362" s="230"/>
      <c r="Z362" s="230"/>
    </row>
    <row r="363">
      <c r="O363" s="230"/>
      <c r="S363" s="230"/>
      <c r="T363" s="230"/>
      <c r="U363" s="230"/>
      <c r="V363" s="230"/>
      <c r="W363" s="230"/>
      <c r="X363" s="230"/>
      <c r="Y363" s="230"/>
      <c r="Z363" s="230"/>
    </row>
    <row r="364">
      <c r="O364" s="230"/>
      <c r="S364" s="230"/>
      <c r="T364" s="230"/>
      <c r="U364" s="230"/>
      <c r="V364" s="230"/>
      <c r="W364" s="230"/>
      <c r="X364" s="230"/>
      <c r="Y364" s="230"/>
      <c r="Z364" s="230"/>
    </row>
    <row r="365">
      <c r="O365" s="230"/>
      <c r="S365" s="230"/>
      <c r="T365" s="230"/>
      <c r="U365" s="230"/>
      <c r="V365" s="230"/>
      <c r="W365" s="230"/>
      <c r="X365" s="230"/>
      <c r="Y365" s="230"/>
      <c r="Z365" s="230"/>
    </row>
    <row r="366">
      <c r="O366" s="230"/>
      <c r="S366" s="230"/>
      <c r="T366" s="230"/>
      <c r="U366" s="230"/>
      <c r="V366" s="230"/>
      <c r="W366" s="230"/>
      <c r="X366" s="230"/>
      <c r="Y366" s="230"/>
      <c r="Z366" s="230"/>
    </row>
    <row r="367">
      <c r="O367" s="230"/>
      <c r="S367" s="230"/>
      <c r="T367" s="230"/>
      <c r="U367" s="230"/>
      <c r="V367" s="230"/>
      <c r="W367" s="230"/>
      <c r="X367" s="230"/>
      <c r="Y367" s="230"/>
      <c r="Z367" s="230"/>
    </row>
    <row r="368">
      <c r="O368" s="230"/>
      <c r="S368" s="230"/>
      <c r="T368" s="230"/>
      <c r="U368" s="230"/>
      <c r="V368" s="230"/>
      <c r="W368" s="230"/>
      <c r="X368" s="230"/>
      <c r="Y368" s="230"/>
      <c r="Z368" s="230"/>
    </row>
    <row r="369">
      <c r="O369" s="230"/>
      <c r="S369" s="230"/>
      <c r="T369" s="230"/>
      <c r="U369" s="230"/>
      <c r="V369" s="230"/>
      <c r="W369" s="230"/>
      <c r="X369" s="230"/>
      <c r="Y369" s="230"/>
      <c r="Z369" s="230"/>
    </row>
    <row r="370">
      <c r="O370" s="230"/>
      <c r="S370" s="230"/>
      <c r="T370" s="230"/>
      <c r="U370" s="230"/>
      <c r="V370" s="230"/>
      <c r="W370" s="230"/>
      <c r="X370" s="230"/>
      <c r="Y370" s="230"/>
      <c r="Z370" s="230"/>
    </row>
    <row r="371">
      <c r="O371" s="230"/>
      <c r="S371" s="230"/>
      <c r="T371" s="230"/>
      <c r="U371" s="230"/>
      <c r="V371" s="230"/>
      <c r="W371" s="230"/>
      <c r="X371" s="230"/>
      <c r="Y371" s="230"/>
      <c r="Z371" s="230"/>
    </row>
    <row r="372">
      <c r="O372" s="230"/>
      <c r="S372" s="230"/>
      <c r="T372" s="230"/>
      <c r="U372" s="230"/>
      <c r="V372" s="230"/>
      <c r="W372" s="230"/>
      <c r="X372" s="230"/>
      <c r="Y372" s="230"/>
      <c r="Z372" s="230"/>
    </row>
    <row r="373">
      <c r="O373" s="230"/>
      <c r="S373" s="230"/>
      <c r="T373" s="230"/>
      <c r="U373" s="230"/>
      <c r="V373" s="230"/>
      <c r="W373" s="230"/>
      <c r="X373" s="230"/>
      <c r="Y373" s="230"/>
      <c r="Z373" s="230"/>
    </row>
    <row r="374">
      <c r="O374" s="230"/>
      <c r="S374" s="230"/>
      <c r="T374" s="230"/>
      <c r="U374" s="230"/>
      <c r="V374" s="230"/>
      <c r="W374" s="230"/>
      <c r="X374" s="230"/>
      <c r="Y374" s="230"/>
      <c r="Z374" s="230"/>
    </row>
    <row r="375">
      <c r="O375" s="230"/>
      <c r="S375" s="230"/>
      <c r="T375" s="230"/>
      <c r="U375" s="230"/>
      <c r="V375" s="230"/>
      <c r="W375" s="230"/>
      <c r="X375" s="230"/>
      <c r="Y375" s="230"/>
      <c r="Z375" s="230"/>
    </row>
    <row r="376">
      <c r="O376" s="230"/>
      <c r="S376" s="230"/>
      <c r="T376" s="230"/>
      <c r="U376" s="230"/>
      <c r="V376" s="230"/>
      <c r="W376" s="230"/>
      <c r="X376" s="230"/>
      <c r="Y376" s="230"/>
      <c r="Z376" s="230"/>
    </row>
    <row r="377">
      <c r="O377" s="230"/>
      <c r="S377" s="230"/>
      <c r="T377" s="230"/>
      <c r="U377" s="230"/>
      <c r="V377" s="230"/>
      <c r="W377" s="230"/>
      <c r="X377" s="230"/>
      <c r="Y377" s="230"/>
      <c r="Z377" s="230"/>
    </row>
    <row r="378">
      <c r="O378" s="230"/>
      <c r="S378" s="230"/>
      <c r="T378" s="230"/>
      <c r="U378" s="230"/>
      <c r="V378" s="230"/>
      <c r="W378" s="230"/>
      <c r="X378" s="230"/>
      <c r="Y378" s="230"/>
      <c r="Z378" s="230"/>
    </row>
    <row r="379">
      <c r="O379" s="230"/>
      <c r="S379" s="230"/>
      <c r="T379" s="230"/>
      <c r="U379" s="230"/>
      <c r="V379" s="230"/>
      <c r="W379" s="230"/>
      <c r="X379" s="230"/>
      <c r="Y379" s="230"/>
      <c r="Z379" s="230"/>
    </row>
    <row r="380">
      <c r="O380" s="230"/>
      <c r="S380" s="230"/>
      <c r="T380" s="230"/>
      <c r="U380" s="230"/>
      <c r="V380" s="230"/>
      <c r="W380" s="230"/>
      <c r="X380" s="230"/>
      <c r="Y380" s="230"/>
      <c r="Z380" s="230"/>
    </row>
    <row r="381">
      <c r="O381" s="230"/>
      <c r="S381" s="230"/>
      <c r="T381" s="230"/>
      <c r="U381" s="230"/>
      <c r="V381" s="230"/>
      <c r="W381" s="230"/>
      <c r="X381" s="230"/>
      <c r="Y381" s="230"/>
      <c r="Z381" s="230"/>
    </row>
    <row r="382">
      <c r="O382" s="230"/>
      <c r="S382" s="230"/>
      <c r="T382" s="230"/>
      <c r="U382" s="230"/>
      <c r="V382" s="230"/>
      <c r="W382" s="230"/>
      <c r="X382" s="230"/>
      <c r="Y382" s="230"/>
      <c r="Z382" s="230"/>
    </row>
    <row r="383">
      <c r="O383" s="230"/>
      <c r="S383" s="230"/>
      <c r="T383" s="230"/>
      <c r="U383" s="230"/>
      <c r="V383" s="230"/>
      <c r="W383" s="230"/>
      <c r="X383" s="230"/>
      <c r="Y383" s="230"/>
      <c r="Z383" s="230"/>
    </row>
    <row r="384">
      <c r="O384" s="230"/>
      <c r="S384" s="230"/>
      <c r="T384" s="230"/>
      <c r="U384" s="230"/>
      <c r="V384" s="230"/>
      <c r="W384" s="230"/>
      <c r="X384" s="230"/>
      <c r="Y384" s="230"/>
      <c r="Z384" s="230"/>
    </row>
    <row r="385">
      <c r="O385" s="230"/>
      <c r="S385" s="230"/>
      <c r="T385" s="230"/>
      <c r="U385" s="230"/>
      <c r="V385" s="230"/>
      <c r="W385" s="230"/>
      <c r="X385" s="230"/>
      <c r="Y385" s="230"/>
      <c r="Z385" s="230"/>
    </row>
    <row r="386">
      <c r="O386" s="230"/>
      <c r="S386" s="230"/>
      <c r="T386" s="230"/>
      <c r="U386" s="230"/>
      <c r="V386" s="230"/>
      <c r="W386" s="230"/>
      <c r="X386" s="230"/>
      <c r="Y386" s="230"/>
      <c r="Z386" s="230"/>
    </row>
    <row r="387">
      <c r="O387" s="230"/>
      <c r="S387" s="230"/>
      <c r="T387" s="230"/>
      <c r="U387" s="230"/>
      <c r="V387" s="230"/>
      <c r="W387" s="230"/>
      <c r="X387" s="230"/>
      <c r="Y387" s="230"/>
      <c r="Z387" s="230"/>
    </row>
    <row r="388">
      <c r="O388" s="230"/>
      <c r="S388" s="230"/>
      <c r="T388" s="230"/>
      <c r="U388" s="230"/>
      <c r="V388" s="230"/>
      <c r="W388" s="230"/>
      <c r="X388" s="230"/>
      <c r="Y388" s="230"/>
      <c r="Z388" s="230"/>
    </row>
    <row r="389">
      <c r="O389" s="230"/>
      <c r="S389" s="230"/>
      <c r="T389" s="230"/>
      <c r="U389" s="230"/>
      <c r="V389" s="230"/>
      <c r="W389" s="230"/>
      <c r="X389" s="230"/>
      <c r="Y389" s="230"/>
      <c r="Z389" s="230"/>
    </row>
    <row r="390">
      <c r="O390" s="230"/>
      <c r="S390" s="230"/>
      <c r="T390" s="230"/>
      <c r="U390" s="230"/>
      <c r="V390" s="230"/>
      <c r="W390" s="230"/>
      <c r="X390" s="230"/>
      <c r="Y390" s="230"/>
      <c r="Z390" s="230"/>
    </row>
    <row r="391">
      <c r="O391" s="230"/>
      <c r="S391" s="230"/>
      <c r="T391" s="230"/>
      <c r="U391" s="230"/>
      <c r="V391" s="230"/>
      <c r="W391" s="230"/>
      <c r="X391" s="230"/>
      <c r="Y391" s="230"/>
      <c r="Z391" s="230"/>
    </row>
    <row r="392">
      <c r="O392" s="230"/>
      <c r="S392" s="230"/>
      <c r="T392" s="230"/>
      <c r="U392" s="230"/>
      <c r="V392" s="230"/>
      <c r="W392" s="230"/>
      <c r="X392" s="230"/>
      <c r="Y392" s="230"/>
      <c r="Z392" s="230"/>
    </row>
    <row r="393">
      <c r="O393" s="230"/>
      <c r="S393" s="230"/>
      <c r="T393" s="230"/>
      <c r="U393" s="230"/>
      <c r="V393" s="230"/>
      <c r="W393" s="230"/>
      <c r="X393" s="230"/>
      <c r="Y393" s="230"/>
      <c r="Z393" s="230"/>
    </row>
    <row r="394">
      <c r="O394" s="230"/>
      <c r="S394" s="230"/>
      <c r="T394" s="230"/>
      <c r="U394" s="230"/>
      <c r="V394" s="230"/>
      <c r="W394" s="230"/>
      <c r="X394" s="230"/>
      <c r="Y394" s="230"/>
      <c r="Z394" s="230"/>
    </row>
    <row r="395">
      <c r="O395" s="230"/>
      <c r="S395" s="230"/>
      <c r="T395" s="230"/>
      <c r="U395" s="230"/>
      <c r="V395" s="230"/>
      <c r="W395" s="230"/>
      <c r="X395" s="230"/>
      <c r="Y395" s="230"/>
      <c r="Z395" s="230"/>
    </row>
    <row r="396">
      <c r="O396" s="230"/>
      <c r="S396" s="230"/>
      <c r="T396" s="230"/>
      <c r="U396" s="230"/>
      <c r="V396" s="230"/>
      <c r="W396" s="230"/>
      <c r="X396" s="230"/>
      <c r="Y396" s="230"/>
      <c r="Z396" s="230"/>
    </row>
    <row r="397">
      <c r="O397" s="230"/>
      <c r="S397" s="230"/>
      <c r="T397" s="230"/>
      <c r="U397" s="230"/>
      <c r="V397" s="230"/>
      <c r="W397" s="230"/>
      <c r="X397" s="230"/>
      <c r="Y397" s="230"/>
      <c r="Z397" s="230"/>
    </row>
    <row r="398">
      <c r="O398" s="230"/>
      <c r="S398" s="230"/>
      <c r="T398" s="230"/>
      <c r="U398" s="230"/>
      <c r="V398" s="230"/>
      <c r="W398" s="230"/>
      <c r="X398" s="230"/>
      <c r="Y398" s="230"/>
      <c r="Z398" s="230"/>
    </row>
    <row r="399">
      <c r="O399" s="230"/>
      <c r="S399" s="230"/>
      <c r="T399" s="230"/>
      <c r="U399" s="230"/>
      <c r="V399" s="230"/>
      <c r="W399" s="230"/>
      <c r="X399" s="230"/>
      <c r="Y399" s="230"/>
      <c r="Z399" s="230"/>
    </row>
    <row r="400">
      <c r="O400" s="230"/>
      <c r="S400" s="230"/>
      <c r="T400" s="230"/>
      <c r="U400" s="230"/>
      <c r="V400" s="230"/>
      <c r="W400" s="230"/>
      <c r="X400" s="230"/>
      <c r="Y400" s="230"/>
      <c r="Z400" s="230"/>
    </row>
    <row r="401">
      <c r="O401" s="230"/>
      <c r="S401" s="230"/>
      <c r="T401" s="230"/>
      <c r="U401" s="230"/>
      <c r="V401" s="230"/>
      <c r="W401" s="230"/>
      <c r="X401" s="230"/>
      <c r="Y401" s="230"/>
      <c r="Z401" s="230"/>
    </row>
    <row r="402">
      <c r="O402" s="230"/>
      <c r="S402" s="230"/>
      <c r="T402" s="230"/>
      <c r="U402" s="230"/>
      <c r="V402" s="230"/>
      <c r="W402" s="230"/>
      <c r="X402" s="230"/>
      <c r="Y402" s="230"/>
      <c r="Z402" s="230"/>
    </row>
    <row r="403">
      <c r="O403" s="230"/>
      <c r="S403" s="230"/>
      <c r="T403" s="230"/>
      <c r="U403" s="230"/>
      <c r="V403" s="230"/>
      <c r="W403" s="230"/>
      <c r="X403" s="230"/>
      <c r="Y403" s="230"/>
      <c r="Z403" s="230"/>
    </row>
    <row r="404">
      <c r="O404" s="230"/>
      <c r="S404" s="230"/>
      <c r="T404" s="230"/>
      <c r="U404" s="230"/>
      <c r="V404" s="230"/>
      <c r="W404" s="230"/>
      <c r="X404" s="230"/>
      <c r="Y404" s="230"/>
      <c r="Z404" s="230"/>
    </row>
    <row r="405">
      <c r="O405" s="230"/>
      <c r="S405" s="230"/>
      <c r="T405" s="230"/>
      <c r="U405" s="230"/>
      <c r="V405" s="230"/>
      <c r="W405" s="230"/>
      <c r="X405" s="230"/>
      <c r="Y405" s="230"/>
      <c r="Z405" s="230"/>
    </row>
    <row r="406">
      <c r="O406" s="230"/>
      <c r="S406" s="230"/>
      <c r="T406" s="230"/>
      <c r="U406" s="230"/>
      <c r="V406" s="230"/>
      <c r="W406" s="230"/>
      <c r="X406" s="230"/>
      <c r="Y406" s="230"/>
      <c r="Z406" s="230"/>
    </row>
    <row r="407">
      <c r="O407" s="230"/>
      <c r="S407" s="230"/>
      <c r="T407" s="230"/>
      <c r="U407" s="230"/>
      <c r="V407" s="230"/>
      <c r="W407" s="230"/>
      <c r="X407" s="230"/>
      <c r="Y407" s="230"/>
      <c r="Z407" s="230"/>
    </row>
    <row r="408">
      <c r="O408" s="230"/>
      <c r="S408" s="230"/>
      <c r="T408" s="230"/>
      <c r="U408" s="230"/>
      <c r="V408" s="230"/>
      <c r="W408" s="230"/>
      <c r="X408" s="230"/>
      <c r="Y408" s="230"/>
      <c r="Z408" s="230"/>
    </row>
    <row r="409">
      <c r="O409" s="230"/>
      <c r="S409" s="230"/>
      <c r="T409" s="230"/>
      <c r="U409" s="230"/>
      <c r="V409" s="230"/>
      <c r="W409" s="230"/>
      <c r="X409" s="230"/>
      <c r="Y409" s="230"/>
      <c r="Z409" s="230"/>
    </row>
    <row r="410">
      <c r="O410" s="230"/>
      <c r="S410" s="230"/>
      <c r="T410" s="230"/>
      <c r="U410" s="230"/>
      <c r="V410" s="230"/>
      <c r="W410" s="230"/>
      <c r="X410" s="230"/>
      <c r="Y410" s="230"/>
      <c r="Z410" s="230"/>
    </row>
    <row r="411">
      <c r="O411" s="230"/>
      <c r="S411" s="230"/>
      <c r="T411" s="230"/>
      <c r="U411" s="230"/>
      <c r="V411" s="230"/>
      <c r="W411" s="230"/>
      <c r="X411" s="230"/>
      <c r="Y411" s="230"/>
      <c r="Z411" s="230"/>
    </row>
    <row r="412">
      <c r="O412" s="230"/>
      <c r="S412" s="230"/>
      <c r="T412" s="230"/>
      <c r="U412" s="230"/>
      <c r="V412" s="230"/>
      <c r="W412" s="230"/>
      <c r="X412" s="230"/>
      <c r="Y412" s="230"/>
      <c r="Z412" s="230"/>
    </row>
    <row r="413">
      <c r="O413" s="230"/>
      <c r="S413" s="230"/>
      <c r="T413" s="230"/>
      <c r="U413" s="230"/>
      <c r="V413" s="230"/>
      <c r="W413" s="230"/>
      <c r="X413" s="230"/>
      <c r="Y413" s="230"/>
      <c r="Z413" s="230"/>
    </row>
    <row r="414">
      <c r="O414" s="230"/>
      <c r="S414" s="230"/>
      <c r="T414" s="230"/>
      <c r="U414" s="230"/>
      <c r="V414" s="230"/>
      <c r="W414" s="230"/>
      <c r="X414" s="230"/>
      <c r="Y414" s="230"/>
      <c r="Z414" s="230"/>
    </row>
    <row r="415">
      <c r="O415" s="230"/>
      <c r="S415" s="230"/>
      <c r="T415" s="230"/>
      <c r="U415" s="230"/>
      <c r="V415" s="230"/>
      <c r="W415" s="230"/>
      <c r="X415" s="230"/>
      <c r="Y415" s="230"/>
      <c r="Z415" s="230"/>
    </row>
    <row r="416">
      <c r="O416" s="230"/>
      <c r="S416" s="230"/>
      <c r="T416" s="230"/>
      <c r="U416" s="230"/>
      <c r="V416" s="230"/>
      <c r="W416" s="230"/>
      <c r="X416" s="230"/>
      <c r="Y416" s="230"/>
      <c r="Z416" s="230"/>
    </row>
    <row r="417">
      <c r="O417" s="230"/>
      <c r="S417" s="230"/>
      <c r="T417" s="230"/>
      <c r="U417" s="230"/>
      <c r="V417" s="230"/>
      <c r="W417" s="230"/>
      <c r="X417" s="230"/>
      <c r="Y417" s="230"/>
      <c r="Z417" s="230"/>
    </row>
    <row r="418">
      <c r="O418" s="230"/>
      <c r="S418" s="230"/>
      <c r="T418" s="230"/>
      <c r="U418" s="230"/>
      <c r="V418" s="230"/>
      <c r="W418" s="230"/>
      <c r="X418" s="230"/>
      <c r="Y418" s="230"/>
      <c r="Z418" s="230"/>
    </row>
    <row r="419">
      <c r="O419" s="230"/>
      <c r="S419" s="230"/>
      <c r="T419" s="230"/>
      <c r="U419" s="230"/>
      <c r="V419" s="230"/>
      <c r="W419" s="230"/>
      <c r="X419" s="230"/>
      <c r="Y419" s="230"/>
      <c r="Z419" s="230"/>
    </row>
    <row r="420">
      <c r="O420" s="230"/>
      <c r="S420" s="230"/>
      <c r="T420" s="230"/>
      <c r="U420" s="230"/>
      <c r="V420" s="230"/>
      <c r="W420" s="230"/>
      <c r="X420" s="230"/>
      <c r="Y420" s="230"/>
      <c r="Z420" s="230"/>
    </row>
    <row r="421">
      <c r="O421" s="230"/>
      <c r="S421" s="230"/>
      <c r="T421" s="230"/>
      <c r="U421" s="230"/>
      <c r="V421" s="230"/>
      <c r="W421" s="230"/>
      <c r="X421" s="230"/>
      <c r="Y421" s="230"/>
      <c r="Z421" s="230"/>
    </row>
    <row r="422">
      <c r="O422" s="230"/>
      <c r="S422" s="230"/>
      <c r="T422" s="230"/>
      <c r="U422" s="230"/>
      <c r="V422" s="230"/>
      <c r="W422" s="230"/>
      <c r="X422" s="230"/>
      <c r="Y422" s="230"/>
      <c r="Z422" s="230"/>
    </row>
    <row r="423">
      <c r="O423" s="230"/>
      <c r="S423" s="230"/>
      <c r="T423" s="230"/>
      <c r="U423" s="230"/>
      <c r="V423" s="230"/>
      <c r="W423" s="230"/>
      <c r="X423" s="230"/>
      <c r="Y423" s="230"/>
      <c r="Z423" s="230"/>
    </row>
    <row r="424">
      <c r="O424" s="230"/>
      <c r="S424" s="230"/>
      <c r="T424" s="230"/>
      <c r="U424" s="230"/>
      <c r="V424" s="230"/>
      <c r="W424" s="230"/>
      <c r="X424" s="230"/>
      <c r="Y424" s="230"/>
      <c r="Z424" s="230"/>
    </row>
    <row r="425">
      <c r="O425" s="230"/>
      <c r="S425" s="230"/>
      <c r="T425" s="230"/>
      <c r="U425" s="230"/>
      <c r="V425" s="230"/>
      <c r="W425" s="230"/>
      <c r="X425" s="230"/>
      <c r="Y425" s="230"/>
      <c r="Z425" s="230"/>
    </row>
    <row r="426">
      <c r="O426" s="230"/>
      <c r="S426" s="230"/>
      <c r="T426" s="230"/>
      <c r="U426" s="230"/>
      <c r="V426" s="230"/>
      <c r="W426" s="230"/>
      <c r="X426" s="230"/>
      <c r="Y426" s="230"/>
      <c r="Z426" s="230"/>
    </row>
    <row r="427">
      <c r="O427" s="230"/>
      <c r="S427" s="230"/>
      <c r="T427" s="230"/>
      <c r="U427" s="230"/>
      <c r="V427" s="230"/>
      <c r="W427" s="230"/>
      <c r="X427" s="230"/>
      <c r="Y427" s="230"/>
      <c r="Z427" s="230"/>
    </row>
    <row r="428">
      <c r="O428" s="230"/>
      <c r="S428" s="230"/>
      <c r="T428" s="230"/>
      <c r="U428" s="230"/>
      <c r="V428" s="230"/>
      <c r="W428" s="230"/>
      <c r="X428" s="230"/>
      <c r="Y428" s="230"/>
      <c r="Z428" s="230"/>
    </row>
    <row r="429">
      <c r="O429" s="230"/>
      <c r="S429" s="230"/>
      <c r="T429" s="230"/>
      <c r="U429" s="230"/>
      <c r="V429" s="230"/>
      <c r="W429" s="230"/>
      <c r="X429" s="230"/>
      <c r="Y429" s="230"/>
      <c r="Z429" s="230"/>
    </row>
    <row r="430">
      <c r="O430" s="230"/>
      <c r="S430" s="230"/>
      <c r="T430" s="230"/>
      <c r="U430" s="230"/>
      <c r="V430" s="230"/>
      <c r="W430" s="230"/>
      <c r="X430" s="230"/>
      <c r="Y430" s="230"/>
      <c r="Z430" s="230"/>
    </row>
    <row r="431">
      <c r="O431" s="230"/>
      <c r="S431" s="230"/>
      <c r="T431" s="230"/>
      <c r="U431" s="230"/>
      <c r="V431" s="230"/>
      <c r="W431" s="230"/>
      <c r="X431" s="230"/>
      <c r="Y431" s="230"/>
      <c r="Z431" s="230"/>
    </row>
    <row r="432">
      <c r="O432" s="230"/>
      <c r="S432" s="230"/>
      <c r="T432" s="230"/>
      <c r="U432" s="230"/>
      <c r="V432" s="230"/>
      <c r="W432" s="230"/>
      <c r="X432" s="230"/>
      <c r="Y432" s="230"/>
      <c r="Z432" s="230"/>
    </row>
    <row r="433">
      <c r="O433" s="230"/>
      <c r="S433" s="230"/>
      <c r="T433" s="230"/>
      <c r="U433" s="230"/>
      <c r="V433" s="230"/>
      <c r="W433" s="230"/>
      <c r="X433" s="230"/>
      <c r="Y433" s="230"/>
      <c r="Z433" s="230"/>
    </row>
    <row r="434">
      <c r="O434" s="230"/>
      <c r="S434" s="230"/>
      <c r="T434" s="230"/>
      <c r="U434" s="230"/>
      <c r="V434" s="230"/>
      <c r="W434" s="230"/>
      <c r="X434" s="230"/>
      <c r="Y434" s="230"/>
      <c r="Z434" s="230"/>
    </row>
    <row r="435">
      <c r="O435" s="230"/>
      <c r="S435" s="230"/>
      <c r="T435" s="230"/>
      <c r="U435" s="230"/>
      <c r="V435" s="230"/>
      <c r="W435" s="230"/>
      <c r="X435" s="230"/>
      <c r="Y435" s="230"/>
      <c r="Z435" s="230"/>
    </row>
    <row r="436">
      <c r="O436" s="230"/>
      <c r="S436" s="230"/>
      <c r="T436" s="230"/>
      <c r="U436" s="230"/>
      <c r="V436" s="230"/>
      <c r="W436" s="230"/>
      <c r="X436" s="230"/>
      <c r="Y436" s="230"/>
      <c r="Z436" s="230"/>
    </row>
    <row r="437">
      <c r="O437" s="230"/>
      <c r="S437" s="230"/>
      <c r="T437" s="230"/>
      <c r="U437" s="230"/>
      <c r="V437" s="230"/>
      <c r="W437" s="230"/>
      <c r="X437" s="230"/>
      <c r="Y437" s="230"/>
      <c r="Z437" s="230"/>
    </row>
    <row r="438">
      <c r="O438" s="230"/>
      <c r="S438" s="230"/>
      <c r="T438" s="230"/>
      <c r="U438" s="230"/>
      <c r="V438" s="230"/>
      <c r="W438" s="230"/>
      <c r="X438" s="230"/>
      <c r="Y438" s="230"/>
      <c r="Z438" s="230"/>
    </row>
    <row r="439">
      <c r="O439" s="230"/>
      <c r="S439" s="230"/>
      <c r="T439" s="230"/>
      <c r="U439" s="230"/>
      <c r="V439" s="230"/>
      <c r="W439" s="230"/>
      <c r="X439" s="230"/>
      <c r="Y439" s="230"/>
      <c r="Z439" s="230"/>
    </row>
    <row r="440">
      <c r="O440" s="230"/>
      <c r="S440" s="230"/>
      <c r="T440" s="230"/>
      <c r="U440" s="230"/>
      <c r="V440" s="230"/>
      <c r="W440" s="230"/>
      <c r="X440" s="230"/>
      <c r="Y440" s="230"/>
      <c r="Z440" s="230"/>
    </row>
    <row r="441">
      <c r="O441" s="230"/>
      <c r="S441" s="230"/>
      <c r="T441" s="230"/>
      <c r="U441" s="230"/>
      <c r="V441" s="230"/>
      <c r="W441" s="230"/>
      <c r="X441" s="230"/>
      <c r="Y441" s="230"/>
      <c r="Z441" s="230"/>
    </row>
    <row r="442">
      <c r="O442" s="230"/>
      <c r="S442" s="230"/>
      <c r="T442" s="230"/>
      <c r="U442" s="230"/>
      <c r="V442" s="230"/>
      <c r="W442" s="230"/>
      <c r="X442" s="230"/>
      <c r="Y442" s="230"/>
      <c r="Z442" s="230"/>
    </row>
    <row r="443">
      <c r="O443" s="230"/>
      <c r="S443" s="230"/>
      <c r="T443" s="230"/>
      <c r="U443" s="230"/>
      <c r="V443" s="230"/>
      <c r="W443" s="230"/>
      <c r="X443" s="230"/>
      <c r="Y443" s="230"/>
      <c r="Z443" s="230"/>
    </row>
    <row r="444">
      <c r="O444" s="230"/>
      <c r="S444" s="230"/>
      <c r="T444" s="230"/>
      <c r="U444" s="230"/>
      <c r="V444" s="230"/>
      <c r="W444" s="230"/>
      <c r="X444" s="230"/>
      <c r="Y444" s="230"/>
      <c r="Z444" s="230"/>
    </row>
    <row r="445">
      <c r="O445" s="230"/>
      <c r="S445" s="230"/>
      <c r="T445" s="230"/>
      <c r="U445" s="230"/>
      <c r="V445" s="230"/>
      <c r="W445" s="230"/>
      <c r="X445" s="230"/>
      <c r="Y445" s="230"/>
      <c r="Z445" s="230"/>
    </row>
    <row r="446">
      <c r="O446" s="230"/>
      <c r="S446" s="230"/>
      <c r="T446" s="230"/>
      <c r="U446" s="230"/>
      <c r="V446" s="230"/>
      <c r="W446" s="230"/>
      <c r="X446" s="230"/>
      <c r="Y446" s="230"/>
      <c r="Z446" s="230"/>
    </row>
    <row r="447">
      <c r="O447" s="230"/>
      <c r="S447" s="230"/>
      <c r="T447" s="230"/>
      <c r="U447" s="230"/>
      <c r="V447" s="230"/>
      <c r="W447" s="230"/>
      <c r="X447" s="230"/>
      <c r="Y447" s="230"/>
      <c r="Z447" s="230"/>
    </row>
    <row r="448">
      <c r="O448" s="230"/>
      <c r="S448" s="230"/>
      <c r="T448" s="230"/>
      <c r="U448" s="230"/>
      <c r="V448" s="230"/>
      <c r="W448" s="230"/>
      <c r="X448" s="230"/>
      <c r="Y448" s="230"/>
      <c r="Z448" s="230"/>
    </row>
    <row r="449">
      <c r="O449" s="230"/>
      <c r="S449" s="230"/>
      <c r="T449" s="230"/>
      <c r="U449" s="230"/>
      <c r="V449" s="230"/>
      <c r="W449" s="230"/>
      <c r="X449" s="230"/>
      <c r="Y449" s="230"/>
      <c r="Z449" s="230"/>
    </row>
    <row r="450">
      <c r="O450" s="230"/>
      <c r="S450" s="230"/>
      <c r="T450" s="230"/>
      <c r="U450" s="230"/>
      <c r="V450" s="230"/>
      <c r="W450" s="230"/>
      <c r="X450" s="230"/>
      <c r="Y450" s="230"/>
      <c r="Z450" s="230"/>
    </row>
    <row r="451">
      <c r="O451" s="230"/>
      <c r="S451" s="230"/>
      <c r="T451" s="230"/>
      <c r="U451" s="230"/>
      <c r="V451" s="230"/>
      <c r="W451" s="230"/>
      <c r="X451" s="230"/>
      <c r="Y451" s="230"/>
      <c r="Z451" s="230"/>
    </row>
    <row r="452">
      <c r="O452" s="230"/>
      <c r="S452" s="230"/>
      <c r="T452" s="230"/>
      <c r="U452" s="230"/>
      <c r="V452" s="230"/>
      <c r="W452" s="230"/>
      <c r="X452" s="230"/>
      <c r="Y452" s="230"/>
      <c r="Z452" s="230"/>
    </row>
    <row r="453">
      <c r="O453" s="230"/>
      <c r="S453" s="230"/>
      <c r="T453" s="230"/>
      <c r="U453" s="230"/>
      <c r="V453" s="230"/>
      <c r="W453" s="230"/>
      <c r="X453" s="230"/>
      <c r="Y453" s="230"/>
      <c r="Z453" s="230"/>
    </row>
    <row r="454">
      <c r="O454" s="230"/>
      <c r="S454" s="230"/>
      <c r="T454" s="230"/>
      <c r="U454" s="230"/>
      <c r="V454" s="230"/>
      <c r="W454" s="230"/>
      <c r="X454" s="230"/>
      <c r="Y454" s="230"/>
      <c r="Z454" s="230"/>
    </row>
    <row r="455">
      <c r="O455" s="230"/>
      <c r="S455" s="230"/>
      <c r="T455" s="230"/>
      <c r="U455" s="230"/>
      <c r="V455" s="230"/>
      <c r="W455" s="230"/>
      <c r="X455" s="230"/>
      <c r="Y455" s="230"/>
      <c r="Z455" s="230"/>
    </row>
    <row r="456">
      <c r="O456" s="230"/>
      <c r="S456" s="230"/>
      <c r="T456" s="230"/>
      <c r="U456" s="230"/>
      <c r="V456" s="230"/>
      <c r="W456" s="230"/>
      <c r="X456" s="230"/>
      <c r="Y456" s="230"/>
      <c r="Z456" s="230"/>
    </row>
    <row r="457">
      <c r="O457" s="230"/>
      <c r="S457" s="230"/>
      <c r="T457" s="230"/>
      <c r="U457" s="230"/>
      <c r="V457" s="230"/>
      <c r="W457" s="230"/>
      <c r="X457" s="230"/>
      <c r="Y457" s="230"/>
      <c r="Z457" s="230"/>
    </row>
    <row r="458">
      <c r="O458" s="230"/>
      <c r="S458" s="230"/>
      <c r="T458" s="230"/>
      <c r="U458" s="230"/>
      <c r="V458" s="230"/>
      <c r="W458" s="230"/>
      <c r="X458" s="230"/>
      <c r="Y458" s="230"/>
      <c r="Z458" s="230"/>
    </row>
    <row r="459">
      <c r="O459" s="230"/>
      <c r="S459" s="230"/>
      <c r="T459" s="230"/>
      <c r="U459" s="230"/>
      <c r="V459" s="230"/>
      <c r="W459" s="230"/>
      <c r="X459" s="230"/>
      <c r="Y459" s="230"/>
      <c r="Z459" s="230"/>
    </row>
    <row r="460">
      <c r="O460" s="230"/>
      <c r="S460" s="230"/>
      <c r="T460" s="230"/>
      <c r="U460" s="230"/>
      <c r="V460" s="230"/>
      <c r="W460" s="230"/>
      <c r="X460" s="230"/>
      <c r="Y460" s="230"/>
      <c r="Z460" s="230"/>
    </row>
    <row r="461">
      <c r="O461" s="230"/>
      <c r="S461" s="230"/>
      <c r="T461" s="230"/>
      <c r="U461" s="230"/>
      <c r="V461" s="230"/>
      <c r="W461" s="230"/>
      <c r="X461" s="230"/>
      <c r="Y461" s="230"/>
      <c r="Z461" s="230"/>
    </row>
    <row r="462">
      <c r="O462" s="230"/>
      <c r="S462" s="230"/>
      <c r="T462" s="230"/>
      <c r="U462" s="230"/>
      <c r="V462" s="230"/>
      <c r="W462" s="230"/>
      <c r="X462" s="230"/>
      <c r="Y462" s="230"/>
      <c r="Z462" s="230"/>
    </row>
    <row r="463">
      <c r="O463" s="230"/>
      <c r="S463" s="230"/>
      <c r="T463" s="230"/>
      <c r="U463" s="230"/>
      <c r="V463" s="230"/>
      <c r="W463" s="230"/>
      <c r="X463" s="230"/>
      <c r="Y463" s="230"/>
      <c r="Z463" s="230"/>
    </row>
    <row r="464">
      <c r="O464" s="230"/>
      <c r="S464" s="230"/>
      <c r="T464" s="230"/>
      <c r="U464" s="230"/>
      <c r="V464" s="230"/>
      <c r="W464" s="230"/>
      <c r="X464" s="230"/>
      <c r="Y464" s="230"/>
      <c r="Z464" s="230"/>
    </row>
    <row r="465">
      <c r="O465" s="230"/>
      <c r="S465" s="230"/>
      <c r="T465" s="230"/>
      <c r="U465" s="230"/>
      <c r="V465" s="230"/>
      <c r="W465" s="230"/>
      <c r="X465" s="230"/>
      <c r="Y465" s="230"/>
      <c r="Z465" s="230"/>
    </row>
    <row r="466">
      <c r="O466" s="230"/>
      <c r="S466" s="230"/>
      <c r="T466" s="230"/>
      <c r="U466" s="230"/>
      <c r="V466" s="230"/>
      <c r="W466" s="230"/>
      <c r="X466" s="230"/>
      <c r="Y466" s="230"/>
      <c r="Z466" s="230"/>
    </row>
    <row r="467">
      <c r="O467" s="230"/>
      <c r="S467" s="230"/>
      <c r="T467" s="230"/>
      <c r="U467" s="230"/>
      <c r="V467" s="230"/>
      <c r="W467" s="230"/>
      <c r="X467" s="230"/>
      <c r="Y467" s="230"/>
      <c r="Z467" s="230"/>
    </row>
    <row r="468">
      <c r="O468" s="230"/>
      <c r="S468" s="230"/>
      <c r="T468" s="230"/>
      <c r="U468" s="230"/>
      <c r="V468" s="230"/>
      <c r="W468" s="230"/>
      <c r="X468" s="230"/>
      <c r="Y468" s="230"/>
      <c r="Z468" s="230"/>
    </row>
    <row r="469">
      <c r="O469" s="230"/>
      <c r="S469" s="230"/>
      <c r="T469" s="230"/>
      <c r="U469" s="230"/>
      <c r="V469" s="230"/>
      <c r="W469" s="230"/>
      <c r="X469" s="230"/>
      <c r="Y469" s="230"/>
      <c r="Z469" s="230"/>
    </row>
    <row r="470">
      <c r="O470" s="230"/>
      <c r="S470" s="230"/>
      <c r="T470" s="230"/>
      <c r="U470" s="230"/>
      <c r="V470" s="230"/>
      <c r="W470" s="230"/>
      <c r="X470" s="230"/>
      <c r="Y470" s="230"/>
      <c r="Z470" s="230"/>
    </row>
    <row r="471">
      <c r="O471" s="230"/>
      <c r="S471" s="230"/>
      <c r="T471" s="230"/>
      <c r="U471" s="230"/>
      <c r="V471" s="230"/>
      <c r="W471" s="230"/>
      <c r="X471" s="230"/>
      <c r="Y471" s="230"/>
      <c r="Z471" s="230"/>
    </row>
    <row r="472">
      <c r="O472" s="230"/>
      <c r="S472" s="230"/>
      <c r="T472" s="230"/>
      <c r="U472" s="230"/>
      <c r="V472" s="230"/>
      <c r="W472" s="230"/>
      <c r="X472" s="230"/>
      <c r="Y472" s="230"/>
      <c r="Z472" s="230"/>
    </row>
    <row r="473">
      <c r="O473" s="230"/>
      <c r="S473" s="230"/>
      <c r="T473" s="230"/>
      <c r="U473" s="230"/>
      <c r="V473" s="230"/>
      <c r="W473" s="230"/>
      <c r="X473" s="230"/>
      <c r="Y473" s="230"/>
      <c r="Z473" s="230"/>
    </row>
    <row r="474">
      <c r="O474" s="230"/>
      <c r="S474" s="230"/>
      <c r="T474" s="230"/>
      <c r="U474" s="230"/>
      <c r="V474" s="230"/>
      <c r="W474" s="230"/>
      <c r="X474" s="230"/>
      <c r="Y474" s="230"/>
      <c r="Z474" s="230"/>
    </row>
    <row r="475">
      <c r="O475" s="230"/>
      <c r="S475" s="230"/>
      <c r="T475" s="230"/>
      <c r="U475" s="230"/>
      <c r="V475" s="230"/>
      <c r="W475" s="230"/>
      <c r="X475" s="230"/>
      <c r="Y475" s="230"/>
      <c r="Z475" s="230"/>
    </row>
    <row r="476">
      <c r="O476" s="230"/>
      <c r="S476" s="230"/>
      <c r="T476" s="230"/>
      <c r="U476" s="230"/>
      <c r="V476" s="230"/>
      <c r="W476" s="230"/>
      <c r="X476" s="230"/>
      <c r="Y476" s="230"/>
      <c r="Z476" s="230"/>
    </row>
    <row r="477">
      <c r="O477" s="230"/>
      <c r="S477" s="230"/>
      <c r="T477" s="230"/>
      <c r="U477" s="230"/>
      <c r="V477" s="230"/>
      <c r="W477" s="230"/>
      <c r="X477" s="230"/>
      <c r="Y477" s="230"/>
      <c r="Z477" s="230"/>
    </row>
    <row r="478">
      <c r="O478" s="230"/>
      <c r="S478" s="230"/>
      <c r="T478" s="230"/>
      <c r="U478" s="230"/>
      <c r="V478" s="230"/>
      <c r="W478" s="230"/>
      <c r="X478" s="230"/>
      <c r="Y478" s="230"/>
      <c r="Z478" s="230"/>
    </row>
    <row r="479">
      <c r="O479" s="230"/>
      <c r="S479" s="230"/>
      <c r="T479" s="230"/>
      <c r="U479" s="230"/>
      <c r="V479" s="230"/>
      <c r="W479" s="230"/>
      <c r="X479" s="230"/>
      <c r="Y479" s="230"/>
      <c r="Z479" s="230"/>
    </row>
    <row r="480">
      <c r="O480" s="230"/>
      <c r="S480" s="230"/>
      <c r="T480" s="230"/>
      <c r="U480" s="230"/>
      <c r="V480" s="230"/>
      <c r="W480" s="230"/>
      <c r="X480" s="230"/>
      <c r="Y480" s="230"/>
      <c r="Z480" s="230"/>
    </row>
    <row r="481">
      <c r="O481" s="230"/>
      <c r="S481" s="230"/>
      <c r="T481" s="230"/>
      <c r="U481" s="230"/>
      <c r="V481" s="230"/>
      <c r="W481" s="230"/>
      <c r="X481" s="230"/>
      <c r="Y481" s="230"/>
      <c r="Z481" s="230"/>
    </row>
    <row r="482">
      <c r="O482" s="230"/>
      <c r="S482" s="230"/>
      <c r="T482" s="230"/>
      <c r="U482" s="230"/>
      <c r="V482" s="230"/>
      <c r="W482" s="230"/>
      <c r="X482" s="230"/>
      <c r="Y482" s="230"/>
      <c r="Z482" s="230"/>
    </row>
    <row r="483">
      <c r="O483" s="230"/>
      <c r="S483" s="230"/>
      <c r="T483" s="230"/>
      <c r="U483" s="230"/>
      <c r="V483" s="230"/>
      <c r="W483" s="230"/>
      <c r="X483" s="230"/>
      <c r="Y483" s="230"/>
      <c r="Z483" s="230"/>
    </row>
    <row r="484">
      <c r="O484" s="230"/>
      <c r="S484" s="230"/>
      <c r="T484" s="230"/>
      <c r="U484" s="230"/>
      <c r="V484" s="230"/>
      <c r="W484" s="230"/>
      <c r="X484" s="230"/>
      <c r="Y484" s="230"/>
      <c r="Z484" s="230"/>
    </row>
    <row r="485">
      <c r="O485" s="230"/>
      <c r="S485" s="230"/>
      <c r="T485" s="230"/>
      <c r="U485" s="230"/>
      <c r="V485" s="230"/>
      <c r="W485" s="230"/>
      <c r="X485" s="230"/>
      <c r="Y485" s="230"/>
      <c r="Z485" s="230"/>
    </row>
    <row r="486">
      <c r="O486" s="230"/>
      <c r="S486" s="230"/>
      <c r="T486" s="230"/>
      <c r="U486" s="230"/>
      <c r="V486" s="230"/>
      <c r="W486" s="230"/>
      <c r="X486" s="230"/>
      <c r="Y486" s="230"/>
      <c r="Z486" s="230"/>
    </row>
    <row r="487">
      <c r="O487" s="230"/>
      <c r="S487" s="230"/>
      <c r="T487" s="230"/>
      <c r="U487" s="230"/>
      <c r="V487" s="230"/>
      <c r="W487" s="230"/>
      <c r="X487" s="230"/>
      <c r="Y487" s="230"/>
      <c r="Z487" s="230"/>
    </row>
    <row r="488">
      <c r="O488" s="230"/>
      <c r="S488" s="230"/>
      <c r="T488" s="230"/>
      <c r="U488" s="230"/>
      <c r="V488" s="230"/>
      <c r="W488" s="230"/>
      <c r="X488" s="230"/>
      <c r="Y488" s="230"/>
      <c r="Z488" s="230"/>
    </row>
    <row r="489">
      <c r="O489" s="230"/>
      <c r="S489" s="230"/>
      <c r="T489" s="230"/>
      <c r="U489" s="230"/>
      <c r="V489" s="230"/>
      <c r="W489" s="230"/>
      <c r="X489" s="230"/>
      <c r="Y489" s="230"/>
      <c r="Z489" s="230"/>
    </row>
    <row r="490">
      <c r="O490" s="230"/>
      <c r="S490" s="230"/>
      <c r="T490" s="230"/>
      <c r="U490" s="230"/>
      <c r="V490" s="230"/>
      <c r="W490" s="230"/>
      <c r="X490" s="230"/>
      <c r="Y490" s="230"/>
      <c r="Z490" s="230"/>
    </row>
    <row r="491">
      <c r="O491" s="230"/>
      <c r="S491" s="230"/>
      <c r="T491" s="230"/>
      <c r="U491" s="230"/>
      <c r="V491" s="230"/>
      <c r="W491" s="230"/>
      <c r="X491" s="230"/>
      <c r="Y491" s="230"/>
      <c r="Z491" s="230"/>
    </row>
    <row r="492">
      <c r="O492" s="230"/>
      <c r="S492" s="230"/>
      <c r="T492" s="230"/>
      <c r="U492" s="230"/>
      <c r="V492" s="230"/>
      <c r="W492" s="230"/>
      <c r="X492" s="230"/>
      <c r="Y492" s="230"/>
      <c r="Z492" s="230"/>
    </row>
    <row r="493">
      <c r="O493" s="230"/>
      <c r="S493" s="230"/>
      <c r="T493" s="230"/>
      <c r="U493" s="230"/>
      <c r="V493" s="230"/>
      <c r="W493" s="230"/>
      <c r="X493" s="230"/>
      <c r="Y493" s="230"/>
      <c r="Z493" s="230"/>
    </row>
    <row r="494">
      <c r="O494" s="230"/>
      <c r="S494" s="230"/>
      <c r="T494" s="230"/>
      <c r="U494" s="230"/>
      <c r="V494" s="230"/>
      <c r="W494" s="230"/>
      <c r="X494" s="230"/>
      <c r="Y494" s="230"/>
      <c r="Z494" s="230"/>
    </row>
    <row r="495">
      <c r="O495" s="230"/>
      <c r="S495" s="230"/>
      <c r="T495" s="230"/>
      <c r="U495" s="230"/>
      <c r="V495" s="230"/>
      <c r="W495" s="230"/>
      <c r="X495" s="230"/>
      <c r="Y495" s="230"/>
      <c r="Z495" s="230"/>
    </row>
    <row r="496">
      <c r="O496" s="230"/>
      <c r="S496" s="230"/>
      <c r="T496" s="230"/>
      <c r="U496" s="230"/>
      <c r="V496" s="230"/>
      <c r="W496" s="230"/>
      <c r="X496" s="230"/>
      <c r="Y496" s="230"/>
      <c r="Z496" s="230"/>
    </row>
    <row r="497">
      <c r="O497" s="230"/>
      <c r="S497" s="230"/>
      <c r="T497" s="230"/>
      <c r="U497" s="230"/>
      <c r="V497" s="230"/>
      <c r="W497" s="230"/>
      <c r="X497" s="230"/>
      <c r="Y497" s="230"/>
      <c r="Z497" s="230"/>
    </row>
    <row r="498">
      <c r="O498" s="230"/>
      <c r="S498" s="230"/>
      <c r="T498" s="230"/>
      <c r="U498" s="230"/>
      <c r="V498" s="230"/>
      <c r="W498" s="230"/>
      <c r="X498" s="230"/>
      <c r="Y498" s="230"/>
      <c r="Z498" s="230"/>
    </row>
    <row r="499">
      <c r="O499" s="230"/>
      <c r="S499" s="230"/>
      <c r="T499" s="230"/>
      <c r="U499" s="230"/>
      <c r="V499" s="230"/>
      <c r="W499" s="230"/>
      <c r="X499" s="230"/>
      <c r="Y499" s="230"/>
      <c r="Z499" s="230"/>
    </row>
    <row r="500">
      <c r="O500" s="230"/>
      <c r="S500" s="230"/>
      <c r="T500" s="230"/>
      <c r="U500" s="230"/>
      <c r="V500" s="230"/>
      <c r="W500" s="230"/>
      <c r="X500" s="230"/>
      <c r="Y500" s="230"/>
      <c r="Z500" s="230"/>
    </row>
    <row r="501">
      <c r="O501" s="230"/>
      <c r="S501" s="230"/>
      <c r="T501" s="230"/>
      <c r="U501" s="230"/>
      <c r="V501" s="230"/>
      <c r="W501" s="230"/>
      <c r="X501" s="230"/>
      <c r="Y501" s="230"/>
      <c r="Z501" s="230"/>
    </row>
    <row r="502">
      <c r="O502" s="230"/>
      <c r="S502" s="230"/>
      <c r="T502" s="230"/>
      <c r="U502" s="230"/>
      <c r="V502" s="230"/>
      <c r="W502" s="230"/>
      <c r="X502" s="230"/>
      <c r="Y502" s="230"/>
      <c r="Z502" s="230"/>
    </row>
    <row r="503">
      <c r="O503" s="230"/>
      <c r="S503" s="230"/>
      <c r="T503" s="230"/>
      <c r="U503" s="230"/>
      <c r="V503" s="230"/>
      <c r="W503" s="230"/>
      <c r="X503" s="230"/>
      <c r="Y503" s="230"/>
      <c r="Z503" s="230"/>
    </row>
    <row r="504">
      <c r="O504" s="230"/>
      <c r="S504" s="230"/>
      <c r="T504" s="230"/>
      <c r="U504" s="230"/>
      <c r="V504" s="230"/>
      <c r="W504" s="230"/>
      <c r="X504" s="230"/>
      <c r="Y504" s="230"/>
      <c r="Z504" s="230"/>
    </row>
    <row r="505">
      <c r="O505" s="230"/>
      <c r="S505" s="230"/>
      <c r="T505" s="230"/>
      <c r="U505" s="230"/>
      <c r="V505" s="230"/>
      <c r="W505" s="230"/>
      <c r="X505" s="230"/>
      <c r="Y505" s="230"/>
      <c r="Z505" s="230"/>
    </row>
    <row r="506">
      <c r="O506" s="230"/>
      <c r="S506" s="230"/>
      <c r="T506" s="230"/>
      <c r="U506" s="230"/>
      <c r="V506" s="230"/>
      <c r="W506" s="230"/>
      <c r="X506" s="230"/>
      <c r="Y506" s="230"/>
      <c r="Z506" s="230"/>
    </row>
    <row r="507">
      <c r="O507" s="230"/>
      <c r="S507" s="230"/>
      <c r="T507" s="230"/>
      <c r="U507" s="230"/>
      <c r="V507" s="230"/>
      <c r="W507" s="230"/>
      <c r="X507" s="230"/>
      <c r="Y507" s="230"/>
      <c r="Z507" s="230"/>
    </row>
    <row r="508">
      <c r="O508" s="230"/>
      <c r="S508" s="230"/>
      <c r="T508" s="230"/>
      <c r="U508" s="230"/>
      <c r="V508" s="230"/>
      <c r="W508" s="230"/>
      <c r="X508" s="230"/>
      <c r="Y508" s="230"/>
      <c r="Z508" s="230"/>
    </row>
    <row r="509">
      <c r="O509" s="230"/>
      <c r="S509" s="230"/>
      <c r="T509" s="230"/>
      <c r="U509" s="230"/>
      <c r="V509" s="230"/>
      <c r="W509" s="230"/>
      <c r="X509" s="230"/>
      <c r="Y509" s="230"/>
      <c r="Z509" s="230"/>
    </row>
    <row r="510">
      <c r="O510" s="230"/>
      <c r="S510" s="230"/>
      <c r="T510" s="230"/>
      <c r="U510" s="230"/>
      <c r="V510" s="230"/>
      <c r="W510" s="230"/>
      <c r="X510" s="230"/>
      <c r="Y510" s="230"/>
      <c r="Z510" s="230"/>
    </row>
    <row r="511">
      <c r="O511" s="230"/>
      <c r="S511" s="230"/>
      <c r="T511" s="230"/>
      <c r="U511" s="230"/>
      <c r="V511" s="230"/>
      <c r="W511" s="230"/>
      <c r="X511" s="230"/>
      <c r="Y511" s="230"/>
      <c r="Z511" s="230"/>
    </row>
    <row r="512">
      <c r="O512" s="230"/>
      <c r="S512" s="230"/>
      <c r="T512" s="230"/>
      <c r="U512" s="230"/>
      <c r="V512" s="230"/>
      <c r="W512" s="230"/>
      <c r="X512" s="230"/>
      <c r="Y512" s="230"/>
      <c r="Z512" s="230"/>
    </row>
    <row r="513">
      <c r="O513" s="230"/>
      <c r="S513" s="230"/>
      <c r="T513" s="230"/>
      <c r="U513" s="230"/>
      <c r="V513" s="230"/>
      <c r="W513" s="230"/>
      <c r="X513" s="230"/>
      <c r="Y513" s="230"/>
      <c r="Z513" s="230"/>
    </row>
    <row r="514">
      <c r="O514" s="230"/>
      <c r="S514" s="230"/>
      <c r="T514" s="230"/>
      <c r="U514" s="230"/>
      <c r="V514" s="230"/>
      <c r="W514" s="230"/>
      <c r="X514" s="230"/>
      <c r="Y514" s="230"/>
      <c r="Z514" s="230"/>
    </row>
    <row r="515">
      <c r="O515" s="230"/>
      <c r="S515" s="230"/>
      <c r="T515" s="230"/>
      <c r="U515" s="230"/>
      <c r="V515" s="230"/>
      <c r="W515" s="230"/>
      <c r="X515" s="230"/>
      <c r="Y515" s="230"/>
      <c r="Z515" s="230"/>
    </row>
    <row r="516">
      <c r="O516" s="230"/>
      <c r="S516" s="230"/>
      <c r="T516" s="230"/>
      <c r="U516" s="230"/>
      <c r="V516" s="230"/>
      <c r="W516" s="230"/>
      <c r="X516" s="230"/>
      <c r="Y516" s="230"/>
      <c r="Z516" s="230"/>
    </row>
    <row r="517">
      <c r="O517" s="230"/>
      <c r="S517" s="230"/>
      <c r="T517" s="230"/>
      <c r="U517" s="230"/>
      <c r="V517" s="230"/>
      <c r="W517" s="230"/>
      <c r="X517" s="230"/>
      <c r="Y517" s="230"/>
      <c r="Z517" s="230"/>
    </row>
    <row r="518">
      <c r="O518" s="230"/>
      <c r="S518" s="230"/>
      <c r="T518" s="230"/>
      <c r="U518" s="230"/>
      <c r="V518" s="230"/>
      <c r="W518" s="230"/>
      <c r="X518" s="230"/>
      <c r="Y518" s="230"/>
      <c r="Z518" s="230"/>
    </row>
    <row r="519">
      <c r="O519" s="230"/>
      <c r="S519" s="230"/>
      <c r="T519" s="230"/>
      <c r="U519" s="230"/>
      <c r="V519" s="230"/>
      <c r="W519" s="230"/>
      <c r="X519" s="230"/>
      <c r="Y519" s="230"/>
      <c r="Z519" s="230"/>
    </row>
    <row r="520">
      <c r="O520" s="230"/>
      <c r="S520" s="230"/>
      <c r="T520" s="230"/>
      <c r="U520" s="230"/>
      <c r="V520" s="230"/>
      <c r="W520" s="230"/>
      <c r="X520" s="230"/>
      <c r="Y520" s="230"/>
      <c r="Z520" s="230"/>
    </row>
    <row r="521">
      <c r="O521" s="230"/>
      <c r="S521" s="230"/>
      <c r="T521" s="230"/>
      <c r="U521" s="230"/>
      <c r="V521" s="230"/>
      <c r="W521" s="230"/>
      <c r="X521" s="230"/>
      <c r="Y521" s="230"/>
      <c r="Z521" s="230"/>
    </row>
    <row r="522">
      <c r="O522" s="230"/>
      <c r="S522" s="230"/>
      <c r="T522" s="230"/>
      <c r="U522" s="230"/>
      <c r="V522" s="230"/>
      <c r="W522" s="230"/>
      <c r="X522" s="230"/>
      <c r="Y522" s="230"/>
      <c r="Z522" s="230"/>
    </row>
    <row r="523">
      <c r="O523" s="230"/>
      <c r="S523" s="230"/>
      <c r="T523" s="230"/>
      <c r="U523" s="230"/>
      <c r="V523" s="230"/>
      <c r="W523" s="230"/>
      <c r="X523" s="230"/>
      <c r="Y523" s="230"/>
      <c r="Z523" s="230"/>
    </row>
    <row r="524">
      <c r="O524" s="230"/>
      <c r="S524" s="230"/>
      <c r="T524" s="230"/>
      <c r="U524" s="230"/>
      <c r="V524" s="230"/>
      <c r="W524" s="230"/>
      <c r="X524" s="230"/>
      <c r="Y524" s="230"/>
      <c r="Z524" s="230"/>
    </row>
    <row r="525">
      <c r="O525" s="230"/>
      <c r="S525" s="230"/>
      <c r="T525" s="230"/>
      <c r="U525" s="230"/>
      <c r="V525" s="230"/>
      <c r="W525" s="230"/>
      <c r="X525" s="230"/>
      <c r="Y525" s="230"/>
      <c r="Z525" s="230"/>
    </row>
    <row r="526">
      <c r="O526" s="230"/>
      <c r="S526" s="230"/>
      <c r="T526" s="230"/>
      <c r="U526" s="230"/>
      <c r="V526" s="230"/>
      <c r="W526" s="230"/>
      <c r="X526" s="230"/>
      <c r="Y526" s="230"/>
      <c r="Z526" s="230"/>
    </row>
    <row r="527">
      <c r="O527" s="230"/>
      <c r="S527" s="230"/>
      <c r="T527" s="230"/>
      <c r="U527" s="230"/>
      <c r="V527" s="230"/>
      <c r="W527" s="230"/>
      <c r="X527" s="230"/>
      <c r="Y527" s="230"/>
      <c r="Z527" s="230"/>
    </row>
    <row r="528">
      <c r="O528" s="230"/>
      <c r="S528" s="230"/>
      <c r="T528" s="230"/>
      <c r="U528" s="230"/>
      <c r="V528" s="230"/>
      <c r="W528" s="230"/>
      <c r="X528" s="230"/>
      <c r="Y528" s="230"/>
      <c r="Z528" s="230"/>
    </row>
    <row r="529">
      <c r="O529" s="230"/>
      <c r="S529" s="230"/>
      <c r="T529" s="230"/>
      <c r="U529" s="230"/>
      <c r="V529" s="230"/>
      <c r="W529" s="230"/>
      <c r="X529" s="230"/>
      <c r="Y529" s="230"/>
      <c r="Z529" s="230"/>
    </row>
    <row r="530">
      <c r="O530" s="230"/>
      <c r="S530" s="230"/>
      <c r="T530" s="230"/>
      <c r="U530" s="230"/>
      <c r="V530" s="230"/>
      <c r="W530" s="230"/>
      <c r="X530" s="230"/>
      <c r="Y530" s="230"/>
      <c r="Z530" s="230"/>
    </row>
    <row r="531">
      <c r="O531" s="230"/>
      <c r="S531" s="230"/>
      <c r="T531" s="230"/>
      <c r="U531" s="230"/>
      <c r="V531" s="230"/>
      <c r="W531" s="230"/>
      <c r="X531" s="230"/>
      <c r="Y531" s="230"/>
      <c r="Z531" s="230"/>
    </row>
    <row r="532">
      <c r="O532" s="230"/>
      <c r="S532" s="230"/>
      <c r="T532" s="230"/>
      <c r="U532" s="230"/>
      <c r="V532" s="230"/>
      <c r="W532" s="230"/>
      <c r="X532" s="230"/>
      <c r="Y532" s="230"/>
      <c r="Z532" s="230"/>
    </row>
    <row r="533">
      <c r="O533" s="230"/>
      <c r="S533" s="230"/>
      <c r="T533" s="230"/>
      <c r="U533" s="230"/>
      <c r="V533" s="230"/>
      <c r="W533" s="230"/>
      <c r="X533" s="230"/>
      <c r="Y533" s="230"/>
      <c r="Z533" s="230"/>
    </row>
    <row r="534">
      <c r="O534" s="230"/>
      <c r="S534" s="230"/>
      <c r="T534" s="230"/>
      <c r="U534" s="230"/>
      <c r="V534" s="230"/>
      <c r="W534" s="230"/>
      <c r="X534" s="230"/>
      <c r="Y534" s="230"/>
      <c r="Z534" s="230"/>
    </row>
    <row r="535">
      <c r="O535" s="230"/>
      <c r="S535" s="230"/>
      <c r="T535" s="230"/>
      <c r="U535" s="230"/>
      <c r="V535" s="230"/>
      <c r="W535" s="230"/>
      <c r="X535" s="230"/>
      <c r="Y535" s="230"/>
      <c r="Z535" s="230"/>
    </row>
    <row r="536">
      <c r="O536" s="230"/>
      <c r="S536" s="230"/>
      <c r="T536" s="230"/>
      <c r="U536" s="230"/>
      <c r="V536" s="230"/>
      <c r="W536" s="230"/>
      <c r="X536" s="230"/>
      <c r="Y536" s="230"/>
      <c r="Z536" s="230"/>
    </row>
    <row r="537">
      <c r="O537" s="230"/>
      <c r="S537" s="230"/>
      <c r="T537" s="230"/>
      <c r="U537" s="230"/>
      <c r="V537" s="230"/>
      <c r="W537" s="230"/>
      <c r="X537" s="230"/>
      <c r="Y537" s="230"/>
      <c r="Z537" s="230"/>
    </row>
    <row r="538">
      <c r="O538" s="230"/>
      <c r="S538" s="230"/>
      <c r="T538" s="230"/>
      <c r="U538" s="230"/>
      <c r="V538" s="230"/>
      <c r="W538" s="230"/>
      <c r="X538" s="230"/>
      <c r="Y538" s="230"/>
      <c r="Z538" s="230"/>
    </row>
    <row r="539">
      <c r="O539" s="230"/>
      <c r="S539" s="230"/>
      <c r="T539" s="230"/>
      <c r="U539" s="230"/>
      <c r="V539" s="230"/>
      <c r="W539" s="230"/>
      <c r="X539" s="230"/>
      <c r="Y539" s="230"/>
      <c r="Z539" s="230"/>
    </row>
    <row r="540">
      <c r="O540" s="230"/>
      <c r="S540" s="230"/>
      <c r="T540" s="230"/>
      <c r="U540" s="230"/>
      <c r="V540" s="230"/>
      <c r="W540" s="230"/>
      <c r="X540" s="230"/>
      <c r="Y540" s="230"/>
      <c r="Z540" s="230"/>
    </row>
    <row r="541">
      <c r="O541" s="230"/>
      <c r="S541" s="230"/>
      <c r="T541" s="230"/>
      <c r="U541" s="230"/>
      <c r="V541" s="230"/>
      <c r="W541" s="230"/>
      <c r="X541" s="230"/>
      <c r="Y541" s="230"/>
      <c r="Z541" s="230"/>
    </row>
    <row r="542">
      <c r="O542" s="230"/>
      <c r="S542" s="230"/>
      <c r="T542" s="230"/>
      <c r="U542" s="230"/>
      <c r="V542" s="230"/>
      <c r="W542" s="230"/>
      <c r="X542" s="230"/>
      <c r="Y542" s="230"/>
      <c r="Z542" s="230"/>
    </row>
    <row r="543">
      <c r="O543" s="230"/>
      <c r="S543" s="230"/>
      <c r="T543" s="230"/>
      <c r="U543" s="230"/>
      <c r="V543" s="230"/>
      <c r="W543" s="230"/>
      <c r="X543" s="230"/>
      <c r="Y543" s="230"/>
      <c r="Z543" s="230"/>
    </row>
    <row r="544">
      <c r="O544" s="230"/>
      <c r="S544" s="230"/>
      <c r="T544" s="230"/>
      <c r="U544" s="230"/>
      <c r="V544" s="230"/>
      <c r="W544" s="230"/>
      <c r="X544" s="230"/>
      <c r="Y544" s="230"/>
      <c r="Z544" s="230"/>
    </row>
    <row r="545">
      <c r="O545" s="230"/>
      <c r="S545" s="230"/>
      <c r="T545" s="230"/>
      <c r="U545" s="230"/>
      <c r="V545" s="230"/>
      <c r="W545" s="230"/>
      <c r="X545" s="230"/>
      <c r="Y545" s="230"/>
      <c r="Z545" s="230"/>
    </row>
    <row r="546">
      <c r="O546" s="230"/>
      <c r="S546" s="230"/>
      <c r="T546" s="230"/>
      <c r="U546" s="230"/>
      <c r="V546" s="230"/>
      <c r="W546" s="230"/>
      <c r="X546" s="230"/>
      <c r="Y546" s="230"/>
      <c r="Z546" s="230"/>
    </row>
    <row r="547">
      <c r="O547" s="230"/>
      <c r="S547" s="230"/>
      <c r="T547" s="230"/>
      <c r="U547" s="230"/>
      <c r="V547" s="230"/>
      <c r="W547" s="230"/>
      <c r="X547" s="230"/>
      <c r="Y547" s="230"/>
      <c r="Z547" s="230"/>
    </row>
    <row r="548">
      <c r="O548" s="230"/>
      <c r="S548" s="230"/>
      <c r="T548" s="230"/>
      <c r="U548" s="230"/>
      <c r="V548" s="230"/>
      <c r="W548" s="230"/>
      <c r="X548" s="230"/>
      <c r="Y548" s="230"/>
      <c r="Z548" s="230"/>
    </row>
    <row r="549">
      <c r="O549" s="230"/>
      <c r="S549" s="230"/>
      <c r="T549" s="230"/>
      <c r="U549" s="230"/>
      <c r="V549" s="230"/>
      <c r="W549" s="230"/>
      <c r="X549" s="230"/>
      <c r="Y549" s="230"/>
      <c r="Z549" s="230"/>
    </row>
    <row r="550">
      <c r="O550" s="230"/>
      <c r="S550" s="230"/>
      <c r="T550" s="230"/>
      <c r="U550" s="230"/>
      <c r="V550" s="230"/>
      <c r="W550" s="230"/>
      <c r="X550" s="230"/>
      <c r="Y550" s="230"/>
      <c r="Z550" s="230"/>
    </row>
    <row r="551">
      <c r="O551" s="230"/>
      <c r="S551" s="230"/>
      <c r="T551" s="230"/>
      <c r="U551" s="230"/>
      <c r="V551" s="230"/>
      <c r="W551" s="230"/>
      <c r="X551" s="230"/>
      <c r="Y551" s="230"/>
      <c r="Z551" s="230"/>
    </row>
    <row r="552">
      <c r="O552" s="230"/>
      <c r="S552" s="230"/>
      <c r="T552" s="230"/>
      <c r="U552" s="230"/>
      <c r="V552" s="230"/>
      <c r="W552" s="230"/>
      <c r="X552" s="230"/>
      <c r="Y552" s="230"/>
      <c r="Z552" s="230"/>
    </row>
    <row r="553">
      <c r="O553" s="230"/>
      <c r="S553" s="230"/>
      <c r="T553" s="230"/>
      <c r="U553" s="230"/>
      <c r="V553" s="230"/>
      <c r="W553" s="230"/>
      <c r="X553" s="230"/>
      <c r="Y553" s="230"/>
      <c r="Z553" s="230"/>
    </row>
    <row r="554">
      <c r="O554" s="230"/>
      <c r="S554" s="230"/>
      <c r="T554" s="230"/>
      <c r="U554" s="230"/>
      <c r="V554" s="230"/>
      <c r="W554" s="230"/>
      <c r="X554" s="230"/>
      <c r="Y554" s="230"/>
      <c r="Z554" s="230"/>
    </row>
    <row r="555">
      <c r="O555" s="230"/>
      <c r="S555" s="230"/>
      <c r="T555" s="230"/>
      <c r="U555" s="230"/>
      <c r="V555" s="230"/>
      <c r="W555" s="230"/>
      <c r="X555" s="230"/>
      <c r="Y555" s="230"/>
      <c r="Z555" s="230"/>
    </row>
    <row r="556">
      <c r="O556" s="230"/>
      <c r="S556" s="230"/>
      <c r="T556" s="230"/>
      <c r="U556" s="230"/>
      <c r="V556" s="230"/>
      <c r="W556" s="230"/>
      <c r="X556" s="230"/>
      <c r="Y556" s="230"/>
      <c r="Z556" s="230"/>
    </row>
    <row r="557">
      <c r="O557" s="230"/>
      <c r="S557" s="230"/>
      <c r="T557" s="230"/>
      <c r="U557" s="230"/>
      <c r="V557" s="230"/>
      <c r="W557" s="230"/>
      <c r="X557" s="230"/>
      <c r="Y557" s="230"/>
      <c r="Z557" s="230"/>
    </row>
    <row r="558">
      <c r="O558" s="230"/>
      <c r="S558" s="230"/>
      <c r="T558" s="230"/>
      <c r="U558" s="230"/>
      <c r="V558" s="230"/>
      <c r="W558" s="230"/>
      <c r="X558" s="230"/>
      <c r="Y558" s="230"/>
      <c r="Z558" s="230"/>
    </row>
    <row r="559">
      <c r="O559" s="230"/>
      <c r="S559" s="230"/>
      <c r="T559" s="230"/>
      <c r="U559" s="230"/>
      <c r="V559" s="230"/>
      <c r="W559" s="230"/>
      <c r="X559" s="230"/>
      <c r="Y559" s="230"/>
      <c r="Z559" s="230"/>
    </row>
    <row r="560">
      <c r="O560" s="230"/>
      <c r="S560" s="230"/>
      <c r="T560" s="230"/>
      <c r="U560" s="230"/>
      <c r="V560" s="230"/>
      <c r="W560" s="230"/>
      <c r="X560" s="230"/>
      <c r="Y560" s="230"/>
      <c r="Z560" s="230"/>
    </row>
    <row r="561">
      <c r="O561" s="230"/>
      <c r="S561" s="230"/>
      <c r="T561" s="230"/>
      <c r="U561" s="230"/>
      <c r="V561" s="230"/>
      <c r="W561" s="230"/>
      <c r="X561" s="230"/>
      <c r="Y561" s="230"/>
      <c r="Z561" s="230"/>
    </row>
    <row r="562">
      <c r="O562" s="230"/>
      <c r="S562" s="230"/>
      <c r="T562" s="230"/>
      <c r="U562" s="230"/>
      <c r="V562" s="230"/>
      <c r="W562" s="230"/>
      <c r="X562" s="230"/>
      <c r="Y562" s="230"/>
      <c r="Z562" s="230"/>
    </row>
    <row r="563">
      <c r="O563" s="230"/>
      <c r="S563" s="230"/>
      <c r="T563" s="230"/>
      <c r="U563" s="230"/>
      <c r="V563" s="230"/>
      <c r="W563" s="230"/>
      <c r="X563" s="230"/>
      <c r="Y563" s="230"/>
      <c r="Z563" s="230"/>
    </row>
    <row r="564">
      <c r="O564" s="230"/>
      <c r="S564" s="230"/>
      <c r="T564" s="230"/>
      <c r="U564" s="230"/>
      <c r="V564" s="230"/>
      <c r="W564" s="230"/>
      <c r="X564" s="230"/>
      <c r="Y564" s="230"/>
      <c r="Z564" s="230"/>
    </row>
    <row r="565">
      <c r="O565" s="230"/>
      <c r="S565" s="230"/>
      <c r="T565" s="230"/>
      <c r="U565" s="230"/>
      <c r="V565" s="230"/>
      <c r="W565" s="230"/>
      <c r="X565" s="230"/>
      <c r="Y565" s="230"/>
      <c r="Z565" s="230"/>
    </row>
    <row r="566">
      <c r="O566" s="230"/>
      <c r="S566" s="230"/>
      <c r="T566" s="230"/>
      <c r="U566" s="230"/>
      <c r="V566" s="230"/>
      <c r="W566" s="230"/>
      <c r="X566" s="230"/>
      <c r="Y566" s="230"/>
      <c r="Z566" s="230"/>
    </row>
    <row r="567">
      <c r="O567" s="230"/>
      <c r="S567" s="230"/>
      <c r="T567" s="230"/>
      <c r="U567" s="230"/>
      <c r="V567" s="230"/>
      <c r="W567" s="230"/>
      <c r="X567" s="230"/>
      <c r="Y567" s="230"/>
      <c r="Z567" s="230"/>
    </row>
    <row r="568">
      <c r="O568" s="230"/>
      <c r="S568" s="230"/>
      <c r="T568" s="230"/>
      <c r="U568" s="230"/>
      <c r="V568" s="230"/>
      <c r="W568" s="230"/>
      <c r="X568" s="230"/>
      <c r="Y568" s="230"/>
      <c r="Z568" s="230"/>
    </row>
    <row r="569">
      <c r="O569" s="230"/>
      <c r="S569" s="230"/>
      <c r="T569" s="230"/>
      <c r="U569" s="230"/>
      <c r="V569" s="230"/>
      <c r="W569" s="230"/>
      <c r="X569" s="230"/>
      <c r="Y569" s="230"/>
      <c r="Z569" s="230"/>
    </row>
    <row r="570">
      <c r="O570" s="230"/>
      <c r="S570" s="230"/>
      <c r="T570" s="230"/>
      <c r="U570" s="230"/>
      <c r="V570" s="230"/>
      <c r="W570" s="230"/>
      <c r="X570" s="230"/>
      <c r="Y570" s="230"/>
      <c r="Z570" s="230"/>
    </row>
    <row r="571">
      <c r="O571" s="230"/>
      <c r="S571" s="230"/>
      <c r="T571" s="230"/>
      <c r="U571" s="230"/>
      <c r="V571" s="230"/>
      <c r="W571" s="230"/>
      <c r="X571" s="230"/>
      <c r="Y571" s="230"/>
      <c r="Z571" s="230"/>
    </row>
    <row r="572">
      <c r="O572" s="230"/>
      <c r="S572" s="230"/>
      <c r="T572" s="230"/>
      <c r="U572" s="230"/>
      <c r="V572" s="230"/>
      <c r="W572" s="230"/>
      <c r="X572" s="230"/>
      <c r="Y572" s="230"/>
      <c r="Z572" s="230"/>
    </row>
    <row r="573">
      <c r="O573" s="230"/>
      <c r="S573" s="230"/>
      <c r="T573" s="230"/>
      <c r="U573" s="230"/>
      <c r="V573" s="230"/>
      <c r="W573" s="230"/>
      <c r="X573" s="230"/>
      <c r="Y573" s="230"/>
      <c r="Z573" s="230"/>
    </row>
    <row r="574">
      <c r="O574" s="230"/>
      <c r="S574" s="230"/>
      <c r="T574" s="230"/>
      <c r="U574" s="230"/>
      <c r="V574" s="230"/>
      <c r="W574" s="230"/>
      <c r="X574" s="230"/>
      <c r="Y574" s="230"/>
      <c r="Z574" s="230"/>
    </row>
    <row r="575">
      <c r="O575" s="230"/>
      <c r="S575" s="230"/>
      <c r="T575" s="230"/>
      <c r="U575" s="230"/>
      <c r="V575" s="230"/>
      <c r="W575" s="230"/>
      <c r="X575" s="230"/>
      <c r="Y575" s="230"/>
      <c r="Z575" s="230"/>
    </row>
    <row r="576">
      <c r="O576" s="230"/>
      <c r="S576" s="230"/>
      <c r="T576" s="230"/>
      <c r="U576" s="230"/>
      <c r="V576" s="230"/>
      <c r="W576" s="230"/>
      <c r="X576" s="230"/>
      <c r="Y576" s="230"/>
      <c r="Z576" s="230"/>
    </row>
    <row r="577">
      <c r="O577" s="230"/>
      <c r="S577" s="230"/>
      <c r="T577" s="230"/>
      <c r="U577" s="230"/>
      <c r="V577" s="230"/>
      <c r="W577" s="230"/>
      <c r="X577" s="230"/>
      <c r="Y577" s="230"/>
      <c r="Z577" s="230"/>
    </row>
    <row r="578">
      <c r="O578" s="230"/>
      <c r="S578" s="230"/>
      <c r="T578" s="230"/>
      <c r="U578" s="230"/>
      <c r="V578" s="230"/>
      <c r="W578" s="230"/>
      <c r="X578" s="230"/>
      <c r="Y578" s="230"/>
      <c r="Z578" s="230"/>
    </row>
    <row r="579">
      <c r="O579" s="230"/>
      <c r="S579" s="230"/>
      <c r="T579" s="230"/>
      <c r="U579" s="230"/>
      <c r="V579" s="230"/>
      <c r="W579" s="230"/>
      <c r="X579" s="230"/>
      <c r="Y579" s="230"/>
      <c r="Z579" s="230"/>
    </row>
    <row r="580">
      <c r="O580" s="230"/>
      <c r="S580" s="230"/>
      <c r="T580" s="230"/>
      <c r="U580" s="230"/>
      <c r="V580" s="230"/>
      <c r="W580" s="230"/>
      <c r="X580" s="230"/>
      <c r="Y580" s="230"/>
      <c r="Z580" s="230"/>
    </row>
    <row r="581">
      <c r="O581" s="230"/>
      <c r="S581" s="230"/>
      <c r="T581" s="230"/>
      <c r="U581" s="230"/>
      <c r="V581" s="230"/>
      <c r="W581" s="230"/>
      <c r="X581" s="230"/>
      <c r="Y581" s="230"/>
      <c r="Z581" s="230"/>
    </row>
    <row r="582">
      <c r="O582" s="230"/>
      <c r="S582" s="230"/>
      <c r="T582" s="230"/>
      <c r="U582" s="230"/>
      <c r="V582" s="230"/>
      <c r="W582" s="230"/>
      <c r="X582" s="230"/>
      <c r="Y582" s="230"/>
      <c r="Z582" s="230"/>
    </row>
    <row r="583">
      <c r="O583" s="230"/>
      <c r="S583" s="230"/>
      <c r="T583" s="230"/>
      <c r="U583" s="230"/>
      <c r="V583" s="230"/>
      <c r="W583" s="230"/>
      <c r="X583" s="230"/>
      <c r="Y583" s="230"/>
      <c r="Z583" s="230"/>
    </row>
    <row r="584">
      <c r="O584" s="230"/>
      <c r="S584" s="230"/>
      <c r="T584" s="230"/>
      <c r="U584" s="230"/>
      <c r="V584" s="230"/>
      <c r="W584" s="230"/>
      <c r="X584" s="230"/>
      <c r="Y584" s="230"/>
      <c r="Z584" s="230"/>
    </row>
    <row r="585">
      <c r="O585" s="230"/>
      <c r="S585" s="230"/>
      <c r="T585" s="230"/>
      <c r="U585" s="230"/>
      <c r="V585" s="230"/>
      <c r="W585" s="230"/>
      <c r="X585" s="230"/>
      <c r="Y585" s="230"/>
      <c r="Z585" s="230"/>
    </row>
    <row r="586">
      <c r="O586" s="230"/>
      <c r="S586" s="230"/>
      <c r="T586" s="230"/>
      <c r="U586" s="230"/>
      <c r="V586" s="230"/>
      <c r="W586" s="230"/>
      <c r="X586" s="230"/>
      <c r="Y586" s="230"/>
      <c r="Z586" s="230"/>
    </row>
    <row r="587">
      <c r="O587" s="230"/>
      <c r="S587" s="230"/>
      <c r="T587" s="230"/>
      <c r="U587" s="230"/>
      <c r="V587" s="230"/>
      <c r="W587" s="230"/>
      <c r="X587" s="230"/>
      <c r="Y587" s="230"/>
      <c r="Z587" s="230"/>
    </row>
    <row r="588">
      <c r="O588" s="230"/>
      <c r="S588" s="230"/>
      <c r="T588" s="230"/>
      <c r="U588" s="230"/>
      <c r="V588" s="230"/>
      <c r="W588" s="230"/>
      <c r="X588" s="230"/>
      <c r="Y588" s="230"/>
      <c r="Z588" s="230"/>
    </row>
    <row r="589">
      <c r="O589" s="230"/>
      <c r="S589" s="230"/>
      <c r="T589" s="230"/>
      <c r="U589" s="230"/>
      <c r="V589" s="230"/>
      <c r="W589" s="230"/>
      <c r="X589" s="230"/>
      <c r="Y589" s="230"/>
      <c r="Z589" s="230"/>
    </row>
    <row r="590">
      <c r="O590" s="230"/>
      <c r="S590" s="230"/>
      <c r="T590" s="230"/>
      <c r="U590" s="230"/>
      <c r="V590" s="230"/>
      <c r="W590" s="230"/>
      <c r="X590" s="230"/>
      <c r="Y590" s="230"/>
      <c r="Z590" s="230"/>
    </row>
    <row r="591">
      <c r="O591" s="230"/>
      <c r="S591" s="230"/>
      <c r="T591" s="230"/>
      <c r="U591" s="230"/>
      <c r="V591" s="230"/>
      <c r="W591" s="230"/>
      <c r="X591" s="230"/>
      <c r="Y591" s="230"/>
      <c r="Z591" s="230"/>
    </row>
    <row r="592">
      <c r="O592" s="230"/>
      <c r="S592" s="230"/>
      <c r="T592" s="230"/>
      <c r="U592" s="230"/>
      <c r="V592" s="230"/>
      <c r="W592" s="230"/>
      <c r="X592" s="230"/>
      <c r="Y592" s="230"/>
      <c r="Z592" s="230"/>
    </row>
    <row r="593">
      <c r="O593" s="230"/>
      <c r="S593" s="230"/>
      <c r="T593" s="230"/>
      <c r="U593" s="230"/>
      <c r="V593" s="230"/>
      <c r="W593" s="230"/>
      <c r="X593" s="230"/>
      <c r="Y593" s="230"/>
      <c r="Z593" s="230"/>
    </row>
    <row r="594">
      <c r="O594" s="230"/>
      <c r="S594" s="230"/>
      <c r="T594" s="230"/>
      <c r="U594" s="230"/>
      <c r="V594" s="230"/>
      <c r="W594" s="230"/>
      <c r="X594" s="230"/>
      <c r="Y594" s="230"/>
      <c r="Z594" s="230"/>
    </row>
    <row r="595">
      <c r="O595" s="230"/>
      <c r="S595" s="230"/>
      <c r="T595" s="230"/>
      <c r="U595" s="230"/>
      <c r="V595" s="230"/>
      <c r="W595" s="230"/>
      <c r="X595" s="230"/>
      <c r="Y595" s="230"/>
      <c r="Z595" s="230"/>
    </row>
    <row r="596">
      <c r="O596" s="230"/>
      <c r="S596" s="230"/>
      <c r="T596" s="230"/>
      <c r="U596" s="230"/>
      <c r="V596" s="230"/>
      <c r="W596" s="230"/>
      <c r="X596" s="230"/>
      <c r="Y596" s="230"/>
      <c r="Z596" s="230"/>
    </row>
    <row r="597">
      <c r="O597" s="230"/>
      <c r="S597" s="230"/>
      <c r="T597" s="230"/>
      <c r="U597" s="230"/>
      <c r="V597" s="230"/>
      <c r="W597" s="230"/>
      <c r="X597" s="230"/>
      <c r="Y597" s="230"/>
      <c r="Z597" s="230"/>
    </row>
    <row r="598">
      <c r="O598" s="230"/>
      <c r="S598" s="230"/>
      <c r="T598" s="230"/>
      <c r="U598" s="230"/>
      <c r="V598" s="230"/>
      <c r="W598" s="230"/>
      <c r="X598" s="230"/>
      <c r="Y598" s="230"/>
      <c r="Z598" s="230"/>
    </row>
    <row r="599">
      <c r="O599" s="230"/>
      <c r="S599" s="230"/>
      <c r="T599" s="230"/>
      <c r="U599" s="230"/>
      <c r="V599" s="230"/>
      <c r="W599" s="230"/>
      <c r="X599" s="230"/>
      <c r="Y599" s="230"/>
      <c r="Z599" s="230"/>
    </row>
    <row r="600">
      <c r="O600" s="230"/>
      <c r="S600" s="230"/>
      <c r="T600" s="230"/>
      <c r="U600" s="230"/>
      <c r="V600" s="230"/>
      <c r="W600" s="230"/>
      <c r="X600" s="230"/>
      <c r="Y600" s="230"/>
      <c r="Z600" s="230"/>
    </row>
    <row r="601">
      <c r="O601" s="230"/>
      <c r="S601" s="230"/>
      <c r="T601" s="230"/>
      <c r="U601" s="230"/>
      <c r="V601" s="230"/>
      <c r="W601" s="230"/>
      <c r="X601" s="230"/>
      <c r="Y601" s="230"/>
      <c r="Z601" s="230"/>
    </row>
    <row r="602">
      <c r="O602" s="230"/>
      <c r="S602" s="230"/>
      <c r="T602" s="230"/>
      <c r="U602" s="230"/>
      <c r="V602" s="230"/>
      <c r="W602" s="230"/>
      <c r="X602" s="230"/>
      <c r="Y602" s="230"/>
      <c r="Z602" s="230"/>
    </row>
    <row r="603">
      <c r="O603" s="230"/>
      <c r="S603" s="230"/>
      <c r="T603" s="230"/>
      <c r="U603" s="230"/>
      <c r="V603" s="230"/>
      <c r="W603" s="230"/>
      <c r="X603" s="230"/>
      <c r="Y603" s="230"/>
      <c r="Z603" s="230"/>
    </row>
    <row r="604">
      <c r="O604" s="230"/>
      <c r="S604" s="230"/>
      <c r="T604" s="230"/>
      <c r="U604" s="230"/>
      <c r="V604" s="230"/>
      <c r="W604" s="230"/>
      <c r="X604" s="230"/>
      <c r="Y604" s="230"/>
      <c r="Z604" s="230"/>
    </row>
    <row r="605">
      <c r="O605" s="230"/>
      <c r="S605" s="230"/>
      <c r="T605" s="230"/>
      <c r="U605" s="230"/>
      <c r="V605" s="230"/>
      <c r="W605" s="230"/>
      <c r="X605" s="230"/>
      <c r="Y605" s="230"/>
      <c r="Z605" s="230"/>
    </row>
    <row r="606">
      <c r="O606" s="230"/>
      <c r="S606" s="230"/>
      <c r="T606" s="230"/>
      <c r="U606" s="230"/>
      <c r="V606" s="230"/>
      <c r="W606" s="230"/>
      <c r="X606" s="230"/>
      <c r="Y606" s="230"/>
      <c r="Z606" s="230"/>
    </row>
    <row r="607">
      <c r="O607" s="230"/>
      <c r="S607" s="230"/>
      <c r="T607" s="230"/>
      <c r="U607" s="230"/>
      <c r="V607" s="230"/>
      <c r="W607" s="230"/>
      <c r="X607" s="230"/>
      <c r="Y607" s="230"/>
      <c r="Z607" s="230"/>
    </row>
    <row r="608">
      <c r="O608" s="230"/>
      <c r="S608" s="230"/>
      <c r="T608" s="230"/>
      <c r="U608" s="230"/>
      <c r="V608" s="230"/>
      <c r="W608" s="230"/>
      <c r="X608" s="230"/>
      <c r="Y608" s="230"/>
      <c r="Z608" s="230"/>
    </row>
    <row r="609">
      <c r="O609" s="230"/>
      <c r="S609" s="230"/>
      <c r="T609" s="230"/>
      <c r="U609" s="230"/>
      <c r="V609" s="230"/>
      <c r="W609" s="230"/>
      <c r="X609" s="230"/>
      <c r="Y609" s="230"/>
      <c r="Z609" s="230"/>
    </row>
    <row r="610">
      <c r="O610" s="230"/>
      <c r="S610" s="230"/>
      <c r="T610" s="230"/>
      <c r="U610" s="230"/>
      <c r="V610" s="230"/>
      <c r="W610" s="230"/>
      <c r="X610" s="230"/>
      <c r="Y610" s="230"/>
      <c r="Z610" s="230"/>
    </row>
    <row r="611">
      <c r="O611" s="230"/>
      <c r="S611" s="230"/>
      <c r="T611" s="230"/>
      <c r="U611" s="230"/>
      <c r="V611" s="230"/>
      <c r="W611" s="230"/>
      <c r="X611" s="230"/>
      <c r="Y611" s="230"/>
      <c r="Z611" s="230"/>
    </row>
    <row r="612">
      <c r="O612" s="230"/>
      <c r="S612" s="230"/>
      <c r="T612" s="230"/>
      <c r="U612" s="230"/>
      <c r="V612" s="230"/>
      <c r="W612" s="230"/>
      <c r="X612" s="230"/>
      <c r="Y612" s="230"/>
      <c r="Z612" s="230"/>
    </row>
    <row r="613">
      <c r="O613" s="230"/>
      <c r="S613" s="230"/>
      <c r="T613" s="230"/>
      <c r="U613" s="230"/>
      <c r="V613" s="230"/>
      <c r="W613" s="230"/>
      <c r="X613" s="230"/>
      <c r="Y613" s="230"/>
      <c r="Z613" s="230"/>
    </row>
    <row r="614">
      <c r="O614" s="230"/>
      <c r="S614" s="230"/>
      <c r="T614" s="230"/>
      <c r="U614" s="230"/>
      <c r="V614" s="230"/>
      <c r="W614" s="230"/>
      <c r="X614" s="230"/>
      <c r="Y614" s="230"/>
      <c r="Z614" s="230"/>
    </row>
    <row r="615">
      <c r="O615" s="230"/>
      <c r="S615" s="230"/>
      <c r="T615" s="230"/>
      <c r="U615" s="230"/>
      <c r="V615" s="230"/>
      <c r="W615" s="230"/>
      <c r="X615" s="230"/>
      <c r="Y615" s="230"/>
      <c r="Z615" s="230"/>
    </row>
    <row r="616">
      <c r="O616" s="230"/>
      <c r="S616" s="230"/>
      <c r="T616" s="230"/>
      <c r="U616" s="230"/>
      <c r="V616" s="230"/>
      <c r="W616" s="230"/>
      <c r="X616" s="230"/>
      <c r="Y616" s="230"/>
      <c r="Z616" s="230"/>
    </row>
    <row r="617">
      <c r="O617" s="230"/>
      <c r="S617" s="230"/>
      <c r="T617" s="230"/>
      <c r="U617" s="230"/>
      <c r="V617" s="230"/>
      <c r="W617" s="230"/>
      <c r="X617" s="230"/>
      <c r="Y617" s="230"/>
      <c r="Z617" s="230"/>
    </row>
    <row r="618">
      <c r="O618" s="230"/>
      <c r="S618" s="230"/>
      <c r="T618" s="230"/>
      <c r="U618" s="230"/>
      <c r="V618" s="230"/>
      <c r="W618" s="230"/>
      <c r="X618" s="230"/>
      <c r="Y618" s="230"/>
      <c r="Z618" s="230"/>
    </row>
    <row r="619">
      <c r="O619" s="230"/>
      <c r="S619" s="230"/>
      <c r="T619" s="230"/>
      <c r="U619" s="230"/>
      <c r="V619" s="230"/>
      <c r="W619" s="230"/>
      <c r="X619" s="230"/>
      <c r="Y619" s="230"/>
      <c r="Z619" s="230"/>
    </row>
    <row r="620">
      <c r="O620" s="230"/>
      <c r="S620" s="230"/>
      <c r="T620" s="230"/>
      <c r="U620" s="230"/>
      <c r="V620" s="230"/>
      <c r="W620" s="230"/>
      <c r="X620" s="230"/>
      <c r="Y620" s="230"/>
      <c r="Z620" s="230"/>
    </row>
    <row r="621">
      <c r="O621" s="230"/>
      <c r="S621" s="230"/>
      <c r="T621" s="230"/>
      <c r="U621" s="230"/>
      <c r="V621" s="230"/>
      <c r="W621" s="230"/>
      <c r="X621" s="230"/>
      <c r="Y621" s="230"/>
      <c r="Z621" s="230"/>
    </row>
    <row r="622">
      <c r="O622" s="230"/>
      <c r="S622" s="230"/>
      <c r="T622" s="230"/>
      <c r="U622" s="230"/>
      <c r="V622" s="230"/>
      <c r="W622" s="230"/>
      <c r="X622" s="230"/>
      <c r="Y622" s="230"/>
      <c r="Z622" s="230"/>
    </row>
    <row r="623">
      <c r="O623" s="230"/>
      <c r="S623" s="230"/>
      <c r="T623" s="230"/>
      <c r="U623" s="230"/>
      <c r="V623" s="230"/>
      <c r="W623" s="230"/>
      <c r="X623" s="230"/>
      <c r="Y623" s="230"/>
      <c r="Z623" s="230"/>
    </row>
    <row r="624">
      <c r="O624" s="230"/>
      <c r="S624" s="230"/>
      <c r="T624" s="230"/>
      <c r="U624" s="230"/>
      <c r="V624" s="230"/>
      <c r="W624" s="230"/>
      <c r="X624" s="230"/>
      <c r="Y624" s="230"/>
      <c r="Z624" s="230"/>
    </row>
    <row r="625">
      <c r="O625" s="230"/>
      <c r="S625" s="230"/>
      <c r="T625" s="230"/>
      <c r="U625" s="230"/>
      <c r="V625" s="230"/>
      <c r="W625" s="230"/>
      <c r="X625" s="230"/>
      <c r="Y625" s="230"/>
      <c r="Z625" s="230"/>
    </row>
    <row r="626">
      <c r="O626" s="230"/>
      <c r="S626" s="230"/>
      <c r="T626" s="230"/>
      <c r="U626" s="230"/>
      <c r="V626" s="230"/>
      <c r="W626" s="230"/>
      <c r="X626" s="230"/>
      <c r="Y626" s="230"/>
      <c r="Z626" s="230"/>
    </row>
    <row r="627">
      <c r="O627" s="230"/>
      <c r="S627" s="230"/>
      <c r="T627" s="230"/>
      <c r="U627" s="230"/>
      <c r="V627" s="230"/>
      <c r="W627" s="230"/>
      <c r="X627" s="230"/>
      <c r="Y627" s="230"/>
      <c r="Z627" s="230"/>
    </row>
    <row r="628">
      <c r="O628" s="230"/>
      <c r="S628" s="230"/>
      <c r="T628" s="230"/>
      <c r="U628" s="230"/>
      <c r="V628" s="230"/>
      <c r="W628" s="230"/>
      <c r="X628" s="230"/>
      <c r="Y628" s="230"/>
      <c r="Z628" s="230"/>
    </row>
    <row r="629">
      <c r="O629" s="230"/>
      <c r="S629" s="230"/>
      <c r="T629" s="230"/>
      <c r="U629" s="230"/>
      <c r="V629" s="230"/>
      <c r="W629" s="230"/>
      <c r="X629" s="230"/>
      <c r="Y629" s="230"/>
      <c r="Z629" s="230"/>
    </row>
    <row r="630">
      <c r="O630" s="230"/>
      <c r="S630" s="230"/>
      <c r="T630" s="230"/>
      <c r="U630" s="230"/>
      <c r="V630" s="230"/>
      <c r="W630" s="230"/>
      <c r="X630" s="230"/>
      <c r="Y630" s="230"/>
      <c r="Z630" s="230"/>
    </row>
    <row r="631">
      <c r="O631" s="230"/>
      <c r="S631" s="230"/>
      <c r="T631" s="230"/>
      <c r="U631" s="230"/>
      <c r="V631" s="230"/>
      <c r="W631" s="230"/>
      <c r="X631" s="230"/>
      <c r="Y631" s="230"/>
      <c r="Z631" s="230"/>
    </row>
    <row r="632">
      <c r="O632" s="230"/>
      <c r="S632" s="230"/>
      <c r="T632" s="230"/>
      <c r="U632" s="230"/>
      <c r="V632" s="230"/>
      <c r="W632" s="230"/>
      <c r="X632" s="230"/>
      <c r="Y632" s="230"/>
      <c r="Z632" s="230"/>
    </row>
    <row r="633">
      <c r="O633" s="230"/>
      <c r="S633" s="230"/>
      <c r="T633" s="230"/>
      <c r="U633" s="230"/>
      <c r="V633" s="230"/>
      <c r="W633" s="230"/>
      <c r="X633" s="230"/>
      <c r="Y633" s="230"/>
      <c r="Z633" s="230"/>
    </row>
    <row r="634">
      <c r="O634" s="230"/>
      <c r="S634" s="230"/>
      <c r="T634" s="230"/>
      <c r="U634" s="230"/>
      <c r="V634" s="230"/>
      <c r="W634" s="230"/>
      <c r="X634" s="230"/>
      <c r="Y634" s="230"/>
      <c r="Z634" s="230"/>
    </row>
    <row r="635">
      <c r="O635" s="230"/>
      <c r="S635" s="230"/>
      <c r="T635" s="230"/>
      <c r="U635" s="230"/>
      <c r="V635" s="230"/>
      <c r="W635" s="230"/>
      <c r="X635" s="230"/>
      <c r="Y635" s="230"/>
      <c r="Z635" s="230"/>
    </row>
    <row r="636">
      <c r="O636" s="230"/>
      <c r="S636" s="230"/>
      <c r="T636" s="230"/>
      <c r="U636" s="230"/>
      <c r="V636" s="230"/>
      <c r="W636" s="230"/>
      <c r="X636" s="230"/>
      <c r="Y636" s="230"/>
      <c r="Z636" s="230"/>
    </row>
    <row r="637">
      <c r="O637" s="230"/>
      <c r="S637" s="230"/>
      <c r="T637" s="230"/>
      <c r="U637" s="230"/>
      <c r="V637" s="230"/>
      <c r="W637" s="230"/>
      <c r="X637" s="230"/>
      <c r="Y637" s="230"/>
      <c r="Z637" s="230"/>
    </row>
    <row r="638">
      <c r="O638" s="230"/>
      <c r="S638" s="230"/>
      <c r="T638" s="230"/>
      <c r="U638" s="230"/>
      <c r="V638" s="230"/>
      <c r="W638" s="230"/>
      <c r="X638" s="230"/>
      <c r="Y638" s="230"/>
      <c r="Z638" s="230"/>
    </row>
    <row r="639">
      <c r="O639" s="230"/>
      <c r="S639" s="230"/>
      <c r="T639" s="230"/>
      <c r="U639" s="230"/>
      <c r="V639" s="230"/>
      <c r="W639" s="230"/>
      <c r="X639" s="230"/>
      <c r="Y639" s="230"/>
      <c r="Z639" s="230"/>
    </row>
    <row r="640">
      <c r="O640" s="230"/>
      <c r="S640" s="230"/>
      <c r="T640" s="230"/>
      <c r="U640" s="230"/>
      <c r="V640" s="230"/>
      <c r="W640" s="230"/>
      <c r="X640" s="230"/>
      <c r="Y640" s="230"/>
      <c r="Z640" s="230"/>
    </row>
    <row r="641">
      <c r="O641" s="230"/>
      <c r="S641" s="230"/>
      <c r="T641" s="230"/>
      <c r="U641" s="230"/>
      <c r="V641" s="230"/>
      <c r="W641" s="230"/>
      <c r="X641" s="230"/>
      <c r="Y641" s="230"/>
      <c r="Z641" s="230"/>
    </row>
    <row r="642">
      <c r="O642" s="230"/>
      <c r="S642" s="230"/>
      <c r="T642" s="230"/>
      <c r="U642" s="230"/>
      <c r="V642" s="230"/>
      <c r="W642" s="230"/>
      <c r="X642" s="230"/>
      <c r="Y642" s="230"/>
      <c r="Z642" s="230"/>
    </row>
    <row r="643">
      <c r="O643" s="230"/>
      <c r="S643" s="230"/>
      <c r="T643" s="230"/>
      <c r="U643" s="230"/>
      <c r="V643" s="230"/>
      <c r="W643" s="230"/>
      <c r="X643" s="230"/>
      <c r="Y643" s="230"/>
      <c r="Z643" s="230"/>
    </row>
    <row r="644">
      <c r="O644" s="230"/>
      <c r="S644" s="230"/>
      <c r="T644" s="230"/>
      <c r="U644" s="230"/>
      <c r="V644" s="230"/>
      <c r="W644" s="230"/>
      <c r="X644" s="230"/>
      <c r="Y644" s="230"/>
      <c r="Z644" s="230"/>
    </row>
    <row r="645">
      <c r="O645" s="230"/>
      <c r="S645" s="230"/>
      <c r="T645" s="230"/>
      <c r="U645" s="230"/>
      <c r="V645" s="230"/>
      <c r="W645" s="230"/>
      <c r="X645" s="230"/>
      <c r="Y645" s="230"/>
      <c r="Z645" s="230"/>
    </row>
    <row r="646">
      <c r="O646" s="230"/>
      <c r="S646" s="230"/>
      <c r="T646" s="230"/>
      <c r="U646" s="230"/>
      <c r="V646" s="230"/>
      <c r="W646" s="230"/>
      <c r="X646" s="230"/>
      <c r="Y646" s="230"/>
      <c r="Z646" s="230"/>
    </row>
    <row r="647">
      <c r="O647" s="230"/>
      <c r="S647" s="230"/>
      <c r="T647" s="230"/>
      <c r="U647" s="230"/>
      <c r="V647" s="230"/>
      <c r="W647" s="230"/>
      <c r="X647" s="230"/>
      <c r="Y647" s="230"/>
      <c r="Z647" s="230"/>
    </row>
    <row r="648">
      <c r="O648" s="230"/>
      <c r="S648" s="230"/>
      <c r="T648" s="230"/>
      <c r="U648" s="230"/>
      <c r="V648" s="230"/>
      <c r="W648" s="230"/>
      <c r="X648" s="230"/>
      <c r="Y648" s="230"/>
      <c r="Z648" s="230"/>
    </row>
    <row r="649">
      <c r="O649" s="230"/>
      <c r="S649" s="230"/>
      <c r="T649" s="230"/>
      <c r="U649" s="230"/>
      <c r="V649" s="230"/>
      <c r="W649" s="230"/>
      <c r="X649" s="230"/>
      <c r="Y649" s="230"/>
      <c r="Z649" s="230"/>
    </row>
    <row r="650">
      <c r="O650" s="230"/>
      <c r="S650" s="230"/>
      <c r="T650" s="230"/>
      <c r="U650" s="230"/>
      <c r="V650" s="230"/>
      <c r="W650" s="230"/>
      <c r="X650" s="230"/>
      <c r="Y650" s="230"/>
      <c r="Z650" s="230"/>
    </row>
    <row r="651">
      <c r="O651" s="230"/>
      <c r="S651" s="230"/>
      <c r="T651" s="230"/>
      <c r="U651" s="230"/>
      <c r="V651" s="230"/>
      <c r="W651" s="230"/>
      <c r="X651" s="230"/>
      <c r="Y651" s="230"/>
      <c r="Z651" s="230"/>
    </row>
    <row r="652">
      <c r="O652" s="230"/>
      <c r="S652" s="230"/>
      <c r="T652" s="230"/>
      <c r="U652" s="230"/>
      <c r="V652" s="230"/>
      <c r="W652" s="230"/>
      <c r="X652" s="230"/>
      <c r="Y652" s="230"/>
      <c r="Z652" s="230"/>
    </row>
    <row r="653">
      <c r="O653" s="230"/>
      <c r="S653" s="230"/>
      <c r="T653" s="230"/>
      <c r="U653" s="230"/>
      <c r="V653" s="230"/>
      <c r="W653" s="230"/>
      <c r="X653" s="230"/>
      <c r="Y653" s="230"/>
      <c r="Z653" s="230"/>
    </row>
    <row r="654">
      <c r="O654" s="230"/>
      <c r="S654" s="230"/>
      <c r="T654" s="230"/>
      <c r="U654" s="230"/>
      <c r="V654" s="230"/>
      <c r="W654" s="230"/>
      <c r="X654" s="230"/>
      <c r="Y654" s="230"/>
      <c r="Z654" s="230"/>
    </row>
    <row r="655">
      <c r="O655" s="230"/>
      <c r="S655" s="230"/>
      <c r="T655" s="230"/>
      <c r="U655" s="230"/>
      <c r="V655" s="230"/>
      <c r="W655" s="230"/>
      <c r="X655" s="230"/>
      <c r="Y655" s="230"/>
      <c r="Z655" s="230"/>
    </row>
    <row r="656">
      <c r="O656" s="230"/>
      <c r="S656" s="230"/>
      <c r="T656" s="230"/>
      <c r="U656" s="230"/>
      <c r="V656" s="230"/>
      <c r="W656" s="230"/>
      <c r="X656" s="230"/>
      <c r="Y656" s="230"/>
      <c r="Z656" s="230"/>
    </row>
    <row r="657">
      <c r="O657" s="230"/>
      <c r="S657" s="230"/>
      <c r="T657" s="230"/>
      <c r="U657" s="230"/>
      <c r="V657" s="230"/>
      <c r="W657" s="230"/>
      <c r="X657" s="230"/>
      <c r="Y657" s="230"/>
      <c r="Z657" s="230"/>
    </row>
    <row r="658">
      <c r="O658" s="230"/>
      <c r="S658" s="230"/>
      <c r="T658" s="230"/>
      <c r="U658" s="230"/>
      <c r="V658" s="230"/>
      <c r="W658" s="230"/>
      <c r="X658" s="230"/>
      <c r="Y658" s="230"/>
      <c r="Z658" s="230"/>
    </row>
    <row r="659">
      <c r="O659" s="230"/>
      <c r="S659" s="230"/>
      <c r="T659" s="230"/>
      <c r="U659" s="230"/>
      <c r="V659" s="230"/>
      <c r="W659" s="230"/>
      <c r="X659" s="230"/>
      <c r="Y659" s="230"/>
      <c r="Z659" s="230"/>
    </row>
    <row r="660">
      <c r="O660" s="230"/>
      <c r="S660" s="230"/>
      <c r="T660" s="230"/>
      <c r="U660" s="230"/>
      <c r="V660" s="230"/>
      <c r="W660" s="230"/>
      <c r="X660" s="230"/>
      <c r="Y660" s="230"/>
      <c r="Z660" s="230"/>
    </row>
    <row r="661">
      <c r="O661" s="230"/>
      <c r="S661" s="230"/>
      <c r="T661" s="230"/>
      <c r="U661" s="230"/>
      <c r="V661" s="230"/>
      <c r="W661" s="230"/>
      <c r="X661" s="230"/>
      <c r="Y661" s="230"/>
      <c r="Z661" s="230"/>
    </row>
    <row r="662">
      <c r="O662" s="230"/>
      <c r="S662" s="230"/>
      <c r="T662" s="230"/>
      <c r="U662" s="230"/>
      <c r="V662" s="230"/>
      <c r="W662" s="230"/>
      <c r="X662" s="230"/>
      <c r="Y662" s="230"/>
      <c r="Z662" s="230"/>
    </row>
    <row r="663">
      <c r="O663" s="230"/>
      <c r="S663" s="230"/>
      <c r="T663" s="230"/>
      <c r="U663" s="230"/>
      <c r="V663" s="230"/>
      <c r="W663" s="230"/>
      <c r="X663" s="230"/>
      <c r="Y663" s="230"/>
      <c r="Z663" s="230"/>
    </row>
    <row r="664">
      <c r="O664" s="230"/>
      <c r="S664" s="230"/>
      <c r="T664" s="230"/>
      <c r="U664" s="230"/>
      <c r="V664" s="230"/>
      <c r="W664" s="230"/>
      <c r="X664" s="230"/>
      <c r="Y664" s="230"/>
      <c r="Z664" s="230"/>
    </row>
    <row r="665">
      <c r="O665" s="230"/>
      <c r="S665" s="230"/>
      <c r="T665" s="230"/>
      <c r="U665" s="230"/>
      <c r="V665" s="230"/>
      <c r="W665" s="230"/>
      <c r="X665" s="230"/>
      <c r="Y665" s="230"/>
      <c r="Z665" s="230"/>
    </row>
    <row r="666">
      <c r="O666" s="230"/>
      <c r="S666" s="230"/>
      <c r="T666" s="230"/>
      <c r="U666" s="230"/>
      <c r="V666" s="230"/>
      <c r="W666" s="230"/>
      <c r="X666" s="230"/>
      <c r="Y666" s="230"/>
      <c r="Z666" s="230"/>
    </row>
    <row r="667">
      <c r="O667" s="230"/>
      <c r="S667" s="230"/>
      <c r="T667" s="230"/>
      <c r="U667" s="230"/>
      <c r="V667" s="230"/>
      <c r="W667" s="230"/>
      <c r="X667" s="230"/>
      <c r="Y667" s="230"/>
      <c r="Z667" s="230"/>
    </row>
    <row r="668">
      <c r="O668" s="230"/>
      <c r="S668" s="230"/>
      <c r="T668" s="230"/>
      <c r="U668" s="230"/>
      <c r="V668" s="230"/>
      <c r="W668" s="230"/>
      <c r="X668" s="230"/>
      <c r="Y668" s="230"/>
      <c r="Z668" s="230"/>
    </row>
    <row r="669">
      <c r="O669" s="230"/>
      <c r="S669" s="230"/>
      <c r="T669" s="230"/>
      <c r="U669" s="230"/>
      <c r="V669" s="230"/>
      <c r="W669" s="230"/>
      <c r="X669" s="230"/>
      <c r="Y669" s="230"/>
      <c r="Z669" s="230"/>
    </row>
    <row r="670">
      <c r="O670" s="230"/>
      <c r="S670" s="230"/>
      <c r="T670" s="230"/>
      <c r="U670" s="230"/>
      <c r="V670" s="230"/>
      <c r="W670" s="230"/>
      <c r="X670" s="230"/>
      <c r="Y670" s="230"/>
      <c r="Z670" s="230"/>
    </row>
    <row r="671">
      <c r="O671" s="230"/>
      <c r="S671" s="230"/>
      <c r="T671" s="230"/>
      <c r="U671" s="230"/>
      <c r="V671" s="230"/>
      <c r="W671" s="230"/>
      <c r="X671" s="230"/>
      <c r="Y671" s="230"/>
      <c r="Z671" s="230"/>
    </row>
    <row r="672">
      <c r="O672" s="230"/>
      <c r="S672" s="230"/>
      <c r="T672" s="230"/>
      <c r="U672" s="230"/>
      <c r="V672" s="230"/>
      <c r="W672" s="230"/>
      <c r="X672" s="230"/>
      <c r="Y672" s="230"/>
      <c r="Z672" s="230"/>
    </row>
    <row r="673">
      <c r="O673" s="230"/>
      <c r="S673" s="230"/>
      <c r="T673" s="230"/>
      <c r="U673" s="230"/>
      <c r="V673" s="230"/>
      <c r="W673" s="230"/>
      <c r="X673" s="230"/>
      <c r="Y673" s="230"/>
      <c r="Z673" s="230"/>
    </row>
    <row r="674">
      <c r="O674" s="230"/>
      <c r="S674" s="230"/>
      <c r="T674" s="230"/>
      <c r="U674" s="230"/>
      <c r="V674" s="230"/>
      <c r="W674" s="230"/>
      <c r="X674" s="230"/>
      <c r="Y674" s="230"/>
      <c r="Z674" s="230"/>
    </row>
    <row r="675">
      <c r="O675" s="230"/>
      <c r="S675" s="230"/>
      <c r="T675" s="230"/>
      <c r="U675" s="230"/>
      <c r="V675" s="230"/>
      <c r="W675" s="230"/>
      <c r="X675" s="230"/>
      <c r="Y675" s="230"/>
      <c r="Z675" s="230"/>
    </row>
    <row r="676">
      <c r="O676" s="230"/>
      <c r="S676" s="230"/>
      <c r="T676" s="230"/>
      <c r="U676" s="230"/>
      <c r="V676" s="230"/>
      <c r="W676" s="230"/>
      <c r="X676" s="230"/>
      <c r="Y676" s="230"/>
      <c r="Z676" s="230"/>
    </row>
    <row r="677">
      <c r="O677" s="230"/>
      <c r="S677" s="230"/>
      <c r="T677" s="230"/>
      <c r="U677" s="230"/>
      <c r="V677" s="230"/>
      <c r="W677" s="230"/>
      <c r="X677" s="230"/>
      <c r="Y677" s="230"/>
      <c r="Z677" s="230"/>
    </row>
    <row r="678">
      <c r="O678" s="230"/>
      <c r="S678" s="230"/>
      <c r="T678" s="230"/>
      <c r="U678" s="230"/>
      <c r="V678" s="230"/>
      <c r="W678" s="230"/>
      <c r="X678" s="230"/>
      <c r="Y678" s="230"/>
      <c r="Z678" s="230"/>
    </row>
    <row r="679">
      <c r="O679" s="230"/>
      <c r="S679" s="230"/>
      <c r="T679" s="230"/>
      <c r="U679" s="230"/>
      <c r="V679" s="230"/>
      <c r="W679" s="230"/>
      <c r="X679" s="230"/>
      <c r="Y679" s="230"/>
      <c r="Z679" s="230"/>
    </row>
    <row r="680">
      <c r="O680" s="230"/>
      <c r="S680" s="230"/>
      <c r="T680" s="230"/>
      <c r="U680" s="230"/>
      <c r="V680" s="230"/>
      <c r="W680" s="230"/>
      <c r="X680" s="230"/>
      <c r="Y680" s="230"/>
      <c r="Z680" s="230"/>
    </row>
    <row r="681">
      <c r="O681" s="230"/>
      <c r="S681" s="230"/>
      <c r="T681" s="230"/>
      <c r="U681" s="230"/>
      <c r="V681" s="230"/>
      <c r="W681" s="230"/>
      <c r="X681" s="230"/>
      <c r="Y681" s="230"/>
      <c r="Z681" s="230"/>
    </row>
    <row r="682">
      <c r="O682" s="230"/>
      <c r="S682" s="230"/>
      <c r="T682" s="230"/>
      <c r="U682" s="230"/>
      <c r="V682" s="230"/>
      <c r="W682" s="230"/>
      <c r="X682" s="230"/>
      <c r="Y682" s="230"/>
      <c r="Z682" s="230"/>
    </row>
    <row r="683">
      <c r="O683" s="230"/>
      <c r="S683" s="230"/>
      <c r="T683" s="230"/>
      <c r="U683" s="230"/>
      <c r="V683" s="230"/>
      <c r="W683" s="230"/>
      <c r="X683" s="230"/>
      <c r="Y683" s="230"/>
      <c r="Z683" s="230"/>
    </row>
    <row r="684">
      <c r="O684" s="230"/>
      <c r="S684" s="230"/>
      <c r="T684" s="230"/>
      <c r="U684" s="230"/>
      <c r="V684" s="230"/>
      <c r="W684" s="230"/>
      <c r="X684" s="230"/>
      <c r="Y684" s="230"/>
      <c r="Z684" s="230"/>
    </row>
    <row r="685">
      <c r="O685" s="230"/>
      <c r="S685" s="230"/>
      <c r="T685" s="230"/>
      <c r="U685" s="230"/>
      <c r="V685" s="230"/>
      <c r="W685" s="230"/>
      <c r="X685" s="230"/>
      <c r="Y685" s="230"/>
      <c r="Z685" s="230"/>
    </row>
    <row r="686">
      <c r="O686" s="230"/>
      <c r="S686" s="230"/>
      <c r="T686" s="230"/>
      <c r="U686" s="230"/>
      <c r="V686" s="230"/>
      <c r="W686" s="230"/>
      <c r="X686" s="230"/>
      <c r="Y686" s="230"/>
      <c r="Z686" s="230"/>
    </row>
    <row r="687">
      <c r="O687" s="230"/>
      <c r="S687" s="230"/>
      <c r="T687" s="230"/>
      <c r="U687" s="230"/>
      <c r="V687" s="230"/>
      <c r="W687" s="230"/>
      <c r="X687" s="230"/>
      <c r="Y687" s="230"/>
      <c r="Z687" s="230"/>
    </row>
    <row r="688">
      <c r="O688" s="230"/>
      <c r="S688" s="230"/>
      <c r="T688" s="230"/>
      <c r="U688" s="230"/>
      <c r="V688" s="230"/>
      <c r="W688" s="230"/>
      <c r="X688" s="230"/>
      <c r="Y688" s="230"/>
      <c r="Z688" s="230"/>
    </row>
    <row r="689">
      <c r="O689" s="230"/>
      <c r="S689" s="230"/>
      <c r="T689" s="230"/>
      <c r="U689" s="230"/>
      <c r="V689" s="230"/>
      <c r="W689" s="230"/>
      <c r="X689" s="230"/>
      <c r="Y689" s="230"/>
      <c r="Z689" s="230"/>
    </row>
    <row r="690">
      <c r="O690" s="230"/>
      <c r="S690" s="230"/>
      <c r="T690" s="230"/>
      <c r="U690" s="230"/>
      <c r="V690" s="230"/>
      <c r="W690" s="230"/>
      <c r="X690" s="230"/>
      <c r="Y690" s="230"/>
      <c r="Z690" s="230"/>
    </row>
    <row r="691">
      <c r="O691" s="230"/>
      <c r="S691" s="230"/>
      <c r="T691" s="230"/>
      <c r="U691" s="230"/>
      <c r="V691" s="230"/>
      <c r="W691" s="230"/>
      <c r="X691" s="230"/>
      <c r="Y691" s="230"/>
      <c r="Z691" s="230"/>
    </row>
    <row r="692">
      <c r="O692" s="230"/>
      <c r="S692" s="230"/>
      <c r="T692" s="230"/>
      <c r="U692" s="230"/>
      <c r="V692" s="230"/>
      <c r="W692" s="230"/>
      <c r="X692" s="230"/>
      <c r="Y692" s="230"/>
      <c r="Z692" s="230"/>
    </row>
    <row r="693">
      <c r="O693" s="230"/>
      <c r="S693" s="230"/>
      <c r="T693" s="230"/>
      <c r="U693" s="230"/>
      <c r="V693" s="230"/>
      <c r="W693" s="230"/>
      <c r="X693" s="230"/>
      <c r="Y693" s="230"/>
      <c r="Z693" s="230"/>
    </row>
    <row r="694">
      <c r="O694" s="230"/>
      <c r="S694" s="230"/>
      <c r="T694" s="230"/>
      <c r="U694" s="230"/>
      <c r="V694" s="230"/>
      <c r="W694" s="230"/>
      <c r="X694" s="230"/>
      <c r="Y694" s="230"/>
      <c r="Z694" s="230"/>
    </row>
    <row r="695">
      <c r="O695" s="230"/>
      <c r="S695" s="230"/>
      <c r="T695" s="230"/>
      <c r="U695" s="230"/>
      <c r="V695" s="230"/>
      <c r="W695" s="230"/>
      <c r="X695" s="230"/>
      <c r="Y695" s="230"/>
      <c r="Z695" s="230"/>
    </row>
    <row r="696">
      <c r="O696" s="230"/>
      <c r="S696" s="230"/>
      <c r="T696" s="230"/>
      <c r="U696" s="230"/>
      <c r="V696" s="230"/>
      <c r="W696" s="230"/>
      <c r="X696" s="230"/>
      <c r="Y696" s="230"/>
      <c r="Z696" s="230"/>
    </row>
    <row r="697">
      <c r="O697" s="230"/>
      <c r="S697" s="230"/>
      <c r="T697" s="230"/>
      <c r="U697" s="230"/>
      <c r="V697" s="230"/>
      <c r="W697" s="230"/>
      <c r="X697" s="230"/>
      <c r="Y697" s="230"/>
      <c r="Z697" s="230"/>
    </row>
    <row r="698">
      <c r="O698" s="230"/>
      <c r="S698" s="230"/>
      <c r="T698" s="230"/>
      <c r="U698" s="230"/>
      <c r="V698" s="230"/>
      <c r="W698" s="230"/>
      <c r="X698" s="230"/>
      <c r="Y698" s="230"/>
      <c r="Z698" s="230"/>
    </row>
    <row r="699">
      <c r="O699" s="230"/>
      <c r="S699" s="230"/>
      <c r="T699" s="230"/>
      <c r="U699" s="230"/>
      <c r="V699" s="230"/>
      <c r="W699" s="230"/>
      <c r="X699" s="230"/>
      <c r="Y699" s="230"/>
      <c r="Z699" s="230"/>
    </row>
    <row r="700">
      <c r="O700" s="230"/>
      <c r="S700" s="230"/>
      <c r="T700" s="230"/>
      <c r="U700" s="230"/>
      <c r="V700" s="230"/>
      <c r="W700" s="230"/>
      <c r="X700" s="230"/>
      <c r="Y700" s="230"/>
      <c r="Z700" s="230"/>
    </row>
    <row r="701">
      <c r="O701" s="230"/>
      <c r="S701" s="230"/>
      <c r="T701" s="230"/>
      <c r="U701" s="230"/>
      <c r="V701" s="230"/>
      <c r="W701" s="230"/>
      <c r="X701" s="230"/>
      <c r="Y701" s="230"/>
      <c r="Z701" s="230"/>
    </row>
    <row r="702">
      <c r="O702" s="230"/>
      <c r="S702" s="230"/>
      <c r="T702" s="230"/>
      <c r="U702" s="230"/>
      <c r="V702" s="230"/>
      <c r="W702" s="230"/>
      <c r="X702" s="230"/>
      <c r="Y702" s="230"/>
      <c r="Z702" s="230"/>
    </row>
    <row r="703">
      <c r="O703" s="230"/>
      <c r="S703" s="230"/>
      <c r="T703" s="230"/>
      <c r="U703" s="230"/>
      <c r="V703" s="230"/>
      <c r="W703" s="230"/>
      <c r="X703" s="230"/>
      <c r="Y703" s="230"/>
      <c r="Z703" s="230"/>
    </row>
    <row r="704">
      <c r="O704" s="230"/>
      <c r="S704" s="230"/>
      <c r="T704" s="230"/>
      <c r="U704" s="230"/>
      <c r="V704" s="230"/>
      <c r="W704" s="230"/>
      <c r="X704" s="230"/>
      <c r="Y704" s="230"/>
      <c r="Z704" s="230"/>
    </row>
    <row r="705">
      <c r="O705" s="230"/>
      <c r="S705" s="230"/>
      <c r="T705" s="230"/>
      <c r="U705" s="230"/>
      <c r="V705" s="230"/>
      <c r="W705" s="230"/>
      <c r="X705" s="230"/>
      <c r="Y705" s="230"/>
      <c r="Z705" s="230"/>
    </row>
    <row r="706">
      <c r="O706" s="230"/>
      <c r="S706" s="230"/>
      <c r="T706" s="230"/>
      <c r="U706" s="230"/>
      <c r="V706" s="230"/>
      <c r="W706" s="230"/>
      <c r="X706" s="230"/>
      <c r="Y706" s="230"/>
      <c r="Z706" s="230"/>
    </row>
    <row r="707">
      <c r="O707" s="230"/>
      <c r="S707" s="230"/>
      <c r="T707" s="230"/>
      <c r="U707" s="230"/>
      <c r="V707" s="230"/>
      <c r="W707" s="230"/>
      <c r="X707" s="230"/>
      <c r="Y707" s="230"/>
      <c r="Z707" s="230"/>
    </row>
    <row r="708">
      <c r="O708" s="230"/>
      <c r="S708" s="230"/>
      <c r="T708" s="230"/>
      <c r="U708" s="230"/>
      <c r="V708" s="230"/>
      <c r="W708" s="230"/>
      <c r="X708" s="230"/>
      <c r="Y708" s="230"/>
      <c r="Z708" s="230"/>
    </row>
    <row r="709">
      <c r="O709" s="230"/>
      <c r="S709" s="230"/>
      <c r="T709" s="230"/>
      <c r="U709" s="230"/>
      <c r="V709" s="230"/>
      <c r="W709" s="230"/>
      <c r="X709" s="230"/>
      <c r="Y709" s="230"/>
      <c r="Z709" s="230"/>
    </row>
    <row r="710">
      <c r="O710" s="230"/>
      <c r="S710" s="230"/>
      <c r="T710" s="230"/>
      <c r="U710" s="230"/>
      <c r="V710" s="230"/>
      <c r="W710" s="230"/>
      <c r="X710" s="230"/>
      <c r="Y710" s="230"/>
      <c r="Z710" s="230"/>
    </row>
    <row r="711">
      <c r="O711" s="230"/>
      <c r="S711" s="230"/>
      <c r="T711" s="230"/>
      <c r="U711" s="230"/>
      <c r="V711" s="230"/>
      <c r="W711" s="230"/>
      <c r="X711" s="230"/>
      <c r="Y711" s="230"/>
      <c r="Z711" s="230"/>
    </row>
    <row r="712">
      <c r="O712" s="230"/>
      <c r="S712" s="230"/>
      <c r="T712" s="230"/>
      <c r="U712" s="230"/>
      <c r="V712" s="230"/>
      <c r="W712" s="230"/>
      <c r="X712" s="230"/>
      <c r="Y712" s="230"/>
      <c r="Z712" s="230"/>
    </row>
    <row r="713">
      <c r="O713" s="230"/>
      <c r="S713" s="230"/>
      <c r="T713" s="230"/>
      <c r="U713" s="230"/>
      <c r="V713" s="230"/>
      <c r="W713" s="230"/>
      <c r="X713" s="230"/>
      <c r="Y713" s="230"/>
      <c r="Z713" s="230"/>
    </row>
    <row r="714">
      <c r="O714" s="230"/>
      <c r="S714" s="230"/>
      <c r="T714" s="230"/>
      <c r="U714" s="230"/>
      <c r="V714" s="230"/>
      <c r="W714" s="230"/>
      <c r="X714" s="230"/>
      <c r="Y714" s="230"/>
      <c r="Z714" s="230"/>
    </row>
    <row r="715">
      <c r="O715" s="230"/>
      <c r="S715" s="230"/>
      <c r="T715" s="230"/>
      <c r="U715" s="230"/>
      <c r="V715" s="230"/>
      <c r="W715" s="230"/>
      <c r="X715" s="230"/>
      <c r="Y715" s="230"/>
      <c r="Z715" s="230"/>
    </row>
    <row r="716">
      <c r="O716" s="230"/>
      <c r="S716" s="230"/>
      <c r="T716" s="230"/>
      <c r="U716" s="230"/>
      <c r="V716" s="230"/>
      <c r="W716" s="230"/>
      <c r="X716" s="230"/>
      <c r="Y716" s="230"/>
      <c r="Z716" s="230"/>
    </row>
    <row r="717">
      <c r="O717" s="230"/>
      <c r="S717" s="230"/>
      <c r="T717" s="230"/>
      <c r="U717" s="230"/>
      <c r="V717" s="230"/>
      <c r="W717" s="230"/>
      <c r="X717" s="230"/>
      <c r="Y717" s="230"/>
      <c r="Z717" s="230"/>
    </row>
    <row r="718">
      <c r="O718" s="230"/>
      <c r="S718" s="230"/>
      <c r="T718" s="230"/>
      <c r="U718" s="230"/>
      <c r="V718" s="230"/>
      <c r="W718" s="230"/>
      <c r="X718" s="230"/>
      <c r="Y718" s="230"/>
      <c r="Z718" s="230"/>
    </row>
    <row r="719">
      <c r="O719" s="230"/>
      <c r="S719" s="230"/>
      <c r="T719" s="230"/>
      <c r="U719" s="230"/>
      <c r="V719" s="230"/>
      <c r="W719" s="230"/>
      <c r="X719" s="230"/>
      <c r="Y719" s="230"/>
      <c r="Z719" s="230"/>
    </row>
    <row r="720">
      <c r="O720" s="230"/>
      <c r="S720" s="230"/>
      <c r="T720" s="230"/>
      <c r="U720" s="230"/>
      <c r="V720" s="230"/>
      <c r="W720" s="230"/>
      <c r="X720" s="230"/>
      <c r="Y720" s="230"/>
      <c r="Z720" s="230"/>
    </row>
    <row r="721">
      <c r="O721" s="230"/>
      <c r="S721" s="230"/>
      <c r="T721" s="230"/>
      <c r="U721" s="230"/>
      <c r="V721" s="230"/>
      <c r="W721" s="230"/>
      <c r="X721" s="230"/>
      <c r="Y721" s="230"/>
      <c r="Z721" s="230"/>
    </row>
    <row r="722">
      <c r="O722" s="230"/>
      <c r="S722" s="230"/>
      <c r="T722" s="230"/>
      <c r="U722" s="230"/>
      <c r="V722" s="230"/>
      <c r="W722" s="230"/>
      <c r="X722" s="230"/>
      <c r="Y722" s="230"/>
      <c r="Z722" s="230"/>
    </row>
    <row r="723">
      <c r="O723" s="230"/>
      <c r="S723" s="230"/>
      <c r="T723" s="230"/>
      <c r="U723" s="230"/>
      <c r="V723" s="230"/>
      <c r="W723" s="230"/>
      <c r="X723" s="230"/>
      <c r="Y723" s="230"/>
      <c r="Z723" s="230"/>
    </row>
    <row r="724">
      <c r="O724" s="230"/>
      <c r="S724" s="230"/>
      <c r="T724" s="230"/>
      <c r="U724" s="230"/>
      <c r="V724" s="230"/>
      <c r="W724" s="230"/>
      <c r="X724" s="230"/>
      <c r="Y724" s="230"/>
      <c r="Z724" s="230"/>
    </row>
    <row r="725">
      <c r="O725" s="230"/>
      <c r="S725" s="230"/>
      <c r="T725" s="230"/>
      <c r="U725" s="230"/>
      <c r="V725" s="230"/>
      <c r="W725" s="230"/>
      <c r="X725" s="230"/>
      <c r="Y725" s="230"/>
      <c r="Z725" s="230"/>
    </row>
    <row r="726">
      <c r="O726" s="230"/>
      <c r="S726" s="230"/>
      <c r="T726" s="230"/>
      <c r="U726" s="230"/>
      <c r="V726" s="230"/>
      <c r="W726" s="230"/>
      <c r="X726" s="230"/>
      <c r="Y726" s="230"/>
      <c r="Z726" s="230"/>
    </row>
    <row r="727">
      <c r="O727" s="230"/>
      <c r="S727" s="230"/>
      <c r="T727" s="230"/>
      <c r="U727" s="230"/>
      <c r="V727" s="230"/>
      <c r="W727" s="230"/>
      <c r="X727" s="230"/>
      <c r="Y727" s="230"/>
      <c r="Z727" s="230"/>
    </row>
    <row r="728">
      <c r="O728" s="230"/>
      <c r="S728" s="230"/>
      <c r="T728" s="230"/>
      <c r="U728" s="230"/>
      <c r="V728" s="230"/>
      <c r="W728" s="230"/>
      <c r="X728" s="230"/>
      <c r="Y728" s="230"/>
      <c r="Z728" s="230"/>
    </row>
    <row r="729">
      <c r="O729" s="230"/>
      <c r="S729" s="230"/>
      <c r="T729" s="230"/>
      <c r="U729" s="230"/>
      <c r="V729" s="230"/>
      <c r="W729" s="230"/>
      <c r="X729" s="230"/>
      <c r="Y729" s="230"/>
      <c r="Z729" s="230"/>
    </row>
    <row r="730">
      <c r="O730" s="230"/>
      <c r="S730" s="230"/>
      <c r="T730" s="230"/>
      <c r="U730" s="230"/>
      <c r="V730" s="230"/>
      <c r="W730" s="230"/>
      <c r="X730" s="230"/>
      <c r="Y730" s="230"/>
      <c r="Z730" s="230"/>
    </row>
    <row r="731">
      <c r="O731" s="230"/>
      <c r="S731" s="230"/>
      <c r="T731" s="230"/>
      <c r="U731" s="230"/>
      <c r="V731" s="230"/>
      <c r="W731" s="230"/>
      <c r="X731" s="230"/>
      <c r="Y731" s="230"/>
      <c r="Z731" s="230"/>
    </row>
    <row r="732">
      <c r="O732" s="230"/>
      <c r="S732" s="230"/>
      <c r="T732" s="230"/>
      <c r="U732" s="230"/>
      <c r="V732" s="230"/>
      <c r="W732" s="230"/>
      <c r="X732" s="230"/>
      <c r="Y732" s="230"/>
      <c r="Z732" s="230"/>
    </row>
    <row r="733">
      <c r="O733" s="230"/>
      <c r="S733" s="230"/>
      <c r="T733" s="230"/>
      <c r="U733" s="230"/>
      <c r="V733" s="230"/>
      <c r="W733" s="230"/>
      <c r="X733" s="230"/>
      <c r="Y733" s="230"/>
      <c r="Z733" s="230"/>
    </row>
    <row r="734">
      <c r="O734" s="230"/>
      <c r="S734" s="230"/>
      <c r="T734" s="230"/>
      <c r="U734" s="230"/>
      <c r="V734" s="230"/>
      <c r="W734" s="230"/>
      <c r="X734" s="230"/>
      <c r="Y734" s="230"/>
      <c r="Z734" s="230"/>
    </row>
    <row r="735">
      <c r="O735" s="230"/>
      <c r="S735" s="230"/>
      <c r="T735" s="230"/>
      <c r="U735" s="230"/>
      <c r="V735" s="230"/>
      <c r="W735" s="230"/>
      <c r="X735" s="230"/>
      <c r="Y735" s="230"/>
      <c r="Z735" s="230"/>
    </row>
    <row r="736">
      <c r="O736" s="230"/>
      <c r="S736" s="230"/>
      <c r="T736" s="230"/>
      <c r="U736" s="230"/>
      <c r="V736" s="230"/>
      <c r="W736" s="230"/>
      <c r="X736" s="230"/>
      <c r="Y736" s="230"/>
      <c r="Z736" s="230"/>
    </row>
    <row r="737">
      <c r="O737" s="230"/>
      <c r="S737" s="230"/>
      <c r="T737" s="230"/>
      <c r="U737" s="230"/>
      <c r="V737" s="230"/>
      <c r="W737" s="230"/>
      <c r="X737" s="230"/>
      <c r="Y737" s="230"/>
      <c r="Z737" s="230"/>
    </row>
    <row r="738">
      <c r="O738" s="230"/>
      <c r="S738" s="230"/>
      <c r="T738" s="230"/>
      <c r="U738" s="230"/>
      <c r="V738" s="230"/>
      <c r="W738" s="230"/>
      <c r="X738" s="230"/>
      <c r="Y738" s="230"/>
      <c r="Z738" s="230"/>
    </row>
    <row r="739">
      <c r="O739" s="230"/>
      <c r="S739" s="230"/>
      <c r="T739" s="230"/>
      <c r="U739" s="230"/>
      <c r="V739" s="230"/>
      <c r="W739" s="230"/>
      <c r="X739" s="230"/>
      <c r="Y739" s="230"/>
      <c r="Z739" s="230"/>
    </row>
    <row r="740">
      <c r="O740" s="230"/>
      <c r="S740" s="230"/>
      <c r="T740" s="230"/>
      <c r="U740" s="230"/>
      <c r="V740" s="230"/>
      <c r="W740" s="230"/>
      <c r="X740" s="230"/>
      <c r="Y740" s="230"/>
      <c r="Z740" s="230"/>
    </row>
    <row r="741">
      <c r="O741" s="230"/>
      <c r="S741" s="230"/>
      <c r="T741" s="230"/>
      <c r="U741" s="230"/>
      <c r="V741" s="230"/>
      <c r="W741" s="230"/>
      <c r="X741" s="230"/>
      <c r="Y741" s="230"/>
      <c r="Z741" s="230"/>
    </row>
    <row r="742">
      <c r="O742" s="230"/>
      <c r="S742" s="230"/>
      <c r="T742" s="230"/>
      <c r="U742" s="230"/>
      <c r="V742" s="230"/>
      <c r="W742" s="230"/>
      <c r="X742" s="230"/>
      <c r="Y742" s="230"/>
      <c r="Z742" s="230"/>
    </row>
    <row r="743">
      <c r="O743" s="230"/>
      <c r="S743" s="230"/>
      <c r="T743" s="230"/>
      <c r="U743" s="230"/>
      <c r="V743" s="230"/>
      <c r="W743" s="230"/>
      <c r="X743" s="230"/>
      <c r="Y743" s="230"/>
      <c r="Z743" s="230"/>
    </row>
    <row r="744">
      <c r="O744" s="230"/>
      <c r="S744" s="230"/>
      <c r="T744" s="230"/>
      <c r="U744" s="230"/>
      <c r="V744" s="230"/>
      <c r="W744" s="230"/>
      <c r="X744" s="230"/>
      <c r="Y744" s="230"/>
      <c r="Z744" s="230"/>
    </row>
    <row r="745">
      <c r="O745" s="230"/>
      <c r="S745" s="230"/>
      <c r="T745" s="230"/>
      <c r="U745" s="230"/>
      <c r="V745" s="230"/>
      <c r="W745" s="230"/>
      <c r="X745" s="230"/>
      <c r="Y745" s="230"/>
      <c r="Z745" s="230"/>
    </row>
    <row r="746">
      <c r="O746" s="230"/>
      <c r="S746" s="230"/>
      <c r="T746" s="230"/>
      <c r="U746" s="230"/>
      <c r="V746" s="230"/>
      <c r="W746" s="230"/>
      <c r="X746" s="230"/>
      <c r="Y746" s="230"/>
      <c r="Z746" s="230"/>
    </row>
    <row r="747">
      <c r="O747" s="230"/>
      <c r="S747" s="230"/>
      <c r="T747" s="230"/>
      <c r="U747" s="230"/>
      <c r="V747" s="230"/>
      <c r="W747" s="230"/>
      <c r="X747" s="230"/>
      <c r="Y747" s="230"/>
      <c r="Z747" s="230"/>
    </row>
    <row r="748">
      <c r="O748" s="230"/>
      <c r="S748" s="230"/>
      <c r="T748" s="230"/>
      <c r="U748" s="230"/>
      <c r="V748" s="230"/>
      <c r="W748" s="230"/>
      <c r="X748" s="230"/>
      <c r="Y748" s="230"/>
      <c r="Z748" s="230"/>
    </row>
    <row r="749">
      <c r="O749" s="230"/>
      <c r="S749" s="230"/>
      <c r="T749" s="230"/>
      <c r="U749" s="230"/>
      <c r="V749" s="230"/>
      <c r="W749" s="230"/>
      <c r="X749" s="230"/>
      <c r="Y749" s="230"/>
      <c r="Z749" s="230"/>
    </row>
    <row r="750">
      <c r="O750" s="230"/>
      <c r="S750" s="230"/>
      <c r="T750" s="230"/>
      <c r="U750" s="230"/>
      <c r="V750" s="230"/>
      <c r="W750" s="230"/>
      <c r="X750" s="230"/>
      <c r="Y750" s="230"/>
      <c r="Z750" s="230"/>
    </row>
    <row r="751">
      <c r="O751" s="230"/>
      <c r="S751" s="230"/>
      <c r="T751" s="230"/>
      <c r="U751" s="230"/>
      <c r="V751" s="230"/>
      <c r="W751" s="230"/>
      <c r="X751" s="230"/>
      <c r="Y751" s="230"/>
      <c r="Z751" s="230"/>
    </row>
    <row r="752">
      <c r="O752" s="230"/>
      <c r="S752" s="230"/>
      <c r="T752" s="230"/>
      <c r="U752" s="230"/>
      <c r="V752" s="230"/>
      <c r="W752" s="230"/>
      <c r="X752" s="230"/>
      <c r="Y752" s="230"/>
      <c r="Z752" s="230"/>
    </row>
    <row r="753">
      <c r="O753" s="230"/>
      <c r="S753" s="230"/>
      <c r="T753" s="230"/>
      <c r="U753" s="230"/>
      <c r="V753" s="230"/>
      <c r="W753" s="230"/>
      <c r="X753" s="230"/>
      <c r="Y753" s="230"/>
      <c r="Z753" s="230"/>
    </row>
    <row r="754">
      <c r="O754" s="230"/>
      <c r="S754" s="230"/>
      <c r="T754" s="230"/>
      <c r="U754" s="230"/>
      <c r="V754" s="230"/>
      <c r="W754" s="230"/>
      <c r="X754" s="230"/>
      <c r="Y754" s="230"/>
      <c r="Z754" s="230"/>
    </row>
    <row r="755">
      <c r="O755" s="230"/>
      <c r="S755" s="230"/>
      <c r="T755" s="230"/>
      <c r="U755" s="230"/>
      <c r="V755" s="230"/>
      <c r="W755" s="230"/>
      <c r="X755" s="230"/>
      <c r="Y755" s="230"/>
      <c r="Z755" s="230"/>
    </row>
    <row r="756">
      <c r="O756" s="230"/>
      <c r="S756" s="230"/>
      <c r="T756" s="230"/>
      <c r="U756" s="230"/>
      <c r="V756" s="230"/>
      <c r="W756" s="230"/>
      <c r="X756" s="230"/>
      <c r="Y756" s="230"/>
      <c r="Z756" s="230"/>
    </row>
    <row r="757">
      <c r="O757" s="230"/>
      <c r="S757" s="230"/>
      <c r="T757" s="230"/>
      <c r="U757" s="230"/>
      <c r="V757" s="230"/>
      <c r="W757" s="230"/>
      <c r="X757" s="230"/>
      <c r="Y757" s="230"/>
      <c r="Z757" s="230"/>
    </row>
    <row r="758">
      <c r="O758" s="230"/>
      <c r="S758" s="230"/>
      <c r="T758" s="230"/>
      <c r="U758" s="230"/>
      <c r="V758" s="230"/>
      <c r="W758" s="230"/>
      <c r="X758" s="230"/>
      <c r="Y758" s="230"/>
      <c r="Z758" s="230"/>
    </row>
    <row r="759">
      <c r="O759" s="230"/>
      <c r="S759" s="230"/>
      <c r="T759" s="230"/>
      <c r="U759" s="230"/>
      <c r="V759" s="230"/>
      <c r="W759" s="230"/>
      <c r="X759" s="230"/>
      <c r="Y759" s="230"/>
      <c r="Z759" s="230"/>
    </row>
    <row r="760">
      <c r="O760" s="230"/>
      <c r="S760" s="230"/>
      <c r="T760" s="230"/>
      <c r="U760" s="230"/>
      <c r="V760" s="230"/>
      <c r="W760" s="230"/>
      <c r="X760" s="230"/>
      <c r="Y760" s="230"/>
      <c r="Z760" s="230"/>
    </row>
    <row r="761">
      <c r="O761" s="230"/>
      <c r="S761" s="230"/>
      <c r="T761" s="230"/>
      <c r="U761" s="230"/>
      <c r="V761" s="230"/>
      <c r="W761" s="230"/>
      <c r="X761" s="230"/>
      <c r="Y761" s="230"/>
      <c r="Z761" s="230"/>
    </row>
    <row r="762">
      <c r="O762" s="230"/>
      <c r="S762" s="230"/>
      <c r="T762" s="230"/>
      <c r="U762" s="230"/>
      <c r="V762" s="230"/>
      <c r="W762" s="230"/>
      <c r="X762" s="230"/>
      <c r="Y762" s="230"/>
      <c r="Z762" s="230"/>
    </row>
    <row r="763">
      <c r="O763" s="230"/>
      <c r="S763" s="230"/>
      <c r="T763" s="230"/>
      <c r="U763" s="230"/>
      <c r="V763" s="230"/>
      <c r="W763" s="230"/>
      <c r="X763" s="230"/>
      <c r="Y763" s="230"/>
      <c r="Z763" s="230"/>
    </row>
    <row r="764">
      <c r="O764" s="230"/>
      <c r="S764" s="230"/>
      <c r="T764" s="230"/>
      <c r="U764" s="230"/>
      <c r="V764" s="230"/>
      <c r="W764" s="230"/>
      <c r="X764" s="230"/>
      <c r="Y764" s="230"/>
      <c r="Z764" s="230"/>
    </row>
    <row r="765">
      <c r="O765" s="230"/>
      <c r="S765" s="230"/>
      <c r="T765" s="230"/>
      <c r="U765" s="230"/>
      <c r="V765" s="230"/>
      <c r="W765" s="230"/>
      <c r="X765" s="230"/>
      <c r="Y765" s="230"/>
      <c r="Z765" s="230"/>
    </row>
    <row r="766">
      <c r="O766" s="230"/>
      <c r="S766" s="230"/>
      <c r="T766" s="230"/>
      <c r="U766" s="230"/>
      <c r="V766" s="230"/>
      <c r="W766" s="230"/>
      <c r="X766" s="230"/>
      <c r="Y766" s="230"/>
      <c r="Z766" s="230"/>
    </row>
    <row r="767">
      <c r="O767" s="230"/>
      <c r="S767" s="230"/>
      <c r="T767" s="230"/>
      <c r="U767" s="230"/>
      <c r="V767" s="230"/>
      <c r="W767" s="230"/>
      <c r="X767" s="230"/>
      <c r="Y767" s="230"/>
      <c r="Z767" s="230"/>
    </row>
    <row r="768">
      <c r="O768" s="230"/>
      <c r="S768" s="230"/>
      <c r="T768" s="230"/>
      <c r="U768" s="230"/>
      <c r="V768" s="230"/>
      <c r="W768" s="230"/>
      <c r="X768" s="230"/>
      <c r="Y768" s="230"/>
      <c r="Z768" s="230"/>
    </row>
    <row r="769">
      <c r="O769" s="230"/>
      <c r="S769" s="230"/>
      <c r="T769" s="230"/>
      <c r="U769" s="230"/>
      <c r="V769" s="230"/>
      <c r="W769" s="230"/>
      <c r="X769" s="230"/>
      <c r="Y769" s="230"/>
      <c r="Z769" s="230"/>
    </row>
    <row r="770">
      <c r="O770" s="230"/>
      <c r="S770" s="230"/>
      <c r="T770" s="230"/>
      <c r="U770" s="230"/>
      <c r="V770" s="230"/>
      <c r="W770" s="230"/>
      <c r="X770" s="230"/>
      <c r="Y770" s="230"/>
      <c r="Z770" s="230"/>
    </row>
    <row r="771">
      <c r="O771" s="230"/>
      <c r="S771" s="230"/>
      <c r="T771" s="230"/>
      <c r="U771" s="230"/>
      <c r="V771" s="230"/>
      <c r="W771" s="230"/>
      <c r="X771" s="230"/>
      <c r="Y771" s="230"/>
      <c r="Z771" s="230"/>
    </row>
    <row r="772">
      <c r="O772" s="230"/>
      <c r="S772" s="230"/>
      <c r="T772" s="230"/>
      <c r="U772" s="230"/>
      <c r="V772" s="230"/>
      <c r="W772" s="230"/>
      <c r="X772" s="230"/>
      <c r="Y772" s="230"/>
      <c r="Z772" s="230"/>
    </row>
    <row r="773">
      <c r="O773" s="230"/>
      <c r="S773" s="230"/>
      <c r="T773" s="230"/>
      <c r="U773" s="230"/>
      <c r="V773" s="230"/>
      <c r="W773" s="230"/>
      <c r="X773" s="230"/>
      <c r="Y773" s="230"/>
      <c r="Z773" s="230"/>
    </row>
    <row r="774">
      <c r="O774" s="230"/>
      <c r="S774" s="230"/>
      <c r="T774" s="230"/>
      <c r="U774" s="230"/>
      <c r="V774" s="230"/>
      <c r="W774" s="230"/>
      <c r="X774" s="230"/>
      <c r="Y774" s="230"/>
      <c r="Z774" s="230"/>
    </row>
    <row r="775">
      <c r="O775" s="230"/>
      <c r="S775" s="230"/>
      <c r="T775" s="230"/>
      <c r="U775" s="230"/>
      <c r="V775" s="230"/>
      <c r="W775" s="230"/>
      <c r="X775" s="230"/>
      <c r="Y775" s="230"/>
      <c r="Z775" s="230"/>
    </row>
    <row r="776">
      <c r="O776" s="230"/>
      <c r="S776" s="230"/>
      <c r="T776" s="230"/>
      <c r="U776" s="230"/>
      <c r="V776" s="230"/>
      <c r="W776" s="230"/>
      <c r="X776" s="230"/>
      <c r="Y776" s="230"/>
      <c r="Z776" s="230"/>
    </row>
    <row r="777">
      <c r="O777" s="230"/>
      <c r="S777" s="230"/>
      <c r="T777" s="230"/>
      <c r="U777" s="230"/>
      <c r="V777" s="230"/>
      <c r="W777" s="230"/>
      <c r="X777" s="230"/>
      <c r="Y777" s="230"/>
      <c r="Z777" s="230"/>
    </row>
    <row r="778">
      <c r="O778" s="230"/>
      <c r="S778" s="230"/>
      <c r="T778" s="230"/>
      <c r="U778" s="230"/>
      <c r="V778" s="230"/>
      <c r="W778" s="230"/>
      <c r="X778" s="230"/>
      <c r="Y778" s="230"/>
      <c r="Z778" s="230"/>
    </row>
    <row r="779">
      <c r="O779" s="230"/>
      <c r="S779" s="230"/>
      <c r="T779" s="230"/>
      <c r="U779" s="230"/>
      <c r="V779" s="230"/>
      <c r="W779" s="230"/>
      <c r="X779" s="230"/>
      <c r="Y779" s="230"/>
      <c r="Z779" s="230"/>
    </row>
    <row r="780">
      <c r="O780" s="230"/>
      <c r="S780" s="230"/>
      <c r="T780" s="230"/>
      <c r="U780" s="230"/>
      <c r="V780" s="230"/>
      <c r="W780" s="230"/>
      <c r="X780" s="230"/>
      <c r="Y780" s="230"/>
      <c r="Z780" s="230"/>
    </row>
    <row r="781">
      <c r="O781" s="230"/>
      <c r="S781" s="230"/>
      <c r="T781" s="230"/>
      <c r="U781" s="230"/>
      <c r="V781" s="230"/>
      <c r="W781" s="230"/>
      <c r="X781" s="230"/>
      <c r="Y781" s="230"/>
      <c r="Z781" s="230"/>
    </row>
    <row r="782">
      <c r="O782" s="230"/>
      <c r="S782" s="230"/>
      <c r="T782" s="230"/>
      <c r="U782" s="230"/>
      <c r="V782" s="230"/>
      <c r="W782" s="230"/>
      <c r="X782" s="230"/>
      <c r="Y782" s="230"/>
      <c r="Z782" s="230"/>
    </row>
    <row r="783">
      <c r="O783" s="230"/>
      <c r="S783" s="230"/>
      <c r="T783" s="230"/>
      <c r="U783" s="230"/>
      <c r="V783" s="230"/>
      <c r="W783" s="230"/>
      <c r="X783" s="230"/>
      <c r="Y783" s="230"/>
      <c r="Z783" s="230"/>
    </row>
    <row r="784">
      <c r="O784" s="230"/>
      <c r="S784" s="230"/>
      <c r="T784" s="230"/>
      <c r="U784" s="230"/>
      <c r="V784" s="230"/>
      <c r="W784" s="230"/>
      <c r="X784" s="230"/>
      <c r="Y784" s="230"/>
      <c r="Z784" s="230"/>
    </row>
    <row r="785">
      <c r="O785" s="230"/>
      <c r="S785" s="230"/>
      <c r="T785" s="230"/>
      <c r="U785" s="230"/>
      <c r="V785" s="230"/>
      <c r="W785" s="230"/>
      <c r="X785" s="230"/>
      <c r="Y785" s="230"/>
      <c r="Z785" s="230"/>
    </row>
    <row r="786">
      <c r="O786" s="230"/>
      <c r="S786" s="230"/>
      <c r="T786" s="230"/>
      <c r="U786" s="230"/>
      <c r="V786" s="230"/>
      <c r="W786" s="230"/>
      <c r="X786" s="230"/>
      <c r="Y786" s="230"/>
      <c r="Z786" s="230"/>
    </row>
    <row r="787">
      <c r="O787" s="230"/>
      <c r="S787" s="230"/>
      <c r="T787" s="230"/>
      <c r="U787" s="230"/>
      <c r="V787" s="230"/>
      <c r="W787" s="230"/>
      <c r="X787" s="230"/>
      <c r="Y787" s="230"/>
      <c r="Z787" s="230"/>
    </row>
    <row r="788">
      <c r="O788" s="230"/>
      <c r="S788" s="230"/>
      <c r="T788" s="230"/>
      <c r="U788" s="230"/>
      <c r="V788" s="230"/>
      <c r="W788" s="230"/>
      <c r="X788" s="230"/>
      <c r="Y788" s="230"/>
      <c r="Z788" s="230"/>
    </row>
    <row r="789">
      <c r="O789" s="230"/>
      <c r="S789" s="230"/>
      <c r="T789" s="230"/>
      <c r="U789" s="230"/>
      <c r="V789" s="230"/>
      <c r="W789" s="230"/>
      <c r="X789" s="230"/>
      <c r="Y789" s="230"/>
      <c r="Z789" s="230"/>
    </row>
    <row r="790">
      <c r="O790" s="230"/>
      <c r="S790" s="230"/>
      <c r="T790" s="230"/>
      <c r="U790" s="230"/>
      <c r="V790" s="230"/>
      <c r="W790" s="230"/>
      <c r="X790" s="230"/>
      <c r="Y790" s="230"/>
      <c r="Z790" s="230"/>
    </row>
    <row r="791">
      <c r="O791" s="230"/>
      <c r="S791" s="230"/>
      <c r="T791" s="230"/>
      <c r="U791" s="230"/>
      <c r="V791" s="230"/>
      <c r="W791" s="230"/>
      <c r="X791" s="230"/>
      <c r="Y791" s="230"/>
      <c r="Z791" s="230"/>
    </row>
    <row r="792">
      <c r="O792" s="230"/>
      <c r="S792" s="230"/>
      <c r="T792" s="230"/>
      <c r="U792" s="230"/>
      <c r="V792" s="230"/>
      <c r="W792" s="230"/>
      <c r="X792" s="230"/>
      <c r="Y792" s="230"/>
      <c r="Z792" s="230"/>
    </row>
    <row r="793">
      <c r="O793" s="230"/>
      <c r="S793" s="230"/>
      <c r="T793" s="230"/>
      <c r="U793" s="230"/>
      <c r="V793" s="230"/>
      <c r="W793" s="230"/>
      <c r="X793" s="230"/>
      <c r="Y793" s="230"/>
      <c r="Z793" s="230"/>
    </row>
    <row r="794">
      <c r="O794" s="230"/>
      <c r="S794" s="230"/>
      <c r="T794" s="230"/>
      <c r="U794" s="230"/>
      <c r="V794" s="230"/>
      <c r="W794" s="230"/>
      <c r="X794" s="230"/>
      <c r="Y794" s="230"/>
      <c r="Z794" s="230"/>
    </row>
    <row r="795">
      <c r="O795" s="230"/>
      <c r="S795" s="230"/>
      <c r="T795" s="230"/>
      <c r="U795" s="230"/>
      <c r="V795" s="230"/>
      <c r="W795" s="230"/>
      <c r="X795" s="230"/>
      <c r="Y795" s="230"/>
      <c r="Z795" s="230"/>
    </row>
    <row r="796">
      <c r="O796" s="230"/>
      <c r="S796" s="230"/>
      <c r="T796" s="230"/>
      <c r="U796" s="230"/>
      <c r="V796" s="230"/>
      <c r="W796" s="230"/>
      <c r="X796" s="230"/>
      <c r="Y796" s="230"/>
      <c r="Z796" s="230"/>
    </row>
    <row r="797">
      <c r="O797" s="230"/>
      <c r="S797" s="230"/>
      <c r="T797" s="230"/>
      <c r="U797" s="230"/>
      <c r="V797" s="230"/>
      <c r="W797" s="230"/>
      <c r="X797" s="230"/>
      <c r="Y797" s="230"/>
      <c r="Z797" s="230"/>
    </row>
    <row r="798">
      <c r="O798" s="230"/>
      <c r="S798" s="230"/>
      <c r="T798" s="230"/>
      <c r="U798" s="230"/>
      <c r="V798" s="230"/>
      <c r="W798" s="230"/>
      <c r="X798" s="230"/>
      <c r="Y798" s="230"/>
      <c r="Z798" s="230"/>
    </row>
    <row r="799">
      <c r="O799" s="230"/>
      <c r="S799" s="230"/>
      <c r="T799" s="230"/>
      <c r="U799" s="230"/>
      <c r="V799" s="230"/>
      <c r="W799" s="230"/>
      <c r="X799" s="230"/>
      <c r="Y799" s="230"/>
      <c r="Z799" s="230"/>
    </row>
    <row r="800">
      <c r="O800" s="230"/>
      <c r="S800" s="230"/>
      <c r="T800" s="230"/>
      <c r="U800" s="230"/>
      <c r="V800" s="230"/>
      <c r="W800" s="230"/>
      <c r="X800" s="230"/>
      <c r="Y800" s="230"/>
      <c r="Z800" s="230"/>
    </row>
    <row r="801">
      <c r="O801" s="230"/>
      <c r="S801" s="230"/>
      <c r="T801" s="230"/>
      <c r="U801" s="230"/>
      <c r="V801" s="230"/>
      <c r="W801" s="230"/>
      <c r="X801" s="230"/>
      <c r="Y801" s="230"/>
      <c r="Z801" s="230"/>
    </row>
    <row r="802">
      <c r="O802" s="230"/>
      <c r="S802" s="230"/>
      <c r="T802" s="230"/>
      <c r="U802" s="230"/>
      <c r="V802" s="230"/>
      <c r="W802" s="230"/>
      <c r="X802" s="230"/>
      <c r="Y802" s="230"/>
      <c r="Z802" s="230"/>
    </row>
    <row r="803">
      <c r="O803" s="230"/>
      <c r="S803" s="230"/>
      <c r="T803" s="230"/>
      <c r="U803" s="230"/>
      <c r="V803" s="230"/>
      <c r="W803" s="230"/>
      <c r="X803" s="230"/>
      <c r="Y803" s="230"/>
      <c r="Z803" s="230"/>
    </row>
    <row r="804">
      <c r="O804" s="230"/>
      <c r="S804" s="230"/>
      <c r="T804" s="230"/>
      <c r="U804" s="230"/>
      <c r="V804" s="230"/>
      <c r="W804" s="230"/>
      <c r="X804" s="230"/>
      <c r="Y804" s="230"/>
      <c r="Z804" s="230"/>
    </row>
    <row r="805">
      <c r="O805" s="230"/>
      <c r="S805" s="230"/>
      <c r="T805" s="230"/>
      <c r="U805" s="230"/>
      <c r="V805" s="230"/>
      <c r="W805" s="230"/>
      <c r="X805" s="230"/>
      <c r="Y805" s="230"/>
      <c r="Z805" s="230"/>
    </row>
    <row r="806">
      <c r="O806" s="230"/>
      <c r="S806" s="230"/>
      <c r="T806" s="230"/>
      <c r="U806" s="230"/>
      <c r="V806" s="230"/>
      <c r="W806" s="230"/>
      <c r="X806" s="230"/>
      <c r="Y806" s="230"/>
      <c r="Z806" s="230"/>
    </row>
    <row r="807">
      <c r="O807" s="230"/>
      <c r="S807" s="230"/>
      <c r="T807" s="230"/>
      <c r="U807" s="230"/>
      <c r="V807" s="230"/>
      <c r="W807" s="230"/>
      <c r="X807" s="230"/>
      <c r="Y807" s="230"/>
      <c r="Z807" s="230"/>
    </row>
    <row r="808">
      <c r="O808" s="230"/>
      <c r="S808" s="230"/>
      <c r="T808" s="230"/>
      <c r="U808" s="230"/>
      <c r="V808" s="230"/>
      <c r="W808" s="230"/>
      <c r="X808" s="230"/>
      <c r="Y808" s="230"/>
      <c r="Z808" s="230"/>
    </row>
    <row r="809">
      <c r="O809" s="230"/>
      <c r="S809" s="230"/>
      <c r="T809" s="230"/>
      <c r="U809" s="230"/>
      <c r="V809" s="230"/>
      <c r="W809" s="230"/>
      <c r="X809" s="230"/>
      <c r="Y809" s="230"/>
      <c r="Z809" s="230"/>
    </row>
    <row r="810">
      <c r="O810" s="230"/>
      <c r="S810" s="230"/>
      <c r="T810" s="230"/>
      <c r="U810" s="230"/>
      <c r="V810" s="230"/>
      <c r="W810" s="230"/>
      <c r="X810" s="230"/>
      <c r="Y810" s="230"/>
      <c r="Z810" s="230"/>
    </row>
    <row r="811">
      <c r="O811" s="230"/>
      <c r="S811" s="230"/>
      <c r="T811" s="230"/>
      <c r="U811" s="230"/>
      <c r="V811" s="230"/>
      <c r="W811" s="230"/>
      <c r="X811" s="230"/>
      <c r="Y811" s="230"/>
      <c r="Z811" s="230"/>
    </row>
    <row r="812">
      <c r="O812" s="230"/>
      <c r="S812" s="230"/>
      <c r="T812" s="230"/>
      <c r="U812" s="230"/>
      <c r="V812" s="230"/>
      <c r="W812" s="230"/>
      <c r="X812" s="230"/>
      <c r="Y812" s="230"/>
      <c r="Z812" s="230"/>
    </row>
    <row r="813">
      <c r="O813" s="230"/>
      <c r="S813" s="230"/>
      <c r="T813" s="230"/>
      <c r="U813" s="230"/>
      <c r="V813" s="230"/>
      <c r="W813" s="230"/>
      <c r="X813" s="230"/>
      <c r="Y813" s="230"/>
      <c r="Z813" s="230"/>
    </row>
    <row r="814">
      <c r="O814" s="230"/>
      <c r="S814" s="230"/>
      <c r="T814" s="230"/>
      <c r="U814" s="230"/>
      <c r="V814" s="230"/>
      <c r="W814" s="230"/>
      <c r="X814" s="230"/>
      <c r="Y814" s="230"/>
      <c r="Z814" s="230"/>
    </row>
    <row r="815">
      <c r="O815" s="230"/>
      <c r="S815" s="230"/>
      <c r="T815" s="230"/>
      <c r="U815" s="230"/>
      <c r="V815" s="230"/>
      <c r="W815" s="230"/>
      <c r="X815" s="230"/>
      <c r="Y815" s="230"/>
      <c r="Z815" s="230"/>
    </row>
    <row r="816">
      <c r="O816" s="230"/>
      <c r="S816" s="230"/>
      <c r="T816" s="230"/>
      <c r="U816" s="230"/>
      <c r="V816" s="230"/>
      <c r="W816" s="230"/>
      <c r="X816" s="230"/>
      <c r="Y816" s="230"/>
      <c r="Z816" s="230"/>
    </row>
    <row r="817">
      <c r="O817" s="230"/>
      <c r="S817" s="230"/>
      <c r="T817" s="230"/>
      <c r="U817" s="230"/>
      <c r="V817" s="230"/>
      <c r="W817" s="230"/>
      <c r="X817" s="230"/>
      <c r="Y817" s="230"/>
      <c r="Z817" s="230"/>
    </row>
    <row r="818">
      <c r="O818" s="230"/>
      <c r="S818" s="230"/>
      <c r="T818" s="230"/>
      <c r="U818" s="230"/>
      <c r="V818" s="230"/>
      <c r="W818" s="230"/>
      <c r="X818" s="230"/>
      <c r="Y818" s="230"/>
      <c r="Z818" s="230"/>
    </row>
    <row r="819">
      <c r="O819" s="230"/>
      <c r="S819" s="230"/>
      <c r="T819" s="230"/>
      <c r="U819" s="230"/>
      <c r="V819" s="230"/>
      <c r="W819" s="230"/>
      <c r="X819" s="230"/>
      <c r="Y819" s="230"/>
      <c r="Z819" s="230"/>
    </row>
    <row r="820">
      <c r="O820" s="230"/>
      <c r="S820" s="230"/>
      <c r="T820" s="230"/>
      <c r="U820" s="230"/>
      <c r="V820" s="230"/>
      <c r="W820" s="230"/>
      <c r="X820" s="230"/>
      <c r="Y820" s="230"/>
      <c r="Z820" s="230"/>
    </row>
    <row r="821">
      <c r="O821" s="230"/>
      <c r="S821" s="230"/>
      <c r="T821" s="230"/>
      <c r="U821" s="230"/>
      <c r="V821" s="230"/>
      <c r="W821" s="230"/>
      <c r="X821" s="230"/>
      <c r="Y821" s="230"/>
      <c r="Z821" s="230"/>
    </row>
    <row r="822">
      <c r="O822" s="230"/>
      <c r="S822" s="230"/>
      <c r="T822" s="230"/>
      <c r="U822" s="230"/>
      <c r="V822" s="230"/>
      <c r="W822" s="230"/>
      <c r="X822" s="230"/>
      <c r="Y822" s="230"/>
      <c r="Z822" s="230"/>
    </row>
    <row r="823">
      <c r="O823" s="230"/>
      <c r="S823" s="230"/>
      <c r="T823" s="230"/>
      <c r="U823" s="230"/>
      <c r="V823" s="230"/>
      <c r="W823" s="230"/>
      <c r="X823" s="230"/>
      <c r="Y823" s="230"/>
      <c r="Z823" s="230"/>
    </row>
    <row r="824">
      <c r="O824" s="230"/>
      <c r="S824" s="230"/>
      <c r="T824" s="230"/>
      <c r="U824" s="230"/>
      <c r="V824" s="230"/>
      <c r="W824" s="230"/>
      <c r="X824" s="230"/>
      <c r="Y824" s="230"/>
      <c r="Z824" s="230"/>
    </row>
    <row r="825">
      <c r="O825" s="230"/>
      <c r="S825" s="230"/>
      <c r="T825" s="230"/>
      <c r="U825" s="230"/>
      <c r="V825" s="230"/>
      <c r="W825" s="230"/>
      <c r="X825" s="230"/>
      <c r="Y825" s="230"/>
      <c r="Z825" s="230"/>
    </row>
    <row r="826">
      <c r="O826" s="230"/>
      <c r="S826" s="230"/>
      <c r="T826" s="230"/>
      <c r="U826" s="230"/>
      <c r="V826" s="230"/>
      <c r="W826" s="230"/>
      <c r="X826" s="230"/>
      <c r="Y826" s="230"/>
      <c r="Z826" s="230"/>
    </row>
    <row r="827">
      <c r="O827" s="230"/>
      <c r="S827" s="230"/>
      <c r="T827" s="230"/>
      <c r="U827" s="230"/>
      <c r="V827" s="230"/>
      <c r="W827" s="230"/>
      <c r="X827" s="230"/>
      <c r="Y827" s="230"/>
      <c r="Z827" s="230"/>
    </row>
    <row r="828">
      <c r="O828" s="230"/>
      <c r="S828" s="230"/>
      <c r="T828" s="230"/>
      <c r="U828" s="230"/>
      <c r="V828" s="230"/>
      <c r="W828" s="230"/>
      <c r="X828" s="230"/>
      <c r="Y828" s="230"/>
      <c r="Z828" s="230"/>
    </row>
    <row r="829">
      <c r="O829" s="230"/>
      <c r="S829" s="230"/>
      <c r="T829" s="230"/>
      <c r="U829" s="230"/>
      <c r="V829" s="230"/>
      <c r="W829" s="230"/>
      <c r="X829" s="230"/>
      <c r="Y829" s="230"/>
      <c r="Z829" s="230"/>
    </row>
    <row r="830">
      <c r="O830" s="230"/>
      <c r="S830" s="230"/>
      <c r="T830" s="230"/>
      <c r="U830" s="230"/>
      <c r="V830" s="230"/>
      <c r="W830" s="230"/>
      <c r="X830" s="230"/>
      <c r="Y830" s="230"/>
      <c r="Z830" s="230"/>
    </row>
    <row r="831">
      <c r="O831" s="230"/>
      <c r="S831" s="230"/>
      <c r="T831" s="230"/>
      <c r="U831" s="230"/>
      <c r="V831" s="230"/>
      <c r="W831" s="230"/>
      <c r="X831" s="230"/>
      <c r="Y831" s="230"/>
      <c r="Z831" s="230"/>
    </row>
    <row r="832">
      <c r="O832" s="230"/>
      <c r="S832" s="230"/>
      <c r="T832" s="230"/>
      <c r="U832" s="230"/>
      <c r="V832" s="230"/>
      <c r="W832" s="230"/>
      <c r="X832" s="230"/>
      <c r="Y832" s="230"/>
      <c r="Z832" s="230"/>
    </row>
    <row r="833">
      <c r="O833" s="230"/>
      <c r="S833" s="230"/>
      <c r="T833" s="230"/>
      <c r="U833" s="230"/>
      <c r="V833" s="230"/>
      <c r="W833" s="230"/>
      <c r="X833" s="230"/>
      <c r="Y833" s="230"/>
      <c r="Z833" s="230"/>
    </row>
    <row r="834">
      <c r="O834" s="230"/>
      <c r="S834" s="230"/>
      <c r="T834" s="230"/>
      <c r="U834" s="230"/>
      <c r="V834" s="230"/>
      <c r="W834" s="230"/>
      <c r="X834" s="230"/>
      <c r="Y834" s="230"/>
      <c r="Z834" s="230"/>
    </row>
    <row r="835">
      <c r="O835" s="230"/>
      <c r="S835" s="230"/>
      <c r="T835" s="230"/>
      <c r="U835" s="230"/>
      <c r="V835" s="230"/>
      <c r="W835" s="230"/>
      <c r="X835" s="230"/>
      <c r="Y835" s="230"/>
      <c r="Z835" s="230"/>
    </row>
    <row r="836">
      <c r="O836" s="230"/>
      <c r="S836" s="230"/>
      <c r="T836" s="230"/>
      <c r="U836" s="230"/>
      <c r="V836" s="230"/>
      <c r="W836" s="230"/>
      <c r="X836" s="230"/>
      <c r="Y836" s="230"/>
      <c r="Z836" s="230"/>
    </row>
    <row r="837">
      <c r="O837" s="230"/>
      <c r="S837" s="230"/>
      <c r="T837" s="230"/>
      <c r="U837" s="230"/>
      <c r="V837" s="230"/>
      <c r="W837" s="230"/>
      <c r="X837" s="230"/>
      <c r="Y837" s="230"/>
      <c r="Z837" s="230"/>
    </row>
    <row r="838">
      <c r="O838" s="230"/>
      <c r="S838" s="230"/>
      <c r="T838" s="230"/>
      <c r="U838" s="230"/>
      <c r="V838" s="230"/>
      <c r="W838" s="230"/>
      <c r="X838" s="230"/>
      <c r="Y838" s="230"/>
      <c r="Z838" s="230"/>
    </row>
    <row r="839">
      <c r="O839" s="230"/>
      <c r="S839" s="230"/>
      <c r="T839" s="230"/>
      <c r="U839" s="230"/>
      <c r="V839" s="230"/>
      <c r="W839" s="230"/>
      <c r="X839" s="230"/>
      <c r="Y839" s="230"/>
      <c r="Z839" s="230"/>
    </row>
    <row r="840">
      <c r="O840" s="230"/>
      <c r="S840" s="230"/>
      <c r="T840" s="230"/>
      <c r="U840" s="230"/>
      <c r="V840" s="230"/>
      <c r="W840" s="230"/>
      <c r="X840" s="230"/>
      <c r="Y840" s="230"/>
      <c r="Z840" s="230"/>
    </row>
    <row r="841">
      <c r="O841" s="230"/>
      <c r="S841" s="230"/>
      <c r="T841" s="230"/>
      <c r="U841" s="230"/>
      <c r="V841" s="230"/>
      <c r="W841" s="230"/>
      <c r="X841" s="230"/>
      <c r="Y841" s="230"/>
      <c r="Z841" s="230"/>
    </row>
    <row r="842">
      <c r="O842" s="230"/>
      <c r="S842" s="230"/>
      <c r="T842" s="230"/>
      <c r="U842" s="230"/>
      <c r="V842" s="230"/>
      <c r="W842" s="230"/>
      <c r="X842" s="230"/>
      <c r="Y842" s="230"/>
      <c r="Z842" s="230"/>
    </row>
    <row r="843">
      <c r="O843" s="230"/>
      <c r="S843" s="230"/>
      <c r="T843" s="230"/>
      <c r="U843" s="230"/>
      <c r="V843" s="230"/>
      <c r="W843" s="230"/>
      <c r="X843" s="230"/>
      <c r="Y843" s="230"/>
      <c r="Z843" s="230"/>
    </row>
    <row r="844">
      <c r="O844" s="230"/>
      <c r="S844" s="230"/>
      <c r="T844" s="230"/>
      <c r="U844" s="230"/>
      <c r="V844" s="230"/>
      <c r="W844" s="230"/>
      <c r="X844" s="230"/>
      <c r="Y844" s="230"/>
      <c r="Z844" s="230"/>
    </row>
    <row r="845">
      <c r="O845" s="230"/>
      <c r="S845" s="230"/>
      <c r="T845" s="230"/>
      <c r="U845" s="230"/>
      <c r="V845" s="230"/>
      <c r="W845" s="230"/>
      <c r="X845" s="230"/>
      <c r="Y845" s="230"/>
      <c r="Z845" s="230"/>
    </row>
    <row r="846">
      <c r="O846" s="230"/>
      <c r="S846" s="230"/>
      <c r="T846" s="230"/>
      <c r="U846" s="230"/>
      <c r="V846" s="230"/>
      <c r="W846" s="230"/>
      <c r="X846" s="230"/>
      <c r="Y846" s="230"/>
      <c r="Z846" s="230"/>
    </row>
    <row r="847">
      <c r="O847" s="230"/>
      <c r="S847" s="230"/>
      <c r="T847" s="230"/>
      <c r="U847" s="230"/>
      <c r="V847" s="230"/>
      <c r="W847" s="230"/>
      <c r="X847" s="230"/>
      <c r="Y847" s="230"/>
      <c r="Z847" s="230"/>
    </row>
    <row r="848">
      <c r="O848" s="230"/>
      <c r="S848" s="230"/>
      <c r="T848" s="230"/>
      <c r="U848" s="230"/>
      <c r="V848" s="230"/>
      <c r="W848" s="230"/>
      <c r="X848" s="230"/>
      <c r="Y848" s="230"/>
      <c r="Z848" s="230"/>
    </row>
    <row r="849">
      <c r="O849" s="230"/>
      <c r="S849" s="230"/>
      <c r="T849" s="230"/>
      <c r="U849" s="230"/>
      <c r="V849" s="230"/>
      <c r="W849" s="230"/>
      <c r="X849" s="230"/>
      <c r="Y849" s="230"/>
      <c r="Z849" s="230"/>
    </row>
    <row r="850">
      <c r="O850" s="230"/>
      <c r="S850" s="230"/>
      <c r="T850" s="230"/>
      <c r="U850" s="230"/>
      <c r="V850" s="230"/>
      <c r="W850" s="230"/>
      <c r="X850" s="230"/>
      <c r="Y850" s="230"/>
      <c r="Z850" s="230"/>
    </row>
    <row r="851">
      <c r="O851" s="230"/>
      <c r="S851" s="230"/>
      <c r="T851" s="230"/>
      <c r="U851" s="230"/>
      <c r="V851" s="230"/>
      <c r="W851" s="230"/>
      <c r="X851" s="230"/>
      <c r="Y851" s="230"/>
      <c r="Z851" s="230"/>
    </row>
    <row r="852">
      <c r="O852" s="230"/>
      <c r="S852" s="230"/>
      <c r="T852" s="230"/>
      <c r="U852" s="230"/>
      <c r="V852" s="230"/>
      <c r="W852" s="230"/>
      <c r="X852" s="230"/>
      <c r="Y852" s="230"/>
      <c r="Z852" s="230"/>
    </row>
    <row r="853">
      <c r="O853" s="230"/>
      <c r="S853" s="230"/>
      <c r="T853" s="230"/>
      <c r="U853" s="230"/>
      <c r="V853" s="230"/>
      <c r="W853" s="230"/>
      <c r="X853" s="230"/>
      <c r="Y853" s="230"/>
      <c r="Z853" s="230"/>
    </row>
    <row r="854">
      <c r="O854" s="230"/>
      <c r="S854" s="230"/>
      <c r="T854" s="230"/>
      <c r="U854" s="230"/>
      <c r="V854" s="230"/>
      <c r="W854" s="230"/>
      <c r="X854" s="230"/>
      <c r="Y854" s="230"/>
      <c r="Z854" s="230"/>
    </row>
    <row r="855">
      <c r="O855" s="230"/>
      <c r="S855" s="230"/>
      <c r="T855" s="230"/>
      <c r="U855" s="230"/>
      <c r="V855" s="230"/>
      <c r="W855" s="230"/>
      <c r="X855" s="230"/>
      <c r="Y855" s="230"/>
      <c r="Z855" s="230"/>
    </row>
    <row r="856">
      <c r="O856" s="230"/>
      <c r="S856" s="230"/>
      <c r="T856" s="230"/>
      <c r="U856" s="230"/>
      <c r="V856" s="230"/>
      <c r="W856" s="230"/>
      <c r="X856" s="230"/>
      <c r="Y856" s="230"/>
      <c r="Z856" s="230"/>
    </row>
    <row r="857">
      <c r="O857" s="230"/>
      <c r="S857" s="230"/>
      <c r="T857" s="230"/>
      <c r="U857" s="230"/>
      <c r="V857" s="230"/>
      <c r="W857" s="230"/>
      <c r="X857" s="230"/>
      <c r="Y857" s="230"/>
      <c r="Z857" s="230"/>
    </row>
    <row r="858">
      <c r="O858" s="230"/>
      <c r="S858" s="230"/>
      <c r="T858" s="230"/>
      <c r="U858" s="230"/>
      <c r="V858" s="230"/>
      <c r="W858" s="230"/>
      <c r="X858" s="230"/>
      <c r="Y858" s="230"/>
      <c r="Z858" s="230"/>
    </row>
    <row r="859">
      <c r="O859" s="230"/>
      <c r="S859" s="230"/>
      <c r="T859" s="230"/>
      <c r="U859" s="230"/>
      <c r="V859" s="230"/>
      <c r="W859" s="230"/>
      <c r="X859" s="230"/>
      <c r="Y859" s="230"/>
      <c r="Z859" s="230"/>
    </row>
    <row r="860">
      <c r="O860" s="230"/>
      <c r="S860" s="230"/>
      <c r="T860" s="230"/>
      <c r="U860" s="230"/>
      <c r="V860" s="230"/>
      <c r="W860" s="230"/>
      <c r="X860" s="230"/>
      <c r="Y860" s="230"/>
      <c r="Z860" s="230"/>
    </row>
    <row r="861">
      <c r="O861" s="230"/>
      <c r="S861" s="230"/>
      <c r="T861" s="230"/>
      <c r="U861" s="230"/>
      <c r="V861" s="230"/>
      <c r="W861" s="230"/>
      <c r="X861" s="230"/>
      <c r="Y861" s="230"/>
      <c r="Z861" s="230"/>
    </row>
    <row r="862">
      <c r="O862" s="230"/>
      <c r="S862" s="230"/>
      <c r="T862" s="230"/>
      <c r="U862" s="230"/>
      <c r="V862" s="230"/>
      <c r="W862" s="230"/>
      <c r="X862" s="230"/>
      <c r="Y862" s="230"/>
      <c r="Z862" s="230"/>
    </row>
    <row r="863">
      <c r="O863" s="230"/>
      <c r="S863" s="230"/>
      <c r="T863" s="230"/>
      <c r="U863" s="230"/>
      <c r="V863" s="230"/>
      <c r="W863" s="230"/>
      <c r="X863" s="230"/>
      <c r="Y863" s="230"/>
      <c r="Z863" s="230"/>
    </row>
    <row r="864">
      <c r="O864" s="230"/>
      <c r="S864" s="230"/>
      <c r="T864" s="230"/>
      <c r="U864" s="230"/>
      <c r="V864" s="230"/>
      <c r="W864" s="230"/>
      <c r="X864" s="230"/>
      <c r="Y864" s="230"/>
      <c r="Z864" s="230"/>
    </row>
    <row r="865">
      <c r="O865" s="230"/>
      <c r="S865" s="230"/>
      <c r="T865" s="230"/>
      <c r="U865" s="230"/>
      <c r="V865" s="230"/>
      <c r="W865" s="230"/>
      <c r="X865" s="230"/>
      <c r="Y865" s="230"/>
      <c r="Z865" s="230"/>
    </row>
    <row r="866">
      <c r="O866" s="230"/>
      <c r="S866" s="230"/>
      <c r="T866" s="230"/>
      <c r="U866" s="230"/>
      <c r="V866" s="230"/>
      <c r="W866" s="230"/>
      <c r="X866" s="230"/>
      <c r="Y866" s="230"/>
      <c r="Z866" s="230"/>
    </row>
    <row r="867">
      <c r="O867" s="230"/>
      <c r="S867" s="230"/>
      <c r="T867" s="230"/>
      <c r="U867" s="230"/>
      <c r="V867" s="230"/>
      <c r="W867" s="230"/>
      <c r="X867" s="230"/>
      <c r="Y867" s="230"/>
      <c r="Z867" s="230"/>
    </row>
    <row r="868">
      <c r="O868" s="230"/>
      <c r="S868" s="230"/>
      <c r="T868" s="230"/>
      <c r="U868" s="230"/>
      <c r="V868" s="230"/>
      <c r="W868" s="230"/>
      <c r="X868" s="230"/>
      <c r="Y868" s="230"/>
      <c r="Z868" s="230"/>
    </row>
    <row r="869">
      <c r="O869" s="230"/>
      <c r="S869" s="230"/>
      <c r="T869" s="230"/>
      <c r="U869" s="230"/>
      <c r="V869" s="230"/>
      <c r="W869" s="230"/>
      <c r="X869" s="230"/>
      <c r="Y869" s="230"/>
      <c r="Z869" s="230"/>
    </row>
    <row r="870">
      <c r="O870" s="230"/>
      <c r="S870" s="230"/>
      <c r="T870" s="230"/>
      <c r="U870" s="230"/>
      <c r="V870" s="230"/>
      <c r="W870" s="230"/>
      <c r="X870" s="230"/>
      <c r="Y870" s="230"/>
      <c r="Z870" s="230"/>
    </row>
    <row r="871">
      <c r="O871" s="230"/>
      <c r="S871" s="230"/>
      <c r="T871" s="230"/>
      <c r="U871" s="230"/>
      <c r="V871" s="230"/>
      <c r="W871" s="230"/>
      <c r="X871" s="230"/>
      <c r="Y871" s="230"/>
      <c r="Z871" s="230"/>
    </row>
    <row r="872">
      <c r="O872" s="230"/>
      <c r="S872" s="230"/>
      <c r="T872" s="230"/>
      <c r="U872" s="230"/>
      <c r="V872" s="230"/>
      <c r="W872" s="230"/>
      <c r="X872" s="230"/>
      <c r="Y872" s="230"/>
      <c r="Z872" s="230"/>
    </row>
    <row r="873">
      <c r="O873" s="230"/>
      <c r="S873" s="230"/>
      <c r="T873" s="230"/>
      <c r="U873" s="230"/>
      <c r="V873" s="230"/>
      <c r="W873" s="230"/>
      <c r="X873" s="230"/>
      <c r="Y873" s="230"/>
      <c r="Z873" s="230"/>
    </row>
    <row r="874">
      <c r="O874" s="230"/>
      <c r="S874" s="230"/>
      <c r="T874" s="230"/>
      <c r="U874" s="230"/>
      <c r="V874" s="230"/>
      <c r="W874" s="230"/>
      <c r="X874" s="230"/>
      <c r="Y874" s="230"/>
      <c r="Z874" s="230"/>
    </row>
    <row r="875">
      <c r="O875" s="230"/>
      <c r="S875" s="230"/>
      <c r="T875" s="230"/>
      <c r="U875" s="230"/>
      <c r="V875" s="230"/>
      <c r="W875" s="230"/>
      <c r="X875" s="230"/>
      <c r="Y875" s="230"/>
      <c r="Z875" s="230"/>
    </row>
    <row r="876">
      <c r="O876" s="230"/>
      <c r="S876" s="230"/>
      <c r="T876" s="230"/>
      <c r="U876" s="230"/>
      <c r="V876" s="230"/>
      <c r="W876" s="230"/>
      <c r="X876" s="230"/>
      <c r="Y876" s="230"/>
      <c r="Z876" s="230"/>
    </row>
    <row r="877">
      <c r="O877" s="230"/>
      <c r="S877" s="230"/>
      <c r="T877" s="230"/>
      <c r="U877" s="230"/>
      <c r="V877" s="230"/>
      <c r="W877" s="230"/>
      <c r="X877" s="230"/>
      <c r="Y877" s="230"/>
      <c r="Z877" s="230"/>
    </row>
    <row r="878">
      <c r="O878" s="230"/>
      <c r="S878" s="230"/>
      <c r="T878" s="230"/>
      <c r="U878" s="230"/>
      <c r="V878" s="230"/>
      <c r="W878" s="230"/>
      <c r="X878" s="230"/>
      <c r="Y878" s="230"/>
      <c r="Z878" s="230"/>
    </row>
    <row r="879">
      <c r="O879" s="230"/>
      <c r="S879" s="230"/>
      <c r="T879" s="230"/>
      <c r="U879" s="230"/>
      <c r="V879" s="230"/>
      <c r="W879" s="230"/>
      <c r="X879" s="230"/>
      <c r="Y879" s="230"/>
      <c r="Z879" s="230"/>
    </row>
    <row r="880">
      <c r="O880" s="230"/>
      <c r="S880" s="230"/>
      <c r="T880" s="230"/>
      <c r="U880" s="230"/>
      <c r="V880" s="230"/>
      <c r="W880" s="230"/>
      <c r="X880" s="230"/>
      <c r="Y880" s="230"/>
      <c r="Z880" s="230"/>
    </row>
    <row r="881">
      <c r="O881" s="230"/>
      <c r="S881" s="230"/>
      <c r="T881" s="230"/>
      <c r="U881" s="230"/>
      <c r="V881" s="230"/>
      <c r="W881" s="230"/>
      <c r="X881" s="230"/>
      <c r="Y881" s="230"/>
      <c r="Z881" s="230"/>
    </row>
    <row r="882">
      <c r="O882" s="230"/>
      <c r="S882" s="230"/>
      <c r="T882" s="230"/>
      <c r="U882" s="230"/>
      <c r="V882" s="230"/>
      <c r="W882" s="230"/>
      <c r="X882" s="230"/>
      <c r="Y882" s="230"/>
      <c r="Z882" s="230"/>
    </row>
    <row r="883">
      <c r="O883" s="230"/>
      <c r="S883" s="230"/>
      <c r="T883" s="230"/>
      <c r="U883" s="230"/>
      <c r="V883" s="230"/>
      <c r="W883" s="230"/>
      <c r="X883" s="230"/>
      <c r="Y883" s="230"/>
      <c r="Z883" s="230"/>
    </row>
    <row r="884">
      <c r="O884" s="230"/>
      <c r="S884" s="230"/>
      <c r="T884" s="230"/>
      <c r="U884" s="230"/>
      <c r="V884" s="230"/>
      <c r="W884" s="230"/>
      <c r="X884" s="230"/>
      <c r="Y884" s="230"/>
      <c r="Z884" s="230"/>
    </row>
    <row r="885">
      <c r="O885" s="230"/>
      <c r="S885" s="230"/>
      <c r="T885" s="230"/>
      <c r="U885" s="230"/>
      <c r="V885" s="230"/>
      <c r="W885" s="230"/>
      <c r="X885" s="230"/>
      <c r="Y885" s="230"/>
      <c r="Z885" s="230"/>
    </row>
    <row r="886">
      <c r="O886" s="230"/>
      <c r="S886" s="230"/>
      <c r="T886" s="230"/>
      <c r="U886" s="230"/>
      <c r="V886" s="230"/>
      <c r="W886" s="230"/>
      <c r="X886" s="230"/>
      <c r="Y886" s="230"/>
      <c r="Z886" s="230"/>
    </row>
    <row r="887">
      <c r="O887" s="230"/>
      <c r="S887" s="230"/>
      <c r="T887" s="230"/>
      <c r="U887" s="230"/>
      <c r="V887" s="230"/>
      <c r="W887" s="230"/>
      <c r="X887" s="230"/>
      <c r="Y887" s="230"/>
      <c r="Z887" s="230"/>
    </row>
    <row r="888">
      <c r="O888" s="230"/>
      <c r="S888" s="230"/>
      <c r="T888" s="230"/>
      <c r="U888" s="230"/>
      <c r="V888" s="230"/>
      <c r="W888" s="230"/>
      <c r="X888" s="230"/>
      <c r="Y888" s="230"/>
      <c r="Z888" s="230"/>
    </row>
    <row r="889">
      <c r="O889" s="230"/>
      <c r="S889" s="230"/>
      <c r="T889" s="230"/>
      <c r="U889" s="230"/>
      <c r="V889" s="230"/>
      <c r="W889" s="230"/>
      <c r="X889" s="230"/>
      <c r="Y889" s="230"/>
      <c r="Z889" s="230"/>
    </row>
    <row r="890">
      <c r="O890" s="230"/>
      <c r="S890" s="230"/>
      <c r="T890" s="230"/>
      <c r="U890" s="230"/>
      <c r="V890" s="230"/>
      <c r="W890" s="230"/>
      <c r="X890" s="230"/>
      <c r="Y890" s="230"/>
      <c r="Z890" s="230"/>
    </row>
    <row r="891">
      <c r="O891" s="230"/>
      <c r="S891" s="230"/>
      <c r="T891" s="230"/>
      <c r="U891" s="230"/>
      <c r="V891" s="230"/>
      <c r="W891" s="230"/>
      <c r="X891" s="230"/>
      <c r="Y891" s="230"/>
      <c r="Z891" s="230"/>
    </row>
    <row r="892">
      <c r="O892" s="230"/>
      <c r="S892" s="230"/>
      <c r="T892" s="230"/>
      <c r="U892" s="230"/>
      <c r="V892" s="230"/>
      <c r="W892" s="230"/>
      <c r="X892" s="230"/>
      <c r="Y892" s="230"/>
      <c r="Z892" s="230"/>
    </row>
    <row r="893">
      <c r="O893" s="230"/>
      <c r="S893" s="230"/>
      <c r="T893" s="230"/>
      <c r="U893" s="230"/>
      <c r="V893" s="230"/>
      <c r="W893" s="230"/>
      <c r="X893" s="230"/>
      <c r="Y893" s="230"/>
      <c r="Z893" s="230"/>
    </row>
    <row r="894">
      <c r="O894" s="230"/>
      <c r="S894" s="230"/>
      <c r="T894" s="230"/>
      <c r="U894" s="230"/>
      <c r="V894" s="230"/>
      <c r="W894" s="230"/>
      <c r="X894" s="230"/>
      <c r="Y894" s="230"/>
      <c r="Z894" s="230"/>
    </row>
    <row r="895">
      <c r="O895" s="230"/>
      <c r="S895" s="230"/>
      <c r="T895" s="230"/>
      <c r="U895" s="230"/>
      <c r="V895" s="230"/>
      <c r="W895" s="230"/>
      <c r="X895" s="230"/>
      <c r="Y895" s="230"/>
      <c r="Z895" s="230"/>
    </row>
    <row r="896">
      <c r="O896" s="230"/>
      <c r="S896" s="230"/>
      <c r="T896" s="230"/>
      <c r="U896" s="230"/>
      <c r="V896" s="230"/>
      <c r="W896" s="230"/>
      <c r="X896" s="230"/>
      <c r="Y896" s="230"/>
      <c r="Z896" s="230"/>
    </row>
    <row r="897">
      <c r="O897" s="230"/>
      <c r="S897" s="230"/>
      <c r="T897" s="230"/>
      <c r="U897" s="230"/>
      <c r="V897" s="230"/>
      <c r="W897" s="230"/>
      <c r="X897" s="230"/>
      <c r="Y897" s="230"/>
      <c r="Z897" s="230"/>
    </row>
    <row r="898">
      <c r="O898" s="230"/>
      <c r="S898" s="230"/>
      <c r="T898" s="230"/>
      <c r="U898" s="230"/>
      <c r="V898" s="230"/>
      <c r="W898" s="230"/>
      <c r="X898" s="230"/>
      <c r="Y898" s="230"/>
      <c r="Z898" s="230"/>
    </row>
    <row r="899">
      <c r="O899" s="230"/>
      <c r="S899" s="230"/>
      <c r="T899" s="230"/>
      <c r="U899" s="230"/>
      <c r="V899" s="230"/>
      <c r="W899" s="230"/>
      <c r="X899" s="230"/>
      <c r="Y899" s="230"/>
      <c r="Z899" s="230"/>
    </row>
    <row r="900">
      <c r="O900" s="230"/>
      <c r="S900" s="230"/>
      <c r="T900" s="230"/>
      <c r="U900" s="230"/>
      <c r="V900" s="230"/>
      <c r="W900" s="230"/>
      <c r="X900" s="230"/>
      <c r="Y900" s="230"/>
      <c r="Z900" s="230"/>
    </row>
    <row r="901">
      <c r="O901" s="230"/>
      <c r="S901" s="230"/>
      <c r="T901" s="230"/>
      <c r="U901" s="230"/>
      <c r="V901" s="230"/>
      <c r="W901" s="230"/>
      <c r="X901" s="230"/>
      <c r="Y901" s="230"/>
      <c r="Z901" s="230"/>
    </row>
    <row r="902">
      <c r="O902" s="230"/>
      <c r="S902" s="230"/>
      <c r="T902" s="230"/>
      <c r="U902" s="230"/>
      <c r="V902" s="230"/>
      <c r="W902" s="230"/>
      <c r="X902" s="230"/>
      <c r="Y902" s="230"/>
      <c r="Z902" s="230"/>
    </row>
    <row r="903">
      <c r="O903" s="230"/>
      <c r="S903" s="230"/>
      <c r="T903" s="230"/>
      <c r="U903" s="230"/>
      <c r="V903" s="230"/>
      <c r="W903" s="230"/>
      <c r="X903" s="230"/>
      <c r="Y903" s="230"/>
      <c r="Z903" s="230"/>
    </row>
    <row r="904">
      <c r="O904" s="230"/>
      <c r="S904" s="230"/>
      <c r="T904" s="230"/>
      <c r="U904" s="230"/>
      <c r="V904" s="230"/>
      <c r="W904" s="230"/>
      <c r="X904" s="230"/>
      <c r="Y904" s="230"/>
      <c r="Z904" s="230"/>
    </row>
    <row r="905">
      <c r="O905" s="230"/>
      <c r="S905" s="230"/>
      <c r="T905" s="230"/>
      <c r="U905" s="230"/>
      <c r="V905" s="230"/>
      <c r="W905" s="230"/>
      <c r="X905" s="230"/>
      <c r="Y905" s="230"/>
      <c r="Z905" s="230"/>
    </row>
    <row r="906">
      <c r="O906" s="230"/>
      <c r="S906" s="230"/>
      <c r="T906" s="230"/>
      <c r="U906" s="230"/>
      <c r="V906" s="230"/>
      <c r="W906" s="230"/>
      <c r="X906" s="230"/>
      <c r="Y906" s="230"/>
      <c r="Z906" s="230"/>
    </row>
    <row r="907">
      <c r="O907" s="230"/>
      <c r="S907" s="230"/>
      <c r="T907" s="230"/>
      <c r="U907" s="230"/>
      <c r="V907" s="230"/>
      <c r="W907" s="230"/>
      <c r="X907" s="230"/>
      <c r="Y907" s="230"/>
      <c r="Z907" s="230"/>
    </row>
    <row r="908">
      <c r="O908" s="230"/>
      <c r="S908" s="230"/>
      <c r="T908" s="230"/>
      <c r="U908" s="230"/>
      <c r="V908" s="230"/>
      <c r="W908" s="230"/>
      <c r="X908" s="230"/>
      <c r="Y908" s="230"/>
      <c r="Z908" s="230"/>
    </row>
    <row r="909">
      <c r="O909" s="230"/>
      <c r="S909" s="230"/>
      <c r="T909" s="230"/>
      <c r="U909" s="230"/>
      <c r="V909" s="230"/>
      <c r="W909" s="230"/>
      <c r="X909" s="230"/>
      <c r="Y909" s="230"/>
      <c r="Z909" s="230"/>
    </row>
    <row r="910">
      <c r="O910" s="230"/>
      <c r="S910" s="230"/>
      <c r="T910" s="230"/>
      <c r="U910" s="230"/>
      <c r="V910" s="230"/>
      <c r="W910" s="230"/>
      <c r="X910" s="230"/>
      <c r="Y910" s="230"/>
      <c r="Z910" s="230"/>
    </row>
    <row r="911">
      <c r="O911" s="230"/>
      <c r="S911" s="230"/>
      <c r="T911" s="230"/>
      <c r="U911" s="230"/>
      <c r="V911" s="230"/>
      <c r="W911" s="230"/>
      <c r="X911" s="230"/>
      <c r="Y911" s="230"/>
      <c r="Z911" s="230"/>
    </row>
    <row r="912">
      <c r="O912" s="230"/>
      <c r="S912" s="230"/>
      <c r="T912" s="230"/>
      <c r="U912" s="230"/>
      <c r="V912" s="230"/>
      <c r="W912" s="230"/>
      <c r="X912" s="230"/>
      <c r="Y912" s="230"/>
      <c r="Z912" s="230"/>
    </row>
    <row r="913">
      <c r="O913" s="230"/>
      <c r="S913" s="230"/>
      <c r="T913" s="230"/>
      <c r="U913" s="230"/>
      <c r="V913" s="230"/>
      <c r="W913" s="230"/>
      <c r="X913" s="230"/>
      <c r="Y913" s="230"/>
      <c r="Z913" s="230"/>
    </row>
    <row r="914">
      <c r="O914" s="230"/>
      <c r="S914" s="230"/>
      <c r="T914" s="230"/>
      <c r="U914" s="230"/>
      <c r="V914" s="230"/>
      <c r="W914" s="230"/>
      <c r="X914" s="230"/>
      <c r="Y914" s="230"/>
      <c r="Z914" s="230"/>
    </row>
    <row r="915">
      <c r="O915" s="230"/>
      <c r="S915" s="230"/>
      <c r="T915" s="230"/>
      <c r="U915" s="230"/>
      <c r="V915" s="230"/>
      <c r="W915" s="230"/>
      <c r="X915" s="230"/>
      <c r="Y915" s="230"/>
      <c r="Z915" s="230"/>
    </row>
    <row r="916">
      <c r="O916" s="230"/>
      <c r="S916" s="230"/>
      <c r="T916" s="230"/>
      <c r="U916" s="230"/>
      <c r="V916" s="230"/>
      <c r="W916" s="230"/>
      <c r="X916" s="230"/>
      <c r="Y916" s="230"/>
      <c r="Z916" s="230"/>
    </row>
    <row r="917">
      <c r="O917" s="230"/>
      <c r="S917" s="230"/>
      <c r="T917" s="230"/>
      <c r="U917" s="230"/>
      <c r="V917" s="230"/>
      <c r="W917" s="230"/>
      <c r="X917" s="230"/>
      <c r="Y917" s="230"/>
      <c r="Z917" s="230"/>
    </row>
    <row r="918">
      <c r="O918" s="230"/>
      <c r="S918" s="230"/>
      <c r="T918" s="230"/>
      <c r="U918" s="230"/>
      <c r="V918" s="230"/>
      <c r="W918" s="230"/>
      <c r="X918" s="230"/>
      <c r="Y918" s="230"/>
      <c r="Z918" s="230"/>
    </row>
    <row r="919">
      <c r="O919" s="230"/>
      <c r="S919" s="230"/>
      <c r="T919" s="230"/>
      <c r="U919" s="230"/>
      <c r="V919" s="230"/>
      <c r="W919" s="230"/>
      <c r="X919" s="230"/>
      <c r="Y919" s="230"/>
      <c r="Z919" s="230"/>
    </row>
    <row r="920">
      <c r="O920" s="230"/>
      <c r="S920" s="230"/>
      <c r="T920" s="230"/>
      <c r="U920" s="230"/>
      <c r="V920" s="230"/>
      <c r="W920" s="230"/>
      <c r="X920" s="230"/>
      <c r="Y920" s="230"/>
      <c r="Z920" s="230"/>
    </row>
    <row r="921">
      <c r="O921" s="230"/>
      <c r="S921" s="230"/>
      <c r="T921" s="230"/>
      <c r="U921" s="230"/>
      <c r="V921" s="230"/>
      <c r="W921" s="230"/>
      <c r="X921" s="230"/>
      <c r="Y921" s="230"/>
      <c r="Z921" s="230"/>
    </row>
    <row r="922">
      <c r="O922" s="230"/>
      <c r="S922" s="230"/>
      <c r="T922" s="230"/>
      <c r="U922" s="230"/>
      <c r="V922" s="230"/>
      <c r="W922" s="230"/>
      <c r="X922" s="230"/>
      <c r="Y922" s="230"/>
      <c r="Z922" s="230"/>
    </row>
    <row r="923">
      <c r="O923" s="230"/>
      <c r="S923" s="230"/>
      <c r="T923" s="230"/>
      <c r="U923" s="230"/>
      <c r="V923" s="230"/>
      <c r="W923" s="230"/>
      <c r="X923" s="230"/>
      <c r="Y923" s="230"/>
      <c r="Z923" s="230"/>
    </row>
    <row r="924">
      <c r="O924" s="230"/>
      <c r="S924" s="230"/>
      <c r="T924" s="230"/>
      <c r="U924" s="230"/>
      <c r="V924" s="230"/>
      <c r="W924" s="230"/>
      <c r="X924" s="230"/>
      <c r="Y924" s="230"/>
      <c r="Z924" s="230"/>
    </row>
    <row r="925">
      <c r="O925" s="230"/>
      <c r="S925" s="230"/>
      <c r="T925" s="230"/>
      <c r="U925" s="230"/>
      <c r="V925" s="230"/>
      <c r="W925" s="230"/>
      <c r="X925" s="230"/>
      <c r="Y925" s="230"/>
      <c r="Z925" s="230"/>
    </row>
    <row r="926">
      <c r="O926" s="230"/>
      <c r="S926" s="230"/>
      <c r="T926" s="230"/>
      <c r="U926" s="230"/>
      <c r="V926" s="230"/>
      <c r="W926" s="230"/>
      <c r="X926" s="230"/>
      <c r="Y926" s="230"/>
      <c r="Z926" s="230"/>
    </row>
    <row r="927">
      <c r="O927" s="230"/>
      <c r="S927" s="230"/>
      <c r="T927" s="230"/>
      <c r="U927" s="230"/>
      <c r="V927" s="230"/>
      <c r="W927" s="230"/>
      <c r="X927" s="230"/>
      <c r="Y927" s="230"/>
      <c r="Z927" s="230"/>
    </row>
    <row r="928">
      <c r="O928" s="230"/>
      <c r="S928" s="230"/>
      <c r="T928" s="230"/>
      <c r="U928" s="230"/>
      <c r="V928" s="230"/>
      <c r="W928" s="230"/>
      <c r="X928" s="230"/>
      <c r="Y928" s="230"/>
      <c r="Z928" s="230"/>
    </row>
    <row r="929">
      <c r="O929" s="230"/>
      <c r="S929" s="230"/>
      <c r="T929" s="230"/>
      <c r="U929" s="230"/>
      <c r="V929" s="230"/>
      <c r="W929" s="230"/>
      <c r="X929" s="230"/>
      <c r="Y929" s="230"/>
      <c r="Z929" s="230"/>
    </row>
    <row r="930">
      <c r="O930" s="230"/>
      <c r="S930" s="230"/>
      <c r="T930" s="230"/>
      <c r="U930" s="230"/>
      <c r="V930" s="230"/>
      <c r="W930" s="230"/>
      <c r="X930" s="230"/>
      <c r="Y930" s="230"/>
      <c r="Z930" s="230"/>
    </row>
    <row r="931">
      <c r="O931" s="230"/>
      <c r="S931" s="230"/>
      <c r="T931" s="230"/>
      <c r="U931" s="230"/>
      <c r="V931" s="230"/>
      <c r="W931" s="230"/>
      <c r="X931" s="230"/>
      <c r="Y931" s="230"/>
      <c r="Z931" s="230"/>
    </row>
    <row r="932">
      <c r="O932" s="230"/>
      <c r="S932" s="230"/>
      <c r="T932" s="230"/>
      <c r="U932" s="230"/>
      <c r="V932" s="230"/>
      <c r="W932" s="230"/>
      <c r="X932" s="230"/>
      <c r="Y932" s="230"/>
      <c r="Z932" s="230"/>
    </row>
    <row r="933">
      <c r="O933" s="230"/>
      <c r="S933" s="230"/>
      <c r="T933" s="230"/>
      <c r="U933" s="230"/>
      <c r="V933" s="230"/>
      <c r="W933" s="230"/>
      <c r="X933" s="230"/>
      <c r="Y933" s="230"/>
      <c r="Z933" s="230"/>
    </row>
    <row r="934">
      <c r="O934" s="230"/>
      <c r="S934" s="230"/>
      <c r="T934" s="230"/>
      <c r="U934" s="230"/>
      <c r="V934" s="230"/>
      <c r="W934" s="230"/>
      <c r="X934" s="230"/>
      <c r="Y934" s="230"/>
      <c r="Z934" s="230"/>
    </row>
    <row r="935">
      <c r="O935" s="230"/>
      <c r="S935" s="230"/>
      <c r="T935" s="230"/>
      <c r="U935" s="230"/>
      <c r="V935" s="230"/>
      <c r="W935" s="230"/>
      <c r="X935" s="230"/>
      <c r="Y935" s="230"/>
      <c r="Z935" s="230"/>
    </row>
    <row r="936">
      <c r="O936" s="230"/>
      <c r="S936" s="230"/>
      <c r="T936" s="230"/>
      <c r="U936" s="230"/>
      <c r="V936" s="230"/>
      <c r="W936" s="230"/>
      <c r="X936" s="230"/>
      <c r="Y936" s="230"/>
      <c r="Z936" s="230"/>
    </row>
    <row r="937">
      <c r="O937" s="230"/>
      <c r="S937" s="230"/>
      <c r="T937" s="230"/>
      <c r="U937" s="230"/>
      <c r="V937" s="230"/>
      <c r="W937" s="230"/>
      <c r="X937" s="230"/>
      <c r="Y937" s="230"/>
      <c r="Z937" s="230"/>
    </row>
    <row r="938">
      <c r="O938" s="230"/>
      <c r="S938" s="230"/>
      <c r="T938" s="230"/>
      <c r="U938" s="230"/>
      <c r="V938" s="230"/>
      <c r="W938" s="230"/>
      <c r="X938" s="230"/>
      <c r="Y938" s="230"/>
      <c r="Z938" s="230"/>
    </row>
    <row r="939">
      <c r="O939" s="230"/>
      <c r="S939" s="230"/>
      <c r="T939" s="230"/>
      <c r="U939" s="230"/>
      <c r="V939" s="230"/>
      <c r="W939" s="230"/>
      <c r="X939" s="230"/>
      <c r="Y939" s="230"/>
      <c r="Z939" s="230"/>
    </row>
    <row r="940">
      <c r="O940" s="230"/>
      <c r="S940" s="230"/>
      <c r="T940" s="230"/>
      <c r="U940" s="230"/>
      <c r="V940" s="230"/>
      <c r="W940" s="230"/>
      <c r="X940" s="230"/>
      <c r="Y940" s="230"/>
      <c r="Z940" s="230"/>
    </row>
    <row r="941">
      <c r="O941" s="230"/>
      <c r="S941" s="230"/>
      <c r="T941" s="230"/>
      <c r="U941" s="230"/>
      <c r="V941" s="230"/>
      <c r="W941" s="230"/>
      <c r="X941" s="230"/>
      <c r="Y941" s="230"/>
      <c r="Z941" s="230"/>
    </row>
    <row r="942">
      <c r="O942" s="230"/>
      <c r="S942" s="230"/>
      <c r="T942" s="230"/>
      <c r="U942" s="230"/>
      <c r="V942" s="230"/>
      <c r="W942" s="230"/>
      <c r="X942" s="230"/>
      <c r="Y942" s="230"/>
      <c r="Z942" s="230"/>
    </row>
    <row r="943">
      <c r="O943" s="230"/>
      <c r="S943" s="230"/>
      <c r="T943" s="230"/>
      <c r="U943" s="230"/>
      <c r="V943" s="230"/>
      <c r="W943" s="230"/>
      <c r="X943" s="230"/>
      <c r="Y943" s="230"/>
      <c r="Z943" s="230"/>
    </row>
    <row r="944">
      <c r="O944" s="230"/>
      <c r="S944" s="230"/>
      <c r="T944" s="230"/>
      <c r="U944" s="230"/>
      <c r="V944" s="230"/>
      <c r="W944" s="230"/>
      <c r="X944" s="230"/>
      <c r="Y944" s="230"/>
      <c r="Z944" s="230"/>
    </row>
    <row r="945">
      <c r="O945" s="230"/>
      <c r="S945" s="230"/>
      <c r="T945" s="230"/>
      <c r="U945" s="230"/>
      <c r="V945" s="230"/>
      <c r="W945" s="230"/>
      <c r="X945" s="230"/>
      <c r="Y945" s="230"/>
      <c r="Z945" s="230"/>
    </row>
    <row r="946">
      <c r="O946" s="230"/>
      <c r="S946" s="230"/>
      <c r="T946" s="230"/>
      <c r="U946" s="230"/>
      <c r="V946" s="230"/>
      <c r="W946" s="230"/>
      <c r="X946" s="230"/>
      <c r="Y946" s="230"/>
      <c r="Z946" s="230"/>
    </row>
    <row r="947">
      <c r="O947" s="230"/>
      <c r="S947" s="230"/>
      <c r="T947" s="230"/>
      <c r="U947" s="230"/>
      <c r="V947" s="230"/>
      <c r="W947" s="230"/>
      <c r="X947" s="230"/>
      <c r="Y947" s="230"/>
      <c r="Z947" s="230"/>
    </row>
    <row r="948">
      <c r="O948" s="230"/>
      <c r="S948" s="230"/>
      <c r="T948" s="230"/>
      <c r="U948" s="230"/>
      <c r="V948" s="230"/>
      <c r="W948" s="230"/>
      <c r="X948" s="230"/>
      <c r="Y948" s="230"/>
      <c r="Z948" s="230"/>
    </row>
    <row r="949">
      <c r="O949" s="230"/>
      <c r="S949" s="230"/>
      <c r="T949" s="230"/>
      <c r="U949" s="230"/>
      <c r="V949" s="230"/>
      <c r="W949" s="230"/>
      <c r="X949" s="230"/>
      <c r="Y949" s="230"/>
      <c r="Z949" s="230"/>
    </row>
    <row r="950">
      <c r="O950" s="230"/>
      <c r="S950" s="230"/>
      <c r="T950" s="230"/>
      <c r="U950" s="230"/>
      <c r="V950" s="230"/>
      <c r="W950" s="230"/>
      <c r="X950" s="230"/>
      <c r="Y950" s="230"/>
      <c r="Z950" s="230"/>
    </row>
    <row r="951">
      <c r="O951" s="230"/>
      <c r="S951" s="230"/>
      <c r="T951" s="230"/>
      <c r="U951" s="230"/>
      <c r="V951" s="230"/>
      <c r="W951" s="230"/>
      <c r="X951" s="230"/>
      <c r="Y951" s="230"/>
      <c r="Z951" s="230"/>
    </row>
    <row r="952">
      <c r="O952" s="230"/>
      <c r="S952" s="230"/>
      <c r="T952" s="230"/>
      <c r="U952" s="230"/>
      <c r="V952" s="230"/>
      <c r="W952" s="230"/>
      <c r="X952" s="230"/>
      <c r="Y952" s="230"/>
      <c r="Z952" s="230"/>
    </row>
    <row r="953">
      <c r="O953" s="230"/>
      <c r="S953" s="230"/>
      <c r="T953" s="230"/>
      <c r="U953" s="230"/>
      <c r="V953" s="230"/>
      <c r="W953" s="230"/>
      <c r="X953" s="230"/>
      <c r="Y953" s="230"/>
      <c r="Z953" s="230"/>
    </row>
    <row r="954">
      <c r="O954" s="230"/>
      <c r="S954" s="230"/>
      <c r="T954" s="230"/>
      <c r="U954" s="230"/>
      <c r="V954" s="230"/>
      <c r="W954" s="230"/>
      <c r="X954" s="230"/>
      <c r="Y954" s="230"/>
      <c r="Z954" s="230"/>
    </row>
    <row r="955">
      <c r="O955" s="230"/>
      <c r="S955" s="230"/>
      <c r="T955" s="230"/>
      <c r="U955" s="230"/>
      <c r="V955" s="230"/>
      <c r="W955" s="230"/>
      <c r="X955" s="230"/>
      <c r="Y955" s="230"/>
      <c r="Z955" s="230"/>
    </row>
    <row r="956">
      <c r="O956" s="230"/>
      <c r="S956" s="230"/>
      <c r="T956" s="230"/>
      <c r="U956" s="230"/>
      <c r="V956" s="230"/>
      <c r="W956" s="230"/>
      <c r="X956" s="230"/>
      <c r="Y956" s="230"/>
      <c r="Z956" s="230"/>
    </row>
    <row r="957">
      <c r="O957" s="230"/>
      <c r="S957" s="230"/>
      <c r="T957" s="230"/>
      <c r="U957" s="230"/>
      <c r="V957" s="230"/>
      <c r="W957" s="230"/>
      <c r="X957" s="230"/>
      <c r="Y957" s="230"/>
      <c r="Z957" s="230"/>
    </row>
    <row r="958">
      <c r="O958" s="230"/>
      <c r="S958" s="230"/>
      <c r="T958" s="230"/>
      <c r="U958" s="230"/>
      <c r="V958" s="230"/>
      <c r="W958" s="230"/>
      <c r="X958" s="230"/>
      <c r="Y958" s="230"/>
      <c r="Z958" s="230"/>
    </row>
    <row r="959">
      <c r="O959" s="230"/>
      <c r="S959" s="230"/>
      <c r="T959" s="230"/>
      <c r="U959" s="230"/>
      <c r="V959" s="230"/>
      <c r="W959" s="230"/>
      <c r="X959" s="230"/>
      <c r="Y959" s="230"/>
      <c r="Z959" s="230"/>
    </row>
    <row r="960">
      <c r="O960" s="230"/>
      <c r="S960" s="230"/>
      <c r="T960" s="230"/>
      <c r="U960" s="230"/>
      <c r="V960" s="230"/>
      <c r="W960" s="230"/>
      <c r="X960" s="230"/>
      <c r="Y960" s="230"/>
      <c r="Z960" s="230"/>
    </row>
    <row r="961">
      <c r="O961" s="230"/>
      <c r="S961" s="230"/>
      <c r="T961" s="230"/>
      <c r="U961" s="230"/>
      <c r="V961" s="230"/>
      <c r="W961" s="230"/>
      <c r="X961" s="230"/>
      <c r="Y961" s="230"/>
      <c r="Z961" s="230"/>
    </row>
    <row r="962">
      <c r="O962" s="230"/>
      <c r="S962" s="230"/>
      <c r="T962" s="230"/>
      <c r="U962" s="230"/>
      <c r="V962" s="230"/>
      <c r="W962" s="230"/>
      <c r="X962" s="230"/>
      <c r="Y962" s="230"/>
      <c r="Z962" s="230"/>
    </row>
    <row r="963">
      <c r="O963" s="230"/>
      <c r="S963" s="230"/>
      <c r="T963" s="230"/>
      <c r="U963" s="230"/>
      <c r="V963" s="230"/>
      <c r="W963" s="230"/>
      <c r="X963" s="230"/>
      <c r="Y963" s="230"/>
      <c r="Z963" s="230"/>
    </row>
    <row r="964">
      <c r="O964" s="230"/>
      <c r="S964" s="230"/>
      <c r="T964" s="230"/>
      <c r="U964" s="230"/>
      <c r="V964" s="230"/>
      <c r="W964" s="230"/>
      <c r="X964" s="230"/>
      <c r="Y964" s="230"/>
      <c r="Z964" s="230"/>
    </row>
    <row r="965">
      <c r="O965" s="230"/>
      <c r="S965" s="230"/>
      <c r="T965" s="230"/>
      <c r="U965" s="230"/>
      <c r="V965" s="230"/>
      <c r="W965" s="230"/>
      <c r="X965" s="230"/>
      <c r="Y965" s="230"/>
      <c r="Z965" s="230"/>
    </row>
    <row r="966">
      <c r="O966" s="230"/>
      <c r="S966" s="230"/>
      <c r="T966" s="230"/>
      <c r="U966" s="230"/>
      <c r="V966" s="230"/>
      <c r="W966" s="230"/>
      <c r="X966" s="230"/>
      <c r="Y966" s="230"/>
      <c r="Z966" s="230"/>
    </row>
    <row r="967">
      <c r="O967" s="230"/>
      <c r="S967" s="230"/>
      <c r="T967" s="230"/>
      <c r="U967" s="230"/>
      <c r="V967" s="230"/>
      <c r="W967" s="230"/>
      <c r="X967" s="230"/>
      <c r="Y967" s="230"/>
      <c r="Z967" s="230"/>
    </row>
    <row r="968">
      <c r="O968" s="230"/>
      <c r="S968" s="230"/>
      <c r="T968" s="230"/>
      <c r="U968" s="230"/>
      <c r="V968" s="230"/>
      <c r="W968" s="230"/>
      <c r="X968" s="230"/>
      <c r="Y968" s="230"/>
      <c r="Z968" s="230"/>
    </row>
    <row r="969">
      <c r="O969" s="230"/>
      <c r="S969" s="230"/>
      <c r="T969" s="230"/>
      <c r="U969" s="230"/>
      <c r="V969" s="230"/>
      <c r="W969" s="230"/>
      <c r="X969" s="230"/>
      <c r="Y969" s="230"/>
      <c r="Z969" s="230"/>
    </row>
    <row r="970">
      <c r="O970" s="230"/>
      <c r="S970" s="230"/>
      <c r="T970" s="230"/>
      <c r="U970" s="230"/>
      <c r="V970" s="230"/>
      <c r="W970" s="230"/>
      <c r="X970" s="230"/>
      <c r="Y970" s="230"/>
      <c r="Z970" s="230"/>
    </row>
    <row r="971">
      <c r="O971" s="230"/>
      <c r="S971" s="230"/>
      <c r="T971" s="230"/>
      <c r="U971" s="230"/>
      <c r="V971" s="230"/>
      <c r="W971" s="230"/>
      <c r="X971" s="230"/>
      <c r="Y971" s="230"/>
      <c r="Z971" s="230"/>
    </row>
    <row r="972">
      <c r="O972" s="230"/>
      <c r="S972" s="230"/>
      <c r="T972" s="230"/>
      <c r="U972" s="230"/>
      <c r="V972" s="230"/>
      <c r="W972" s="230"/>
      <c r="X972" s="230"/>
      <c r="Y972" s="230"/>
      <c r="Z972" s="230"/>
    </row>
    <row r="973">
      <c r="O973" s="230"/>
      <c r="S973" s="230"/>
      <c r="T973" s="230"/>
      <c r="U973" s="230"/>
      <c r="V973" s="230"/>
      <c r="W973" s="230"/>
      <c r="X973" s="230"/>
      <c r="Y973" s="230"/>
      <c r="Z973" s="230"/>
    </row>
    <row r="974">
      <c r="O974" s="230"/>
      <c r="S974" s="230"/>
      <c r="T974" s="230"/>
      <c r="U974" s="230"/>
      <c r="V974" s="230"/>
      <c r="W974" s="230"/>
      <c r="X974" s="230"/>
      <c r="Y974" s="230"/>
      <c r="Z974" s="230"/>
    </row>
    <row r="975">
      <c r="O975" s="230"/>
      <c r="S975" s="230"/>
      <c r="T975" s="230"/>
      <c r="U975" s="230"/>
      <c r="V975" s="230"/>
      <c r="W975" s="230"/>
      <c r="X975" s="230"/>
      <c r="Y975" s="230"/>
      <c r="Z975" s="230"/>
    </row>
    <row r="976">
      <c r="O976" s="230"/>
      <c r="S976" s="230"/>
      <c r="T976" s="230"/>
      <c r="U976" s="230"/>
      <c r="V976" s="230"/>
      <c r="W976" s="230"/>
      <c r="X976" s="230"/>
      <c r="Y976" s="230"/>
      <c r="Z976" s="230"/>
    </row>
    <row r="977">
      <c r="O977" s="230"/>
      <c r="S977" s="230"/>
      <c r="T977" s="230"/>
      <c r="U977" s="230"/>
      <c r="V977" s="230"/>
      <c r="W977" s="230"/>
      <c r="X977" s="230"/>
      <c r="Y977" s="230"/>
      <c r="Z977" s="230"/>
    </row>
    <row r="978">
      <c r="O978" s="230"/>
      <c r="S978" s="230"/>
      <c r="T978" s="230"/>
      <c r="U978" s="230"/>
      <c r="V978" s="230"/>
      <c r="W978" s="230"/>
      <c r="X978" s="230"/>
      <c r="Y978" s="230"/>
      <c r="Z978" s="230"/>
    </row>
    <row r="979">
      <c r="O979" s="230"/>
      <c r="S979" s="230"/>
      <c r="T979" s="230"/>
      <c r="U979" s="230"/>
      <c r="V979" s="230"/>
      <c r="W979" s="230"/>
      <c r="X979" s="230"/>
      <c r="Y979" s="230"/>
      <c r="Z979" s="230"/>
    </row>
    <row r="980">
      <c r="O980" s="230"/>
      <c r="S980" s="230"/>
      <c r="T980" s="230"/>
      <c r="U980" s="230"/>
      <c r="V980" s="230"/>
      <c r="W980" s="230"/>
      <c r="X980" s="230"/>
      <c r="Y980" s="230"/>
      <c r="Z980" s="230"/>
    </row>
    <row r="981">
      <c r="O981" s="230"/>
      <c r="S981" s="230"/>
      <c r="T981" s="230"/>
      <c r="U981" s="230"/>
      <c r="V981" s="230"/>
      <c r="W981" s="230"/>
      <c r="X981" s="230"/>
      <c r="Y981" s="230"/>
      <c r="Z981" s="230"/>
    </row>
    <row r="982">
      <c r="O982" s="230"/>
      <c r="S982" s="230"/>
      <c r="T982" s="230"/>
      <c r="U982" s="230"/>
      <c r="V982" s="230"/>
      <c r="W982" s="230"/>
      <c r="X982" s="230"/>
      <c r="Y982" s="230"/>
      <c r="Z982" s="230"/>
    </row>
    <row r="983">
      <c r="O983" s="230"/>
      <c r="S983" s="230"/>
      <c r="T983" s="230"/>
      <c r="U983" s="230"/>
      <c r="V983" s="230"/>
      <c r="W983" s="230"/>
      <c r="X983" s="230"/>
      <c r="Y983" s="230"/>
      <c r="Z983" s="230"/>
    </row>
    <row r="984">
      <c r="O984" s="230"/>
      <c r="S984" s="230"/>
      <c r="T984" s="230"/>
      <c r="U984" s="230"/>
      <c r="V984" s="230"/>
      <c r="W984" s="230"/>
      <c r="X984" s="230"/>
      <c r="Y984" s="230"/>
      <c r="Z984" s="230"/>
    </row>
    <row r="985">
      <c r="O985" s="230"/>
      <c r="S985" s="230"/>
      <c r="T985" s="230"/>
      <c r="U985" s="230"/>
      <c r="V985" s="230"/>
      <c r="W985" s="230"/>
      <c r="X985" s="230"/>
      <c r="Y985" s="230"/>
      <c r="Z985" s="230"/>
    </row>
    <row r="986">
      <c r="O986" s="230"/>
      <c r="S986" s="230"/>
      <c r="T986" s="230"/>
      <c r="U986" s="230"/>
      <c r="V986" s="230"/>
      <c r="W986" s="230"/>
      <c r="X986" s="230"/>
      <c r="Y986" s="230"/>
      <c r="Z986" s="230"/>
    </row>
    <row r="987">
      <c r="O987" s="230"/>
      <c r="S987" s="230"/>
      <c r="T987" s="230"/>
      <c r="U987" s="230"/>
      <c r="V987" s="230"/>
      <c r="W987" s="230"/>
      <c r="X987" s="230"/>
      <c r="Y987" s="230"/>
      <c r="Z987" s="230"/>
    </row>
    <row r="988">
      <c r="O988" s="230"/>
      <c r="S988" s="230"/>
      <c r="T988" s="230"/>
      <c r="U988" s="230"/>
      <c r="V988" s="230"/>
      <c r="W988" s="230"/>
      <c r="X988" s="230"/>
      <c r="Y988" s="230"/>
      <c r="Z988" s="230"/>
    </row>
    <row r="989">
      <c r="O989" s="230"/>
      <c r="S989" s="230"/>
      <c r="T989" s="230"/>
      <c r="U989" s="230"/>
      <c r="V989" s="230"/>
      <c r="W989" s="230"/>
      <c r="X989" s="230"/>
      <c r="Y989" s="230"/>
      <c r="Z989" s="230"/>
    </row>
    <row r="990">
      <c r="O990" s="230"/>
      <c r="S990" s="230"/>
      <c r="T990" s="230"/>
      <c r="U990" s="230"/>
      <c r="V990" s="230"/>
      <c r="W990" s="230"/>
      <c r="X990" s="230"/>
      <c r="Y990" s="230"/>
      <c r="Z990" s="230"/>
    </row>
    <row r="991">
      <c r="O991" s="230"/>
      <c r="S991" s="230"/>
      <c r="T991" s="230"/>
      <c r="U991" s="230"/>
      <c r="V991" s="230"/>
      <c r="W991" s="230"/>
      <c r="X991" s="230"/>
      <c r="Y991" s="230"/>
      <c r="Z991" s="230"/>
    </row>
    <row r="992">
      <c r="O992" s="230"/>
      <c r="S992" s="230"/>
      <c r="T992" s="230"/>
      <c r="U992" s="230"/>
      <c r="V992" s="230"/>
      <c r="W992" s="230"/>
      <c r="X992" s="230"/>
      <c r="Y992" s="230"/>
      <c r="Z992" s="230"/>
    </row>
    <row r="993">
      <c r="O993" s="230"/>
      <c r="S993" s="230"/>
      <c r="T993" s="230"/>
      <c r="U993" s="230"/>
      <c r="V993" s="230"/>
      <c r="W993" s="230"/>
      <c r="X993" s="230"/>
      <c r="Y993" s="230"/>
      <c r="Z993" s="230"/>
    </row>
    <row r="994">
      <c r="O994" s="230"/>
      <c r="S994" s="230"/>
      <c r="T994" s="230"/>
      <c r="U994" s="230"/>
      <c r="V994" s="230"/>
      <c r="W994" s="230"/>
      <c r="X994" s="230"/>
      <c r="Y994" s="230"/>
      <c r="Z994" s="230"/>
    </row>
    <row r="995">
      <c r="O995" s="230"/>
      <c r="S995" s="230"/>
      <c r="T995" s="230"/>
      <c r="U995" s="230"/>
      <c r="V995" s="230"/>
      <c r="W995" s="230"/>
      <c r="X995" s="230"/>
      <c r="Y995" s="230"/>
      <c r="Z995" s="230"/>
    </row>
    <row r="996">
      <c r="O996" s="230"/>
      <c r="S996" s="230"/>
      <c r="T996" s="230"/>
      <c r="U996" s="230"/>
      <c r="V996" s="230"/>
      <c r="W996" s="230"/>
      <c r="X996" s="230"/>
      <c r="Y996" s="230"/>
      <c r="Z996" s="230"/>
    </row>
    <row r="997">
      <c r="O997" s="230"/>
      <c r="S997" s="230"/>
      <c r="T997" s="230"/>
      <c r="U997" s="230"/>
      <c r="V997" s="230"/>
      <c r="W997" s="230"/>
      <c r="X997" s="230"/>
      <c r="Y997" s="230"/>
      <c r="Z997" s="230"/>
    </row>
    <row r="998">
      <c r="O998" s="230"/>
      <c r="S998" s="230"/>
      <c r="T998" s="230"/>
      <c r="U998" s="230"/>
      <c r="V998" s="230"/>
      <c r="W998" s="230"/>
      <c r="X998" s="230"/>
      <c r="Y998" s="230"/>
      <c r="Z998" s="230"/>
    </row>
    <row r="999">
      <c r="O999" s="230"/>
      <c r="S999" s="230"/>
      <c r="T999" s="230"/>
      <c r="U999" s="230"/>
      <c r="V999" s="230"/>
      <c r="W999" s="230"/>
      <c r="X999" s="230"/>
      <c r="Y999" s="230"/>
      <c r="Z999" s="230"/>
    </row>
    <row r="1000">
      <c r="O1000" s="230"/>
      <c r="S1000" s="230"/>
      <c r="T1000" s="230"/>
      <c r="U1000" s="230"/>
      <c r="V1000" s="230"/>
      <c r="W1000" s="230"/>
      <c r="X1000" s="230"/>
      <c r="Y1000" s="230"/>
      <c r="Z1000" s="230"/>
    </row>
    <row r="1001">
      <c r="O1001" s="230"/>
      <c r="S1001" s="230"/>
      <c r="T1001" s="230"/>
      <c r="U1001" s="230"/>
      <c r="V1001" s="230"/>
      <c r="W1001" s="230"/>
      <c r="X1001" s="230"/>
      <c r="Y1001" s="230"/>
      <c r="Z1001" s="230"/>
    </row>
    <row r="1002">
      <c r="O1002" s="230"/>
      <c r="S1002" s="230"/>
      <c r="T1002" s="230"/>
      <c r="U1002" s="230"/>
      <c r="V1002" s="230"/>
      <c r="W1002" s="230"/>
      <c r="X1002" s="230"/>
      <c r="Y1002" s="230"/>
      <c r="Z1002" s="230"/>
    </row>
    <row r="1003">
      <c r="O1003" s="230"/>
      <c r="S1003" s="230"/>
      <c r="T1003" s="230"/>
      <c r="U1003" s="230"/>
      <c r="V1003" s="230"/>
      <c r="W1003" s="230"/>
      <c r="X1003" s="230"/>
      <c r="Y1003" s="230"/>
      <c r="Z1003" s="230"/>
    </row>
    <row r="1004">
      <c r="O1004" s="230"/>
      <c r="S1004" s="230"/>
      <c r="T1004" s="230"/>
      <c r="U1004" s="230"/>
      <c r="V1004" s="230"/>
      <c r="W1004" s="230"/>
      <c r="X1004" s="230"/>
      <c r="Y1004" s="230"/>
      <c r="Z1004" s="230"/>
    </row>
    <row r="1005">
      <c r="O1005" s="230"/>
      <c r="S1005" s="230"/>
      <c r="T1005" s="230"/>
      <c r="U1005" s="230"/>
      <c r="V1005" s="230"/>
      <c r="W1005" s="230"/>
      <c r="X1005" s="230"/>
      <c r="Y1005" s="230"/>
      <c r="Z1005" s="230"/>
    </row>
    <row r="1006">
      <c r="O1006" s="230"/>
      <c r="S1006" s="230"/>
      <c r="T1006" s="230"/>
      <c r="U1006" s="230"/>
      <c r="V1006" s="230"/>
      <c r="W1006" s="230"/>
      <c r="X1006" s="230"/>
      <c r="Y1006" s="230"/>
      <c r="Z1006" s="230"/>
    </row>
    <row r="1007">
      <c r="O1007" s="230"/>
      <c r="S1007" s="230"/>
      <c r="T1007" s="230"/>
      <c r="U1007" s="230"/>
      <c r="V1007" s="230"/>
      <c r="W1007" s="230"/>
      <c r="X1007" s="230"/>
      <c r="Y1007" s="230"/>
      <c r="Z1007" s="230"/>
    </row>
    <row r="1008">
      <c r="O1008" s="230"/>
      <c r="S1008" s="230"/>
      <c r="T1008" s="230"/>
      <c r="U1008" s="230"/>
      <c r="V1008" s="230"/>
      <c r="W1008" s="230"/>
      <c r="X1008" s="230"/>
      <c r="Y1008" s="230"/>
      <c r="Z1008" s="230"/>
    </row>
    <row r="1009">
      <c r="O1009" s="230"/>
      <c r="S1009" s="230"/>
      <c r="T1009" s="230"/>
      <c r="U1009" s="230"/>
      <c r="V1009" s="230"/>
      <c r="W1009" s="230"/>
      <c r="X1009" s="230"/>
      <c r="Y1009" s="230"/>
      <c r="Z1009" s="230"/>
    </row>
    <row r="1010">
      <c r="O1010" s="230"/>
      <c r="S1010" s="230"/>
      <c r="T1010" s="230"/>
      <c r="U1010" s="230"/>
      <c r="V1010" s="230"/>
      <c r="W1010" s="230"/>
      <c r="X1010" s="230"/>
      <c r="Y1010" s="230"/>
      <c r="Z1010" s="230"/>
    </row>
    <row r="1011">
      <c r="O1011" s="230"/>
      <c r="S1011" s="230"/>
      <c r="T1011" s="230"/>
      <c r="U1011" s="230"/>
      <c r="V1011" s="230"/>
      <c r="W1011" s="230"/>
      <c r="X1011" s="230"/>
      <c r="Y1011" s="230"/>
      <c r="Z1011" s="230"/>
    </row>
    <row r="1012">
      <c r="O1012" s="230"/>
      <c r="S1012" s="230"/>
      <c r="T1012" s="230"/>
      <c r="U1012" s="230"/>
      <c r="V1012" s="230"/>
      <c r="W1012" s="230"/>
      <c r="X1012" s="230"/>
      <c r="Y1012" s="230"/>
      <c r="Z1012" s="230"/>
    </row>
    <row r="1013">
      <c r="O1013" s="230"/>
      <c r="S1013" s="230"/>
      <c r="T1013" s="230"/>
      <c r="U1013" s="230"/>
      <c r="V1013" s="230"/>
      <c r="W1013" s="230"/>
      <c r="X1013" s="230"/>
      <c r="Y1013" s="230"/>
      <c r="Z1013" s="230"/>
    </row>
    <row r="1014">
      <c r="O1014" s="230"/>
      <c r="S1014" s="230"/>
      <c r="T1014" s="230"/>
      <c r="U1014" s="230"/>
      <c r="V1014" s="230"/>
      <c r="W1014" s="230"/>
      <c r="X1014" s="230"/>
      <c r="Y1014" s="230"/>
      <c r="Z1014" s="230"/>
    </row>
    <row r="1015">
      <c r="O1015" s="230"/>
      <c r="S1015" s="230"/>
      <c r="T1015" s="230"/>
      <c r="U1015" s="230"/>
      <c r="V1015" s="230"/>
      <c r="W1015" s="230"/>
      <c r="X1015" s="230"/>
      <c r="Y1015" s="230"/>
      <c r="Z1015" s="230"/>
    </row>
    <row r="1016">
      <c r="O1016" s="230"/>
      <c r="S1016" s="230"/>
      <c r="T1016" s="230"/>
      <c r="U1016" s="230"/>
      <c r="V1016" s="230"/>
      <c r="W1016" s="230"/>
      <c r="X1016" s="230"/>
      <c r="Y1016" s="230"/>
      <c r="Z1016" s="230"/>
    </row>
    <row r="1017">
      <c r="O1017" s="230"/>
      <c r="S1017" s="230"/>
      <c r="T1017" s="230"/>
      <c r="U1017" s="230"/>
      <c r="V1017" s="230"/>
      <c r="W1017" s="230"/>
      <c r="X1017" s="230"/>
      <c r="Y1017" s="230"/>
      <c r="Z1017" s="230"/>
    </row>
    <row r="1018">
      <c r="O1018" s="230"/>
      <c r="S1018" s="230"/>
      <c r="T1018" s="230"/>
      <c r="U1018" s="230"/>
      <c r="V1018" s="230"/>
      <c r="W1018" s="230"/>
      <c r="X1018" s="230"/>
      <c r="Y1018" s="230"/>
      <c r="Z1018" s="230"/>
    </row>
    <row r="1019">
      <c r="O1019" s="230"/>
      <c r="S1019" s="230"/>
      <c r="T1019" s="230"/>
      <c r="U1019" s="230"/>
      <c r="V1019" s="230"/>
      <c r="W1019" s="230"/>
      <c r="X1019" s="230"/>
      <c r="Y1019" s="230"/>
      <c r="Z1019" s="230"/>
    </row>
    <row r="1020">
      <c r="O1020" s="230"/>
      <c r="S1020" s="230"/>
      <c r="T1020" s="230"/>
      <c r="U1020" s="230"/>
      <c r="V1020" s="230"/>
      <c r="W1020" s="230"/>
      <c r="X1020" s="230"/>
      <c r="Y1020" s="230"/>
      <c r="Z1020" s="230"/>
    </row>
    <row r="1021">
      <c r="O1021" s="230"/>
      <c r="S1021" s="230"/>
      <c r="T1021" s="230"/>
      <c r="U1021" s="230"/>
      <c r="V1021" s="230"/>
      <c r="W1021" s="230"/>
      <c r="X1021" s="230"/>
      <c r="Y1021" s="230"/>
      <c r="Z1021" s="230"/>
    </row>
    <row r="1022">
      <c r="O1022" s="230"/>
      <c r="S1022" s="230"/>
      <c r="T1022" s="230"/>
      <c r="U1022" s="230"/>
      <c r="V1022" s="230"/>
      <c r="W1022" s="230"/>
      <c r="X1022" s="230"/>
      <c r="Y1022" s="230"/>
      <c r="Z1022" s="230"/>
    </row>
    <row r="1023">
      <c r="O1023" s="230"/>
      <c r="S1023" s="230"/>
      <c r="T1023" s="230"/>
      <c r="U1023" s="230"/>
      <c r="V1023" s="230"/>
      <c r="W1023" s="230"/>
      <c r="X1023" s="230"/>
      <c r="Y1023" s="230"/>
      <c r="Z1023" s="230"/>
    </row>
    <row r="1024">
      <c r="O1024" s="230"/>
      <c r="S1024" s="230"/>
      <c r="T1024" s="230"/>
      <c r="U1024" s="230"/>
      <c r="V1024" s="230"/>
      <c r="W1024" s="230"/>
      <c r="X1024" s="230"/>
      <c r="Y1024" s="230"/>
      <c r="Z1024" s="230"/>
    </row>
    <row r="1025">
      <c r="O1025" s="230"/>
      <c r="S1025" s="230"/>
      <c r="T1025" s="230"/>
      <c r="U1025" s="230"/>
      <c r="V1025" s="230"/>
      <c r="W1025" s="230"/>
      <c r="X1025" s="230"/>
      <c r="Y1025" s="230"/>
      <c r="Z1025" s="230"/>
    </row>
    <row r="1026">
      <c r="O1026" s="230"/>
      <c r="S1026" s="230"/>
      <c r="T1026" s="230"/>
      <c r="U1026" s="230"/>
      <c r="V1026" s="230"/>
      <c r="W1026" s="230"/>
      <c r="X1026" s="230"/>
      <c r="Y1026" s="230"/>
      <c r="Z1026" s="230"/>
    </row>
    <row r="1027">
      <c r="O1027" s="230"/>
      <c r="S1027" s="230"/>
      <c r="T1027" s="230"/>
      <c r="U1027" s="230"/>
      <c r="V1027" s="230"/>
      <c r="W1027" s="230"/>
      <c r="X1027" s="230"/>
      <c r="Y1027" s="230"/>
      <c r="Z1027" s="230"/>
    </row>
    <row r="1028">
      <c r="O1028" s="230"/>
      <c r="S1028" s="230"/>
      <c r="T1028" s="230"/>
      <c r="U1028" s="230"/>
      <c r="V1028" s="230"/>
      <c r="W1028" s="230"/>
      <c r="X1028" s="230"/>
      <c r="Y1028" s="230"/>
      <c r="Z1028" s="230"/>
    </row>
    <row r="1029">
      <c r="O1029" s="230"/>
      <c r="S1029" s="230"/>
      <c r="T1029" s="230"/>
      <c r="U1029" s="230"/>
      <c r="V1029" s="230"/>
      <c r="W1029" s="230"/>
      <c r="X1029" s="230"/>
      <c r="Y1029" s="230"/>
      <c r="Z1029" s="230"/>
    </row>
    <row r="1030">
      <c r="O1030" s="230"/>
      <c r="S1030" s="230"/>
      <c r="T1030" s="230"/>
      <c r="U1030" s="230"/>
      <c r="V1030" s="230"/>
      <c r="W1030" s="230"/>
      <c r="X1030" s="230"/>
      <c r="Y1030" s="230"/>
      <c r="Z1030" s="230"/>
    </row>
    <row r="1031">
      <c r="O1031" s="230"/>
      <c r="S1031" s="230"/>
      <c r="T1031" s="230"/>
      <c r="U1031" s="230"/>
      <c r="V1031" s="230"/>
      <c r="W1031" s="230"/>
      <c r="X1031" s="230"/>
      <c r="Y1031" s="230"/>
      <c r="Z1031" s="230"/>
    </row>
    <row r="1032">
      <c r="O1032" s="230"/>
      <c r="S1032" s="230"/>
      <c r="T1032" s="230"/>
      <c r="U1032" s="230"/>
      <c r="V1032" s="230"/>
      <c r="W1032" s="230"/>
      <c r="X1032" s="230"/>
      <c r="Y1032" s="230"/>
      <c r="Z1032" s="230"/>
    </row>
    <row r="1033">
      <c r="O1033" s="230"/>
      <c r="S1033" s="230"/>
      <c r="T1033" s="230"/>
      <c r="U1033" s="230"/>
      <c r="V1033" s="230"/>
      <c r="W1033" s="230"/>
      <c r="X1033" s="230"/>
      <c r="Y1033" s="230"/>
      <c r="Z1033" s="230"/>
    </row>
    <row r="1034">
      <c r="O1034" s="230"/>
      <c r="S1034" s="230"/>
      <c r="T1034" s="230"/>
      <c r="U1034" s="230"/>
      <c r="V1034" s="230"/>
      <c r="W1034" s="230"/>
      <c r="X1034" s="230"/>
      <c r="Y1034" s="230"/>
      <c r="Z1034" s="230"/>
    </row>
    <row r="1035">
      <c r="O1035" s="230"/>
      <c r="S1035" s="230"/>
      <c r="T1035" s="230"/>
      <c r="U1035" s="230"/>
      <c r="V1035" s="230"/>
      <c r="W1035" s="230"/>
      <c r="X1035" s="230"/>
      <c r="Y1035" s="230"/>
      <c r="Z1035" s="230"/>
    </row>
    <row r="1036">
      <c r="O1036" s="230"/>
      <c r="S1036" s="230"/>
      <c r="T1036" s="230"/>
      <c r="U1036" s="230"/>
      <c r="V1036" s="230"/>
      <c r="W1036" s="230"/>
      <c r="X1036" s="230"/>
      <c r="Y1036" s="230"/>
      <c r="Z1036" s="230"/>
    </row>
    <row r="1037">
      <c r="O1037" s="230"/>
      <c r="S1037" s="230"/>
      <c r="T1037" s="230"/>
      <c r="U1037" s="230"/>
      <c r="V1037" s="230"/>
      <c r="W1037" s="230"/>
      <c r="X1037" s="230"/>
      <c r="Y1037" s="230"/>
      <c r="Z1037" s="230"/>
    </row>
    <row r="1038">
      <c r="O1038" s="230"/>
      <c r="S1038" s="230"/>
      <c r="T1038" s="230"/>
      <c r="U1038" s="230"/>
      <c r="V1038" s="230"/>
      <c r="W1038" s="230"/>
      <c r="X1038" s="230"/>
      <c r="Y1038" s="230"/>
      <c r="Z1038" s="230"/>
    </row>
    <row r="1039">
      <c r="O1039" s="230"/>
      <c r="S1039" s="230"/>
      <c r="T1039" s="230"/>
      <c r="U1039" s="230"/>
      <c r="V1039" s="230"/>
      <c r="W1039" s="230"/>
      <c r="X1039" s="230"/>
      <c r="Y1039" s="230"/>
      <c r="Z1039" s="230"/>
    </row>
    <row r="1040">
      <c r="O1040" s="230"/>
      <c r="S1040" s="230"/>
      <c r="T1040" s="230"/>
      <c r="U1040" s="230"/>
      <c r="V1040" s="230"/>
      <c r="W1040" s="230"/>
      <c r="X1040" s="230"/>
      <c r="Y1040" s="230"/>
      <c r="Z1040" s="230"/>
    </row>
    <row r="1041">
      <c r="O1041" s="230"/>
      <c r="S1041" s="230"/>
      <c r="T1041" s="230"/>
      <c r="U1041" s="230"/>
      <c r="V1041" s="230"/>
      <c r="W1041" s="230"/>
      <c r="X1041" s="230"/>
      <c r="Y1041" s="230"/>
      <c r="Z1041" s="230"/>
    </row>
    <row r="1042">
      <c r="O1042" s="230"/>
      <c r="S1042" s="230"/>
      <c r="T1042" s="230"/>
      <c r="U1042" s="230"/>
      <c r="V1042" s="230"/>
      <c r="W1042" s="230"/>
      <c r="X1042" s="230"/>
      <c r="Y1042" s="230"/>
      <c r="Z1042" s="230"/>
    </row>
    <row r="1043">
      <c r="O1043" s="230"/>
      <c r="S1043" s="230"/>
      <c r="T1043" s="230"/>
      <c r="U1043" s="230"/>
      <c r="V1043" s="230"/>
      <c r="W1043" s="230"/>
      <c r="X1043" s="230"/>
      <c r="Y1043" s="230"/>
      <c r="Z1043" s="230"/>
    </row>
    <row r="1044">
      <c r="O1044" s="230"/>
      <c r="S1044" s="230"/>
      <c r="T1044" s="230"/>
      <c r="U1044" s="230"/>
      <c r="V1044" s="230"/>
      <c r="W1044" s="230"/>
      <c r="X1044" s="230"/>
      <c r="Y1044" s="230"/>
      <c r="Z1044" s="230"/>
    </row>
    <row r="1045">
      <c r="O1045" s="230"/>
      <c r="S1045" s="230"/>
      <c r="T1045" s="230"/>
      <c r="U1045" s="230"/>
      <c r="V1045" s="230"/>
      <c r="W1045" s="230"/>
      <c r="X1045" s="230"/>
      <c r="Y1045" s="230"/>
      <c r="Z1045" s="230"/>
    </row>
    <row r="1046">
      <c r="O1046" s="230"/>
      <c r="S1046" s="230"/>
      <c r="T1046" s="230"/>
      <c r="U1046" s="230"/>
      <c r="V1046" s="230"/>
      <c r="W1046" s="230"/>
      <c r="X1046" s="230"/>
      <c r="Y1046" s="230"/>
      <c r="Z1046" s="230"/>
    </row>
    <row r="1047">
      <c r="O1047" s="230"/>
      <c r="S1047" s="230"/>
      <c r="T1047" s="230"/>
      <c r="U1047" s="230"/>
      <c r="V1047" s="230"/>
      <c r="W1047" s="230"/>
      <c r="X1047" s="230"/>
      <c r="Y1047" s="230"/>
      <c r="Z1047" s="230"/>
    </row>
    <row r="1048">
      <c r="O1048" s="230"/>
      <c r="S1048" s="230"/>
      <c r="T1048" s="230"/>
      <c r="U1048" s="230"/>
      <c r="V1048" s="230"/>
      <c r="W1048" s="230"/>
      <c r="X1048" s="230"/>
      <c r="Y1048" s="230"/>
      <c r="Z1048" s="230"/>
    </row>
    <row r="1049">
      <c r="O1049" s="230"/>
      <c r="S1049" s="230"/>
      <c r="T1049" s="230"/>
      <c r="U1049" s="230"/>
      <c r="V1049" s="230"/>
      <c r="W1049" s="230"/>
      <c r="X1049" s="230"/>
      <c r="Y1049" s="230"/>
      <c r="Z1049" s="230"/>
    </row>
    <row r="1050">
      <c r="O1050" s="230"/>
      <c r="S1050" s="230"/>
      <c r="T1050" s="230"/>
      <c r="U1050" s="230"/>
      <c r="V1050" s="230"/>
      <c r="W1050" s="230"/>
      <c r="X1050" s="230"/>
      <c r="Y1050" s="230"/>
      <c r="Z1050" s="230"/>
    </row>
    <row r="1051">
      <c r="O1051" s="230"/>
      <c r="S1051" s="230"/>
      <c r="T1051" s="230"/>
      <c r="U1051" s="230"/>
      <c r="V1051" s="230"/>
      <c r="W1051" s="230"/>
      <c r="X1051" s="230"/>
      <c r="Y1051" s="230"/>
      <c r="Z1051" s="230"/>
    </row>
    <row r="1052">
      <c r="O1052" s="230"/>
      <c r="S1052" s="230"/>
      <c r="T1052" s="230"/>
      <c r="U1052" s="230"/>
      <c r="V1052" s="230"/>
      <c r="W1052" s="230"/>
      <c r="X1052" s="230"/>
      <c r="Y1052" s="230"/>
      <c r="Z1052" s="230"/>
    </row>
    <row r="1053">
      <c r="O1053" s="230"/>
      <c r="S1053" s="230"/>
      <c r="T1053" s="230"/>
      <c r="U1053" s="230"/>
      <c r="V1053" s="230"/>
      <c r="W1053" s="230"/>
      <c r="X1053" s="230"/>
      <c r="Y1053" s="230"/>
      <c r="Z1053" s="230"/>
    </row>
    <row r="1054">
      <c r="O1054" s="230"/>
      <c r="S1054" s="230"/>
      <c r="T1054" s="230"/>
      <c r="U1054" s="230"/>
      <c r="V1054" s="230"/>
      <c r="W1054" s="230"/>
      <c r="X1054" s="230"/>
      <c r="Y1054" s="230"/>
      <c r="Z1054" s="230"/>
    </row>
    <row r="1055">
      <c r="O1055" s="230"/>
      <c r="S1055" s="230"/>
      <c r="T1055" s="230"/>
      <c r="U1055" s="230"/>
      <c r="V1055" s="230"/>
      <c r="W1055" s="230"/>
      <c r="X1055" s="230"/>
      <c r="Y1055" s="230"/>
      <c r="Z1055" s="230"/>
    </row>
    <row r="1056">
      <c r="O1056" s="230"/>
      <c r="S1056" s="230"/>
      <c r="T1056" s="230"/>
      <c r="U1056" s="230"/>
      <c r="V1056" s="230"/>
      <c r="W1056" s="230"/>
      <c r="X1056" s="230"/>
      <c r="Y1056" s="230"/>
      <c r="Z1056" s="230"/>
    </row>
    <row r="1057">
      <c r="O1057" s="230"/>
      <c r="S1057" s="230"/>
      <c r="T1057" s="230"/>
      <c r="U1057" s="230"/>
      <c r="V1057" s="230"/>
      <c r="W1057" s="230"/>
      <c r="X1057" s="230"/>
      <c r="Y1057" s="230"/>
      <c r="Z1057" s="230"/>
    </row>
    <row r="1058">
      <c r="O1058" s="230"/>
      <c r="S1058" s="230"/>
      <c r="T1058" s="230"/>
      <c r="U1058" s="230"/>
      <c r="V1058" s="230"/>
      <c r="W1058" s="230"/>
      <c r="X1058" s="230"/>
      <c r="Y1058" s="230"/>
      <c r="Z1058" s="230"/>
    </row>
    <row r="1059">
      <c r="O1059" s="230"/>
      <c r="S1059" s="230"/>
      <c r="T1059" s="230"/>
      <c r="U1059" s="230"/>
      <c r="V1059" s="230"/>
      <c r="W1059" s="230"/>
      <c r="X1059" s="230"/>
      <c r="Y1059" s="230"/>
      <c r="Z1059" s="230"/>
    </row>
    <row r="1060">
      <c r="O1060" s="230"/>
      <c r="S1060" s="230"/>
      <c r="T1060" s="230"/>
      <c r="U1060" s="230"/>
      <c r="V1060" s="230"/>
      <c r="W1060" s="230"/>
      <c r="X1060" s="230"/>
      <c r="Y1060" s="230"/>
      <c r="Z1060" s="230"/>
    </row>
    <row r="1061">
      <c r="O1061" s="230"/>
      <c r="S1061" s="230"/>
      <c r="T1061" s="230"/>
      <c r="U1061" s="230"/>
      <c r="V1061" s="230"/>
      <c r="W1061" s="230"/>
      <c r="X1061" s="230"/>
      <c r="Y1061" s="230"/>
      <c r="Z1061" s="230"/>
    </row>
    <row r="1062">
      <c r="O1062" s="230"/>
      <c r="S1062" s="230"/>
      <c r="T1062" s="230"/>
      <c r="U1062" s="230"/>
      <c r="V1062" s="230"/>
      <c r="W1062" s="230"/>
      <c r="X1062" s="230"/>
      <c r="Y1062" s="230"/>
      <c r="Z1062" s="230"/>
    </row>
    <row r="1063">
      <c r="O1063" s="230"/>
      <c r="S1063" s="230"/>
      <c r="T1063" s="230"/>
      <c r="U1063" s="230"/>
      <c r="V1063" s="230"/>
      <c r="W1063" s="230"/>
      <c r="X1063" s="230"/>
      <c r="Y1063" s="230"/>
      <c r="Z1063" s="230"/>
    </row>
    <row r="1064">
      <c r="O1064" s="230"/>
      <c r="S1064" s="230"/>
      <c r="T1064" s="230"/>
      <c r="U1064" s="230"/>
      <c r="V1064" s="230"/>
      <c r="W1064" s="230"/>
      <c r="X1064" s="230"/>
      <c r="Y1064" s="230"/>
      <c r="Z1064" s="230"/>
    </row>
    <row r="1065">
      <c r="O1065" s="230"/>
      <c r="S1065" s="230"/>
      <c r="T1065" s="230"/>
      <c r="U1065" s="230"/>
      <c r="V1065" s="230"/>
      <c r="W1065" s="230"/>
      <c r="X1065" s="230"/>
      <c r="Y1065" s="230"/>
      <c r="Z1065" s="230"/>
    </row>
    <row r="1066">
      <c r="O1066" s="230"/>
      <c r="S1066" s="230"/>
      <c r="T1066" s="230"/>
      <c r="U1066" s="230"/>
      <c r="V1066" s="230"/>
      <c r="W1066" s="230"/>
      <c r="X1066" s="230"/>
      <c r="Y1066" s="230"/>
      <c r="Z1066" s="230"/>
    </row>
    <row r="1067">
      <c r="O1067" s="230"/>
      <c r="S1067" s="230"/>
      <c r="T1067" s="230"/>
      <c r="U1067" s="230"/>
      <c r="V1067" s="230"/>
      <c r="W1067" s="230"/>
      <c r="X1067" s="230"/>
      <c r="Y1067" s="230"/>
      <c r="Z1067" s="230"/>
    </row>
    <row r="1068">
      <c r="O1068" s="230"/>
      <c r="S1068" s="230"/>
      <c r="T1068" s="230"/>
      <c r="U1068" s="230"/>
      <c r="V1068" s="230"/>
      <c r="W1068" s="230"/>
      <c r="X1068" s="230"/>
      <c r="Y1068" s="230"/>
      <c r="Z1068" s="230"/>
    </row>
    <row r="1069">
      <c r="O1069" s="230"/>
      <c r="S1069" s="230"/>
      <c r="T1069" s="230"/>
      <c r="U1069" s="230"/>
      <c r="V1069" s="230"/>
      <c r="W1069" s="230"/>
      <c r="X1069" s="230"/>
      <c r="Y1069" s="230"/>
      <c r="Z1069" s="230"/>
    </row>
    <row r="1070">
      <c r="O1070" s="230"/>
      <c r="S1070" s="230"/>
      <c r="T1070" s="230"/>
      <c r="U1070" s="230"/>
      <c r="V1070" s="230"/>
      <c r="W1070" s="230"/>
      <c r="X1070" s="230"/>
      <c r="Y1070" s="230"/>
      <c r="Z1070" s="230"/>
    </row>
    <row r="1071">
      <c r="O1071" s="230"/>
      <c r="S1071" s="230"/>
      <c r="T1071" s="230"/>
      <c r="U1071" s="230"/>
      <c r="V1071" s="230"/>
      <c r="W1071" s="230"/>
      <c r="X1071" s="230"/>
      <c r="Y1071" s="230"/>
      <c r="Z1071" s="230"/>
    </row>
    <row r="1072">
      <c r="O1072" s="230"/>
      <c r="S1072" s="230"/>
      <c r="T1072" s="230"/>
      <c r="U1072" s="230"/>
      <c r="V1072" s="230"/>
      <c r="W1072" s="230"/>
      <c r="X1072" s="230"/>
      <c r="Y1072" s="230"/>
      <c r="Z1072" s="230"/>
    </row>
    <row r="1073">
      <c r="O1073" s="230"/>
      <c r="S1073" s="230"/>
      <c r="T1073" s="230"/>
      <c r="U1073" s="230"/>
      <c r="V1073" s="230"/>
      <c r="W1073" s="230"/>
      <c r="X1073" s="230"/>
      <c r="Y1073" s="230"/>
      <c r="Z1073" s="230"/>
    </row>
    <row r="1074">
      <c r="O1074" s="230"/>
      <c r="S1074" s="230"/>
      <c r="T1074" s="230"/>
      <c r="U1074" s="230"/>
      <c r="V1074" s="230"/>
      <c r="W1074" s="230"/>
      <c r="X1074" s="230"/>
      <c r="Y1074" s="230"/>
      <c r="Z1074" s="230"/>
    </row>
    <row r="1075">
      <c r="O1075" s="230"/>
      <c r="S1075" s="230"/>
      <c r="T1075" s="230"/>
      <c r="U1075" s="230"/>
      <c r="V1075" s="230"/>
      <c r="W1075" s="230"/>
      <c r="X1075" s="230"/>
      <c r="Y1075" s="230"/>
      <c r="Z1075" s="230"/>
    </row>
    <row r="1076">
      <c r="O1076" s="230"/>
      <c r="S1076" s="230"/>
      <c r="T1076" s="230"/>
      <c r="U1076" s="230"/>
      <c r="V1076" s="230"/>
      <c r="W1076" s="230"/>
      <c r="X1076" s="230"/>
      <c r="Y1076" s="230"/>
      <c r="Z1076" s="230"/>
    </row>
    <row r="1077">
      <c r="O1077" s="230"/>
      <c r="S1077" s="230"/>
      <c r="T1077" s="230"/>
      <c r="U1077" s="230"/>
      <c r="V1077" s="230"/>
      <c r="W1077" s="230"/>
      <c r="X1077" s="230"/>
      <c r="Y1077" s="230"/>
      <c r="Z1077" s="230"/>
    </row>
    <row r="1078">
      <c r="O1078" s="230"/>
      <c r="S1078" s="230"/>
      <c r="T1078" s="230"/>
      <c r="U1078" s="230"/>
      <c r="V1078" s="230"/>
      <c r="W1078" s="230"/>
      <c r="X1078" s="230"/>
      <c r="Y1078" s="230"/>
      <c r="Z1078" s="230"/>
    </row>
    <row r="1079">
      <c r="O1079" s="230"/>
      <c r="S1079" s="230"/>
      <c r="T1079" s="230"/>
      <c r="U1079" s="230"/>
      <c r="V1079" s="230"/>
      <c r="W1079" s="230"/>
      <c r="X1079" s="230"/>
      <c r="Y1079" s="230"/>
      <c r="Z1079" s="230"/>
    </row>
    <row r="1080">
      <c r="O1080" s="230"/>
      <c r="S1080" s="230"/>
      <c r="T1080" s="230"/>
      <c r="U1080" s="230"/>
      <c r="V1080" s="230"/>
      <c r="W1080" s="230"/>
      <c r="X1080" s="230"/>
      <c r="Y1080" s="230"/>
      <c r="Z1080" s="230"/>
    </row>
    <row r="1081">
      <c r="O1081" s="230"/>
      <c r="S1081" s="230"/>
      <c r="T1081" s="230"/>
      <c r="U1081" s="230"/>
      <c r="V1081" s="230"/>
      <c r="W1081" s="230"/>
      <c r="X1081" s="230"/>
      <c r="Y1081" s="230"/>
      <c r="Z1081" s="230"/>
    </row>
    <row r="1082">
      <c r="O1082" s="230"/>
      <c r="S1082" s="230"/>
      <c r="T1082" s="230"/>
      <c r="U1082" s="230"/>
      <c r="V1082" s="230"/>
      <c r="W1082" s="230"/>
      <c r="X1082" s="230"/>
      <c r="Y1082" s="230"/>
      <c r="Z1082" s="230"/>
    </row>
    <row r="1083">
      <c r="O1083" s="230"/>
      <c r="S1083" s="230"/>
      <c r="T1083" s="230"/>
      <c r="U1083" s="230"/>
      <c r="V1083" s="230"/>
      <c r="W1083" s="230"/>
      <c r="X1083" s="230"/>
      <c r="Y1083" s="230"/>
      <c r="Z1083" s="230"/>
    </row>
    <row r="1084">
      <c r="O1084" s="230"/>
      <c r="S1084" s="230"/>
      <c r="T1084" s="230"/>
      <c r="U1084" s="230"/>
      <c r="V1084" s="230"/>
      <c r="W1084" s="230"/>
      <c r="X1084" s="230"/>
      <c r="Y1084" s="230"/>
      <c r="Z1084" s="230"/>
    </row>
    <row r="1085">
      <c r="O1085" s="230"/>
      <c r="S1085" s="230"/>
      <c r="T1085" s="230"/>
      <c r="U1085" s="230"/>
      <c r="V1085" s="230"/>
      <c r="W1085" s="230"/>
      <c r="X1085" s="230"/>
      <c r="Y1085" s="230"/>
      <c r="Z1085" s="230"/>
    </row>
    <row r="1086">
      <c r="O1086" s="230"/>
      <c r="S1086" s="230"/>
      <c r="T1086" s="230"/>
      <c r="U1086" s="230"/>
      <c r="V1086" s="230"/>
      <c r="W1086" s="230"/>
      <c r="X1086" s="230"/>
      <c r="Y1086" s="230"/>
      <c r="Z1086" s="230"/>
    </row>
    <row r="1087">
      <c r="O1087" s="230"/>
      <c r="S1087" s="230"/>
      <c r="T1087" s="230"/>
      <c r="U1087" s="230"/>
      <c r="V1087" s="230"/>
      <c r="W1087" s="230"/>
      <c r="X1087" s="230"/>
      <c r="Y1087" s="230"/>
      <c r="Z1087" s="230"/>
    </row>
    <row r="1088">
      <c r="O1088" s="230"/>
      <c r="S1088" s="230"/>
      <c r="T1088" s="230"/>
      <c r="U1088" s="230"/>
      <c r="V1088" s="230"/>
      <c r="W1088" s="230"/>
      <c r="X1088" s="230"/>
      <c r="Y1088" s="230"/>
      <c r="Z1088" s="230"/>
    </row>
    <row r="1089">
      <c r="O1089" s="230"/>
      <c r="S1089" s="230"/>
      <c r="T1089" s="230"/>
      <c r="U1089" s="230"/>
      <c r="V1089" s="230"/>
      <c r="W1089" s="230"/>
      <c r="X1089" s="230"/>
      <c r="Y1089" s="230"/>
      <c r="Z1089" s="230"/>
    </row>
    <row r="1090">
      <c r="O1090" s="230"/>
      <c r="S1090" s="230"/>
      <c r="T1090" s="230"/>
      <c r="U1090" s="230"/>
      <c r="V1090" s="230"/>
      <c r="W1090" s="230"/>
      <c r="X1090" s="230"/>
      <c r="Y1090" s="230"/>
      <c r="Z1090" s="230"/>
    </row>
    <row r="1091">
      <c r="O1091" s="230"/>
      <c r="S1091" s="230"/>
      <c r="T1091" s="230"/>
      <c r="U1091" s="230"/>
      <c r="V1091" s="230"/>
      <c r="W1091" s="230"/>
      <c r="X1091" s="230"/>
      <c r="Y1091" s="230"/>
      <c r="Z1091" s="230"/>
    </row>
    <row r="1092">
      <c r="O1092" s="230"/>
      <c r="S1092" s="230"/>
      <c r="T1092" s="230"/>
      <c r="U1092" s="230"/>
      <c r="V1092" s="230"/>
      <c r="W1092" s="230"/>
      <c r="X1092" s="230"/>
      <c r="Y1092" s="230"/>
      <c r="Z1092" s="230"/>
    </row>
    <row r="1093">
      <c r="O1093" s="230"/>
      <c r="S1093" s="230"/>
      <c r="T1093" s="230"/>
      <c r="U1093" s="230"/>
      <c r="V1093" s="230"/>
      <c r="W1093" s="230"/>
      <c r="X1093" s="230"/>
      <c r="Y1093" s="230"/>
      <c r="Z1093" s="230"/>
    </row>
    <row r="1094">
      <c r="O1094" s="230"/>
      <c r="S1094" s="230"/>
      <c r="T1094" s="230"/>
      <c r="U1094" s="230"/>
      <c r="V1094" s="230"/>
      <c r="W1094" s="230"/>
      <c r="X1094" s="230"/>
      <c r="Y1094" s="230"/>
      <c r="Z1094" s="230"/>
    </row>
    <row r="1095">
      <c r="O1095" s="230"/>
      <c r="S1095" s="230"/>
      <c r="T1095" s="230"/>
      <c r="U1095" s="230"/>
      <c r="V1095" s="230"/>
      <c r="W1095" s="230"/>
      <c r="X1095" s="230"/>
      <c r="Y1095" s="230"/>
      <c r="Z1095" s="230"/>
    </row>
    <row r="1096">
      <c r="O1096" s="230"/>
      <c r="S1096" s="230"/>
      <c r="T1096" s="230"/>
      <c r="U1096" s="230"/>
      <c r="V1096" s="230"/>
      <c r="W1096" s="230"/>
      <c r="X1096" s="230"/>
      <c r="Y1096" s="230"/>
      <c r="Z1096" s="230"/>
    </row>
    <row r="1097">
      <c r="O1097" s="230"/>
      <c r="S1097" s="230"/>
      <c r="T1097" s="230"/>
      <c r="U1097" s="230"/>
      <c r="V1097" s="230"/>
      <c r="W1097" s="230"/>
      <c r="X1097" s="230"/>
      <c r="Y1097" s="230"/>
      <c r="Z1097" s="230"/>
    </row>
    <row r="1098">
      <c r="O1098" s="230"/>
      <c r="S1098" s="230"/>
      <c r="T1098" s="230"/>
      <c r="U1098" s="230"/>
      <c r="V1098" s="230"/>
      <c r="W1098" s="230"/>
      <c r="X1098" s="230"/>
      <c r="Y1098" s="230"/>
      <c r="Z1098" s="230"/>
    </row>
    <row r="1099">
      <c r="O1099" s="230"/>
      <c r="S1099" s="230"/>
      <c r="T1099" s="230"/>
      <c r="U1099" s="230"/>
      <c r="V1099" s="230"/>
      <c r="W1099" s="230"/>
      <c r="X1099" s="230"/>
      <c r="Y1099" s="230"/>
      <c r="Z1099" s="230"/>
    </row>
    <row r="1100">
      <c r="O1100" s="230"/>
      <c r="S1100" s="230"/>
      <c r="T1100" s="230"/>
      <c r="U1100" s="230"/>
      <c r="V1100" s="230"/>
      <c r="W1100" s="230"/>
      <c r="X1100" s="230"/>
      <c r="Y1100" s="230"/>
      <c r="Z1100" s="230"/>
    </row>
    <row r="1101">
      <c r="O1101" s="230"/>
      <c r="S1101" s="230"/>
      <c r="T1101" s="230"/>
      <c r="U1101" s="230"/>
      <c r="V1101" s="230"/>
      <c r="W1101" s="230"/>
      <c r="X1101" s="230"/>
      <c r="Y1101" s="230"/>
      <c r="Z1101" s="230"/>
    </row>
    <row r="1102">
      <c r="O1102" s="230"/>
      <c r="S1102" s="230"/>
      <c r="T1102" s="230"/>
      <c r="U1102" s="230"/>
      <c r="V1102" s="230"/>
      <c r="W1102" s="230"/>
      <c r="X1102" s="230"/>
      <c r="Y1102" s="230"/>
      <c r="Z1102" s="230"/>
    </row>
    <row r="1103">
      <c r="O1103" s="230"/>
      <c r="S1103" s="230"/>
      <c r="T1103" s="230"/>
      <c r="U1103" s="230"/>
      <c r="V1103" s="230"/>
      <c r="W1103" s="230"/>
      <c r="X1103" s="230"/>
      <c r="Y1103" s="230"/>
      <c r="Z1103" s="230"/>
    </row>
    <row r="1104">
      <c r="O1104" s="230"/>
      <c r="S1104" s="230"/>
      <c r="T1104" s="230"/>
      <c r="U1104" s="230"/>
      <c r="V1104" s="230"/>
      <c r="W1104" s="230"/>
      <c r="X1104" s="230"/>
      <c r="Y1104" s="230"/>
      <c r="Z1104" s="230"/>
    </row>
    <row r="1105">
      <c r="O1105" s="230"/>
      <c r="S1105" s="230"/>
      <c r="T1105" s="230"/>
      <c r="U1105" s="230"/>
      <c r="V1105" s="230"/>
      <c r="W1105" s="230"/>
      <c r="X1105" s="230"/>
      <c r="Y1105" s="230"/>
      <c r="Z1105" s="230"/>
    </row>
    <row r="1106">
      <c r="O1106" s="230"/>
      <c r="S1106" s="230"/>
      <c r="T1106" s="230"/>
      <c r="U1106" s="230"/>
      <c r="V1106" s="230"/>
      <c r="W1106" s="230"/>
      <c r="X1106" s="230"/>
      <c r="Y1106" s="230"/>
      <c r="Z1106" s="230"/>
    </row>
    <row r="1107">
      <c r="O1107" s="230"/>
      <c r="S1107" s="230"/>
      <c r="T1107" s="230"/>
      <c r="U1107" s="230"/>
      <c r="V1107" s="230"/>
      <c r="W1107" s="230"/>
      <c r="X1107" s="230"/>
      <c r="Y1107" s="230"/>
      <c r="Z1107" s="230"/>
    </row>
    <row r="1108">
      <c r="O1108" s="230"/>
      <c r="S1108" s="230"/>
      <c r="T1108" s="230"/>
      <c r="U1108" s="230"/>
      <c r="V1108" s="230"/>
      <c r="W1108" s="230"/>
      <c r="X1108" s="230"/>
      <c r="Y1108" s="230"/>
      <c r="Z1108" s="230"/>
    </row>
    <row r="1109">
      <c r="O1109" s="230"/>
      <c r="S1109" s="230"/>
      <c r="T1109" s="230"/>
      <c r="U1109" s="230"/>
      <c r="V1109" s="230"/>
      <c r="W1109" s="230"/>
      <c r="X1109" s="230"/>
      <c r="Y1109" s="230"/>
      <c r="Z1109" s="230"/>
    </row>
    <row r="1110">
      <c r="O1110" s="230"/>
      <c r="S1110" s="230"/>
      <c r="T1110" s="230"/>
      <c r="U1110" s="230"/>
      <c r="V1110" s="230"/>
      <c r="W1110" s="230"/>
      <c r="X1110" s="230"/>
      <c r="Y1110" s="230"/>
      <c r="Z1110" s="230"/>
    </row>
    <row r="1111">
      <c r="O1111" s="230"/>
      <c r="S1111" s="230"/>
      <c r="T1111" s="230"/>
      <c r="U1111" s="230"/>
      <c r="V1111" s="230"/>
      <c r="W1111" s="230"/>
      <c r="X1111" s="230"/>
      <c r="Y1111" s="230"/>
      <c r="Z1111" s="230"/>
    </row>
    <row r="1112">
      <c r="O1112" s="230"/>
      <c r="S1112" s="230"/>
      <c r="T1112" s="230"/>
      <c r="U1112" s="230"/>
      <c r="V1112" s="230"/>
      <c r="W1112" s="230"/>
      <c r="X1112" s="230"/>
      <c r="Y1112" s="230"/>
      <c r="Z1112" s="230"/>
    </row>
    <row r="1113">
      <c r="O1113" s="230"/>
      <c r="S1113" s="230"/>
      <c r="T1113" s="230"/>
      <c r="U1113" s="230"/>
      <c r="V1113" s="230"/>
      <c r="W1113" s="230"/>
      <c r="X1113" s="230"/>
      <c r="Y1113" s="230"/>
      <c r="Z1113" s="230"/>
    </row>
    <row r="1114">
      <c r="O1114" s="230"/>
      <c r="S1114" s="230"/>
      <c r="T1114" s="230"/>
      <c r="U1114" s="230"/>
      <c r="V1114" s="230"/>
      <c r="W1114" s="230"/>
      <c r="X1114" s="230"/>
      <c r="Y1114" s="230"/>
      <c r="Z1114" s="230"/>
    </row>
    <row r="1115">
      <c r="O1115" s="230"/>
      <c r="S1115" s="230"/>
      <c r="T1115" s="230"/>
      <c r="U1115" s="230"/>
      <c r="V1115" s="230"/>
      <c r="W1115" s="230"/>
      <c r="X1115" s="230"/>
      <c r="Y1115" s="230"/>
      <c r="Z1115" s="230"/>
    </row>
    <row r="1116">
      <c r="O1116" s="230"/>
      <c r="S1116" s="230"/>
      <c r="T1116" s="230"/>
      <c r="U1116" s="230"/>
      <c r="V1116" s="230"/>
      <c r="W1116" s="230"/>
      <c r="X1116" s="230"/>
      <c r="Y1116" s="230"/>
      <c r="Z1116" s="230"/>
    </row>
    <row r="1117">
      <c r="O1117" s="230"/>
      <c r="S1117" s="230"/>
      <c r="T1117" s="230"/>
      <c r="U1117" s="230"/>
      <c r="V1117" s="230"/>
      <c r="W1117" s="230"/>
      <c r="X1117" s="230"/>
      <c r="Y1117" s="230"/>
      <c r="Z1117" s="230"/>
    </row>
    <row r="1118">
      <c r="O1118" s="230"/>
      <c r="S1118" s="230"/>
      <c r="T1118" s="230"/>
      <c r="U1118" s="230"/>
      <c r="V1118" s="230"/>
      <c r="W1118" s="230"/>
      <c r="X1118" s="230"/>
      <c r="Y1118" s="230"/>
      <c r="Z1118" s="230"/>
    </row>
    <row r="1119">
      <c r="O1119" s="230"/>
      <c r="S1119" s="230"/>
      <c r="T1119" s="230"/>
      <c r="U1119" s="230"/>
      <c r="V1119" s="230"/>
      <c r="W1119" s="230"/>
      <c r="X1119" s="230"/>
      <c r="Y1119" s="230"/>
      <c r="Z1119" s="230"/>
    </row>
    <row r="1120">
      <c r="O1120" s="230"/>
      <c r="S1120" s="230"/>
      <c r="T1120" s="230"/>
      <c r="U1120" s="230"/>
      <c r="V1120" s="230"/>
      <c r="W1120" s="230"/>
      <c r="X1120" s="230"/>
      <c r="Y1120" s="230"/>
      <c r="Z1120" s="230"/>
    </row>
    <row r="1121">
      <c r="O1121" s="230"/>
      <c r="S1121" s="230"/>
      <c r="T1121" s="230"/>
      <c r="U1121" s="230"/>
      <c r="V1121" s="230"/>
      <c r="W1121" s="230"/>
      <c r="X1121" s="230"/>
      <c r="Y1121" s="230"/>
      <c r="Z1121" s="230"/>
    </row>
    <row r="1122">
      <c r="O1122" s="230"/>
      <c r="S1122" s="230"/>
      <c r="T1122" s="230"/>
      <c r="U1122" s="230"/>
      <c r="V1122" s="230"/>
      <c r="W1122" s="230"/>
      <c r="X1122" s="230"/>
      <c r="Y1122" s="230"/>
      <c r="Z1122" s="230"/>
    </row>
    <row r="1123">
      <c r="O1123" s="230"/>
      <c r="S1123" s="230"/>
      <c r="T1123" s="230"/>
      <c r="U1123" s="230"/>
      <c r="V1123" s="230"/>
      <c r="W1123" s="230"/>
      <c r="X1123" s="230"/>
      <c r="Y1123" s="230"/>
      <c r="Z1123" s="230"/>
    </row>
    <row r="1124">
      <c r="O1124" s="230"/>
      <c r="S1124" s="230"/>
      <c r="T1124" s="230"/>
      <c r="U1124" s="230"/>
      <c r="V1124" s="230"/>
      <c r="W1124" s="230"/>
      <c r="X1124" s="230"/>
      <c r="Y1124" s="230"/>
      <c r="Z1124" s="230"/>
    </row>
    <row r="1125">
      <c r="O1125" s="230"/>
      <c r="S1125" s="230"/>
      <c r="T1125" s="230"/>
      <c r="U1125" s="230"/>
      <c r="V1125" s="230"/>
      <c r="W1125" s="230"/>
      <c r="X1125" s="230"/>
      <c r="Y1125" s="230"/>
      <c r="Z1125" s="230"/>
    </row>
    <row r="1126">
      <c r="O1126" s="230"/>
      <c r="S1126" s="230"/>
      <c r="T1126" s="230"/>
      <c r="U1126" s="230"/>
      <c r="V1126" s="230"/>
      <c r="W1126" s="230"/>
      <c r="X1126" s="230"/>
      <c r="Y1126" s="230"/>
      <c r="Z1126" s="230"/>
    </row>
    <row r="1127">
      <c r="O1127" s="230"/>
      <c r="S1127" s="230"/>
      <c r="T1127" s="230"/>
      <c r="U1127" s="230"/>
      <c r="V1127" s="230"/>
      <c r="W1127" s="230"/>
      <c r="X1127" s="230"/>
      <c r="Y1127" s="230"/>
      <c r="Z1127" s="230"/>
    </row>
    <row r="1128">
      <c r="O1128" s="230"/>
      <c r="S1128" s="230"/>
      <c r="T1128" s="230"/>
      <c r="U1128" s="230"/>
      <c r="V1128" s="230"/>
      <c r="W1128" s="230"/>
      <c r="X1128" s="230"/>
      <c r="Y1128" s="230"/>
      <c r="Z1128" s="230"/>
    </row>
    <row r="1129">
      <c r="O1129" s="230"/>
      <c r="S1129" s="230"/>
      <c r="T1129" s="230"/>
      <c r="U1129" s="230"/>
      <c r="V1129" s="230"/>
      <c r="W1129" s="230"/>
      <c r="X1129" s="230"/>
      <c r="Y1129" s="230"/>
      <c r="Z1129" s="230"/>
    </row>
    <row r="1130">
      <c r="O1130" s="230"/>
      <c r="S1130" s="230"/>
      <c r="T1130" s="230"/>
      <c r="U1130" s="230"/>
      <c r="V1130" s="230"/>
      <c r="W1130" s="230"/>
      <c r="X1130" s="230"/>
      <c r="Y1130" s="230"/>
      <c r="Z1130" s="230"/>
    </row>
    <row r="1131">
      <c r="O1131" s="230"/>
      <c r="S1131" s="230"/>
      <c r="T1131" s="230"/>
      <c r="U1131" s="230"/>
      <c r="V1131" s="230"/>
      <c r="W1131" s="230"/>
      <c r="X1131" s="230"/>
      <c r="Y1131" s="230"/>
      <c r="Z1131" s="230"/>
    </row>
    <row r="1132">
      <c r="O1132" s="230"/>
      <c r="S1132" s="230"/>
      <c r="T1132" s="230"/>
      <c r="U1132" s="230"/>
      <c r="V1132" s="230"/>
      <c r="W1132" s="230"/>
      <c r="X1132" s="230"/>
      <c r="Y1132" s="230"/>
      <c r="Z1132" s="230"/>
    </row>
    <row r="1133">
      <c r="O1133" s="230"/>
      <c r="S1133" s="230"/>
      <c r="T1133" s="230"/>
      <c r="U1133" s="230"/>
      <c r="V1133" s="230"/>
      <c r="W1133" s="230"/>
      <c r="X1133" s="230"/>
      <c r="Y1133" s="230"/>
      <c r="Z1133" s="230"/>
    </row>
    <row r="1134">
      <c r="O1134" s="230"/>
      <c r="S1134" s="230"/>
      <c r="T1134" s="230"/>
      <c r="U1134" s="230"/>
      <c r="V1134" s="230"/>
      <c r="W1134" s="230"/>
      <c r="X1134" s="230"/>
      <c r="Y1134" s="230"/>
      <c r="Z1134" s="230"/>
    </row>
    <row r="1135">
      <c r="O1135" s="230"/>
      <c r="S1135" s="230"/>
      <c r="T1135" s="230"/>
      <c r="U1135" s="230"/>
      <c r="V1135" s="230"/>
      <c r="W1135" s="230"/>
      <c r="X1135" s="230"/>
      <c r="Y1135" s="230"/>
      <c r="Z1135" s="230"/>
    </row>
    <row r="1136">
      <c r="O1136" s="230"/>
      <c r="S1136" s="230"/>
      <c r="T1136" s="230"/>
      <c r="U1136" s="230"/>
      <c r="V1136" s="230"/>
      <c r="W1136" s="230"/>
      <c r="X1136" s="230"/>
      <c r="Y1136" s="230"/>
      <c r="Z1136" s="230"/>
    </row>
    <row r="1137">
      <c r="O1137" s="230"/>
      <c r="S1137" s="230"/>
      <c r="T1137" s="230"/>
      <c r="U1137" s="230"/>
      <c r="V1137" s="230"/>
      <c r="W1137" s="230"/>
      <c r="X1137" s="230"/>
      <c r="Y1137" s="230"/>
      <c r="Z1137" s="230"/>
    </row>
    <row r="1138">
      <c r="O1138" s="230"/>
      <c r="S1138" s="230"/>
      <c r="T1138" s="230"/>
      <c r="U1138" s="230"/>
      <c r="V1138" s="230"/>
      <c r="W1138" s="230"/>
      <c r="X1138" s="230"/>
      <c r="Y1138" s="230"/>
      <c r="Z1138" s="230"/>
    </row>
    <row r="1139">
      <c r="O1139" s="230"/>
      <c r="S1139" s="230"/>
      <c r="T1139" s="230"/>
      <c r="U1139" s="230"/>
      <c r="V1139" s="230"/>
      <c r="W1139" s="230"/>
      <c r="X1139" s="230"/>
      <c r="Y1139" s="230"/>
      <c r="Z1139" s="230"/>
    </row>
    <row r="1140">
      <c r="O1140" s="230"/>
      <c r="S1140" s="230"/>
      <c r="T1140" s="230"/>
      <c r="U1140" s="230"/>
      <c r="V1140" s="230"/>
      <c r="W1140" s="230"/>
      <c r="X1140" s="230"/>
      <c r="Y1140" s="230"/>
      <c r="Z1140" s="230"/>
    </row>
    <row r="1141">
      <c r="O1141" s="230"/>
      <c r="S1141" s="230"/>
      <c r="T1141" s="230"/>
      <c r="U1141" s="230"/>
      <c r="V1141" s="230"/>
      <c r="W1141" s="230"/>
      <c r="X1141" s="230"/>
      <c r="Y1141" s="230"/>
      <c r="Z1141" s="230"/>
    </row>
    <row r="1142">
      <c r="O1142" s="230"/>
      <c r="S1142" s="230"/>
      <c r="T1142" s="230"/>
      <c r="U1142" s="230"/>
      <c r="V1142" s="230"/>
      <c r="W1142" s="230"/>
      <c r="X1142" s="230"/>
      <c r="Y1142" s="230"/>
      <c r="Z1142" s="230"/>
    </row>
    <row r="1143">
      <c r="O1143" s="230"/>
      <c r="S1143" s="230"/>
      <c r="T1143" s="230"/>
      <c r="U1143" s="230"/>
      <c r="V1143" s="230"/>
      <c r="W1143" s="230"/>
      <c r="X1143" s="230"/>
      <c r="Y1143" s="230"/>
      <c r="Z1143" s="230"/>
    </row>
    <row r="1144">
      <c r="O1144" s="230"/>
      <c r="S1144" s="230"/>
      <c r="T1144" s="230"/>
      <c r="U1144" s="230"/>
      <c r="V1144" s="230"/>
      <c r="W1144" s="230"/>
      <c r="X1144" s="230"/>
      <c r="Y1144" s="230"/>
      <c r="Z1144" s="230"/>
    </row>
    <row r="1145">
      <c r="O1145" s="230"/>
      <c r="S1145" s="230"/>
      <c r="T1145" s="230"/>
      <c r="U1145" s="230"/>
      <c r="V1145" s="230"/>
      <c r="W1145" s="230"/>
      <c r="X1145" s="230"/>
      <c r="Y1145" s="230"/>
      <c r="Z1145" s="230"/>
    </row>
    <row r="1146">
      <c r="O1146" s="230"/>
      <c r="S1146" s="230"/>
      <c r="T1146" s="230"/>
      <c r="U1146" s="230"/>
      <c r="V1146" s="230"/>
      <c r="W1146" s="230"/>
      <c r="X1146" s="230"/>
      <c r="Y1146" s="230"/>
      <c r="Z1146" s="230"/>
    </row>
    <row r="1147">
      <c r="O1147" s="230"/>
      <c r="S1147" s="230"/>
      <c r="T1147" s="230"/>
      <c r="U1147" s="230"/>
      <c r="V1147" s="230"/>
      <c r="W1147" s="230"/>
      <c r="X1147" s="230"/>
      <c r="Y1147" s="230"/>
      <c r="Z1147" s="230"/>
    </row>
    <row r="1148">
      <c r="O1148" s="230"/>
      <c r="S1148" s="230"/>
      <c r="T1148" s="230"/>
      <c r="U1148" s="230"/>
      <c r="V1148" s="230"/>
      <c r="W1148" s="230"/>
      <c r="X1148" s="230"/>
      <c r="Y1148" s="230"/>
      <c r="Z1148" s="230"/>
    </row>
    <row r="1149">
      <c r="O1149" s="230"/>
      <c r="S1149" s="230"/>
      <c r="T1149" s="230"/>
      <c r="U1149" s="230"/>
      <c r="V1149" s="230"/>
      <c r="W1149" s="230"/>
      <c r="X1149" s="230"/>
      <c r="Y1149" s="230"/>
      <c r="Z1149" s="230"/>
    </row>
    <row r="1150">
      <c r="O1150" s="230"/>
      <c r="S1150" s="230"/>
      <c r="T1150" s="230"/>
      <c r="U1150" s="230"/>
      <c r="V1150" s="230"/>
      <c r="W1150" s="230"/>
      <c r="X1150" s="230"/>
      <c r="Y1150" s="230"/>
      <c r="Z1150" s="230"/>
    </row>
    <row r="1151">
      <c r="O1151" s="230"/>
      <c r="S1151" s="230"/>
      <c r="T1151" s="230"/>
      <c r="U1151" s="230"/>
      <c r="V1151" s="230"/>
      <c r="W1151" s="230"/>
      <c r="X1151" s="230"/>
      <c r="Y1151" s="230"/>
      <c r="Z1151" s="230"/>
    </row>
    <row r="1152">
      <c r="O1152" s="230"/>
      <c r="S1152" s="230"/>
      <c r="T1152" s="230"/>
      <c r="U1152" s="230"/>
      <c r="V1152" s="230"/>
      <c r="W1152" s="230"/>
      <c r="X1152" s="230"/>
      <c r="Y1152" s="230"/>
      <c r="Z1152" s="230"/>
    </row>
    <row r="1153">
      <c r="O1153" s="230"/>
      <c r="S1153" s="230"/>
      <c r="T1153" s="230"/>
      <c r="U1153" s="230"/>
      <c r="V1153" s="230"/>
      <c r="W1153" s="230"/>
      <c r="X1153" s="230"/>
      <c r="Y1153" s="230"/>
      <c r="Z1153" s="230"/>
    </row>
    <row r="1154">
      <c r="O1154" s="230"/>
      <c r="S1154" s="230"/>
      <c r="T1154" s="230"/>
      <c r="U1154" s="230"/>
      <c r="V1154" s="230"/>
      <c r="W1154" s="230"/>
      <c r="X1154" s="230"/>
      <c r="Y1154" s="230"/>
      <c r="Z1154" s="230"/>
    </row>
    <row r="1155">
      <c r="O1155" s="230"/>
      <c r="S1155" s="230"/>
      <c r="T1155" s="230"/>
      <c r="U1155" s="230"/>
      <c r="V1155" s="230"/>
      <c r="W1155" s="230"/>
      <c r="X1155" s="230"/>
      <c r="Y1155" s="230"/>
      <c r="Z1155" s="230"/>
    </row>
    <row r="1156">
      <c r="O1156" s="230"/>
      <c r="S1156" s="230"/>
      <c r="T1156" s="230"/>
      <c r="U1156" s="230"/>
      <c r="V1156" s="230"/>
      <c r="W1156" s="230"/>
      <c r="X1156" s="230"/>
      <c r="Y1156" s="230"/>
      <c r="Z1156" s="230"/>
    </row>
    <row r="1157">
      <c r="O1157" s="230"/>
      <c r="S1157" s="230"/>
      <c r="T1157" s="230"/>
      <c r="U1157" s="230"/>
      <c r="V1157" s="230"/>
      <c r="W1157" s="230"/>
      <c r="X1157" s="230"/>
      <c r="Y1157" s="230"/>
      <c r="Z1157" s="230"/>
    </row>
    <row r="1158">
      <c r="O1158" s="230"/>
      <c r="S1158" s="230"/>
      <c r="T1158" s="230"/>
      <c r="U1158" s="230"/>
      <c r="V1158" s="230"/>
      <c r="W1158" s="230"/>
      <c r="X1158" s="230"/>
      <c r="Y1158" s="230"/>
      <c r="Z1158" s="230"/>
    </row>
    <row r="1159">
      <c r="O1159" s="230"/>
      <c r="S1159" s="230"/>
      <c r="T1159" s="230"/>
      <c r="U1159" s="230"/>
      <c r="V1159" s="230"/>
      <c r="W1159" s="230"/>
      <c r="X1159" s="230"/>
      <c r="Y1159" s="230"/>
      <c r="Z1159" s="230"/>
    </row>
    <row r="1160">
      <c r="O1160" s="230"/>
      <c r="S1160" s="230"/>
      <c r="T1160" s="230"/>
      <c r="U1160" s="230"/>
      <c r="V1160" s="230"/>
      <c r="W1160" s="230"/>
      <c r="X1160" s="230"/>
      <c r="Y1160" s="230"/>
      <c r="Z1160" s="230"/>
    </row>
    <row r="1161">
      <c r="O1161" s="230"/>
      <c r="S1161" s="230"/>
      <c r="T1161" s="230"/>
      <c r="U1161" s="230"/>
      <c r="V1161" s="230"/>
      <c r="W1161" s="230"/>
      <c r="X1161" s="230"/>
      <c r="Y1161" s="230"/>
      <c r="Z1161" s="230"/>
    </row>
    <row r="1162">
      <c r="O1162" s="230"/>
      <c r="S1162" s="230"/>
      <c r="T1162" s="230"/>
      <c r="U1162" s="230"/>
      <c r="V1162" s="230"/>
      <c r="W1162" s="230"/>
      <c r="X1162" s="230"/>
      <c r="Y1162" s="230"/>
      <c r="Z1162" s="230"/>
    </row>
    <row r="1163">
      <c r="O1163" s="230"/>
      <c r="S1163" s="230"/>
      <c r="T1163" s="230"/>
      <c r="U1163" s="230"/>
      <c r="V1163" s="230"/>
      <c r="W1163" s="230"/>
      <c r="X1163" s="230"/>
      <c r="Y1163" s="230"/>
      <c r="Z1163" s="230"/>
    </row>
    <row r="1164">
      <c r="O1164" s="230"/>
      <c r="S1164" s="230"/>
      <c r="T1164" s="230"/>
      <c r="U1164" s="230"/>
      <c r="V1164" s="230"/>
      <c r="W1164" s="230"/>
      <c r="X1164" s="230"/>
      <c r="Y1164" s="230"/>
      <c r="Z1164" s="230"/>
    </row>
    <row r="1165">
      <c r="O1165" s="230"/>
      <c r="S1165" s="230"/>
      <c r="T1165" s="230"/>
      <c r="U1165" s="230"/>
      <c r="V1165" s="230"/>
      <c r="W1165" s="230"/>
      <c r="X1165" s="230"/>
      <c r="Y1165" s="230"/>
      <c r="Z1165" s="230"/>
    </row>
    <row r="1166">
      <c r="O1166" s="230"/>
      <c r="S1166" s="230"/>
      <c r="T1166" s="230"/>
      <c r="U1166" s="230"/>
      <c r="V1166" s="230"/>
      <c r="W1166" s="230"/>
      <c r="X1166" s="230"/>
      <c r="Y1166" s="230"/>
      <c r="Z1166" s="230"/>
    </row>
    <row r="1167">
      <c r="O1167" s="230"/>
      <c r="S1167" s="230"/>
      <c r="T1167" s="230"/>
      <c r="U1167" s="230"/>
      <c r="V1167" s="230"/>
      <c r="W1167" s="230"/>
      <c r="X1167" s="230"/>
      <c r="Y1167" s="230"/>
      <c r="Z1167" s="230"/>
    </row>
    <row r="1168">
      <c r="O1168" s="230"/>
      <c r="S1168" s="230"/>
      <c r="T1168" s="230"/>
      <c r="U1168" s="230"/>
      <c r="V1168" s="230"/>
      <c r="W1168" s="230"/>
      <c r="X1168" s="230"/>
      <c r="Y1168" s="230"/>
      <c r="Z1168" s="230"/>
    </row>
    <row r="1169">
      <c r="O1169" s="230"/>
      <c r="S1169" s="230"/>
      <c r="T1169" s="230"/>
      <c r="U1169" s="230"/>
      <c r="V1169" s="230"/>
      <c r="W1169" s="230"/>
      <c r="X1169" s="230"/>
      <c r="Y1169" s="230"/>
      <c r="Z1169" s="230"/>
    </row>
    <row r="1170">
      <c r="O1170" s="230"/>
      <c r="S1170" s="230"/>
      <c r="T1170" s="230"/>
      <c r="U1170" s="230"/>
      <c r="V1170" s="230"/>
      <c r="W1170" s="230"/>
      <c r="X1170" s="230"/>
      <c r="Y1170" s="230"/>
      <c r="Z1170" s="230"/>
    </row>
    <row r="1171">
      <c r="O1171" s="230"/>
      <c r="S1171" s="230"/>
      <c r="T1171" s="230"/>
      <c r="U1171" s="230"/>
      <c r="V1171" s="230"/>
      <c r="W1171" s="230"/>
      <c r="X1171" s="230"/>
      <c r="Y1171" s="230"/>
      <c r="Z1171" s="230"/>
    </row>
    <row r="1172">
      <c r="O1172" s="230"/>
      <c r="S1172" s="230"/>
      <c r="T1172" s="230"/>
      <c r="U1172" s="230"/>
      <c r="V1172" s="230"/>
      <c r="W1172" s="230"/>
      <c r="X1172" s="230"/>
      <c r="Y1172" s="230"/>
      <c r="Z1172" s="230"/>
    </row>
    <row r="1173">
      <c r="O1173" s="230"/>
      <c r="S1173" s="230"/>
      <c r="T1173" s="230"/>
      <c r="U1173" s="230"/>
      <c r="V1173" s="230"/>
      <c r="W1173" s="230"/>
      <c r="X1173" s="230"/>
      <c r="Y1173" s="230"/>
      <c r="Z1173" s="230"/>
    </row>
    <row r="1174">
      <c r="O1174" s="230"/>
      <c r="S1174" s="230"/>
      <c r="T1174" s="230"/>
      <c r="U1174" s="230"/>
      <c r="V1174" s="230"/>
      <c r="W1174" s="230"/>
      <c r="X1174" s="230"/>
      <c r="Y1174" s="230"/>
      <c r="Z1174" s="230"/>
    </row>
    <row r="1175">
      <c r="O1175" s="230"/>
      <c r="S1175" s="230"/>
      <c r="T1175" s="230"/>
      <c r="U1175" s="230"/>
      <c r="V1175" s="230"/>
      <c r="W1175" s="230"/>
      <c r="X1175" s="230"/>
      <c r="Y1175" s="230"/>
      <c r="Z1175" s="230"/>
    </row>
    <row r="1176">
      <c r="O1176" s="230"/>
      <c r="S1176" s="230"/>
      <c r="T1176" s="230"/>
      <c r="U1176" s="230"/>
      <c r="V1176" s="230"/>
      <c r="W1176" s="230"/>
      <c r="X1176" s="230"/>
      <c r="Y1176" s="230"/>
      <c r="Z1176" s="230"/>
    </row>
    <row r="1177">
      <c r="O1177" s="230"/>
      <c r="S1177" s="230"/>
      <c r="T1177" s="230"/>
      <c r="U1177" s="230"/>
      <c r="V1177" s="230"/>
      <c r="W1177" s="230"/>
      <c r="X1177" s="230"/>
      <c r="Y1177" s="230"/>
      <c r="Z1177" s="230"/>
    </row>
    <row r="1178">
      <c r="O1178" s="230"/>
      <c r="S1178" s="230"/>
      <c r="T1178" s="230"/>
      <c r="U1178" s="230"/>
      <c r="V1178" s="230"/>
      <c r="W1178" s="230"/>
      <c r="X1178" s="230"/>
      <c r="Y1178" s="230"/>
      <c r="Z1178" s="230"/>
    </row>
    <row r="1179">
      <c r="O1179" s="230"/>
      <c r="S1179" s="230"/>
      <c r="T1179" s="230"/>
      <c r="U1179" s="230"/>
      <c r="V1179" s="230"/>
      <c r="W1179" s="230"/>
      <c r="X1179" s="230"/>
      <c r="Y1179" s="230"/>
      <c r="Z1179" s="230"/>
    </row>
    <row r="1180">
      <c r="O1180" s="230"/>
      <c r="S1180" s="230"/>
      <c r="T1180" s="230"/>
      <c r="U1180" s="230"/>
      <c r="V1180" s="230"/>
      <c r="W1180" s="230"/>
      <c r="X1180" s="230"/>
      <c r="Y1180" s="230"/>
      <c r="Z1180" s="230"/>
    </row>
    <row r="1181">
      <c r="O1181" s="230"/>
      <c r="S1181" s="230"/>
      <c r="T1181" s="230"/>
      <c r="U1181" s="230"/>
      <c r="V1181" s="230"/>
      <c r="W1181" s="230"/>
      <c r="X1181" s="230"/>
      <c r="Y1181" s="230"/>
      <c r="Z1181" s="230"/>
    </row>
    <row r="1182">
      <c r="O1182" s="230"/>
      <c r="S1182" s="230"/>
      <c r="T1182" s="230"/>
      <c r="U1182" s="230"/>
      <c r="V1182" s="230"/>
      <c r="W1182" s="230"/>
      <c r="X1182" s="230"/>
      <c r="Y1182" s="230"/>
      <c r="Z1182" s="230"/>
    </row>
    <row r="1183">
      <c r="O1183" s="230"/>
      <c r="S1183" s="230"/>
      <c r="T1183" s="230"/>
      <c r="U1183" s="230"/>
      <c r="V1183" s="230"/>
      <c r="W1183" s="230"/>
      <c r="X1183" s="230"/>
      <c r="Y1183" s="230"/>
      <c r="Z1183" s="230"/>
    </row>
    <row r="1184">
      <c r="O1184" s="230"/>
      <c r="S1184" s="230"/>
      <c r="T1184" s="230"/>
      <c r="U1184" s="230"/>
      <c r="V1184" s="230"/>
      <c r="W1184" s="230"/>
      <c r="X1184" s="230"/>
      <c r="Y1184" s="230"/>
      <c r="Z1184" s="230"/>
    </row>
    <row r="1185">
      <c r="O1185" s="230"/>
      <c r="S1185" s="230"/>
      <c r="T1185" s="230"/>
      <c r="U1185" s="230"/>
      <c r="V1185" s="230"/>
      <c r="W1185" s="230"/>
      <c r="X1185" s="230"/>
      <c r="Y1185" s="230"/>
      <c r="Z1185" s="230"/>
    </row>
    <row r="1186">
      <c r="O1186" s="230"/>
      <c r="S1186" s="230"/>
      <c r="T1186" s="230"/>
      <c r="U1186" s="230"/>
      <c r="V1186" s="230"/>
      <c r="W1186" s="230"/>
      <c r="X1186" s="230"/>
      <c r="Y1186" s="230"/>
      <c r="Z1186" s="230"/>
    </row>
    <row r="1187">
      <c r="O1187" s="230"/>
      <c r="S1187" s="230"/>
      <c r="T1187" s="230"/>
      <c r="U1187" s="230"/>
      <c r="V1187" s="230"/>
      <c r="W1187" s="230"/>
      <c r="X1187" s="230"/>
      <c r="Y1187" s="230"/>
      <c r="Z1187" s="230"/>
    </row>
    <row r="1188">
      <c r="O1188" s="230"/>
      <c r="S1188" s="230"/>
      <c r="T1188" s="230"/>
      <c r="U1188" s="230"/>
      <c r="V1188" s="230"/>
      <c r="W1188" s="230"/>
      <c r="X1188" s="230"/>
      <c r="Y1188" s="230"/>
      <c r="Z1188" s="230"/>
    </row>
    <row r="1189">
      <c r="O1189" s="230"/>
      <c r="S1189" s="230"/>
      <c r="T1189" s="230"/>
      <c r="U1189" s="230"/>
      <c r="V1189" s="230"/>
      <c r="W1189" s="230"/>
      <c r="X1189" s="230"/>
      <c r="Y1189" s="230"/>
      <c r="Z1189" s="230"/>
    </row>
    <row r="1190">
      <c r="O1190" s="230"/>
      <c r="S1190" s="230"/>
      <c r="T1190" s="230"/>
      <c r="U1190" s="230"/>
      <c r="V1190" s="230"/>
      <c r="W1190" s="230"/>
      <c r="X1190" s="230"/>
      <c r="Y1190" s="230"/>
      <c r="Z1190" s="230"/>
    </row>
    <row r="1191">
      <c r="O1191" s="230"/>
      <c r="S1191" s="230"/>
      <c r="T1191" s="230"/>
      <c r="U1191" s="230"/>
      <c r="V1191" s="230"/>
      <c r="W1191" s="230"/>
      <c r="X1191" s="230"/>
      <c r="Y1191" s="230"/>
      <c r="Z1191" s="230"/>
    </row>
    <row r="1192">
      <c r="O1192" s="230"/>
      <c r="S1192" s="230"/>
      <c r="T1192" s="230"/>
      <c r="U1192" s="230"/>
      <c r="V1192" s="230"/>
      <c r="W1192" s="230"/>
      <c r="X1192" s="230"/>
      <c r="Y1192" s="230"/>
      <c r="Z1192" s="230"/>
    </row>
    <row r="1193">
      <c r="O1193" s="230"/>
      <c r="S1193" s="230"/>
      <c r="T1193" s="230"/>
      <c r="U1193" s="230"/>
      <c r="V1193" s="230"/>
      <c r="W1193" s="230"/>
      <c r="X1193" s="230"/>
      <c r="Y1193" s="230"/>
      <c r="Z1193" s="230"/>
    </row>
    <row r="1194">
      <c r="O1194" s="230"/>
      <c r="S1194" s="230"/>
      <c r="T1194" s="230"/>
      <c r="U1194" s="230"/>
      <c r="V1194" s="230"/>
      <c r="W1194" s="230"/>
      <c r="X1194" s="230"/>
      <c r="Y1194" s="230"/>
      <c r="Z1194" s="230"/>
    </row>
    <row r="1195">
      <c r="O1195" s="230"/>
      <c r="S1195" s="230"/>
      <c r="T1195" s="230"/>
      <c r="U1195" s="230"/>
      <c r="V1195" s="230"/>
      <c r="W1195" s="230"/>
      <c r="X1195" s="230"/>
      <c r="Y1195" s="230"/>
      <c r="Z1195" s="230"/>
    </row>
    <row r="1196">
      <c r="O1196" s="230"/>
      <c r="S1196" s="230"/>
      <c r="T1196" s="230"/>
      <c r="U1196" s="230"/>
      <c r="V1196" s="230"/>
      <c r="W1196" s="230"/>
      <c r="X1196" s="230"/>
      <c r="Y1196" s="230"/>
      <c r="Z1196" s="230"/>
    </row>
    <row r="1197">
      <c r="O1197" s="230"/>
      <c r="S1197" s="230"/>
      <c r="T1197" s="230"/>
      <c r="U1197" s="230"/>
      <c r="V1197" s="230"/>
      <c r="W1197" s="230"/>
      <c r="X1197" s="230"/>
      <c r="Y1197" s="230"/>
      <c r="Z1197" s="230"/>
    </row>
    <row r="1198">
      <c r="O1198" s="230"/>
      <c r="S1198" s="230"/>
      <c r="T1198" s="230"/>
      <c r="U1198" s="230"/>
      <c r="V1198" s="230"/>
      <c r="W1198" s="230"/>
      <c r="X1198" s="230"/>
      <c r="Y1198" s="230"/>
      <c r="Z1198" s="230"/>
    </row>
    <row r="1199">
      <c r="O1199" s="230"/>
      <c r="S1199" s="230"/>
      <c r="T1199" s="230"/>
      <c r="U1199" s="230"/>
      <c r="V1199" s="230"/>
      <c r="W1199" s="230"/>
      <c r="X1199" s="230"/>
      <c r="Y1199" s="230"/>
      <c r="Z1199" s="230"/>
    </row>
    <row r="1200">
      <c r="O1200" s="230"/>
      <c r="S1200" s="230"/>
      <c r="T1200" s="230"/>
      <c r="U1200" s="230"/>
      <c r="V1200" s="230"/>
      <c r="W1200" s="230"/>
      <c r="X1200" s="230"/>
      <c r="Y1200" s="230"/>
      <c r="Z1200" s="230"/>
    </row>
    <row r="1201">
      <c r="O1201" s="230"/>
      <c r="S1201" s="230"/>
      <c r="T1201" s="230"/>
      <c r="U1201" s="230"/>
      <c r="V1201" s="230"/>
      <c r="W1201" s="230"/>
      <c r="X1201" s="230"/>
      <c r="Y1201" s="230"/>
      <c r="Z1201" s="230"/>
    </row>
    <row r="1202">
      <c r="O1202" s="230"/>
      <c r="S1202" s="230"/>
      <c r="T1202" s="230"/>
      <c r="U1202" s="230"/>
      <c r="V1202" s="230"/>
      <c r="W1202" s="230"/>
      <c r="X1202" s="230"/>
      <c r="Y1202" s="230"/>
      <c r="Z1202" s="230"/>
    </row>
    <row r="1203">
      <c r="O1203" s="230"/>
      <c r="S1203" s="230"/>
      <c r="T1203" s="230"/>
      <c r="U1203" s="230"/>
      <c r="V1203" s="230"/>
      <c r="W1203" s="230"/>
      <c r="X1203" s="230"/>
      <c r="Y1203" s="230"/>
      <c r="Z1203" s="230"/>
    </row>
    <row r="1204">
      <c r="O1204" s="230"/>
      <c r="S1204" s="230"/>
      <c r="T1204" s="230"/>
      <c r="U1204" s="230"/>
      <c r="V1204" s="230"/>
      <c r="W1204" s="230"/>
      <c r="X1204" s="230"/>
      <c r="Y1204" s="230"/>
      <c r="Z1204" s="230"/>
    </row>
    <row r="1205">
      <c r="O1205" s="230"/>
      <c r="S1205" s="230"/>
      <c r="T1205" s="230"/>
      <c r="U1205" s="230"/>
      <c r="V1205" s="230"/>
      <c r="W1205" s="230"/>
      <c r="X1205" s="230"/>
      <c r="Y1205" s="230"/>
      <c r="Z1205" s="230"/>
    </row>
    <row r="1206">
      <c r="O1206" s="230"/>
      <c r="S1206" s="230"/>
      <c r="T1206" s="230"/>
      <c r="U1206" s="230"/>
      <c r="V1206" s="230"/>
      <c r="W1206" s="230"/>
      <c r="X1206" s="230"/>
      <c r="Y1206" s="230"/>
      <c r="Z1206" s="230"/>
    </row>
    <row r="1207">
      <c r="O1207" s="230"/>
      <c r="S1207" s="230"/>
      <c r="T1207" s="230"/>
      <c r="U1207" s="230"/>
      <c r="V1207" s="230"/>
      <c r="W1207" s="230"/>
      <c r="X1207" s="230"/>
      <c r="Y1207" s="230"/>
      <c r="Z1207" s="230"/>
    </row>
    <row r="1208">
      <c r="O1208" s="230"/>
      <c r="S1208" s="230"/>
      <c r="T1208" s="230"/>
      <c r="U1208" s="230"/>
      <c r="V1208" s="230"/>
      <c r="W1208" s="230"/>
      <c r="X1208" s="230"/>
      <c r="Y1208" s="230"/>
      <c r="Z1208" s="230"/>
    </row>
    <row r="1209">
      <c r="O1209" s="230"/>
      <c r="S1209" s="230"/>
      <c r="T1209" s="230"/>
      <c r="U1209" s="230"/>
      <c r="V1209" s="230"/>
      <c r="W1209" s="230"/>
      <c r="X1209" s="230"/>
      <c r="Y1209" s="230"/>
      <c r="Z1209" s="230"/>
    </row>
    <row r="1210">
      <c r="O1210" s="230"/>
      <c r="S1210" s="230"/>
      <c r="T1210" s="230"/>
      <c r="U1210" s="230"/>
      <c r="V1210" s="230"/>
      <c r="W1210" s="230"/>
      <c r="X1210" s="230"/>
      <c r="Y1210" s="230"/>
      <c r="Z1210" s="230"/>
    </row>
    <row r="1211">
      <c r="O1211" s="230"/>
      <c r="S1211" s="230"/>
      <c r="T1211" s="230"/>
      <c r="U1211" s="230"/>
      <c r="V1211" s="230"/>
      <c r="W1211" s="230"/>
      <c r="X1211" s="230"/>
      <c r="Y1211" s="230"/>
      <c r="Z1211" s="230"/>
    </row>
    <row r="1212">
      <c r="O1212" s="230"/>
      <c r="S1212" s="230"/>
      <c r="T1212" s="230"/>
      <c r="U1212" s="230"/>
      <c r="V1212" s="230"/>
      <c r="W1212" s="230"/>
      <c r="X1212" s="230"/>
      <c r="Y1212" s="230"/>
      <c r="Z1212" s="230"/>
    </row>
    <row r="1213">
      <c r="O1213" s="230"/>
      <c r="S1213" s="230"/>
      <c r="T1213" s="230"/>
      <c r="U1213" s="230"/>
      <c r="V1213" s="230"/>
      <c r="W1213" s="230"/>
      <c r="X1213" s="230"/>
      <c r="Y1213" s="230"/>
      <c r="Z1213" s="230"/>
    </row>
    <row r="1214">
      <c r="O1214" s="230"/>
      <c r="S1214" s="230"/>
      <c r="T1214" s="230"/>
      <c r="U1214" s="230"/>
      <c r="V1214" s="230"/>
      <c r="W1214" s="230"/>
      <c r="X1214" s="230"/>
      <c r="Y1214" s="230"/>
      <c r="Z1214" s="230"/>
    </row>
    <row r="1215">
      <c r="O1215" s="230"/>
      <c r="S1215" s="230"/>
      <c r="T1215" s="230"/>
      <c r="U1215" s="230"/>
      <c r="V1215" s="230"/>
      <c r="W1215" s="230"/>
      <c r="X1215" s="230"/>
      <c r="Y1215" s="230"/>
      <c r="Z1215" s="230"/>
    </row>
    <row r="1216">
      <c r="O1216" s="230"/>
      <c r="S1216" s="230"/>
      <c r="T1216" s="230"/>
      <c r="U1216" s="230"/>
      <c r="V1216" s="230"/>
      <c r="W1216" s="230"/>
      <c r="X1216" s="230"/>
      <c r="Y1216" s="230"/>
      <c r="Z1216" s="230"/>
    </row>
    <row r="1217">
      <c r="O1217" s="230"/>
      <c r="S1217" s="230"/>
      <c r="T1217" s="230"/>
      <c r="U1217" s="230"/>
      <c r="V1217" s="230"/>
      <c r="W1217" s="230"/>
      <c r="X1217" s="230"/>
      <c r="Y1217" s="230"/>
      <c r="Z1217" s="230"/>
    </row>
    <row r="1218">
      <c r="O1218" s="230"/>
      <c r="S1218" s="230"/>
      <c r="T1218" s="230"/>
      <c r="U1218" s="230"/>
      <c r="V1218" s="230"/>
      <c r="W1218" s="230"/>
      <c r="X1218" s="230"/>
      <c r="Y1218" s="230"/>
      <c r="Z1218" s="230"/>
    </row>
    <row r="1219">
      <c r="O1219" s="230"/>
      <c r="S1219" s="230"/>
      <c r="T1219" s="230"/>
      <c r="U1219" s="230"/>
      <c r="V1219" s="230"/>
      <c r="W1219" s="230"/>
      <c r="X1219" s="230"/>
      <c r="Y1219" s="230"/>
      <c r="Z1219" s="230"/>
    </row>
    <row r="1220">
      <c r="O1220" s="230"/>
      <c r="S1220" s="230"/>
      <c r="T1220" s="230"/>
      <c r="U1220" s="230"/>
      <c r="V1220" s="230"/>
      <c r="W1220" s="230"/>
      <c r="X1220" s="230"/>
      <c r="Y1220" s="230"/>
      <c r="Z1220" s="230"/>
    </row>
    <row r="1221">
      <c r="O1221" s="230"/>
      <c r="S1221" s="230"/>
      <c r="T1221" s="230"/>
      <c r="U1221" s="230"/>
      <c r="V1221" s="230"/>
      <c r="W1221" s="230"/>
      <c r="X1221" s="230"/>
      <c r="Y1221" s="230"/>
      <c r="Z1221" s="230"/>
    </row>
    <row r="1222">
      <c r="O1222" s="230"/>
      <c r="S1222" s="230"/>
      <c r="T1222" s="230"/>
      <c r="U1222" s="230"/>
      <c r="V1222" s="230"/>
      <c r="W1222" s="230"/>
      <c r="X1222" s="230"/>
      <c r="Y1222" s="230"/>
      <c r="Z1222" s="230"/>
    </row>
    <row r="1223">
      <c r="O1223" s="230"/>
      <c r="S1223" s="230"/>
      <c r="T1223" s="230"/>
      <c r="U1223" s="230"/>
      <c r="V1223" s="230"/>
      <c r="W1223" s="230"/>
      <c r="X1223" s="230"/>
      <c r="Y1223" s="230"/>
      <c r="Z1223" s="230"/>
    </row>
    <row r="1224">
      <c r="O1224" s="230"/>
      <c r="S1224" s="230"/>
      <c r="T1224" s="230"/>
      <c r="U1224" s="230"/>
      <c r="V1224" s="230"/>
      <c r="W1224" s="230"/>
      <c r="X1224" s="230"/>
      <c r="Y1224" s="230"/>
      <c r="Z1224" s="230"/>
    </row>
    <row r="1225">
      <c r="O1225" s="230"/>
      <c r="S1225" s="230"/>
      <c r="T1225" s="230"/>
      <c r="U1225" s="230"/>
      <c r="V1225" s="230"/>
      <c r="W1225" s="230"/>
      <c r="X1225" s="230"/>
      <c r="Y1225" s="230"/>
      <c r="Z1225" s="230"/>
    </row>
    <row r="1226">
      <c r="O1226" s="230"/>
      <c r="S1226" s="230"/>
      <c r="T1226" s="230"/>
      <c r="U1226" s="230"/>
      <c r="V1226" s="230"/>
      <c r="W1226" s="230"/>
      <c r="X1226" s="230"/>
      <c r="Y1226" s="230"/>
      <c r="Z1226" s="230"/>
    </row>
    <row r="1227">
      <c r="O1227" s="230"/>
      <c r="S1227" s="230"/>
      <c r="T1227" s="230"/>
      <c r="U1227" s="230"/>
      <c r="V1227" s="230"/>
      <c r="W1227" s="230"/>
      <c r="X1227" s="230"/>
      <c r="Y1227" s="230"/>
      <c r="Z1227" s="230"/>
    </row>
    <row r="1228">
      <c r="O1228" s="230"/>
      <c r="S1228" s="230"/>
      <c r="T1228" s="230"/>
      <c r="U1228" s="230"/>
      <c r="V1228" s="230"/>
      <c r="W1228" s="230"/>
      <c r="X1228" s="230"/>
      <c r="Y1228" s="230"/>
      <c r="Z1228" s="230"/>
    </row>
    <row r="1229">
      <c r="O1229" s="230"/>
      <c r="S1229" s="230"/>
      <c r="T1229" s="230"/>
      <c r="U1229" s="230"/>
      <c r="V1229" s="230"/>
      <c r="W1229" s="230"/>
      <c r="X1229" s="230"/>
      <c r="Y1229" s="230"/>
      <c r="Z1229" s="230"/>
    </row>
    <row r="1230">
      <c r="O1230" s="230"/>
      <c r="S1230" s="230"/>
      <c r="T1230" s="230"/>
      <c r="U1230" s="230"/>
      <c r="V1230" s="230"/>
      <c r="W1230" s="230"/>
      <c r="X1230" s="230"/>
      <c r="Y1230" s="230"/>
      <c r="Z1230" s="230"/>
    </row>
    <row r="1231">
      <c r="O1231" s="230"/>
      <c r="S1231" s="230"/>
      <c r="T1231" s="230"/>
      <c r="U1231" s="230"/>
      <c r="V1231" s="230"/>
      <c r="W1231" s="230"/>
      <c r="X1231" s="230"/>
      <c r="Y1231" s="230"/>
      <c r="Z1231" s="230"/>
    </row>
    <row r="1232">
      <c r="O1232" s="230"/>
      <c r="S1232" s="230"/>
      <c r="T1232" s="230"/>
      <c r="U1232" s="230"/>
      <c r="V1232" s="230"/>
      <c r="W1232" s="230"/>
      <c r="X1232" s="230"/>
      <c r="Y1232" s="230"/>
      <c r="Z1232" s="230"/>
    </row>
    <row r="1233">
      <c r="O1233" s="230"/>
      <c r="S1233" s="230"/>
      <c r="T1233" s="230"/>
      <c r="U1233" s="230"/>
      <c r="V1233" s="230"/>
      <c r="W1233" s="230"/>
      <c r="X1233" s="230"/>
      <c r="Y1233" s="230"/>
      <c r="Z1233" s="230"/>
    </row>
    <row r="1234">
      <c r="O1234" s="230"/>
      <c r="S1234" s="230"/>
      <c r="T1234" s="230"/>
      <c r="U1234" s="230"/>
      <c r="V1234" s="230"/>
      <c r="W1234" s="230"/>
      <c r="X1234" s="230"/>
      <c r="Y1234" s="230"/>
      <c r="Z1234" s="230"/>
    </row>
    <row r="1235">
      <c r="O1235" s="230"/>
      <c r="S1235" s="230"/>
      <c r="T1235" s="230"/>
      <c r="U1235" s="230"/>
      <c r="V1235" s="230"/>
      <c r="W1235" s="230"/>
      <c r="X1235" s="230"/>
      <c r="Y1235" s="230"/>
      <c r="Z1235" s="230"/>
    </row>
    <row r="1236">
      <c r="O1236" s="230"/>
      <c r="S1236" s="230"/>
      <c r="T1236" s="230"/>
      <c r="U1236" s="230"/>
      <c r="V1236" s="230"/>
      <c r="W1236" s="230"/>
      <c r="X1236" s="230"/>
      <c r="Y1236" s="230"/>
      <c r="Z1236" s="230"/>
    </row>
    <row r="1237">
      <c r="O1237" s="230"/>
      <c r="S1237" s="230"/>
      <c r="T1237" s="230"/>
      <c r="U1237" s="230"/>
      <c r="V1237" s="230"/>
      <c r="W1237" s="230"/>
      <c r="X1237" s="230"/>
      <c r="Y1237" s="230"/>
      <c r="Z1237" s="230"/>
    </row>
    <row r="1238">
      <c r="O1238" s="230"/>
      <c r="S1238" s="230"/>
      <c r="T1238" s="230"/>
      <c r="U1238" s="230"/>
      <c r="V1238" s="230"/>
      <c r="W1238" s="230"/>
      <c r="X1238" s="230"/>
      <c r="Y1238" s="230"/>
      <c r="Z1238" s="230"/>
    </row>
    <row r="1239">
      <c r="O1239" s="230"/>
      <c r="S1239" s="230"/>
      <c r="T1239" s="230"/>
      <c r="U1239" s="230"/>
      <c r="V1239" s="230"/>
      <c r="W1239" s="230"/>
      <c r="X1239" s="230"/>
      <c r="Y1239" s="230"/>
      <c r="Z1239" s="230"/>
    </row>
    <row r="1240">
      <c r="O1240" s="230"/>
      <c r="S1240" s="230"/>
      <c r="T1240" s="230"/>
      <c r="U1240" s="230"/>
      <c r="V1240" s="230"/>
      <c r="W1240" s="230"/>
      <c r="X1240" s="230"/>
      <c r="Y1240" s="230"/>
      <c r="Z1240" s="230"/>
    </row>
    <row r="1241">
      <c r="O1241" s="230"/>
      <c r="S1241" s="230"/>
      <c r="T1241" s="230"/>
      <c r="U1241" s="230"/>
      <c r="V1241" s="230"/>
      <c r="W1241" s="230"/>
      <c r="X1241" s="230"/>
      <c r="Y1241" s="230"/>
      <c r="Z1241" s="230"/>
    </row>
    <row r="1242">
      <c r="O1242" s="230"/>
      <c r="S1242" s="230"/>
      <c r="T1242" s="230"/>
      <c r="U1242" s="230"/>
      <c r="V1242" s="230"/>
      <c r="W1242" s="230"/>
      <c r="X1242" s="230"/>
      <c r="Y1242" s="230"/>
      <c r="Z1242" s="230"/>
    </row>
    <row r="1243">
      <c r="O1243" s="230"/>
      <c r="S1243" s="230"/>
      <c r="T1243" s="230"/>
      <c r="U1243" s="230"/>
      <c r="V1243" s="230"/>
      <c r="W1243" s="230"/>
      <c r="X1243" s="230"/>
      <c r="Y1243" s="230"/>
      <c r="Z1243" s="230"/>
    </row>
    <row r="1244">
      <c r="O1244" s="230"/>
      <c r="S1244" s="230"/>
      <c r="T1244" s="230"/>
      <c r="U1244" s="230"/>
      <c r="V1244" s="230"/>
      <c r="W1244" s="230"/>
      <c r="X1244" s="230"/>
      <c r="Y1244" s="230"/>
      <c r="Z1244" s="230"/>
    </row>
    <row r="1245">
      <c r="O1245" s="230"/>
      <c r="S1245" s="230"/>
      <c r="T1245" s="230"/>
      <c r="U1245" s="230"/>
      <c r="V1245" s="230"/>
      <c r="W1245" s="230"/>
      <c r="X1245" s="230"/>
      <c r="Y1245" s="230"/>
      <c r="Z1245" s="230"/>
    </row>
    <row r="1246">
      <c r="O1246" s="230"/>
      <c r="S1246" s="230"/>
      <c r="T1246" s="230"/>
      <c r="U1246" s="230"/>
      <c r="V1246" s="230"/>
      <c r="W1246" s="230"/>
      <c r="X1246" s="230"/>
      <c r="Y1246" s="230"/>
      <c r="Z1246" s="230"/>
    </row>
    <row r="1247">
      <c r="O1247" s="230"/>
      <c r="S1247" s="230"/>
      <c r="T1247" s="230"/>
      <c r="U1247" s="230"/>
      <c r="V1247" s="230"/>
      <c r="W1247" s="230"/>
      <c r="X1247" s="230"/>
      <c r="Y1247" s="230"/>
      <c r="Z1247" s="230"/>
    </row>
    <row r="1248">
      <c r="O1248" s="230"/>
      <c r="S1248" s="230"/>
      <c r="T1248" s="230"/>
      <c r="U1248" s="230"/>
      <c r="V1248" s="230"/>
      <c r="W1248" s="230"/>
      <c r="X1248" s="230"/>
      <c r="Y1248" s="230"/>
      <c r="Z1248" s="230"/>
    </row>
    <row r="1249">
      <c r="O1249" s="230"/>
      <c r="S1249" s="230"/>
      <c r="T1249" s="230"/>
      <c r="U1249" s="230"/>
      <c r="V1249" s="230"/>
      <c r="W1249" s="230"/>
      <c r="X1249" s="230"/>
      <c r="Y1249" s="230"/>
      <c r="Z1249" s="230"/>
    </row>
    <row r="1250">
      <c r="O1250" s="230"/>
      <c r="S1250" s="230"/>
      <c r="T1250" s="230"/>
      <c r="U1250" s="230"/>
      <c r="V1250" s="230"/>
      <c r="W1250" s="230"/>
      <c r="X1250" s="230"/>
      <c r="Y1250" s="230"/>
      <c r="Z1250" s="230"/>
    </row>
    <row r="1251">
      <c r="O1251" s="230"/>
      <c r="S1251" s="230"/>
      <c r="T1251" s="230"/>
      <c r="U1251" s="230"/>
      <c r="V1251" s="230"/>
      <c r="W1251" s="230"/>
      <c r="X1251" s="230"/>
      <c r="Y1251" s="230"/>
      <c r="Z1251" s="230"/>
    </row>
    <row r="1252">
      <c r="O1252" s="230"/>
      <c r="S1252" s="230"/>
      <c r="T1252" s="230"/>
      <c r="U1252" s="230"/>
      <c r="V1252" s="230"/>
      <c r="W1252" s="230"/>
      <c r="X1252" s="230"/>
      <c r="Y1252" s="230"/>
      <c r="Z1252" s="230"/>
    </row>
    <row r="1253">
      <c r="O1253" s="230"/>
      <c r="S1253" s="230"/>
      <c r="T1253" s="230"/>
      <c r="U1253" s="230"/>
      <c r="V1253" s="230"/>
      <c r="W1253" s="230"/>
      <c r="X1253" s="230"/>
      <c r="Y1253" s="230"/>
      <c r="Z1253" s="230"/>
    </row>
    <row r="1254">
      <c r="O1254" s="230"/>
      <c r="S1254" s="230"/>
      <c r="T1254" s="230"/>
      <c r="U1254" s="230"/>
      <c r="V1254" s="230"/>
      <c r="W1254" s="230"/>
      <c r="X1254" s="230"/>
      <c r="Y1254" s="230"/>
      <c r="Z1254" s="230"/>
    </row>
    <row r="1255">
      <c r="O1255" s="230"/>
      <c r="S1255" s="230"/>
      <c r="T1255" s="230"/>
      <c r="U1255" s="230"/>
      <c r="V1255" s="230"/>
      <c r="W1255" s="230"/>
      <c r="X1255" s="230"/>
      <c r="Y1255" s="230"/>
      <c r="Z1255" s="230"/>
    </row>
    <row r="1256">
      <c r="O1256" s="230"/>
      <c r="S1256" s="230"/>
      <c r="T1256" s="230"/>
      <c r="U1256" s="230"/>
      <c r="V1256" s="230"/>
      <c r="W1256" s="230"/>
      <c r="X1256" s="230"/>
      <c r="Y1256" s="230"/>
      <c r="Z1256" s="230"/>
    </row>
    <row r="1257">
      <c r="O1257" s="230"/>
      <c r="S1257" s="230"/>
      <c r="T1257" s="230"/>
      <c r="U1257" s="230"/>
      <c r="V1257" s="230"/>
      <c r="W1257" s="230"/>
      <c r="X1257" s="230"/>
      <c r="Y1257" s="230"/>
      <c r="Z1257" s="230"/>
    </row>
    <row r="1258">
      <c r="O1258" s="230"/>
      <c r="S1258" s="230"/>
      <c r="T1258" s="230"/>
      <c r="U1258" s="230"/>
      <c r="V1258" s="230"/>
      <c r="W1258" s="230"/>
      <c r="X1258" s="230"/>
      <c r="Y1258" s="230"/>
      <c r="Z1258" s="230"/>
    </row>
    <row r="1259">
      <c r="O1259" s="230"/>
      <c r="S1259" s="230"/>
      <c r="T1259" s="230"/>
      <c r="U1259" s="230"/>
      <c r="V1259" s="230"/>
      <c r="W1259" s="230"/>
      <c r="X1259" s="230"/>
      <c r="Y1259" s="230"/>
      <c r="Z1259" s="230"/>
    </row>
    <row r="1260">
      <c r="O1260" s="230"/>
      <c r="S1260" s="230"/>
      <c r="T1260" s="230"/>
      <c r="U1260" s="230"/>
      <c r="V1260" s="230"/>
      <c r="W1260" s="230"/>
      <c r="X1260" s="230"/>
      <c r="Y1260" s="230"/>
      <c r="Z1260" s="230"/>
    </row>
    <row r="1261">
      <c r="O1261" s="230"/>
      <c r="S1261" s="230"/>
      <c r="T1261" s="230"/>
      <c r="U1261" s="230"/>
      <c r="V1261" s="230"/>
      <c r="W1261" s="230"/>
      <c r="X1261" s="230"/>
      <c r="Y1261" s="230"/>
      <c r="Z1261" s="230"/>
    </row>
    <row r="1262">
      <c r="O1262" s="230"/>
      <c r="S1262" s="230"/>
      <c r="T1262" s="230"/>
      <c r="U1262" s="230"/>
      <c r="V1262" s="230"/>
      <c r="W1262" s="230"/>
      <c r="X1262" s="230"/>
      <c r="Y1262" s="230"/>
      <c r="Z1262" s="230"/>
    </row>
    <row r="1263">
      <c r="O1263" s="230"/>
      <c r="S1263" s="230"/>
      <c r="T1263" s="230"/>
      <c r="U1263" s="230"/>
      <c r="V1263" s="230"/>
      <c r="W1263" s="230"/>
      <c r="X1263" s="230"/>
      <c r="Y1263" s="230"/>
      <c r="Z1263" s="230"/>
    </row>
    <row r="1264">
      <c r="O1264" s="230"/>
      <c r="S1264" s="230"/>
      <c r="T1264" s="230"/>
      <c r="U1264" s="230"/>
      <c r="V1264" s="230"/>
      <c r="W1264" s="230"/>
      <c r="X1264" s="230"/>
      <c r="Y1264" s="230"/>
      <c r="Z1264" s="230"/>
    </row>
    <row r="1265">
      <c r="O1265" s="230"/>
      <c r="S1265" s="230"/>
      <c r="T1265" s="230"/>
      <c r="U1265" s="230"/>
      <c r="V1265" s="230"/>
      <c r="W1265" s="230"/>
      <c r="X1265" s="230"/>
      <c r="Y1265" s="230"/>
      <c r="Z1265" s="230"/>
    </row>
    <row r="1266">
      <c r="O1266" s="230"/>
      <c r="S1266" s="230"/>
      <c r="T1266" s="230"/>
      <c r="U1266" s="230"/>
      <c r="V1266" s="230"/>
      <c r="W1266" s="230"/>
      <c r="X1266" s="230"/>
      <c r="Y1266" s="230"/>
      <c r="Z1266" s="230"/>
    </row>
    <row r="1267">
      <c r="O1267" s="230"/>
      <c r="S1267" s="230"/>
      <c r="T1267" s="230"/>
      <c r="U1267" s="230"/>
      <c r="V1267" s="230"/>
      <c r="W1267" s="230"/>
      <c r="X1267" s="230"/>
      <c r="Y1267" s="230"/>
      <c r="Z1267" s="230"/>
    </row>
    <row r="1268">
      <c r="O1268" s="230"/>
      <c r="S1268" s="230"/>
      <c r="T1268" s="230"/>
      <c r="U1268" s="230"/>
      <c r="V1268" s="230"/>
      <c r="W1268" s="230"/>
      <c r="X1268" s="230"/>
      <c r="Y1268" s="230"/>
      <c r="Z1268" s="230"/>
    </row>
    <row r="1269">
      <c r="O1269" s="230"/>
      <c r="S1269" s="230"/>
      <c r="T1269" s="230"/>
      <c r="U1269" s="230"/>
      <c r="V1269" s="230"/>
      <c r="W1269" s="230"/>
      <c r="X1269" s="230"/>
      <c r="Y1269" s="230"/>
      <c r="Z1269" s="230"/>
    </row>
    <row r="1270">
      <c r="O1270" s="230"/>
      <c r="S1270" s="230"/>
      <c r="T1270" s="230"/>
      <c r="U1270" s="230"/>
      <c r="V1270" s="230"/>
      <c r="W1270" s="230"/>
      <c r="X1270" s="230"/>
      <c r="Y1270" s="230"/>
      <c r="Z1270" s="230"/>
    </row>
    <row r="1271">
      <c r="O1271" s="230"/>
      <c r="S1271" s="230"/>
      <c r="T1271" s="230"/>
      <c r="U1271" s="230"/>
      <c r="V1271" s="230"/>
      <c r="W1271" s="230"/>
      <c r="X1271" s="230"/>
      <c r="Y1271" s="230"/>
      <c r="Z1271" s="230"/>
    </row>
    <row r="1272">
      <c r="O1272" s="230"/>
      <c r="S1272" s="230"/>
      <c r="T1272" s="230"/>
      <c r="U1272" s="230"/>
      <c r="V1272" s="230"/>
      <c r="W1272" s="230"/>
      <c r="X1272" s="230"/>
      <c r="Y1272" s="230"/>
      <c r="Z1272" s="230"/>
    </row>
    <row r="1273">
      <c r="O1273" s="230"/>
      <c r="S1273" s="230"/>
      <c r="T1273" s="230"/>
      <c r="U1273" s="230"/>
      <c r="V1273" s="230"/>
      <c r="W1273" s="230"/>
      <c r="X1273" s="230"/>
      <c r="Y1273" s="230"/>
      <c r="Z1273" s="230"/>
    </row>
    <row r="1274">
      <c r="O1274" s="230"/>
      <c r="S1274" s="230"/>
      <c r="T1274" s="230"/>
      <c r="U1274" s="230"/>
      <c r="V1274" s="230"/>
      <c r="W1274" s="230"/>
      <c r="X1274" s="230"/>
      <c r="Y1274" s="230"/>
      <c r="Z1274" s="230"/>
    </row>
    <row r="1275">
      <c r="O1275" s="230"/>
      <c r="S1275" s="230"/>
      <c r="T1275" s="230"/>
      <c r="U1275" s="230"/>
      <c r="V1275" s="230"/>
      <c r="W1275" s="230"/>
      <c r="X1275" s="230"/>
      <c r="Y1275" s="230"/>
      <c r="Z1275" s="230"/>
    </row>
    <row r="1276">
      <c r="O1276" s="230"/>
      <c r="S1276" s="230"/>
      <c r="T1276" s="230"/>
      <c r="U1276" s="230"/>
      <c r="V1276" s="230"/>
      <c r="W1276" s="230"/>
      <c r="X1276" s="230"/>
      <c r="Y1276" s="230"/>
      <c r="Z1276" s="230"/>
    </row>
    <row r="1277">
      <c r="O1277" s="230"/>
      <c r="S1277" s="230"/>
      <c r="T1277" s="230"/>
      <c r="U1277" s="230"/>
      <c r="V1277" s="230"/>
      <c r="W1277" s="230"/>
      <c r="X1277" s="230"/>
      <c r="Y1277" s="230"/>
      <c r="Z1277" s="230"/>
    </row>
    <row r="1278">
      <c r="O1278" s="230"/>
      <c r="S1278" s="230"/>
      <c r="T1278" s="230"/>
      <c r="U1278" s="230"/>
      <c r="V1278" s="230"/>
      <c r="W1278" s="230"/>
      <c r="X1278" s="230"/>
      <c r="Y1278" s="230"/>
      <c r="Z1278" s="230"/>
    </row>
    <row r="1279">
      <c r="O1279" s="230"/>
      <c r="S1279" s="230"/>
      <c r="T1279" s="230"/>
      <c r="U1279" s="230"/>
      <c r="V1279" s="230"/>
      <c r="W1279" s="230"/>
      <c r="X1279" s="230"/>
      <c r="Y1279" s="230"/>
      <c r="Z1279" s="230"/>
    </row>
    <row r="1280">
      <c r="O1280" s="230"/>
      <c r="S1280" s="230"/>
      <c r="T1280" s="230"/>
      <c r="U1280" s="230"/>
      <c r="V1280" s="230"/>
      <c r="W1280" s="230"/>
      <c r="X1280" s="230"/>
      <c r="Y1280" s="230"/>
      <c r="Z1280" s="230"/>
    </row>
    <row r="1281">
      <c r="O1281" s="230"/>
      <c r="S1281" s="230"/>
      <c r="T1281" s="230"/>
      <c r="U1281" s="230"/>
      <c r="V1281" s="230"/>
      <c r="W1281" s="230"/>
      <c r="X1281" s="230"/>
      <c r="Y1281" s="230"/>
      <c r="Z1281" s="230"/>
    </row>
    <row r="1282">
      <c r="O1282" s="230"/>
      <c r="S1282" s="230"/>
      <c r="T1282" s="230"/>
      <c r="U1282" s="230"/>
      <c r="V1282" s="230"/>
      <c r="W1282" s="230"/>
      <c r="X1282" s="230"/>
      <c r="Y1282" s="230"/>
      <c r="Z1282" s="230"/>
    </row>
    <row r="1283">
      <c r="O1283" s="230"/>
      <c r="S1283" s="230"/>
      <c r="T1283" s="230"/>
      <c r="U1283" s="230"/>
      <c r="V1283" s="230"/>
      <c r="W1283" s="230"/>
      <c r="X1283" s="230"/>
      <c r="Y1283" s="230"/>
      <c r="Z1283" s="230"/>
    </row>
    <row r="1284">
      <c r="O1284" s="230"/>
      <c r="S1284" s="230"/>
      <c r="T1284" s="230"/>
      <c r="U1284" s="230"/>
      <c r="V1284" s="230"/>
      <c r="W1284" s="230"/>
      <c r="X1284" s="230"/>
      <c r="Y1284" s="230"/>
      <c r="Z1284" s="230"/>
    </row>
    <row r="1285">
      <c r="O1285" s="230"/>
      <c r="S1285" s="230"/>
      <c r="T1285" s="230"/>
      <c r="U1285" s="230"/>
      <c r="V1285" s="230"/>
      <c r="W1285" s="230"/>
      <c r="X1285" s="230"/>
      <c r="Y1285" s="230"/>
      <c r="Z1285" s="230"/>
    </row>
    <row r="1286">
      <c r="O1286" s="230"/>
      <c r="S1286" s="230"/>
      <c r="T1286" s="230"/>
      <c r="U1286" s="230"/>
      <c r="V1286" s="230"/>
      <c r="W1286" s="230"/>
      <c r="X1286" s="230"/>
      <c r="Y1286" s="230"/>
      <c r="Z1286" s="230"/>
    </row>
    <row r="1287">
      <c r="O1287" s="230"/>
      <c r="S1287" s="230"/>
      <c r="T1287" s="230"/>
      <c r="U1287" s="230"/>
      <c r="V1287" s="230"/>
      <c r="W1287" s="230"/>
      <c r="X1287" s="230"/>
      <c r="Y1287" s="230"/>
      <c r="Z1287" s="230"/>
    </row>
    <row r="1288">
      <c r="O1288" s="230"/>
      <c r="S1288" s="230"/>
      <c r="T1288" s="230"/>
      <c r="U1288" s="230"/>
      <c r="V1288" s="230"/>
      <c r="W1288" s="230"/>
      <c r="X1288" s="230"/>
      <c r="Y1288" s="230"/>
      <c r="Z1288" s="230"/>
    </row>
    <row r="1289">
      <c r="O1289" s="230"/>
      <c r="S1289" s="230"/>
      <c r="T1289" s="230"/>
      <c r="U1289" s="230"/>
      <c r="V1289" s="230"/>
      <c r="W1289" s="230"/>
      <c r="X1289" s="230"/>
      <c r="Y1289" s="230"/>
      <c r="Z1289" s="230"/>
    </row>
    <row r="1290">
      <c r="O1290" s="230"/>
      <c r="S1290" s="230"/>
      <c r="T1290" s="230"/>
      <c r="U1290" s="230"/>
      <c r="V1290" s="230"/>
      <c r="W1290" s="230"/>
      <c r="X1290" s="230"/>
      <c r="Y1290" s="230"/>
      <c r="Z1290" s="230"/>
    </row>
    <row r="1291">
      <c r="O1291" s="230"/>
      <c r="S1291" s="230"/>
      <c r="T1291" s="230"/>
      <c r="U1291" s="230"/>
      <c r="V1291" s="230"/>
      <c r="W1291" s="230"/>
      <c r="X1291" s="230"/>
      <c r="Y1291" s="230"/>
      <c r="Z1291" s="230"/>
    </row>
    <row r="1292">
      <c r="O1292" s="230"/>
      <c r="S1292" s="230"/>
      <c r="T1292" s="230"/>
      <c r="U1292" s="230"/>
      <c r="V1292" s="230"/>
      <c r="W1292" s="230"/>
      <c r="X1292" s="230"/>
      <c r="Y1292" s="230"/>
      <c r="Z1292" s="230"/>
    </row>
    <row r="1293">
      <c r="O1293" s="230"/>
      <c r="S1293" s="230"/>
      <c r="T1293" s="230"/>
      <c r="U1293" s="230"/>
      <c r="V1293" s="230"/>
      <c r="W1293" s="230"/>
      <c r="X1293" s="230"/>
      <c r="Y1293" s="230"/>
      <c r="Z1293" s="230"/>
    </row>
    <row r="1294">
      <c r="O1294" s="230"/>
      <c r="S1294" s="230"/>
      <c r="T1294" s="230"/>
      <c r="U1294" s="230"/>
      <c r="V1294" s="230"/>
      <c r="W1294" s="230"/>
      <c r="X1294" s="230"/>
      <c r="Y1294" s="230"/>
      <c r="Z1294" s="230"/>
    </row>
    <row r="1295">
      <c r="O1295" s="230"/>
      <c r="S1295" s="230"/>
      <c r="T1295" s="230"/>
      <c r="U1295" s="230"/>
      <c r="V1295" s="230"/>
      <c r="W1295" s="230"/>
      <c r="X1295" s="230"/>
      <c r="Y1295" s="230"/>
      <c r="Z1295" s="230"/>
    </row>
    <row r="1296">
      <c r="O1296" s="230"/>
      <c r="S1296" s="230"/>
      <c r="T1296" s="230"/>
      <c r="U1296" s="230"/>
      <c r="V1296" s="230"/>
      <c r="W1296" s="230"/>
      <c r="X1296" s="230"/>
      <c r="Y1296" s="230"/>
      <c r="Z1296" s="230"/>
    </row>
    <row r="1297">
      <c r="O1297" s="230"/>
      <c r="S1297" s="230"/>
      <c r="T1297" s="230"/>
      <c r="U1297" s="230"/>
      <c r="V1297" s="230"/>
      <c r="W1297" s="230"/>
      <c r="X1297" s="230"/>
      <c r="Y1297" s="230"/>
      <c r="Z1297" s="230"/>
    </row>
    <row r="1298">
      <c r="O1298" s="230"/>
      <c r="S1298" s="230"/>
      <c r="T1298" s="230"/>
      <c r="U1298" s="230"/>
      <c r="V1298" s="230"/>
      <c r="W1298" s="230"/>
      <c r="X1298" s="230"/>
      <c r="Y1298" s="230"/>
      <c r="Z1298" s="230"/>
    </row>
    <row r="1299">
      <c r="O1299" s="230"/>
      <c r="S1299" s="230"/>
      <c r="T1299" s="230"/>
      <c r="U1299" s="230"/>
      <c r="V1299" s="230"/>
      <c r="W1299" s="230"/>
      <c r="X1299" s="230"/>
      <c r="Y1299" s="230"/>
      <c r="Z1299" s="230"/>
    </row>
    <row r="1300">
      <c r="O1300" s="230"/>
      <c r="S1300" s="230"/>
      <c r="T1300" s="230"/>
      <c r="U1300" s="230"/>
      <c r="V1300" s="230"/>
      <c r="W1300" s="230"/>
      <c r="X1300" s="230"/>
      <c r="Y1300" s="230"/>
      <c r="Z1300" s="230"/>
    </row>
    <row r="1301">
      <c r="O1301" s="230"/>
      <c r="S1301" s="230"/>
      <c r="T1301" s="230"/>
      <c r="U1301" s="230"/>
      <c r="V1301" s="230"/>
      <c r="W1301" s="230"/>
      <c r="X1301" s="230"/>
      <c r="Y1301" s="230"/>
      <c r="Z1301" s="230"/>
    </row>
    <row r="1302">
      <c r="O1302" s="230"/>
      <c r="S1302" s="230"/>
      <c r="T1302" s="230"/>
      <c r="U1302" s="230"/>
      <c r="V1302" s="230"/>
      <c r="W1302" s="230"/>
      <c r="X1302" s="230"/>
      <c r="Y1302" s="230"/>
      <c r="Z1302" s="230"/>
    </row>
    <row r="1303">
      <c r="O1303" s="230"/>
      <c r="S1303" s="230"/>
      <c r="T1303" s="230"/>
      <c r="U1303" s="230"/>
      <c r="V1303" s="230"/>
      <c r="W1303" s="230"/>
      <c r="X1303" s="230"/>
      <c r="Y1303" s="230"/>
      <c r="Z1303" s="230"/>
    </row>
    <row r="1304">
      <c r="O1304" s="230"/>
      <c r="S1304" s="230"/>
      <c r="T1304" s="230"/>
      <c r="U1304" s="230"/>
      <c r="V1304" s="230"/>
      <c r="W1304" s="230"/>
      <c r="X1304" s="230"/>
      <c r="Y1304" s="230"/>
      <c r="Z1304" s="230"/>
    </row>
    <row r="1305">
      <c r="O1305" s="230"/>
      <c r="S1305" s="230"/>
      <c r="T1305" s="230"/>
      <c r="U1305" s="230"/>
      <c r="V1305" s="230"/>
      <c r="W1305" s="230"/>
      <c r="X1305" s="230"/>
      <c r="Y1305" s="230"/>
      <c r="Z1305" s="230"/>
    </row>
    <row r="1306">
      <c r="O1306" s="230"/>
      <c r="S1306" s="230"/>
      <c r="T1306" s="230"/>
      <c r="U1306" s="230"/>
      <c r="V1306" s="230"/>
      <c r="W1306" s="230"/>
      <c r="X1306" s="230"/>
      <c r="Y1306" s="230"/>
      <c r="Z1306" s="230"/>
    </row>
    <row r="1307">
      <c r="O1307" s="230"/>
      <c r="S1307" s="230"/>
      <c r="T1307" s="230"/>
      <c r="U1307" s="230"/>
      <c r="V1307" s="230"/>
      <c r="W1307" s="230"/>
      <c r="X1307" s="230"/>
      <c r="Y1307" s="230"/>
      <c r="Z1307" s="230"/>
    </row>
    <row r="1308">
      <c r="O1308" s="230"/>
      <c r="S1308" s="230"/>
      <c r="T1308" s="230"/>
      <c r="U1308" s="230"/>
      <c r="V1308" s="230"/>
      <c r="W1308" s="230"/>
      <c r="X1308" s="230"/>
      <c r="Y1308" s="230"/>
      <c r="Z1308" s="230"/>
    </row>
    <row r="1309">
      <c r="O1309" s="230"/>
      <c r="S1309" s="230"/>
      <c r="T1309" s="230"/>
      <c r="U1309" s="230"/>
      <c r="V1309" s="230"/>
      <c r="W1309" s="230"/>
      <c r="X1309" s="230"/>
      <c r="Y1309" s="230"/>
      <c r="Z1309" s="230"/>
    </row>
    <row r="1310">
      <c r="O1310" s="230"/>
      <c r="S1310" s="230"/>
      <c r="T1310" s="230"/>
      <c r="U1310" s="230"/>
      <c r="V1310" s="230"/>
      <c r="W1310" s="230"/>
      <c r="X1310" s="230"/>
      <c r="Y1310" s="230"/>
      <c r="Z1310" s="230"/>
    </row>
    <row r="1311">
      <c r="O1311" s="230"/>
      <c r="S1311" s="230"/>
      <c r="T1311" s="230"/>
      <c r="U1311" s="230"/>
      <c r="V1311" s="230"/>
      <c r="W1311" s="230"/>
      <c r="X1311" s="230"/>
      <c r="Y1311" s="230"/>
      <c r="Z1311" s="230"/>
    </row>
    <row r="1312">
      <c r="O1312" s="230"/>
      <c r="S1312" s="230"/>
      <c r="T1312" s="230"/>
      <c r="U1312" s="230"/>
      <c r="V1312" s="230"/>
      <c r="W1312" s="230"/>
      <c r="X1312" s="230"/>
      <c r="Y1312" s="230"/>
      <c r="Z1312" s="230"/>
    </row>
    <row r="1313">
      <c r="O1313" s="230"/>
      <c r="S1313" s="230"/>
      <c r="T1313" s="230"/>
      <c r="U1313" s="230"/>
      <c r="V1313" s="230"/>
      <c r="W1313" s="230"/>
      <c r="X1313" s="230"/>
      <c r="Y1313" s="230"/>
      <c r="Z1313" s="230"/>
    </row>
    <row r="1314">
      <c r="O1314" s="230"/>
      <c r="S1314" s="230"/>
      <c r="T1314" s="230"/>
      <c r="U1314" s="230"/>
      <c r="V1314" s="230"/>
      <c r="W1314" s="230"/>
      <c r="X1314" s="230"/>
      <c r="Y1314" s="230"/>
      <c r="Z1314" s="230"/>
    </row>
    <row r="1315">
      <c r="O1315" s="230"/>
      <c r="S1315" s="230"/>
      <c r="T1315" s="230"/>
      <c r="U1315" s="230"/>
      <c r="V1315" s="230"/>
      <c r="W1315" s="230"/>
      <c r="X1315" s="230"/>
      <c r="Y1315" s="230"/>
      <c r="Z1315" s="230"/>
    </row>
    <row r="1316">
      <c r="O1316" s="230"/>
      <c r="S1316" s="230"/>
      <c r="T1316" s="230"/>
      <c r="U1316" s="230"/>
      <c r="V1316" s="230"/>
      <c r="W1316" s="230"/>
      <c r="X1316" s="230"/>
      <c r="Y1316" s="230"/>
      <c r="Z1316" s="230"/>
    </row>
    <row r="1317">
      <c r="O1317" s="230"/>
      <c r="S1317" s="230"/>
      <c r="T1317" s="230"/>
      <c r="U1317" s="230"/>
      <c r="V1317" s="230"/>
      <c r="W1317" s="230"/>
      <c r="X1317" s="230"/>
      <c r="Y1317" s="230"/>
      <c r="Z1317" s="230"/>
    </row>
    <row r="1318">
      <c r="O1318" s="230"/>
      <c r="S1318" s="230"/>
      <c r="T1318" s="230"/>
      <c r="U1318" s="230"/>
      <c r="V1318" s="230"/>
      <c r="W1318" s="230"/>
      <c r="X1318" s="230"/>
      <c r="Y1318" s="230"/>
      <c r="Z1318" s="230"/>
    </row>
    <row r="1319">
      <c r="O1319" s="230"/>
      <c r="S1319" s="230"/>
      <c r="T1319" s="230"/>
      <c r="U1319" s="230"/>
      <c r="V1319" s="230"/>
      <c r="W1319" s="230"/>
      <c r="X1319" s="230"/>
      <c r="Y1319" s="230"/>
      <c r="Z1319" s="230"/>
    </row>
    <row r="1320">
      <c r="O1320" s="230"/>
      <c r="S1320" s="230"/>
      <c r="T1320" s="230"/>
      <c r="U1320" s="230"/>
      <c r="V1320" s="230"/>
      <c r="W1320" s="230"/>
      <c r="X1320" s="230"/>
      <c r="Y1320" s="230"/>
      <c r="Z1320" s="230"/>
    </row>
    <row r="1321">
      <c r="O1321" s="230"/>
      <c r="S1321" s="230"/>
      <c r="T1321" s="230"/>
      <c r="U1321" s="230"/>
      <c r="V1321" s="230"/>
      <c r="W1321" s="230"/>
      <c r="X1321" s="230"/>
      <c r="Y1321" s="230"/>
      <c r="Z1321" s="230"/>
    </row>
    <row r="1322">
      <c r="O1322" s="230"/>
      <c r="S1322" s="230"/>
      <c r="T1322" s="230"/>
      <c r="U1322" s="230"/>
      <c r="V1322" s="230"/>
      <c r="W1322" s="230"/>
      <c r="X1322" s="230"/>
      <c r="Y1322" s="230"/>
      <c r="Z1322" s="230"/>
    </row>
    <row r="1323">
      <c r="O1323" s="230"/>
      <c r="S1323" s="230"/>
      <c r="T1323" s="230"/>
      <c r="U1323" s="230"/>
      <c r="V1323" s="230"/>
      <c r="W1323" s="230"/>
      <c r="X1323" s="230"/>
      <c r="Y1323" s="230"/>
      <c r="Z1323" s="230"/>
    </row>
    <row r="1324">
      <c r="O1324" s="230"/>
      <c r="S1324" s="230"/>
      <c r="T1324" s="230"/>
      <c r="U1324" s="230"/>
      <c r="V1324" s="230"/>
      <c r="W1324" s="230"/>
      <c r="X1324" s="230"/>
      <c r="Y1324" s="230"/>
      <c r="Z1324" s="230"/>
    </row>
    <row r="1325">
      <c r="O1325" s="230"/>
      <c r="S1325" s="230"/>
      <c r="T1325" s="230"/>
      <c r="U1325" s="230"/>
      <c r="V1325" s="230"/>
      <c r="W1325" s="230"/>
      <c r="X1325" s="230"/>
      <c r="Y1325" s="230"/>
      <c r="Z1325" s="230"/>
    </row>
    <row r="1326">
      <c r="O1326" s="230"/>
      <c r="S1326" s="230"/>
      <c r="T1326" s="230"/>
      <c r="U1326" s="230"/>
      <c r="V1326" s="230"/>
      <c r="W1326" s="230"/>
      <c r="X1326" s="230"/>
      <c r="Y1326" s="230"/>
      <c r="Z1326" s="230"/>
    </row>
    <row r="1327">
      <c r="O1327" s="230"/>
      <c r="S1327" s="230"/>
      <c r="T1327" s="230"/>
      <c r="U1327" s="230"/>
      <c r="V1327" s="230"/>
      <c r="W1327" s="230"/>
      <c r="X1327" s="230"/>
      <c r="Y1327" s="230"/>
      <c r="Z1327" s="230"/>
    </row>
    <row r="1328">
      <c r="O1328" s="230"/>
      <c r="S1328" s="230"/>
      <c r="T1328" s="230"/>
      <c r="U1328" s="230"/>
      <c r="V1328" s="230"/>
      <c r="W1328" s="230"/>
      <c r="X1328" s="230"/>
      <c r="Y1328" s="230"/>
      <c r="Z1328" s="230"/>
    </row>
    <row r="1329">
      <c r="O1329" s="230"/>
      <c r="S1329" s="230"/>
      <c r="T1329" s="230"/>
      <c r="U1329" s="230"/>
      <c r="V1329" s="230"/>
      <c r="W1329" s="230"/>
      <c r="X1329" s="230"/>
      <c r="Y1329" s="230"/>
      <c r="Z1329" s="230"/>
    </row>
    <row r="1330">
      <c r="O1330" s="230"/>
      <c r="S1330" s="230"/>
      <c r="T1330" s="230"/>
      <c r="U1330" s="230"/>
      <c r="V1330" s="230"/>
      <c r="W1330" s="230"/>
      <c r="X1330" s="230"/>
      <c r="Y1330" s="230"/>
      <c r="Z1330" s="230"/>
    </row>
    <row r="1331">
      <c r="O1331" s="230"/>
      <c r="S1331" s="230"/>
      <c r="T1331" s="230"/>
      <c r="U1331" s="230"/>
      <c r="V1331" s="230"/>
      <c r="W1331" s="230"/>
      <c r="X1331" s="230"/>
      <c r="Y1331" s="230"/>
      <c r="Z1331" s="230"/>
    </row>
    <row r="1332">
      <c r="O1332" s="230"/>
      <c r="S1332" s="230"/>
      <c r="T1332" s="230"/>
      <c r="U1332" s="230"/>
      <c r="V1332" s="230"/>
      <c r="W1332" s="230"/>
      <c r="X1332" s="230"/>
      <c r="Y1332" s="230"/>
      <c r="Z1332" s="230"/>
    </row>
    <row r="1333">
      <c r="O1333" s="230"/>
      <c r="S1333" s="230"/>
      <c r="T1333" s="230"/>
      <c r="U1333" s="230"/>
      <c r="V1333" s="230"/>
      <c r="W1333" s="230"/>
      <c r="X1333" s="230"/>
      <c r="Y1333" s="230"/>
      <c r="Z1333" s="230"/>
    </row>
    <row r="1334">
      <c r="O1334" s="230"/>
      <c r="S1334" s="230"/>
      <c r="T1334" s="230"/>
      <c r="U1334" s="230"/>
      <c r="V1334" s="230"/>
      <c r="W1334" s="230"/>
      <c r="X1334" s="230"/>
      <c r="Y1334" s="230"/>
      <c r="Z1334" s="230"/>
    </row>
    <row r="1335">
      <c r="O1335" s="230"/>
      <c r="S1335" s="230"/>
      <c r="T1335" s="230"/>
      <c r="U1335" s="230"/>
      <c r="V1335" s="230"/>
      <c r="W1335" s="230"/>
      <c r="X1335" s="230"/>
      <c r="Y1335" s="230"/>
      <c r="Z1335" s="230"/>
    </row>
    <row r="1336">
      <c r="O1336" s="230"/>
      <c r="S1336" s="230"/>
      <c r="T1336" s="230"/>
      <c r="U1336" s="230"/>
      <c r="V1336" s="230"/>
      <c r="W1336" s="230"/>
      <c r="X1336" s="230"/>
      <c r="Y1336" s="230"/>
      <c r="Z1336" s="230"/>
    </row>
    <row r="1337">
      <c r="O1337" s="230"/>
      <c r="S1337" s="230"/>
      <c r="T1337" s="230"/>
      <c r="U1337" s="230"/>
      <c r="V1337" s="230"/>
      <c r="W1337" s="230"/>
      <c r="X1337" s="230"/>
      <c r="Y1337" s="230"/>
      <c r="Z1337" s="230"/>
    </row>
    <row r="1338">
      <c r="O1338" s="230"/>
      <c r="S1338" s="230"/>
      <c r="T1338" s="230"/>
      <c r="U1338" s="230"/>
      <c r="V1338" s="230"/>
      <c r="W1338" s="230"/>
      <c r="X1338" s="230"/>
      <c r="Y1338" s="230"/>
      <c r="Z1338" s="230"/>
    </row>
    <row r="1339">
      <c r="O1339" s="230"/>
      <c r="S1339" s="230"/>
      <c r="T1339" s="230"/>
      <c r="U1339" s="230"/>
      <c r="V1339" s="230"/>
      <c r="W1339" s="230"/>
      <c r="X1339" s="230"/>
      <c r="Y1339" s="230"/>
      <c r="Z1339" s="230"/>
    </row>
    <row r="1340">
      <c r="O1340" s="230"/>
      <c r="S1340" s="230"/>
      <c r="T1340" s="230"/>
      <c r="U1340" s="230"/>
      <c r="V1340" s="230"/>
      <c r="W1340" s="230"/>
      <c r="X1340" s="230"/>
      <c r="Y1340" s="230"/>
      <c r="Z1340" s="230"/>
    </row>
    <row r="1341">
      <c r="O1341" s="230"/>
      <c r="S1341" s="230"/>
      <c r="T1341" s="230"/>
      <c r="U1341" s="230"/>
      <c r="V1341" s="230"/>
      <c r="W1341" s="230"/>
      <c r="X1341" s="230"/>
      <c r="Y1341" s="230"/>
      <c r="Z1341" s="230"/>
    </row>
    <row r="1342">
      <c r="O1342" s="230"/>
      <c r="S1342" s="230"/>
      <c r="T1342" s="230"/>
      <c r="U1342" s="230"/>
      <c r="V1342" s="230"/>
      <c r="W1342" s="230"/>
      <c r="X1342" s="230"/>
      <c r="Y1342" s="230"/>
      <c r="Z1342" s="230"/>
    </row>
    <row r="1343">
      <c r="O1343" s="230"/>
      <c r="S1343" s="230"/>
      <c r="T1343" s="230"/>
      <c r="U1343" s="230"/>
      <c r="V1343" s="230"/>
      <c r="W1343" s="230"/>
      <c r="X1343" s="230"/>
      <c r="Y1343" s="230"/>
      <c r="Z1343" s="230"/>
    </row>
    <row r="1344">
      <c r="O1344" s="230"/>
      <c r="S1344" s="230"/>
      <c r="T1344" s="230"/>
      <c r="U1344" s="230"/>
      <c r="V1344" s="230"/>
      <c r="W1344" s="230"/>
      <c r="X1344" s="230"/>
      <c r="Y1344" s="230"/>
      <c r="Z1344" s="230"/>
    </row>
    <row r="1345">
      <c r="O1345" s="230"/>
      <c r="S1345" s="230"/>
      <c r="T1345" s="230"/>
      <c r="U1345" s="230"/>
      <c r="V1345" s="230"/>
      <c r="W1345" s="230"/>
      <c r="X1345" s="230"/>
      <c r="Y1345" s="230"/>
      <c r="Z1345" s="230"/>
    </row>
    <row r="1346">
      <c r="O1346" s="230"/>
      <c r="S1346" s="230"/>
      <c r="T1346" s="230"/>
      <c r="U1346" s="230"/>
      <c r="V1346" s="230"/>
      <c r="W1346" s="230"/>
      <c r="X1346" s="230"/>
      <c r="Y1346" s="230"/>
      <c r="Z1346" s="230"/>
    </row>
    <row r="1347">
      <c r="O1347" s="230"/>
      <c r="S1347" s="230"/>
      <c r="T1347" s="230"/>
      <c r="U1347" s="230"/>
      <c r="V1347" s="230"/>
      <c r="W1347" s="230"/>
      <c r="X1347" s="230"/>
      <c r="Y1347" s="230"/>
      <c r="Z1347" s="230"/>
    </row>
    <row r="1348">
      <c r="O1348" s="230"/>
      <c r="S1348" s="230"/>
      <c r="T1348" s="230"/>
      <c r="U1348" s="230"/>
      <c r="V1348" s="230"/>
      <c r="W1348" s="230"/>
      <c r="X1348" s="230"/>
      <c r="Y1348" s="230"/>
      <c r="Z1348" s="230"/>
    </row>
    <row r="1349">
      <c r="O1349" s="230"/>
      <c r="S1349" s="230"/>
      <c r="T1349" s="230"/>
      <c r="U1349" s="230"/>
      <c r="V1349" s="230"/>
      <c r="W1349" s="230"/>
      <c r="X1349" s="230"/>
      <c r="Y1349" s="230"/>
      <c r="Z1349" s="230"/>
    </row>
    <row r="1350">
      <c r="O1350" s="230"/>
      <c r="S1350" s="230"/>
      <c r="T1350" s="230"/>
      <c r="U1350" s="230"/>
      <c r="V1350" s="230"/>
      <c r="W1350" s="230"/>
      <c r="X1350" s="230"/>
      <c r="Y1350" s="230"/>
      <c r="Z1350" s="230"/>
    </row>
    <row r="1351">
      <c r="O1351" s="230"/>
      <c r="S1351" s="230"/>
      <c r="T1351" s="230"/>
      <c r="U1351" s="230"/>
      <c r="V1351" s="230"/>
      <c r="W1351" s="230"/>
      <c r="X1351" s="230"/>
      <c r="Y1351" s="230"/>
      <c r="Z1351" s="230"/>
    </row>
    <row r="1352">
      <c r="O1352" s="230"/>
      <c r="S1352" s="230"/>
      <c r="T1352" s="230"/>
      <c r="U1352" s="230"/>
      <c r="V1352" s="230"/>
      <c r="W1352" s="230"/>
      <c r="X1352" s="230"/>
      <c r="Y1352" s="230"/>
      <c r="Z1352" s="230"/>
    </row>
    <row r="1353">
      <c r="O1353" s="230"/>
      <c r="S1353" s="230"/>
      <c r="T1353" s="230"/>
      <c r="U1353" s="230"/>
      <c r="V1353" s="230"/>
      <c r="W1353" s="230"/>
      <c r="X1353" s="230"/>
      <c r="Y1353" s="230"/>
      <c r="Z1353" s="230"/>
    </row>
    <row r="1354">
      <c r="O1354" s="230"/>
      <c r="S1354" s="230"/>
      <c r="T1354" s="230"/>
      <c r="U1354" s="230"/>
      <c r="V1354" s="230"/>
      <c r="W1354" s="230"/>
      <c r="X1354" s="230"/>
      <c r="Y1354" s="230"/>
      <c r="Z1354" s="230"/>
    </row>
    <row r="1355">
      <c r="O1355" s="230"/>
      <c r="S1355" s="230"/>
      <c r="T1355" s="230"/>
      <c r="U1355" s="230"/>
      <c r="V1355" s="230"/>
      <c r="W1355" s="230"/>
      <c r="X1355" s="230"/>
      <c r="Y1355" s="230"/>
      <c r="Z1355" s="230"/>
    </row>
    <row r="1356">
      <c r="O1356" s="230"/>
      <c r="S1356" s="230"/>
      <c r="T1356" s="230"/>
      <c r="U1356" s="230"/>
      <c r="V1356" s="230"/>
      <c r="W1356" s="230"/>
      <c r="X1356" s="230"/>
      <c r="Y1356" s="230"/>
      <c r="Z1356" s="230"/>
    </row>
    <row r="1357">
      <c r="O1357" s="230"/>
      <c r="S1357" s="230"/>
      <c r="T1357" s="230"/>
      <c r="U1357" s="230"/>
      <c r="V1357" s="230"/>
      <c r="W1357" s="230"/>
      <c r="X1357" s="230"/>
      <c r="Y1357" s="230"/>
      <c r="Z1357" s="230"/>
    </row>
    <row r="1358">
      <c r="O1358" s="230"/>
      <c r="S1358" s="230"/>
      <c r="T1358" s="230"/>
      <c r="U1358" s="230"/>
      <c r="V1358" s="230"/>
      <c r="W1358" s="230"/>
      <c r="X1358" s="230"/>
      <c r="Y1358" s="230"/>
      <c r="Z1358" s="230"/>
    </row>
    <row r="1359">
      <c r="O1359" s="230"/>
      <c r="S1359" s="230"/>
      <c r="T1359" s="230"/>
      <c r="U1359" s="230"/>
      <c r="V1359" s="230"/>
      <c r="W1359" s="230"/>
      <c r="X1359" s="230"/>
      <c r="Y1359" s="230"/>
      <c r="Z1359" s="230"/>
    </row>
    <row r="1360">
      <c r="O1360" s="230"/>
      <c r="S1360" s="230"/>
      <c r="T1360" s="230"/>
      <c r="U1360" s="230"/>
      <c r="V1360" s="230"/>
      <c r="W1360" s="230"/>
      <c r="X1360" s="230"/>
      <c r="Y1360" s="230"/>
      <c r="Z1360" s="230"/>
    </row>
    <row r="1361">
      <c r="O1361" s="230"/>
      <c r="S1361" s="230"/>
      <c r="T1361" s="230"/>
      <c r="U1361" s="230"/>
      <c r="V1361" s="230"/>
      <c r="W1361" s="230"/>
      <c r="X1361" s="230"/>
      <c r="Y1361" s="230"/>
      <c r="Z1361" s="230"/>
    </row>
    <row r="1362">
      <c r="O1362" s="230"/>
      <c r="S1362" s="230"/>
      <c r="T1362" s="230"/>
      <c r="U1362" s="230"/>
      <c r="V1362" s="230"/>
      <c r="W1362" s="230"/>
      <c r="X1362" s="230"/>
      <c r="Y1362" s="230"/>
      <c r="Z1362" s="230"/>
    </row>
    <row r="1363">
      <c r="O1363" s="230"/>
      <c r="S1363" s="230"/>
      <c r="T1363" s="230"/>
      <c r="U1363" s="230"/>
      <c r="V1363" s="230"/>
      <c r="W1363" s="230"/>
      <c r="X1363" s="230"/>
      <c r="Y1363" s="230"/>
      <c r="Z1363" s="230"/>
    </row>
    <row r="1364">
      <c r="O1364" s="230"/>
      <c r="S1364" s="230"/>
      <c r="T1364" s="230"/>
      <c r="U1364" s="230"/>
      <c r="V1364" s="230"/>
      <c r="W1364" s="230"/>
      <c r="X1364" s="230"/>
      <c r="Y1364" s="230"/>
      <c r="Z1364" s="230"/>
    </row>
    <row r="1365">
      <c r="O1365" s="230"/>
      <c r="S1365" s="230"/>
      <c r="T1365" s="230"/>
      <c r="U1365" s="230"/>
      <c r="V1365" s="230"/>
      <c r="W1365" s="230"/>
      <c r="X1365" s="230"/>
      <c r="Y1365" s="230"/>
      <c r="Z1365" s="230"/>
    </row>
    <row r="1366">
      <c r="O1366" s="230"/>
      <c r="S1366" s="230"/>
      <c r="T1366" s="230"/>
      <c r="U1366" s="230"/>
      <c r="V1366" s="230"/>
      <c r="W1366" s="230"/>
      <c r="X1366" s="230"/>
      <c r="Y1366" s="230"/>
      <c r="Z1366" s="230"/>
    </row>
    <row r="1367">
      <c r="O1367" s="230"/>
      <c r="S1367" s="230"/>
      <c r="T1367" s="230"/>
      <c r="U1367" s="230"/>
      <c r="V1367" s="230"/>
      <c r="W1367" s="230"/>
      <c r="X1367" s="230"/>
      <c r="Y1367" s="230"/>
      <c r="Z1367" s="230"/>
    </row>
    <row r="1368">
      <c r="O1368" s="230"/>
      <c r="S1368" s="230"/>
      <c r="T1368" s="230"/>
      <c r="U1368" s="230"/>
      <c r="V1368" s="230"/>
      <c r="W1368" s="230"/>
      <c r="X1368" s="230"/>
      <c r="Y1368" s="230"/>
      <c r="Z1368" s="230"/>
    </row>
    <row r="1369">
      <c r="O1369" s="230"/>
      <c r="S1369" s="230"/>
      <c r="T1369" s="230"/>
      <c r="U1369" s="230"/>
      <c r="V1369" s="230"/>
      <c r="W1369" s="230"/>
      <c r="X1369" s="230"/>
      <c r="Y1369" s="230"/>
      <c r="Z1369" s="230"/>
    </row>
    <row r="1370">
      <c r="O1370" s="230"/>
      <c r="S1370" s="230"/>
      <c r="T1370" s="230"/>
      <c r="U1370" s="230"/>
      <c r="V1370" s="230"/>
      <c r="W1370" s="230"/>
      <c r="X1370" s="230"/>
      <c r="Y1370" s="230"/>
      <c r="Z1370" s="230"/>
    </row>
    <row r="1371">
      <c r="O1371" s="230"/>
      <c r="S1371" s="230"/>
      <c r="T1371" s="230"/>
      <c r="U1371" s="230"/>
      <c r="V1371" s="230"/>
      <c r="W1371" s="230"/>
      <c r="X1371" s="230"/>
      <c r="Y1371" s="230"/>
      <c r="Z1371" s="230"/>
    </row>
    <row r="1372">
      <c r="O1372" s="230"/>
      <c r="S1372" s="230"/>
      <c r="T1372" s="230"/>
      <c r="U1372" s="230"/>
      <c r="V1372" s="230"/>
      <c r="W1372" s="230"/>
      <c r="X1372" s="230"/>
      <c r="Y1372" s="230"/>
      <c r="Z1372" s="230"/>
    </row>
    <row r="1373">
      <c r="O1373" s="230"/>
      <c r="S1373" s="230"/>
      <c r="T1373" s="230"/>
      <c r="U1373" s="230"/>
      <c r="V1373" s="230"/>
      <c r="W1373" s="230"/>
      <c r="X1373" s="230"/>
      <c r="Y1373" s="230"/>
      <c r="Z1373" s="230"/>
    </row>
    <row r="1374">
      <c r="O1374" s="230"/>
      <c r="S1374" s="230"/>
      <c r="T1374" s="230"/>
      <c r="U1374" s="230"/>
      <c r="V1374" s="230"/>
      <c r="W1374" s="230"/>
      <c r="X1374" s="230"/>
      <c r="Y1374" s="230"/>
      <c r="Z1374" s="230"/>
    </row>
    <row r="1375">
      <c r="O1375" s="230"/>
      <c r="S1375" s="230"/>
      <c r="T1375" s="230"/>
      <c r="U1375" s="230"/>
      <c r="V1375" s="230"/>
      <c r="W1375" s="230"/>
      <c r="X1375" s="230"/>
      <c r="Y1375" s="230"/>
      <c r="Z1375" s="230"/>
    </row>
    <row r="1376">
      <c r="O1376" s="230"/>
      <c r="S1376" s="230"/>
      <c r="T1376" s="230"/>
      <c r="U1376" s="230"/>
      <c r="V1376" s="230"/>
      <c r="W1376" s="230"/>
      <c r="X1376" s="230"/>
      <c r="Y1376" s="230"/>
      <c r="Z1376" s="230"/>
    </row>
    <row r="1377">
      <c r="O1377" s="230"/>
      <c r="S1377" s="230"/>
      <c r="T1377" s="230"/>
      <c r="U1377" s="230"/>
      <c r="V1377" s="230"/>
      <c r="W1377" s="230"/>
      <c r="X1377" s="230"/>
      <c r="Y1377" s="230"/>
      <c r="Z1377" s="230"/>
    </row>
    <row r="1378">
      <c r="O1378" s="230"/>
      <c r="S1378" s="230"/>
      <c r="T1378" s="230"/>
      <c r="U1378" s="230"/>
      <c r="V1378" s="230"/>
      <c r="W1378" s="230"/>
      <c r="X1378" s="230"/>
      <c r="Y1378" s="230"/>
      <c r="Z1378" s="230"/>
    </row>
    <row r="1379">
      <c r="O1379" s="230"/>
      <c r="S1379" s="230"/>
      <c r="T1379" s="230"/>
      <c r="U1379" s="230"/>
      <c r="V1379" s="230"/>
      <c r="W1379" s="230"/>
      <c r="X1379" s="230"/>
      <c r="Y1379" s="230"/>
      <c r="Z1379" s="230"/>
    </row>
    <row r="1380">
      <c r="O1380" s="230"/>
      <c r="S1380" s="230"/>
      <c r="T1380" s="230"/>
      <c r="U1380" s="230"/>
      <c r="V1380" s="230"/>
      <c r="W1380" s="230"/>
      <c r="X1380" s="230"/>
      <c r="Y1380" s="230"/>
      <c r="Z1380" s="230"/>
    </row>
    <row r="1381">
      <c r="O1381" s="230"/>
      <c r="S1381" s="230"/>
      <c r="T1381" s="230"/>
      <c r="U1381" s="230"/>
      <c r="V1381" s="230"/>
      <c r="W1381" s="230"/>
      <c r="X1381" s="230"/>
      <c r="Y1381" s="230"/>
      <c r="Z1381" s="230"/>
    </row>
    <row r="1382">
      <c r="O1382" s="230"/>
      <c r="S1382" s="230"/>
      <c r="T1382" s="230"/>
      <c r="U1382" s="230"/>
      <c r="V1382" s="230"/>
      <c r="W1382" s="230"/>
      <c r="X1382" s="230"/>
      <c r="Y1382" s="230"/>
      <c r="Z1382" s="230"/>
    </row>
    <row r="1383">
      <c r="O1383" s="230"/>
      <c r="S1383" s="230"/>
      <c r="T1383" s="230"/>
      <c r="U1383" s="230"/>
      <c r="V1383" s="230"/>
      <c r="W1383" s="230"/>
      <c r="X1383" s="230"/>
      <c r="Y1383" s="230"/>
      <c r="Z1383" s="230"/>
    </row>
    <row r="1384">
      <c r="O1384" s="230"/>
      <c r="S1384" s="230"/>
      <c r="T1384" s="230"/>
      <c r="U1384" s="230"/>
      <c r="V1384" s="230"/>
      <c r="W1384" s="230"/>
      <c r="X1384" s="230"/>
      <c r="Y1384" s="230"/>
      <c r="Z1384" s="230"/>
    </row>
    <row r="1385">
      <c r="O1385" s="230"/>
      <c r="S1385" s="230"/>
      <c r="T1385" s="230"/>
      <c r="U1385" s="230"/>
      <c r="V1385" s="230"/>
      <c r="W1385" s="230"/>
      <c r="X1385" s="230"/>
      <c r="Y1385" s="230"/>
      <c r="Z1385" s="230"/>
    </row>
    <row r="1386">
      <c r="O1386" s="230"/>
      <c r="S1386" s="230"/>
      <c r="T1386" s="230"/>
      <c r="U1386" s="230"/>
      <c r="V1386" s="230"/>
      <c r="W1386" s="230"/>
      <c r="X1386" s="230"/>
      <c r="Y1386" s="230"/>
      <c r="Z1386" s="230"/>
    </row>
    <row r="1387">
      <c r="O1387" s="230"/>
      <c r="S1387" s="230"/>
      <c r="T1387" s="230"/>
      <c r="U1387" s="230"/>
      <c r="V1387" s="230"/>
      <c r="W1387" s="230"/>
      <c r="X1387" s="230"/>
      <c r="Y1387" s="230"/>
      <c r="Z1387" s="230"/>
    </row>
    <row r="1388">
      <c r="O1388" s="230"/>
      <c r="S1388" s="230"/>
      <c r="T1388" s="230"/>
      <c r="U1388" s="230"/>
      <c r="V1388" s="230"/>
      <c r="W1388" s="230"/>
      <c r="X1388" s="230"/>
      <c r="Y1388" s="230"/>
      <c r="Z1388" s="230"/>
    </row>
    <row r="1389">
      <c r="O1389" s="230"/>
      <c r="S1389" s="230"/>
      <c r="T1389" s="230"/>
      <c r="U1389" s="230"/>
      <c r="V1389" s="230"/>
      <c r="W1389" s="230"/>
      <c r="X1389" s="230"/>
      <c r="Y1389" s="230"/>
      <c r="Z1389" s="230"/>
    </row>
    <row r="1390">
      <c r="O1390" s="230"/>
      <c r="S1390" s="230"/>
      <c r="T1390" s="230"/>
      <c r="U1390" s="230"/>
      <c r="V1390" s="230"/>
      <c r="W1390" s="230"/>
      <c r="X1390" s="230"/>
      <c r="Y1390" s="230"/>
      <c r="Z1390" s="230"/>
    </row>
    <row r="1391">
      <c r="O1391" s="230"/>
      <c r="S1391" s="230"/>
      <c r="T1391" s="230"/>
      <c r="U1391" s="230"/>
      <c r="V1391" s="230"/>
      <c r="W1391" s="230"/>
      <c r="X1391" s="230"/>
      <c r="Y1391" s="230"/>
      <c r="Z1391" s="230"/>
    </row>
    <row r="1392">
      <c r="O1392" s="230"/>
      <c r="S1392" s="230"/>
      <c r="T1392" s="230"/>
      <c r="U1392" s="230"/>
      <c r="V1392" s="230"/>
      <c r="W1392" s="230"/>
      <c r="X1392" s="230"/>
      <c r="Y1392" s="230"/>
      <c r="Z1392" s="230"/>
    </row>
    <row r="1393">
      <c r="O1393" s="230"/>
      <c r="S1393" s="230"/>
      <c r="T1393" s="230"/>
      <c r="U1393" s="230"/>
      <c r="V1393" s="230"/>
      <c r="W1393" s="230"/>
      <c r="X1393" s="230"/>
      <c r="Y1393" s="230"/>
      <c r="Z1393" s="230"/>
    </row>
    <row r="1394">
      <c r="O1394" s="230"/>
      <c r="S1394" s="230"/>
      <c r="T1394" s="230"/>
      <c r="U1394" s="230"/>
      <c r="V1394" s="230"/>
      <c r="W1394" s="230"/>
      <c r="X1394" s="230"/>
      <c r="Y1394" s="230"/>
      <c r="Z1394" s="230"/>
    </row>
    <row r="1395">
      <c r="O1395" s="230"/>
      <c r="S1395" s="230"/>
      <c r="T1395" s="230"/>
      <c r="U1395" s="230"/>
      <c r="V1395" s="230"/>
      <c r="W1395" s="230"/>
      <c r="X1395" s="230"/>
      <c r="Y1395" s="230"/>
      <c r="Z1395" s="230"/>
    </row>
    <row r="1396">
      <c r="O1396" s="230"/>
      <c r="S1396" s="230"/>
      <c r="T1396" s="230"/>
      <c r="U1396" s="230"/>
      <c r="V1396" s="230"/>
      <c r="W1396" s="230"/>
      <c r="X1396" s="230"/>
      <c r="Y1396" s="230"/>
      <c r="Z1396" s="230"/>
    </row>
    <row r="1397">
      <c r="O1397" s="230"/>
      <c r="S1397" s="230"/>
      <c r="T1397" s="230"/>
      <c r="U1397" s="230"/>
      <c r="V1397" s="230"/>
      <c r="W1397" s="230"/>
      <c r="X1397" s="230"/>
      <c r="Y1397" s="230"/>
      <c r="Z1397" s="230"/>
    </row>
    <row r="1398">
      <c r="O1398" s="230"/>
      <c r="S1398" s="230"/>
      <c r="T1398" s="230"/>
      <c r="U1398" s="230"/>
      <c r="V1398" s="230"/>
      <c r="W1398" s="230"/>
      <c r="X1398" s="230"/>
      <c r="Y1398" s="230"/>
      <c r="Z1398" s="230"/>
    </row>
    <row r="1399">
      <c r="O1399" s="230"/>
      <c r="S1399" s="230"/>
      <c r="T1399" s="230"/>
      <c r="U1399" s="230"/>
      <c r="V1399" s="230"/>
      <c r="W1399" s="230"/>
      <c r="X1399" s="230"/>
      <c r="Y1399" s="230"/>
      <c r="Z1399" s="230"/>
    </row>
    <row r="1400">
      <c r="O1400" s="230"/>
      <c r="S1400" s="230"/>
      <c r="T1400" s="230"/>
      <c r="U1400" s="230"/>
      <c r="V1400" s="230"/>
      <c r="W1400" s="230"/>
      <c r="X1400" s="230"/>
      <c r="Y1400" s="230"/>
      <c r="Z1400" s="230"/>
    </row>
    <row r="1401">
      <c r="O1401" s="230"/>
      <c r="S1401" s="230"/>
      <c r="T1401" s="230"/>
      <c r="U1401" s="230"/>
      <c r="V1401" s="230"/>
      <c r="W1401" s="230"/>
      <c r="X1401" s="230"/>
      <c r="Y1401" s="230"/>
      <c r="Z1401" s="230"/>
    </row>
    <row r="1402">
      <c r="O1402" s="230"/>
      <c r="S1402" s="230"/>
      <c r="T1402" s="230"/>
      <c r="U1402" s="230"/>
      <c r="V1402" s="230"/>
      <c r="W1402" s="230"/>
      <c r="X1402" s="230"/>
      <c r="Y1402" s="230"/>
      <c r="Z1402" s="230"/>
    </row>
    <row r="1403">
      <c r="O1403" s="230"/>
      <c r="S1403" s="230"/>
      <c r="T1403" s="230"/>
      <c r="U1403" s="230"/>
      <c r="V1403" s="230"/>
      <c r="W1403" s="230"/>
      <c r="X1403" s="230"/>
      <c r="Y1403" s="230"/>
      <c r="Z1403" s="230"/>
    </row>
    <row r="1404">
      <c r="O1404" s="230"/>
      <c r="S1404" s="230"/>
      <c r="T1404" s="230"/>
      <c r="U1404" s="230"/>
      <c r="V1404" s="230"/>
      <c r="W1404" s="230"/>
      <c r="X1404" s="230"/>
      <c r="Y1404" s="230"/>
      <c r="Z1404" s="230"/>
    </row>
    <row r="1405">
      <c r="O1405" s="230"/>
      <c r="S1405" s="230"/>
      <c r="T1405" s="230"/>
      <c r="U1405" s="230"/>
      <c r="V1405" s="230"/>
      <c r="W1405" s="230"/>
      <c r="X1405" s="230"/>
      <c r="Y1405" s="230"/>
      <c r="Z1405" s="230"/>
    </row>
    <row r="1406">
      <c r="O1406" s="230"/>
      <c r="S1406" s="230"/>
      <c r="T1406" s="230"/>
      <c r="U1406" s="230"/>
      <c r="V1406" s="230"/>
      <c r="W1406" s="230"/>
      <c r="X1406" s="230"/>
      <c r="Y1406" s="230"/>
      <c r="Z1406" s="230"/>
    </row>
    <row r="1407">
      <c r="O1407" s="230"/>
      <c r="S1407" s="230"/>
      <c r="T1407" s="230"/>
      <c r="U1407" s="230"/>
      <c r="V1407" s="230"/>
      <c r="W1407" s="230"/>
      <c r="X1407" s="230"/>
      <c r="Y1407" s="230"/>
      <c r="Z1407" s="230"/>
    </row>
    <row r="1408">
      <c r="O1408" s="230"/>
      <c r="S1408" s="230"/>
      <c r="T1408" s="230"/>
      <c r="U1408" s="230"/>
      <c r="V1408" s="230"/>
      <c r="W1408" s="230"/>
      <c r="X1408" s="230"/>
      <c r="Y1408" s="230"/>
      <c r="Z1408" s="230"/>
    </row>
    <row r="1409">
      <c r="O1409" s="230"/>
      <c r="S1409" s="230"/>
      <c r="T1409" s="230"/>
      <c r="U1409" s="230"/>
      <c r="V1409" s="230"/>
      <c r="W1409" s="230"/>
      <c r="X1409" s="230"/>
      <c r="Y1409" s="230"/>
      <c r="Z1409" s="230"/>
    </row>
    <row r="1410">
      <c r="O1410" s="230"/>
      <c r="S1410" s="230"/>
      <c r="T1410" s="230"/>
      <c r="U1410" s="230"/>
      <c r="V1410" s="230"/>
      <c r="W1410" s="230"/>
      <c r="X1410" s="230"/>
      <c r="Y1410" s="230"/>
      <c r="Z1410" s="230"/>
    </row>
    <row r="1411">
      <c r="O1411" s="230"/>
      <c r="S1411" s="230"/>
      <c r="T1411" s="230"/>
      <c r="U1411" s="230"/>
      <c r="V1411" s="230"/>
      <c r="W1411" s="230"/>
      <c r="X1411" s="230"/>
      <c r="Y1411" s="230"/>
      <c r="Z1411" s="230"/>
    </row>
    <row r="1412">
      <c r="O1412" s="230"/>
      <c r="S1412" s="230"/>
      <c r="T1412" s="230"/>
      <c r="U1412" s="230"/>
      <c r="V1412" s="230"/>
      <c r="W1412" s="230"/>
      <c r="X1412" s="230"/>
      <c r="Y1412" s="230"/>
      <c r="Z1412" s="230"/>
    </row>
    <row r="1413">
      <c r="O1413" s="230"/>
      <c r="S1413" s="230"/>
      <c r="T1413" s="230"/>
      <c r="U1413" s="230"/>
      <c r="V1413" s="230"/>
      <c r="W1413" s="230"/>
      <c r="X1413" s="230"/>
      <c r="Y1413" s="230"/>
      <c r="Z1413" s="230"/>
    </row>
    <row r="1414">
      <c r="O1414" s="230"/>
      <c r="S1414" s="230"/>
      <c r="T1414" s="230"/>
      <c r="U1414" s="230"/>
      <c r="V1414" s="230"/>
      <c r="W1414" s="230"/>
      <c r="X1414" s="230"/>
      <c r="Y1414" s="230"/>
      <c r="Z1414" s="230"/>
    </row>
    <row r="1415">
      <c r="O1415" s="230"/>
      <c r="S1415" s="230"/>
      <c r="T1415" s="230"/>
      <c r="U1415" s="230"/>
      <c r="V1415" s="230"/>
      <c r="W1415" s="230"/>
      <c r="X1415" s="230"/>
      <c r="Y1415" s="230"/>
      <c r="Z1415" s="230"/>
    </row>
    <row r="1416">
      <c r="O1416" s="230"/>
      <c r="S1416" s="230"/>
      <c r="T1416" s="230"/>
      <c r="U1416" s="230"/>
      <c r="V1416" s="230"/>
      <c r="W1416" s="230"/>
      <c r="X1416" s="230"/>
      <c r="Y1416" s="230"/>
      <c r="Z1416" s="230"/>
    </row>
    <row r="1417">
      <c r="O1417" s="230"/>
      <c r="S1417" s="230"/>
      <c r="T1417" s="230"/>
      <c r="U1417" s="230"/>
      <c r="V1417" s="230"/>
      <c r="W1417" s="230"/>
      <c r="X1417" s="230"/>
      <c r="Y1417" s="230"/>
      <c r="Z1417" s="230"/>
    </row>
    <row r="1418">
      <c r="O1418" s="230"/>
      <c r="S1418" s="230"/>
      <c r="T1418" s="230"/>
      <c r="U1418" s="230"/>
      <c r="V1418" s="230"/>
      <c r="W1418" s="230"/>
      <c r="X1418" s="230"/>
      <c r="Y1418" s="230"/>
      <c r="Z1418" s="230"/>
    </row>
    <row r="1419">
      <c r="O1419" s="230"/>
      <c r="S1419" s="230"/>
      <c r="T1419" s="230"/>
      <c r="U1419" s="230"/>
      <c r="V1419" s="230"/>
      <c r="W1419" s="230"/>
      <c r="X1419" s="230"/>
      <c r="Y1419" s="230"/>
      <c r="Z1419" s="230"/>
    </row>
    <row r="1420">
      <c r="O1420" s="230"/>
      <c r="S1420" s="230"/>
      <c r="T1420" s="230"/>
      <c r="U1420" s="230"/>
      <c r="V1420" s="230"/>
      <c r="W1420" s="230"/>
      <c r="X1420" s="230"/>
      <c r="Y1420" s="230"/>
      <c r="Z1420" s="230"/>
    </row>
    <row r="1421">
      <c r="O1421" s="230"/>
      <c r="S1421" s="230"/>
      <c r="T1421" s="230"/>
      <c r="U1421" s="230"/>
      <c r="V1421" s="230"/>
      <c r="W1421" s="230"/>
      <c r="X1421" s="230"/>
      <c r="Y1421" s="230"/>
      <c r="Z1421" s="230"/>
    </row>
    <row r="1422">
      <c r="O1422" s="230"/>
      <c r="S1422" s="230"/>
      <c r="T1422" s="230"/>
      <c r="U1422" s="230"/>
      <c r="V1422" s="230"/>
      <c r="W1422" s="230"/>
      <c r="X1422" s="230"/>
      <c r="Y1422" s="230"/>
      <c r="Z1422" s="230"/>
    </row>
    <row r="1423">
      <c r="O1423" s="230"/>
      <c r="S1423" s="230"/>
      <c r="T1423" s="230"/>
      <c r="U1423" s="230"/>
      <c r="V1423" s="230"/>
      <c r="W1423" s="230"/>
      <c r="X1423" s="230"/>
      <c r="Y1423" s="230"/>
      <c r="Z1423" s="230"/>
    </row>
    <row r="1424">
      <c r="O1424" s="230"/>
      <c r="S1424" s="230"/>
      <c r="T1424" s="230"/>
      <c r="U1424" s="230"/>
      <c r="V1424" s="230"/>
      <c r="W1424" s="230"/>
      <c r="X1424" s="230"/>
      <c r="Y1424" s="230"/>
      <c r="Z1424" s="230"/>
    </row>
    <row r="1425">
      <c r="O1425" s="230"/>
      <c r="S1425" s="230"/>
      <c r="T1425" s="230"/>
      <c r="U1425" s="230"/>
      <c r="V1425" s="230"/>
      <c r="W1425" s="230"/>
      <c r="X1425" s="230"/>
      <c r="Y1425" s="230"/>
      <c r="Z1425" s="230"/>
    </row>
    <row r="1426">
      <c r="O1426" s="230"/>
      <c r="S1426" s="230"/>
      <c r="T1426" s="230"/>
      <c r="U1426" s="230"/>
      <c r="V1426" s="230"/>
      <c r="W1426" s="230"/>
      <c r="X1426" s="230"/>
      <c r="Y1426" s="230"/>
      <c r="Z1426" s="230"/>
    </row>
    <row r="1427">
      <c r="O1427" s="230"/>
      <c r="S1427" s="230"/>
      <c r="T1427" s="230"/>
      <c r="U1427" s="230"/>
      <c r="V1427" s="230"/>
      <c r="W1427" s="230"/>
      <c r="X1427" s="230"/>
      <c r="Y1427" s="230"/>
      <c r="Z1427" s="230"/>
    </row>
    <row r="1428">
      <c r="O1428" s="230"/>
      <c r="S1428" s="230"/>
      <c r="T1428" s="230"/>
      <c r="U1428" s="230"/>
      <c r="V1428" s="230"/>
      <c r="W1428" s="230"/>
      <c r="X1428" s="230"/>
      <c r="Y1428" s="230"/>
      <c r="Z1428" s="230"/>
    </row>
    <row r="1429">
      <c r="O1429" s="230"/>
      <c r="S1429" s="230"/>
      <c r="T1429" s="230"/>
      <c r="U1429" s="230"/>
      <c r="V1429" s="230"/>
      <c r="W1429" s="230"/>
      <c r="X1429" s="230"/>
      <c r="Y1429" s="230"/>
      <c r="Z1429" s="230"/>
    </row>
    <row r="1430">
      <c r="O1430" s="230"/>
      <c r="S1430" s="230"/>
      <c r="T1430" s="230"/>
      <c r="U1430" s="230"/>
      <c r="V1430" s="230"/>
      <c r="W1430" s="230"/>
      <c r="X1430" s="230"/>
      <c r="Y1430" s="230"/>
      <c r="Z1430" s="230"/>
    </row>
    <row r="1431">
      <c r="O1431" s="230"/>
      <c r="S1431" s="230"/>
      <c r="T1431" s="230"/>
      <c r="U1431" s="230"/>
      <c r="V1431" s="230"/>
      <c r="W1431" s="230"/>
      <c r="X1431" s="230"/>
      <c r="Y1431" s="230"/>
      <c r="Z1431" s="230"/>
    </row>
    <row r="1432">
      <c r="O1432" s="230"/>
      <c r="S1432" s="230"/>
      <c r="T1432" s="230"/>
      <c r="U1432" s="230"/>
      <c r="V1432" s="230"/>
      <c r="W1432" s="230"/>
      <c r="X1432" s="230"/>
      <c r="Y1432" s="230"/>
      <c r="Z1432" s="230"/>
    </row>
    <row r="1433">
      <c r="O1433" s="230"/>
      <c r="S1433" s="230"/>
      <c r="T1433" s="230"/>
      <c r="U1433" s="230"/>
      <c r="V1433" s="230"/>
      <c r="W1433" s="230"/>
      <c r="X1433" s="230"/>
      <c r="Y1433" s="230"/>
      <c r="Z1433" s="230"/>
    </row>
    <row r="1434">
      <c r="O1434" s="230"/>
      <c r="S1434" s="230"/>
      <c r="T1434" s="230"/>
      <c r="U1434" s="230"/>
      <c r="V1434" s="230"/>
      <c r="W1434" s="230"/>
      <c r="X1434" s="230"/>
      <c r="Y1434" s="230"/>
      <c r="Z1434" s="230"/>
    </row>
    <row r="1435">
      <c r="O1435" s="230"/>
      <c r="S1435" s="230"/>
      <c r="T1435" s="230"/>
      <c r="U1435" s="230"/>
      <c r="V1435" s="230"/>
      <c r="W1435" s="230"/>
      <c r="X1435" s="230"/>
      <c r="Y1435" s="230"/>
      <c r="Z1435" s="230"/>
    </row>
    <row r="1436">
      <c r="O1436" s="230"/>
      <c r="S1436" s="230"/>
      <c r="T1436" s="230"/>
      <c r="U1436" s="230"/>
      <c r="V1436" s="230"/>
      <c r="W1436" s="230"/>
      <c r="X1436" s="230"/>
      <c r="Y1436" s="230"/>
      <c r="Z1436" s="230"/>
    </row>
    <row r="1437">
      <c r="O1437" s="230"/>
      <c r="S1437" s="230"/>
      <c r="T1437" s="230"/>
      <c r="U1437" s="230"/>
      <c r="V1437" s="230"/>
      <c r="W1437" s="230"/>
      <c r="X1437" s="230"/>
      <c r="Y1437" s="230"/>
      <c r="Z1437" s="230"/>
    </row>
    <row r="1438">
      <c r="O1438" s="230"/>
      <c r="S1438" s="230"/>
      <c r="T1438" s="230"/>
      <c r="U1438" s="230"/>
      <c r="V1438" s="230"/>
      <c r="W1438" s="230"/>
      <c r="X1438" s="230"/>
      <c r="Y1438" s="230"/>
      <c r="Z1438" s="230"/>
    </row>
    <row r="1439">
      <c r="O1439" s="230"/>
      <c r="S1439" s="230"/>
      <c r="T1439" s="230"/>
      <c r="U1439" s="230"/>
      <c r="V1439" s="230"/>
      <c r="W1439" s="230"/>
      <c r="X1439" s="230"/>
      <c r="Y1439" s="230"/>
      <c r="Z1439" s="230"/>
    </row>
    <row r="1440">
      <c r="O1440" s="230"/>
      <c r="S1440" s="230"/>
      <c r="T1440" s="230"/>
      <c r="U1440" s="230"/>
      <c r="V1440" s="230"/>
      <c r="W1440" s="230"/>
      <c r="X1440" s="230"/>
      <c r="Y1440" s="230"/>
      <c r="Z1440" s="230"/>
    </row>
    <row r="1441">
      <c r="O1441" s="230"/>
      <c r="S1441" s="230"/>
      <c r="T1441" s="230"/>
      <c r="U1441" s="230"/>
      <c r="V1441" s="230"/>
      <c r="W1441" s="230"/>
      <c r="X1441" s="230"/>
      <c r="Y1441" s="230"/>
      <c r="Z1441" s="230"/>
    </row>
    <row r="1442">
      <c r="O1442" s="230"/>
      <c r="S1442" s="230"/>
      <c r="T1442" s="230"/>
      <c r="U1442" s="230"/>
      <c r="V1442" s="230"/>
      <c r="W1442" s="230"/>
      <c r="X1442" s="230"/>
      <c r="Y1442" s="230"/>
      <c r="Z1442" s="230"/>
    </row>
    <row r="1443">
      <c r="O1443" s="230"/>
      <c r="S1443" s="230"/>
      <c r="T1443" s="230"/>
      <c r="U1443" s="230"/>
      <c r="V1443" s="230"/>
      <c r="W1443" s="230"/>
      <c r="X1443" s="230"/>
      <c r="Y1443" s="230"/>
      <c r="Z1443" s="230"/>
    </row>
    <row r="1444">
      <c r="O1444" s="230"/>
      <c r="S1444" s="230"/>
      <c r="T1444" s="230"/>
      <c r="U1444" s="230"/>
      <c r="V1444" s="230"/>
      <c r="W1444" s="230"/>
      <c r="X1444" s="230"/>
      <c r="Y1444" s="230"/>
      <c r="Z1444" s="230"/>
    </row>
    <row r="1445">
      <c r="O1445" s="230"/>
      <c r="S1445" s="230"/>
      <c r="T1445" s="230"/>
      <c r="U1445" s="230"/>
      <c r="V1445" s="230"/>
      <c r="W1445" s="230"/>
      <c r="X1445" s="230"/>
      <c r="Y1445" s="230"/>
      <c r="Z1445" s="230"/>
    </row>
    <row r="1446">
      <c r="O1446" s="230"/>
      <c r="S1446" s="230"/>
      <c r="T1446" s="230"/>
      <c r="U1446" s="230"/>
      <c r="V1446" s="230"/>
      <c r="W1446" s="230"/>
      <c r="X1446" s="230"/>
      <c r="Y1446" s="230"/>
      <c r="Z1446" s="230"/>
    </row>
    <row r="1447">
      <c r="O1447" s="230"/>
      <c r="S1447" s="230"/>
      <c r="T1447" s="230"/>
      <c r="U1447" s="230"/>
      <c r="V1447" s="230"/>
      <c r="W1447" s="230"/>
      <c r="X1447" s="230"/>
      <c r="Y1447" s="230"/>
      <c r="Z1447" s="230"/>
    </row>
    <row r="1448">
      <c r="O1448" s="230"/>
      <c r="S1448" s="230"/>
      <c r="T1448" s="230"/>
      <c r="U1448" s="230"/>
      <c r="V1448" s="230"/>
      <c r="W1448" s="230"/>
      <c r="X1448" s="230"/>
      <c r="Y1448" s="230"/>
      <c r="Z1448" s="230"/>
    </row>
    <row r="1449">
      <c r="O1449" s="230"/>
      <c r="S1449" s="230"/>
      <c r="T1449" s="230"/>
      <c r="U1449" s="230"/>
      <c r="V1449" s="230"/>
      <c r="W1449" s="230"/>
      <c r="X1449" s="230"/>
      <c r="Y1449" s="230"/>
      <c r="Z1449" s="230"/>
    </row>
    <row r="1450">
      <c r="O1450" s="230"/>
      <c r="S1450" s="230"/>
      <c r="T1450" s="230"/>
      <c r="U1450" s="230"/>
      <c r="V1450" s="230"/>
      <c r="W1450" s="230"/>
      <c r="X1450" s="230"/>
      <c r="Y1450" s="230"/>
      <c r="Z1450" s="230"/>
    </row>
    <row r="1451">
      <c r="O1451" s="230"/>
      <c r="S1451" s="230"/>
      <c r="T1451" s="230"/>
      <c r="U1451" s="230"/>
      <c r="V1451" s="230"/>
      <c r="W1451" s="230"/>
      <c r="X1451" s="230"/>
      <c r="Y1451" s="230"/>
      <c r="Z1451" s="230"/>
    </row>
    <row r="1452">
      <c r="O1452" s="230"/>
      <c r="S1452" s="230"/>
      <c r="T1452" s="230"/>
      <c r="U1452" s="230"/>
      <c r="V1452" s="230"/>
      <c r="W1452" s="230"/>
      <c r="X1452" s="230"/>
      <c r="Y1452" s="230"/>
      <c r="Z1452" s="230"/>
    </row>
    <row r="1453">
      <c r="O1453" s="230"/>
      <c r="S1453" s="230"/>
      <c r="T1453" s="230"/>
      <c r="U1453" s="230"/>
      <c r="V1453" s="230"/>
      <c r="W1453" s="230"/>
      <c r="X1453" s="230"/>
      <c r="Y1453" s="230"/>
      <c r="Z1453" s="230"/>
    </row>
    <row r="1454">
      <c r="O1454" s="230"/>
      <c r="S1454" s="230"/>
      <c r="T1454" s="230"/>
      <c r="U1454" s="230"/>
      <c r="V1454" s="230"/>
      <c r="W1454" s="230"/>
      <c r="X1454" s="230"/>
      <c r="Y1454" s="230"/>
      <c r="Z1454" s="230"/>
    </row>
    <row r="1455">
      <c r="O1455" s="230"/>
      <c r="S1455" s="230"/>
      <c r="T1455" s="230"/>
      <c r="U1455" s="230"/>
      <c r="V1455" s="230"/>
      <c r="W1455" s="230"/>
      <c r="X1455" s="230"/>
      <c r="Y1455" s="230"/>
      <c r="Z1455" s="230"/>
    </row>
    <row r="1456">
      <c r="O1456" s="230"/>
      <c r="S1456" s="230"/>
      <c r="T1456" s="230"/>
      <c r="U1456" s="230"/>
      <c r="V1456" s="230"/>
      <c r="W1456" s="230"/>
      <c r="X1456" s="230"/>
      <c r="Y1456" s="230"/>
      <c r="Z1456" s="230"/>
    </row>
    <row r="1457">
      <c r="O1457" s="230"/>
      <c r="S1457" s="230"/>
      <c r="T1457" s="230"/>
      <c r="U1457" s="230"/>
      <c r="V1457" s="230"/>
      <c r="W1457" s="230"/>
      <c r="X1457" s="230"/>
      <c r="Y1457" s="230"/>
      <c r="Z1457" s="230"/>
    </row>
    <row r="1458">
      <c r="O1458" s="230"/>
      <c r="S1458" s="230"/>
      <c r="T1458" s="230"/>
      <c r="U1458" s="230"/>
      <c r="V1458" s="230"/>
      <c r="W1458" s="230"/>
      <c r="X1458" s="230"/>
      <c r="Y1458" s="230"/>
      <c r="Z1458" s="230"/>
    </row>
    <row r="1459">
      <c r="O1459" s="230"/>
      <c r="S1459" s="230"/>
      <c r="T1459" s="230"/>
      <c r="U1459" s="230"/>
      <c r="V1459" s="230"/>
      <c r="W1459" s="230"/>
      <c r="X1459" s="230"/>
      <c r="Y1459" s="230"/>
      <c r="Z1459" s="230"/>
    </row>
    <row r="1460">
      <c r="O1460" s="230"/>
      <c r="S1460" s="230"/>
      <c r="T1460" s="230"/>
      <c r="U1460" s="230"/>
      <c r="V1460" s="230"/>
      <c r="W1460" s="230"/>
      <c r="X1460" s="230"/>
      <c r="Y1460" s="230"/>
      <c r="Z1460" s="230"/>
    </row>
    <row r="1461">
      <c r="O1461" s="230"/>
      <c r="S1461" s="230"/>
      <c r="T1461" s="230"/>
      <c r="U1461" s="230"/>
      <c r="V1461" s="230"/>
      <c r="W1461" s="230"/>
      <c r="X1461" s="230"/>
      <c r="Y1461" s="230"/>
      <c r="Z1461" s="230"/>
    </row>
    <row r="1462">
      <c r="O1462" s="230"/>
      <c r="S1462" s="230"/>
      <c r="T1462" s="230"/>
      <c r="U1462" s="230"/>
      <c r="V1462" s="230"/>
      <c r="W1462" s="230"/>
      <c r="X1462" s="230"/>
      <c r="Y1462" s="230"/>
      <c r="Z1462" s="230"/>
    </row>
    <row r="1463">
      <c r="O1463" s="230"/>
      <c r="S1463" s="230"/>
      <c r="T1463" s="230"/>
      <c r="U1463" s="230"/>
      <c r="V1463" s="230"/>
      <c r="W1463" s="230"/>
      <c r="X1463" s="230"/>
      <c r="Y1463" s="230"/>
      <c r="Z1463" s="230"/>
    </row>
    <row r="1464">
      <c r="O1464" s="230"/>
      <c r="S1464" s="230"/>
      <c r="T1464" s="230"/>
      <c r="U1464" s="230"/>
      <c r="V1464" s="230"/>
      <c r="W1464" s="230"/>
      <c r="X1464" s="230"/>
      <c r="Y1464" s="230"/>
      <c r="Z1464" s="230"/>
    </row>
    <row r="1465">
      <c r="O1465" s="230"/>
      <c r="S1465" s="230"/>
      <c r="T1465" s="230"/>
      <c r="U1465" s="230"/>
      <c r="V1465" s="230"/>
      <c r="W1465" s="230"/>
      <c r="X1465" s="230"/>
      <c r="Y1465" s="230"/>
      <c r="Z1465" s="230"/>
    </row>
    <row r="1466">
      <c r="O1466" s="230"/>
      <c r="S1466" s="230"/>
      <c r="T1466" s="230"/>
      <c r="U1466" s="230"/>
      <c r="V1466" s="230"/>
      <c r="W1466" s="230"/>
      <c r="X1466" s="230"/>
      <c r="Y1466" s="230"/>
      <c r="Z1466" s="230"/>
    </row>
    <row r="1467">
      <c r="O1467" s="230"/>
      <c r="S1467" s="230"/>
      <c r="T1467" s="230"/>
      <c r="U1467" s="230"/>
      <c r="V1467" s="230"/>
      <c r="W1467" s="230"/>
      <c r="X1467" s="230"/>
      <c r="Y1467" s="230"/>
      <c r="Z1467" s="230"/>
    </row>
    <row r="1468">
      <c r="O1468" s="230"/>
      <c r="S1468" s="230"/>
      <c r="T1468" s="230"/>
      <c r="U1468" s="230"/>
      <c r="V1468" s="230"/>
      <c r="W1468" s="230"/>
      <c r="X1468" s="230"/>
      <c r="Y1468" s="230"/>
      <c r="Z1468" s="230"/>
    </row>
    <row r="1469">
      <c r="O1469" s="230"/>
      <c r="S1469" s="230"/>
      <c r="T1469" s="230"/>
      <c r="U1469" s="230"/>
      <c r="V1469" s="230"/>
      <c r="W1469" s="230"/>
      <c r="X1469" s="230"/>
      <c r="Y1469" s="230"/>
      <c r="Z1469" s="230"/>
    </row>
    <row r="1470">
      <c r="O1470" s="230"/>
      <c r="S1470" s="230"/>
      <c r="T1470" s="230"/>
      <c r="U1470" s="230"/>
      <c r="V1470" s="230"/>
      <c r="W1470" s="230"/>
      <c r="X1470" s="230"/>
      <c r="Y1470" s="230"/>
      <c r="Z1470" s="230"/>
    </row>
    <row r="1471">
      <c r="O1471" s="230"/>
      <c r="S1471" s="230"/>
      <c r="T1471" s="230"/>
      <c r="U1471" s="230"/>
      <c r="V1471" s="230"/>
      <c r="W1471" s="230"/>
      <c r="X1471" s="230"/>
      <c r="Y1471" s="230"/>
      <c r="Z1471" s="230"/>
    </row>
    <row r="1472">
      <c r="O1472" s="230"/>
      <c r="S1472" s="230"/>
      <c r="T1472" s="230"/>
      <c r="U1472" s="230"/>
      <c r="V1472" s="230"/>
      <c r="W1472" s="230"/>
      <c r="X1472" s="230"/>
      <c r="Y1472" s="230"/>
      <c r="Z1472" s="230"/>
    </row>
    <row r="1473">
      <c r="O1473" s="230"/>
      <c r="S1473" s="230"/>
      <c r="T1473" s="230"/>
      <c r="U1473" s="230"/>
      <c r="V1473" s="230"/>
      <c r="W1473" s="230"/>
      <c r="X1473" s="230"/>
      <c r="Y1473" s="230"/>
      <c r="Z1473" s="230"/>
    </row>
    <row r="1474">
      <c r="O1474" s="230"/>
      <c r="S1474" s="230"/>
      <c r="T1474" s="230"/>
      <c r="U1474" s="230"/>
      <c r="V1474" s="230"/>
      <c r="W1474" s="230"/>
      <c r="X1474" s="230"/>
      <c r="Y1474" s="230"/>
      <c r="Z1474" s="230"/>
    </row>
    <row r="1475">
      <c r="O1475" s="230"/>
      <c r="S1475" s="230"/>
      <c r="T1475" s="230"/>
      <c r="U1475" s="230"/>
      <c r="V1475" s="230"/>
      <c r="W1475" s="230"/>
      <c r="X1475" s="230"/>
      <c r="Y1475" s="230"/>
      <c r="Z1475" s="230"/>
    </row>
    <row r="1476">
      <c r="O1476" s="230"/>
      <c r="S1476" s="230"/>
      <c r="T1476" s="230"/>
      <c r="U1476" s="230"/>
      <c r="V1476" s="230"/>
      <c r="W1476" s="230"/>
      <c r="X1476" s="230"/>
      <c r="Y1476" s="230"/>
      <c r="Z1476" s="230"/>
    </row>
    <row r="1477">
      <c r="O1477" s="230"/>
      <c r="S1477" s="230"/>
      <c r="T1477" s="230"/>
      <c r="U1477" s="230"/>
      <c r="V1477" s="230"/>
      <c r="W1477" s="230"/>
      <c r="X1477" s="230"/>
      <c r="Y1477" s="230"/>
      <c r="Z1477" s="230"/>
    </row>
    <row r="1478">
      <c r="O1478" s="230"/>
      <c r="S1478" s="230"/>
      <c r="T1478" s="230"/>
      <c r="U1478" s="230"/>
      <c r="V1478" s="230"/>
      <c r="W1478" s="230"/>
      <c r="X1478" s="230"/>
      <c r="Y1478" s="230"/>
      <c r="Z1478" s="230"/>
    </row>
    <row r="1479">
      <c r="O1479" s="230"/>
      <c r="S1479" s="230"/>
      <c r="T1479" s="230"/>
      <c r="U1479" s="230"/>
      <c r="V1479" s="230"/>
      <c r="W1479" s="230"/>
      <c r="X1479" s="230"/>
      <c r="Y1479" s="230"/>
      <c r="Z1479" s="230"/>
    </row>
    <row r="1480">
      <c r="O1480" s="230"/>
      <c r="S1480" s="230"/>
      <c r="T1480" s="230"/>
      <c r="U1480" s="230"/>
      <c r="V1480" s="230"/>
      <c r="W1480" s="230"/>
      <c r="X1480" s="230"/>
      <c r="Y1480" s="230"/>
      <c r="Z1480" s="230"/>
    </row>
    <row r="1481">
      <c r="O1481" s="230"/>
      <c r="S1481" s="230"/>
      <c r="T1481" s="230"/>
      <c r="U1481" s="230"/>
      <c r="V1481" s="230"/>
      <c r="W1481" s="230"/>
      <c r="X1481" s="230"/>
      <c r="Y1481" s="230"/>
      <c r="Z1481" s="230"/>
    </row>
    <row r="1482">
      <c r="O1482" s="230"/>
      <c r="S1482" s="230"/>
      <c r="T1482" s="230"/>
      <c r="U1482" s="230"/>
      <c r="V1482" s="230"/>
      <c r="W1482" s="230"/>
      <c r="X1482" s="230"/>
      <c r="Y1482" s="230"/>
      <c r="Z1482" s="230"/>
    </row>
    <row r="1483">
      <c r="O1483" s="230"/>
      <c r="S1483" s="230"/>
      <c r="T1483" s="230"/>
      <c r="U1483" s="230"/>
      <c r="V1483" s="230"/>
      <c r="W1483" s="230"/>
      <c r="X1483" s="230"/>
      <c r="Y1483" s="230"/>
      <c r="Z1483" s="230"/>
    </row>
    <row r="1484">
      <c r="O1484" s="230"/>
      <c r="S1484" s="230"/>
      <c r="T1484" s="230"/>
      <c r="U1484" s="230"/>
      <c r="V1484" s="230"/>
      <c r="W1484" s="230"/>
      <c r="X1484" s="230"/>
      <c r="Y1484" s="230"/>
      <c r="Z1484" s="230"/>
    </row>
    <row r="1485">
      <c r="O1485" s="230"/>
      <c r="S1485" s="230"/>
      <c r="T1485" s="230"/>
      <c r="U1485" s="230"/>
      <c r="V1485" s="230"/>
      <c r="W1485" s="230"/>
      <c r="X1485" s="230"/>
      <c r="Y1485" s="230"/>
      <c r="Z1485" s="230"/>
    </row>
    <row r="1486">
      <c r="O1486" s="230"/>
      <c r="S1486" s="230"/>
      <c r="T1486" s="230"/>
      <c r="U1486" s="230"/>
      <c r="V1486" s="230"/>
      <c r="W1486" s="230"/>
      <c r="X1486" s="230"/>
      <c r="Y1486" s="230"/>
      <c r="Z1486" s="230"/>
    </row>
    <row r="1487">
      <c r="O1487" s="230"/>
      <c r="S1487" s="230"/>
      <c r="T1487" s="230"/>
      <c r="U1487" s="230"/>
      <c r="V1487" s="230"/>
      <c r="W1487" s="230"/>
      <c r="X1487" s="230"/>
      <c r="Y1487" s="230"/>
      <c r="Z1487" s="230"/>
    </row>
    <row r="1488">
      <c r="O1488" s="230"/>
      <c r="S1488" s="230"/>
      <c r="T1488" s="230"/>
      <c r="U1488" s="230"/>
      <c r="V1488" s="230"/>
      <c r="W1488" s="230"/>
      <c r="X1488" s="230"/>
      <c r="Y1488" s="230"/>
      <c r="Z1488" s="230"/>
    </row>
    <row r="1489">
      <c r="O1489" s="230"/>
      <c r="S1489" s="230"/>
      <c r="T1489" s="230"/>
      <c r="U1489" s="230"/>
      <c r="V1489" s="230"/>
      <c r="W1489" s="230"/>
      <c r="X1489" s="230"/>
      <c r="Y1489" s="230"/>
      <c r="Z1489" s="230"/>
    </row>
    <row r="1490">
      <c r="O1490" s="230"/>
      <c r="S1490" s="230"/>
      <c r="T1490" s="230"/>
      <c r="U1490" s="230"/>
      <c r="V1490" s="230"/>
      <c r="W1490" s="230"/>
      <c r="X1490" s="230"/>
      <c r="Y1490" s="230"/>
      <c r="Z1490" s="230"/>
    </row>
    <row r="1491">
      <c r="O1491" s="230"/>
      <c r="S1491" s="230"/>
      <c r="T1491" s="230"/>
      <c r="U1491" s="230"/>
      <c r="V1491" s="230"/>
      <c r="W1491" s="230"/>
      <c r="X1491" s="230"/>
      <c r="Y1491" s="230"/>
      <c r="Z1491" s="230"/>
    </row>
    <row r="1492">
      <c r="O1492" s="230"/>
      <c r="S1492" s="230"/>
      <c r="T1492" s="230"/>
      <c r="U1492" s="230"/>
      <c r="V1492" s="230"/>
      <c r="W1492" s="230"/>
      <c r="X1492" s="230"/>
      <c r="Y1492" s="230"/>
      <c r="Z1492" s="230"/>
    </row>
    <row r="1493">
      <c r="O1493" s="230"/>
      <c r="S1493" s="230"/>
      <c r="T1493" s="230"/>
      <c r="U1493" s="230"/>
      <c r="V1493" s="230"/>
      <c r="W1493" s="230"/>
      <c r="X1493" s="230"/>
      <c r="Y1493" s="230"/>
      <c r="Z1493" s="230"/>
    </row>
    <row r="1494">
      <c r="O1494" s="230"/>
      <c r="S1494" s="230"/>
      <c r="T1494" s="230"/>
      <c r="U1494" s="230"/>
      <c r="V1494" s="230"/>
      <c r="W1494" s="230"/>
      <c r="X1494" s="230"/>
      <c r="Y1494" s="230"/>
      <c r="Z1494" s="230"/>
    </row>
    <row r="1495">
      <c r="O1495" s="230"/>
      <c r="S1495" s="230"/>
      <c r="T1495" s="230"/>
      <c r="U1495" s="230"/>
      <c r="V1495" s="230"/>
      <c r="W1495" s="230"/>
      <c r="X1495" s="230"/>
      <c r="Y1495" s="230"/>
      <c r="Z1495" s="230"/>
    </row>
    <row r="1496">
      <c r="O1496" s="230"/>
      <c r="S1496" s="230"/>
      <c r="T1496" s="230"/>
      <c r="U1496" s="230"/>
      <c r="V1496" s="230"/>
      <c r="W1496" s="230"/>
      <c r="X1496" s="230"/>
      <c r="Y1496" s="230"/>
      <c r="Z1496" s="230"/>
    </row>
    <row r="1497">
      <c r="O1497" s="230"/>
      <c r="S1497" s="230"/>
      <c r="T1497" s="230"/>
      <c r="U1497" s="230"/>
      <c r="V1497" s="230"/>
      <c r="W1497" s="230"/>
      <c r="X1497" s="230"/>
      <c r="Y1497" s="230"/>
      <c r="Z1497" s="230"/>
    </row>
    <row r="1498">
      <c r="O1498" s="230"/>
      <c r="S1498" s="230"/>
      <c r="T1498" s="230"/>
      <c r="U1498" s="230"/>
      <c r="V1498" s="230"/>
      <c r="W1498" s="230"/>
      <c r="X1498" s="230"/>
      <c r="Y1498" s="230"/>
      <c r="Z1498" s="230"/>
    </row>
    <row r="1499">
      <c r="O1499" s="230"/>
      <c r="S1499" s="230"/>
      <c r="T1499" s="230"/>
      <c r="U1499" s="230"/>
      <c r="V1499" s="230"/>
      <c r="W1499" s="230"/>
      <c r="X1499" s="230"/>
      <c r="Y1499" s="230"/>
      <c r="Z1499" s="230"/>
    </row>
    <row r="1500">
      <c r="O1500" s="230"/>
      <c r="S1500" s="230"/>
      <c r="T1500" s="230"/>
      <c r="U1500" s="230"/>
      <c r="V1500" s="230"/>
      <c r="W1500" s="230"/>
      <c r="X1500" s="230"/>
      <c r="Y1500" s="230"/>
      <c r="Z1500" s="230"/>
    </row>
    <row r="1501">
      <c r="O1501" s="230"/>
      <c r="S1501" s="230"/>
      <c r="T1501" s="230"/>
      <c r="U1501" s="230"/>
      <c r="V1501" s="230"/>
      <c r="W1501" s="230"/>
      <c r="X1501" s="230"/>
      <c r="Y1501" s="230"/>
      <c r="Z1501" s="230"/>
    </row>
    <row r="1502">
      <c r="O1502" s="230"/>
      <c r="S1502" s="230"/>
      <c r="T1502" s="230"/>
      <c r="U1502" s="230"/>
      <c r="V1502" s="230"/>
      <c r="W1502" s="230"/>
      <c r="X1502" s="230"/>
      <c r="Y1502" s="230"/>
      <c r="Z1502" s="230"/>
    </row>
    <row r="1503">
      <c r="O1503" s="230"/>
      <c r="S1503" s="230"/>
      <c r="T1503" s="230"/>
      <c r="U1503" s="230"/>
      <c r="V1503" s="230"/>
      <c r="W1503" s="230"/>
      <c r="X1503" s="230"/>
      <c r="Y1503" s="230"/>
      <c r="Z1503" s="230"/>
    </row>
    <row r="1504">
      <c r="O1504" s="230"/>
      <c r="S1504" s="230"/>
      <c r="T1504" s="230"/>
      <c r="U1504" s="230"/>
      <c r="V1504" s="230"/>
      <c r="W1504" s="230"/>
      <c r="X1504" s="230"/>
      <c r="Y1504" s="230"/>
      <c r="Z1504" s="230"/>
    </row>
    <row r="1505">
      <c r="O1505" s="230"/>
      <c r="S1505" s="230"/>
      <c r="T1505" s="230"/>
      <c r="U1505" s="230"/>
      <c r="V1505" s="230"/>
      <c r="W1505" s="230"/>
      <c r="X1505" s="230"/>
      <c r="Y1505" s="230"/>
      <c r="Z1505" s="230"/>
    </row>
    <row r="1506">
      <c r="O1506" s="230"/>
      <c r="S1506" s="230"/>
      <c r="T1506" s="230"/>
      <c r="U1506" s="230"/>
      <c r="V1506" s="230"/>
      <c r="W1506" s="230"/>
      <c r="X1506" s="230"/>
      <c r="Y1506" s="230"/>
      <c r="Z1506" s="230"/>
    </row>
    <row r="1507">
      <c r="O1507" s="230"/>
      <c r="S1507" s="230"/>
      <c r="T1507" s="230"/>
      <c r="U1507" s="230"/>
      <c r="V1507" s="230"/>
      <c r="W1507" s="230"/>
      <c r="X1507" s="230"/>
      <c r="Y1507" s="230"/>
      <c r="Z1507" s="230"/>
    </row>
    <row r="1508">
      <c r="O1508" s="230"/>
      <c r="S1508" s="230"/>
      <c r="T1508" s="230"/>
      <c r="U1508" s="230"/>
      <c r="V1508" s="230"/>
      <c r="W1508" s="230"/>
      <c r="X1508" s="230"/>
      <c r="Y1508" s="230"/>
      <c r="Z1508" s="230"/>
    </row>
    <row r="1509">
      <c r="O1509" s="230"/>
      <c r="S1509" s="230"/>
      <c r="T1509" s="230"/>
      <c r="U1509" s="230"/>
      <c r="V1509" s="230"/>
      <c r="W1509" s="230"/>
      <c r="X1509" s="230"/>
      <c r="Y1509" s="230"/>
      <c r="Z1509" s="230"/>
    </row>
    <row r="1510">
      <c r="O1510" s="230"/>
      <c r="S1510" s="230"/>
      <c r="T1510" s="230"/>
      <c r="U1510" s="230"/>
      <c r="V1510" s="230"/>
      <c r="W1510" s="230"/>
      <c r="X1510" s="230"/>
      <c r="Y1510" s="230"/>
      <c r="Z1510" s="230"/>
    </row>
    <row r="1511">
      <c r="O1511" s="230"/>
      <c r="S1511" s="230"/>
      <c r="T1511" s="230"/>
      <c r="U1511" s="230"/>
      <c r="V1511" s="230"/>
      <c r="W1511" s="230"/>
      <c r="X1511" s="230"/>
      <c r="Y1511" s="230"/>
      <c r="Z1511" s="230"/>
    </row>
    <row r="1512">
      <c r="O1512" s="230"/>
      <c r="S1512" s="230"/>
      <c r="T1512" s="230"/>
      <c r="U1512" s="230"/>
      <c r="V1512" s="230"/>
      <c r="W1512" s="230"/>
      <c r="X1512" s="230"/>
      <c r="Y1512" s="230"/>
      <c r="Z1512" s="230"/>
    </row>
    <row r="1513">
      <c r="O1513" s="230"/>
      <c r="S1513" s="230"/>
      <c r="T1513" s="230"/>
      <c r="U1513" s="230"/>
      <c r="V1513" s="230"/>
      <c r="W1513" s="230"/>
      <c r="X1513" s="230"/>
      <c r="Y1513" s="230"/>
      <c r="Z1513" s="230"/>
    </row>
    <row r="1514">
      <c r="O1514" s="230"/>
      <c r="S1514" s="230"/>
      <c r="T1514" s="230"/>
      <c r="U1514" s="230"/>
      <c r="V1514" s="230"/>
      <c r="W1514" s="230"/>
      <c r="X1514" s="230"/>
      <c r="Y1514" s="230"/>
      <c r="Z1514" s="230"/>
    </row>
    <row r="1515">
      <c r="O1515" s="230"/>
      <c r="S1515" s="230"/>
      <c r="T1515" s="230"/>
      <c r="U1515" s="230"/>
      <c r="V1515" s="230"/>
      <c r="W1515" s="230"/>
      <c r="X1515" s="230"/>
      <c r="Y1515" s="230"/>
      <c r="Z1515" s="230"/>
    </row>
    <row r="1516">
      <c r="O1516" s="230"/>
      <c r="S1516" s="230"/>
      <c r="T1516" s="230"/>
      <c r="U1516" s="230"/>
      <c r="V1516" s="230"/>
      <c r="W1516" s="230"/>
      <c r="X1516" s="230"/>
      <c r="Y1516" s="230"/>
      <c r="Z1516" s="230"/>
    </row>
    <row r="1517">
      <c r="O1517" s="230"/>
      <c r="S1517" s="230"/>
      <c r="T1517" s="230"/>
      <c r="U1517" s="230"/>
      <c r="V1517" s="230"/>
      <c r="W1517" s="230"/>
      <c r="X1517" s="230"/>
      <c r="Y1517" s="230"/>
      <c r="Z1517" s="230"/>
    </row>
    <row r="1518">
      <c r="O1518" s="230"/>
      <c r="S1518" s="230"/>
      <c r="T1518" s="230"/>
      <c r="U1518" s="230"/>
      <c r="V1518" s="230"/>
      <c r="W1518" s="230"/>
      <c r="X1518" s="230"/>
      <c r="Y1518" s="230"/>
      <c r="Z1518" s="230"/>
    </row>
    <row r="1519">
      <c r="O1519" s="230"/>
      <c r="S1519" s="230"/>
      <c r="T1519" s="230"/>
      <c r="U1519" s="230"/>
      <c r="V1519" s="230"/>
      <c r="W1519" s="230"/>
      <c r="X1519" s="230"/>
      <c r="Y1519" s="230"/>
      <c r="Z1519" s="230"/>
    </row>
    <row r="1520">
      <c r="O1520" s="230"/>
      <c r="S1520" s="230"/>
      <c r="T1520" s="230"/>
      <c r="U1520" s="230"/>
      <c r="V1520" s="230"/>
      <c r="W1520" s="230"/>
      <c r="X1520" s="230"/>
      <c r="Y1520" s="230"/>
      <c r="Z1520" s="230"/>
    </row>
    <row r="1521">
      <c r="O1521" s="230"/>
      <c r="S1521" s="230"/>
      <c r="T1521" s="230"/>
      <c r="U1521" s="230"/>
      <c r="V1521" s="230"/>
      <c r="W1521" s="230"/>
      <c r="X1521" s="230"/>
      <c r="Y1521" s="230"/>
      <c r="Z1521" s="230"/>
    </row>
    <row r="1522">
      <c r="O1522" s="230"/>
      <c r="S1522" s="230"/>
      <c r="T1522" s="230"/>
      <c r="U1522" s="230"/>
      <c r="V1522" s="230"/>
      <c r="W1522" s="230"/>
      <c r="X1522" s="230"/>
      <c r="Y1522" s="230"/>
      <c r="Z1522" s="230"/>
    </row>
    <row r="1523">
      <c r="O1523" s="230"/>
      <c r="S1523" s="230"/>
      <c r="T1523" s="230"/>
      <c r="U1523" s="230"/>
      <c r="V1523" s="230"/>
      <c r="W1523" s="230"/>
      <c r="X1523" s="230"/>
      <c r="Y1523" s="230"/>
      <c r="Z1523" s="230"/>
    </row>
    <row r="1524">
      <c r="O1524" s="230"/>
      <c r="S1524" s="230"/>
      <c r="T1524" s="230"/>
      <c r="U1524" s="230"/>
      <c r="V1524" s="230"/>
      <c r="W1524" s="230"/>
      <c r="X1524" s="230"/>
      <c r="Y1524" s="230"/>
      <c r="Z1524" s="230"/>
    </row>
    <row r="1525">
      <c r="O1525" s="230"/>
      <c r="S1525" s="230"/>
      <c r="T1525" s="230"/>
      <c r="U1525" s="230"/>
      <c r="V1525" s="230"/>
      <c r="W1525" s="230"/>
      <c r="X1525" s="230"/>
      <c r="Y1525" s="230"/>
      <c r="Z1525" s="230"/>
    </row>
    <row r="1526">
      <c r="O1526" s="230"/>
      <c r="S1526" s="230"/>
      <c r="T1526" s="230"/>
      <c r="U1526" s="230"/>
      <c r="V1526" s="230"/>
      <c r="W1526" s="230"/>
      <c r="X1526" s="230"/>
      <c r="Y1526" s="230"/>
      <c r="Z1526" s="230"/>
    </row>
    <row r="1527">
      <c r="O1527" s="230"/>
      <c r="S1527" s="230"/>
      <c r="T1527" s="230"/>
      <c r="U1527" s="230"/>
      <c r="V1527" s="230"/>
      <c r="W1527" s="230"/>
      <c r="X1527" s="230"/>
      <c r="Y1527" s="230"/>
      <c r="Z1527" s="230"/>
    </row>
    <row r="1528">
      <c r="O1528" s="230"/>
      <c r="S1528" s="230"/>
      <c r="T1528" s="230"/>
      <c r="U1528" s="230"/>
      <c r="V1528" s="230"/>
      <c r="W1528" s="230"/>
      <c r="X1528" s="230"/>
      <c r="Y1528" s="230"/>
      <c r="Z1528" s="230"/>
    </row>
    <row r="1529">
      <c r="O1529" s="230"/>
      <c r="S1529" s="230"/>
      <c r="T1529" s="230"/>
      <c r="U1529" s="230"/>
      <c r="V1529" s="230"/>
      <c r="W1529" s="230"/>
      <c r="X1529" s="230"/>
      <c r="Y1529" s="230"/>
      <c r="Z1529" s="230"/>
    </row>
    <row r="1530">
      <c r="O1530" s="230"/>
      <c r="S1530" s="230"/>
      <c r="T1530" s="230"/>
      <c r="U1530" s="230"/>
      <c r="V1530" s="230"/>
      <c r="W1530" s="230"/>
      <c r="X1530" s="230"/>
      <c r="Y1530" s="230"/>
      <c r="Z1530" s="230"/>
    </row>
    <row r="1531">
      <c r="O1531" s="230"/>
      <c r="S1531" s="230"/>
      <c r="T1531" s="230"/>
      <c r="U1531" s="230"/>
      <c r="V1531" s="230"/>
      <c r="W1531" s="230"/>
      <c r="X1531" s="230"/>
      <c r="Y1531" s="230"/>
      <c r="Z1531" s="230"/>
    </row>
    <row r="1532">
      <c r="O1532" s="230"/>
      <c r="S1532" s="230"/>
      <c r="T1532" s="230"/>
      <c r="U1532" s="230"/>
      <c r="V1532" s="230"/>
      <c r="W1532" s="230"/>
      <c r="X1532" s="230"/>
      <c r="Y1532" s="230"/>
      <c r="Z1532" s="230"/>
    </row>
    <row r="1533">
      <c r="O1533" s="230"/>
      <c r="S1533" s="230"/>
      <c r="T1533" s="230"/>
      <c r="U1533" s="230"/>
      <c r="V1533" s="230"/>
      <c r="W1533" s="230"/>
      <c r="X1533" s="230"/>
      <c r="Y1533" s="230"/>
      <c r="Z1533" s="230"/>
    </row>
    <row r="1534">
      <c r="O1534" s="230"/>
      <c r="S1534" s="230"/>
      <c r="T1534" s="230"/>
      <c r="U1534" s="230"/>
      <c r="V1534" s="230"/>
      <c r="W1534" s="230"/>
      <c r="X1534" s="230"/>
      <c r="Y1534" s="230"/>
      <c r="Z1534" s="230"/>
    </row>
    <row r="1535">
      <c r="O1535" s="230"/>
      <c r="S1535" s="230"/>
      <c r="T1535" s="230"/>
      <c r="U1535" s="230"/>
      <c r="V1535" s="230"/>
      <c r="W1535" s="230"/>
      <c r="X1535" s="230"/>
      <c r="Y1535" s="230"/>
      <c r="Z1535" s="230"/>
    </row>
    <row r="1536">
      <c r="O1536" s="230"/>
      <c r="S1536" s="230"/>
      <c r="T1536" s="230"/>
      <c r="U1536" s="230"/>
      <c r="V1536" s="230"/>
      <c r="W1536" s="230"/>
      <c r="X1536" s="230"/>
      <c r="Y1536" s="230"/>
      <c r="Z1536" s="230"/>
    </row>
    <row r="1537">
      <c r="O1537" s="230"/>
      <c r="S1537" s="230"/>
      <c r="T1537" s="230"/>
      <c r="U1537" s="230"/>
      <c r="V1537" s="230"/>
      <c r="W1537" s="230"/>
      <c r="X1537" s="230"/>
      <c r="Y1537" s="230"/>
      <c r="Z1537" s="230"/>
    </row>
    <row r="1538">
      <c r="O1538" s="230"/>
      <c r="S1538" s="230"/>
      <c r="T1538" s="230"/>
      <c r="U1538" s="230"/>
      <c r="V1538" s="230"/>
      <c r="W1538" s="230"/>
      <c r="X1538" s="230"/>
      <c r="Y1538" s="230"/>
      <c r="Z1538" s="230"/>
    </row>
    <row r="1539">
      <c r="O1539" s="230"/>
      <c r="S1539" s="230"/>
      <c r="T1539" s="230"/>
      <c r="U1539" s="230"/>
      <c r="V1539" s="230"/>
      <c r="W1539" s="230"/>
      <c r="X1539" s="230"/>
      <c r="Y1539" s="230"/>
      <c r="Z1539" s="230"/>
    </row>
    <row r="1540">
      <c r="O1540" s="230"/>
      <c r="S1540" s="230"/>
      <c r="T1540" s="230"/>
      <c r="U1540" s="230"/>
      <c r="V1540" s="230"/>
      <c r="W1540" s="230"/>
      <c r="X1540" s="230"/>
      <c r="Y1540" s="230"/>
      <c r="Z1540" s="230"/>
    </row>
    <row r="1541">
      <c r="O1541" s="230"/>
      <c r="S1541" s="230"/>
      <c r="T1541" s="230"/>
      <c r="U1541" s="230"/>
      <c r="V1541" s="230"/>
      <c r="W1541" s="230"/>
      <c r="X1541" s="230"/>
      <c r="Y1541" s="230"/>
      <c r="Z1541" s="230"/>
    </row>
    <row r="1542">
      <c r="O1542" s="230"/>
      <c r="S1542" s="230"/>
      <c r="T1542" s="230"/>
      <c r="U1542" s="230"/>
      <c r="V1542" s="230"/>
      <c r="W1542" s="230"/>
      <c r="X1542" s="230"/>
      <c r="Y1542" s="230"/>
      <c r="Z1542" s="230"/>
    </row>
    <row r="1543">
      <c r="O1543" s="230"/>
      <c r="S1543" s="230"/>
      <c r="T1543" s="230"/>
      <c r="U1543" s="230"/>
      <c r="V1543" s="230"/>
      <c r="W1543" s="230"/>
      <c r="X1543" s="230"/>
      <c r="Y1543" s="230"/>
      <c r="Z1543" s="230"/>
    </row>
    <row r="1544">
      <c r="O1544" s="230"/>
      <c r="S1544" s="230"/>
      <c r="T1544" s="230"/>
      <c r="U1544" s="230"/>
      <c r="V1544" s="230"/>
      <c r="W1544" s="230"/>
      <c r="X1544" s="230"/>
      <c r="Y1544" s="230"/>
      <c r="Z1544" s="230"/>
    </row>
    <row r="1545">
      <c r="O1545" s="230"/>
      <c r="S1545" s="230"/>
      <c r="T1545" s="230"/>
      <c r="U1545" s="230"/>
      <c r="V1545" s="230"/>
      <c r="W1545" s="230"/>
      <c r="X1545" s="230"/>
      <c r="Y1545" s="230"/>
      <c r="Z1545" s="230"/>
    </row>
    <row r="1546">
      <c r="O1546" s="230"/>
      <c r="S1546" s="230"/>
      <c r="T1546" s="230"/>
      <c r="U1546" s="230"/>
      <c r="V1546" s="230"/>
      <c r="W1546" s="230"/>
      <c r="X1546" s="230"/>
      <c r="Y1546" s="230"/>
      <c r="Z1546" s="230"/>
    </row>
    <row r="1547">
      <c r="O1547" s="230"/>
      <c r="S1547" s="230"/>
      <c r="T1547" s="230"/>
      <c r="U1547" s="230"/>
      <c r="V1547" s="230"/>
      <c r="W1547" s="230"/>
      <c r="X1547" s="230"/>
      <c r="Y1547" s="230"/>
      <c r="Z1547" s="230"/>
    </row>
    <row r="1548">
      <c r="O1548" s="230"/>
      <c r="S1548" s="230"/>
      <c r="T1548" s="230"/>
      <c r="U1548" s="230"/>
      <c r="V1548" s="230"/>
      <c r="W1548" s="230"/>
      <c r="X1548" s="230"/>
      <c r="Y1548" s="230"/>
      <c r="Z1548" s="230"/>
    </row>
    <row r="1549">
      <c r="O1549" s="230"/>
      <c r="S1549" s="230"/>
      <c r="T1549" s="230"/>
      <c r="U1549" s="230"/>
      <c r="V1549" s="230"/>
      <c r="W1549" s="230"/>
      <c r="X1549" s="230"/>
      <c r="Y1549" s="230"/>
      <c r="Z1549" s="230"/>
    </row>
    <row r="1550">
      <c r="O1550" s="230"/>
      <c r="S1550" s="230"/>
      <c r="T1550" s="230"/>
      <c r="U1550" s="230"/>
      <c r="V1550" s="230"/>
      <c r="W1550" s="230"/>
      <c r="X1550" s="230"/>
      <c r="Y1550" s="230"/>
      <c r="Z1550" s="230"/>
    </row>
    <row r="1551">
      <c r="O1551" s="230"/>
      <c r="S1551" s="230"/>
      <c r="T1551" s="230"/>
      <c r="U1551" s="230"/>
      <c r="V1551" s="230"/>
      <c r="W1551" s="230"/>
      <c r="X1551" s="230"/>
      <c r="Y1551" s="230"/>
      <c r="Z1551" s="230"/>
    </row>
    <row r="1552">
      <c r="O1552" s="230"/>
      <c r="S1552" s="230"/>
      <c r="T1552" s="230"/>
      <c r="U1552" s="230"/>
      <c r="V1552" s="230"/>
      <c r="W1552" s="230"/>
      <c r="X1552" s="230"/>
      <c r="Y1552" s="230"/>
      <c r="Z1552" s="230"/>
    </row>
    <row r="1553">
      <c r="O1553" s="230"/>
      <c r="S1553" s="230"/>
      <c r="T1553" s="230"/>
      <c r="U1553" s="230"/>
      <c r="V1553" s="230"/>
      <c r="W1553" s="230"/>
      <c r="X1553" s="230"/>
      <c r="Y1553" s="230"/>
      <c r="Z1553" s="230"/>
    </row>
    <row r="1554">
      <c r="O1554" s="230"/>
      <c r="S1554" s="230"/>
      <c r="T1554" s="230"/>
      <c r="U1554" s="230"/>
      <c r="V1554" s="230"/>
      <c r="W1554" s="230"/>
      <c r="X1554" s="230"/>
      <c r="Y1554" s="230"/>
      <c r="Z1554" s="230"/>
    </row>
    <row r="1555">
      <c r="O1555" s="230"/>
      <c r="S1555" s="230"/>
      <c r="T1555" s="230"/>
      <c r="U1555" s="230"/>
      <c r="V1555" s="230"/>
      <c r="W1555" s="230"/>
      <c r="X1555" s="230"/>
      <c r="Y1555" s="230"/>
      <c r="Z1555" s="230"/>
    </row>
    <row r="1556">
      <c r="O1556" s="230"/>
      <c r="S1556" s="230"/>
      <c r="T1556" s="230"/>
      <c r="U1556" s="230"/>
      <c r="V1556" s="230"/>
      <c r="W1556" s="230"/>
      <c r="X1556" s="230"/>
      <c r="Y1556" s="230"/>
      <c r="Z1556" s="230"/>
    </row>
    <row r="1557">
      <c r="O1557" s="230"/>
      <c r="S1557" s="230"/>
      <c r="T1557" s="230"/>
      <c r="U1557" s="230"/>
      <c r="V1557" s="230"/>
      <c r="W1557" s="230"/>
      <c r="X1557" s="230"/>
      <c r="Y1557" s="230"/>
      <c r="Z1557" s="230"/>
    </row>
    <row r="1558">
      <c r="O1558" s="230"/>
      <c r="S1558" s="230"/>
      <c r="T1558" s="230"/>
      <c r="U1558" s="230"/>
      <c r="V1558" s="230"/>
      <c r="W1558" s="230"/>
      <c r="X1558" s="230"/>
      <c r="Y1558" s="230"/>
      <c r="Z1558" s="230"/>
    </row>
    <row r="1559">
      <c r="O1559" s="230"/>
      <c r="S1559" s="230"/>
      <c r="T1559" s="230"/>
      <c r="U1559" s="230"/>
      <c r="V1559" s="230"/>
      <c r="W1559" s="230"/>
      <c r="X1559" s="230"/>
      <c r="Y1559" s="230"/>
      <c r="Z1559" s="230"/>
    </row>
    <row r="1560">
      <c r="O1560" s="230"/>
      <c r="S1560" s="230"/>
      <c r="T1560" s="230"/>
      <c r="U1560" s="230"/>
      <c r="V1560" s="230"/>
      <c r="W1560" s="230"/>
      <c r="X1560" s="230"/>
      <c r="Y1560" s="230"/>
      <c r="Z1560" s="230"/>
    </row>
    <row r="1561">
      <c r="O1561" s="230"/>
      <c r="S1561" s="230"/>
      <c r="T1561" s="230"/>
      <c r="U1561" s="230"/>
      <c r="V1561" s="230"/>
      <c r="W1561" s="230"/>
      <c r="X1561" s="230"/>
      <c r="Y1561" s="230"/>
      <c r="Z1561" s="230"/>
    </row>
    <row r="1562">
      <c r="O1562" s="230"/>
      <c r="S1562" s="230"/>
      <c r="T1562" s="230"/>
      <c r="U1562" s="230"/>
      <c r="V1562" s="230"/>
      <c r="W1562" s="230"/>
      <c r="X1562" s="230"/>
      <c r="Y1562" s="230"/>
      <c r="Z1562" s="230"/>
    </row>
    <row r="1563">
      <c r="O1563" s="230"/>
      <c r="S1563" s="230"/>
      <c r="T1563" s="230"/>
      <c r="U1563" s="230"/>
      <c r="V1563" s="230"/>
      <c r="W1563" s="230"/>
      <c r="X1563" s="230"/>
      <c r="Y1563" s="230"/>
      <c r="Z1563" s="230"/>
    </row>
    <row r="1564">
      <c r="O1564" s="230"/>
      <c r="S1564" s="230"/>
      <c r="T1564" s="230"/>
      <c r="U1564" s="230"/>
      <c r="V1564" s="230"/>
      <c r="W1564" s="230"/>
      <c r="X1564" s="230"/>
      <c r="Y1564" s="230"/>
      <c r="Z1564" s="230"/>
    </row>
    <row r="1565">
      <c r="O1565" s="230"/>
      <c r="S1565" s="230"/>
      <c r="T1565" s="230"/>
      <c r="U1565" s="230"/>
      <c r="V1565" s="230"/>
      <c r="W1565" s="230"/>
      <c r="X1565" s="230"/>
      <c r="Y1565" s="230"/>
      <c r="Z1565" s="230"/>
    </row>
    <row r="1566">
      <c r="O1566" s="230"/>
      <c r="S1566" s="230"/>
      <c r="T1566" s="230"/>
      <c r="U1566" s="230"/>
      <c r="V1566" s="230"/>
      <c r="W1566" s="230"/>
      <c r="X1566" s="230"/>
      <c r="Y1566" s="230"/>
      <c r="Z1566" s="230"/>
    </row>
    <row r="1567">
      <c r="O1567" s="230"/>
      <c r="S1567" s="230"/>
      <c r="T1567" s="230"/>
      <c r="U1567" s="230"/>
      <c r="V1567" s="230"/>
      <c r="W1567" s="230"/>
      <c r="X1567" s="230"/>
      <c r="Y1567" s="230"/>
      <c r="Z1567" s="230"/>
    </row>
    <row r="1568">
      <c r="O1568" s="230"/>
      <c r="S1568" s="230"/>
      <c r="T1568" s="230"/>
      <c r="U1568" s="230"/>
      <c r="V1568" s="230"/>
      <c r="W1568" s="230"/>
      <c r="X1568" s="230"/>
      <c r="Y1568" s="230"/>
      <c r="Z1568" s="230"/>
    </row>
    <row r="1569">
      <c r="O1569" s="230"/>
      <c r="S1569" s="230"/>
      <c r="T1569" s="230"/>
      <c r="U1569" s="230"/>
      <c r="V1569" s="230"/>
      <c r="W1569" s="230"/>
      <c r="X1569" s="230"/>
      <c r="Y1569" s="230"/>
      <c r="Z1569" s="230"/>
    </row>
    <row r="1570">
      <c r="O1570" s="230"/>
      <c r="S1570" s="230"/>
      <c r="T1570" s="230"/>
      <c r="U1570" s="230"/>
      <c r="V1570" s="230"/>
      <c r="W1570" s="230"/>
      <c r="X1570" s="230"/>
      <c r="Y1570" s="230"/>
      <c r="Z1570" s="230"/>
    </row>
    <row r="1571">
      <c r="O1571" s="230"/>
      <c r="S1571" s="230"/>
      <c r="T1571" s="230"/>
      <c r="U1571" s="230"/>
      <c r="V1571" s="230"/>
      <c r="W1571" s="230"/>
      <c r="X1571" s="230"/>
      <c r="Y1571" s="230"/>
      <c r="Z1571" s="230"/>
    </row>
    <row r="1572">
      <c r="O1572" s="230"/>
      <c r="S1572" s="230"/>
      <c r="T1572" s="230"/>
      <c r="U1572" s="230"/>
      <c r="V1572" s="230"/>
      <c r="W1572" s="230"/>
      <c r="X1572" s="230"/>
      <c r="Y1572" s="230"/>
      <c r="Z1572" s="230"/>
    </row>
    <row r="1573">
      <c r="O1573" s="230"/>
      <c r="S1573" s="230"/>
      <c r="T1573" s="230"/>
      <c r="U1573" s="230"/>
      <c r="V1573" s="230"/>
      <c r="W1573" s="230"/>
      <c r="X1573" s="230"/>
      <c r="Y1573" s="230"/>
      <c r="Z1573" s="230"/>
    </row>
    <row r="1574">
      <c r="O1574" s="230"/>
      <c r="S1574" s="230"/>
      <c r="T1574" s="230"/>
      <c r="U1574" s="230"/>
      <c r="V1574" s="230"/>
      <c r="W1574" s="230"/>
      <c r="X1574" s="230"/>
      <c r="Y1574" s="230"/>
      <c r="Z1574" s="230"/>
    </row>
    <row r="1575">
      <c r="O1575" s="230"/>
      <c r="S1575" s="230"/>
      <c r="T1575" s="230"/>
      <c r="U1575" s="230"/>
      <c r="V1575" s="230"/>
      <c r="W1575" s="230"/>
      <c r="X1575" s="230"/>
      <c r="Y1575" s="230"/>
      <c r="Z1575" s="230"/>
    </row>
    <row r="1576">
      <c r="O1576" s="230"/>
      <c r="S1576" s="230"/>
      <c r="T1576" s="230"/>
      <c r="U1576" s="230"/>
      <c r="V1576" s="230"/>
      <c r="W1576" s="230"/>
      <c r="X1576" s="230"/>
      <c r="Y1576" s="230"/>
      <c r="Z1576" s="230"/>
    </row>
    <row r="1577">
      <c r="O1577" s="230"/>
      <c r="S1577" s="230"/>
      <c r="T1577" s="230"/>
      <c r="U1577" s="230"/>
      <c r="V1577" s="230"/>
      <c r="W1577" s="230"/>
      <c r="X1577" s="230"/>
      <c r="Y1577" s="230"/>
      <c r="Z1577" s="230"/>
    </row>
    <row r="1578">
      <c r="O1578" s="230"/>
      <c r="S1578" s="230"/>
      <c r="T1578" s="230"/>
      <c r="U1578" s="230"/>
      <c r="V1578" s="230"/>
      <c r="W1578" s="230"/>
      <c r="X1578" s="230"/>
      <c r="Y1578" s="230"/>
      <c r="Z1578" s="230"/>
    </row>
    <row r="1579">
      <c r="O1579" s="230"/>
      <c r="S1579" s="230"/>
      <c r="T1579" s="230"/>
      <c r="U1579" s="230"/>
      <c r="V1579" s="230"/>
      <c r="W1579" s="230"/>
      <c r="X1579" s="230"/>
      <c r="Y1579" s="230"/>
      <c r="Z1579" s="230"/>
    </row>
    <row r="1580">
      <c r="O1580" s="230"/>
      <c r="S1580" s="230"/>
      <c r="T1580" s="230"/>
      <c r="U1580" s="230"/>
      <c r="V1580" s="230"/>
      <c r="W1580" s="230"/>
      <c r="X1580" s="230"/>
      <c r="Y1580" s="230"/>
      <c r="Z1580" s="230"/>
    </row>
    <row r="1581">
      <c r="O1581" s="230"/>
      <c r="S1581" s="230"/>
      <c r="T1581" s="230"/>
      <c r="U1581" s="230"/>
      <c r="V1581" s="230"/>
      <c r="W1581" s="230"/>
      <c r="X1581" s="230"/>
      <c r="Y1581" s="230"/>
      <c r="Z1581" s="230"/>
    </row>
    <row r="1582">
      <c r="O1582" s="230"/>
      <c r="S1582" s="230"/>
      <c r="T1582" s="230"/>
      <c r="U1582" s="230"/>
      <c r="V1582" s="230"/>
      <c r="W1582" s="230"/>
      <c r="X1582" s="230"/>
      <c r="Y1582" s="230"/>
      <c r="Z1582" s="230"/>
    </row>
    <row r="1583">
      <c r="O1583" s="230"/>
      <c r="S1583" s="230"/>
      <c r="T1583" s="230"/>
      <c r="U1583" s="230"/>
      <c r="V1583" s="230"/>
      <c r="W1583" s="230"/>
      <c r="X1583" s="230"/>
      <c r="Y1583" s="230"/>
      <c r="Z1583" s="230"/>
    </row>
    <row r="1584">
      <c r="O1584" s="230"/>
      <c r="S1584" s="230"/>
      <c r="T1584" s="230"/>
      <c r="U1584" s="230"/>
      <c r="V1584" s="230"/>
      <c r="W1584" s="230"/>
      <c r="X1584" s="230"/>
      <c r="Y1584" s="230"/>
      <c r="Z1584" s="230"/>
    </row>
    <row r="1585">
      <c r="O1585" s="230"/>
      <c r="S1585" s="230"/>
      <c r="T1585" s="230"/>
      <c r="U1585" s="230"/>
      <c r="V1585" s="230"/>
      <c r="W1585" s="230"/>
      <c r="X1585" s="230"/>
      <c r="Y1585" s="230"/>
      <c r="Z1585" s="230"/>
    </row>
    <row r="1586">
      <c r="O1586" s="230"/>
      <c r="S1586" s="230"/>
      <c r="T1586" s="230"/>
      <c r="U1586" s="230"/>
      <c r="V1586" s="230"/>
      <c r="W1586" s="230"/>
      <c r="X1586" s="230"/>
      <c r="Y1586" s="230"/>
      <c r="Z1586" s="230"/>
    </row>
    <row r="1587">
      <c r="O1587" s="230"/>
      <c r="S1587" s="230"/>
      <c r="T1587" s="230"/>
      <c r="U1587" s="230"/>
      <c r="V1587" s="230"/>
      <c r="W1587" s="230"/>
      <c r="X1587" s="230"/>
      <c r="Y1587" s="230"/>
      <c r="Z1587" s="230"/>
    </row>
    <row r="1588">
      <c r="O1588" s="230"/>
      <c r="S1588" s="230"/>
      <c r="T1588" s="230"/>
      <c r="U1588" s="230"/>
      <c r="V1588" s="230"/>
      <c r="W1588" s="230"/>
      <c r="X1588" s="230"/>
      <c r="Y1588" s="230"/>
      <c r="Z1588" s="230"/>
    </row>
    <row r="1589">
      <c r="O1589" s="230"/>
      <c r="S1589" s="230"/>
      <c r="T1589" s="230"/>
      <c r="U1589" s="230"/>
      <c r="V1589" s="230"/>
      <c r="W1589" s="230"/>
      <c r="X1589" s="230"/>
      <c r="Y1589" s="230"/>
      <c r="Z1589" s="230"/>
    </row>
    <row r="1590">
      <c r="O1590" s="230"/>
      <c r="S1590" s="230"/>
      <c r="T1590" s="230"/>
      <c r="U1590" s="230"/>
      <c r="V1590" s="230"/>
      <c r="W1590" s="230"/>
      <c r="X1590" s="230"/>
      <c r="Y1590" s="230"/>
      <c r="Z1590" s="230"/>
    </row>
    <row r="1591">
      <c r="O1591" s="230"/>
      <c r="S1591" s="230"/>
      <c r="T1591" s="230"/>
      <c r="U1591" s="230"/>
      <c r="V1591" s="230"/>
      <c r="W1591" s="230"/>
      <c r="X1591" s="230"/>
      <c r="Y1591" s="230"/>
      <c r="Z1591" s="230"/>
    </row>
    <row r="1592">
      <c r="O1592" s="230"/>
      <c r="S1592" s="230"/>
      <c r="T1592" s="230"/>
      <c r="U1592" s="230"/>
      <c r="V1592" s="230"/>
      <c r="W1592" s="230"/>
      <c r="X1592" s="230"/>
      <c r="Y1592" s="230"/>
      <c r="Z1592" s="230"/>
    </row>
    <row r="1593">
      <c r="O1593" s="230"/>
      <c r="S1593" s="230"/>
      <c r="T1593" s="230"/>
      <c r="U1593" s="230"/>
      <c r="V1593" s="230"/>
      <c r="W1593" s="230"/>
      <c r="X1593" s="230"/>
      <c r="Y1593" s="230"/>
      <c r="Z1593" s="230"/>
    </row>
    <row r="1594">
      <c r="O1594" s="230"/>
      <c r="S1594" s="230"/>
      <c r="T1594" s="230"/>
      <c r="U1594" s="230"/>
      <c r="V1594" s="230"/>
      <c r="W1594" s="230"/>
      <c r="X1594" s="230"/>
      <c r="Y1594" s="230"/>
      <c r="Z1594" s="230"/>
    </row>
    <row r="1595">
      <c r="O1595" s="230"/>
      <c r="S1595" s="230"/>
      <c r="T1595" s="230"/>
      <c r="U1595" s="230"/>
      <c r="V1595" s="230"/>
      <c r="W1595" s="230"/>
      <c r="X1595" s="230"/>
      <c r="Y1595" s="230"/>
      <c r="Z1595" s="230"/>
    </row>
    <row r="1596">
      <c r="O1596" s="230"/>
      <c r="S1596" s="230"/>
      <c r="T1596" s="230"/>
      <c r="U1596" s="230"/>
      <c r="V1596" s="230"/>
      <c r="W1596" s="230"/>
      <c r="X1596" s="230"/>
      <c r="Y1596" s="230"/>
      <c r="Z1596" s="230"/>
    </row>
    <row r="1597">
      <c r="O1597" s="230"/>
      <c r="S1597" s="230"/>
      <c r="T1597" s="230"/>
      <c r="U1597" s="230"/>
      <c r="V1597" s="230"/>
      <c r="W1597" s="230"/>
      <c r="X1597" s="230"/>
      <c r="Y1597" s="230"/>
      <c r="Z1597" s="230"/>
    </row>
    <row r="1598">
      <c r="O1598" s="230"/>
      <c r="S1598" s="230"/>
      <c r="T1598" s="230"/>
      <c r="U1598" s="230"/>
      <c r="V1598" s="230"/>
      <c r="W1598" s="230"/>
      <c r="X1598" s="230"/>
      <c r="Y1598" s="230"/>
      <c r="Z1598" s="230"/>
    </row>
    <row r="1599">
      <c r="O1599" s="230"/>
      <c r="S1599" s="230"/>
      <c r="T1599" s="230"/>
      <c r="U1599" s="230"/>
      <c r="V1599" s="230"/>
      <c r="W1599" s="230"/>
      <c r="X1599" s="230"/>
      <c r="Y1599" s="230"/>
      <c r="Z1599" s="230"/>
    </row>
    <row r="1600">
      <c r="O1600" s="230"/>
      <c r="S1600" s="230"/>
      <c r="T1600" s="230"/>
      <c r="U1600" s="230"/>
      <c r="V1600" s="230"/>
      <c r="W1600" s="230"/>
      <c r="X1600" s="230"/>
      <c r="Y1600" s="230"/>
      <c r="Z1600" s="230"/>
    </row>
    <row r="1601">
      <c r="O1601" s="230"/>
      <c r="S1601" s="230"/>
      <c r="T1601" s="230"/>
      <c r="U1601" s="230"/>
      <c r="V1601" s="230"/>
      <c r="W1601" s="230"/>
      <c r="X1601" s="230"/>
      <c r="Y1601" s="230"/>
      <c r="Z1601" s="230"/>
    </row>
    <row r="1602">
      <c r="O1602" s="230"/>
      <c r="S1602" s="230"/>
      <c r="T1602" s="230"/>
      <c r="U1602" s="230"/>
      <c r="V1602" s="230"/>
      <c r="W1602" s="230"/>
      <c r="X1602" s="230"/>
      <c r="Y1602" s="230"/>
      <c r="Z1602" s="230"/>
    </row>
    <row r="1603">
      <c r="O1603" s="230"/>
      <c r="S1603" s="230"/>
      <c r="T1603" s="230"/>
      <c r="U1603" s="230"/>
      <c r="V1603" s="230"/>
      <c r="W1603" s="230"/>
      <c r="X1603" s="230"/>
      <c r="Y1603" s="230"/>
      <c r="Z1603" s="230"/>
    </row>
    <row r="1604">
      <c r="O1604" s="230"/>
      <c r="S1604" s="230"/>
      <c r="T1604" s="230"/>
      <c r="U1604" s="230"/>
      <c r="V1604" s="230"/>
      <c r="W1604" s="230"/>
      <c r="X1604" s="230"/>
      <c r="Y1604" s="230"/>
      <c r="Z1604" s="230"/>
    </row>
    <row r="1605">
      <c r="O1605" s="230"/>
      <c r="S1605" s="230"/>
      <c r="T1605" s="230"/>
      <c r="U1605" s="230"/>
      <c r="V1605" s="230"/>
      <c r="W1605" s="230"/>
      <c r="X1605" s="230"/>
      <c r="Y1605" s="230"/>
      <c r="Z1605" s="230"/>
    </row>
    <row r="1606">
      <c r="O1606" s="230"/>
      <c r="S1606" s="230"/>
      <c r="T1606" s="230"/>
      <c r="U1606" s="230"/>
      <c r="V1606" s="230"/>
      <c r="W1606" s="230"/>
      <c r="X1606" s="230"/>
      <c r="Y1606" s="230"/>
      <c r="Z1606" s="230"/>
    </row>
    <row r="1607">
      <c r="O1607" s="230"/>
      <c r="S1607" s="230"/>
      <c r="T1607" s="230"/>
      <c r="U1607" s="230"/>
      <c r="V1607" s="230"/>
      <c r="W1607" s="230"/>
      <c r="X1607" s="230"/>
      <c r="Y1607" s="230"/>
      <c r="Z1607" s="230"/>
    </row>
    <row r="1608">
      <c r="O1608" s="230"/>
      <c r="S1608" s="230"/>
      <c r="T1608" s="230"/>
      <c r="U1608" s="230"/>
      <c r="V1608" s="230"/>
      <c r="W1608" s="230"/>
      <c r="X1608" s="230"/>
      <c r="Y1608" s="230"/>
      <c r="Z1608" s="230"/>
    </row>
    <row r="1609">
      <c r="O1609" s="230"/>
      <c r="S1609" s="230"/>
      <c r="T1609" s="230"/>
      <c r="U1609" s="230"/>
      <c r="V1609" s="230"/>
      <c r="W1609" s="230"/>
      <c r="X1609" s="230"/>
      <c r="Y1609" s="230"/>
      <c r="Z1609" s="230"/>
    </row>
    <row r="1610">
      <c r="O1610" s="230"/>
      <c r="S1610" s="230"/>
      <c r="T1610" s="230"/>
      <c r="U1610" s="230"/>
      <c r="V1610" s="230"/>
      <c r="W1610" s="230"/>
      <c r="X1610" s="230"/>
      <c r="Y1610" s="230"/>
      <c r="Z1610" s="230"/>
    </row>
    <row r="1611">
      <c r="O1611" s="230"/>
      <c r="S1611" s="230"/>
      <c r="T1611" s="230"/>
      <c r="U1611" s="230"/>
      <c r="V1611" s="230"/>
      <c r="W1611" s="230"/>
      <c r="X1611" s="230"/>
      <c r="Y1611" s="230"/>
      <c r="Z1611" s="230"/>
    </row>
    <row r="1612">
      <c r="O1612" s="230"/>
      <c r="S1612" s="230"/>
      <c r="T1612" s="230"/>
      <c r="U1612" s="230"/>
      <c r="V1612" s="230"/>
      <c r="W1612" s="230"/>
      <c r="X1612" s="230"/>
      <c r="Y1612" s="230"/>
      <c r="Z1612" s="230"/>
    </row>
    <row r="1613">
      <c r="O1613" s="230"/>
      <c r="S1613" s="230"/>
      <c r="T1613" s="230"/>
      <c r="U1613" s="230"/>
      <c r="V1613" s="230"/>
      <c r="W1613" s="230"/>
      <c r="X1613" s="230"/>
      <c r="Y1613" s="230"/>
      <c r="Z1613" s="230"/>
    </row>
    <row r="1614">
      <c r="O1614" s="230"/>
      <c r="S1614" s="230"/>
      <c r="T1614" s="230"/>
      <c r="U1614" s="230"/>
      <c r="V1614" s="230"/>
      <c r="W1614" s="230"/>
      <c r="X1614" s="230"/>
      <c r="Y1614" s="230"/>
      <c r="Z1614" s="230"/>
    </row>
    <row r="1615">
      <c r="O1615" s="230"/>
      <c r="S1615" s="230"/>
      <c r="T1615" s="230"/>
      <c r="U1615" s="230"/>
      <c r="V1615" s="230"/>
      <c r="W1615" s="230"/>
      <c r="X1615" s="230"/>
      <c r="Y1615" s="230"/>
      <c r="Z1615" s="230"/>
    </row>
    <row r="1616">
      <c r="O1616" s="230"/>
      <c r="S1616" s="230"/>
      <c r="T1616" s="230"/>
      <c r="U1616" s="230"/>
      <c r="V1616" s="230"/>
      <c r="W1616" s="230"/>
      <c r="X1616" s="230"/>
      <c r="Y1616" s="230"/>
      <c r="Z1616" s="230"/>
    </row>
    <row r="1617">
      <c r="O1617" s="230"/>
      <c r="S1617" s="230"/>
      <c r="T1617" s="230"/>
      <c r="U1617" s="230"/>
      <c r="V1617" s="230"/>
      <c r="W1617" s="230"/>
      <c r="X1617" s="230"/>
      <c r="Y1617" s="230"/>
      <c r="Z1617" s="230"/>
    </row>
    <row r="1618">
      <c r="O1618" s="230"/>
      <c r="S1618" s="230"/>
      <c r="T1618" s="230"/>
      <c r="U1618" s="230"/>
      <c r="V1618" s="230"/>
      <c r="W1618" s="230"/>
      <c r="X1618" s="230"/>
      <c r="Y1618" s="230"/>
      <c r="Z1618" s="230"/>
    </row>
    <row r="1619">
      <c r="O1619" s="230"/>
      <c r="S1619" s="230"/>
      <c r="T1619" s="230"/>
      <c r="U1619" s="230"/>
      <c r="V1619" s="230"/>
      <c r="W1619" s="230"/>
      <c r="X1619" s="230"/>
      <c r="Y1619" s="230"/>
      <c r="Z1619" s="230"/>
    </row>
    <row r="1620">
      <c r="O1620" s="230"/>
      <c r="S1620" s="230"/>
      <c r="T1620" s="230"/>
      <c r="U1620" s="230"/>
      <c r="V1620" s="230"/>
      <c r="W1620" s="230"/>
      <c r="X1620" s="230"/>
      <c r="Y1620" s="230"/>
      <c r="Z1620" s="230"/>
    </row>
    <row r="1621">
      <c r="O1621" s="230"/>
      <c r="S1621" s="230"/>
      <c r="T1621" s="230"/>
      <c r="U1621" s="230"/>
      <c r="V1621" s="230"/>
      <c r="W1621" s="230"/>
      <c r="X1621" s="230"/>
      <c r="Y1621" s="230"/>
      <c r="Z1621" s="230"/>
    </row>
    <row r="1622">
      <c r="O1622" s="230"/>
      <c r="S1622" s="230"/>
      <c r="T1622" s="230"/>
      <c r="U1622" s="230"/>
      <c r="V1622" s="230"/>
      <c r="W1622" s="230"/>
      <c r="X1622" s="230"/>
      <c r="Y1622" s="230"/>
      <c r="Z1622" s="230"/>
    </row>
    <row r="1623">
      <c r="O1623" s="230"/>
      <c r="S1623" s="230"/>
      <c r="T1623" s="230"/>
      <c r="U1623" s="230"/>
      <c r="V1623" s="230"/>
      <c r="W1623" s="230"/>
      <c r="X1623" s="230"/>
      <c r="Y1623" s="230"/>
      <c r="Z1623" s="230"/>
    </row>
    <row r="1624">
      <c r="O1624" s="230"/>
      <c r="S1624" s="230"/>
      <c r="T1624" s="230"/>
      <c r="U1624" s="230"/>
      <c r="V1624" s="230"/>
      <c r="W1624" s="230"/>
      <c r="X1624" s="230"/>
      <c r="Y1624" s="230"/>
      <c r="Z1624" s="230"/>
    </row>
    <row r="1625">
      <c r="O1625" s="230"/>
      <c r="S1625" s="230"/>
      <c r="T1625" s="230"/>
      <c r="U1625" s="230"/>
      <c r="V1625" s="230"/>
      <c r="W1625" s="230"/>
      <c r="X1625" s="230"/>
      <c r="Y1625" s="230"/>
      <c r="Z1625" s="230"/>
    </row>
    <row r="1626">
      <c r="O1626" s="230"/>
      <c r="S1626" s="230"/>
      <c r="T1626" s="230"/>
      <c r="U1626" s="230"/>
      <c r="V1626" s="230"/>
      <c r="W1626" s="230"/>
      <c r="X1626" s="230"/>
      <c r="Y1626" s="230"/>
      <c r="Z1626" s="230"/>
    </row>
    <row r="1627">
      <c r="O1627" s="230"/>
      <c r="S1627" s="230"/>
      <c r="T1627" s="230"/>
      <c r="U1627" s="230"/>
      <c r="V1627" s="230"/>
      <c r="W1627" s="230"/>
      <c r="X1627" s="230"/>
      <c r="Y1627" s="230"/>
      <c r="Z1627" s="230"/>
    </row>
    <row r="1628">
      <c r="O1628" s="230"/>
      <c r="S1628" s="230"/>
      <c r="T1628" s="230"/>
      <c r="U1628" s="230"/>
      <c r="V1628" s="230"/>
      <c r="W1628" s="230"/>
      <c r="X1628" s="230"/>
      <c r="Y1628" s="230"/>
      <c r="Z1628" s="230"/>
    </row>
    <row r="1629">
      <c r="O1629" s="230"/>
      <c r="S1629" s="230"/>
      <c r="T1629" s="230"/>
      <c r="U1629" s="230"/>
      <c r="V1629" s="230"/>
      <c r="W1629" s="230"/>
      <c r="X1629" s="230"/>
      <c r="Y1629" s="230"/>
      <c r="Z1629" s="230"/>
    </row>
    <row r="1630">
      <c r="O1630" s="230"/>
      <c r="S1630" s="230"/>
      <c r="T1630" s="230"/>
      <c r="U1630" s="230"/>
      <c r="V1630" s="230"/>
      <c r="W1630" s="230"/>
      <c r="X1630" s="230"/>
      <c r="Y1630" s="230"/>
      <c r="Z1630" s="230"/>
    </row>
    <row r="1631">
      <c r="O1631" s="230"/>
      <c r="S1631" s="230"/>
      <c r="T1631" s="230"/>
      <c r="U1631" s="230"/>
      <c r="V1631" s="230"/>
      <c r="W1631" s="230"/>
      <c r="X1631" s="230"/>
      <c r="Y1631" s="230"/>
      <c r="Z1631" s="230"/>
    </row>
    <row r="1632">
      <c r="O1632" s="230"/>
      <c r="S1632" s="230"/>
      <c r="T1632" s="230"/>
      <c r="U1632" s="230"/>
      <c r="V1632" s="230"/>
      <c r="W1632" s="230"/>
      <c r="X1632" s="230"/>
      <c r="Y1632" s="230"/>
      <c r="Z1632" s="230"/>
    </row>
    <row r="1633">
      <c r="O1633" s="230"/>
      <c r="S1633" s="230"/>
      <c r="T1633" s="230"/>
      <c r="U1633" s="230"/>
      <c r="V1633" s="230"/>
      <c r="W1633" s="230"/>
      <c r="X1633" s="230"/>
      <c r="Y1633" s="230"/>
      <c r="Z1633" s="230"/>
    </row>
    <row r="1634">
      <c r="O1634" s="230"/>
      <c r="S1634" s="230"/>
      <c r="T1634" s="230"/>
      <c r="U1634" s="230"/>
      <c r="V1634" s="230"/>
      <c r="W1634" s="230"/>
      <c r="X1634" s="230"/>
      <c r="Y1634" s="230"/>
      <c r="Z1634" s="230"/>
    </row>
    <row r="1635">
      <c r="O1635" s="230"/>
      <c r="S1635" s="230"/>
      <c r="T1635" s="230"/>
      <c r="U1635" s="230"/>
      <c r="V1635" s="230"/>
      <c r="W1635" s="230"/>
      <c r="X1635" s="230"/>
      <c r="Y1635" s="230"/>
      <c r="Z1635" s="230"/>
    </row>
    <row r="1636">
      <c r="O1636" s="230"/>
      <c r="S1636" s="230"/>
      <c r="T1636" s="230"/>
      <c r="U1636" s="230"/>
      <c r="V1636" s="230"/>
      <c r="W1636" s="230"/>
      <c r="X1636" s="230"/>
      <c r="Y1636" s="230"/>
      <c r="Z1636" s="230"/>
    </row>
    <row r="1637">
      <c r="O1637" s="230"/>
      <c r="S1637" s="230"/>
      <c r="T1637" s="230"/>
      <c r="U1637" s="230"/>
      <c r="V1637" s="230"/>
      <c r="W1637" s="230"/>
      <c r="X1637" s="230"/>
      <c r="Y1637" s="230"/>
      <c r="Z1637" s="230"/>
    </row>
    <row r="1638">
      <c r="O1638" s="230"/>
      <c r="S1638" s="230"/>
      <c r="T1638" s="230"/>
      <c r="U1638" s="230"/>
      <c r="V1638" s="230"/>
      <c r="W1638" s="230"/>
      <c r="X1638" s="230"/>
      <c r="Y1638" s="230"/>
      <c r="Z1638" s="230"/>
    </row>
    <row r="1639">
      <c r="O1639" s="230"/>
      <c r="S1639" s="230"/>
      <c r="T1639" s="230"/>
      <c r="U1639" s="230"/>
      <c r="V1639" s="230"/>
      <c r="W1639" s="230"/>
      <c r="X1639" s="230"/>
      <c r="Y1639" s="230"/>
      <c r="Z1639" s="230"/>
    </row>
    <row r="1640">
      <c r="O1640" s="230"/>
      <c r="S1640" s="230"/>
      <c r="T1640" s="230"/>
      <c r="U1640" s="230"/>
      <c r="V1640" s="230"/>
      <c r="W1640" s="230"/>
      <c r="X1640" s="230"/>
      <c r="Y1640" s="230"/>
      <c r="Z1640" s="230"/>
    </row>
    <row r="1641">
      <c r="O1641" s="230"/>
      <c r="S1641" s="230"/>
      <c r="T1641" s="230"/>
      <c r="U1641" s="230"/>
      <c r="V1641" s="230"/>
      <c r="W1641" s="230"/>
      <c r="X1641" s="230"/>
      <c r="Y1641" s="230"/>
      <c r="Z1641" s="230"/>
    </row>
    <row r="1642">
      <c r="O1642" s="230"/>
      <c r="S1642" s="230"/>
      <c r="T1642" s="230"/>
      <c r="U1642" s="230"/>
      <c r="V1642" s="230"/>
      <c r="W1642" s="230"/>
      <c r="X1642" s="230"/>
      <c r="Y1642" s="230"/>
      <c r="Z1642" s="230"/>
    </row>
    <row r="1643">
      <c r="O1643" s="230"/>
      <c r="S1643" s="230"/>
      <c r="T1643" s="230"/>
      <c r="U1643" s="230"/>
      <c r="V1643" s="230"/>
      <c r="W1643" s="230"/>
      <c r="X1643" s="230"/>
      <c r="Y1643" s="230"/>
      <c r="Z1643" s="230"/>
    </row>
    <row r="1644">
      <c r="O1644" s="230"/>
      <c r="S1644" s="230"/>
      <c r="T1644" s="230"/>
      <c r="U1644" s="230"/>
      <c r="V1644" s="230"/>
      <c r="W1644" s="230"/>
      <c r="X1644" s="230"/>
      <c r="Y1644" s="230"/>
      <c r="Z1644" s="230"/>
    </row>
    <row r="1645">
      <c r="O1645" s="230"/>
      <c r="S1645" s="230"/>
      <c r="T1645" s="230"/>
      <c r="U1645" s="230"/>
      <c r="V1645" s="230"/>
      <c r="W1645" s="230"/>
      <c r="X1645" s="230"/>
      <c r="Y1645" s="230"/>
      <c r="Z1645" s="230"/>
    </row>
    <row r="1646">
      <c r="O1646" s="230"/>
      <c r="S1646" s="230"/>
      <c r="T1646" s="230"/>
      <c r="U1646" s="230"/>
      <c r="V1646" s="230"/>
      <c r="W1646" s="230"/>
      <c r="X1646" s="230"/>
      <c r="Y1646" s="230"/>
      <c r="Z1646" s="230"/>
    </row>
    <row r="1647">
      <c r="O1647" s="230"/>
      <c r="S1647" s="230"/>
      <c r="T1647" s="230"/>
      <c r="U1647" s="230"/>
      <c r="V1647" s="230"/>
      <c r="W1647" s="230"/>
      <c r="X1647" s="230"/>
      <c r="Y1647" s="230"/>
      <c r="Z1647" s="230"/>
    </row>
    <row r="1648">
      <c r="O1648" s="230"/>
      <c r="S1648" s="230"/>
      <c r="T1648" s="230"/>
      <c r="U1648" s="230"/>
      <c r="V1648" s="230"/>
      <c r="W1648" s="230"/>
      <c r="X1648" s="230"/>
      <c r="Y1648" s="230"/>
      <c r="Z1648" s="230"/>
    </row>
    <row r="1649">
      <c r="O1649" s="230"/>
      <c r="S1649" s="230"/>
      <c r="T1649" s="230"/>
      <c r="U1649" s="230"/>
      <c r="V1649" s="230"/>
      <c r="W1649" s="230"/>
      <c r="X1649" s="230"/>
      <c r="Y1649" s="230"/>
      <c r="Z1649" s="230"/>
    </row>
    <row r="1650">
      <c r="O1650" s="230"/>
      <c r="S1650" s="230"/>
      <c r="T1650" s="230"/>
      <c r="U1650" s="230"/>
      <c r="V1650" s="230"/>
      <c r="W1650" s="230"/>
      <c r="X1650" s="230"/>
      <c r="Y1650" s="230"/>
      <c r="Z1650" s="230"/>
    </row>
    <row r="1651">
      <c r="O1651" s="230"/>
      <c r="S1651" s="230"/>
      <c r="T1651" s="230"/>
      <c r="U1651" s="230"/>
      <c r="V1651" s="230"/>
      <c r="W1651" s="230"/>
      <c r="X1651" s="230"/>
      <c r="Y1651" s="230"/>
      <c r="Z1651" s="230"/>
    </row>
    <row r="1652">
      <c r="O1652" s="230"/>
      <c r="S1652" s="230"/>
      <c r="T1652" s="230"/>
      <c r="U1652" s="230"/>
      <c r="V1652" s="230"/>
      <c r="W1652" s="230"/>
      <c r="X1652" s="230"/>
      <c r="Y1652" s="230"/>
      <c r="Z1652" s="230"/>
    </row>
    <row r="1653">
      <c r="O1653" s="230"/>
      <c r="S1653" s="230"/>
      <c r="T1653" s="230"/>
      <c r="U1653" s="230"/>
      <c r="V1653" s="230"/>
      <c r="W1653" s="230"/>
      <c r="X1653" s="230"/>
      <c r="Y1653" s="230"/>
      <c r="Z1653" s="230"/>
    </row>
    <row r="1654">
      <c r="O1654" s="230"/>
      <c r="S1654" s="230"/>
      <c r="T1654" s="230"/>
      <c r="U1654" s="230"/>
      <c r="V1654" s="230"/>
      <c r="W1654" s="230"/>
      <c r="X1654" s="230"/>
      <c r="Y1654" s="230"/>
      <c r="Z1654" s="230"/>
    </row>
    <row r="1655">
      <c r="O1655" s="230"/>
      <c r="S1655" s="230"/>
      <c r="T1655" s="230"/>
      <c r="U1655" s="230"/>
      <c r="V1655" s="230"/>
      <c r="W1655" s="230"/>
      <c r="X1655" s="230"/>
      <c r="Y1655" s="230"/>
      <c r="Z1655" s="230"/>
    </row>
    <row r="1656">
      <c r="O1656" s="230"/>
      <c r="S1656" s="230"/>
      <c r="T1656" s="230"/>
      <c r="U1656" s="230"/>
      <c r="V1656" s="230"/>
      <c r="W1656" s="230"/>
      <c r="X1656" s="230"/>
      <c r="Y1656" s="230"/>
      <c r="Z1656" s="230"/>
    </row>
    <row r="1657">
      <c r="O1657" s="230"/>
      <c r="S1657" s="230"/>
      <c r="T1657" s="230"/>
      <c r="U1657" s="230"/>
      <c r="V1657" s="230"/>
      <c r="W1657" s="230"/>
      <c r="X1657" s="230"/>
      <c r="Y1657" s="230"/>
      <c r="Z1657" s="230"/>
    </row>
    <row r="1658">
      <c r="O1658" s="230"/>
      <c r="S1658" s="230"/>
      <c r="T1658" s="230"/>
      <c r="U1658" s="230"/>
      <c r="V1658" s="230"/>
      <c r="W1658" s="230"/>
      <c r="X1658" s="230"/>
      <c r="Y1658" s="230"/>
      <c r="Z1658" s="230"/>
    </row>
    <row r="1659">
      <c r="O1659" s="230"/>
      <c r="S1659" s="230"/>
      <c r="T1659" s="230"/>
      <c r="U1659" s="230"/>
      <c r="V1659" s="230"/>
      <c r="W1659" s="230"/>
      <c r="X1659" s="230"/>
      <c r="Y1659" s="230"/>
      <c r="Z1659" s="230"/>
    </row>
    <row r="1660">
      <c r="O1660" s="230"/>
      <c r="S1660" s="230"/>
      <c r="T1660" s="230"/>
      <c r="U1660" s="230"/>
      <c r="V1660" s="230"/>
      <c r="W1660" s="230"/>
      <c r="X1660" s="230"/>
      <c r="Y1660" s="230"/>
      <c r="Z1660" s="230"/>
    </row>
    <row r="1661">
      <c r="O1661" s="230"/>
      <c r="S1661" s="230"/>
      <c r="T1661" s="230"/>
      <c r="U1661" s="230"/>
      <c r="V1661" s="230"/>
      <c r="W1661" s="230"/>
      <c r="X1661" s="230"/>
      <c r="Y1661" s="230"/>
      <c r="Z1661" s="230"/>
    </row>
    <row r="1662">
      <c r="O1662" s="230"/>
      <c r="S1662" s="230"/>
      <c r="T1662" s="230"/>
      <c r="U1662" s="230"/>
      <c r="V1662" s="230"/>
      <c r="W1662" s="230"/>
      <c r="X1662" s="230"/>
      <c r="Y1662" s="230"/>
      <c r="Z1662" s="230"/>
    </row>
    <row r="1663">
      <c r="O1663" s="230"/>
      <c r="S1663" s="230"/>
      <c r="T1663" s="230"/>
      <c r="U1663" s="230"/>
      <c r="V1663" s="230"/>
      <c r="W1663" s="230"/>
      <c r="X1663" s="230"/>
      <c r="Y1663" s="230"/>
      <c r="Z1663" s="230"/>
    </row>
    <row r="1664">
      <c r="O1664" s="230"/>
      <c r="S1664" s="230"/>
      <c r="T1664" s="230"/>
      <c r="U1664" s="230"/>
      <c r="V1664" s="230"/>
      <c r="W1664" s="230"/>
      <c r="X1664" s="230"/>
      <c r="Y1664" s="230"/>
      <c r="Z1664" s="230"/>
    </row>
    <row r="1665">
      <c r="O1665" s="230"/>
      <c r="S1665" s="230"/>
      <c r="T1665" s="230"/>
      <c r="U1665" s="230"/>
      <c r="V1665" s="230"/>
      <c r="W1665" s="230"/>
      <c r="X1665" s="230"/>
      <c r="Y1665" s="230"/>
      <c r="Z1665" s="230"/>
    </row>
    <row r="1666">
      <c r="O1666" s="230"/>
      <c r="S1666" s="230"/>
      <c r="T1666" s="230"/>
      <c r="U1666" s="230"/>
      <c r="V1666" s="230"/>
      <c r="W1666" s="230"/>
      <c r="X1666" s="230"/>
      <c r="Y1666" s="230"/>
      <c r="Z1666" s="230"/>
    </row>
    <row r="1667">
      <c r="O1667" s="230"/>
      <c r="S1667" s="230"/>
      <c r="T1667" s="230"/>
      <c r="U1667" s="230"/>
      <c r="V1667" s="230"/>
      <c r="W1667" s="230"/>
      <c r="X1667" s="230"/>
      <c r="Y1667" s="230"/>
      <c r="Z1667" s="230"/>
    </row>
    <row r="1668">
      <c r="O1668" s="230"/>
      <c r="S1668" s="230"/>
      <c r="T1668" s="230"/>
      <c r="U1668" s="230"/>
      <c r="V1668" s="230"/>
      <c r="W1668" s="230"/>
      <c r="X1668" s="230"/>
      <c r="Y1668" s="230"/>
      <c r="Z1668" s="230"/>
    </row>
    <row r="1669">
      <c r="O1669" s="230"/>
      <c r="S1669" s="230"/>
      <c r="T1669" s="230"/>
      <c r="U1669" s="230"/>
      <c r="V1669" s="230"/>
      <c r="W1669" s="230"/>
      <c r="X1669" s="230"/>
      <c r="Y1669" s="230"/>
      <c r="Z1669" s="230"/>
    </row>
    <row r="1670">
      <c r="O1670" s="230"/>
      <c r="S1670" s="230"/>
      <c r="T1670" s="230"/>
      <c r="U1670" s="230"/>
      <c r="V1670" s="230"/>
      <c r="W1670" s="230"/>
      <c r="X1670" s="230"/>
      <c r="Y1670" s="230"/>
      <c r="Z1670" s="230"/>
    </row>
    <row r="1671">
      <c r="O1671" s="230"/>
      <c r="S1671" s="230"/>
      <c r="T1671" s="230"/>
      <c r="U1671" s="230"/>
      <c r="V1671" s="230"/>
      <c r="W1671" s="230"/>
      <c r="X1671" s="230"/>
      <c r="Y1671" s="230"/>
      <c r="Z1671" s="230"/>
    </row>
    <row r="1672">
      <c r="O1672" s="230"/>
      <c r="S1672" s="230"/>
      <c r="T1672" s="230"/>
      <c r="U1672" s="230"/>
      <c r="V1672" s="230"/>
      <c r="W1672" s="230"/>
      <c r="X1672" s="230"/>
      <c r="Y1672" s="230"/>
      <c r="Z1672" s="230"/>
    </row>
    <row r="1673">
      <c r="O1673" s="230"/>
      <c r="S1673" s="230"/>
      <c r="T1673" s="230"/>
      <c r="U1673" s="230"/>
      <c r="V1673" s="230"/>
      <c r="W1673" s="230"/>
      <c r="X1673" s="230"/>
      <c r="Y1673" s="230"/>
      <c r="Z1673" s="230"/>
    </row>
    <row r="1674">
      <c r="O1674" s="230"/>
      <c r="S1674" s="230"/>
      <c r="T1674" s="230"/>
      <c r="U1674" s="230"/>
      <c r="V1674" s="230"/>
      <c r="W1674" s="230"/>
      <c r="X1674" s="230"/>
      <c r="Y1674" s="230"/>
      <c r="Z1674" s="230"/>
    </row>
    <row r="1675">
      <c r="O1675" s="230"/>
      <c r="S1675" s="230"/>
      <c r="T1675" s="230"/>
      <c r="U1675" s="230"/>
      <c r="V1675" s="230"/>
      <c r="W1675" s="230"/>
      <c r="X1675" s="230"/>
      <c r="Y1675" s="230"/>
      <c r="Z1675" s="230"/>
    </row>
    <row r="1676">
      <c r="O1676" s="230"/>
      <c r="S1676" s="230"/>
      <c r="T1676" s="230"/>
      <c r="U1676" s="230"/>
      <c r="V1676" s="230"/>
      <c r="W1676" s="230"/>
      <c r="X1676" s="230"/>
      <c r="Y1676" s="230"/>
      <c r="Z1676" s="230"/>
    </row>
    <row r="1677">
      <c r="O1677" s="230"/>
      <c r="S1677" s="230"/>
      <c r="T1677" s="230"/>
      <c r="U1677" s="230"/>
      <c r="V1677" s="230"/>
      <c r="W1677" s="230"/>
      <c r="X1677" s="230"/>
      <c r="Y1677" s="230"/>
      <c r="Z1677" s="230"/>
    </row>
    <row r="1678">
      <c r="O1678" s="230"/>
      <c r="S1678" s="230"/>
      <c r="T1678" s="230"/>
      <c r="U1678" s="230"/>
      <c r="V1678" s="230"/>
      <c r="W1678" s="230"/>
      <c r="X1678" s="230"/>
      <c r="Y1678" s="230"/>
      <c r="Z1678" s="230"/>
    </row>
    <row r="1679">
      <c r="O1679" s="230"/>
      <c r="S1679" s="230"/>
      <c r="T1679" s="230"/>
      <c r="U1679" s="230"/>
      <c r="V1679" s="230"/>
      <c r="W1679" s="230"/>
      <c r="X1679" s="230"/>
      <c r="Y1679" s="230"/>
      <c r="Z1679" s="230"/>
    </row>
    <row r="1680">
      <c r="O1680" s="230"/>
      <c r="S1680" s="230"/>
      <c r="T1680" s="230"/>
      <c r="U1680" s="230"/>
      <c r="V1680" s="230"/>
      <c r="W1680" s="230"/>
      <c r="X1680" s="230"/>
      <c r="Y1680" s="230"/>
      <c r="Z1680" s="230"/>
    </row>
    <row r="1681">
      <c r="O1681" s="230"/>
      <c r="S1681" s="230"/>
      <c r="T1681" s="230"/>
      <c r="U1681" s="230"/>
      <c r="V1681" s="230"/>
      <c r="W1681" s="230"/>
      <c r="X1681" s="230"/>
      <c r="Y1681" s="230"/>
      <c r="Z1681" s="230"/>
    </row>
    <row r="1682">
      <c r="O1682" s="230"/>
      <c r="S1682" s="230"/>
      <c r="T1682" s="230"/>
      <c r="U1682" s="230"/>
      <c r="V1682" s="230"/>
      <c r="W1682" s="230"/>
      <c r="X1682" s="230"/>
      <c r="Y1682" s="230"/>
      <c r="Z1682" s="230"/>
    </row>
    <row r="1683">
      <c r="O1683" s="230"/>
      <c r="S1683" s="230"/>
      <c r="T1683" s="230"/>
      <c r="U1683" s="230"/>
      <c r="V1683" s="230"/>
      <c r="W1683" s="230"/>
      <c r="X1683" s="230"/>
      <c r="Y1683" s="230"/>
      <c r="Z1683" s="230"/>
    </row>
    <row r="1684">
      <c r="O1684" s="230"/>
      <c r="S1684" s="230"/>
      <c r="T1684" s="230"/>
      <c r="U1684" s="230"/>
      <c r="V1684" s="230"/>
      <c r="W1684" s="230"/>
      <c r="X1684" s="230"/>
      <c r="Y1684" s="230"/>
      <c r="Z1684" s="230"/>
    </row>
    <row r="1685">
      <c r="O1685" s="230"/>
      <c r="S1685" s="230"/>
      <c r="T1685" s="230"/>
      <c r="U1685" s="230"/>
      <c r="V1685" s="230"/>
      <c r="W1685" s="230"/>
      <c r="X1685" s="230"/>
      <c r="Y1685" s="230"/>
      <c r="Z1685" s="230"/>
    </row>
    <row r="1686">
      <c r="O1686" s="230"/>
      <c r="S1686" s="230"/>
      <c r="T1686" s="230"/>
      <c r="U1686" s="230"/>
      <c r="V1686" s="230"/>
      <c r="W1686" s="230"/>
      <c r="X1686" s="230"/>
      <c r="Y1686" s="230"/>
      <c r="Z1686" s="230"/>
    </row>
    <row r="1687">
      <c r="O1687" s="230"/>
      <c r="S1687" s="230"/>
      <c r="T1687" s="230"/>
      <c r="U1687" s="230"/>
      <c r="V1687" s="230"/>
      <c r="W1687" s="230"/>
      <c r="X1687" s="230"/>
      <c r="Y1687" s="230"/>
      <c r="Z1687" s="230"/>
    </row>
    <row r="1688">
      <c r="O1688" s="230"/>
      <c r="S1688" s="230"/>
      <c r="T1688" s="230"/>
      <c r="U1688" s="230"/>
      <c r="V1688" s="230"/>
      <c r="W1688" s="230"/>
      <c r="X1688" s="230"/>
      <c r="Y1688" s="230"/>
      <c r="Z1688" s="230"/>
    </row>
    <row r="1689">
      <c r="O1689" s="230"/>
      <c r="S1689" s="230"/>
      <c r="T1689" s="230"/>
      <c r="U1689" s="230"/>
      <c r="V1689" s="230"/>
      <c r="W1689" s="230"/>
      <c r="X1689" s="230"/>
      <c r="Y1689" s="230"/>
      <c r="Z1689" s="230"/>
    </row>
    <row r="1690">
      <c r="O1690" s="230"/>
      <c r="S1690" s="230"/>
      <c r="T1690" s="230"/>
      <c r="U1690" s="230"/>
      <c r="V1690" s="230"/>
      <c r="W1690" s="230"/>
      <c r="X1690" s="230"/>
      <c r="Y1690" s="230"/>
      <c r="Z1690" s="230"/>
    </row>
    <row r="1691">
      <c r="O1691" s="230"/>
      <c r="S1691" s="230"/>
      <c r="T1691" s="230"/>
      <c r="U1691" s="230"/>
      <c r="V1691" s="230"/>
      <c r="W1691" s="230"/>
      <c r="X1691" s="230"/>
      <c r="Y1691" s="230"/>
      <c r="Z1691" s="230"/>
    </row>
    <row r="1692">
      <c r="O1692" s="230"/>
      <c r="S1692" s="230"/>
      <c r="T1692" s="230"/>
      <c r="U1692" s="230"/>
      <c r="V1692" s="230"/>
      <c r="W1692" s="230"/>
      <c r="X1692" s="230"/>
      <c r="Y1692" s="230"/>
      <c r="Z1692" s="230"/>
    </row>
    <row r="1693">
      <c r="O1693" s="230"/>
      <c r="S1693" s="230"/>
      <c r="T1693" s="230"/>
      <c r="U1693" s="230"/>
      <c r="V1693" s="230"/>
      <c r="W1693" s="230"/>
      <c r="X1693" s="230"/>
      <c r="Y1693" s="230"/>
      <c r="Z1693" s="230"/>
    </row>
    <row r="1694">
      <c r="O1694" s="230"/>
      <c r="S1694" s="230"/>
      <c r="T1694" s="230"/>
      <c r="U1694" s="230"/>
      <c r="V1694" s="230"/>
      <c r="W1694" s="230"/>
      <c r="X1694" s="230"/>
      <c r="Y1694" s="230"/>
      <c r="Z1694" s="230"/>
    </row>
    <row r="1695">
      <c r="O1695" s="230"/>
      <c r="S1695" s="230"/>
      <c r="T1695" s="230"/>
      <c r="U1695" s="230"/>
      <c r="V1695" s="230"/>
      <c r="W1695" s="230"/>
      <c r="X1695" s="230"/>
      <c r="Y1695" s="230"/>
      <c r="Z1695" s="230"/>
    </row>
    <row r="1696">
      <c r="O1696" s="230"/>
      <c r="S1696" s="230"/>
      <c r="T1696" s="230"/>
      <c r="U1696" s="230"/>
      <c r="V1696" s="230"/>
      <c r="W1696" s="230"/>
      <c r="X1696" s="230"/>
      <c r="Y1696" s="230"/>
      <c r="Z1696" s="230"/>
    </row>
    <row r="1697">
      <c r="O1697" s="230"/>
      <c r="S1697" s="230"/>
      <c r="T1697" s="230"/>
      <c r="U1697" s="230"/>
      <c r="V1697" s="230"/>
      <c r="W1697" s="230"/>
      <c r="X1697" s="230"/>
      <c r="Y1697" s="230"/>
      <c r="Z1697" s="230"/>
    </row>
    <row r="1698">
      <c r="O1698" s="230"/>
      <c r="S1698" s="230"/>
      <c r="T1698" s="230"/>
      <c r="U1698" s="230"/>
      <c r="V1698" s="230"/>
      <c r="W1698" s="230"/>
      <c r="X1698" s="230"/>
      <c r="Y1698" s="230"/>
      <c r="Z1698" s="230"/>
    </row>
    <row r="1699">
      <c r="O1699" s="230"/>
      <c r="S1699" s="230"/>
      <c r="T1699" s="230"/>
      <c r="U1699" s="230"/>
      <c r="V1699" s="230"/>
      <c r="W1699" s="230"/>
      <c r="X1699" s="230"/>
      <c r="Y1699" s="230"/>
      <c r="Z1699" s="230"/>
    </row>
    <row r="1700">
      <c r="O1700" s="230"/>
      <c r="S1700" s="230"/>
      <c r="T1700" s="230"/>
      <c r="U1700" s="230"/>
      <c r="V1700" s="230"/>
      <c r="W1700" s="230"/>
      <c r="X1700" s="230"/>
      <c r="Y1700" s="230"/>
      <c r="Z1700" s="230"/>
    </row>
    <row r="1701">
      <c r="O1701" s="230"/>
      <c r="S1701" s="230"/>
      <c r="T1701" s="230"/>
      <c r="U1701" s="230"/>
      <c r="V1701" s="230"/>
      <c r="W1701" s="230"/>
      <c r="X1701" s="230"/>
      <c r="Y1701" s="230"/>
      <c r="Z1701" s="230"/>
    </row>
    <row r="1702">
      <c r="O1702" s="230"/>
      <c r="S1702" s="230"/>
      <c r="T1702" s="230"/>
      <c r="U1702" s="230"/>
      <c r="V1702" s="230"/>
      <c r="W1702" s="230"/>
      <c r="X1702" s="230"/>
      <c r="Y1702" s="230"/>
      <c r="Z1702" s="230"/>
    </row>
    <row r="1703">
      <c r="O1703" s="230"/>
      <c r="S1703" s="230"/>
      <c r="T1703" s="230"/>
      <c r="U1703" s="230"/>
      <c r="V1703" s="230"/>
      <c r="W1703" s="230"/>
      <c r="X1703" s="230"/>
      <c r="Y1703" s="230"/>
      <c r="Z1703" s="230"/>
    </row>
    <row r="1704">
      <c r="O1704" s="230"/>
      <c r="S1704" s="230"/>
      <c r="T1704" s="230"/>
      <c r="U1704" s="230"/>
      <c r="V1704" s="230"/>
      <c r="W1704" s="230"/>
      <c r="X1704" s="230"/>
      <c r="Y1704" s="230"/>
      <c r="Z1704" s="230"/>
    </row>
    <row r="1705">
      <c r="O1705" s="230"/>
      <c r="S1705" s="230"/>
      <c r="T1705" s="230"/>
      <c r="U1705" s="230"/>
      <c r="V1705" s="230"/>
      <c r="W1705" s="230"/>
      <c r="X1705" s="230"/>
      <c r="Y1705" s="230"/>
      <c r="Z1705" s="230"/>
    </row>
    <row r="1706">
      <c r="O1706" s="230"/>
      <c r="S1706" s="230"/>
      <c r="T1706" s="230"/>
      <c r="U1706" s="230"/>
      <c r="V1706" s="230"/>
      <c r="W1706" s="230"/>
      <c r="X1706" s="230"/>
      <c r="Y1706" s="230"/>
      <c r="Z1706" s="230"/>
    </row>
    <row r="1707">
      <c r="O1707" s="230"/>
      <c r="S1707" s="230"/>
      <c r="T1707" s="230"/>
      <c r="U1707" s="230"/>
      <c r="V1707" s="230"/>
      <c r="W1707" s="230"/>
      <c r="X1707" s="230"/>
      <c r="Y1707" s="230"/>
      <c r="Z1707" s="230"/>
    </row>
    <row r="1708">
      <c r="O1708" s="230"/>
      <c r="S1708" s="230"/>
      <c r="T1708" s="230"/>
      <c r="U1708" s="230"/>
      <c r="V1708" s="230"/>
      <c r="W1708" s="230"/>
      <c r="X1708" s="230"/>
      <c r="Y1708" s="230"/>
      <c r="Z1708" s="230"/>
    </row>
    <row r="1709">
      <c r="O1709" s="230"/>
      <c r="S1709" s="230"/>
      <c r="T1709" s="230"/>
      <c r="U1709" s="230"/>
      <c r="V1709" s="230"/>
      <c r="W1709" s="230"/>
      <c r="X1709" s="230"/>
      <c r="Y1709" s="230"/>
      <c r="Z1709" s="230"/>
    </row>
    <row r="1710">
      <c r="O1710" s="230"/>
      <c r="S1710" s="230"/>
      <c r="T1710" s="230"/>
      <c r="U1710" s="230"/>
      <c r="V1710" s="230"/>
      <c r="W1710" s="230"/>
      <c r="X1710" s="230"/>
      <c r="Y1710" s="230"/>
      <c r="Z1710" s="230"/>
    </row>
    <row r="1711">
      <c r="O1711" s="230"/>
      <c r="S1711" s="230"/>
      <c r="T1711" s="230"/>
      <c r="U1711" s="230"/>
      <c r="V1711" s="230"/>
      <c r="W1711" s="230"/>
      <c r="X1711" s="230"/>
      <c r="Y1711" s="230"/>
      <c r="Z1711" s="230"/>
    </row>
    <row r="1712">
      <c r="O1712" s="230"/>
      <c r="S1712" s="230"/>
      <c r="T1712" s="230"/>
      <c r="U1712" s="230"/>
      <c r="V1712" s="230"/>
      <c r="W1712" s="230"/>
      <c r="X1712" s="230"/>
      <c r="Y1712" s="230"/>
      <c r="Z1712" s="230"/>
    </row>
    <row r="1713">
      <c r="O1713" s="230"/>
      <c r="S1713" s="230"/>
      <c r="T1713" s="230"/>
      <c r="U1713" s="230"/>
      <c r="V1713" s="230"/>
      <c r="W1713" s="230"/>
      <c r="X1713" s="230"/>
      <c r="Y1713" s="230"/>
      <c r="Z1713" s="230"/>
    </row>
    <row r="1714">
      <c r="O1714" s="230"/>
      <c r="S1714" s="230"/>
      <c r="T1714" s="230"/>
      <c r="U1714" s="230"/>
      <c r="V1714" s="230"/>
      <c r="W1714" s="230"/>
      <c r="X1714" s="230"/>
      <c r="Y1714" s="230"/>
      <c r="Z1714" s="230"/>
    </row>
    <row r="1715">
      <c r="O1715" s="230"/>
      <c r="S1715" s="230"/>
      <c r="T1715" s="230"/>
      <c r="U1715" s="230"/>
      <c r="V1715" s="230"/>
      <c r="W1715" s="230"/>
      <c r="X1715" s="230"/>
      <c r="Y1715" s="230"/>
      <c r="Z1715" s="230"/>
    </row>
    <row r="1716">
      <c r="O1716" s="230"/>
      <c r="S1716" s="230"/>
      <c r="T1716" s="230"/>
      <c r="U1716" s="230"/>
      <c r="V1716" s="230"/>
      <c r="W1716" s="230"/>
      <c r="X1716" s="230"/>
      <c r="Y1716" s="230"/>
      <c r="Z1716" s="230"/>
    </row>
    <row r="1717">
      <c r="O1717" s="230"/>
      <c r="S1717" s="230"/>
      <c r="T1717" s="230"/>
      <c r="U1717" s="230"/>
      <c r="V1717" s="230"/>
      <c r="W1717" s="230"/>
      <c r="X1717" s="230"/>
      <c r="Y1717" s="230"/>
      <c r="Z1717" s="230"/>
    </row>
    <row r="1718">
      <c r="O1718" s="230"/>
      <c r="S1718" s="230"/>
      <c r="T1718" s="230"/>
      <c r="U1718" s="230"/>
      <c r="V1718" s="230"/>
      <c r="W1718" s="230"/>
      <c r="X1718" s="230"/>
      <c r="Y1718" s="230"/>
      <c r="Z1718" s="230"/>
    </row>
    <row r="1719">
      <c r="O1719" s="230"/>
      <c r="S1719" s="230"/>
      <c r="T1719" s="230"/>
      <c r="U1719" s="230"/>
      <c r="V1719" s="230"/>
      <c r="W1719" s="230"/>
      <c r="X1719" s="230"/>
      <c r="Y1719" s="230"/>
      <c r="Z1719" s="230"/>
    </row>
    <row r="1720">
      <c r="O1720" s="230"/>
      <c r="S1720" s="230"/>
      <c r="T1720" s="230"/>
      <c r="U1720" s="230"/>
      <c r="V1720" s="230"/>
      <c r="W1720" s="230"/>
      <c r="X1720" s="230"/>
      <c r="Y1720" s="230"/>
      <c r="Z1720" s="230"/>
    </row>
    <row r="1721">
      <c r="O1721" s="230"/>
      <c r="S1721" s="230"/>
      <c r="T1721" s="230"/>
      <c r="U1721" s="230"/>
      <c r="V1721" s="230"/>
      <c r="W1721" s="230"/>
      <c r="X1721" s="230"/>
      <c r="Y1721" s="230"/>
      <c r="Z1721" s="230"/>
    </row>
    <row r="1722">
      <c r="O1722" s="230"/>
      <c r="S1722" s="230"/>
      <c r="T1722" s="230"/>
      <c r="U1722" s="230"/>
      <c r="V1722" s="230"/>
      <c r="W1722" s="230"/>
      <c r="X1722" s="230"/>
      <c r="Y1722" s="230"/>
      <c r="Z1722" s="230"/>
    </row>
    <row r="1723">
      <c r="O1723" s="230"/>
      <c r="S1723" s="230"/>
      <c r="T1723" s="230"/>
      <c r="U1723" s="230"/>
      <c r="V1723" s="230"/>
      <c r="W1723" s="230"/>
      <c r="X1723" s="230"/>
      <c r="Y1723" s="230"/>
      <c r="Z1723" s="230"/>
    </row>
    <row r="1724">
      <c r="O1724" s="230"/>
      <c r="S1724" s="230"/>
      <c r="T1724" s="230"/>
      <c r="U1724" s="230"/>
      <c r="V1724" s="230"/>
      <c r="W1724" s="230"/>
      <c r="X1724" s="230"/>
      <c r="Y1724" s="230"/>
      <c r="Z1724" s="230"/>
    </row>
    <row r="1725">
      <c r="O1725" s="230"/>
      <c r="S1725" s="230"/>
      <c r="T1725" s="230"/>
      <c r="U1725" s="230"/>
      <c r="V1725" s="230"/>
      <c r="W1725" s="230"/>
      <c r="X1725" s="230"/>
      <c r="Y1725" s="230"/>
      <c r="Z1725" s="230"/>
    </row>
    <row r="1726">
      <c r="O1726" s="230"/>
      <c r="S1726" s="230"/>
      <c r="T1726" s="230"/>
      <c r="U1726" s="230"/>
      <c r="V1726" s="230"/>
      <c r="W1726" s="230"/>
      <c r="X1726" s="230"/>
      <c r="Y1726" s="230"/>
      <c r="Z1726" s="230"/>
    </row>
    <row r="1727">
      <c r="O1727" s="230"/>
      <c r="S1727" s="230"/>
      <c r="T1727" s="230"/>
      <c r="U1727" s="230"/>
      <c r="V1727" s="230"/>
      <c r="W1727" s="230"/>
      <c r="X1727" s="230"/>
      <c r="Y1727" s="230"/>
      <c r="Z1727" s="230"/>
    </row>
    <row r="1728">
      <c r="O1728" s="230"/>
      <c r="S1728" s="230"/>
      <c r="T1728" s="230"/>
      <c r="U1728" s="230"/>
      <c r="V1728" s="230"/>
      <c r="W1728" s="230"/>
      <c r="X1728" s="230"/>
      <c r="Y1728" s="230"/>
      <c r="Z1728" s="230"/>
    </row>
    <row r="1729">
      <c r="O1729" s="230"/>
      <c r="S1729" s="230"/>
      <c r="T1729" s="230"/>
      <c r="U1729" s="230"/>
      <c r="V1729" s="230"/>
      <c r="W1729" s="230"/>
      <c r="X1729" s="230"/>
      <c r="Y1729" s="230"/>
      <c r="Z1729" s="230"/>
    </row>
    <row r="1730">
      <c r="O1730" s="230"/>
      <c r="S1730" s="230"/>
      <c r="T1730" s="230"/>
      <c r="U1730" s="230"/>
      <c r="V1730" s="230"/>
      <c r="W1730" s="230"/>
      <c r="X1730" s="230"/>
      <c r="Y1730" s="230"/>
      <c r="Z1730" s="230"/>
    </row>
    <row r="1731">
      <c r="O1731" s="230"/>
      <c r="S1731" s="230"/>
      <c r="T1731" s="230"/>
      <c r="U1731" s="230"/>
      <c r="V1731" s="230"/>
      <c r="W1731" s="230"/>
      <c r="X1731" s="230"/>
      <c r="Y1731" s="230"/>
      <c r="Z1731" s="230"/>
    </row>
    <row r="1732">
      <c r="O1732" s="230"/>
      <c r="S1732" s="230"/>
      <c r="T1732" s="230"/>
      <c r="U1732" s="230"/>
      <c r="V1732" s="230"/>
      <c r="W1732" s="230"/>
      <c r="X1732" s="230"/>
      <c r="Y1732" s="230"/>
      <c r="Z1732" s="230"/>
    </row>
    <row r="1733">
      <c r="O1733" s="230"/>
      <c r="S1733" s="230"/>
      <c r="T1733" s="230"/>
      <c r="U1733" s="230"/>
      <c r="V1733" s="230"/>
      <c r="W1733" s="230"/>
      <c r="X1733" s="230"/>
      <c r="Y1733" s="230"/>
      <c r="Z1733" s="230"/>
    </row>
    <row r="1734">
      <c r="O1734" s="230"/>
      <c r="S1734" s="230"/>
      <c r="T1734" s="230"/>
      <c r="U1734" s="230"/>
      <c r="V1734" s="230"/>
      <c r="W1734" s="230"/>
      <c r="X1734" s="230"/>
      <c r="Y1734" s="230"/>
      <c r="Z1734" s="230"/>
    </row>
    <row r="1735">
      <c r="O1735" s="230"/>
      <c r="S1735" s="230"/>
      <c r="T1735" s="230"/>
      <c r="U1735" s="230"/>
      <c r="V1735" s="230"/>
      <c r="W1735" s="230"/>
      <c r="X1735" s="230"/>
      <c r="Y1735" s="230"/>
      <c r="Z1735" s="230"/>
    </row>
    <row r="1736">
      <c r="O1736" s="230"/>
      <c r="S1736" s="230"/>
      <c r="T1736" s="230"/>
      <c r="U1736" s="230"/>
      <c r="V1736" s="230"/>
      <c r="W1736" s="230"/>
      <c r="X1736" s="230"/>
      <c r="Y1736" s="230"/>
      <c r="Z1736" s="230"/>
    </row>
    <row r="1737">
      <c r="O1737" s="230"/>
      <c r="S1737" s="230"/>
      <c r="T1737" s="230"/>
      <c r="U1737" s="230"/>
      <c r="V1737" s="230"/>
      <c r="W1737" s="230"/>
      <c r="X1737" s="230"/>
      <c r="Y1737" s="230"/>
      <c r="Z1737" s="230"/>
    </row>
    <row r="1738">
      <c r="O1738" s="230"/>
      <c r="S1738" s="230"/>
      <c r="T1738" s="230"/>
      <c r="U1738" s="230"/>
      <c r="V1738" s="230"/>
      <c r="W1738" s="230"/>
      <c r="X1738" s="230"/>
      <c r="Y1738" s="230"/>
      <c r="Z1738" s="230"/>
    </row>
    <row r="1739">
      <c r="O1739" s="230"/>
      <c r="S1739" s="230"/>
      <c r="T1739" s="230"/>
      <c r="U1739" s="230"/>
      <c r="V1739" s="230"/>
      <c r="W1739" s="230"/>
      <c r="X1739" s="230"/>
      <c r="Y1739" s="230"/>
      <c r="Z1739" s="230"/>
    </row>
    <row r="1740">
      <c r="O1740" s="230"/>
      <c r="S1740" s="230"/>
      <c r="T1740" s="230"/>
      <c r="U1740" s="230"/>
      <c r="V1740" s="230"/>
      <c r="W1740" s="230"/>
      <c r="X1740" s="230"/>
      <c r="Y1740" s="230"/>
      <c r="Z1740" s="230"/>
    </row>
    <row r="1741">
      <c r="O1741" s="230"/>
      <c r="S1741" s="230"/>
      <c r="T1741" s="230"/>
      <c r="U1741" s="230"/>
      <c r="V1741" s="230"/>
      <c r="W1741" s="230"/>
      <c r="X1741" s="230"/>
      <c r="Y1741" s="230"/>
      <c r="Z1741" s="230"/>
    </row>
    <row r="1742">
      <c r="O1742" s="230"/>
      <c r="S1742" s="230"/>
      <c r="T1742" s="230"/>
      <c r="U1742" s="230"/>
      <c r="V1742" s="230"/>
      <c r="W1742" s="230"/>
      <c r="X1742" s="230"/>
      <c r="Y1742" s="230"/>
      <c r="Z1742" s="230"/>
    </row>
    <row r="1743">
      <c r="O1743" s="230"/>
      <c r="S1743" s="230"/>
      <c r="T1743" s="230"/>
      <c r="U1743" s="230"/>
      <c r="V1743" s="230"/>
      <c r="W1743" s="230"/>
      <c r="X1743" s="230"/>
      <c r="Y1743" s="230"/>
      <c r="Z1743" s="230"/>
    </row>
    <row r="1744">
      <c r="O1744" s="230"/>
      <c r="S1744" s="230"/>
      <c r="T1744" s="230"/>
      <c r="U1744" s="230"/>
      <c r="V1744" s="230"/>
      <c r="W1744" s="230"/>
      <c r="X1744" s="230"/>
      <c r="Y1744" s="230"/>
      <c r="Z1744" s="230"/>
    </row>
    <row r="1745">
      <c r="O1745" s="230"/>
      <c r="S1745" s="230"/>
      <c r="T1745" s="230"/>
      <c r="U1745" s="230"/>
      <c r="V1745" s="230"/>
      <c r="W1745" s="230"/>
      <c r="X1745" s="230"/>
      <c r="Y1745" s="230"/>
      <c r="Z1745" s="230"/>
    </row>
    <row r="1746">
      <c r="O1746" s="230"/>
      <c r="S1746" s="230"/>
      <c r="T1746" s="230"/>
      <c r="U1746" s="230"/>
      <c r="V1746" s="230"/>
      <c r="W1746" s="230"/>
      <c r="X1746" s="230"/>
      <c r="Y1746" s="230"/>
      <c r="Z1746" s="230"/>
    </row>
    <row r="1747">
      <c r="O1747" s="230"/>
      <c r="S1747" s="230"/>
      <c r="T1747" s="230"/>
      <c r="U1747" s="230"/>
      <c r="V1747" s="230"/>
      <c r="W1747" s="230"/>
      <c r="X1747" s="230"/>
      <c r="Y1747" s="230"/>
      <c r="Z1747" s="230"/>
    </row>
    <row r="1748">
      <c r="O1748" s="230"/>
      <c r="S1748" s="230"/>
      <c r="T1748" s="230"/>
      <c r="U1748" s="230"/>
      <c r="V1748" s="230"/>
      <c r="W1748" s="230"/>
      <c r="X1748" s="230"/>
      <c r="Y1748" s="230"/>
      <c r="Z1748" s="230"/>
    </row>
    <row r="1749">
      <c r="O1749" s="230"/>
      <c r="S1749" s="230"/>
      <c r="T1749" s="230"/>
      <c r="U1749" s="230"/>
      <c r="V1749" s="230"/>
      <c r="W1749" s="230"/>
      <c r="X1749" s="230"/>
      <c r="Y1749" s="230"/>
      <c r="Z1749" s="230"/>
    </row>
    <row r="1750">
      <c r="O1750" s="230"/>
      <c r="S1750" s="230"/>
      <c r="T1750" s="230"/>
      <c r="U1750" s="230"/>
      <c r="V1750" s="230"/>
      <c r="W1750" s="230"/>
      <c r="X1750" s="230"/>
      <c r="Y1750" s="230"/>
      <c r="Z1750" s="230"/>
    </row>
    <row r="1751">
      <c r="O1751" s="230"/>
      <c r="S1751" s="230"/>
      <c r="T1751" s="230"/>
      <c r="U1751" s="230"/>
      <c r="V1751" s="230"/>
      <c r="W1751" s="230"/>
      <c r="X1751" s="230"/>
      <c r="Y1751" s="230"/>
      <c r="Z1751" s="230"/>
    </row>
    <row r="1752">
      <c r="O1752" s="230"/>
      <c r="S1752" s="230"/>
      <c r="T1752" s="230"/>
      <c r="U1752" s="230"/>
      <c r="V1752" s="230"/>
      <c r="W1752" s="230"/>
      <c r="X1752" s="230"/>
      <c r="Y1752" s="230"/>
      <c r="Z1752" s="230"/>
    </row>
    <row r="1753">
      <c r="O1753" s="230"/>
      <c r="S1753" s="230"/>
      <c r="T1753" s="230"/>
      <c r="U1753" s="230"/>
      <c r="V1753" s="230"/>
      <c r="W1753" s="230"/>
      <c r="X1753" s="230"/>
      <c r="Y1753" s="230"/>
      <c r="Z1753" s="230"/>
    </row>
    <row r="1754">
      <c r="O1754" s="230"/>
      <c r="S1754" s="230"/>
      <c r="T1754" s="230"/>
      <c r="U1754" s="230"/>
      <c r="V1754" s="230"/>
      <c r="W1754" s="230"/>
      <c r="X1754" s="230"/>
      <c r="Y1754" s="230"/>
      <c r="Z1754" s="230"/>
    </row>
    <row r="1755">
      <c r="O1755" s="230"/>
      <c r="S1755" s="230"/>
      <c r="T1755" s="230"/>
      <c r="U1755" s="230"/>
      <c r="V1755" s="230"/>
      <c r="W1755" s="230"/>
      <c r="X1755" s="230"/>
      <c r="Y1755" s="230"/>
      <c r="Z1755" s="230"/>
    </row>
    <row r="1756">
      <c r="O1756" s="230"/>
      <c r="S1756" s="230"/>
      <c r="T1756" s="230"/>
      <c r="U1756" s="230"/>
      <c r="V1756" s="230"/>
      <c r="W1756" s="230"/>
      <c r="X1756" s="230"/>
      <c r="Y1756" s="230"/>
      <c r="Z1756" s="230"/>
    </row>
    <row r="1757">
      <c r="O1757" s="230"/>
      <c r="S1757" s="230"/>
      <c r="T1757" s="230"/>
      <c r="U1757" s="230"/>
      <c r="V1757" s="230"/>
      <c r="W1757" s="230"/>
      <c r="X1757" s="230"/>
      <c r="Y1757" s="230"/>
      <c r="Z1757" s="230"/>
    </row>
    <row r="1758">
      <c r="O1758" s="230"/>
      <c r="S1758" s="230"/>
      <c r="T1758" s="230"/>
      <c r="U1758" s="230"/>
      <c r="V1758" s="230"/>
      <c r="W1758" s="230"/>
      <c r="X1758" s="230"/>
      <c r="Y1758" s="230"/>
      <c r="Z1758" s="230"/>
    </row>
    <row r="1759">
      <c r="O1759" s="230"/>
      <c r="S1759" s="230"/>
      <c r="T1759" s="230"/>
      <c r="U1759" s="230"/>
      <c r="V1759" s="230"/>
      <c r="W1759" s="230"/>
      <c r="X1759" s="230"/>
      <c r="Y1759" s="230"/>
      <c r="Z1759" s="230"/>
    </row>
    <row r="1760">
      <c r="O1760" s="230"/>
      <c r="S1760" s="230"/>
      <c r="T1760" s="230"/>
      <c r="U1760" s="230"/>
      <c r="V1760" s="230"/>
      <c r="W1760" s="230"/>
      <c r="X1760" s="230"/>
      <c r="Y1760" s="230"/>
      <c r="Z1760" s="230"/>
    </row>
    <row r="1761">
      <c r="O1761" s="230"/>
      <c r="S1761" s="230"/>
      <c r="T1761" s="230"/>
      <c r="U1761" s="230"/>
      <c r="V1761" s="230"/>
      <c r="W1761" s="230"/>
      <c r="X1761" s="230"/>
      <c r="Y1761" s="230"/>
      <c r="Z1761" s="230"/>
    </row>
    <row r="1762">
      <c r="O1762" s="230"/>
      <c r="S1762" s="230"/>
      <c r="T1762" s="230"/>
      <c r="U1762" s="230"/>
      <c r="V1762" s="230"/>
      <c r="W1762" s="230"/>
      <c r="X1762" s="230"/>
      <c r="Y1762" s="230"/>
      <c r="Z1762" s="230"/>
    </row>
    <row r="1763">
      <c r="O1763" s="230"/>
      <c r="S1763" s="230"/>
      <c r="T1763" s="230"/>
      <c r="U1763" s="230"/>
      <c r="V1763" s="230"/>
      <c r="W1763" s="230"/>
      <c r="X1763" s="230"/>
      <c r="Y1763" s="230"/>
      <c r="Z1763" s="230"/>
    </row>
    <row r="1764">
      <c r="O1764" s="230"/>
      <c r="S1764" s="230"/>
      <c r="T1764" s="230"/>
      <c r="U1764" s="230"/>
      <c r="V1764" s="230"/>
      <c r="W1764" s="230"/>
      <c r="X1764" s="230"/>
      <c r="Y1764" s="230"/>
      <c r="Z1764" s="230"/>
    </row>
    <row r="1765">
      <c r="O1765" s="230"/>
      <c r="S1765" s="230"/>
      <c r="T1765" s="230"/>
      <c r="U1765" s="230"/>
      <c r="V1765" s="230"/>
      <c r="W1765" s="230"/>
      <c r="X1765" s="230"/>
      <c r="Y1765" s="230"/>
      <c r="Z1765" s="230"/>
    </row>
    <row r="1766">
      <c r="O1766" s="230"/>
      <c r="S1766" s="230"/>
      <c r="T1766" s="230"/>
      <c r="U1766" s="230"/>
      <c r="V1766" s="230"/>
      <c r="W1766" s="230"/>
      <c r="X1766" s="230"/>
      <c r="Y1766" s="230"/>
      <c r="Z1766" s="230"/>
    </row>
    <row r="1767">
      <c r="O1767" s="230"/>
      <c r="S1767" s="230"/>
      <c r="T1767" s="230"/>
      <c r="U1767" s="230"/>
      <c r="V1767" s="230"/>
      <c r="W1767" s="230"/>
      <c r="X1767" s="230"/>
      <c r="Y1767" s="230"/>
      <c r="Z1767" s="230"/>
    </row>
    <row r="1768">
      <c r="O1768" s="230"/>
      <c r="S1768" s="230"/>
      <c r="T1768" s="230"/>
      <c r="U1768" s="230"/>
      <c r="V1768" s="230"/>
      <c r="W1768" s="230"/>
      <c r="X1768" s="230"/>
      <c r="Y1768" s="230"/>
      <c r="Z1768" s="230"/>
    </row>
    <row r="1769">
      <c r="O1769" s="230"/>
      <c r="S1769" s="230"/>
      <c r="T1769" s="230"/>
      <c r="U1769" s="230"/>
      <c r="V1769" s="230"/>
      <c r="W1769" s="230"/>
      <c r="X1769" s="230"/>
      <c r="Y1769" s="230"/>
      <c r="Z1769" s="230"/>
    </row>
    <row r="1770">
      <c r="O1770" s="230"/>
      <c r="S1770" s="230"/>
      <c r="T1770" s="230"/>
      <c r="U1770" s="230"/>
      <c r="V1770" s="230"/>
      <c r="W1770" s="230"/>
      <c r="X1770" s="230"/>
      <c r="Y1770" s="230"/>
      <c r="Z1770" s="230"/>
    </row>
    <row r="1771">
      <c r="O1771" s="230"/>
      <c r="S1771" s="230"/>
      <c r="T1771" s="230"/>
      <c r="U1771" s="230"/>
      <c r="V1771" s="230"/>
      <c r="W1771" s="230"/>
      <c r="X1771" s="230"/>
      <c r="Y1771" s="230"/>
      <c r="Z1771" s="230"/>
    </row>
    <row r="1772">
      <c r="O1772" s="230"/>
      <c r="S1772" s="230"/>
      <c r="T1772" s="230"/>
      <c r="U1772" s="230"/>
      <c r="V1772" s="230"/>
      <c r="W1772" s="230"/>
      <c r="X1772" s="230"/>
      <c r="Y1772" s="230"/>
      <c r="Z1772" s="230"/>
    </row>
    <row r="1773">
      <c r="O1773" s="230"/>
      <c r="S1773" s="230"/>
      <c r="T1773" s="230"/>
      <c r="U1773" s="230"/>
      <c r="V1773" s="230"/>
      <c r="W1773" s="230"/>
      <c r="X1773" s="230"/>
      <c r="Y1773" s="230"/>
      <c r="Z1773" s="230"/>
    </row>
    <row r="1774">
      <c r="O1774" s="230"/>
      <c r="S1774" s="230"/>
      <c r="T1774" s="230"/>
      <c r="U1774" s="230"/>
      <c r="V1774" s="230"/>
      <c r="W1774" s="230"/>
      <c r="X1774" s="230"/>
      <c r="Y1774" s="230"/>
      <c r="Z1774" s="230"/>
    </row>
    <row r="1775">
      <c r="O1775" s="230"/>
      <c r="S1775" s="230"/>
      <c r="T1775" s="230"/>
      <c r="U1775" s="230"/>
      <c r="V1775" s="230"/>
      <c r="W1775" s="230"/>
      <c r="X1775" s="230"/>
      <c r="Y1775" s="230"/>
      <c r="Z1775" s="230"/>
    </row>
    <row r="1776">
      <c r="O1776" s="230"/>
      <c r="S1776" s="230"/>
      <c r="T1776" s="230"/>
      <c r="U1776" s="230"/>
      <c r="V1776" s="230"/>
      <c r="W1776" s="230"/>
      <c r="X1776" s="230"/>
      <c r="Y1776" s="230"/>
      <c r="Z1776" s="230"/>
    </row>
    <row r="1777">
      <c r="O1777" s="230"/>
      <c r="S1777" s="230"/>
      <c r="T1777" s="230"/>
      <c r="U1777" s="230"/>
      <c r="V1777" s="230"/>
      <c r="W1777" s="230"/>
      <c r="X1777" s="230"/>
      <c r="Y1777" s="230"/>
      <c r="Z1777" s="230"/>
    </row>
    <row r="1778">
      <c r="O1778" s="230"/>
      <c r="S1778" s="230"/>
      <c r="T1778" s="230"/>
      <c r="U1778" s="230"/>
      <c r="V1778" s="230"/>
      <c r="W1778" s="230"/>
      <c r="X1778" s="230"/>
      <c r="Y1778" s="230"/>
      <c r="Z1778" s="230"/>
    </row>
    <row r="1779">
      <c r="O1779" s="230"/>
      <c r="S1779" s="230"/>
      <c r="T1779" s="230"/>
      <c r="U1779" s="230"/>
      <c r="V1779" s="230"/>
      <c r="W1779" s="230"/>
      <c r="X1779" s="230"/>
      <c r="Y1779" s="230"/>
      <c r="Z1779" s="230"/>
    </row>
    <row r="1780">
      <c r="O1780" s="230"/>
      <c r="S1780" s="230"/>
      <c r="T1780" s="230"/>
      <c r="U1780" s="230"/>
      <c r="V1780" s="230"/>
      <c r="W1780" s="230"/>
      <c r="X1780" s="230"/>
      <c r="Y1780" s="230"/>
      <c r="Z1780" s="230"/>
    </row>
    <row r="1781">
      <c r="O1781" s="230"/>
      <c r="S1781" s="230"/>
      <c r="T1781" s="230"/>
      <c r="U1781" s="230"/>
      <c r="V1781" s="230"/>
      <c r="W1781" s="230"/>
      <c r="X1781" s="230"/>
      <c r="Y1781" s="230"/>
      <c r="Z1781" s="230"/>
    </row>
    <row r="1782">
      <c r="O1782" s="230"/>
      <c r="S1782" s="230"/>
      <c r="T1782" s="230"/>
      <c r="U1782" s="230"/>
      <c r="V1782" s="230"/>
      <c r="W1782" s="230"/>
      <c r="X1782" s="230"/>
      <c r="Y1782" s="230"/>
      <c r="Z1782" s="230"/>
    </row>
    <row r="1783">
      <c r="O1783" s="230"/>
      <c r="S1783" s="230"/>
      <c r="T1783" s="230"/>
      <c r="U1783" s="230"/>
      <c r="V1783" s="230"/>
      <c r="W1783" s="230"/>
      <c r="X1783" s="230"/>
      <c r="Y1783" s="230"/>
      <c r="Z1783" s="230"/>
    </row>
    <row r="1784">
      <c r="O1784" s="230"/>
      <c r="S1784" s="230"/>
      <c r="T1784" s="230"/>
      <c r="U1784" s="230"/>
      <c r="V1784" s="230"/>
      <c r="W1784" s="230"/>
      <c r="X1784" s="230"/>
      <c r="Y1784" s="230"/>
      <c r="Z1784" s="230"/>
    </row>
    <row r="1785">
      <c r="O1785" s="230"/>
      <c r="S1785" s="230"/>
      <c r="T1785" s="230"/>
      <c r="U1785" s="230"/>
      <c r="V1785" s="230"/>
      <c r="W1785" s="230"/>
      <c r="X1785" s="230"/>
      <c r="Y1785" s="230"/>
      <c r="Z1785" s="230"/>
    </row>
    <row r="1786">
      <c r="O1786" s="230"/>
      <c r="S1786" s="230"/>
      <c r="T1786" s="230"/>
      <c r="U1786" s="230"/>
      <c r="V1786" s="230"/>
      <c r="W1786" s="230"/>
      <c r="X1786" s="230"/>
      <c r="Y1786" s="230"/>
      <c r="Z1786" s="230"/>
    </row>
    <row r="1787">
      <c r="O1787" s="230"/>
      <c r="S1787" s="230"/>
      <c r="T1787" s="230"/>
      <c r="U1787" s="230"/>
      <c r="V1787" s="230"/>
      <c r="W1787" s="230"/>
      <c r="X1787" s="230"/>
      <c r="Y1787" s="230"/>
      <c r="Z1787" s="230"/>
    </row>
    <row r="1788">
      <c r="O1788" s="230"/>
      <c r="S1788" s="230"/>
      <c r="T1788" s="230"/>
      <c r="U1788" s="230"/>
      <c r="V1788" s="230"/>
      <c r="W1788" s="230"/>
      <c r="X1788" s="230"/>
      <c r="Y1788" s="230"/>
      <c r="Z1788" s="230"/>
    </row>
    <row r="1789">
      <c r="O1789" s="230"/>
      <c r="S1789" s="230"/>
      <c r="T1789" s="230"/>
      <c r="U1789" s="230"/>
      <c r="V1789" s="230"/>
      <c r="W1789" s="230"/>
      <c r="X1789" s="230"/>
      <c r="Y1789" s="230"/>
      <c r="Z1789" s="230"/>
    </row>
    <row r="1790">
      <c r="O1790" s="230"/>
      <c r="S1790" s="230"/>
      <c r="T1790" s="230"/>
      <c r="U1790" s="230"/>
      <c r="V1790" s="230"/>
      <c r="W1790" s="230"/>
      <c r="X1790" s="230"/>
      <c r="Y1790" s="230"/>
      <c r="Z1790" s="230"/>
    </row>
    <row r="1791">
      <c r="O1791" s="230"/>
      <c r="S1791" s="230"/>
      <c r="T1791" s="230"/>
      <c r="U1791" s="230"/>
      <c r="V1791" s="230"/>
      <c r="W1791" s="230"/>
      <c r="X1791" s="230"/>
      <c r="Y1791" s="230"/>
      <c r="Z1791" s="230"/>
    </row>
    <row r="1792">
      <c r="O1792" s="230"/>
      <c r="S1792" s="230"/>
      <c r="T1792" s="230"/>
      <c r="U1792" s="230"/>
      <c r="V1792" s="230"/>
      <c r="W1792" s="230"/>
      <c r="X1792" s="230"/>
      <c r="Y1792" s="230"/>
      <c r="Z1792" s="230"/>
    </row>
    <row r="1793">
      <c r="O1793" s="230"/>
      <c r="S1793" s="230"/>
      <c r="T1793" s="230"/>
      <c r="U1793" s="230"/>
      <c r="V1793" s="230"/>
      <c r="W1793" s="230"/>
      <c r="X1793" s="230"/>
      <c r="Y1793" s="230"/>
      <c r="Z1793" s="230"/>
    </row>
    <row r="1794">
      <c r="O1794" s="230"/>
      <c r="S1794" s="230"/>
      <c r="T1794" s="230"/>
      <c r="U1794" s="230"/>
      <c r="V1794" s="230"/>
      <c r="W1794" s="230"/>
      <c r="X1794" s="230"/>
      <c r="Y1794" s="230"/>
      <c r="Z1794" s="230"/>
    </row>
    <row r="1795">
      <c r="O1795" s="230"/>
      <c r="S1795" s="230"/>
      <c r="T1795" s="230"/>
      <c r="U1795" s="230"/>
      <c r="V1795" s="230"/>
      <c r="W1795" s="230"/>
      <c r="X1795" s="230"/>
      <c r="Y1795" s="230"/>
      <c r="Z1795" s="230"/>
    </row>
    <row r="1796">
      <c r="O1796" s="230"/>
      <c r="S1796" s="230"/>
      <c r="T1796" s="230"/>
      <c r="U1796" s="230"/>
      <c r="V1796" s="230"/>
      <c r="W1796" s="230"/>
      <c r="X1796" s="230"/>
      <c r="Y1796" s="230"/>
      <c r="Z1796" s="230"/>
    </row>
    <row r="1797">
      <c r="O1797" s="230"/>
      <c r="S1797" s="230"/>
      <c r="T1797" s="230"/>
      <c r="U1797" s="230"/>
      <c r="V1797" s="230"/>
      <c r="W1797" s="230"/>
      <c r="X1797" s="230"/>
      <c r="Y1797" s="230"/>
      <c r="Z1797" s="230"/>
    </row>
    <row r="1798">
      <c r="O1798" s="230"/>
      <c r="S1798" s="230"/>
      <c r="T1798" s="230"/>
      <c r="U1798" s="230"/>
      <c r="V1798" s="230"/>
      <c r="W1798" s="230"/>
      <c r="X1798" s="230"/>
      <c r="Y1798" s="230"/>
      <c r="Z1798" s="230"/>
    </row>
    <row r="1799">
      <c r="O1799" s="230"/>
      <c r="S1799" s="230"/>
      <c r="T1799" s="230"/>
      <c r="U1799" s="230"/>
      <c r="V1799" s="230"/>
      <c r="W1799" s="230"/>
      <c r="X1799" s="230"/>
      <c r="Y1799" s="230"/>
      <c r="Z1799" s="230"/>
    </row>
    <row r="1800">
      <c r="O1800" s="230"/>
      <c r="S1800" s="230"/>
      <c r="T1800" s="230"/>
      <c r="U1800" s="230"/>
      <c r="V1800" s="230"/>
      <c r="W1800" s="230"/>
      <c r="X1800" s="230"/>
      <c r="Y1800" s="230"/>
      <c r="Z1800" s="230"/>
    </row>
    <row r="1801">
      <c r="O1801" s="230"/>
      <c r="S1801" s="230"/>
      <c r="T1801" s="230"/>
      <c r="U1801" s="230"/>
      <c r="V1801" s="230"/>
      <c r="W1801" s="230"/>
      <c r="X1801" s="230"/>
      <c r="Y1801" s="230"/>
      <c r="Z1801" s="230"/>
    </row>
    <row r="1802">
      <c r="O1802" s="230"/>
      <c r="S1802" s="230"/>
      <c r="T1802" s="230"/>
      <c r="U1802" s="230"/>
      <c r="V1802" s="230"/>
      <c r="W1802" s="230"/>
      <c r="X1802" s="230"/>
      <c r="Y1802" s="230"/>
      <c r="Z1802" s="230"/>
    </row>
    <row r="1803">
      <c r="O1803" s="230"/>
      <c r="S1803" s="230"/>
      <c r="T1803" s="230"/>
      <c r="U1803" s="230"/>
      <c r="V1803" s="230"/>
      <c r="W1803" s="230"/>
      <c r="X1803" s="230"/>
      <c r="Y1803" s="230"/>
      <c r="Z1803" s="230"/>
    </row>
    <row r="1804">
      <c r="O1804" s="230"/>
      <c r="S1804" s="230"/>
      <c r="T1804" s="230"/>
      <c r="U1804" s="230"/>
      <c r="V1804" s="230"/>
      <c r="W1804" s="230"/>
      <c r="X1804" s="230"/>
      <c r="Y1804" s="230"/>
      <c r="Z1804" s="230"/>
    </row>
    <row r="1805">
      <c r="O1805" s="230"/>
      <c r="S1805" s="230"/>
      <c r="T1805" s="230"/>
      <c r="U1805" s="230"/>
      <c r="V1805" s="230"/>
      <c r="W1805" s="230"/>
      <c r="X1805" s="230"/>
      <c r="Y1805" s="230"/>
      <c r="Z1805" s="230"/>
    </row>
    <row r="1806">
      <c r="O1806" s="230"/>
      <c r="S1806" s="230"/>
      <c r="T1806" s="230"/>
      <c r="U1806" s="230"/>
      <c r="V1806" s="230"/>
      <c r="W1806" s="230"/>
      <c r="X1806" s="230"/>
      <c r="Y1806" s="230"/>
      <c r="Z1806" s="230"/>
    </row>
    <row r="1807">
      <c r="O1807" s="230"/>
      <c r="S1807" s="230"/>
      <c r="T1807" s="230"/>
      <c r="U1807" s="230"/>
      <c r="V1807" s="230"/>
      <c r="W1807" s="230"/>
      <c r="X1807" s="230"/>
      <c r="Y1807" s="230"/>
      <c r="Z1807" s="230"/>
    </row>
    <row r="1808">
      <c r="O1808" s="230"/>
      <c r="S1808" s="230"/>
      <c r="T1808" s="230"/>
      <c r="U1808" s="230"/>
      <c r="V1808" s="230"/>
      <c r="W1808" s="230"/>
      <c r="X1808" s="230"/>
      <c r="Y1808" s="230"/>
      <c r="Z1808" s="230"/>
    </row>
    <row r="1809">
      <c r="O1809" s="230"/>
      <c r="S1809" s="230"/>
      <c r="T1809" s="230"/>
      <c r="U1809" s="230"/>
      <c r="V1809" s="230"/>
      <c r="W1809" s="230"/>
      <c r="X1809" s="230"/>
      <c r="Y1809" s="230"/>
      <c r="Z1809" s="230"/>
    </row>
    <row r="1810">
      <c r="O1810" s="230"/>
      <c r="S1810" s="230"/>
      <c r="T1810" s="230"/>
      <c r="U1810" s="230"/>
      <c r="V1810" s="230"/>
      <c r="W1810" s="230"/>
      <c r="X1810" s="230"/>
      <c r="Y1810" s="230"/>
      <c r="Z1810" s="230"/>
    </row>
    <row r="1811">
      <c r="O1811" s="230"/>
      <c r="S1811" s="230"/>
      <c r="T1811" s="230"/>
      <c r="U1811" s="230"/>
      <c r="V1811" s="230"/>
      <c r="W1811" s="230"/>
      <c r="X1811" s="230"/>
      <c r="Y1811" s="230"/>
      <c r="Z1811" s="230"/>
    </row>
    <row r="1812">
      <c r="O1812" s="230"/>
      <c r="S1812" s="230"/>
      <c r="T1812" s="230"/>
      <c r="U1812" s="230"/>
      <c r="V1812" s="230"/>
      <c r="W1812" s="230"/>
      <c r="X1812" s="230"/>
      <c r="Y1812" s="230"/>
      <c r="Z1812" s="230"/>
    </row>
    <row r="1813">
      <c r="O1813" s="230"/>
      <c r="S1813" s="230"/>
      <c r="T1813" s="230"/>
      <c r="U1813" s="230"/>
      <c r="V1813" s="230"/>
      <c r="W1813" s="230"/>
      <c r="X1813" s="230"/>
      <c r="Y1813" s="230"/>
      <c r="Z1813" s="230"/>
    </row>
    <row r="1814">
      <c r="O1814" s="230"/>
      <c r="S1814" s="230"/>
      <c r="T1814" s="230"/>
      <c r="U1814" s="230"/>
      <c r="V1814" s="230"/>
      <c r="W1814" s="230"/>
      <c r="X1814" s="230"/>
      <c r="Y1814" s="230"/>
      <c r="Z1814" s="230"/>
    </row>
    <row r="1815">
      <c r="O1815" s="230"/>
      <c r="S1815" s="230"/>
      <c r="T1815" s="230"/>
      <c r="U1815" s="230"/>
      <c r="V1815" s="230"/>
      <c r="W1815" s="230"/>
      <c r="X1815" s="230"/>
      <c r="Y1815" s="230"/>
      <c r="Z1815" s="230"/>
    </row>
    <row r="1816">
      <c r="O1816" s="230"/>
      <c r="S1816" s="230"/>
      <c r="T1816" s="230"/>
      <c r="U1816" s="230"/>
      <c r="V1816" s="230"/>
      <c r="W1816" s="230"/>
      <c r="X1816" s="230"/>
      <c r="Y1816" s="230"/>
      <c r="Z1816" s="230"/>
    </row>
    <row r="1817">
      <c r="O1817" s="230"/>
      <c r="S1817" s="230"/>
      <c r="T1817" s="230"/>
      <c r="U1817" s="230"/>
      <c r="V1817" s="230"/>
      <c r="W1817" s="230"/>
      <c r="X1817" s="230"/>
      <c r="Y1817" s="230"/>
      <c r="Z1817" s="230"/>
    </row>
    <row r="1818">
      <c r="O1818" s="230"/>
      <c r="S1818" s="230"/>
      <c r="T1818" s="230"/>
      <c r="U1818" s="230"/>
      <c r="V1818" s="230"/>
      <c r="W1818" s="230"/>
      <c r="X1818" s="230"/>
      <c r="Y1818" s="230"/>
      <c r="Z1818" s="230"/>
    </row>
    <row r="1819">
      <c r="O1819" s="230"/>
      <c r="S1819" s="230"/>
      <c r="T1819" s="230"/>
      <c r="U1819" s="230"/>
      <c r="V1819" s="230"/>
      <c r="W1819" s="230"/>
      <c r="X1819" s="230"/>
      <c r="Y1819" s="230"/>
      <c r="Z1819" s="230"/>
    </row>
    <row r="1820">
      <c r="O1820" s="230"/>
      <c r="S1820" s="230"/>
      <c r="T1820" s="230"/>
      <c r="U1820" s="230"/>
      <c r="V1820" s="230"/>
      <c r="W1820" s="230"/>
      <c r="X1820" s="230"/>
      <c r="Y1820" s="230"/>
      <c r="Z1820" s="230"/>
    </row>
    <row r="1821">
      <c r="O1821" s="230"/>
      <c r="S1821" s="230"/>
      <c r="T1821" s="230"/>
      <c r="U1821" s="230"/>
      <c r="V1821" s="230"/>
      <c r="W1821" s="230"/>
      <c r="X1821" s="230"/>
      <c r="Y1821" s="230"/>
      <c r="Z1821" s="230"/>
    </row>
    <row r="1822">
      <c r="O1822" s="230"/>
      <c r="S1822" s="230"/>
      <c r="T1822" s="230"/>
      <c r="U1822" s="230"/>
      <c r="V1822" s="230"/>
      <c r="W1822" s="230"/>
      <c r="X1822" s="230"/>
      <c r="Y1822" s="230"/>
      <c r="Z1822" s="230"/>
    </row>
    <row r="1823">
      <c r="O1823" s="230"/>
      <c r="S1823" s="230"/>
      <c r="T1823" s="230"/>
      <c r="U1823" s="230"/>
      <c r="V1823" s="230"/>
      <c r="W1823" s="230"/>
      <c r="X1823" s="230"/>
      <c r="Y1823" s="230"/>
      <c r="Z1823" s="230"/>
    </row>
    <row r="1824">
      <c r="O1824" s="230"/>
      <c r="S1824" s="230"/>
      <c r="T1824" s="230"/>
      <c r="U1824" s="230"/>
      <c r="V1824" s="230"/>
      <c r="W1824" s="230"/>
      <c r="X1824" s="230"/>
      <c r="Y1824" s="230"/>
      <c r="Z1824" s="230"/>
    </row>
    <row r="1825">
      <c r="O1825" s="230"/>
      <c r="S1825" s="230"/>
      <c r="T1825" s="230"/>
      <c r="U1825" s="230"/>
      <c r="V1825" s="230"/>
      <c r="W1825" s="230"/>
      <c r="X1825" s="230"/>
      <c r="Y1825" s="230"/>
      <c r="Z1825" s="230"/>
    </row>
    <row r="1826">
      <c r="O1826" s="230"/>
      <c r="S1826" s="230"/>
      <c r="T1826" s="230"/>
      <c r="U1826" s="230"/>
      <c r="V1826" s="230"/>
      <c r="W1826" s="230"/>
      <c r="X1826" s="230"/>
      <c r="Y1826" s="230"/>
      <c r="Z1826" s="230"/>
    </row>
    <row r="1827">
      <c r="O1827" s="230"/>
      <c r="S1827" s="230"/>
      <c r="T1827" s="230"/>
      <c r="U1827" s="230"/>
      <c r="V1827" s="230"/>
      <c r="W1827" s="230"/>
      <c r="X1827" s="230"/>
      <c r="Y1827" s="230"/>
      <c r="Z1827" s="230"/>
    </row>
    <row r="1828">
      <c r="O1828" s="230"/>
      <c r="S1828" s="230"/>
      <c r="T1828" s="230"/>
      <c r="U1828" s="230"/>
      <c r="V1828" s="230"/>
      <c r="W1828" s="230"/>
      <c r="X1828" s="230"/>
      <c r="Y1828" s="230"/>
      <c r="Z1828" s="230"/>
    </row>
    <row r="1829">
      <c r="O1829" s="230"/>
      <c r="S1829" s="230"/>
      <c r="T1829" s="230"/>
      <c r="U1829" s="230"/>
      <c r="V1829" s="230"/>
      <c r="W1829" s="230"/>
      <c r="X1829" s="230"/>
      <c r="Y1829" s="230"/>
      <c r="Z1829" s="230"/>
    </row>
    <row r="1830">
      <c r="O1830" s="230"/>
      <c r="S1830" s="230"/>
      <c r="T1830" s="230"/>
      <c r="U1830" s="230"/>
      <c r="V1830" s="230"/>
      <c r="W1830" s="230"/>
      <c r="X1830" s="230"/>
      <c r="Y1830" s="230"/>
      <c r="Z1830" s="230"/>
    </row>
    <row r="1831">
      <c r="O1831" s="230"/>
      <c r="S1831" s="230"/>
      <c r="T1831" s="230"/>
      <c r="U1831" s="230"/>
      <c r="V1831" s="230"/>
      <c r="W1831" s="230"/>
      <c r="X1831" s="230"/>
      <c r="Y1831" s="230"/>
      <c r="Z1831" s="230"/>
    </row>
    <row r="1832">
      <c r="O1832" s="230"/>
      <c r="S1832" s="230"/>
      <c r="T1832" s="230"/>
      <c r="U1832" s="230"/>
      <c r="V1832" s="230"/>
      <c r="W1832" s="230"/>
      <c r="X1832" s="230"/>
      <c r="Y1832" s="230"/>
      <c r="Z1832" s="230"/>
    </row>
    <row r="1833">
      <c r="O1833" s="230"/>
      <c r="S1833" s="230"/>
      <c r="T1833" s="230"/>
      <c r="U1833" s="230"/>
      <c r="V1833" s="230"/>
      <c r="W1833" s="230"/>
      <c r="X1833" s="230"/>
      <c r="Y1833" s="230"/>
      <c r="Z1833" s="230"/>
    </row>
    <row r="1834">
      <c r="O1834" s="230"/>
      <c r="S1834" s="230"/>
      <c r="T1834" s="230"/>
      <c r="U1834" s="230"/>
      <c r="V1834" s="230"/>
      <c r="W1834" s="230"/>
      <c r="X1834" s="230"/>
      <c r="Y1834" s="230"/>
      <c r="Z1834" s="230"/>
    </row>
    <row r="1835">
      <c r="O1835" s="230"/>
      <c r="S1835" s="230"/>
      <c r="T1835" s="230"/>
      <c r="U1835" s="230"/>
      <c r="V1835" s="230"/>
      <c r="W1835" s="230"/>
      <c r="X1835" s="230"/>
      <c r="Y1835" s="230"/>
      <c r="Z1835" s="230"/>
    </row>
    <row r="1836">
      <c r="O1836" s="230"/>
      <c r="S1836" s="230"/>
      <c r="T1836" s="230"/>
      <c r="U1836" s="230"/>
      <c r="V1836" s="230"/>
      <c r="W1836" s="230"/>
      <c r="X1836" s="230"/>
      <c r="Y1836" s="230"/>
      <c r="Z1836" s="230"/>
    </row>
    <row r="1837">
      <c r="O1837" s="230"/>
      <c r="S1837" s="230"/>
      <c r="T1837" s="230"/>
      <c r="U1837" s="230"/>
      <c r="V1837" s="230"/>
      <c r="W1837" s="230"/>
      <c r="X1837" s="230"/>
      <c r="Y1837" s="230"/>
      <c r="Z1837" s="230"/>
    </row>
    <row r="1838">
      <c r="O1838" s="230"/>
      <c r="S1838" s="230"/>
      <c r="T1838" s="230"/>
      <c r="U1838" s="230"/>
      <c r="V1838" s="230"/>
      <c r="W1838" s="230"/>
      <c r="X1838" s="230"/>
      <c r="Y1838" s="230"/>
      <c r="Z1838" s="230"/>
    </row>
    <row r="1839">
      <c r="O1839" s="230"/>
      <c r="S1839" s="230"/>
      <c r="T1839" s="230"/>
      <c r="U1839" s="230"/>
      <c r="V1839" s="230"/>
      <c r="W1839" s="230"/>
      <c r="X1839" s="230"/>
      <c r="Y1839" s="230"/>
      <c r="Z1839" s="230"/>
    </row>
    <row r="1840">
      <c r="O1840" s="230"/>
      <c r="S1840" s="230"/>
      <c r="T1840" s="230"/>
      <c r="U1840" s="230"/>
      <c r="V1840" s="230"/>
      <c r="W1840" s="230"/>
      <c r="X1840" s="230"/>
      <c r="Y1840" s="230"/>
      <c r="Z1840" s="230"/>
    </row>
    <row r="1841">
      <c r="O1841" s="230"/>
      <c r="S1841" s="230"/>
      <c r="T1841" s="230"/>
      <c r="U1841" s="230"/>
      <c r="V1841" s="230"/>
      <c r="W1841" s="230"/>
      <c r="X1841" s="230"/>
      <c r="Y1841" s="230"/>
      <c r="Z1841" s="230"/>
    </row>
    <row r="1842">
      <c r="O1842" s="230"/>
      <c r="S1842" s="230"/>
      <c r="T1842" s="230"/>
      <c r="U1842" s="230"/>
      <c r="V1842" s="230"/>
      <c r="W1842" s="230"/>
      <c r="X1842" s="230"/>
      <c r="Y1842" s="230"/>
      <c r="Z1842" s="230"/>
    </row>
    <row r="1843">
      <c r="O1843" s="230"/>
      <c r="S1843" s="230"/>
      <c r="T1843" s="230"/>
      <c r="U1843" s="230"/>
      <c r="V1843" s="230"/>
      <c r="W1843" s="230"/>
      <c r="X1843" s="230"/>
      <c r="Y1843" s="230"/>
      <c r="Z1843" s="230"/>
    </row>
    <row r="1844">
      <c r="O1844" s="230"/>
      <c r="S1844" s="230"/>
      <c r="T1844" s="230"/>
      <c r="U1844" s="230"/>
      <c r="V1844" s="230"/>
      <c r="W1844" s="230"/>
      <c r="X1844" s="230"/>
      <c r="Y1844" s="230"/>
      <c r="Z1844" s="230"/>
    </row>
    <row r="1845">
      <c r="O1845" s="230"/>
      <c r="S1845" s="230"/>
      <c r="T1845" s="230"/>
      <c r="U1845" s="230"/>
      <c r="V1845" s="230"/>
      <c r="W1845" s="230"/>
      <c r="X1845" s="230"/>
      <c r="Y1845" s="230"/>
      <c r="Z1845" s="230"/>
    </row>
    <row r="1846">
      <c r="O1846" s="230"/>
      <c r="S1846" s="230"/>
      <c r="T1846" s="230"/>
      <c r="U1846" s="230"/>
      <c r="V1846" s="230"/>
      <c r="W1846" s="230"/>
      <c r="X1846" s="230"/>
      <c r="Y1846" s="230"/>
      <c r="Z1846" s="230"/>
    </row>
    <row r="1847">
      <c r="O1847" s="230"/>
      <c r="S1847" s="230"/>
      <c r="T1847" s="230"/>
      <c r="U1847" s="230"/>
      <c r="V1847" s="230"/>
      <c r="W1847" s="230"/>
      <c r="X1847" s="230"/>
      <c r="Y1847" s="230"/>
      <c r="Z1847" s="230"/>
    </row>
    <row r="1848">
      <c r="O1848" s="230"/>
      <c r="S1848" s="230"/>
      <c r="T1848" s="230"/>
      <c r="U1848" s="230"/>
      <c r="V1848" s="230"/>
      <c r="W1848" s="230"/>
      <c r="X1848" s="230"/>
      <c r="Y1848" s="230"/>
      <c r="Z1848" s="230"/>
    </row>
    <row r="1849">
      <c r="O1849" s="230"/>
      <c r="S1849" s="230"/>
      <c r="T1849" s="230"/>
      <c r="U1849" s="230"/>
      <c r="V1849" s="230"/>
      <c r="W1849" s="230"/>
      <c r="X1849" s="230"/>
      <c r="Y1849" s="230"/>
      <c r="Z1849" s="230"/>
    </row>
    <row r="1850">
      <c r="O1850" s="230"/>
      <c r="S1850" s="230"/>
      <c r="T1850" s="230"/>
      <c r="U1850" s="230"/>
      <c r="V1850" s="230"/>
      <c r="W1850" s="230"/>
      <c r="X1850" s="230"/>
      <c r="Y1850" s="230"/>
      <c r="Z1850" s="230"/>
    </row>
    <row r="1851">
      <c r="O1851" s="230"/>
      <c r="S1851" s="230"/>
      <c r="T1851" s="230"/>
      <c r="U1851" s="230"/>
      <c r="V1851" s="230"/>
      <c r="W1851" s="230"/>
      <c r="X1851" s="230"/>
      <c r="Y1851" s="230"/>
      <c r="Z1851" s="230"/>
    </row>
    <row r="1852">
      <c r="O1852" s="230"/>
      <c r="S1852" s="230"/>
      <c r="T1852" s="230"/>
      <c r="U1852" s="230"/>
      <c r="V1852" s="230"/>
      <c r="W1852" s="230"/>
      <c r="X1852" s="230"/>
      <c r="Y1852" s="230"/>
      <c r="Z1852" s="230"/>
    </row>
    <row r="1853">
      <c r="O1853" s="230"/>
      <c r="S1853" s="230"/>
      <c r="T1853" s="230"/>
      <c r="U1853" s="230"/>
      <c r="V1853" s="230"/>
      <c r="W1853" s="230"/>
      <c r="X1853" s="230"/>
      <c r="Y1853" s="230"/>
      <c r="Z1853" s="230"/>
    </row>
    <row r="1854">
      <c r="O1854" s="230"/>
      <c r="S1854" s="230"/>
      <c r="T1854" s="230"/>
      <c r="U1854" s="230"/>
      <c r="V1854" s="230"/>
      <c r="W1854" s="230"/>
      <c r="X1854" s="230"/>
      <c r="Y1854" s="230"/>
      <c r="Z1854" s="230"/>
    </row>
    <row r="1855">
      <c r="O1855" s="230"/>
      <c r="S1855" s="230"/>
      <c r="T1855" s="230"/>
      <c r="U1855" s="230"/>
      <c r="V1855" s="230"/>
      <c r="W1855" s="230"/>
      <c r="X1855" s="230"/>
      <c r="Y1855" s="230"/>
      <c r="Z1855" s="230"/>
    </row>
    <row r="1856">
      <c r="O1856" s="230"/>
      <c r="S1856" s="230"/>
      <c r="T1856" s="230"/>
      <c r="U1856" s="230"/>
      <c r="V1856" s="230"/>
      <c r="W1856" s="230"/>
      <c r="X1856" s="230"/>
      <c r="Y1856" s="230"/>
      <c r="Z1856" s="230"/>
    </row>
    <row r="1857">
      <c r="O1857" s="230"/>
      <c r="S1857" s="230"/>
      <c r="T1857" s="230"/>
      <c r="U1857" s="230"/>
      <c r="V1857" s="230"/>
      <c r="W1857" s="230"/>
      <c r="X1857" s="230"/>
      <c r="Y1857" s="230"/>
      <c r="Z1857" s="230"/>
    </row>
    <row r="1858">
      <c r="O1858" s="230"/>
      <c r="S1858" s="230"/>
      <c r="T1858" s="230"/>
      <c r="U1858" s="230"/>
      <c r="V1858" s="230"/>
      <c r="W1858" s="230"/>
      <c r="X1858" s="230"/>
      <c r="Y1858" s="230"/>
      <c r="Z1858" s="230"/>
    </row>
    <row r="1859">
      <c r="O1859" s="230"/>
      <c r="S1859" s="230"/>
      <c r="T1859" s="230"/>
      <c r="U1859" s="230"/>
      <c r="V1859" s="230"/>
      <c r="W1859" s="230"/>
      <c r="X1859" s="230"/>
      <c r="Y1859" s="230"/>
      <c r="Z1859" s="230"/>
    </row>
    <row r="1860">
      <c r="O1860" s="230"/>
      <c r="S1860" s="230"/>
      <c r="T1860" s="230"/>
      <c r="U1860" s="230"/>
      <c r="V1860" s="230"/>
      <c r="W1860" s="230"/>
      <c r="X1860" s="230"/>
      <c r="Y1860" s="230"/>
      <c r="Z1860" s="230"/>
    </row>
    <row r="1861">
      <c r="O1861" s="230"/>
      <c r="S1861" s="230"/>
      <c r="T1861" s="230"/>
      <c r="U1861" s="230"/>
      <c r="V1861" s="230"/>
      <c r="W1861" s="230"/>
      <c r="X1861" s="230"/>
      <c r="Y1861" s="230"/>
      <c r="Z1861" s="230"/>
    </row>
    <row r="1862">
      <c r="O1862" s="230"/>
      <c r="S1862" s="230"/>
      <c r="T1862" s="230"/>
      <c r="U1862" s="230"/>
      <c r="V1862" s="230"/>
      <c r="W1862" s="230"/>
      <c r="X1862" s="230"/>
      <c r="Y1862" s="230"/>
      <c r="Z1862" s="230"/>
    </row>
    <row r="1863">
      <c r="O1863" s="230"/>
      <c r="S1863" s="230"/>
      <c r="T1863" s="230"/>
      <c r="U1863" s="230"/>
      <c r="V1863" s="230"/>
      <c r="W1863" s="230"/>
      <c r="X1863" s="230"/>
      <c r="Y1863" s="230"/>
      <c r="Z1863" s="230"/>
    </row>
    <row r="1864">
      <c r="O1864" s="230"/>
      <c r="S1864" s="230"/>
      <c r="T1864" s="230"/>
      <c r="U1864" s="230"/>
      <c r="V1864" s="230"/>
      <c r="W1864" s="230"/>
      <c r="X1864" s="230"/>
      <c r="Y1864" s="230"/>
      <c r="Z1864" s="230"/>
    </row>
    <row r="1865">
      <c r="O1865" s="230"/>
      <c r="S1865" s="230"/>
      <c r="T1865" s="230"/>
      <c r="U1865" s="230"/>
      <c r="V1865" s="230"/>
      <c r="W1865" s="230"/>
      <c r="X1865" s="230"/>
      <c r="Y1865" s="230"/>
      <c r="Z1865" s="230"/>
    </row>
    <row r="1866">
      <c r="O1866" s="230"/>
      <c r="S1866" s="230"/>
      <c r="T1866" s="230"/>
      <c r="U1866" s="230"/>
      <c r="V1866" s="230"/>
      <c r="W1866" s="230"/>
      <c r="X1866" s="230"/>
      <c r="Y1866" s="230"/>
      <c r="Z1866" s="230"/>
    </row>
    <row r="1867">
      <c r="O1867" s="230"/>
      <c r="S1867" s="230"/>
      <c r="T1867" s="230"/>
      <c r="U1867" s="230"/>
      <c r="V1867" s="230"/>
      <c r="W1867" s="230"/>
      <c r="X1867" s="230"/>
      <c r="Y1867" s="230"/>
      <c r="Z1867" s="230"/>
    </row>
    <row r="1868">
      <c r="O1868" s="230"/>
      <c r="S1868" s="230"/>
      <c r="T1868" s="230"/>
      <c r="U1868" s="230"/>
      <c r="V1868" s="230"/>
      <c r="W1868" s="230"/>
      <c r="X1868" s="230"/>
      <c r="Y1868" s="230"/>
      <c r="Z1868" s="230"/>
    </row>
    <row r="1869">
      <c r="O1869" s="230"/>
      <c r="S1869" s="230"/>
      <c r="T1869" s="230"/>
      <c r="U1869" s="230"/>
      <c r="V1869" s="230"/>
      <c r="W1869" s="230"/>
      <c r="X1869" s="230"/>
      <c r="Y1869" s="230"/>
      <c r="Z1869" s="230"/>
    </row>
    <row r="1870">
      <c r="O1870" s="230"/>
      <c r="S1870" s="230"/>
      <c r="T1870" s="230"/>
      <c r="U1870" s="230"/>
      <c r="V1870" s="230"/>
      <c r="W1870" s="230"/>
      <c r="X1870" s="230"/>
      <c r="Y1870" s="230"/>
      <c r="Z1870" s="230"/>
    </row>
    <row r="1871">
      <c r="O1871" s="230"/>
      <c r="S1871" s="230"/>
      <c r="T1871" s="230"/>
      <c r="U1871" s="230"/>
      <c r="V1871" s="230"/>
      <c r="W1871" s="230"/>
      <c r="X1871" s="230"/>
      <c r="Y1871" s="230"/>
      <c r="Z1871" s="230"/>
    </row>
    <row r="1872">
      <c r="O1872" s="230"/>
      <c r="S1872" s="230"/>
      <c r="T1872" s="230"/>
      <c r="U1872" s="230"/>
      <c r="V1872" s="230"/>
      <c r="W1872" s="230"/>
      <c r="X1872" s="230"/>
      <c r="Y1872" s="230"/>
      <c r="Z1872" s="230"/>
    </row>
    <row r="1873">
      <c r="O1873" s="230"/>
      <c r="S1873" s="230"/>
      <c r="T1873" s="230"/>
      <c r="U1873" s="230"/>
      <c r="V1873" s="230"/>
      <c r="W1873" s="230"/>
      <c r="X1873" s="230"/>
      <c r="Y1873" s="230"/>
      <c r="Z1873" s="230"/>
    </row>
    <row r="1874">
      <c r="O1874" s="230"/>
      <c r="S1874" s="230"/>
      <c r="T1874" s="230"/>
      <c r="U1874" s="230"/>
      <c r="V1874" s="230"/>
      <c r="W1874" s="230"/>
      <c r="X1874" s="230"/>
      <c r="Y1874" s="230"/>
      <c r="Z1874" s="230"/>
    </row>
    <row r="1875">
      <c r="O1875" s="230"/>
      <c r="S1875" s="230"/>
      <c r="T1875" s="230"/>
      <c r="U1875" s="230"/>
      <c r="V1875" s="230"/>
      <c r="W1875" s="230"/>
      <c r="X1875" s="230"/>
      <c r="Y1875" s="230"/>
      <c r="Z1875" s="230"/>
    </row>
    <row r="1876">
      <c r="O1876" s="230"/>
      <c r="S1876" s="230"/>
      <c r="T1876" s="230"/>
      <c r="U1876" s="230"/>
      <c r="V1876" s="230"/>
      <c r="W1876" s="230"/>
      <c r="X1876" s="230"/>
      <c r="Y1876" s="230"/>
      <c r="Z1876" s="230"/>
    </row>
    <row r="1877">
      <c r="O1877" s="230"/>
      <c r="S1877" s="230"/>
      <c r="T1877" s="230"/>
      <c r="U1877" s="230"/>
      <c r="V1877" s="230"/>
      <c r="W1877" s="230"/>
      <c r="X1877" s="230"/>
      <c r="Y1877" s="230"/>
      <c r="Z1877" s="230"/>
    </row>
    <row r="1878">
      <c r="O1878" s="230"/>
      <c r="S1878" s="230"/>
      <c r="T1878" s="230"/>
      <c r="U1878" s="230"/>
      <c r="V1878" s="230"/>
      <c r="W1878" s="230"/>
      <c r="X1878" s="230"/>
      <c r="Y1878" s="230"/>
      <c r="Z1878" s="230"/>
    </row>
    <row r="1879">
      <c r="O1879" s="230"/>
      <c r="S1879" s="230"/>
      <c r="T1879" s="230"/>
      <c r="U1879" s="230"/>
      <c r="V1879" s="230"/>
      <c r="W1879" s="230"/>
      <c r="X1879" s="230"/>
      <c r="Y1879" s="230"/>
      <c r="Z1879" s="230"/>
    </row>
    <row r="1880">
      <c r="O1880" s="230"/>
      <c r="S1880" s="230"/>
      <c r="T1880" s="230"/>
      <c r="U1880" s="230"/>
      <c r="V1880" s="230"/>
      <c r="W1880" s="230"/>
      <c r="X1880" s="230"/>
      <c r="Y1880" s="230"/>
      <c r="Z1880" s="230"/>
    </row>
    <row r="1881">
      <c r="O1881" s="230"/>
      <c r="S1881" s="230"/>
      <c r="T1881" s="230"/>
      <c r="U1881" s="230"/>
      <c r="V1881" s="230"/>
      <c r="W1881" s="230"/>
      <c r="X1881" s="230"/>
      <c r="Y1881" s="230"/>
      <c r="Z1881" s="230"/>
    </row>
    <row r="1882">
      <c r="O1882" s="230"/>
      <c r="S1882" s="230"/>
      <c r="T1882" s="230"/>
      <c r="U1882" s="230"/>
      <c r="V1882" s="230"/>
      <c r="W1882" s="230"/>
      <c r="X1882" s="230"/>
      <c r="Y1882" s="230"/>
      <c r="Z1882" s="230"/>
    </row>
    <row r="1883">
      <c r="O1883" s="230"/>
      <c r="S1883" s="230"/>
      <c r="T1883" s="230"/>
      <c r="U1883" s="230"/>
      <c r="V1883" s="230"/>
      <c r="W1883" s="230"/>
      <c r="X1883" s="230"/>
      <c r="Y1883" s="230"/>
      <c r="Z1883" s="230"/>
    </row>
    <row r="1884">
      <c r="O1884" s="230"/>
      <c r="S1884" s="230"/>
      <c r="T1884" s="230"/>
      <c r="U1884" s="230"/>
      <c r="V1884" s="230"/>
      <c r="W1884" s="230"/>
      <c r="X1884" s="230"/>
      <c r="Y1884" s="230"/>
      <c r="Z1884" s="230"/>
    </row>
    <row r="1885">
      <c r="O1885" s="230"/>
      <c r="S1885" s="230"/>
      <c r="T1885" s="230"/>
      <c r="U1885" s="230"/>
      <c r="V1885" s="230"/>
      <c r="W1885" s="230"/>
      <c r="X1885" s="230"/>
      <c r="Y1885" s="230"/>
      <c r="Z1885" s="230"/>
    </row>
    <row r="1886">
      <c r="O1886" s="230"/>
      <c r="S1886" s="230"/>
      <c r="T1886" s="230"/>
      <c r="U1886" s="230"/>
      <c r="V1886" s="230"/>
      <c r="W1886" s="230"/>
      <c r="X1886" s="230"/>
      <c r="Y1886" s="230"/>
      <c r="Z1886" s="230"/>
    </row>
    <row r="1887">
      <c r="O1887" s="230"/>
      <c r="S1887" s="230"/>
      <c r="T1887" s="230"/>
      <c r="U1887" s="230"/>
      <c r="V1887" s="230"/>
      <c r="W1887" s="230"/>
      <c r="X1887" s="230"/>
      <c r="Y1887" s="230"/>
      <c r="Z1887" s="230"/>
    </row>
    <row r="1888">
      <c r="O1888" s="230"/>
      <c r="S1888" s="230"/>
      <c r="T1888" s="230"/>
      <c r="U1888" s="230"/>
      <c r="V1888" s="230"/>
      <c r="W1888" s="230"/>
      <c r="X1888" s="230"/>
      <c r="Y1888" s="230"/>
      <c r="Z1888" s="230"/>
    </row>
    <row r="1889">
      <c r="O1889" s="230"/>
      <c r="S1889" s="230"/>
      <c r="T1889" s="230"/>
      <c r="U1889" s="230"/>
      <c r="V1889" s="230"/>
      <c r="W1889" s="230"/>
      <c r="X1889" s="230"/>
      <c r="Y1889" s="230"/>
      <c r="Z1889" s="230"/>
    </row>
    <row r="1890">
      <c r="O1890" s="230"/>
      <c r="S1890" s="230"/>
      <c r="T1890" s="230"/>
      <c r="U1890" s="230"/>
      <c r="V1890" s="230"/>
      <c r="W1890" s="230"/>
      <c r="X1890" s="230"/>
      <c r="Y1890" s="230"/>
      <c r="Z1890" s="230"/>
    </row>
    <row r="1891">
      <c r="O1891" s="230"/>
      <c r="S1891" s="230"/>
      <c r="T1891" s="230"/>
      <c r="U1891" s="230"/>
      <c r="V1891" s="230"/>
      <c r="W1891" s="230"/>
      <c r="X1891" s="230"/>
      <c r="Y1891" s="230"/>
      <c r="Z1891" s="230"/>
    </row>
    <row r="1892">
      <c r="O1892" s="230"/>
      <c r="S1892" s="230"/>
      <c r="T1892" s="230"/>
      <c r="U1892" s="230"/>
      <c r="V1892" s="230"/>
      <c r="W1892" s="230"/>
      <c r="X1892" s="230"/>
      <c r="Y1892" s="230"/>
      <c r="Z1892" s="230"/>
    </row>
    <row r="1893">
      <c r="O1893" s="230"/>
      <c r="S1893" s="230"/>
      <c r="T1893" s="230"/>
      <c r="U1893" s="230"/>
      <c r="V1893" s="230"/>
      <c r="W1893" s="230"/>
      <c r="X1893" s="230"/>
      <c r="Y1893" s="230"/>
      <c r="Z1893" s="230"/>
    </row>
    <row r="1894">
      <c r="O1894" s="230"/>
      <c r="S1894" s="230"/>
      <c r="T1894" s="230"/>
      <c r="U1894" s="230"/>
      <c r="V1894" s="230"/>
      <c r="W1894" s="230"/>
      <c r="X1894" s="230"/>
      <c r="Y1894" s="230"/>
      <c r="Z1894" s="230"/>
    </row>
    <row r="1895">
      <c r="O1895" s="230"/>
      <c r="S1895" s="230"/>
      <c r="T1895" s="230"/>
      <c r="U1895" s="230"/>
      <c r="V1895" s="230"/>
      <c r="W1895" s="230"/>
      <c r="X1895" s="230"/>
      <c r="Y1895" s="230"/>
      <c r="Z1895" s="230"/>
    </row>
    <row r="1896">
      <c r="O1896" s="230"/>
      <c r="S1896" s="230"/>
      <c r="T1896" s="230"/>
      <c r="U1896" s="230"/>
      <c r="V1896" s="230"/>
      <c r="W1896" s="230"/>
      <c r="X1896" s="230"/>
      <c r="Y1896" s="230"/>
      <c r="Z1896" s="230"/>
    </row>
    <row r="1897">
      <c r="O1897" s="230"/>
      <c r="S1897" s="230"/>
      <c r="T1897" s="230"/>
      <c r="U1897" s="230"/>
      <c r="V1897" s="230"/>
      <c r="W1897" s="230"/>
      <c r="X1897" s="230"/>
      <c r="Y1897" s="230"/>
      <c r="Z1897" s="230"/>
    </row>
    <row r="1898">
      <c r="O1898" s="230"/>
      <c r="S1898" s="230"/>
      <c r="T1898" s="230"/>
      <c r="U1898" s="230"/>
      <c r="V1898" s="230"/>
      <c r="W1898" s="230"/>
      <c r="X1898" s="230"/>
      <c r="Y1898" s="230"/>
      <c r="Z1898" s="230"/>
    </row>
    <row r="1899">
      <c r="O1899" s="230"/>
      <c r="S1899" s="230"/>
      <c r="T1899" s="230"/>
      <c r="U1899" s="230"/>
      <c r="V1899" s="230"/>
      <c r="W1899" s="230"/>
      <c r="X1899" s="230"/>
      <c r="Y1899" s="230"/>
      <c r="Z1899" s="230"/>
    </row>
    <row r="1900">
      <c r="O1900" s="230"/>
      <c r="S1900" s="230"/>
      <c r="T1900" s="230"/>
      <c r="U1900" s="230"/>
      <c r="V1900" s="230"/>
      <c r="W1900" s="230"/>
      <c r="X1900" s="230"/>
      <c r="Y1900" s="230"/>
      <c r="Z1900" s="230"/>
    </row>
    <row r="1901">
      <c r="O1901" s="230"/>
      <c r="S1901" s="230"/>
      <c r="T1901" s="230"/>
      <c r="U1901" s="230"/>
      <c r="V1901" s="230"/>
      <c r="W1901" s="230"/>
      <c r="X1901" s="230"/>
      <c r="Y1901" s="230"/>
      <c r="Z1901" s="230"/>
    </row>
    <row r="1902">
      <c r="O1902" s="230"/>
      <c r="S1902" s="230"/>
      <c r="T1902" s="230"/>
      <c r="U1902" s="230"/>
      <c r="V1902" s="230"/>
      <c r="W1902" s="230"/>
      <c r="X1902" s="230"/>
      <c r="Y1902" s="230"/>
      <c r="Z1902" s="230"/>
    </row>
    <row r="1903">
      <c r="O1903" s="230"/>
      <c r="S1903" s="230"/>
      <c r="T1903" s="230"/>
      <c r="U1903" s="230"/>
      <c r="V1903" s="230"/>
      <c r="W1903" s="230"/>
      <c r="X1903" s="230"/>
      <c r="Y1903" s="230"/>
      <c r="Z1903" s="230"/>
    </row>
    <row r="1904">
      <c r="O1904" s="230"/>
      <c r="S1904" s="230"/>
      <c r="T1904" s="230"/>
      <c r="U1904" s="230"/>
      <c r="V1904" s="230"/>
      <c r="W1904" s="230"/>
      <c r="X1904" s="230"/>
      <c r="Y1904" s="230"/>
      <c r="Z1904" s="230"/>
    </row>
    <row r="1905">
      <c r="O1905" s="230"/>
      <c r="S1905" s="230"/>
      <c r="T1905" s="230"/>
      <c r="U1905" s="230"/>
      <c r="V1905" s="230"/>
      <c r="W1905" s="230"/>
      <c r="X1905" s="230"/>
      <c r="Y1905" s="230"/>
      <c r="Z1905" s="230"/>
    </row>
    <row r="1906">
      <c r="O1906" s="230"/>
      <c r="S1906" s="230"/>
      <c r="T1906" s="230"/>
      <c r="U1906" s="230"/>
      <c r="V1906" s="230"/>
      <c r="W1906" s="230"/>
      <c r="X1906" s="230"/>
      <c r="Y1906" s="230"/>
      <c r="Z1906" s="230"/>
    </row>
    <row r="1907">
      <c r="O1907" s="230"/>
      <c r="S1907" s="230"/>
      <c r="T1907" s="230"/>
      <c r="U1907" s="230"/>
      <c r="V1907" s="230"/>
      <c r="W1907" s="230"/>
      <c r="X1907" s="230"/>
      <c r="Y1907" s="230"/>
      <c r="Z1907" s="230"/>
    </row>
    <row r="1908">
      <c r="O1908" s="230"/>
      <c r="S1908" s="230"/>
      <c r="T1908" s="230"/>
      <c r="U1908" s="230"/>
      <c r="V1908" s="230"/>
      <c r="W1908" s="230"/>
      <c r="X1908" s="230"/>
      <c r="Y1908" s="230"/>
      <c r="Z1908" s="230"/>
    </row>
    <row r="1909">
      <c r="O1909" s="230"/>
      <c r="S1909" s="230"/>
      <c r="T1909" s="230"/>
      <c r="U1909" s="230"/>
      <c r="V1909" s="230"/>
      <c r="W1909" s="230"/>
      <c r="X1909" s="230"/>
      <c r="Y1909" s="230"/>
      <c r="Z1909" s="230"/>
    </row>
    <row r="1910">
      <c r="O1910" s="230"/>
      <c r="S1910" s="230"/>
      <c r="T1910" s="230"/>
      <c r="U1910" s="230"/>
      <c r="V1910" s="230"/>
      <c r="W1910" s="230"/>
      <c r="X1910" s="230"/>
      <c r="Y1910" s="230"/>
      <c r="Z1910" s="230"/>
    </row>
    <row r="1911">
      <c r="O1911" s="230"/>
      <c r="S1911" s="230"/>
      <c r="T1911" s="230"/>
      <c r="U1911" s="230"/>
      <c r="V1911" s="230"/>
      <c r="W1911" s="230"/>
      <c r="X1911" s="230"/>
      <c r="Y1911" s="230"/>
      <c r="Z1911" s="230"/>
    </row>
    <row r="1912">
      <c r="O1912" s="230"/>
      <c r="S1912" s="230"/>
      <c r="T1912" s="230"/>
      <c r="U1912" s="230"/>
      <c r="V1912" s="230"/>
      <c r="W1912" s="230"/>
      <c r="X1912" s="230"/>
      <c r="Y1912" s="230"/>
      <c r="Z1912" s="230"/>
    </row>
    <row r="1913">
      <c r="O1913" s="230"/>
      <c r="S1913" s="230"/>
      <c r="T1913" s="230"/>
      <c r="U1913" s="230"/>
      <c r="V1913" s="230"/>
      <c r="W1913" s="230"/>
      <c r="X1913" s="230"/>
      <c r="Y1913" s="230"/>
      <c r="Z1913" s="230"/>
    </row>
    <row r="1914">
      <c r="O1914" s="230"/>
      <c r="S1914" s="230"/>
      <c r="T1914" s="230"/>
      <c r="U1914" s="230"/>
      <c r="V1914" s="230"/>
      <c r="W1914" s="230"/>
      <c r="X1914" s="230"/>
      <c r="Y1914" s="230"/>
      <c r="Z1914" s="230"/>
    </row>
    <row r="1915">
      <c r="O1915" s="230"/>
      <c r="S1915" s="230"/>
      <c r="T1915" s="230"/>
      <c r="U1915" s="230"/>
      <c r="V1915" s="230"/>
      <c r="W1915" s="230"/>
      <c r="X1915" s="230"/>
      <c r="Y1915" s="230"/>
      <c r="Z1915" s="230"/>
    </row>
    <row r="1916">
      <c r="O1916" s="230"/>
      <c r="S1916" s="230"/>
      <c r="T1916" s="230"/>
      <c r="U1916" s="230"/>
      <c r="V1916" s="230"/>
      <c r="W1916" s="230"/>
      <c r="X1916" s="230"/>
      <c r="Y1916" s="230"/>
      <c r="Z1916" s="230"/>
    </row>
    <row r="1917">
      <c r="O1917" s="230"/>
      <c r="S1917" s="230"/>
      <c r="T1917" s="230"/>
      <c r="U1917" s="230"/>
      <c r="V1917" s="230"/>
      <c r="W1917" s="230"/>
      <c r="X1917" s="230"/>
      <c r="Y1917" s="230"/>
      <c r="Z1917" s="230"/>
    </row>
    <row r="1918">
      <c r="O1918" s="230"/>
      <c r="S1918" s="230"/>
      <c r="T1918" s="230"/>
      <c r="U1918" s="230"/>
      <c r="V1918" s="230"/>
      <c r="W1918" s="230"/>
      <c r="X1918" s="230"/>
      <c r="Y1918" s="230"/>
      <c r="Z1918" s="230"/>
    </row>
    <row r="1919">
      <c r="O1919" s="230"/>
      <c r="S1919" s="230"/>
      <c r="T1919" s="230"/>
      <c r="U1919" s="230"/>
      <c r="V1919" s="230"/>
      <c r="W1919" s="230"/>
      <c r="X1919" s="230"/>
      <c r="Y1919" s="230"/>
      <c r="Z1919" s="230"/>
    </row>
    <row r="1920">
      <c r="O1920" s="230"/>
      <c r="S1920" s="230"/>
      <c r="T1920" s="230"/>
      <c r="U1920" s="230"/>
      <c r="V1920" s="230"/>
      <c r="W1920" s="230"/>
      <c r="X1920" s="230"/>
      <c r="Y1920" s="230"/>
      <c r="Z1920" s="230"/>
    </row>
    <row r="1921">
      <c r="O1921" s="230"/>
      <c r="S1921" s="230"/>
      <c r="T1921" s="230"/>
      <c r="U1921" s="230"/>
      <c r="V1921" s="230"/>
      <c r="W1921" s="230"/>
      <c r="X1921" s="230"/>
      <c r="Y1921" s="230"/>
      <c r="Z1921" s="230"/>
    </row>
    <row r="1922">
      <c r="O1922" s="230"/>
      <c r="S1922" s="230"/>
      <c r="T1922" s="230"/>
      <c r="U1922" s="230"/>
      <c r="V1922" s="230"/>
      <c r="W1922" s="230"/>
      <c r="X1922" s="230"/>
      <c r="Y1922" s="230"/>
      <c r="Z1922" s="230"/>
    </row>
    <row r="1923">
      <c r="O1923" s="230"/>
      <c r="S1923" s="230"/>
      <c r="T1923" s="230"/>
      <c r="U1923" s="230"/>
      <c r="V1923" s="230"/>
      <c r="W1923" s="230"/>
      <c r="X1923" s="230"/>
      <c r="Y1923" s="230"/>
      <c r="Z1923" s="230"/>
    </row>
    <row r="1924">
      <c r="O1924" s="230"/>
      <c r="S1924" s="230"/>
      <c r="T1924" s="230"/>
      <c r="U1924" s="230"/>
      <c r="V1924" s="230"/>
      <c r="W1924" s="230"/>
      <c r="X1924" s="230"/>
      <c r="Y1924" s="230"/>
      <c r="Z1924" s="230"/>
    </row>
    <row r="1925">
      <c r="O1925" s="230"/>
      <c r="S1925" s="230"/>
      <c r="T1925" s="230"/>
      <c r="U1925" s="230"/>
      <c r="V1925" s="230"/>
      <c r="W1925" s="230"/>
      <c r="X1925" s="230"/>
      <c r="Y1925" s="230"/>
      <c r="Z1925" s="230"/>
    </row>
    <row r="1926">
      <c r="O1926" s="230"/>
      <c r="S1926" s="230"/>
      <c r="T1926" s="230"/>
      <c r="U1926" s="230"/>
      <c r="V1926" s="230"/>
      <c r="W1926" s="230"/>
      <c r="X1926" s="230"/>
      <c r="Y1926" s="230"/>
      <c r="Z1926" s="230"/>
    </row>
    <row r="1927">
      <c r="O1927" s="230"/>
      <c r="S1927" s="230"/>
      <c r="T1927" s="230"/>
      <c r="U1927" s="230"/>
      <c r="V1927" s="230"/>
      <c r="W1927" s="230"/>
      <c r="X1927" s="230"/>
      <c r="Y1927" s="230"/>
      <c r="Z1927" s="230"/>
    </row>
    <row r="1928">
      <c r="O1928" s="230"/>
      <c r="S1928" s="230"/>
      <c r="T1928" s="230"/>
      <c r="U1928" s="230"/>
      <c r="V1928" s="230"/>
      <c r="W1928" s="230"/>
      <c r="X1928" s="230"/>
      <c r="Y1928" s="230"/>
      <c r="Z1928" s="230"/>
    </row>
    <row r="1929">
      <c r="O1929" s="230"/>
      <c r="S1929" s="230"/>
      <c r="T1929" s="230"/>
      <c r="U1929" s="230"/>
      <c r="V1929" s="230"/>
      <c r="W1929" s="230"/>
      <c r="X1929" s="230"/>
      <c r="Y1929" s="230"/>
      <c r="Z1929" s="230"/>
    </row>
    <row r="1930">
      <c r="O1930" s="230"/>
      <c r="S1930" s="230"/>
      <c r="T1930" s="230"/>
      <c r="U1930" s="230"/>
      <c r="V1930" s="230"/>
      <c r="W1930" s="230"/>
      <c r="X1930" s="230"/>
      <c r="Y1930" s="230"/>
      <c r="Z1930" s="230"/>
    </row>
    <row r="1931">
      <c r="O1931" s="230"/>
      <c r="S1931" s="230"/>
      <c r="T1931" s="230"/>
      <c r="U1931" s="230"/>
      <c r="V1931" s="230"/>
      <c r="W1931" s="230"/>
      <c r="X1931" s="230"/>
      <c r="Y1931" s="230"/>
      <c r="Z1931" s="230"/>
    </row>
    <row r="1932">
      <c r="O1932" s="230"/>
      <c r="S1932" s="230"/>
      <c r="T1932" s="230"/>
      <c r="U1932" s="230"/>
      <c r="V1932" s="230"/>
      <c r="W1932" s="230"/>
      <c r="X1932" s="230"/>
      <c r="Y1932" s="230"/>
      <c r="Z1932" s="230"/>
    </row>
    <row r="1933">
      <c r="O1933" s="230"/>
      <c r="S1933" s="230"/>
      <c r="T1933" s="230"/>
      <c r="U1933" s="230"/>
      <c r="V1933" s="230"/>
      <c r="W1933" s="230"/>
      <c r="X1933" s="230"/>
      <c r="Y1933" s="230"/>
      <c r="Z1933" s="230"/>
    </row>
    <row r="1934">
      <c r="O1934" s="230"/>
      <c r="S1934" s="230"/>
      <c r="T1934" s="230"/>
      <c r="U1934" s="230"/>
      <c r="V1934" s="230"/>
      <c r="W1934" s="230"/>
      <c r="X1934" s="230"/>
      <c r="Y1934" s="230"/>
      <c r="Z1934" s="230"/>
    </row>
    <row r="1935">
      <c r="O1935" s="230"/>
      <c r="S1935" s="230"/>
      <c r="T1935" s="230"/>
      <c r="U1935" s="230"/>
      <c r="V1935" s="230"/>
      <c r="W1935" s="230"/>
      <c r="X1935" s="230"/>
      <c r="Y1935" s="230"/>
      <c r="Z1935" s="230"/>
    </row>
    <row r="1936">
      <c r="O1936" s="230"/>
      <c r="S1936" s="230"/>
      <c r="T1936" s="230"/>
      <c r="U1936" s="230"/>
      <c r="V1936" s="230"/>
      <c r="W1936" s="230"/>
      <c r="X1936" s="230"/>
      <c r="Y1936" s="230"/>
      <c r="Z1936" s="230"/>
    </row>
    <row r="1937">
      <c r="O1937" s="230"/>
      <c r="S1937" s="230"/>
      <c r="T1937" s="230"/>
      <c r="U1937" s="230"/>
      <c r="V1937" s="230"/>
      <c r="W1937" s="230"/>
      <c r="X1937" s="230"/>
      <c r="Y1937" s="230"/>
      <c r="Z1937" s="230"/>
    </row>
    <row r="1938">
      <c r="O1938" s="230"/>
      <c r="S1938" s="230"/>
      <c r="T1938" s="230"/>
      <c r="U1938" s="230"/>
      <c r="V1938" s="230"/>
      <c r="W1938" s="230"/>
      <c r="X1938" s="230"/>
      <c r="Y1938" s="230"/>
      <c r="Z1938" s="230"/>
    </row>
    <row r="1939">
      <c r="O1939" s="230"/>
      <c r="S1939" s="230"/>
      <c r="T1939" s="230"/>
      <c r="U1939" s="230"/>
      <c r="V1939" s="230"/>
      <c r="W1939" s="230"/>
      <c r="X1939" s="230"/>
      <c r="Y1939" s="230"/>
      <c r="Z1939" s="230"/>
    </row>
    <row r="1940">
      <c r="O1940" s="230"/>
      <c r="S1940" s="230"/>
      <c r="T1940" s="230"/>
      <c r="U1940" s="230"/>
      <c r="V1940" s="230"/>
      <c r="W1940" s="230"/>
      <c r="X1940" s="230"/>
      <c r="Y1940" s="230"/>
      <c r="Z1940" s="230"/>
    </row>
    <row r="1941">
      <c r="O1941" s="230"/>
      <c r="S1941" s="230"/>
      <c r="T1941" s="230"/>
      <c r="U1941" s="230"/>
      <c r="V1941" s="230"/>
      <c r="W1941" s="230"/>
      <c r="X1941" s="230"/>
      <c r="Y1941" s="230"/>
      <c r="Z1941" s="230"/>
    </row>
    <row r="1942">
      <c r="O1942" s="230"/>
      <c r="S1942" s="230"/>
      <c r="T1942" s="230"/>
      <c r="U1942" s="230"/>
      <c r="V1942" s="230"/>
      <c r="W1942" s="230"/>
      <c r="X1942" s="230"/>
      <c r="Y1942" s="230"/>
      <c r="Z1942" s="230"/>
    </row>
    <row r="1943">
      <c r="O1943" s="230"/>
      <c r="S1943" s="230"/>
      <c r="T1943" s="230"/>
      <c r="U1943" s="230"/>
      <c r="V1943" s="230"/>
      <c r="W1943" s="230"/>
      <c r="X1943" s="230"/>
      <c r="Y1943" s="230"/>
      <c r="Z1943" s="230"/>
    </row>
    <row r="1944">
      <c r="O1944" s="230"/>
      <c r="S1944" s="230"/>
      <c r="T1944" s="230"/>
      <c r="U1944" s="230"/>
      <c r="V1944" s="230"/>
      <c r="W1944" s="230"/>
      <c r="X1944" s="230"/>
      <c r="Y1944" s="230"/>
      <c r="Z1944" s="230"/>
    </row>
    <row r="1945">
      <c r="O1945" s="230"/>
      <c r="S1945" s="230"/>
      <c r="T1945" s="230"/>
      <c r="U1945" s="230"/>
      <c r="V1945" s="230"/>
      <c r="W1945" s="230"/>
      <c r="X1945" s="230"/>
      <c r="Y1945" s="230"/>
      <c r="Z1945" s="230"/>
    </row>
    <row r="1946">
      <c r="O1946" s="230"/>
      <c r="S1946" s="230"/>
      <c r="T1946" s="230"/>
      <c r="U1946" s="230"/>
      <c r="V1946" s="230"/>
      <c r="W1946" s="230"/>
      <c r="X1946" s="230"/>
      <c r="Y1946" s="230"/>
      <c r="Z1946" s="230"/>
    </row>
    <row r="1947">
      <c r="O1947" s="230"/>
      <c r="S1947" s="230"/>
      <c r="T1947" s="230"/>
      <c r="U1947" s="230"/>
      <c r="V1947" s="230"/>
      <c r="W1947" s="230"/>
      <c r="X1947" s="230"/>
      <c r="Y1947" s="230"/>
      <c r="Z1947" s="230"/>
    </row>
    <row r="1948">
      <c r="O1948" s="230"/>
      <c r="S1948" s="230"/>
      <c r="T1948" s="230"/>
      <c r="U1948" s="230"/>
      <c r="V1948" s="230"/>
      <c r="W1948" s="230"/>
      <c r="X1948" s="230"/>
      <c r="Y1948" s="230"/>
      <c r="Z1948" s="230"/>
    </row>
    <row r="1949">
      <c r="O1949" s="230"/>
      <c r="S1949" s="230"/>
      <c r="T1949" s="230"/>
      <c r="U1949" s="230"/>
      <c r="V1949" s="230"/>
      <c r="W1949" s="230"/>
      <c r="X1949" s="230"/>
      <c r="Y1949" s="230"/>
      <c r="Z1949" s="230"/>
    </row>
    <row r="1950">
      <c r="O1950" s="230"/>
      <c r="S1950" s="230"/>
      <c r="T1950" s="230"/>
      <c r="U1950" s="230"/>
      <c r="V1950" s="230"/>
      <c r="W1950" s="230"/>
      <c r="X1950" s="230"/>
      <c r="Y1950" s="230"/>
      <c r="Z1950" s="230"/>
    </row>
    <row r="1951">
      <c r="O1951" s="230"/>
      <c r="S1951" s="230"/>
      <c r="T1951" s="230"/>
      <c r="U1951" s="230"/>
      <c r="V1951" s="230"/>
      <c r="W1951" s="230"/>
      <c r="X1951" s="230"/>
      <c r="Y1951" s="230"/>
      <c r="Z1951" s="230"/>
    </row>
    <row r="1952">
      <c r="O1952" s="230"/>
      <c r="S1952" s="230"/>
      <c r="T1952" s="230"/>
      <c r="U1952" s="230"/>
      <c r="V1952" s="230"/>
      <c r="W1952" s="230"/>
      <c r="X1952" s="230"/>
      <c r="Y1952" s="230"/>
      <c r="Z1952" s="230"/>
    </row>
    <row r="1953">
      <c r="O1953" s="230"/>
      <c r="S1953" s="230"/>
      <c r="T1953" s="230"/>
      <c r="U1953" s="230"/>
      <c r="V1953" s="230"/>
      <c r="W1953" s="230"/>
      <c r="X1953" s="230"/>
      <c r="Y1953" s="230"/>
      <c r="Z1953" s="230"/>
    </row>
    <row r="1954">
      <c r="O1954" s="230"/>
      <c r="S1954" s="230"/>
      <c r="T1954" s="230"/>
      <c r="U1954" s="230"/>
      <c r="V1954" s="230"/>
      <c r="W1954" s="230"/>
      <c r="X1954" s="230"/>
      <c r="Y1954" s="230"/>
      <c r="Z1954" s="230"/>
    </row>
    <row r="1955">
      <c r="O1955" s="230"/>
      <c r="S1955" s="230"/>
      <c r="T1955" s="230"/>
      <c r="U1955" s="230"/>
      <c r="V1955" s="230"/>
      <c r="W1955" s="230"/>
      <c r="X1955" s="230"/>
      <c r="Y1955" s="230"/>
      <c r="Z1955" s="230"/>
    </row>
    <row r="1956">
      <c r="O1956" s="230"/>
      <c r="S1956" s="230"/>
      <c r="T1956" s="230"/>
      <c r="U1956" s="230"/>
      <c r="V1956" s="230"/>
      <c r="W1956" s="230"/>
      <c r="X1956" s="230"/>
      <c r="Y1956" s="230"/>
      <c r="Z1956" s="230"/>
    </row>
    <row r="1957">
      <c r="O1957" s="230"/>
      <c r="S1957" s="230"/>
      <c r="T1957" s="230"/>
      <c r="U1957" s="230"/>
      <c r="V1957" s="230"/>
      <c r="W1957" s="230"/>
      <c r="X1957" s="230"/>
      <c r="Y1957" s="230"/>
      <c r="Z1957" s="230"/>
    </row>
    <row r="1958">
      <c r="O1958" s="230"/>
      <c r="S1958" s="230"/>
      <c r="T1958" s="230"/>
      <c r="U1958" s="230"/>
      <c r="V1958" s="230"/>
      <c r="W1958" s="230"/>
      <c r="X1958" s="230"/>
      <c r="Y1958" s="230"/>
      <c r="Z1958" s="230"/>
    </row>
    <row r="1959">
      <c r="O1959" s="230"/>
      <c r="S1959" s="230"/>
      <c r="T1959" s="230"/>
      <c r="U1959" s="230"/>
      <c r="V1959" s="230"/>
      <c r="W1959" s="230"/>
      <c r="X1959" s="230"/>
      <c r="Y1959" s="230"/>
      <c r="Z1959" s="230"/>
    </row>
    <row r="1960">
      <c r="O1960" s="230"/>
      <c r="S1960" s="230"/>
      <c r="T1960" s="230"/>
      <c r="U1960" s="230"/>
      <c r="V1960" s="230"/>
      <c r="W1960" s="230"/>
      <c r="X1960" s="230"/>
      <c r="Y1960" s="230"/>
      <c r="Z1960" s="230"/>
    </row>
    <row r="1961">
      <c r="O1961" s="230"/>
      <c r="S1961" s="230"/>
      <c r="T1961" s="230"/>
      <c r="U1961" s="230"/>
      <c r="V1961" s="230"/>
      <c r="W1961" s="230"/>
      <c r="X1961" s="230"/>
      <c r="Y1961" s="230"/>
      <c r="Z1961" s="230"/>
    </row>
    <row r="1962">
      <c r="O1962" s="230"/>
      <c r="S1962" s="230"/>
      <c r="T1962" s="230"/>
      <c r="U1962" s="230"/>
      <c r="V1962" s="230"/>
      <c r="W1962" s="230"/>
      <c r="X1962" s="230"/>
      <c r="Y1962" s="230"/>
      <c r="Z1962" s="230"/>
    </row>
    <row r="1963">
      <c r="O1963" s="230"/>
      <c r="S1963" s="230"/>
      <c r="T1963" s="230"/>
      <c r="U1963" s="230"/>
      <c r="V1963" s="230"/>
      <c r="W1963" s="230"/>
      <c r="X1963" s="230"/>
      <c r="Y1963" s="230"/>
      <c r="Z1963" s="230"/>
    </row>
    <row r="1964">
      <c r="O1964" s="230"/>
      <c r="S1964" s="230"/>
      <c r="T1964" s="230"/>
      <c r="U1964" s="230"/>
      <c r="V1964" s="230"/>
      <c r="W1964" s="230"/>
      <c r="X1964" s="230"/>
      <c r="Y1964" s="230"/>
      <c r="Z1964" s="230"/>
    </row>
    <row r="1965">
      <c r="O1965" s="230"/>
      <c r="S1965" s="230"/>
      <c r="T1965" s="230"/>
      <c r="U1965" s="230"/>
      <c r="V1965" s="230"/>
      <c r="W1965" s="230"/>
      <c r="X1965" s="230"/>
      <c r="Y1965" s="230"/>
      <c r="Z1965" s="230"/>
    </row>
    <row r="1966">
      <c r="O1966" s="230"/>
      <c r="S1966" s="230"/>
      <c r="T1966" s="230"/>
      <c r="U1966" s="230"/>
      <c r="V1966" s="230"/>
      <c r="W1966" s="230"/>
      <c r="X1966" s="230"/>
      <c r="Y1966" s="230"/>
      <c r="Z1966" s="230"/>
    </row>
    <row r="1967">
      <c r="O1967" s="230"/>
      <c r="S1967" s="230"/>
      <c r="T1967" s="230"/>
      <c r="U1967" s="230"/>
      <c r="V1967" s="230"/>
      <c r="W1967" s="230"/>
      <c r="X1967" s="230"/>
      <c r="Y1967" s="230"/>
      <c r="Z1967" s="230"/>
    </row>
    <row r="1968">
      <c r="O1968" s="230"/>
      <c r="S1968" s="230"/>
      <c r="T1968" s="230"/>
      <c r="U1968" s="230"/>
      <c r="V1968" s="230"/>
      <c r="W1968" s="230"/>
      <c r="X1968" s="230"/>
      <c r="Y1968" s="230"/>
      <c r="Z1968" s="230"/>
    </row>
    <row r="1969">
      <c r="O1969" s="230"/>
      <c r="S1969" s="230"/>
      <c r="T1969" s="230"/>
      <c r="U1969" s="230"/>
      <c r="V1969" s="230"/>
      <c r="W1969" s="230"/>
      <c r="X1969" s="230"/>
      <c r="Y1969" s="230"/>
      <c r="Z1969" s="230"/>
    </row>
    <row r="1970">
      <c r="O1970" s="230"/>
      <c r="S1970" s="230"/>
      <c r="T1970" s="230"/>
      <c r="U1970" s="230"/>
      <c r="V1970" s="230"/>
      <c r="W1970" s="230"/>
      <c r="X1970" s="230"/>
      <c r="Y1970" s="230"/>
      <c r="Z1970" s="230"/>
    </row>
    <row r="1971">
      <c r="O1971" s="230"/>
      <c r="S1971" s="230"/>
      <c r="T1971" s="230"/>
      <c r="U1971" s="230"/>
      <c r="V1971" s="230"/>
      <c r="W1971" s="230"/>
      <c r="X1971" s="230"/>
      <c r="Y1971" s="230"/>
      <c r="Z1971" s="230"/>
    </row>
    <row r="1972">
      <c r="O1972" s="230"/>
      <c r="S1972" s="230"/>
      <c r="T1972" s="230"/>
      <c r="U1972" s="230"/>
      <c r="V1972" s="230"/>
      <c r="W1972" s="230"/>
      <c r="X1972" s="230"/>
      <c r="Y1972" s="230"/>
      <c r="Z1972" s="230"/>
    </row>
    <row r="1973">
      <c r="O1973" s="230"/>
      <c r="S1973" s="230"/>
      <c r="T1973" s="230"/>
      <c r="U1973" s="230"/>
      <c r="V1973" s="230"/>
      <c r="W1973" s="230"/>
      <c r="X1973" s="230"/>
      <c r="Y1973" s="230"/>
      <c r="Z1973" s="230"/>
    </row>
    <row r="1974">
      <c r="O1974" s="230"/>
      <c r="S1974" s="230"/>
      <c r="T1974" s="230"/>
      <c r="U1974" s="230"/>
      <c r="V1974" s="230"/>
      <c r="W1974" s="230"/>
      <c r="X1974" s="230"/>
      <c r="Y1974" s="230"/>
      <c r="Z1974" s="230"/>
    </row>
    <row r="1975">
      <c r="O1975" s="230"/>
      <c r="S1975" s="230"/>
      <c r="T1975" s="230"/>
      <c r="U1975" s="230"/>
      <c r="V1975" s="230"/>
      <c r="W1975" s="230"/>
      <c r="X1975" s="230"/>
      <c r="Y1975" s="230"/>
      <c r="Z1975" s="230"/>
    </row>
    <row r="1976">
      <c r="O1976" s="230"/>
      <c r="S1976" s="230"/>
      <c r="T1976" s="230"/>
      <c r="U1976" s="230"/>
      <c r="V1976" s="230"/>
      <c r="W1976" s="230"/>
      <c r="X1976" s="230"/>
      <c r="Y1976" s="230"/>
      <c r="Z1976" s="230"/>
    </row>
    <row r="1977">
      <c r="O1977" s="230"/>
      <c r="S1977" s="230"/>
      <c r="T1977" s="230"/>
      <c r="U1977" s="230"/>
      <c r="V1977" s="230"/>
      <c r="W1977" s="230"/>
      <c r="X1977" s="230"/>
      <c r="Y1977" s="230"/>
      <c r="Z1977" s="230"/>
    </row>
    <row r="1978">
      <c r="O1978" s="230"/>
      <c r="S1978" s="230"/>
      <c r="T1978" s="230"/>
      <c r="U1978" s="230"/>
      <c r="V1978" s="230"/>
      <c r="W1978" s="230"/>
      <c r="X1978" s="230"/>
      <c r="Y1978" s="230"/>
      <c r="Z1978" s="230"/>
    </row>
    <row r="1979">
      <c r="O1979" s="230"/>
      <c r="S1979" s="230"/>
      <c r="T1979" s="230"/>
      <c r="U1979" s="230"/>
      <c r="V1979" s="230"/>
      <c r="W1979" s="230"/>
      <c r="X1979" s="230"/>
      <c r="Y1979" s="230"/>
      <c r="Z1979" s="230"/>
    </row>
    <row r="1980">
      <c r="O1980" s="230"/>
      <c r="S1980" s="230"/>
      <c r="T1980" s="230"/>
      <c r="U1980" s="230"/>
      <c r="V1980" s="230"/>
      <c r="W1980" s="230"/>
      <c r="X1980" s="230"/>
      <c r="Y1980" s="230"/>
      <c r="Z1980" s="230"/>
    </row>
    <row r="1981">
      <c r="O1981" s="230"/>
      <c r="S1981" s="230"/>
      <c r="T1981" s="230"/>
      <c r="U1981" s="230"/>
      <c r="V1981" s="230"/>
      <c r="W1981" s="230"/>
      <c r="X1981" s="230"/>
      <c r="Y1981" s="230"/>
      <c r="Z1981" s="230"/>
    </row>
    <row r="1982">
      <c r="O1982" s="230"/>
      <c r="S1982" s="230"/>
      <c r="T1982" s="230"/>
      <c r="U1982" s="230"/>
      <c r="V1982" s="230"/>
      <c r="W1982" s="230"/>
      <c r="X1982" s="230"/>
      <c r="Y1982" s="230"/>
      <c r="Z1982" s="230"/>
    </row>
    <row r="1983">
      <c r="O1983" s="230"/>
      <c r="S1983" s="230"/>
      <c r="T1983" s="230"/>
      <c r="U1983" s="230"/>
      <c r="V1983" s="230"/>
      <c r="W1983" s="230"/>
      <c r="X1983" s="230"/>
      <c r="Y1983" s="230"/>
      <c r="Z1983" s="230"/>
    </row>
    <row r="1984">
      <c r="O1984" s="230"/>
      <c r="S1984" s="230"/>
      <c r="T1984" s="230"/>
      <c r="U1984" s="230"/>
      <c r="V1984" s="230"/>
      <c r="W1984" s="230"/>
      <c r="X1984" s="230"/>
      <c r="Y1984" s="230"/>
      <c r="Z1984" s="230"/>
    </row>
    <row r="1985">
      <c r="O1985" s="230"/>
      <c r="S1985" s="230"/>
      <c r="T1985" s="230"/>
      <c r="U1985" s="230"/>
      <c r="V1985" s="230"/>
      <c r="W1985" s="230"/>
      <c r="X1985" s="230"/>
      <c r="Y1985" s="230"/>
      <c r="Z1985" s="230"/>
    </row>
    <row r="1986">
      <c r="O1986" s="230"/>
      <c r="S1986" s="230"/>
      <c r="T1986" s="230"/>
      <c r="U1986" s="230"/>
      <c r="V1986" s="230"/>
      <c r="W1986" s="230"/>
      <c r="X1986" s="230"/>
      <c r="Y1986" s="230"/>
      <c r="Z1986" s="230"/>
    </row>
    <row r="1987">
      <c r="O1987" s="230"/>
      <c r="S1987" s="230"/>
      <c r="T1987" s="230"/>
      <c r="U1987" s="230"/>
      <c r="V1987" s="230"/>
      <c r="W1987" s="230"/>
      <c r="X1987" s="230"/>
      <c r="Y1987" s="230"/>
      <c r="Z1987" s="230"/>
    </row>
    <row r="1988">
      <c r="O1988" s="230"/>
      <c r="S1988" s="230"/>
      <c r="T1988" s="230"/>
      <c r="U1988" s="230"/>
      <c r="V1988" s="230"/>
      <c r="W1988" s="230"/>
      <c r="X1988" s="230"/>
      <c r="Y1988" s="230"/>
      <c r="Z1988" s="230"/>
    </row>
    <row r="1989">
      <c r="O1989" s="230"/>
      <c r="S1989" s="230"/>
      <c r="T1989" s="230"/>
      <c r="U1989" s="230"/>
      <c r="V1989" s="230"/>
      <c r="W1989" s="230"/>
      <c r="X1989" s="230"/>
      <c r="Y1989" s="230"/>
      <c r="Z1989" s="230"/>
    </row>
    <row r="1990">
      <c r="O1990" s="230"/>
      <c r="S1990" s="230"/>
      <c r="T1990" s="230"/>
      <c r="U1990" s="230"/>
      <c r="V1990" s="230"/>
      <c r="W1990" s="230"/>
      <c r="X1990" s="230"/>
      <c r="Y1990" s="230"/>
      <c r="Z1990" s="230"/>
    </row>
    <row r="1991">
      <c r="O1991" s="230"/>
      <c r="S1991" s="230"/>
      <c r="T1991" s="230"/>
      <c r="U1991" s="230"/>
      <c r="V1991" s="230"/>
      <c r="W1991" s="230"/>
      <c r="X1991" s="230"/>
      <c r="Y1991" s="230"/>
      <c r="Z1991" s="230"/>
    </row>
    <row r="1992">
      <c r="O1992" s="230"/>
      <c r="S1992" s="230"/>
      <c r="T1992" s="230"/>
      <c r="U1992" s="230"/>
      <c r="V1992" s="230"/>
      <c r="W1992" s="230"/>
      <c r="X1992" s="230"/>
      <c r="Y1992" s="230"/>
      <c r="Z1992" s="230"/>
    </row>
    <row r="1993">
      <c r="O1993" s="230"/>
      <c r="S1993" s="230"/>
      <c r="T1993" s="230"/>
      <c r="U1993" s="230"/>
      <c r="V1993" s="230"/>
      <c r="W1993" s="230"/>
      <c r="X1993" s="230"/>
      <c r="Y1993" s="230"/>
      <c r="Z1993" s="230"/>
    </row>
    <row r="1994">
      <c r="O1994" s="230"/>
      <c r="S1994" s="230"/>
      <c r="T1994" s="230"/>
      <c r="U1994" s="230"/>
      <c r="V1994" s="230"/>
      <c r="W1994" s="230"/>
      <c r="X1994" s="230"/>
      <c r="Y1994" s="230"/>
      <c r="Z1994" s="230"/>
    </row>
    <row r="1995">
      <c r="O1995" s="230"/>
      <c r="S1995" s="230"/>
      <c r="T1995" s="230"/>
      <c r="U1995" s="230"/>
      <c r="V1995" s="230"/>
      <c r="W1995" s="230"/>
      <c r="X1995" s="230"/>
      <c r="Y1995" s="230"/>
      <c r="Z1995" s="230"/>
    </row>
    <row r="1996">
      <c r="O1996" s="230"/>
      <c r="S1996" s="230"/>
      <c r="T1996" s="230"/>
      <c r="U1996" s="230"/>
      <c r="V1996" s="230"/>
      <c r="W1996" s="230"/>
      <c r="X1996" s="230"/>
      <c r="Y1996" s="230"/>
      <c r="Z1996" s="230"/>
    </row>
    <row r="1997">
      <c r="O1997" s="230"/>
      <c r="S1997" s="230"/>
      <c r="T1997" s="230"/>
      <c r="U1997" s="230"/>
      <c r="V1997" s="230"/>
      <c r="W1997" s="230"/>
      <c r="X1997" s="230"/>
      <c r="Y1997" s="230"/>
      <c r="Z1997" s="230"/>
    </row>
    <row r="1998">
      <c r="O1998" s="230"/>
      <c r="S1998" s="230"/>
      <c r="T1998" s="230"/>
      <c r="U1998" s="230"/>
      <c r="V1998" s="230"/>
      <c r="W1998" s="230"/>
      <c r="X1998" s="230"/>
      <c r="Y1998" s="230"/>
      <c r="Z1998" s="230"/>
    </row>
    <row r="1999">
      <c r="O1999" s="230"/>
      <c r="S1999" s="230"/>
      <c r="T1999" s="230"/>
      <c r="U1999" s="230"/>
      <c r="V1999" s="230"/>
      <c r="W1999" s="230"/>
      <c r="X1999" s="230"/>
      <c r="Y1999" s="230"/>
      <c r="Z1999" s="230"/>
    </row>
    <row r="2000">
      <c r="O2000" s="230"/>
      <c r="S2000" s="230"/>
      <c r="T2000" s="230"/>
      <c r="U2000" s="230"/>
      <c r="V2000" s="230"/>
      <c r="W2000" s="230"/>
      <c r="X2000" s="230"/>
      <c r="Y2000" s="230"/>
      <c r="Z2000" s="230"/>
    </row>
    <row r="2001">
      <c r="O2001" s="230"/>
      <c r="S2001" s="230"/>
      <c r="T2001" s="230"/>
      <c r="U2001" s="230"/>
      <c r="V2001" s="230"/>
      <c r="W2001" s="230"/>
      <c r="X2001" s="230"/>
      <c r="Y2001" s="230"/>
      <c r="Z2001" s="230"/>
    </row>
    <row r="2002">
      <c r="O2002" s="230"/>
      <c r="S2002" s="230"/>
      <c r="T2002" s="230"/>
      <c r="U2002" s="230"/>
      <c r="V2002" s="230"/>
      <c r="W2002" s="230"/>
      <c r="X2002" s="230"/>
      <c r="Y2002" s="230"/>
      <c r="Z2002" s="230"/>
    </row>
    <row r="2003">
      <c r="O2003" s="230"/>
      <c r="S2003" s="230"/>
      <c r="T2003" s="230"/>
      <c r="U2003" s="230"/>
      <c r="V2003" s="230"/>
      <c r="W2003" s="230"/>
      <c r="X2003" s="230"/>
      <c r="Y2003" s="230"/>
      <c r="Z2003" s="230"/>
    </row>
    <row r="2004">
      <c r="O2004" s="230"/>
      <c r="S2004" s="230"/>
      <c r="T2004" s="230"/>
      <c r="U2004" s="230"/>
      <c r="V2004" s="230"/>
      <c r="W2004" s="230"/>
      <c r="X2004" s="230"/>
      <c r="Y2004" s="230"/>
      <c r="Z2004" s="230"/>
    </row>
  </sheetData>
  <autoFilter ref="$A$1:$BD$2004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119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15.0</v>
      </c>
      <c r="C3" s="219">
        <v>416.0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6.0</v>
      </c>
      <c r="D6" s="212"/>
      <c r="E6" s="212"/>
      <c r="F6" s="221" t="s">
        <v>5237</v>
      </c>
    </row>
    <row r="7" ht="22.5" customHeight="1">
      <c r="A7" s="218" t="s">
        <v>255</v>
      </c>
      <c r="B7" s="216">
        <f>SUM('Sprint 16'!O:O)</f>
        <v>297</v>
      </c>
      <c r="C7" s="212">
        <f>ROUND(SUM('Sprint 16'!S:S)/3600,2)</f>
        <v>163</v>
      </c>
      <c r="D7" s="216">
        <f>SUMIF('Sprint 16'!J:J, "Done", 'Sprint 16'!O:O)</f>
        <v>124</v>
      </c>
      <c r="E7" s="212">
        <f>ROUND(SUMIF('Sprint 16'!J:J, "Done", 'Sprint 16'!S:S)/3600,2)</f>
        <v>61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16'!S:S, ('Sprint 16'!Q:Q = ""mid-sprint"")))/3600,0),2)"),0.0)</f>
        <v>0</v>
      </c>
      <c r="D9" s="212">
        <f>IFERROR(__xludf.DUMMYFUNCTION("IFERROR(SUM(FILTER('Sprint 16'!O:O, (('Sprint 16'!J:J = ""Done"")) * ('Sprint 16'!Q:Q = ""mid-sprint""))),0)"),0.0)</f>
        <v>0</v>
      </c>
      <c r="E9" s="212">
        <f>IFERROR(__xludf.DUMMYFUNCTION("ROUND(IFERROR(SUM(FILTER('Sprint 16'!S:S, (('Sprint 16'!J:J = ""Done"")) * ('Sprint 16'!P:P = ""mid-sprint"")))/3600,0),2)"),0.0)</f>
        <v>0</v>
      </c>
      <c r="F9" s="225" t="s">
        <v>259</v>
      </c>
    </row>
    <row r="10" ht="22.5" customHeight="1">
      <c r="A10" s="218" t="s">
        <v>258</v>
      </c>
      <c r="B10" s="212">
        <f>IFERROR(__xludf.DUMMYFUNCTION("ROUND(IFERROR(SUM(FILTER('Sprint 16'!S:S, ('Sprint 16'!Q:Q = ""change-request"")))/3600,0),2)"),0.0)</f>
        <v>0</v>
      </c>
      <c r="D10" s="212">
        <f>IFERROR(__xludf.DUMMYFUNCTION("IFERROR(SUM(FILTER('Sprint 16'!O:O, (('Sprint 16'!J:J = ""Done"")) * ('Sprint 16'!Q:Q = ""change-request""))),0)"),0.0)</f>
        <v>0</v>
      </c>
      <c r="E10" s="212">
        <f>IFERROR(__xludf.DUMMYFUNCTION("ROUND(IFERROR(SUM(FILTER('Sprint 16'!S:S, (('Sprint 16'!J:J = ""Done"")) * ('Sprint 16'!Q:Q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16'!O:O, ('Sprint 16'!E:E = ""Aek:Atiphat Nanthachitvanich""))),0)"),5.0)</f>
        <v>5</v>
      </c>
      <c r="C12" s="223">
        <f>IFERROR(__xludf.DUMMYFUNCTION("ROUND(IFERROR(SUM(FILTER('Sprint 16'!S:S, ('Sprint 16'!E:E = ""Aek:Atiphat Nanthachitvanich"")))/3600,0),2)"),3.0)</f>
        <v>3</v>
      </c>
      <c r="D12" s="216">
        <f>IFERROR(__xludf.DUMMYFUNCTION("IFERROR(SUM(FILTER('Sprint 16'!O:O, (('Sprint 16'!J:J = ""Done"")) * ('Sprint 16'!E:E = ""Aek:Atiphat Nanthachitvanich""))),0)"),2.0)</f>
        <v>2</v>
      </c>
      <c r="E12" s="223">
        <f>IFERROR(__xludf.DUMMYFUNCTION("ROUND(IFERROR(SUM(FILTER('Sprint 16'!S:S, (('Sprint 16'!J:J = ""Done"")) * ('Sprint 16'!E:E = ""Aek:Atiphat Nanthachitvanich"")))/3600,0),2)"),3.0)</f>
        <v>3</v>
      </c>
      <c r="F12" s="224"/>
    </row>
    <row r="13" ht="22.5" customHeight="1">
      <c r="A13" s="218" t="s">
        <v>32</v>
      </c>
      <c r="B13" s="216">
        <f>IFERROR(__xludf.DUMMYFUNCTION("IFERROR(SUM(FILTER('Sprint 16'!O:O, ('Sprint 16'!E:E = ""A:Phongthorn""))),0)"),11.0)</f>
        <v>11</v>
      </c>
      <c r="C13" s="223">
        <f>IFERROR(__xludf.DUMMYFUNCTION("ROUND(IFERROR(SUM(FILTER('Sprint 16'!S:S, ('Sprint 16'!E:E = ""A:Phongthorn"")))/3600,0),2)"),24.0)</f>
        <v>24</v>
      </c>
      <c r="D13" s="216">
        <f>IFERROR(__xludf.DUMMYFUNCTION("IFERROR(SUM(FILTER('Sprint 16'!O:O, (('Sprint 16'!J:J = ""Done"")) * ('Sprint 16'!E:E = ""A:Phongthorn""))),0)"),7.0)</f>
        <v>7</v>
      </c>
      <c r="E13" s="223">
        <f>IFERROR(__xludf.DUMMYFUNCTION("ROUND(IFERROR(SUM(FILTER('Sprint 16'!S:S, (('Sprint 16'!J:J = ""Done"")) * ('Sprint 16'!E:E = ""A:Phongthorn"")))/3600,0),2)"),24.0)</f>
        <v>24</v>
      </c>
      <c r="F13" s="224"/>
    </row>
    <row r="14" ht="22.5" customHeight="1">
      <c r="A14" s="218" t="s">
        <v>72</v>
      </c>
      <c r="B14" s="216">
        <f>IFERROR(__xludf.DUMMYFUNCTION("IFERROR(SUM(FILTER('Sprint 16'!O:O, ('Sprint 16'!E:E = ""Aom: Pornsawan Polnyiem""))),0)"),47.0)</f>
        <v>47</v>
      </c>
      <c r="C14" s="223">
        <f>IFERROR(__xludf.DUMMYFUNCTION("ROUND(IFERROR(SUM(FILTER('Sprint 16'!S:S, ('Sprint 16'!E:E = ""Aom: Pornsawan Polnyiem"")))/3600,0),2)"),34.0)</f>
        <v>34</v>
      </c>
      <c r="D14" s="216">
        <f>IFERROR(__xludf.DUMMYFUNCTION("IFERROR(SUM(FILTER('Sprint 16'!O:O, (('Sprint 16'!J:J = ""Done"")) * ('Sprint 16'!E:E = ""Aom: Pornsawan Polnyiem""))),0)"),24.0)</f>
        <v>24</v>
      </c>
      <c r="E14" s="223">
        <f>IFERROR(__xludf.DUMMYFUNCTION("ROUND(IFERROR(SUM(FILTER('Sprint 16'!S:S, (('Sprint 16'!J:J = ""Done"")) * ('Sprint 16'!E:E = ""Aom: Pornsawan Polnyiem"")))/3600,0),2)"),34.0)</f>
        <v>34</v>
      </c>
      <c r="F14" s="224"/>
    </row>
    <row r="15" ht="22.5" customHeight="1">
      <c r="A15" s="218" t="s">
        <v>24</v>
      </c>
      <c r="B15" s="216">
        <f>IFERROR(__xludf.DUMMYFUNCTION("IFERROR(SUM(FILTER('Sprint 16'!O:O, ('Sprint 16'!E:E = ""Zan : Isarapong Bulan""))),0)"),27.0)</f>
        <v>27</v>
      </c>
      <c r="C15" s="223">
        <f>IFERROR(__xludf.DUMMYFUNCTION("ROUND(IFERROR(SUM(FILTER('Sprint 16'!S:S, ('Sprint 16'!E:E = ""Zan : Isarapong Bulan"")))/3600,0),2)"),0.0)</f>
        <v>0</v>
      </c>
      <c r="D15" s="216">
        <f>IFERROR(__xludf.DUMMYFUNCTION("IFERROR(SUM(FILTER('Sprint 16'!O:O, (('Sprint 16'!J:J = ""Done"")) * ('Sprint 16'!E:E = ""Zan : Isarapong Bulan""))),0)"),25.0)</f>
        <v>25</v>
      </c>
      <c r="E15" s="223">
        <f>IFERROR(__xludf.DUMMYFUNCTION("ROUND(IFERROR(SUM(FILTER('Sprint 16'!S:S, (('Sprint 16'!J:J = ""Done"")) * ('Sprint 16'!E:E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16'!O:O, ('Sprint 16'!E:E = ""Mai:Sateta Abvanawong""))),0)"),31.0)</f>
        <v>31</v>
      </c>
      <c r="C16" s="223">
        <f>IFERROR(__xludf.DUMMYFUNCTION("ROUND(IFERROR(SUM(FILTER('Sprint 16'!S:S, ('Sprint 16'!E:E = ""Mai:Sateta Abvanawong"")))/3600,0),2)"),0.0)</f>
        <v>0</v>
      </c>
      <c r="D16" s="216">
        <f>IFERROR(__xludf.DUMMYFUNCTION("IFERROR(SUM(FILTER('Sprint 16'!O:O, (('Sprint 16'!J:J = ""Done"")) * ('Sprint 16'!E:E = ""Mai:Sateta Abvanawong""))),0)"),12.0)</f>
        <v>12</v>
      </c>
      <c r="E16" s="223">
        <f>IFERROR(__xludf.DUMMYFUNCTION("ROUND(IFERROR(SUM(FILTER('Sprint 16'!S:S, (('Sprint 16'!J:J = ""Done"")) * ('Sprint 16'!E:E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16'!O:O, ('Sprint 16'!E:E = ""Mac: Jarupong Pawichpongkul""))),0)"),22.0)</f>
        <v>22</v>
      </c>
      <c r="C17" s="223">
        <f>IFERROR(__xludf.DUMMYFUNCTION("ROUND(IFERROR(SUM(FILTER('Sprint 16'!S:S, ('Sprint 16'!E:E = ""Mac: Jarupong Pawichpongkul"")))/3600,0),2)"),38.0)</f>
        <v>38</v>
      </c>
      <c r="D17" s="216">
        <f>IFERROR(__xludf.DUMMYFUNCTION("IFERROR(SUM(FILTER('Sprint 16'!O:O, (('Sprint 16'!J:J = ""Done"")) * ('Sprint 16'!E:E = ""Mac: Jarupong Pawichpongkul""))),0)"),0.0)</f>
        <v>0</v>
      </c>
      <c r="E17" s="223">
        <f>IFERROR(__xludf.DUMMYFUNCTION("ROUND(IFERROR(SUM(FILTER('Sprint 16'!S:S, (('Sprint 16'!J:J = ""Done"")) * ('Sprint 16'!E:E = ""Mac: 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16'!O:O, ('Sprint 16'!E:E = ""Moss : Kittapath Sangvikukit""))),0)"),35.0)</f>
        <v>35</v>
      </c>
      <c r="C18" s="223">
        <f>IFERROR(__xludf.DUMMYFUNCTION("ROUND(IFERROR(SUM(FILTER('Sprint 16'!S:S, ('Sprint 16'!E:E = ""Moss : Kittapath Sangvikukit"")))/3600,0),2)"),0.0)</f>
        <v>0</v>
      </c>
      <c r="D18" s="216">
        <f>IFERROR(__xludf.DUMMYFUNCTION("IFERROR(SUM(FILTER('Sprint 16'!O:O, (('Sprint 16'!J:J = ""Done"")) * ('Sprint 16'!E:E = ""Moss : Kittapath Sangvikukit""))),0)"),18.0)</f>
        <v>18</v>
      </c>
      <c r="E18" s="223">
        <f>IFERROR(__xludf.DUMMYFUNCTION("ROUND(IFERROR(SUM(FILTER('Sprint 16'!S:S, (('Sprint 16'!J:J = ""Done"")) * ('Sprint 16'!E:E = ""Moss : Kittapath Sangvikukit"")))/3600,0),2)"),0.0)</f>
        <v>0</v>
      </c>
      <c r="F18" s="224"/>
    </row>
    <row r="19" ht="22.5" customHeight="1">
      <c r="A19" s="218" t="s">
        <v>28</v>
      </c>
      <c r="B19" s="216">
        <f>IFERROR(__xludf.DUMMYFUNCTION("IFERROR(SUM(FILTER('Sprint 16'!O:O, ('Sprint 16'!E:E = ""Jack: Warin Kesorn""))),0)"),0.0)</f>
        <v>0</v>
      </c>
      <c r="C19" s="223">
        <f>IFERROR(__xludf.DUMMYFUNCTION("ROUND(IFERROR(SUM(FILTER('Sprint 16'!S:S, ('Sprint 16'!E:E = ""Jack: Warin Kesorn"")))/3600,0),2)"),0.0)</f>
        <v>0</v>
      </c>
      <c r="D19" s="216">
        <f>IFERROR(__xludf.DUMMYFUNCTION("IFERROR(SUM(FILTER('Sprint 16'!O:O, (('Sprint 16'!J:J = ""Done"")) * ('Sprint 16'!E:E = ""Jack: Warin Kesorn""))),0)"),0.0)</f>
        <v>0</v>
      </c>
      <c r="E19" s="223">
        <f>IFERROR(__xludf.DUMMYFUNCTION("ROUND(IFERROR(SUM(FILTER('Sprint 16'!S:S, (('Sprint 16'!J:J = ""Done"")) * ('Sprint 16'!E:E = ""Jack: Warin Kesorn"")))/3600,0),2)"),0.0)</f>
        <v>0</v>
      </c>
      <c r="F19" s="224"/>
    </row>
    <row r="20" ht="22.5" customHeight="1">
      <c r="A20" s="218" t="s">
        <v>76</v>
      </c>
      <c r="B20" s="216">
        <f>IFERROR(__xludf.DUMMYFUNCTION("IFERROR(SUM(FILTER('Sprint 16'!O:O, ('Sprint 16'!E:E = ""Nim : muthita munmueang""))),0)"),29.0)</f>
        <v>29</v>
      </c>
      <c r="C20" s="223">
        <f>IFERROR(__xludf.DUMMYFUNCTION("ROUND(IFERROR(SUM(FILTER('Sprint 16'!S:S, ('Sprint 16'!E:E = ""Nim : muthita munmueang"")))/3600,0),2)"),48.0)</f>
        <v>48</v>
      </c>
      <c r="D20" s="216">
        <f>IFERROR(__xludf.DUMMYFUNCTION("IFERROR(SUM(FILTER('Sprint 16'!O:O, (('Sprint 16'!J:J = ""Done"")) * ('Sprint 16'!E:E = ""Nim : muthita munmueang""))),0)"),17.0)</f>
        <v>17</v>
      </c>
      <c r="E20" s="223">
        <f>IFERROR(__xludf.DUMMYFUNCTION("ROUND(IFERROR(SUM(FILTER('Sprint 16'!S:S, (('Sprint 16'!J:J = ""Done"")) * ('Sprint 16'!E:E = ""Nim : muthita munmueang"")))/3600,0),2)"),0.0)</f>
        <v>0</v>
      </c>
      <c r="F20" s="224"/>
    </row>
    <row r="21" ht="22.5" customHeight="1">
      <c r="A21" s="221" t="s">
        <v>77</v>
      </c>
      <c r="B21" s="224">
        <f>IFERROR(__xludf.DUMMYFUNCTION("IFERROR(SUM(FILTER('Sprint 16'!O:O, ('Sprint 16'!E:E = ""Arm:Worawat Chotipongchoawalit""))),0)"),29.0)</f>
        <v>29</v>
      </c>
      <c r="C21" s="223">
        <f>IFERROR(__xludf.DUMMYFUNCTION("ROUND(IFERROR(SUM(FILTER('Sprint 16'!S:S, ('Sprint 16'!E:E = ""Arm:Worawat Chotipongchoawalit"")))/3600,0),2)"),16.0)</f>
        <v>16</v>
      </c>
      <c r="D21" s="216">
        <f>IFERROR(__xludf.DUMMYFUNCTION("IFERROR(SUM(FILTER('Sprint 16'!O:O, (('Sprint 16'!J:J = ""Done"")) * ('Sprint 16'!E:E = ""Arm:Worawat Chotipongchoawalit""))),0)"),19.0)</f>
        <v>19</v>
      </c>
      <c r="E21" s="223">
        <f>IFERROR(__xludf.DUMMYFUNCTION("ROUND(IFERROR(SUM(FILTER('Sprint 16'!S:S, (('Sprint 16'!J:J = ""Done"")) * ('Sprint 16'!E:E = ""Arm:Worawat Chotipongchoawalit"")))/3600,0),2)"),0.0)</f>
        <v>0</v>
      </c>
      <c r="F21" s="224"/>
    </row>
    <row r="22">
      <c r="C22" s="125"/>
    </row>
    <row r="23" ht="24.75" customHeight="1">
      <c r="A23" s="232"/>
      <c r="B23" s="233" t="s">
        <v>2210</v>
      </c>
      <c r="C23" s="234"/>
      <c r="D23" s="234"/>
      <c r="E23" s="235"/>
      <c r="F23" s="236" t="s">
        <v>2211</v>
      </c>
      <c r="G23" s="234"/>
      <c r="H23" s="235"/>
      <c r="I23" s="242" t="s">
        <v>3615</v>
      </c>
      <c r="J23" s="234"/>
      <c r="K23" s="234"/>
      <c r="L23" s="234"/>
      <c r="M23" s="235"/>
    </row>
    <row r="24" ht="20.25" customHeight="1">
      <c r="A24" s="239" t="s">
        <v>2214</v>
      </c>
      <c r="B24" s="243" t="s">
        <v>30</v>
      </c>
      <c r="C24" s="243" t="s">
        <v>24</v>
      </c>
      <c r="D24" s="243" t="s">
        <v>72</v>
      </c>
      <c r="E24" s="243" t="s">
        <v>28</v>
      </c>
      <c r="F24" s="243" t="s">
        <v>32</v>
      </c>
      <c r="G24" s="243" t="s">
        <v>3616</v>
      </c>
      <c r="H24" s="243" t="s">
        <v>73</v>
      </c>
      <c r="I24" s="243" t="s">
        <v>3617</v>
      </c>
      <c r="J24" s="243" t="s">
        <v>74</v>
      </c>
      <c r="K24" s="243" t="s">
        <v>76</v>
      </c>
      <c r="L24" s="243" t="s">
        <v>75</v>
      </c>
      <c r="M24" s="243" t="s">
        <v>77</v>
      </c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</row>
    <row r="25">
      <c r="A25" s="101" t="s">
        <v>4665</v>
      </c>
      <c r="B25" s="99">
        <f>IFERROR(__xludf.DUMMYFUNCTION("IFERROR(
  SUM(
    FILTER(
      'Sprint 16'!O:O,
      ('Sprint 16'!E:E = ""Aek:Atiphat Nanthachitvanich"") *
      (LEFT('Sprint 16'!B:B,7) = ""RDTHANA"")
    )
  ),
0)"),0.0)</f>
        <v>0</v>
      </c>
      <c r="C25" s="99">
        <f>IFERROR(__xludf.DUMMYFUNCTION("IFERROR(
  SUM(
    FILTER(
      'Sprint 16'!O:O,
      ('Sprint 16'!E:E = ""Zan : Isarapong Bulan"") *
      (LEFT('Sprint 16'!B:B,7) = ""RDTHANA"")
    )
  ),
0)"),0.0)</f>
        <v>0</v>
      </c>
      <c r="D25" s="99">
        <f>IFERROR(__xludf.DUMMYFUNCTION("IFERROR(
  SUM(
    FILTER(
      'Sprint 16'!O:O,
      ('Sprint 16'!E:E = ""Aom: Pornsawan Polnyiem"") *
      (LEFT('Sprint 16'!B:B,7) = ""RDTHANA"")
    )
  ),
0)"),0.0)</f>
        <v>0</v>
      </c>
      <c r="E25" s="99">
        <f>IFERROR(__xludf.DUMMYFUNCTION("IFERROR(
  SUM(
    FILTER(
      'Sprint 16'!O:O,
      ('Sprint 16'!E:E = ""Jack: Warin Kesorn"") *
      (LEFT('Sprint 16'!B:B,7) = ""RDTHANA"")
    )
  ),
0)"),0.0)</f>
        <v>0</v>
      </c>
      <c r="F25" s="99">
        <f>IFERROR(__xludf.DUMMYFUNCTION("IFERROR(
  SUM(
    FILTER(
      'Sprint 16'!O:O,
      ('Sprint 16'!E:E = ""A:Phongthorn"") *
      (LEFT('Sprint 16'!B:B,7) = ""RDTHANA"")
    )
  ),
0)"),0.0)</f>
        <v>0</v>
      </c>
      <c r="G25" s="99">
        <f>IFERROR(__xludf.DUMMYFUNCTION("IFERROR(
  SUM(
    FILTER(
      'Sprint 16'!O:O,
      ('Sprint 16'!E:E = ""Art: Narupontp"") *
      (LEFT('Sprint 16'!B:B,7) = ""RDTHANA"")
    )
  ),
0)"),0.0)</f>
        <v>0</v>
      </c>
      <c r="H25" s="99">
        <f>IFERROR(__xludf.DUMMYFUNCTION("IFERROR(
  SUM(
    FILTER(
      'Sprint 16'!O:O,
      ('Sprint 16'!E:E = ""Mai:Sateta Abvanawong"") *
      (LEFT('Sprint 16'!B:B,7) = ""RDTHANA"")
    )
  ),
0)"),0.0)</f>
        <v>0</v>
      </c>
      <c r="I25" s="99">
        <f>IFERROR(__xludf.DUMMYFUNCTION("IFERROR(
  SUM(
    FILTER(
      'Sprint 16'!O:O,
      ('Sprint 16'!E:E = ""Kae: Pimonrath Jaiyen"") *
      (LEFT('Sprint 16'!B:B,7) = ""RDTHANA"")
    )
  ),
0)"),0.0)</f>
        <v>0</v>
      </c>
      <c r="J25" s="99">
        <f>IFERROR(__xludf.DUMMYFUNCTION("IFERROR(
  SUM(
    FILTER(
      'Sprint 16'!O:O,
      ('Sprint 16'!E:E = ""Mac: Jarupong Pawichpongkul"") *
      (LEFT('Sprint 16'!B:B,7) = ""RDTHANA"")
    )
  ),
0)"),0.0)</f>
        <v>0</v>
      </c>
      <c r="K25" s="99">
        <f>IFERROR(__xludf.DUMMYFUNCTION("IFERROR(
  SUM(
    FILTER(
      'Sprint 16'!O:O,
      ('Sprint 16'!E:E = ""Nim : muthita munmueang"") *
      (LEFT('Sprint 16'!B:B,7) = ""RDTHANA"")
    )
  ),
0)"),0.0)</f>
        <v>0</v>
      </c>
      <c r="L25" s="99">
        <f>IFERROR(__xludf.DUMMYFUNCTION("IFERROR(
  SUM(
    FILTER(
      'Sprint 16'!O:O,
      ('Sprint 16'!E:E = ""Moss : Kittapath Sangvikukit"") *
      (LEFT('Sprint 16'!B:B,7) = ""RDTHANA"")
    )
  ),
0)"),0.0)</f>
        <v>0</v>
      </c>
      <c r="M25" s="99">
        <f>IFERROR(__xludf.DUMMYFUNCTION("IFERROR(
  SUM(
    FILTER(
      'Sprint 16'!O:O,
      ('Sprint 16'!E:E = ""Arm:Worawat Chotipongchoawalit"") *
      (LEFT('Sprint 16'!B:B,7) = ""RDTHANA"")
    )
  ),
0)"),0.0)</f>
        <v>0</v>
      </c>
    </row>
    <row r="26">
      <c r="A26" s="101" t="s">
        <v>4666</v>
      </c>
      <c r="B26" s="99">
        <f>IFERROR(__xludf.DUMMYFUNCTION("IFERROR(
  SUM(
    FILTER(
      'Sprint 16'!O:O,
      ('Sprint 16'!E:E = ""Aek:Atiphat Nanthachitvanich"") *
      (LEFT('Sprint 16'!B:B,9) = ""DEVRDECOM"")
    )
  ),
0)"),5.0)</f>
        <v>5</v>
      </c>
      <c r="C26" s="99">
        <f>IFERROR(__xludf.DUMMYFUNCTION("IFERROR(
  SUM(
    FILTER(
      'Sprint 16'!O:O,
      ('Sprint 16'!E:E = ""Zan : Isarapong Bulan"") *
      (LEFT('Sprint 16'!B:B,9) = ""DEVRDECOM"")
    )
  ),
0)"),0.0)</f>
        <v>0</v>
      </c>
      <c r="D26" s="99">
        <f>IFERROR(__xludf.DUMMYFUNCTION("IFERROR(
  SUM(
    FILTER(
      'Sprint 16'!O:O,
      ('Sprint 16'!E:E = ""Aom: Pornsawan Polnyiem"") *
      (LEFT('Sprint 16'!B:B,9) = ""DEVRDECOM"")
    )
  ),
0)"),0.0)</f>
        <v>0</v>
      </c>
      <c r="E26" s="99">
        <f>IFERROR(__xludf.DUMMYFUNCTION("IFERROR(
  SUM(
    FILTER(
      'Sprint 16'!O:O,
      ('Sprint 16'!E:E = ""Jack: Warin Kesorn"") *
      (LEFT('Sprint 16'!B:B,9) = ""DEVRDECOM"")
    )
  ),
0)"),0.0)</f>
        <v>0</v>
      </c>
      <c r="F26" s="99">
        <f>IFERROR(__xludf.DUMMYFUNCTION("IFERROR(
  SUM(
    FILTER(
      'Sprint 16'!O:O,
      ('Sprint 16'!E:E = ""A:Phongthorn"") *
      (LEFT('Sprint 16'!B:B,9) = ""DEVRDECOM"")
    )
  ),
0)"),0.0)</f>
        <v>0</v>
      </c>
      <c r="G26" s="99">
        <f>IFERROR(__xludf.DUMMYFUNCTION("IFERROR(
  SUM(
    FILTER(
      'Sprint 16'!O:O,
      ('Sprint 16'!E:E = ""Art: Narupontp"") *
      (LEFT('Sprint 16'!B:B,9) = ""DEVRDECOM"")
    )
  ),
0)"),0.0)</f>
        <v>0</v>
      </c>
      <c r="H26" s="99">
        <f>IFERROR(__xludf.DUMMYFUNCTION("IFERROR(
  SUM(
    FILTER(
      'Sprint 16'!O:O,
      ('Sprint 16'!E:E = ""Mai:Sateta Abvanawong"") *
      (LEFT('Sprint 16'!B:B,9) = ""DEVRDECOM"")
    )
  ),
0)"),5.0)</f>
        <v>5</v>
      </c>
      <c r="I26" s="99">
        <f>IFERROR(__xludf.DUMMYFUNCTION("IFERROR(
  SUM(
    FILTER(
      'Sprint 16'!O:O,
      ('Sprint 16'!E:E = ""Kae: Pimonrath Jaiyen"") *
      (LEFT('Sprint 16'!B:B,9) = ""DEVRDECOM"")
    )
  ),
0)"),0.0)</f>
        <v>0</v>
      </c>
      <c r="J26" s="99">
        <f>IFERROR(__xludf.DUMMYFUNCTION("IFERROR(
  SUM(
    FILTER(
      'Sprint 16'!O:O,
      ('Sprint 16'!E:E = ""Mac: Jarupong Pawichpongkul"") *
      (LEFT('Sprint 16'!B:B,9) = ""DEVRDECOM"")
    )
  ),
0)"),0.0)</f>
        <v>0</v>
      </c>
      <c r="K26" s="99">
        <f>IFERROR(__xludf.DUMMYFUNCTION("IFERROR(
  SUM(
    FILTER(
      'Sprint 16'!O:O,
      ('Sprint 16'!E:E = ""Nim : muthita munmueang"") *
      (LEFT('Sprint 16'!B:B,9) = ""DEVRDECOM"")
    )
  ),
0)"),5.0)</f>
        <v>5</v>
      </c>
      <c r="L26" s="99">
        <f>IFERROR(__xludf.DUMMYFUNCTION("IFERROR(
  SUM(
    FILTER(
      'Sprint 16'!O:O,
      ('Sprint 16'!E:E = ""Moss : Kittapath Sangvikukit"") *
      (LEFT('Sprint 16'!B:B,9) = ""DEVRDECOM"")
    )
  ),
0)"),12.0)</f>
        <v>12</v>
      </c>
      <c r="M26" s="99">
        <f>IFERROR(__xludf.DUMMYFUNCTION("IFERROR(
  SUM(
    FILTER(
      'Sprint 16'!O:O,
      ('Sprint 16'!E:E = ""Arm:Worawat Chotipongchoawalit"") *
      (LEFT('Sprint 16'!B:B,9) = ""DEVRDECOM"")
    )
  ),
0)"),11.0)</f>
        <v>11</v>
      </c>
    </row>
    <row r="27" ht="32.25" customHeight="1">
      <c r="A27" s="101" t="s">
        <v>4667</v>
      </c>
      <c r="B27" s="99">
        <f>IFERROR(__xludf.DUMMYFUNCTION("IFERROR(
  SUM(
    FILTER(
      'Sprint 16'!O:O,
      ('Sprint 16'!E:E = ""Aek:Atiphat Nanthachitvanich"") *
      (LEFT('Sprint 16'!B:B,7) = ""DEVRDCT"")
    )
  ),
0)"),0.0)</f>
        <v>0</v>
      </c>
      <c r="C27" s="99">
        <f>IFERROR(__xludf.DUMMYFUNCTION("IFERROR(
  SUM(
    FILTER(
      'Sprint 16'!O:O,
      ('Sprint 16'!E:E = ""Zan : Isarapong Bulan"") *
      (LEFT('Sprint 16'!B:B,7) = ""DEVRDCT"")
    )
  ),
0)"),0.0)</f>
        <v>0</v>
      </c>
      <c r="D27" s="99">
        <f>IFERROR(__xludf.DUMMYFUNCTION("IFERROR(
  SUM(
    FILTER(
      'Sprint 16'!O:O,
      ('Sprint 16'!E:E = ""Aom: Pornsawan Polnyiem"") *
      (LEFT('Sprint 16'!B:B,7) = ""DEVRDCT"")
    )
  ),
0)"),0.0)</f>
        <v>0</v>
      </c>
      <c r="E27" s="99">
        <f>IFERROR(__xludf.DUMMYFUNCTION("IFERROR(
  SUM(
    FILTER(
      'Sprint 16'!O:O,
      ('Sprint 16'!E:E = ""Jack: Warin Kesorn"") *
      (LEFT('Sprint 16'!B:B,7) = ""DEVRDCT"")
    )
  ),
0)"),0.0)</f>
        <v>0</v>
      </c>
      <c r="F27" s="99">
        <f>IFERROR(__xludf.DUMMYFUNCTION("IFERROR(
  SUM(
    FILTER(
      'Sprint 16'!O:O,
      ('Sprint 16'!E:E = ""A:Phongthorn"") *
      (LEFT('Sprint 16'!B:B,7) = ""DEVRDCT"")
    )
  ),
0)"),0.0)</f>
        <v>0</v>
      </c>
      <c r="G27" s="99">
        <f>IFERROR(__xludf.DUMMYFUNCTION("IFERROR(
  SUM(
    FILTER(
      'Sprint 16'!O:O,
      ('Sprint 16'!E:E = ""Art: Narupontp"") *
      (LEFT('Sprint 16'!B:B,7) = ""DEVRDCT"")
    )
  ),
0)"),0.0)</f>
        <v>0</v>
      </c>
      <c r="H27" s="99">
        <f>IFERROR(__xludf.DUMMYFUNCTION("IFERROR(
  SUM(
    FILTER(
      'Sprint 16'!O:O,
      ('Sprint 16'!E:E = ""Mai:Sateta Abvanawong"") *
      (LEFT('Sprint 16'!B:B,7) = ""DEVRDCT"")
    )
  ),
0)"),0.0)</f>
        <v>0</v>
      </c>
      <c r="I27" s="99">
        <f>IFERROR(__xludf.DUMMYFUNCTION("IFERROR(
  SUM(
    FILTER(
      'Sprint 16'!O:O,
      ('Sprint 16'!E:E = ""Moss : Kittapath Sangvikukit"") *
      (LEFT('Sprint 16'!B:B,7) = ""DEVRDCT"")
    )
  ),
0)"),2.0)</f>
        <v>2</v>
      </c>
      <c r="J27" s="99">
        <f>IFERROR(__xludf.DUMMYFUNCTION("IFERROR(
  SUM(
    FILTER(
      'Sprint 16'!O:O,
      ('Sprint 16'!E:E = ""Mac: Jarupong Pawichpongkul"") *
      (LEFT('Sprint 16'!B:B,7) = ""DEVRDCT"")
    )
  ),
0)"),0.0)</f>
        <v>0</v>
      </c>
      <c r="K27" s="99">
        <f>IFERROR(__xludf.DUMMYFUNCTION("IFERROR(
  SUM(
    FILTER(
      'Sprint 16'!O:O,
      ('Sprint 16'!E:E = ""Moss : Kittapath Sangvikukit"") *
      (LEFT('Sprint 16'!B:B,7) = ""DEVRDCT"")
    )
  ),
0)"),2.0)</f>
        <v>2</v>
      </c>
      <c r="L27" s="99">
        <f>IFERROR(__xludf.DUMMYFUNCTION("IFERROR(
  SUM(
    FILTER(
      'Sprint 16'!O:O,
      ('Sprint 16'!E:E = ""Moss : Kittapath Sangvikukit"") *
      (LEFT('Sprint 16'!B:B,7) = ""DEVRDCT"")
    )
  ),
0)"),2.0)</f>
        <v>2</v>
      </c>
      <c r="M27" s="99">
        <f>IFERROR(__xludf.DUMMYFUNCTION("IFERROR(
  SUM(
    FILTER(
      'Sprint 16'!O:O,
      ('Sprint 16'!E:E = ""Arm:Worawat Chotipongchoawalit"") *
      (LEFT('Sprint 16'!B:B,7) = ""DEVRDCT"")
    )
  ),
0)"),0.0)</f>
        <v>0</v>
      </c>
    </row>
    <row r="28" ht="22.5" customHeight="1">
      <c r="A28" s="101" t="s">
        <v>4668</v>
      </c>
      <c r="B28" s="99">
        <f>IFERROR(__xludf.DUMMYFUNCTION("IFERROR(
  SUM(
    FILTER(
      'Sprint 16'!O:O,
      ('Sprint 16'!E:E = ""Aek:Atiphat Nanthachitvanich"") *
      (LEFT('Sprint 16'!B:B,8) = ""DEVRDADJ"")
    )
  ),
0)"),0.0)</f>
        <v>0</v>
      </c>
      <c r="C28" s="99">
        <f>IFERROR(__xludf.DUMMYFUNCTION("IFERROR(
  SUM(
    FILTER(
      'Sprint 16'!O:O,
      ('Sprint 16'!E:E = ""Zan : Isarapong Bulan"") *
      (LEFT('Sprint 16'!B:B,8) = ""DEVRDADJ"")
    )
  ),
0)"),0.0)</f>
        <v>0</v>
      </c>
      <c r="D28" s="99">
        <f>IFERROR(__xludf.DUMMYFUNCTION("IFERROR(
  SUM(
    FILTER(
      'Sprint 16'!O:O,
      ('Sprint 16'!E:E = ""Aom: Pornsawan Polnyiem"") *
      (LEFT('Sprint 16'!B:B,8) = ""DEVRDADJ"")
    )
  ),
0)"),0.0)</f>
        <v>0</v>
      </c>
      <c r="E28" s="99">
        <f>IFERROR(__xludf.DUMMYFUNCTION("IFERROR(
  SUM(
    FILTER(
      'Sprint 16'!O:O,
      ('Sprint 16'!E:E = ""Jack: Warin Kesorn"") *
      (LEFT('Sprint 16'!B:B,8) = ""DEVRDADJ"")
    )
  ),
0)"),0.0)</f>
        <v>0</v>
      </c>
      <c r="F28" s="99">
        <f>IFERROR(__xludf.DUMMYFUNCTION("IFERROR(
  SUM(
    FILTER(
      'Sprint 16'!O:O,
      ('Sprint 16'!E:E = ""A:Phongthorn"") *
      (LEFT('Sprint 16'!B:B,8) = ""DEVRDADJ"")
    )
  ),
0)"),0.0)</f>
        <v>0</v>
      </c>
      <c r="G28" s="99">
        <f>IFERROR(__xludf.DUMMYFUNCTION("IFERROR(
  SUM(
    FILTER(
      'Sprint 16'!O:O,
      ('Sprint 16'!E:E = ""Art: Narupontp"") *
      (LEFT('Sprint 16'!B:B,8) = ""DEVRDADJ"")
    )
  ),
0)"),0.0)</f>
        <v>0</v>
      </c>
      <c r="H28" s="99">
        <f>IFERROR(__xludf.DUMMYFUNCTION("IFERROR(
  SUM(
    FILTER(
      'Sprint 16'!O:O,
      ('Sprint 16'!E:E = ""Mai:Sateta Abvanawong"") *
      (LEFT('Sprint 16'!B:B,8) = ""DEVRDADJ"")
    )
  ),
0)"),0.0)</f>
        <v>0</v>
      </c>
      <c r="I28" s="99">
        <f>IFERROR(__xludf.DUMMYFUNCTION("IFERROR(
  SUM(
    FILTER(
      'Sprint 16'!O:O,
      ('Sprint 16'!E:E = ""Kae: Pimonrath Jaiyen"") *
      (LEFT('Sprint 16'!B:B,8) = ""DEVRDADJ"")
    )
  ),
0)"),0.0)</f>
        <v>0</v>
      </c>
      <c r="J28" s="99">
        <f>IFERROR(__xludf.DUMMYFUNCTION("IFERROR(
  SUM(
    FILTER(
      'Sprint 16'!O:O,
      ('Sprint 16'!E:E = ""Mac: Jarupong Pawichpongkul"") *
      (LEFT('Sprint 16'!B:B,8) = ""DEVRDADJ"")
    )
  ),
0)"),0.0)</f>
        <v>0</v>
      </c>
      <c r="K28" s="99">
        <f>IFERROR(__xludf.DUMMYFUNCTION("IFERROR(
  SUM(
    FILTER(
      'Sprint 16'!O:O,
      ('Sprint 16'!E:E = ""Nim : muthita munmueang"") *
      (LEFT('Sprint 16'!B:B,8) = ""DEVRDADJ"")
    )
  ),
0)"),0.0)</f>
        <v>0</v>
      </c>
      <c r="L28" s="99">
        <f>IFERROR(__xludf.DUMMYFUNCTION("IFERROR(
  SUM(
    FILTER(
      'Sprint 16'!O:O,
      ('Sprint 16'!E:E = ""Moss : Kittapath Sangvikukit"") *
      (LEFT('Sprint 16'!B:B,8) = ""DEVRDADJ"")
    )
  ),
0)"),0.0)</f>
        <v>0</v>
      </c>
      <c r="M28" s="99">
        <f>IFERROR(__xludf.DUMMYFUNCTION("IFERROR(
  SUM(
    FILTER(
      'Sprint 16'!O:O,
      ('Sprint 16'!E:E = ""Arm:Worawat Chotipongchoawalit"") *
      (LEFT('Sprint 16'!B:B,8) = ""DEVRDADJ"")
    )
  ),
0)"),0.0)</f>
        <v>0</v>
      </c>
    </row>
    <row r="29">
      <c r="A29" s="101" t="s">
        <v>4669</v>
      </c>
      <c r="B29" s="101">
        <f>IFERROR(__xludf.DUMMYFUNCTION("IFERROR(
  SUM(
    FILTER(
      'Sprint 16'!O:O,
      ('Sprint 16'!E:E = ""Aek:Atiphat Nanthachitvanich"") *
      (LEFT('Sprint 16'!B:B,5) = ""RDAPS"")
    )
  ),
0)"),0.0)</f>
        <v>0</v>
      </c>
      <c r="C29" s="99">
        <f>IFERROR(__xludf.DUMMYFUNCTION("IFERROR(
  SUM(
    FILTER(
      'Sprint 16'!O:O,
      ('Sprint 16'!E:E = ""Zan : Isarapong Bulan"") *
      (LEFT('Sprint 16'!B:B,5) = ""RDAPS"")
    )
  ),
0)"),27.0)</f>
        <v>27</v>
      </c>
      <c r="D29" s="99">
        <f>IFERROR(__xludf.DUMMYFUNCTION("IFERROR(
  SUM(
    FILTER(
      'Sprint 16'!O:O,
      ('Sprint 16'!E:E = ""Aom: Pornsawan Polnyiem"") *
      (LEFT('Sprint 16'!B:B,5) = ""RDAPS"")
    )
  ),
0)"),15.0)</f>
        <v>15</v>
      </c>
      <c r="E29" s="99">
        <f>IFERROR(__xludf.DUMMYFUNCTION("IFERROR(
  SUM(
    FILTER(
      'Sprint 16'!O:O,
      ('Sprint 16'!E:E = ""Jack: Warin Kesorn"") *
      (LEFT('Sprint 16'!B:B,5) = ""RDAPS"")
    )
  ),
0)"),0.0)</f>
        <v>0</v>
      </c>
      <c r="F29" s="99">
        <f>IFERROR(__xludf.DUMMYFUNCTION("IFERROR(
  SUM(
    FILTER(
      'Sprint 16'!O:O,
      ('Sprint 16'!E:E = ""A:Phongthorn"") *
      (LEFT('Sprint 16'!B:B,5) = ""RDAPS"")
    )
  ),
0)"),0.0)</f>
        <v>0</v>
      </c>
      <c r="G29" s="99">
        <f>IFERROR(__xludf.DUMMYFUNCTION("IFERROR(
  SUM(
    FILTER(
      'Sprint 16'!O:O,
      ('Sprint 16'!E:E = ""Art: Narupontp"") *
      (LEFT('Sprint 16'!B:B,5) = ""RDAPS"")
    )
  ),
0)"),0.0)</f>
        <v>0</v>
      </c>
      <c r="H29" s="99">
        <f>IFERROR(__xludf.DUMMYFUNCTION("IFERROR(
  SUM(
    FILTER(
      'Sprint 16'!O:O,
      ('Sprint 16'!E:E = ""Mai:Sateta Abvanawong"") *
      (LEFT('Sprint 16'!B:B,5) = ""RDAPS"")
    )
  ),
0)"),10.0)</f>
        <v>10</v>
      </c>
      <c r="I29" s="99">
        <f>IFERROR(__xludf.DUMMYFUNCTION("IFERROR(
  SUM(
    FILTER(
      'Sprint 16'!O:O,
      ('Sprint 16'!E:E = ""Kae: Pimonrath Jaiyen"") *
      (LEFT('Sprint 16'!B:B,5) = ""RDAPS"")
    )
  ),
0)"),0.0)</f>
        <v>0</v>
      </c>
      <c r="J29" s="99">
        <f>IFERROR(__xludf.DUMMYFUNCTION("IFERROR(
  SUM(
    FILTER(
      'Sprint 16'!O:O,
      ('Sprint 16'!E:E = ""Mac: Jarupong Pawichpongkul"") *
      (LEFT('Sprint 16'!B:B,5) = ""RDAPS"")
    )
  ),
0)"),3.0)</f>
        <v>3</v>
      </c>
      <c r="K29" s="99">
        <f>IFERROR(__xludf.DUMMYFUNCTION("IFERROR(
  SUM(
    FILTER(
      'Sprint 16'!O:O,
      ('Sprint 16'!E:E = ""Moss : Kittapath Sangvikukitฃ"") *
      (LEFT('Sprint 16'!B:B,5) = ""RDAPS"")
    )
  ),
0)"),0.0)</f>
        <v>0</v>
      </c>
      <c r="L29" s="99">
        <f>IFERROR(__xludf.DUMMYFUNCTION("IFERROR(
  SUM(
    FILTER(
      'Sprint 16'!O:O,
      ('Sprint 16'!E:E = ""Moss : Kittapath Sangvikukit"") *
      (LEFT('Sprint 16'!B:B,5) = ""RDAPS"")
    )
  ),
0)"),6.0)</f>
        <v>6</v>
      </c>
      <c r="M29" s="99">
        <f>IFERROR(__xludf.DUMMYFUNCTION("IFERROR(
  SUM(
    FILTER(
      'Sprint 16'!O:O,
      ('Sprint 16'!E:E = ""Arm:Worawat Chotipongchoawalit"") *
      (LEFT('Sprint 16'!B:B,5) = ""RDAPS"")
    )
  ),
0)"),8.0)</f>
        <v>8</v>
      </c>
    </row>
    <row r="30" ht="21.0" customHeight="1">
      <c r="A30" s="101" t="s">
        <v>4670</v>
      </c>
      <c r="B30" s="101">
        <f>IFERROR(__xludf.DUMMYFUNCTION("IFERROR(
  SUM(
    FILTER(
      'Sprint 16'!O:O,
      ('Sprint 16'!E:E = ""Aek:Atiphat Nanthachitvanich"") *
      (LEFT('Sprint 16'!B:B,8) = ""DEVRDSUP"")
    )
  ),
0)"),0.0)</f>
        <v>0</v>
      </c>
      <c r="C30" s="99">
        <f>IFERROR(__xludf.DUMMYFUNCTION("IFERROR(
  SUM(
    FILTER(
      'Sprint 16'!O:O,
      ('Sprint 16'!E:E = ""Zan : Isarapong Bulan"") *
      (LEFT('Sprint 16'!B:B,8) = ""DEVRDSUP"")
    )
  ),
0)"),0.0)</f>
        <v>0</v>
      </c>
      <c r="D30" s="99">
        <f>IFERROR(__xludf.DUMMYFUNCTION("IFERROR(
  SUM(
    FILTER(
      'Sprint 16'!O:O,
      ('Sprint 16'!E:E = ""Aom: Pornsawan Polnyiem"") *
      (LEFT('Sprint 16'!B:B,8) = ""DEVRDSUP"")
    )
  ),
0)"),9.0)</f>
        <v>9</v>
      </c>
      <c r="E30" s="99">
        <f>IFERROR(__xludf.DUMMYFUNCTION("IFERROR(
  SUM(
    FILTER(
      'Sprint 16'!O:O,
      ('Sprint 16'!E:E = ""Jack: Warin Kesorn"") *
      (LEFT('Sprint 16'!B:B,8) = ""DEVRDSUP"")
    )
  ),
0)"),0.0)</f>
        <v>0</v>
      </c>
      <c r="F30" s="101">
        <f>IFERROR(__xludf.DUMMYFUNCTION("IFERROR(
  SUM(
    FILTER(
      'Sprint 16'!P:P,
      ('Sprint 16'!F:F = ""A:Phongthorn"") *
      (LEFT('Sprint 16'!C:C,8) = ""DEVRDSUP"")
    )
  ),
0)"),0.0)</f>
        <v>0</v>
      </c>
      <c r="G30" s="99">
        <f>IFERROR(__xludf.DUMMYFUNCTION("IFERROR(
  SUM(
    FILTER(
      'Sprint 16'!O:O,
      ('Sprint 16'!E:E = ""Art: Narupontp"") *
      (LEFT('Sprint 16'!B:B,8) = ""DEVRDSUP"")
    )
  ),
0)"),0.0)</f>
        <v>0</v>
      </c>
      <c r="H30" s="99">
        <f>IFERROR(__xludf.DUMMYFUNCTION("IFERROR(
  SUM(
    FILTER(
      'Sprint 16'!O:O,
      ('Sprint 16'!E:E = ""Mai:Sateta Abvanawong"") *
      (LEFT('Sprint 16'!B:B,8) = ""DEVRDSUP"")
    )
  ),
0)"),5.0)</f>
        <v>5</v>
      </c>
      <c r="I30" s="99">
        <f>IFERROR(__xludf.DUMMYFUNCTION("IFERROR(
  SUM(
    FILTER(
      'Sprint 16'!O:O,
      ('Sprint 16'!E:E = ""Kae: Pimonrath Jaiyen"") *
      (LEFT('Sprint 16'!B:B,8) = ""DEVRDSUP"")
    )
  ),
0)"),0.0)</f>
        <v>0</v>
      </c>
      <c r="J30" s="99">
        <f>IFERROR(__xludf.DUMMYFUNCTION("IFERROR(
  SUM(
    FILTER(
      'Sprint 16'!O:O,
      ('Sprint 16'!E:E = ""Mac: Jarupong Pawichpongkul"") *
      (LEFT('Sprint 16'!B:B,8) = ""DEVRDSUP"")
    )
  ),
0)"),0.0)</f>
        <v>0</v>
      </c>
      <c r="K30" s="99">
        <f>IFERROR(__xludf.DUMMYFUNCTION("IFERROR(
  SUM(
    FILTER(
      'Sprint 16'!O:O,
      ('Sprint 16'!E:E = ""Nim : muthita munmueang"") *
      (LEFT('Sprint 16'!B:B,8) = ""DEVRDSUP"")
    )
  ),
0)"),1.0)</f>
        <v>1</v>
      </c>
      <c r="L30" s="99">
        <f>IFERROR(__xludf.DUMMYFUNCTION("IFERROR(
  SUM(
    FILTER(
      'Sprint 16'!O:O,
      ('Sprint 16'!E:E = ""Moss : Kittapath Sangvikukit"") *
      (LEFT('Sprint 16'!B:B,8) = ""DEVRDSUP"")
    )
  ),
0)"),0.0)</f>
        <v>0</v>
      </c>
      <c r="M30" s="99">
        <f>IFERROR(__xludf.DUMMYFUNCTION("IFERROR(
  SUM(
    FILTER(
      'Sprint 16'!O:O,
      ('Sprint 16'!E:E = ""Arm:Worawat Chotipongchoawalit"") *
      (LEFT('Sprint 16'!B:B,8) = ""DEVRDSUP"")
    )
  ),
0)"),0.0)</f>
        <v>0</v>
      </c>
    </row>
    <row r="31">
      <c r="C31" s="125"/>
    </row>
    <row r="32">
      <c r="C32" s="125"/>
    </row>
    <row r="33" ht="24.75" customHeight="1">
      <c r="A33" s="232"/>
      <c r="B33" s="233" t="s">
        <v>2210</v>
      </c>
      <c r="C33" s="234"/>
      <c r="D33" s="234"/>
      <c r="E33" s="235"/>
      <c r="F33" s="236" t="s">
        <v>2211</v>
      </c>
      <c r="G33" s="234"/>
      <c r="H33" s="235"/>
      <c r="I33" s="242" t="s">
        <v>3615</v>
      </c>
      <c r="J33" s="234"/>
      <c r="K33" s="234"/>
      <c r="L33" s="234"/>
      <c r="M33" s="235"/>
    </row>
    <row r="34" ht="20.25" customHeight="1">
      <c r="A34" s="239" t="s">
        <v>3618</v>
      </c>
      <c r="B34" s="243" t="s">
        <v>30</v>
      </c>
      <c r="C34" s="243" t="s">
        <v>24</v>
      </c>
      <c r="D34" s="243" t="s">
        <v>72</v>
      </c>
      <c r="E34" s="243" t="s">
        <v>28</v>
      </c>
      <c r="F34" s="243" t="s">
        <v>32</v>
      </c>
      <c r="G34" s="243" t="s">
        <v>3616</v>
      </c>
      <c r="H34" s="243" t="s">
        <v>73</v>
      </c>
      <c r="I34" s="243" t="s">
        <v>3617</v>
      </c>
      <c r="J34" s="243" t="s">
        <v>74</v>
      </c>
      <c r="K34" s="243" t="s">
        <v>76</v>
      </c>
      <c r="L34" s="243" t="s">
        <v>75</v>
      </c>
      <c r="M34" s="243" t="s">
        <v>77</v>
      </c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</row>
    <row r="35">
      <c r="A35" s="101" t="s">
        <v>4665</v>
      </c>
      <c r="B35" s="99">
        <f>IFERROR(__xludf.DUMMYFUNCTION("ROUND(
  IFERROR(
    SUM(
      FILTER(
        'Sprint 16'!S:S,
        ('Sprint 16'!E:E = ""Aek:Atiphat Nanthachitvanich"") *
        (LEFT('Sprint 16'!B:B,7) = ""RDTHANA"")
      )
    ) / 3600,
    0
  ),
  2
)"),0.0)</f>
        <v>0</v>
      </c>
      <c r="C35" s="99">
        <f>IFERROR(__xludf.DUMMYFUNCTION("ROUND(
  IFERROR(
    SUM(
      FILTER(
        'Sprint 16'!S:S,
        ('Sprint 16'!E:E = ""Zan : Isarapong Bulan"") *
        (LEFT('Sprint 16'!B:B,7) = ""RDTHANA"")
      )
    ) / 3600,
    0
  ),
  2
)"),0.0)</f>
        <v>0</v>
      </c>
      <c r="D35" s="99">
        <f>IFERROR(__xludf.DUMMYFUNCTION("ROUND(
  IFERROR(
    SUM(
      FILTER(
        'Sprint 16'!S:S,
        ('Sprint 16'!E:E = ""Aom: Pornsawan Polnyiem"") *
        (LEFT('Sprint 16'!B:B,7) = ""RDTHANA"")
      )
    ) / 3600,
    0
  ),
  2
)"),0.0)</f>
        <v>0</v>
      </c>
      <c r="E35" s="99">
        <f>IFERROR(__xludf.DUMMYFUNCTION("ROUND(
  IFERROR(
    SUM(
      FILTER(
        'Sprint 16'!S:S,
        ('Sprint 16'!E:E = ""Jack: Warin Kesorn"") *
        (LEFT('Sprint 16'!B:B,7) = ""RDTHANA"")
      )
    ) / 3600,
    0
  ),
  2
)"),0.0)</f>
        <v>0</v>
      </c>
      <c r="F35" s="99">
        <f>IFERROR(__xludf.DUMMYFUNCTION("ROUND(
  IFERROR(
    SUM(
      FILTER(
        'Sprint 16'!S:S,
        ('Sprint 16'!E:E = ""A:Phongthorn"") *
        (LEFT('Sprint 16'!B:B,7) = ""RDTHANA"")
      )
    ) / 3600,
    0
  ),
  2
)"),0.0)</f>
        <v>0</v>
      </c>
      <c r="G35" s="99">
        <f>IFERROR(__xludf.DUMMYFUNCTION("ROUND(
  IFERROR(
    SUM(
      FILTER(
        'Sprint 16'!S:S,
        ('Sprint 16'!E:E = ""Art: Narupontp"") *
        (LEFT('Sprint 16'!B:B,7) = ""RDTHANA"")
      )
    ) / 3600,
    0
  ),
  2
)"),0.0)</f>
        <v>0</v>
      </c>
      <c r="H35" s="99">
        <f>IFERROR(__xludf.DUMMYFUNCTION("ROUND(
  IFERROR(
    SUM(
      FILTER(
        'Sprint 16'!S:S,
        ('Sprint 16'!E:E = ""Mai:Sateta Abvanawong"") *
        (LEFT('Sprint 16'!B:B,7) = ""RDTHANA"")
      )
    ) / 3600,
    0
  ),
  2
)"),0.0)</f>
        <v>0</v>
      </c>
      <c r="I35" s="99">
        <f>IFERROR(__xludf.DUMMYFUNCTION("ROUND(
  IFERROR(
    SUM(
      FILTER(
        'Sprint 16'!S:S,
        ('Sprint 16'!E:E = ""Kae: Pimonrath Jaiyen"") *
        (LEFT('Sprint 16'!B:B,7) = ""RDTHANA"")
      )
    ) / 3600,
    0
  ),
  2
)"),0.0)</f>
        <v>0</v>
      </c>
      <c r="J35" s="99">
        <f>IFERROR(__xludf.DUMMYFUNCTION("ROUND(
  IFERROR(
    SUM(
      FILTER(
        'Sprint 16'!S:S,
        ('Sprint 16'!E:E = ""Mac: Jarupong Pawichpongkul"") *
        (LEFT('Sprint 16'!B:B,7) = ""RDTHANA"")
      )
    ) / 3600,
    0
  ),
  2
)"),0.0)</f>
        <v>0</v>
      </c>
      <c r="K35" s="99">
        <f>IFERROR(__xludf.DUMMYFUNCTION("ROUND(
  IFERROR(
    SUM(
      FILTER(
        'Sprint 16'!S:S,
        ('Sprint 16'!E:E = ""Nim : muthita munmueang"") *
        (LEFT('Sprint 16'!B:B,7) = ""RDTHANA"")
      )
    ) / 3600,
    0
  ),
  2
)"),0.0)</f>
        <v>0</v>
      </c>
      <c r="L35" s="99">
        <f>IFERROR(__xludf.DUMMYFUNCTION("ROUND(
  IFERROR(
    SUM(
      FILTER(
        'Sprint 16'!S:S,
        ('Sprint 16'!E:E = ""Moss : Kittapath Sangvikukit"") *
        (LEFT('Sprint 16'!B:B,7) = ""RDTHANA"")
      )
    ) / 3600,
    0
  ),
  2
)"),0.0)</f>
        <v>0</v>
      </c>
      <c r="M35" s="99">
        <f>IFERROR(__xludf.DUMMYFUNCTION("ROUND(
  IFERROR(
    SUM(
      FILTER(
        'Sprint 16'!S:S,
        ('Sprint 16'!E:E = ""Arm:Worawat Chotipongchoawalit"") *
        (LEFT('Sprint 16'!B:B,7) = ""RDTHANA"")
      )
    ) / 3600,
    0
  ),
  2
)"),0.0)</f>
        <v>0</v>
      </c>
    </row>
    <row r="36">
      <c r="A36" s="101" t="s">
        <v>4666</v>
      </c>
      <c r="B36" s="99">
        <f>IFERROR(__xludf.DUMMYFUNCTION("ROUND(
  IFERROR(
    SUM(
      FILTER(
        'Sprint 16'!S:S,
        ('Sprint 16'!E:E = ""Aek:Atiphat Nanthachitvanich"") *
        (LEFT('Sprint 16'!B:B,9) = ""DEVRDECOM"")
      )
    ) / 3600,
    0
  ),
  2
)"),3.0)</f>
        <v>3</v>
      </c>
      <c r="C36" s="99">
        <f>IFERROR(__xludf.DUMMYFUNCTION("ROUND(
  IFERROR(
    SUM(
      FILTER(
        'Sprint 16'!S:S,
        ('Sprint 16'!E:E = ""Zan : Isarapong Bulan"") *
        (LEFT('Sprint 16'!B:B,9) = ""DEVRDECOM"")
      )
    ) / 3600,
    0
  ),
  2
)"),0.0)</f>
        <v>0</v>
      </c>
      <c r="D36" s="99">
        <f>IFERROR(__xludf.DUMMYFUNCTION("ROUND(
  IFERROR(
    SUM(
      FILTER(
        'Sprint 16'!S:S,
        ('Sprint 16'!E:E = ""Aom: Pornsawan Polnyiem"") *
        (LEFT('Sprint 16'!B:B,9) = ""DEVRDECOM"")
      )
    ) / 3600,
    0
  ),
  2
)"),0.0)</f>
        <v>0</v>
      </c>
      <c r="E36" s="99">
        <f>IFERROR(__xludf.DUMMYFUNCTION("ROUND(
  IFERROR(
    SUM(
      FILTER(
        'Sprint 16'!S:S,
        ('Sprint 16'!E:E = ""Jack: Warin Kesorn"") *
        (LEFT('Sprint 16'!B:B,9) = ""DEVRDECOM"")
      )
    ) / 3600,
    0
  ),
  2
)"),0.0)</f>
        <v>0</v>
      </c>
      <c r="F36" s="99">
        <f>IFERROR(__xludf.DUMMYFUNCTION("ROUND(
  IFERROR(
    SUM(
      FILTER(
        'Sprint 16'!S:S,
        ('Sprint 16'!E:E = ""A:Phongthorn"") *
        (LEFT('Sprint 16'!B:B,9) = ""DEVRDECOM"")
      )
    ) / 3600,
    0
  ),
  2
)"),0.0)</f>
        <v>0</v>
      </c>
      <c r="G36" s="99">
        <f>IFERROR(__xludf.DUMMYFUNCTION("ROUND(
  IFERROR(
    SUM(
      FILTER(
        'Sprint 16'!S:S,
        ('Sprint 16'!E:E = ""Art: Narupontp"") *
        (LEFT('Sprint 16'!B:B,9) = ""DEVRDECOM"")
      )
    ) / 3600,
    0
  ),
  2
)"),0.0)</f>
        <v>0</v>
      </c>
      <c r="H36" s="99">
        <f>IFERROR(__xludf.DUMMYFUNCTION("ROUND(
  IFERROR(
    SUM(
      FILTER(
        'Sprint 16'!S:S,
        ('Sprint 16'!E:E = ""Mai:Sateta Abvanawong"") *
        (LEFT('Sprint 16'!B:B,9) = ""DEVRDECOM"")
      )
    ) / 3600,
    0
  ),
  2
)"),0.0)</f>
        <v>0</v>
      </c>
      <c r="I36" s="99">
        <f>IFERROR(__xludf.DUMMYFUNCTION("ROUND(
  IFERROR(
    SUM(
      FILTER(
        'Sprint 16'!S:S,
        ('Sprint 16'!E:E = ""Kae: Pimonrath Jaiyen"") *
        (LEFT('Sprint 16'!B:B,9) = ""DEVRDECOM"")
      )
    ) / 3600,
    0
  ),
  2
)"),0.0)</f>
        <v>0</v>
      </c>
      <c r="J36" s="99">
        <f>IFERROR(__xludf.DUMMYFUNCTION("ROUND(
  IFERROR(
    SUM(
      FILTER(
        'Sprint 16'!S:S,
        ('Sprint 16'!E:E = ""Mac: Jarupong Pawichpongkul"") *
        (LEFT('Sprint 16'!B:B,9) = ""DEVRDECOM"")
      )
    ) / 3600,
    0
  ),
  2
)"),0.0)</f>
        <v>0</v>
      </c>
      <c r="K36" s="99">
        <f>IFERROR(__xludf.DUMMYFUNCTION("ROUND(
  IFERROR(
    SUM(
      FILTER(
        'Sprint 16'!S:S,
        ('Sprint 16'!E:E = ""Nim : muthita munmueang"") *
        (LEFT('Sprint 16'!B:B,9) = ""DEVRDECOM"")
      )
    ) / 3600,
    0
  ),
  2
)"),0.0)</f>
        <v>0</v>
      </c>
      <c r="L36" s="99">
        <f>IFERROR(__xludf.DUMMYFUNCTION("ROUND(
  IFERROR(
    SUM(
      FILTER(
        'Sprint 16'!S:S,
        ('Sprint 16'!E:E = ""Moss : Kittapath Sangvikukit"") *
        (LEFT('Sprint 16'!B:B,9) = ""DEVRDECOM"")
      )
    ) / 3600,
    0
  ),
  2
)"),0.0)</f>
        <v>0</v>
      </c>
      <c r="M36" s="99">
        <f>IFERROR(__xludf.DUMMYFUNCTION("ROUND(
  IFERROR(
    SUM(
      FILTER(
        'Sprint 16'!S:S,
        ('Sprint 16'!E:E = ""Arm:Worawat Chotipongchoawalit"") *
        (LEFT('Sprint 16'!B:B,9) = ""DEVRDECOM"")
      )
    ) / 3600,
    0
  ),
  2
)"),0.0)</f>
        <v>0</v>
      </c>
    </row>
    <row r="37" ht="32.25" customHeight="1">
      <c r="A37" s="101" t="s">
        <v>4667</v>
      </c>
      <c r="B37" s="99">
        <f>IFERROR(__xludf.DUMMYFUNCTION("ROUND(
  IFERROR(
    SUM(
      FILTER(
        'Sprint 16'!S:S,
        ('Sprint 16'!E:E = ""Aek:Atiphat Nanthachitvanich"") *
        (LEFT('Sprint 16'!B:B,7) = ""DEVRDCT"")
      )
    ) / 3600,
    0
  ),
  2
)"),0.0)</f>
        <v>0</v>
      </c>
      <c r="C37" s="99">
        <f>IFERROR(__xludf.DUMMYFUNCTION("ROUND(
  IFERROR(
    SUM(
      FILTER(
        'Sprint 16'!S:S,
        ('Sprint 16'!E:E = ""Zan : Isarapong Bulan"") *
        (LEFT('Sprint 16'!B:B,7) = ""DEVRDCT"")
      )
    ) / 3600,
    0
  ),
  2
)"),0.0)</f>
        <v>0</v>
      </c>
      <c r="D37" s="99">
        <f>IFERROR(__xludf.DUMMYFUNCTION("ROUND(
  IFERROR(
    SUM(
      FILTER(
        'Sprint 16'!S:S,
        ('Sprint 16'!E:E = ""Aom: Pornsawan Polnyiem"") *
        (LEFT('Sprint 16'!B:B,7) = ""DEVRDCT"")
      )
    ) / 3600,
    0
  ),
  2
)"),0.0)</f>
        <v>0</v>
      </c>
      <c r="E37" s="99">
        <f>IFERROR(__xludf.DUMMYFUNCTION("ROUND(
  IFERROR(
    SUM(
      FILTER(
        'Sprint 16'!S:S,
        ('Sprint 16'!E:E = ""Jack: Warin Kesorn"") *
        (LEFT('Sprint 16'!B:B,7) = ""DEVRDCT"")
      )
    ) / 3600,
    0
  ),
  2
)"),0.0)</f>
        <v>0</v>
      </c>
      <c r="F37" s="99">
        <f>IFERROR(__xludf.DUMMYFUNCTION("ROUND(
  IFERROR(
    SUM(
      FILTER(
        'Sprint 16'!S:S,
        ('Sprint 16'!E:E = ""A:Phongthorn"") *
        (LEFT('Sprint 16'!B:B,7) = ""DEVRDCT"")
      )
    ) / 3600,
    0
  ),
  2
)"),0.0)</f>
        <v>0</v>
      </c>
      <c r="G37" s="99">
        <f>IFERROR(__xludf.DUMMYFUNCTION("ROUND(
  IFERROR(
    SUM(
      FILTER(
        'Sprint 16'!S:S,
        ('Sprint 16'!E:E = ""Art: Narupontp"") *
        (LEFT('Sprint 16'!B:B,7) = ""DEVRDCT"")
      )
    ) / 3600,
    0
  ),
  2
)"),0.0)</f>
        <v>0</v>
      </c>
      <c r="H37" s="99">
        <f>IFERROR(__xludf.DUMMYFUNCTION("ROUND(
  IFERROR(
    SUM(
      FILTER(
        'Sprint 16'!S:S,
        ('Sprint 16'!E:E = ""Mai:Sateta Abvanawong"") *
        (LEFT('Sprint 16'!B:B,7) = ""DEVRDCT"")
      )
    ) / 3600,
    0
  ),
  2
)"),0.0)</f>
        <v>0</v>
      </c>
      <c r="I37" s="99">
        <f>IFERROR(__xludf.DUMMYFUNCTION("ROUND(
  IFERROR(
    SUM(
      FILTER(
        'Sprint 16'!S:S,
        ('Sprint 16'!E:E = ""Kae: Pimonrath Jaiyen"") *
        (LEFT('Sprint 16'!B:B,7) = ""DEVRDCT"")
      )
    ) / 3600,
    0
  ),
  2
)"),0.0)</f>
        <v>0</v>
      </c>
      <c r="J37" s="99">
        <f>IFERROR(__xludf.DUMMYFUNCTION("ROUND(
  IFERROR(
    SUM(
      FILTER(
        'Sprint 16'!S:S,
        ('Sprint 16'!E:E = ""Mac: Jarupong Pawichpongkul"") *
        (LEFT('Sprint 16'!B:B,7) = ""DEVRDCT"")
      )
    ) / 3600,
    0
  ),
  2
)"),0.0)</f>
        <v>0</v>
      </c>
      <c r="K37" s="99">
        <f>IFERROR(__xludf.DUMMYFUNCTION("ROUND(
  IFERROR(
    SUM(
      FILTER(
        'Sprint 16'!S:S,
        ('Sprint 16'!E:E = ""Nim : muthita munmueang"") *
        (LEFT('Sprint 16'!B:B,7) = ""DEVRDCT"")
      )
    ) / 3600,
    0
  ),
  2
)"),0.0)</f>
        <v>0</v>
      </c>
      <c r="L37" s="99">
        <f>IFERROR(__xludf.DUMMYFUNCTION("ROUND(
  IFERROR(
    SUM(
      FILTER(
        'Sprint 16'!S:S,
        ('Sprint 16'!E:E = ""Moss : Kittapath Sangvikukit"") *
        (LEFT('Sprint 16'!B:B,7) = ""DEVRDCT"")
      )
    ) / 3600,
    0
  ),
  2
)"),0.0)</f>
        <v>0</v>
      </c>
      <c r="M37" s="99">
        <f>IFERROR(__xludf.DUMMYFUNCTION("ROUND(
  IFERROR(
    SUM(
      FILTER(
        'Sprint 16'!S:S,
        ('Sprint 16'!E:E = ""Arm:Worawat Chotipongchoawalit"") *
        (LEFT('Sprint 16'!B:B,7) = ""DEVRDCT"")
      )
    ) / 3600,
    0
  ),
  2
)"),0.0)</f>
        <v>0</v>
      </c>
    </row>
    <row r="38" ht="22.5" customHeight="1">
      <c r="A38" s="101" t="s">
        <v>4668</v>
      </c>
      <c r="B38" s="99">
        <f>IFERROR(__xludf.DUMMYFUNCTION("ROUND(
  IFERROR(
    SUM(
      FILTER(
        'Sprint 16'!S:S,
        ('Sprint 16'!E:E = ""Aek:Atiphat Nanthachitvanich"") *
        (LEFT('Sprint 16'!B:B,8) = ""DEVRDADJ"")
      )
    ) / 3600,
    0
  ),
  2
)"),0.0)</f>
        <v>0</v>
      </c>
      <c r="C38" s="99">
        <f>IFERROR(__xludf.DUMMYFUNCTION("ROUND(
  IFERROR(
    SUM(
      FILTER(
        'Sprint 16'!S:S,
        ('Sprint 16'!E:E = ""Zan : Isarapong Bulan"") *
        (LEFT('Sprint 16'!B:B,8) = ""DEVRDADJ"")
      )
    ) / 3600,
    0
  ),
  2
)"),0.0)</f>
        <v>0</v>
      </c>
      <c r="D38" s="99">
        <f>IFERROR(__xludf.DUMMYFUNCTION("ROUND(
  IFERROR(
    SUM(
      FILTER(
        'Sprint 16'!S:S,
        ('Sprint 16'!E:E = ""Aom: Pornsawan Polnyiem"") *
        (LEFT('Sprint 16'!B:B,8) = ""DEVRDADJ"")
      )
    ) / 3600,
    0
  ),
  2
)"),0.0)</f>
        <v>0</v>
      </c>
      <c r="E38" s="99">
        <f>IFERROR(__xludf.DUMMYFUNCTION("ROUND(
  IFERROR(
    SUM(
      FILTER(
        'Sprint 16'!S:S,
        ('Sprint 16'!E:E = ""Jack: Warin Kesorn"") *
        (LEFT('Sprint 16'!B:B,8) = ""DEVRDADJ"")
      )
    ) / 3600,
    0
  ),
  2
)"),0.0)</f>
        <v>0</v>
      </c>
      <c r="F38" s="99">
        <f>IFERROR(__xludf.DUMMYFUNCTION("ROUND(
  IFERROR(
    SUM(
      FILTER(
        'Sprint 16'!S:S,
        ('Sprint 16'!E:E = ""A:Phongthorn"") *
        (LEFT('Sprint 16'!B:B,8) = ""DEVRDADJ"")
      )
    ) / 3600,
    0
  ),
  2
)"),0.0)</f>
        <v>0</v>
      </c>
      <c r="G38" s="99">
        <f>IFERROR(__xludf.DUMMYFUNCTION("ROUND(
  IFERROR(
    SUM(
      FILTER(
        'Sprint 16'!S:S,
        ('Sprint 16'!E:E = ""Aek:Atiphat Nanthachitvanich"") *
        (LEFT('Sprint 16'!B:B,8) = ""DEVRDADJ"")
      )
    ) / 3600,
    0
  ),
  2
)"),0.0)</f>
        <v>0</v>
      </c>
      <c r="H38" s="99">
        <f>IFERROR(__xludf.DUMMYFUNCTION("ROUND(
  IFERROR(
    SUM(
      FILTER(
        'Sprint 16'!S:S,
        ('Sprint 16'!E:E = ""Mai:Sateta Abvanawong"") *
        (LEFT('Sprint 16'!B:B,8) = ""DEVRDADJ"")
      )
    ) / 3600,
    0
  ),
  2
)"),0.0)</f>
        <v>0</v>
      </c>
      <c r="I38" s="99">
        <f>IFERROR(__xludf.DUMMYFUNCTION("ROUND(
  IFERROR(
    SUM(
      FILTER(
        'Sprint 16'!S:S,
        ('Sprint 16'!E:E = ""Kae: Pimonrath Jaiyen"") *
        (LEFT('Sprint 16'!B:B,8) = ""DEVRDADJ"")
      )
    ) / 3600,
    0
  ),
  2
)"),0.0)</f>
        <v>0</v>
      </c>
      <c r="J38" s="99">
        <f>IFERROR(__xludf.DUMMYFUNCTION("ROUND(
  IFERROR(
    SUM(
      FILTER(
        'Sprint 16'!S:S,
        ('Sprint 16'!E:E = ""Mac: Jarupong Pawichpongkul"") *
        (LEFT('Sprint 16'!B:B,8) = ""DEVRDADJ"")
      )
    ) / 3600,
    0
  ),
  2
)"),0.0)</f>
        <v>0</v>
      </c>
      <c r="K38" s="99">
        <f>IFERROR(__xludf.DUMMYFUNCTION("ROUND(
  IFERROR(
    SUM(
      FILTER(
        'Sprint 16'!S:S,
        ('Sprint 16'!E:E = ""Aek:Atiphat Nanthachitvanich"") *
        (LEFT('Sprint 16'!B:B,8) = ""DEVRDADJ"")
      )
    ) / 3600,
    0
  ),
  2
)"),0.0)</f>
        <v>0</v>
      </c>
      <c r="L38" s="99">
        <f>IFERROR(__xludf.DUMMYFUNCTION("ROUND(
  IFERROR(
    SUM(
      FILTER(
        'Sprint 16'!S:S,
        ('Sprint 16'!E:E = ""Moss : Kittapath Sangvikukit"") *
        (LEFT('Sprint 16'!B:B,8) = ""DEVRDADJ"")
      )
    ) / 3600,
    0
  ),
  2
)"),0.0)</f>
        <v>0</v>
      </c>
      <c r="M38" s="99">
        <f>IFERROR(__xludf.DUMMYFUNCTION("ROUND(
  IFERROR(
    SUM(
      FILTER(
        'Sprint 16'!S:S,
        ('Sprint 16'!E:E = ""Arm:Worawat Chotipongchoawalit"") *
        (LEFT('Sprint 16'!B:B,8) = ""DEVRDADJ"")
      )
    ) / 3600,
    0
  ),
  2
)"),0.0)</f>
        <v>0</v>
      </c>
    </row>
    <row r="39">
      <c r="A39" s="101" t="s">
        <v>4669</v>
      </c>
      <c r="B39" s="101">
        <f>IFERROR(__xludf.DUMMYFUNCTION("ROUND(
  IFERROR(
    SUM(
      FILTER(
        'Sprint 16'!S:S,
        ('Sprint 16'!E:E = ""Aek:Atiphat Nanthachitvanich"") *
        (LEFT('Sprint 16'!B:B,5) = ""RDAPS"")
      )
    ) / 3600,
    0
  ),
  2
)"),0.0)</f>
        <v>0</v>
      </c>
      <c r="C39" s="99">
        <f>IFERROR(__xludf.DUMMYFUNCTION("ROUND(
  IFERROR(
    SUM(
      FILTER(
        'Sprint 16'!S:S,
        ('Sprint 16'!E:E = ""Zan : Isarapong Bulan"") *
        (LEFT('Sprint 16'!B:B,5) = ""RDAPS"")
      )
    ) / 3600,
    0
  ),
  2
)"),0.0)</f>
        <v>0</v>
      </c>
      <c r="D39" s="99">
        <f>IFERROR(__xludf.DUMMYFUNCTION("ROUND(
  IFERROR(
    SUM(
      FILTER(
        'Sprint 16'!S:S,
        ('Sprint 16'!E:E = ""Aom: Pornsawan Polnyiem"") *
        (LEFT('Sprint 16'!B:B,5) = ""RDAPS"")
      )
    ) / 3600,
    0
  ),
  2
)"),0.0)</f>
        <v>0</v>
      </c>
      <c r="E39" s="99">
        <f>IFERROR(__xludf.DUMMYFUNCTION("ROUND(
  IFERROR(
    SUM(
      FILTER(
        'Sprint 16'!S:S,
        ('Sprint 16'!E:E = ""Jack: Warin Kesorn"") *
        (LEFT('Sprint 16'!B:B,5) = ""RDAPS"")
      )
    ) / 3600,
    0
  ),
  2
)"),0.0)</f>
        <v>0</v>
      </c>
      <c r="F39" s="99">
        <f>IFERROR(__xludf.DUMMYFUNCTION("ROUND(
  IFERROR(
    SUM(
      FILTER(
        'Sprint 16'!S:S,
        ('Sprint 16'!E:E = ""A:Phongthorn"") *
        (LEFT('Sprint 16'!B:B,5) = ""RDAPS"")
      )
    ) / 3600,
    0
  ),
  2
)"),0.0)</f>
        <v>0</v>
      </c>
      <c r="G39" s="99">
        <f>IFERROR(__xludf.DUMMYFUNCTION("ROUND(
  IFERROR(
    SUM(
      FILTER(
        'Sprint 16'!S:S,
        ('Sprint 16'!E:E = ""Art: Narupontp"") *
        (LEFT('Sprint 16'!B:B,5) = ""RDAPS"")
      )
    ) / 3600,
    0
  ),
  2
)"),0.0)</f>
        <v>0</v>
      </c>
      <c r="H39" s="99">
        <f>IFERROR(__xludf.DUMMYFUNCTION("ROUND(
  IFERROR(
    SUM(
      FILTER(
        'Sprint 16'!S:S,
        ('Sprint 16'!E:E = ""Mai:Sateta Abvanawong"") *
        (LEFT('Sprint 16'!B:B,5) = ""RDAPS"")
      )
    ) / 3600,
    0
  ),
  2
)"),0.0)</f>
        <v>0</v>
      </c>
      <c r="I39" s="99">
        <f>IFERROR(__xludf.DUMMYFUNCTION("ROUND(
  IFERROR(
    SUM(
      FILTER(
        'Sprint 16'!S:S,
        ('Sprint 16'!E:E = ""Kae: Pimonrath Jaiyen"") *
        (LEFT('Sprint 16'!B:B,5) = ""RDAPS"")
      )
    ) / 3600,
    0
  ),
  2
)"),0.0)</f>
        <v>0</v>
      </c>
      <c r="J39" s="99">
        <f>IFERROR(__xludf.DUMMYFUNCTION("ROUND(
  IFERROR(
    SUM(
      FILTER(
        'Sprint 16'!S:S,
        ('Sprint 16'!E:E = ""Mac: Jarupong Pawichpongkul"") *
        (LEFT('Sprint 16'!B:B,5) = ""RDAPS"")
      )
    ) / 3600,
    0
  ),
  2
)"),0.0)</f>
        <v>0</v>
      </c>
      <c r="K39" s="99">
        <f>IFERROR(__xludf.DUMMYFUNCTION("ROUND(
  IFERROR(
    SUM(
      FILTER(
        'Sprint 16'!S:S,
        ('Sprint 16'!E:E = ""Nim : muthita munmueang"") *
        (LEFT('Sprint 16'!B:B,5) = ""RDAPS"")
      )
    ) / 3600,
    0
  ),
  2
)"),0.0)</f>
        <v>0</v>
      </c>
      <c r="L39" s="99">
        <f>IFERROR(__xludf.DUMMYFUNCTION("ROUND(
  IFERROR(
    SUM(
      FILTER(
        'Sprint 16'!S:S,
        ('Sprint 16'!E:E = ""Moss : Kittapath Sangvikukit"") *
        (LEFT('Sprint 16'!B:B,5) = ""RDAPS"")
      )
    ) / 3600,
    0
  ),
  2
)"),0.0)</f>
        <v>0</v>
      </c>
      <c r="M39" s="99">
        <f>IFERROR(__xludf.DUMMYFUNCTION("ROUND(
  IFERROR(
    SUM(
      FILTER(
        'Sprint 16'!S:S,
        ('Sprint 16'!E:E = ""Arm:Worawat Chotipongchoawalit"") *
        (LEFT('Sprint 16'!B:B,5) = ""RDAPS"")
      )
    ) / 3600,
    0
  ),
  2
)"),0.0)</f>
        <v>0</v>
      </c>
    </row>
    <row r="40" ht="21.0" customHeight="1">
      <c r="A40" s="101" t="s">
        <v>4670</v>
      </c>
      <c r="B40" s="101">
        <f>IFERROR(__xludf.DUMMYFUNCTION("ROUND(
  IFERROR(
    SUM(
      FILTER(
        'Sprint 16'!S:S,
        ('Sprint 16'!E:E = ""Aek:Atiphat Nanthachitvanich"") *
        (LEFT('Sprint 16'!B:B,8) = ""DEVRDSUP"")
      )
    ) / 3600,
    0
  ),
  2
)"),0.0)</f>
        <v>0</v>
      </c>
      <c r="C40" s="99">
        <f>IFERROR(__xludf.DUMMYFUNCTION("ROUND(
  IFERROR(
    SUM(
      FILTER(
        'Sprint 16'!S:S,
        ('Sprint 16'!E:E = ""Zan : Isarapong Bulan"") *
        (LEFT('Sprint 16'!B:B,8) = ""DEVRDSUP"")
      )
    ) / 3600,
    0
  ),
  2
)"),0.0)</f>
        <v>0</v>
      </c>
      <c r="D40" s="99">
        <f>IFERROR(__xludf.DUMMYFUNCTION("ROUND(
  IFERROR(
    SUM(
      FILTER(
        'Sprint 16'!S:S,
        ('Sprint 16'!E:E = ""Aom: Pornsawan Polnyiem"") *
        (LEFT('Sprint 16'!B:B,8) = ""DEVRDSUP"")
      )
    ) / 3600,
    0
  ),
  2
)"),0.0)</f>
        <v>0</v>
      </c>
      <c r="E40" s="99">
        <f>IFERROR(__xludf.DUMMYFUNCTION("ROUND(
  IFERROR(
    SUM(
      FILTER(
        'Sprint 16'!S:S,
        ('Sprint 16'!E:E = ""Jack: Warin Kesorn"") *
        (LEFT('Sprint 16'!B:B,8) = ""DEVRDSUP"")
      )
    ) / 3600,
    0
  ),
  2
)"),0.0)</f>
        <v>0</v>
      </c>
      <c r="F40" s="101">
        <f>IFERROR(__xludf.DUMMYFUNCTION("ROUND(
  IFERROR(
    SUM(
      FILTER(
        'Sprint 16'!S:S,
        ('Sprint 16'!E:E = ""A:Phongthorn"") *
        (LEFT('Sprint 16'!B:B,8) = ""DEVRDSUP"")
      )
    ) / 3600,
    0
  ),
  2
)"),0.0)</f>
        <v>0</v>
      </c>
      <c r="G40" s="99">
        <f>IFERROR(__xludf.DUMMYFUNCTION("ROUND(
  IFERROR(
    SUM(
      FILTER(
        'Sprint 16'!S:S,
        ('Sprint 16'!E:E = ""Art: Narupontp"") *
        (LEFT('Sprint 16'!B:B,8) = ""DEVRDSUP"")
      )
    ) / 3600,
    0
  ),
  2
)"),0.0)</f>
        <v>0</v>
      </c>
      <c r="H40" s="99">
        <f>IFERROR(__xludf.DUMMYFUNCTION("ROUND(
  IFERROR(
    SUM(
      FILTER(
        'Sprint 16'!S:S,
        ('Sprint 16'!E:E = ""Mai:Sateta Abvanawong"") *
        (LEFT('Sprint 16'!B:B,8) = ""DEVRDSUP"")
      )
    ) / 3600,
    0
  ),
  2
)"),0.0)</f>
        <v>0</v>
      </c>
      <c r="I40" s="99">
        <f>IFERROR(__xludf.DUMMYFUNCTION("ROUND(
  IFERROR(
    SUM(
      FILTER(
        'Sprint 16'!S:S,
        ('Sprint 16'!E:E = ""Kae: Pimonrath Jaiyen"") *
        (LEFT('Sprint 16'!B:B,8) = ""DEVRDSUP"")
      )
    ) / 3600,
    0
  ),
  2
)"),0.0)</f>
        <v>0</v>
      </c>
      <c r="J40" s="99">
        <f>IFERROR(__xludf.DUMMYFUNCTION("ROUND(
  IFERROR(
    SUM(
      FILTER(
        'Sprint 16'!S:S,
        ('Sprint 16'!E:E = ""Mac: Jarupong Pawichpongkul"") *
        (LEFT('Sprint 16'!B:B,8) = ""DEVRDSUP"")
      )
    ) / 3600,
    0
  ),
  2
)"),0.0)</f>
        <v>0</v>
      </c>
      <c r="K40" s="99">
        <f>IFERROR(__xludf.DUMMYFUNCTION("ROUND(
  IFERROR(
    SUM(
      FILTER(
        'Sprint 16'!S:S,
        ('Sprint 16'!E:E = ""Nim : muthita munmueang"") *
        (LEFT('Sprint 16'!B:B,8) = ""DEVRDSUP"")
      )
    ) / 3600,
    0
  ),
  2
)"),0.0)</f>
        <v>0</v>
      </c>
      <c r="L40" s="99">
        <f>IFERROR(__xludf.DUMMYFUNCTION("ROUND(
  IFERROR(
    SUM(
      FILTER(
        'Sprint 16'!S:S,
        ('Sprint 16'!E:E = ""Moss : Kittapath Sangvikukit"") *
        (LEFT('Sprint 16'!B:B,8) = ""DEVRDSUP"")
      )
    ) / 3600,
    0
  ),
  2
)"),0.0)</f>
        <v>0</v>
      </c>
      <c r="M40" s="99">
        <f>IFERROR(__xludf.DUMMYFUNCTION("ROUND(
  IFERROR(
    SUM(
      FILTER(
        'Sprint 16'!S:S,
        ('Sprint 16'!E:E = ""Arm:Worawat Chotipongchoawalit"") *
        (LEFT('Sprint 16'!B:B,8) = ""DEVRDSUP"")
      )
    ) / 3600,
    0
  ),
  2
)"),0.0)</f>
        <v>0</v>
      </c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</sheetData>
  <mergeCells count="6">
    <mergeCell ref="B23:E23"/>
    <mergeCell ref="F23:H23"/>
    <mergeCell ref="I23:M23"/>
    <mergeCell ref="B33:E33"/>
    <mergeCell ref="F33:H33"/>
    <mergeCell ref="I33:M33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30" width="17.5"/>
    <col customWidth="1" min="31" max="31" width="21.38"/>
    <col customWidth="1" min="32" max="34" width="17.5"/>
    <col customWidth="1" min="35" max="35" width="21.25"/>
    <col customWidth="1" min="36" max="36" width="17.5"/>
    <col customWidth="1" min="37" max="37" width="21.25"/>
    <col customWidth="1" min="38" max="38" width="20.13"/>
    <col customWidth="1" min="39" max="39" width="21.25"/>
    <col customWidth="1" min="40" max="40" width="20.13"/>
    <col customWidth="1" min="41" max="41" width="21.25"/>
    <col customWidth="1" min="42" max="42" width="20.13"/>
    <col customWidth="1" min="44" max="44" width="17.5"/>
    <col customWidth="1" min="45" max="45" width="21.25"/>
    <col customWidth="1" min="46" max="46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49" t="s">
        <v>3245</v>
      </c>
      <c r="U1" s="115" t="s">
        <v>5238</v>
      </c>
      <c r="V1" s="115" t="s">
        <v>6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102" t="s">
        <v>70</v>
      </c>
      <c r="AF1" s="102" t="s">
        <v>70</v>
      </c>
      <c r="AG1" s="102"/>
      <c r="AH1" s="102"/>
      <c r="AI1" s="102"/>
      <c r="BC1" s="88"/>
      <c r="BD1" s="88"/>
    </row>
    <row r="2">
      <c r="A2" s="102" t="s">
        <v>310</v>
      </c>
      <c r="B2" s="102" t="s">
        <v>5239</v>
      </c>
      <c r="C2" s="229" t="s">
        <v>5240</v>
      </c>
      <c r="D2" s="102" t="s">
        <v>5241</v>
      </c>
      <c r="E2" s="102" t="s">
        <v>353</v>
      </c>
      <c r="F2" s="102" t="s">
        <v>354</v>
      </c>
      <c r="G2" s="102" t="s">
        <v>353</v>
      </c>
      <c r="H2" s="102" t="s">
        <v>354</v>
      </c>
      <c r="I2" s="102" t="s">
        <v>284</v>
      </c>
      <c r="J2" s="102" t="s">
        <v>26</v>
      </c>
      <c r="L2" s="229" t="s">
        <v>5242</v>
      </c>
      <c r="M2" s="229" t="s">
        <v>5243</v>
      </c>
      <c r="O2" s="102">
        <v>1.0</v>
      </c>
      <c r="S2" s="230"/>
      <c r="T2" s="230" t="str">
        <f>IF(ISNUMBER(MATCH(B2, 'Sprint 15'!B:B, 0)), "มาจาก Sprint 15", "")</f>
        <v/>
      </c>
      <c r="U2" s="230" t="str">
        <f t="array" ref="U2">IF(ISNUMBER(MATCH(B2, 'Sprint 15'!B:B, 0)), INDEX('Sprint 15'!J:J, MATCH(B2, 'Sprint 15'!B:B, 0)), "")</f>
        <v/>
      </c>
      <c r="V2" s="230"/>
      <c r="W2" s="102" t="s">
        <v>2267</v>
      </c>
      <c r="X2" s="102"/>
      <c r="Y2" s="102"/>
      <c r="Z2" s="102"/>
      <c r="AA2" s="102"/>
      <c r="AB2" s="102"/>
    </row>
    <row r="3">
      <c r="A3" s="102" t="s">
        <v>310</v>
      </c>
      <c r="B3" s="102" t="s">
        <v>4872</v>
      </c>
      <c r="C3" s="229" t="s">
        <v>4873</v>
      </c>
      <c r="D3" s="102" t="s">
        <v>4874</v>
      </c>
      <c r="E3" s="102" t="s">
        <v>584</v>
      </c>
      <c r="F3" s="102" t="s">
        <v>585</v>
      </c>
      <c r="G3" s="102" t="s">
        <v>362</v>
      </c>
      <c r="H3" s="102" t="s">
        <v>363</v>
      </c>
      <c r="I3" s="102" t="s">
        <v>284</v>
      </c>
      <c r="J3" s="102" t="s">
        <v>678</v>
      </c>
      <c r="L3" s="229" t="s">
        <v>4875</v>
      </c>
      <c r="M3" s="229" t="s">
        <v>5244</v>
      </c>
      <c r="N3" s="102"/>
      <c r="O3" s="102">
        <v>1.0</v>
      </c>
      <c r="P3" s="102" t="s">
        <v>4656</v>
      </c>
      <c r="Q3" s="102" t="s">
        <v>368</v>
      </c>
      <c r="R3" s="102"/>
      <c r="S3" s="102"/>
      <c r="T3" s="230" t="str">
        <f>IF(ISNUMBER(MATCH(B3, 'Sprint 15'!B:B, 0)), "มาจาก Sprint 15", "")</f>
        <v/>
      </c>
      <c r="U3" s="230" t="str">
        <f t="array" ref="U3">IF(ISNUMBER(MATCH(B3, 'Sprint 15'!B:B, 0)), INDEX('Sprint 15'!J:J, MATCH(B3, 'Sprint 15'!B:B, 0)), "")</f>
        <v/>
      </c>
      <c r="V3" s="102"/>
      <c r="W3" s="102" t="s">
        <v>2267</v>
      </c>
      <c r="X3" s="102"/>
      <c r="Y3" s="102"/>
      <c r="Z3" s="230"/>
      <c r="AA3" s="102"/>
      <c r="AB3" s="102"/>
    </row>
    <row r="4">
      <c r="A4" s="102" t="s">
        <v>276</v>
      </c>
      <c r="B4" s="102" t="s">
        <v>4569</v>
      </c>
      <c r="C4" s="229" t="s">
        <v>4570</v>
      </c>
      <c r="D4" s="102" t="s">
        <v>4571</v>
      </c>
      <c r="E4" s="102"/>
      <c r="F4" s="102"/>
      <c r="G4" s="102" t="s">
        <v>521</v>
      </c>
      <c r="H4" s="102" t="s">
        <v>522</v>
      </c>
      <c r="I4" s="102" t="s">
        <v>284</v>
      </c>
      <c r="J4" s="102" t="s">
        <v>63</v>
      </c>
      <c r="L4" s="229" t="s">
        <v>4572</v>
      </c>
      <c r="M4" s="229" t="s">
        <v>4572</v>
      </c>
      <c r="N4" s="102"/>
      <c r="O4" s="102"/>
      <c r="P4" s="102"/>
      <c r="Q4" s="102"/>
      <c r="R4" s="102"/>
      <c r="S4" s="102"/>
      <c r="T4" s="230" t="str">
        <f>IF(ISNUMBER(MATCH(B4, 'Sprint 15'!B:B, 0)), "มาจาก Sprint 15", "")</f>
        <v/>
      </c>
      <c r="U4" s="230" t="str">
        <f t="array" ref="U4">IF(ISNUMBER(MATCH(B4, 'Sprint 15'!B:B, 0)), INDEX('Sprint 15'!J:J, MATCH(B4, 'Sprint 15'!B:B, 0)), "")</f>
        <v/>
      </c>
      <c r="V4" s="102"/>
      <c r="W4" s="102" t="s">
        <v>4247</v>
      </c>
      <c r="X4" s="102"/>
      <c r="Y4" s="102"/>
      <c r="Z4" s="230"/>
      <c r="AA4" s="102"/>
      <c r="AB4" s="102"/>
    </row>
    <row r="5">
      <c r="A5" s="102" t="s">
        <v>276</v>
      </c>
      <c r="B5" s="102" t="s">
        <v>4574</v>
      </c>
      <c r="C5" s="229" t="s">
        <v>4575</v>
      </c>
      <c r="D5" s="102" t="s">
        <v>4576</v>
      </c>
      <c r="E5" s="102" t="s">
        <v>521</v>
      </c>
      <c r="F5" s="102" t="s">
        <v>522</v>
      </c>
      <c r="G5" s="102" t="s">
        <v>521</v>
      </c>
      <c r="H5" s="102" t="s">
        <v>522</v>
      </c>
      <c r="I5" s="102" t="s">
        <v>284</v>
      </c>
      <c r="J5" s="102" t="s">
        <v>63</v>
      </c>
      <c r="L5" s="229" t="s">
        <v>4572</v>
      </c>
      <c r="M5" s="229" t="s">
        <v>4572</v>
      </c>
      <c r="N5" s="102"/>
      <c r="O5" s="102"/>
      <c r="P5" s="102"/>
      <c r="Q5" s="102"/>
      <c r="R5" s="102"/>
      <c r="S5" s="102"/>
      <c r="T5" s="230" t="str">
        <f>IF(ISNUMBER(MATCH(B5, 'Sprint 15'!B:B, 0)), "มาจาก Sprint 15", "")</f>
        <v/>
      </c>
      <c r="U5" s="230" t="str">
        <f t="array" ref="U5">IF(ISNUMBER(MATCH(B5, 'Sprint 15'!B:B, 0)), INDEX('Sprint 15'!J:J, MATCH(B5, 'Sprint 15'!B:B, 0)), "")</f>
        <v/>
      </c>
      <c r="V5" s="102"/>
      <c r="W5" s="102" t="s">
        <v>4247</v>
      </c>
      <c r="X5" s="102"/>
      <c r="Y5" s="102"/>
      <c r="Z5" s="230"/>
      <c r="AA5" s="102"/>
    </row>
    <row r="6">
      <c r="A6" s="102" t="s">
        <v>276</v>
      </c>
      <c r="B6" s="102" t="s">
        <v>4578</v>
      </c>
      <c r="C6" s="229" t="s">
        <v>4579</v>
      </c>
      <c r="D6" s="102" t="s">
        <v>4580</v>
      </c>
      <c r="E6" s="102" t="s">
        <v>521</v>
      </c>
      <c r="F6" s="102" t="s">
        <v>522</v>
      </c>
      <c r="G6" s="102" t="s">
        <v>521</v>
      </c>
      <c r="H6" s="102" t="s">
        <v>522</v>
      </c>
      <c r="I6" s="102" t="s">
        <v>284</v>
      </c>
      <c r="J6" s="102" t="s">
        <v>63</v>
      </c>
      <c r="L6" s="229" t="s">
        <v>4581</v>
      </c>
      <c r="M6" s="229" t="s">
        <v>4581</v>
      </c>
      <c r="O6" s="102"/>
      <c r="S6" s="230"/>
      <c r="T6" s="230" t="str">
        <f>IF(ISNUMBER(MATCH(B6, 'Sprint 15'!B:B, 0)), "มาจาก Sprint 15", "")</f>
        <v/>
      </c>
      <c r="U6" s="230" t="str">
        <f t="array" ref="U6">IF(ISNUMBER(MATCH(B6, 'Sprint 15'!B:B, 0)), INDEX('Sprint 15'!J:J, MATCH(B6, 'Sprint 15'!B:B, 0)), "")</f>
        <v/>
      </c>
      <c r="V6" s="230"/>
      <c r="W6" s="102" t="s">
        <v>4247</v>
      </c>
      <c r="X6" s="102"/>
      <c r="Y6" s="102"/>
      <c r="Z6" s="230"/>
      <c r="AA6" s="102"/>
    </row>
    <row r="7">
      <c r="A7" s="102" t="s">
        <v>276</v>
      </c>
      <c r="B7" s="102" t="s">
        <v>4583</v>
      </c>
      <c r="C7" s="229" t="s">
        <v>4584</v>
      </c>
      <c r="D7" s="102" t="s">
        <v>4585</v>
      </c>
      <c r="E7" s="102" t="s">
        <v>521</v>
      </c>
      <c r="F7" s="102" t="s">
        <v>522</v>
      </c>
      <c r="G7" s="102" t="s">
        <v>521</v>
      </c>
      <c r="H7" s="102" t="s">
        <v>522</v>
      </c>
      <c r="I7" s="102" t="s">
        <v>284</v>
      </c>
      <c r="J7" s="102" t="s">
        <v>34</v>
      </c>
      <c r="L7" s="229" t="s">
        <v>4586</v>
      </c>
      <c r="M7" s="229" t="s">
        <v>4878</v>
      </c>
      <c r="O7" s="230"/>
      <c r="S7" s="230"/>
      <c r="T7" s="230" t="str">
        <f>IF(ISNUMBER(MATCH(B7, 'Sprint 15'!B:B, 0)), "มาจาก Sprint 15", "")</f>
        <v/>
      </c>
      <c r="U7" s="230" t="str">
        <f t="array" ref="U7">IF(ISNUMBER(MATCH(B7, 'Sprint 15'!B:B, 0)), INDEX('Sprint 15'!J:J, MATCH(B7, 'Sprint 15'!B:B, 0)), "")</f>
        <v/>
      </c>
      <c r="V7" s="230"/>
      <c r="W7" s="102" t="s">
        <v>4247</v>
      </c>
      <c r="X7" s="102"/>
      <c r="Y7" s="102"/>
      <c r="Z7" s="230"/>
      <c r="AA7" s="102"/>
    </row>
    <row r="8">
      <c r="A8" s="102" t="s">
        <v>276</v>
      </c>
      <c r="B8" s="102" t="s">
        <v>4588</v>
      </c>
      <c r="C8" s="229" t="s">
        <v>4589</v>
      </c>
      <c r="D8" s="102" t="s">
        <v>4590</v>
      </c>
      <c r="E8" s="102" t="s">
        <v>521</v>
      </c>
      <c r="F8" s="102" t="s">
        <v>522</v>
      </c>
      <c r="G8" s="102" t="s">
        <v>521</v>
      </c>
      <c r="H8" s="102" t="s">
        <v>522</v>
      </c>
      <c r="I8" s="102" t="s">
        <v>284</v>
      </c>
      <c r="J8" s="102" t="s">
        <v>34</v>
      </c>
      <c r="L8" s="229" t="s">
        <v>4591</v>
      </c>
      <c r="M8" s="229" t="s">
        <v>4591</v>
      </c>
      <c r="O8" s="230"/>
      <c r="S8" s="230"/>
      <c r="T8" s="230" t="str">
        <f>IF(ISNUMBER(MATCH(B8, 'Sprint 15'!B:B, 0)), "มาจาก Sprint 15", "")</f>
        <v/>
      </c>
      <c r="U8" s="230" t="str">
        <f t="array" ref="U8">IF(ISNUMBER(MATCH(B8, 'Sprint 15'!B:B, 0)), INDEX('Sprint 15'!J:J, MATCH(B8, 'Sprint 15'!B:B, 0)), "")</f>
        <v/>
      </c>
      <c r="V8" s="230"/>
      <c r="W8" s="102" t="s">
        <v>4247</v>
      </c>
      <c r="X8" s="102"/>
      <c r="Y8" s="102"/>
      <c r="Z8" s="230"/>
      <c r="AA8" s="102"/>
    </row>
    <row r="9">
      <c r="A9" s="102" t="s">
        <v>276</v>
      </c>
      <c r="B9" s="102" t="s">
        <v>4592</v>
      </c>
      <c r="C9" s="229" t="s">
        <v>4593</v>
      </c>
      <c r="D9" s="102" t="s">
        <v>4594</v>
      </c>
      <c r="E9" s="102" t="s">
        <v>521</v>
      </c>
      <c r="F9" s="102" t="s">
        <v>522</v>
      </c>
      <c r="G9" s="102" t="s">
        <v>521</v>
      </c>
      <c r="H9" s="102" t="s">
        <v>522</v>
      </c>
      <c r="I9" s="102" t="s">
        <v>284</v>
      </c>
      <c r="J9" s="102" t="s">
        <v>34</v>
      </c>
      <c r="L9" s="229" t="s">
        <v>4591</v>
      </c>
      <c r="M9" s="229" t="s">
        <v>4591</v>
      </c>
      <c r="O9" s="230"/>
      <c r="S9" s="230"/>
      <c r="T9" s="230" t="str">
        <f>IF(ISNUMBER(MATCH(B9, 'Sprint 15'!B:B, 0)), "มาจาก Sprint 15", "")</f>
        <v/>
      </c>
      <c r="U9" s="230" t="str">
        <f t="array" ref="U9">IF(ISNUMBER(MATCH(B9, 'Sprint 15'!B:B, 0)), INDEX('Sprint 15'!J:J, MATCH(B9, 'Sprint 15'!B:B, 0)), "")</f>
        <v/>
      </c>
      <c r="V9" s="230"/>
      <c r="W9" s="102" t="s">
        <v>4247</v>
      </c>
      <c r="X9" s="102"/>
      <c r="Y9" s="102"/>
      <c r="Z9" s="230"/>
      <c r="AA9" s="102"/>
    </row>
    <row r="10">
      <c r="A10" s="102" t="s">
        <v>276</v>
      </c>
      <c r="B10" s="102" t="s">
        <v>5245</v>
      </c>
      <c r="C10" s="229" t="s">
        <v>5246</v>
      </c>
      <c r="D10" s="102" t="s">
        <v>1567</v>
      </c>
      <c r="E10" s="102" t="s">
        <v>3288</v>
      </c>
      <c r="F10" s="102" t="s">
        <v>3289</v>
      </c>
      <c r="G10" s="102" t="s">
        <v>3288</v>
      </c>
      <c r="H10" s="102" t="s">
        <v>3289</v>
      </c>
      <c r="I10" s="102" t="s">
        <v>284</v>
      </c>
      <c r="J10" s="102" t="s">
        <v>26</v>
      </c>
      <c r="L10" s="229" t="s">
        <v>5247</v>
      </c>
      <c r="M10" s="229" t="s">
        <v>5248</v>
      </c>
      <c r="O10" s="230"/>
      <c r="S10" s="230"/>
      <c r="T10" s="230" t="str">
        <f>IF(ISNUMBER(MATCH(B10, 'Sprint 15'!B:B, 0)), "มาจาก Sprint 15", "")</f>
        <v/>
      </c>
      <c r="U10" s="230" t="str">
        <f t="array" ref="U10">IF(ISNUMBER(MATCH(B10, 'Sprint 15'!B:B, 0)), INDEX('Sprint 15'!J:J, MATCH(B10, 'Sprint 15'!B:B, 0)), "")</f>
        <v/>
      </c>
      <c r="V10" s="230"/>
      <c r="W10" s="102" t="s">
        <v>2267</v>
      </c>
      <c r="X10" s="102"/>
      <c r="Y10" s="102"/>
      <c r="Z10" s="230"/>
      <c r="AA10" s="102"/>
    </row>
    <row r="11">
      <c r="A11" s="102" t="s">
        <v>276</v>
      </c>
      <c r="B11" s="102" t="s">
        <v>5249</v>
      </c>
      <c r="C11" s="229" t="s">
        <v>5250</v>
      </c>
      <c r="D11" s="102" t="s">
        <v>1567</v>
      </c>
      <c r="E11" s="102" t="s">
        <v>3288</v>
      </c>
      <c r="F11" s="102" t="s">
        <v>3289</v>
      </c>
      <c r="G11" s="102" t="s">
        <v>3288</v>
      </c>
      <c r="H11" s="102" t="s">
        <v>3289</v>
      </c>
      <c r="I11" s="102" t="s">
        <v>284</v>
      </c>
      <c r="J11" s="102" t="s">
        <v>26</v>
      </c>
      <c r="L11" s="229" t="s">
        <v>5251</v>
      </c>
      <c r="M11" s="229" t="s">
        <v>5252</v>
      </c>
      <c r="O11" s="230"/>
      <c r="S11" s="230"/>
      <c r="T11" s="230" t="str">
        <f>IF(ISNUMBER(MATCH(B11, 'Sprint 15'!B:B, 0)), "มาจาก Sprint 15", "")</f>
        <v/>
      </c>
      <c r="U11" s="230" t="str">
        <f t="array" ref="U11">IF(ISNUMBER(MATCH(B11, 'Sprint 15'!B:B, 0)), INDEX('Sprint 15'!J:J, MATCH(B11, 'Sprint 15'!B:B, 0)), "")</f>
        <v/>
      </c>
      <c r="V11" s="230"/>
      <c r="W11" s="102" t="s">
        <v>2267</v>
      </c>
      <c r="X11" s="102"/>
      <c r="Y11" s="102"/>
      <c r="Z11" s="230"/>
      <c r="AA11" s="102"/>
    </row>
    <row r="12">
      <c r="A12" s="102" t="s">
        <v>310</v>
      </c>
      <c r="B12" s="102" t="s">
        <v>5253</v>
      </c>
      <c r="C12" s="229" t="s">
        <v>5254</v>
      </c>
      <c r="D12" s="102" t="s">
        <v>5255</v>
      </c>
      <c r="E12" s="102" t="s">
        <v>282</v>
      </c>
      <c r="F12" s="102" t="s">
        <v>283</v>
      </c>
      <c r="G12" s="102" t="s">
        <v>282</v>
      </c>
      <c r="H12" s="102" t="s">
        <v>283</v>
      </c>
      <c r="I12" s="102" t="s">
        <v>284</v>
      </c>
      <c r="J12" s="102" t="s">
        <v>26</v>
      </c>
      <c r="L12" s="229" t="s">
        <v>5256</v>
      </c>
      <c r="M12" s="229" t="s">
        <v>5257</v>
      </c>
      <c r="O12" s="102">
        <v>13.0</v>
      </c>
      <c r="S12" s="230"/>
      <c r="T12" s="230" t="str">
        <f>IF(ISNUMBER(MATCH(B12, 'Sprint 15'!B:B, 0)), "มาจาก Sprint 15", "")</f>
        <v/>
      </c>
      <c r="U12" s="230" t="str">
        <f t="array" ref="U12">IF(ISNUMBER(MATCH(B12, 'Sprint 15'!B:B, 0)), INDEX('Sprint 15'!J:J, MATCH(B12, 'Sprint 15'!B:B, 0)), "")</f>
        <v/>
      </c>
      <c r="V12" s="230"/>
      <c r="W12" s="102" t="s">
        <v>2267</v>
      </c>
      <c r="X12" s="102"/>
      <c r="Y12" s="102"/>
      <c r="Z12" s="230"/>
      <c r="AA12" s="102"/>
      <c r="AB12" s="102"/>
    </row>
    <row r="13">
      <c r="A13" s="102" t="s">
        <v>332</v>
      </c>
      <c r="B13" s="102" t="s">
        <v>5258</v>
      </c>
      <c r="C13" s="229" t="s">
        <v>5259</v>
      </c>
      <c r="D13" s="102" t="s">
        <v>5260</v>
      </c>
      <c r="E13" s="102" t="s">
        <v>584</v>
      </c>
      <c r="F13" s="102" t="s">
        <v>585</v>
      </c>
      <c r="G13" s="102" t="s">
        <v>353</v>
      </c>
      <c r="H13" s="102" t="s">
        <v>354</v>
      </c>
      <c r="I13" s="102" t="s">
        <v>515</v>
      </c>
      <c r="J13" s="102" t="s">
        <v>336</v>
      </c>
      <c r="L13" s="229" t="s">
        <v>5261</v>
      </c>
      <c r="M13" s="229" t="s">
        <v>5262</v>
      </c>
      <c r="O13" s="102">
        <v>1.0</v>
      </c>
      <c r="P13" s="102" t="s">
        <v>593</v>
      </c>
      <c r="S13" s="230"/>
      <c r="T13" s="230" t="str">
        <f>IF(ISNUMBER(MATCH(B13, 'Sprint 15'!B:B, 0)), "มาจาก Sprint 15", "")</f>
        <v/>
      </c>
      <c r="U13" s="230" t="str">
        <f t="array" ref="U13">IF(ISNUMBER(MATCH(B13, 'Sprint 15'!B:B, 0)), INDEX('Sprint 15'!J:J, MATCH(B13, 'Sprint 15'!B:B, 0)), "")</f>
        <v/>
      </c>
      <c r="V13" s="230"/>
      <c r="W13" s="102" t="s">
        <v>2267</v>
      </c>
      <c r="X13" s="102"/>
      <c r="Y13" s="102"/>
      <c r="Z13" s="230"/>
      <c r="AA13" s="102"/>
      <c r="AB13" s="102"/>
    </row>
    <row r="14">
      <c r="A14" s="102" t="s">
        <v>630</v>
      </c>
      <c r="B14" s="102" t="s">
        <v>4879</v>
      </c>
      <c r="C14" s="229" t="s">
        <v>4880</v>
      </c>
      <c r="D14" s="102" t="s">
        <v>4881</v>
      </c>
      <c r="E14" s="102"/>
      <c r="F14" s="102"/>
      <c r="G14" s="102" t="s">
        <v>353</v>
      </c>
      <c r="H14" s="102" t="s">
        <v>354</v>
      </c>
      <c r="I14" s="102" t="s">
        <v>284</v>
      </c>
      <c r="J14" s="102" t="s">
        <v>63</v>
      </c>
      <c r="L14" s="229" t="s">
        <v>4882</v>
      </c>
      <c r="M14" s="229" t="s">
        <v>4882</v>
      </c>
      <c r="O14" s="230"/>
      <c r="S14" s="230"/>
      <c r="T14" s="230" t="str">
        <f>IF(ISNUMBER(MATCH(B14, 'Sprint 15'!B:B, 0)), "มาจาก Sprint 15", "")</f>
        <v/>
      </c>
      <c r="U14" s="230" t="str">
        <f t="array" ref="U14">IF(ISNUMBER(MATCH(B14, 'Sprint 15'!B:B, 0)), INDEX('Sprint 15'!J:J, MATCH(B14, 'Sprint 15'!B:B, 0)), "")</f>
        <v/>
      </c>
      <c r="V14" s="230"/>
      <c r="W14" s="102" t="s">
        <v>2267</v>
      </c>
      <c r="X14" s="102"/>
      <c r="Y14" s="102"/>
      <c r="Z14" s="230"/>
      <c r="AA14" s="102"/>
      <c r="AB14" s="102"/>
    </row>
    <row r="15">
      <c r="A15" s="102" t="s">
        <v>310</v>
      </c>
      <c r="B15" s="102" t="s">
        <v>5263</v>
      </c>
      <c r="C15" s="229" t="s">
        <v>5264</v>
      </c>
      <c r="D15" s="102" t="s">
        <v>5265</v>
      </c>
      <c r="E15" s="102" t="s">
        <v>328</v>
      </c>
      <c r="F15" s="102" t="s">
        <v>329</v>
      </c>
      <c r="G15" s="102" t="s">
        <v>353</v>
      </c>
      <c r="H15" s="102" t="s">
        <v>354</v>
      </c>
      <c r="I15" s="102" t="s">
        <v>284</v>
      </c>
      <c r="J15" s="102" t="s">
        <v>26</v>
      </c>
      <c r="L15" s="229" t="s">
        <v>5266</v>
      </c>
      <c r="M15" s="229" t="s">
        <v>5247</v>
      </c>
      <c r="N15" s="229" t="s">
        <v>4647</v>
      </c>
      <c r="O15" s="102">
        <v>1.0</v>
      </c>
      <c r="S15" s="230"/>
      <c r="T15" s="230" t="str">
        <f>IF(ISNUMBER(MATCH(B15, 'Sprint 15'!B:B, 0)), "มาจาก Sprint 15", "")</f>
        <v/>
      </c>
      <c r="U15" s="230" t="str">
        <f t="array" ref="U15">IF(ISNUMBER(MATCH(B15, 'Sprint 15'!B:B, 0)), INDEX('Sprint 15'!J:J, MATCH(B15, 'Sprint 15'!B:B, 0)), "")</f>
        <v/>
      </c>
      <c r="V15" s="230"/>
      <c r="W15" s="102" t="s">
        <v>2267</v>
      </c>
      <c r="X15" s="102"/>
      <c r="Y15" s="102"/>
      <c r="Z15" s="230"/>
      <c r="AA15" s="102"/>
      <c r="AB15" s="102"/>
    </row>
    <row r="16">
      <c r="A16" s="102" t="s">
        <v>310</v>
      </c>
      <c r="B16" s="102" t="s">
        <v>5267</v>
      </c>
      <c r="C16" s="229" t="s">
        <v>5268</v>
      </c>
      <c r="D16" s="102" t="s">
        <v>5269</v>
      </c>
      <c r="E16" s="102" t="s">
        <v>328</v>
      </c>
      <c r="F16" s="102" t="s">
        <v>329</v>
      </c>
      <c r="G16" s="102" t="s">
        <v>353</v>
      </c>
      <c r="H16" s="102" t="s">
        <v>354</v>
      </c>
      <c r="I16" s="102" t="s">
        <v>515</v>
      </c>
      <c r="J16" s="102" t="s">
        <v>26</v>
      </c>
      <c r="L16" s="229" t="s">
        <v>5270</v>
      </c>
      <c r="M16" s="229" t="s">
        <v>5248</v>
      </c>
      <c r="N16" s="229" t="s">
        <v>4647</v>
      </c>
      <c r="O16" s="102">
        <v>2.0</v>
      </c>
      <c r="S16" s="230"/>
      <c r="T16" s="230" t="str">
        <f>IF(ISNUMBER(MATCH(B16, 'Sprint 15'!B:B, 0)), "มาจาก Sprint 15", "")</f>
        <v/>
      </c>
      <c r="U16" s="230" t="str">
        <f t="array" ref="U16">IF(ISNUMBER(MATCH(B16, 'Sprint 15'!B:B, 0)), INDEX('Sprint 15'!J:J, MATCH(B16, 'Sprint 15'!B:B, 0)), "")</f>
        <v/>
      </c>
      <c r="V16" s="230"/>
      <c r="W16" s="102" t="s">
        <v>2267</v>
      </c>
      <c r="X16" s="102"/>
      <c r="Y16" s="102"/>
      <c r="Z16" s="230"/>
      <c r="AA16" s="102"/>
      <c r="AB16" s="102"/>
    </row>
    <row r="17">
      <c r="A17" s="102" t="s">
        <v>310</v>
      </c>
      <c r="B17" s="102" t="s">
        <v>5271</v>
      </c>
      <c r="C17" s="229" t="s">
        <v>5272</v>
      </c>
      <c r="D17" s="102" t="s">
        <v>5273</v>
      </c>
      <c r="E17" s="102" t="s">
        <v>495</v>
      </c>
      <c r="F17" s="102" t="s">
        <v>496</v>
      </c>
      <c r="G17" s="102" t="s">
        <v>314</v>
      </c>
      <c r="H17" s="102" t="s">
        <v>315</v>
      </c>
      <c r="I17" s="102" t="s">
        <v>284</v>
      </c>
      <c r="J17" s="102" t="s">
        <v>26</v>
      </c>
      <c r="L17" s="229" t="s">
        <v>5274</v>
      </c>
      <c r="M17" s="229" t="s">
        <v>5257</v>
      </c>
      <c r="O17" s="102">
        <v>1.0</v>
      </c>
      <c r="S17" s="230"/>
      <c r="T17" s="230" t="str">
        <f>IF(ISNUMBER(MATCH(B17, 'Sprint 15'!B:B, 0)), "มาจาก Sprint 15", "")</f>
        <v/>
      </c>
      <c r="U17" s="230" t="str">
        <f t="array" ref="U17">IF(ISNUMBER(MATCH(B17, 'Sprint 15'!B:B, 0)), INDEX('Sprint 15'!J:J, MATCH(B17, 'Sprint 15'!B:B, 0)), "")</f>
        <v/>
      </c>
      <c r="V17" s="230"/>
      <c r="W17" s="102" t="s">
        <v>1370</v>
      </c>
      <c r="X17" s="102"/>
      <c r="Y17" s="102"/>
      <c r="Z17" s="230"/>
      <c r="AA17" s="102"/>
      <c r="AB17" s="102"/>
    </row>
    <row r="18">
      <c r="A18" s="102" t="s">
        <v>310</v>
      </c>
      <c r="B18" s="102" t="s">
        <v>5275</v>
      </c>
      <c r="C18" s="229" t="s">
        <v>5276</v>
      </c>
      <c r="D18" s="102" t="s">
        <v>5277</v>
      </c>
      <c r="E18" s="102" t="s">
        <v>304</v>
      </c>
      <c r="F18" s="102" t="s">
        <v>305</v>
      </c>
      <c r="G18" s="102" t="s">
        <v>353</v>
      </c>
      <c r="H18" s="102" t="s">
        <v>354</v>
      </c>
      <c r="I18" s="102" t="s">
        <v>284</v>
      </c>
      <c r="J18" s="102" t="s">
        <v>26</v>
      </c>
      <c r="L18" s="229" t="s">
        <v>5278</v>
      </c>
      <c r="M18" s="229" t="s">
        <v>5279</v>
      </c>
      <c r="O18" s="230"/>
      <c r="P18" s="102" t="s">
        <v>593</v>
      </c>
      <c r="Q18" s="102" t="s">
        <v>651</v>
      </c>
      <c r="S18" s="230"/>
      <c r="T18" s="230" t="str">
        <f>IF(ISNUMBER(MATCH(B18, 'Sprint 15'!B:B, 0)), "มาจาก Sprint 15", "")</f>
        <v/>
      </c>
      <c r="U18" s="230" t="str">
        <f t="array" ref="U18">IF(ISNUMBER(MATCH(B18, 'Sprint 15'!B:B, 0)), INDEX('Sprint 15'!J:J, MATCH(B18, 'Sprint 15'!B:B, 0)), "")</f>
        <v/>
      </c>
      <c r="V18" s="230"/>
      <c r="W18" s="102" t="s">
        <v>3043</v>
      </c>
      <c r="X18" s="102"/>
      <c r="Y18" s="102"/>
      <c r="Z18" s="230"/>
      <c r="AA18" s="102"/>
      <c r="AB18" s="102"/>
    </row>
    <row r="19">
      <c r="A19" s="102" t="s">
        <v>310</v>
      </c>
      <c r="B19" s="102" t="s">
        <v>5280</v>
      </c>
      <c r="C19" s="229" t="s">
        <v>5281</v>
      </c>
      <c r="D19" s="102" t="s">
        <v>5282</v>
      </c>
      <c r="E19" s="102" t="s">
        <v>353</v>
      </c>
      <c r="F19" s="102" t="s">
        <v>354</v>
      </c>
      <c r="G19" s="102" t="s">
        <v>353</v>
      </c>
      <c r="H19" s="102" t="s">
        <v>354</v>
      </c>
      <c r="I19" s="102" t="s">
        <v>284</v>
      </c>
      <c r="J19" s="102" t="s">
        <v>26</v>
      </c>
      <c r="L19" s="229" t="s">
        <v>5283</v>
      </c>
      <c r="M19" s="229" t="s">
        <v>5284</v>
      </c>
      <c r="O19" s="102">
        <v>8.0</v>
      </c>
      <c r="S19" s="230"/>
      <c r="T19" s="230" t="str">
        <f>IF(ISNUMBER(MATCH(B19, 'Sprint 15'!B:B, 0)), "มาจาก Sprint 15", "")</f>
        <v/>
      </c>
      <c r="U19" s="230" t="str">
        <f t="array" ref="U19">IF(ISNUMBER(MATCH(B19, 'Sprint 15'!B:B, 0)), INDEX('Sprint 15'!J:J, MATCH(B19, 'Sprint 15'!B:B, 0)), "")</f>
        <v/>
      </c>
      <c r="V19" s="230"/>
      <c r="W19" s="102" t="s">
        <v>2267</v>
      </c>
      <c r="X19" s="102"/>
      <c r="Y19" s="102"/>
      <c r="Z19" s="230"/>
      <c r="AA19" s="102"/>
      <c r="AB19" s="102"/>
    </row>
    <row r="20">
      <c r="A20" s="102" t="s">
        <v>310</v>
      </c>
      <c r="B20" s="102" t="s">
        <v>5285</v>
      </c>
      <c r="C20" s="229" t="s">
        <v>5286</v>
      </c>
      <c r="D20" s="102" t="s">
        <v>5287</v>
      </c>
      <c r="E20" s="102" t="s">
        <v>513</v>
      </c>
      <c r="F20" s="102" t="s">
        <v>514</v>
      </c>
      <c r="G20" s="102" t="s">
        <v>513</v>
      </c>
      <c r="H20" s="102" t="s">
        <v>514</v>
      </c>
      <c r="I20" s="102" t="s">
        <v>284</v>
      </c>
      <c r="J20" s="102" t="s">
        <v>26</v>
      </c>
      <c r="L20" s="229" t="s">
        <v>5288</v>
      </c>
      <c r="M20" s="229" t="s">
        <v>5289</v>
      </c>
      <c r="N20" s="229" t="s">
        <v>5290</v>
      </c>
      <c r="O20" s="102">
        <v>3.0</v>
      </c>
      <c r="P20" s="102" t="s">
        <v>593</v>
      </c>
      <c r="S20" s="102">
        <v>28800.0</v>
      </c>
      <c r="T20" s="230" t="str">
        <f>IF(ISNUMBER(MATCH(B20, 'Sprint 15'!B:B, 0)), "มาจาก Sprint 15", "")</f>
        <v/>
      </c>
      <c r="U20" s="230" t="str">
        <f t="array" ref="U20">IF(ISNUMBER(MATCH(B20, 'Sprint 15'!B:B, 0)), INDEX('Sprint 15'!J:J, MATCH(B20, 'Sprint 15'!B:B, 0)), "")</f>
        <v/>
      </c>
      <c r="V20" s="102"/>
      <c r="W20" s="102" t="s">
        <v>5147</v>
      </c>
      <c r="X20" s="102"/>
      <c r="Y20" s="102"/>
      <c r="Z20" s="230"/>
      <c r="AA20" s="102"/>
      <c r="AB20" s="102"/>
    </row>
    <row r="21">
      <c r="A21" s="102" t="s">
        <v>310</v>
      </c>
      <c r="B21" s="102" t="s">
        <v>5291</v>
      </c>
      <c r="C21" s="229" t="s">
        <v>5292</v>
      </c>
      <c r="D21" s="102" t="s">
        <v>5293</v>
      </c>
      <c r="E21" s="102" t="s">
        <v>513</v>
      </c>
      <c r="F21" s="102" t="s">
        <v>514</v>
      </c>
      <c r="G21" s="102" t="s">
        <v>513</v>
      </c>
      <c r="H21" s="102" t="s">
        <v>514</v>
      </c>
      <c r="I21" s="102" t="s">
        <v>318</v>
      </c>
      <c r="J21" s="102" t="s">
        <v>26</v>
      </c>
      <c r="L21" s="229" t="s">
        <v>5294</v>
      </c>
      <c r="M21" s="229" t="s">
        <v>5295</v>
      </c>
      <c r="N21" s="229" t="s">
        <v>5290</v>
      </c>
      <c r="O21" s="102">
        <v>3.0</v>
      </c>
      <c r="P21" s="102" t="s">
        <v>593</v>
      </c>
      <c r="S21" s="102">
        <v>28800.0</v>
      </c>
      <c r="T21" s="230" t="str">
        <f>IF(ISNUMBER(MATCH(B21, 'Sprint 15'!B:B, 0)), "มาจาก Sprint 15", "")</f>
        <v/>
      </c>
      <c r="U21" s="230" t="str">
        <f t="array" ref="U21">IF(ISNUMBER(MATCH(B21, 'Sprint 15'!B:B, 0)), INDEX('Sprint 15'!J:J, MATCH(B21, 'Sprint 15'!B:B, 0)), "")</f>
        <v/>
      </c>
      <c r="V21" s="102"/>
      <c r="W21" s="102" t="s">
        <v>5147</v>
      </c>
      <c r="X21" s="102"/>
      <c r="Y21" s="102"/>
      <c r="Z21" s="230"/>
      <c r="AA21" s="102"/>
      <c r="AB21" s="102"/>
    </row>
    <row r="22">
      <c r="A22" s="102" t="s">
        <v>276</v>
      </c>
      <c r="B22" s="102" t="s">
        <v>5296</v>
      </c>
      <c r="C22" s="229" t="s">
        <v>5297</v>
      </c>
      <c r="D22" s="102" t="s">
        <v>5298</v>
      </c>
      <c r="E22" s="102" t="s">
        <v>521</v>
      </c>
      <c r="F22" s="102" t="s">
        <v>522</v>
      </c>
      <c r="G22" s="102" t="s">
        <v>521</v>
      </c>
      <c r="H22" s="102" t="s">
        <v>522</v>
      </c>
      <c r="I22" s="102" t="s">
        <v>284</v>
      </c>
      <c r="J22" s="102" t="s">
        <v>26</v>
      </c>
      <c r="L22" s="229" t="s">
        <v>5299</v>
      </c>
      <c r="M22" s="229" t="s">
        <v>5300</v>
      </c>
      <c r="O22" s="230"/>
      <c r="S22" s="230"/>
      <c r="T22" s="230" t="str">
        <f>IF(ISNUMBER(MATCH(B22, 'Sprint 15'!B:B, 0)), "มาจาก Sprint 15", "")</f>
        <v/>
      </c>
      <c r="U22" s="230" t="str">
        <f t="array" ref="U22">IF(ISNUMBER(MATCH(B22, 'Sprint 15'!B:B, 0)), INDEX('Sprint 15'!J:J, MATCH(B22, 'Sprint 15'!B:B, 0)), "")</f>
        <v/>
      </c>
      <c r="V22" s="230"/>
      <c r="W22" s="102" t="s">
        <v>2266</v>
      </c>
      <c r="X22" s="102" t="s">
        <v>2267</v>
      </c>
      <c r="Y22" s="102"/>
      <c r="Z22" s="230"/>
      <c r="AA22" s="102"/>
      <c r="AB22" s="102"/>
    </row>
    <row r="23">
      <c r="A23" s="102" t="s">
        <v>276</v>
      </c>
      <c r="B23" s="102" t="s">
        <v>5301</v>
      </c>
      <c r="C23" s="229" t="s">
        <v>5302</v>
      </c>
      <c r="D23" s="102" t="s">
        <v>5303</v>
      </c>
      <c r="E23" s="102" t="s">
        <v>521</v>
      </c>
      <c r="F23" s="102" t="s">
        <v>522</v>
      </c>
      <c r="G23" s="102" t="s">
        <v>521</v>
      </c>
      <c r="H23" s="102" t="s">
        <v>522</v>
      </c>
      <c r="I23" s="102" t="s">
        <v>284</v>
      </c>
      <c r="J23" s="102" t="s">
        <v>63</v>
      </c>
      <c r="L23" s="229" t="s">
        <v>5304</v>
      </c>
      <c r="M23" s="229" t="s">
        <v>5305</v>
      </c>
      <c r="N23" s="102"/>
      <c r="O23" s="102"/>
      <c r="P23" s="102"/>
      <c r="Q23" s="102"/>
      <c r="S23" s="230"/>
      <c r="T23" s="230" t="str">
        <f>IF(ISNUMBER(MATCH(B23, 'Sprint 15'!B:B, 0)), "มาจาก Sprint 15", "")</f>
        <v/>
      </c>
      <c r="U23" s="230" t="str">
        <f t="array" ref="U23">IF(ISNUMBER(MATCH(B23, 'Sprint 15'!B:B, 0)), INDEX('Sprint 15'!J:J, MATCH(B23, 'Sprint 15'!B:B, 0)), "")</f>
        <v/>
      </c>
      <c r="V23" s="230"/>
      <c r="W23" s="102" t="s">
        <v>4657</v>
      </c>
      <c r="X23" s="102" t="s">
        <v>2266</v>
      </c>
      <c r="Y23" s="102" t="s">
        <v>2267</v>
      </c>
      <c r="Z23" s="102"/>
      <c r="AA23" s="102"/>
      <c r="AB23" s="102"/>
    </row>
    <row r="24">
      <c r="A24" s="102" t="s">
        <v>332</v>
      </c>
      <c r="B24" s="102" t="s">
        <v>5306</v>
      </c>
      <c r="C24" s="229" t="s">
        <v>5307</v>
      </c>
      <c r="D24" s="102" t="s">
        <v>5308</v>
      </c>
      <c r="E24" s="102" t="s">
        <v>282</v>
      </c>
      <c r="F24" s="102" t="s">
        <v>283</v>
      </c>
      <c r="G24" s="102" t="s">
        <v>316</v>
      </c>
      <c r="H24" s="102" t="s">
        <v>317</v>
      </c>
      <c r="I24" s="102" t="s">
        <v>515</v>
      </c>
      <c r="J24" s="102" t="s">
        <v>2318</v>
      </c>
      <c r="L24" s="229" t="s">
        <v>5309</v>
      </c>
      <c r="M24" s="229" t="s">
        <v>5310</v>
      </c>
      <c r="N24" s="229" t="s">
        <v>5311</v>
      </c>
      <c r="O24" s="102"/>
      <c r="P24" s="102" t="s">
        <v>1756</v>
      </c>
      <c r="Q24" s="102" t="s">
        <v>4656</v>
      </c>
      <c r="R24" s="102" t="s">
        <v>367</v>
      </c>
      <c r="S24" s="230"/>
      <c r="T24" s="230" t="str">
        <f>IF(ISNUMBER(MATCH(B24, 'Sprint 15'!B:B, 0)), "มาจาก Sprint 15", "")</f>
        <v/>
      </c>
      <c r="U24" s="230" t="str">
        <f t="array" ref="U24">IF(ISNUMBER(MATCH(B24, 'Sprint 15'!B:B, 0)), INDEX('Sprint 15'!J:J, MATCH(B24, 'Sprint 15'!B:B, 0)), "")</f>
        <v/>
      </c>
      <c r="V24" s="230"/>
      <c r="W24" s="102" t="s">
        <v>2267</v>
      </c>
      <c r="X24" s="102"/>
      <c r="Y24" s="102"/>
      <c r="Z24" s="102"/>
      <c r="AA24" s="102"/>
      <c r="AB24" s="102"/>
    </row>
    <row r="25">
      <c r="A25" s="102" t="s">
        <v>310</v>
      </c>
      <c r="B25" s="102" t="s">
        <v>5312</v>
      </c>
      <c r="C25" s="229" t="s">
        <v>5313</v>
      </c>
      <c r="D25" s="102" t="s">
        <v>5314</v>
      </c>
      <c r="E25" s="102" t="s">
        <v>282</v>
      </c>
      <c r="F25" s="102" t="s">
        <v>283</v>
      </c>
      <c r="G25" s="102" t="s">
        <v>316</v>
      </c>
      <c r="H25" s="102" t="s">
        <v>317</v>
      </c>
      <c r="I25" s="102" t="s">
        <v>515</v>
      </c>
      <c r="J25" s="102" t="s">
        <v>26</v>
      </c>
      <c r="L25" s="229" t="s">
        <v>5315</v>
      </c>
      <c r="M25" s="229" t="s">
        <v>5316</v>
      </c>
      <c r="N25" s="229" t="s">
        <v>5311</v>
      </c>
      <c r="O25" s="102">
        <v>1.0</v>
      </c>
      <c r="P25" s="102" t="s">
        <v>433</v>
      </c>
      <c r="Q25" s="102" t="s">
        <v>783</v>
      </c>
      <c r="R25" s="102" t="s">
        <v>474</v>
      </c>
      <c r="S25" s="230"/>
      <c r="T25" s="230" t="str">
        <f>IF(ISNUMBER(MATCH(B25, 'Sprint 15'!B:B, 0)), "มาจาก Sprint 15", "")</f>
        <v/>
      </c>
      <c r="U25" s="230" t="str">
        <f t="array" ref="U25">IF(ISNUMBER(MATCH(B25, 'Sprint 15'!B:B, 0)), INDEX('Sprint 15'!J:J, MATCH(B25, 'Sprint 15'!B:B, 0)), "")</f>
        <v/>
      </c>
      <c r="V25" s="230"/>
      <c r="W25" s="102" t="s">
        <v>2267</v>
      </c>
      <c r="X25" s="102"/>
      <c r="Y25" s="102"/>
      <c r="Z25" s="102"/>
      <c r="AA25" s="102"/>
    </row>
    <row r="26">
      <c r="A26" s="102" t="s">
        <v>276</v>
      </c>
      <c r="B26" s="102" t="s">
        <v>5317</v>
      </c>
      <c r="C26" s="229" t="s">
        <v>5318</v>
      </c>
      <c r="D26" s="102" t="s">
        <v>1567</v>
      </c>
      <c r="E26" s="102" t="s">
        <v>3288</v>
      </c>
      <c r="F26" s="102" t="s">
        <v>3289</v>
      </c>
      <c r="G26" s="102" t="s">
        <v>3288</v>
      </c>
      <c r="H26" s="102" t="s">
        <v>3289</v>
      </c>
      <c r="I26" s="102" t="s">
        <v>284</v>
      </c>
      <c r="J26" s="102" t="s">
        <v>26</v>
      </c>
      <c r="L26" s="229" t="s">
        <v>5319</v>
      </c>
      <c r="M26" s="229" t="s">
        <v>5320</v>
      </c>
      <c r="N26" s="102"/>
      <c r="O26" s="102"/>
      <c r="P26" s="102"/>
      <c r="Q26" s="102"/>
      <c r="R26" s="102"/>
      <c r="S26" s="230"/>
      <c r="T26" s="230" t="str">
        <f>IF(ISNUMBER(MATCH(B26, 'Sprint 15'!B:B, 0)), "มาจาก Sprint 15", "")</f>
        <v/>
      </c>
      <c r="U26" s="230" t="str">
        <f t="array" ref="U26">IF(ISNUMBER(MATCH(B26, 'Sprint 15'!B:B, 0)), INDEX('Sprint 15'!J:J, MATCH(B26, 'Sprint 15'!B:B, 0)), "")</f>
        <v/>
      </c>
      <c r="V26" s="230"/>
      <c r="W26" s="102" t="s">
        <v>1368</v>
      </c>
      <c r="X26" s="102" t="s">
        <v>1369</v>
      </c>
      <c r="Y26" s="102" t="s">
        <v>1370</v>
      </c>
      <c r="Z26" s="102"/>
      <c r="AA26" s="102"/>
    </row>
    <row r="27">
      <c r="A27" s="102" t="s">
        <v>276</v>
      </c>
      <c r="B27" s="102" t="s">
        <v>5321</v>
      </c>
      <c r="C27" s="229" t="s">
        <v>5322</v>
      </c>
      <c r="D27" s="102" t="s">
        <v>1567</v>
      </c>
      <c r="E27" s="102" t="s">
        <v>3288</v>
      </c>
      <c r="F27" s="102" t="s">
        <v>3289</v>
      </c>
      <c r="G27" s="102" t="s">
        <v>3288</v>
      </c>
      <c r="H27" s="102" t="s">
        <v>3289</v>
      </c>
      <c r="I27" s="102" t="s">
        <v>284</v>
      </c>
      <c r="J27" s="102" t="s">
        <v>26</v>
      </c>
      <c r="L27" s="229" t="s">
        <v>5319</v>
      </c>
      <c r="M27" s="229" t="s">
        <v>5323</v>
      </c>
      <c r="N27" s="102"/>
      <c r="O27" s="102"/>
      <c r="P27" s="102"/>
      <c r="Q27" s="102"/>
      <c r="R27" s="102"/>
      <c r="S27" s="230"/>
      <c r="T27" s="230" t="str">
        <f>IF(ISNUMBER(MATCH(B27, 'Sprint 15'!B:B, 0)), "มาจาก Sprint 15", "")</f>
        <v/>
      </c>
      <c r="U27" s="230" t="str">
        <f t="array" ref="U27">IF(ISNUMBER(MATCH(B27, 'Sprint 15'!B:B, 0)), INDEX('Sprint 15'!J:J, MATCH(B27, 'Sprint 15'!B:B, 0)), "")</f>
        <v/>
      </c>
      <c r="V27" s="230"/>
      <c r="W27" s="102" t="s">
        <v>1368</v>
      </c>
      <c r="X27" s="102" t="s">
        <v>1369</v>
      </c>
      <c r="Y27" s="102" t="s">
        <v>1370</v>
      </c>
      <c r="Z27" s="230"/>
      <c r="AA27" s="102"/>
    </row>
    <row r="28">
      <c r="A28" s="102" t="s">
        <v>276</v>
      </c>
      <c r="B28" s="102" t="s">
        <v>5324</v>
      </c>
      <c r="C28" s="229" t="s">
        <v>5325</v>
      </c>
      <c r="D28" s="102" t="s">
        <v>1567</v>
      </c>
      <c r="E28" s="102" t="s">
        <v>3288</v>
      </c>
      <c r="F28" s="102" t="s">
        <v>3289</v>
      </c>
      <c r="G28" s="102" t="s">
        <v>3288</v>
      </c>
      <c r="H28" s="102" t="s">
        <v>3289</v>
      </c>
      <c r="I28" s="102" t="s">
        <v>284</v>
      </c>
      <c r="J28" s="102" t="s">
        <v>26</v>
      </c>
      <c r="L28" s="229" t="s">
        <v>5326</v>
      </c>
      <c r="M28" s="229" t="s">
        <v>5323</v>
      </c>
      <c r="N28" s="102"/>
      <c r="O28" s="102"/>
      <c r="P28" s="102"/>
      <c r="Q28" s="102"/>
      <c r="R28" s="102"/>
      <c r="S28" s="230"/>
      <c r="T28" s="230" t="str">
        <f>IF(ISNUMBER(MATCH(B28, 'Sprint 15'!B:B, 0)), "มาจาก Sprint 15", "")</f>
        <v/>
      </c>
      <c r="U28" s="230" t="str">
        <f t="array" ref="U28">IF(ISNUMBER(MATCH(B28, 'Sprint 15'!B:B, 0)), INDEX('Sprint 15'!J:J, MATCH(B28, 'Sprint 15'!B:B, 0)), "")</f>
        <v/>
      </c>
      <c r="V28" s="230"/>
      <c r="W28" s="102" t="s">
        <v>1368</v>
      </c>
      <c r="X28" s="102" t="s">
        <v>1369</v>
      </c>
      <c r="Y28" s="102" t="s">
        <v>1370</v>
      </c>
      <c r="Z28" s="230"/>
      <c r="AA28" s="102"/>
    </row>
    <row r="29">
      <c r="A29" s="102" t="s">
        <v>310</v>
      </c>
      <c r="B29" s="102" t="s">
        <v>5327</v>
      </c>
      <c r="C29" s="229" t="s">
        <v>5328</v>
      </c>
      <c r="D29" s="102" t="s">
        <v>5329</v>
      </c>
      <c r="E29" s="102" t="s">
        <v>314</v>
      </c>
      <c r="F29" s="102" t="s">
        <v>315</v>
      </c>
      <c r="G29" s="102" t="s">
        <v>314</v>
      </c>
      <c r="H29" s="102" t="s">
        <v>315</v>
      </c>
      <c r="I29" s="102" t="s">
        <v>284</v>
      </c>
      <c r="J29" s="102" t="s">
        <v>26</v>
      </c>
      <c r="L29" s="229" t="s">
        <v>5330</v>
      </c>
      <c r="M29" s="229" t="s">
        <v>5331</v>
      </c>
      <c r="N29" s="102"/>
      <c r="O29" s="102">
        <v>1.0</v>
      </c>
      <c r="P29" s="102"/>
      <c r="Q29" s="102"/>
      <c r="R29" s="102"/>
      <c r="S29" s="102">
        <v>3600.0</v>
      </c>
      <c r="T29" s="230" t="str">
        <f>IF(ISNUMBER(MATCH(B29, 'Sprint 15'!B:B, 0)), "มาจาก Sprint 15", "")</f>
        <v/>
      </c>
      <c r="U29" s="230" t="str">
        <f t="array" ref="U29">IF(ISNUMBER(MATCH(B29, 'Sprint 15'!B:B, 0)), INDEX('Sprint 15'!J:J, MATCH(B29, 'Sprint 15'!B:B, 0)), "")</f>
        <v/>
      </c>
      <c r="V29" s="102"/>
      <c r="W29" s="102" t="s">
        <v>1370</v>
      </c>
      <c r="X29" s="102"/>
      <c r="Y29" s="102"/>
      <c r="Z29" s="230"/>
      <c r="AA29" s="102"/>
    </row>
    <row r="30">
      <c r="A30" s="102" t="s">
        <v>310</v>
      </c>
      <c r="B30" s="102" t="s">
        <v>4236</v>
      </c>
      <c r="C30" s="229" t="s">
        <v>4237</v>
      </c>
      <c r="D30" s="102" t="s">
        <v>2057</v>
      </c>
      <c r="E30" s="102" t="s">
        <v>495</v>
      </c>
      <c r="F30" s="102" t="s">
        <v>496</v>
      </c>
      <c r="G30" s="102" t="s">
        <v>353</v>
      </c>
      <c r="H30" s="102" t="s">
        <v>354</v>
      </c>
      <c r="I30" s="102" t="s">
        <v>284</v>
      </c>
      <c r="J30" s="102" t="s">
        <v>678</v>
      </c>
      <c r="L30" s="229" t="s">
        <v>4238</v>
      </c>
      <c r="M30" s="229" t="s">
        <v>5332</v>
      </c>
      <c r="N30" s="102"/>
      <c r="O30" s="102">
        <v>2.0</v>
      </c>
      <c r="P30" s="102" t="s">
        <v>593</v>
      </c>
      <c r="Q30" s="102" t="s">
        <v>4240</v>
      </c>
      <c r="R30" s="102"/>
      <c r="S30" s="102"/>
      <c r="T30" s="230" t="str">
        <f>IF(ISNUMBER(MATCH(B30, 'Sprint 15'!B:B, 0)), "มาจาก Sprint 15", "")</f>
        <v/>
      </c>
      <c r="U30" s="230" t="str">
        <f t="array" ref="U30">IF(ISNUMBER(MATCH(B30, 'Sprint 15'!B:B, 0)), INDEX('Sprint 15'!J:J, MATCH(B30, 'Sprint 15'!B:B, 0)), "")</f>
        <v/>
      </c>
      <c r="V30" s="102"/>
      <c r="W30" s="102" t="s">
        <v>3043</v>
      </c>
      <c r="X30" s="102"/>
      <c r="Y30" s="102"/>
      <c r="Z30" s="230"/>
      <c r="AA30" s="102"/>
    </row>
    <row r="31">
      <c r="A31" s="102" t="s">
        <v>1465</v>
      </c>
      <c r="B31" s="102" t="s">
        <v>5333</v>
      </c>
      <c r="C31" s="229" t="s">
        <v>5334</v>
      </c>
      <c r="D31" s="102" t="s">
        <v>5335</v>
      </c>
      <c r="E31" s="102" t="s">
        <v>280</v>
      </c>
      <c r="F31" s="102" t="s">
        <v>281</v>
      </c>
      <c r="G31" s="102" t="s">
        <v>280</v>
      </c>
      <c r="H31" s="102" t="s">
        <v>281</v>
      </c>
      <c r="I31" s="102" t="s">
        <v>284</v>
      </c>
      <c r="J31" s="102" t="s">
        <v>26</v>
      </c>
      <c r="L31" s="229" t="s">
        <v>5336</v>
      </c>
      <c r="M31" s="229" t="s">
        <v>5337</v>
      </c>
      <c r="N31" s="102"/>
      <c r="O31" s="102"/>
      <c r="P31" s="102"/>
      <c r="Q31" s="102"/>
      <c r="R31" s="102"/>
      <c r="S31" s="102"/>
      <c r="T31" s="230" t="str">
        <f>IF(ISNUMBER(MATCH(B31, 'Sprint 15'!B:B, 0)), "มาจาก Sprint 15", "")</f>
        <v/>
      </c>
      <c r="U31" s="230" t="str">
        <f t="array" ref="U31">IF(ISNUMBER(MATCH(B31, 'Sprint 15'!B:B, 0)), INDEX('Sprint 15'!J:J, MATCH(B31, 'Sprint 15'!B:B, 0)), "")</f>
        <v/>
      </c>
      <c r="V31" s="102"/>
      <c r="W31" s="102" t="s">
        <v>1369</v>
      </c>
      <c r="X31" s="102" t="s">
        <v>1370</v>
      </c>
      <c r="Y31" s="102"/>
      <c r="Z31" s="230"/>
      <c r="AA31" s="102"/>
    </row>
    <row r="32">
      <c r="A32" s="102" t="s">
        <v>310</v>
      </c>
      <c r="B32" s="102" t="s">
        <v>5338</v>
      </c>
      <c r="C32" s="229" t="s">
        <v>5339</v>
      </c>
      <c r="D32" s="102" t="s">
        <v>5340</v>
      </c>
      <c r="E32" s="102" t="s">
        <v>495</v>
      </c>
      <c r="F32" s="102" t="s">
        <v>496</v>
      </c>
      <c r="G32" s="102" t="s">
        <v>353</v>
      </c>
      <c r="H32" s="102" t="s">
        <v>354</v>
      </c>
      <c r="I32" s="102" t="s">
        <v>284</v>
      </c>
      <c r="J32" s="102" t="s">
        <v>26</v>
      </c>
      <c r="L32" s="229" t="s">
        <v>5341</v>
      </c>
      <c r="M32" s="229" t="s">
        <v>5342</v>
      </c>
      <c r="N32" s="102"/>
      <c r="O32" s="102"/>
      <c r="P32" s="102"/>
      <c r="Q32" s="102"/>
      <c r="R32" s="102"/>
      <c r="S32" s="102">
        <v>0.0</v>
      </c>
      <c r="T32" s="230" t="str">
        <f>IF(ISNUMBER(MATCH(B32, 'Sprint 15'!B:B, 0)), "มาจาก Sprint 15", "")</f>
        <v>มาจาก Sprint 15</v>
      </c>
      <c r="U32" s="230" t="str">
        <f t="array" ref="U32">IF(ISNUMBER(MATCH(B32, 'Sprint 15'!B:B, 0)), INDEX('Sprint 15'!J:J, MATCH(B32, 'Sprint 15'!B:B, 0)), "")</f>
        <v>Ready to Staging</v>
      </c>
      <c r="V32" s="102">
        <v>7200.0</v>
      </c>
      <c r="W32" s="102" t="s">
        <v>2266</v>
      </c>
      <c r="X32" s="102" t="s">
        <v>2267</v>
      </c>
      <c r="Y32" s="102"/>
      <c r="Z32" s="230"/>
      <c r="AA32" s="102"/>
    </row>
    <row r="33">
      <c r="A33" s="102" t="s">
        <v>310</v>
      </c>
      <c r="B33" s="102" t="s">
        <v>4241</v>
      </c>
      <c r="C33" s="229" t="s">
        <v>4242</v>
      </c>
      <c r="D33" s="102" t="s">
        <v>4243</v>
      </c>
      <c r="E33" s="102" t="s">
        <v>564</v>
      </c>
      <c r="F33" s="102" t="s">
        <v>565</v>
      </c>
      <c r="G33" s="102" t="s">
        <v>282</v>
      </c>
      <c r="H33" s="102" t="s">
        <v>283</v>
      </c>
      <c r="I33" s="102" t="s">
        <v>284</v>
      </c>
      <c r="J33" s="102" t="s">
        <v>34</v>
      </c>
      <c r="L33" s="229" t="s">
        <v>4244</v>
      </c>
      <c r="M33" s="229" t="s">
        <v>5343</v>
      </c>
      <c r="N33" s="102"/>
      <c r="O33" s="102">
        <v>5.0</v>
      </c>
      <c r="P33" s="102" t="s">
        <v>593</v>
      </c>
      <c r="Q33" s="102"/>
      <c r="R33" s="102"/>
      <c r="S33" s="230"/>
      <c r="T33" s="230" t="str">
        <f>IF(ISNUMBER(MATCH(B33, 'Sprint 15'!B:B, 0)), "มาจาก Sprint 15", "")</f>
        <v/>
      </c>
      <c r="U33" s="230" t="str">
        <f t="array" ref="U33">IF(ISNUMBER(MATCH(B33, 'Sprint 15'!B:B, 0)), INDEX('Sprint 15'!J:J, MATCH(B33, 'Sprint 15'!B:B, 0)), "")</f>
        <v/>
      </c>
      <c r="V33" s="230"/>
      <c r="W33" s="102" t="s">
        <v>4247</v>
      </c>
      <c r="X33" s="102"/>
      <c r="Y33" s="102"/>
      <c r="Z33" s="102"/>
      <c r="AA33" s="102"/>
    </row>
    <row r="34">
      <c r="A34" s="102" t="s">
        <v>310</v>
      </c>
      <c r="B34" s="102" t="s">
        <v>4251</v>
      </c>
      <c r="C34" s="229" t="s">
        <v>4252</v>
      </c>
      <c r="D34" s="102" t="s">
        <v>4253</v>
      </c>
      <c r="E34" s="102" t="s">
        <v>556</v>
      </c>
      <c r="F34" s="102" t="s">
        <v>557</v>
      </c>
      <c r="G34" s="102" t="s">
        <v>353</v>
      </c>
      <c r="H34" s="102" t="s">
        <v>354</v>
      </c>
      <c r="I34" s="102" t="s">
        <v>284</v>
      </c>
      <c r="J34" s="102" t="s">
        <v>678</v>
      </c>
      <c r="L34" s="229" t="s">
        <v>4254</v>
      </c>
      <c r="M34" s="229" t="s">
        <v>5344</v>
      </c>
      <c r="N34" s="102"/>
      <c r="O34" s="102"/>
      <c r="P34" s="102"/>
      <c r="Q34" s="102"/>
      <c r="R34" s="102"/>
      <c r="S34" s="230"/>
      <c r="T34" s="230" t="str">
        <f>IF(ISNUMBER(MATCH(B34, 'Sprint 15'!B:B, 0)), "มาจาก Sprint 15", "")</f>
        <v/>
      </c>
      <c r="U34" s="230" t="str">
        <f t="array" ref="U34">IF(ISNUMBER(MATCH(B34, 'Sprint 15'!B:B, 0)), INDEX('Sprint 15'!J:J, MATCH(B34, 'Sprint 15'!B:B, 0)), "")</f>
        <v/>
      </c>
      <c r="V34" s="230"/>
      <c r="W34" s="102" t="s">
        <v>3043</v>
      </c>
      <c r="X34" s="102"/>
      <c r="Y34" s="102"/>
      <c r="Z34" s="102"/>
      <c r="AA34" s="102"/>
    </row>
    <row r="35">
      <c r="A35" s="102" t="s">
        <v>310</v>
      </c>
      <c r="B35" s="102" t="s">
        <v>4256</v>
      </c>
      <c r="C35" s="229" t="s">
        <v>4257</v>
      </c>
      <c r="D35" s="102" t="s">
        <v>4258</v>
      </c>
      <c r="E35" s="102" t="s">
        <v>556</v>
      </c>
      <c r="F35" s="102" t="s">
        <v>557</v>
      </c>
      <c r="G35" s="102" t="s">
        <v>353</v>
      </c>
      <c r="H35" s="102" t="s">
        <v>354</v>
      </c>
      <c r="I35" s="102" t="s">
        <v>284</v>
      </c>
      <c r="J35" s="102" t="s">
        <v>678</v>
      </c>
      <c r="L35" s="229" t="s">
        <v>4259</v>
      </c>
      <c r="M35" s="229" t="s">
        <v>5345</v>
      </c>
      <c r="N35" s="102"/>
      <c r="O35" s="102">
        <v>3.0</v>
      </c>
      <c r="P35" s="102"/>
      <c r="Q35" s="102"/>
      <c r="S35" s="230"/>
      <c r="T35" s="230" t="str">
        <f>IF(ISNUMBER(MATCH(B35, 'Sprint 15'!B:B, 0)), "มาจาก Sprint 15", "")</f>
        <v/>
      </c>
      <c r="U35" s="230" t="str">
        <f t="array" ref="U35">IF(ISNUMBER(MATCH(B35, 'Sprint 15'!B:B, 0)), INDEX('Sprint 15'!J:J, MATCH(B35, 'Sprint 15'!B:B, 0)), "")</f>
        <v/>
      </c>
      <c r="V35" s="230"/>
      <c r="W35" s="102" t="s">
        <v>3043</v>
      </c>
      <c r="X35" s="102"/>
      <c r="Y35" s="102"/>
      <c r="Z35" s="102"/>
      <c r="AA35" s="102"/>
      <c r="AB35" s="102"/>
    </row>
    <row r="36">
      <c r="A36" s="102" t="s">
        <v>276</v>
      </c>
      <c r="B36" s="102" t="s">
        <v>5346</v>
      </c>
      <c r="C36" s="229" t="s">
        <v>5347</v>
      </c>
      <c r="D36" s="102" t="s">
        <v>5348</v>
      </c>
      <c r="E36" s="102" t="s">
        <v>521</v>
      </c>
      <c r="F36" s="102" t="s">
        <v>522</v>
      </c>
      <c r="G36" s="102" t="s">
        <v>521</v>
      </c>
      <c r="H36" s="102" t="s">
        <v>522</v>
      </c>
      <c r="I36" s="102" t="s">
        <v>284</v>
      </c>
      <c r="J36" s="102" t="s">
        <v>26</v>
      </c>
      <c r="L36" s="229" t="s">
        <v>5349</v>
      </c>
      <c r="M36" s="229" t="s">
        <v>5350</v>
      </c>
      <c r="N36" s="102"/>
      <c r="O36" s="102"/>
      <c r="P36" s="102"/>
      <c r="Q36" s="102"/>
      <c r="R36" s="102"/>
      <c r="S36" s="230"/>
      <c r="T36" s="230" t="str">
        <f>IF(ISNUMBER(MATCH(B36, 'Sprint 15'!B:B, 0)), "มาจาก Sprint 15", "")</f>
        <v>มาจาก Sprint 15</v>
      </c>
      <c r="U36" s="230" t="str">
        <f t="array" ref="U36">IF(ISNUMBER(MATCH(B36, 'Sprint 15'!B:B, 0)), INDEX('Sprint 15'!J:J, MATCH(B36, 'Sprint 15'!B:B, 0)), "")</f>
        <v>To Do</v>
      </c>
      <c r="V36" s="230"/>
      <c r="W36" s="102" t="s">
        <v>1369</v>
      </c>
      <c r="X36" s="102" t="s">
        <v>1370</v>
      </c>
      <c r="Y36" s="102"/>
      <c r="Z36" s="102"/>
      <c r="AA36" s="102"/>
      <c r="AB36" s="102"/>
    </row>
    <row r="37">
      <c r="A37" s="102" t="s">
        <v>310</v>
      </c>
      <c r="B37" s="102" t="s">
        <v>5351</v>
      </c>
      <c r="C37" s="229" t="s">
        <v>5352</v>
      </c>
      <c r="D37" s="102" t="s">
        <v>5353</v>
      </c>
      <c r="E37" s="102" t="s">
        <v>513</v>
      </c>
      <c r="F37" s="102" t="s">
        <v>514</v>
      </c>
      <c r="G37" s="102" t="s">
        <v>513</v>
      </c>
      <c r="H37" s="102" t="s">
        <v>514</v>
      </c>
      <c r="I37" s="102" t="s">
        <v>284</v>
      </c>
      <c r="J37" s="102" t="s">
        <v>26</v>
      </c>
      <c r="L37" s="229" t="s">
        <v>5354</v>
      </c>
      <c r="M37" s="229" t="s">
        <v>5355</v>
      </c>
      <c r="N37" s="102"/>
      <c r="O37" s="102">
        <v>1.0</v>
      </c>
      <c r="P37" s="102" t="s">
        <v>593</v>
      </c>
      <c r="Q37" s="102" t="s">
        <v>473</v>
      </c>
      <c r="R37" s="102"/>
      <c r="S37" s="102">
        <v>28800.0</v>
      </c>
      <c r="T37" s="230" t="str">
        <f>IF(ISNUMBER(MATCH(B37, 'Sprint 15'!B:B, 0)), "มาจาก Sprint 15", "")</f>
        <v/>
      </c>
      <c r="U37" s="230" t="str">
        <f t="array" ref="U37">IF(ISNUMBER(MATCH(B37, 'Sprint 15'!B:B, 0)), INDEX('Sprint 15'!J:J, MATCH(B37, 'Sprint 15'!B:B, 0)), "")</f>
        <v/>
      </c>
      <c r="V37" s="102"/>
      <c r="W37" s="102" t="s">
        <v>5147</v>
      </c>
      <c r="X37" s="102"/>
      <c r="Y37" s="102"/>
      <c r="Z37" s="102"/>
      <c r="AA37" s="102"/>
      <c r="AB37" s="102"/>
    </row>
    <row r="38">
      <c r="A38" s="102" t="s">
        <v>310</v>
      </c>
      <c r="B38" s="102" t="s">
        <v>5356</v>
      </c>
      <c r="C38" s="229" t="s">
        <v>5357</v>
      </c>
      <c r="D38" s="102" t="s">
        <v>5358</v>
      </c>
      <c r="E38" s="102" t="s">
        <v>353</v>
      </c>
      <c r="F38" s="102" t="s">
        <v>354</v>
      </c>
      <c r="G38" s="102" t="s">
        <v>353</v>
      </c>
      <c r="H38" s="102" t="s">
        <v>354</v>
      </c>
      <c r="I38" s="102" t="s">
        <v>284</v>
      </c>
      <c r="J38" s="102" t="s">
        <v>26</v>
      </c>
      <c r="L38" s="229" t="s">
        <v>5359</v>
      </c>
      <c r="M38" s="229" t="s">
        <v>5360</v>
      </c>
      <c r="N38" s="102"/>
      <c r="O38" s="102">
        <v>8.0</v>
      </c>
      <c r="P38" s="102"/>
      <c r="Q38" s="102"/>
      <c r="R38" s="102"/>
      <c r="S38" s="230"/>
      <c r="T38" s="230" t="str">
        <f>IF(ISNUMBER(MATCH(B38, 'Sprint 15'!B:B, 0)), "มาจาก Sprint 15", "")</f>
        <v>มาจาก Sprint 15</v>
      </c>
      <c r="U38" s="230" t="str">
        <f t="array" ref="U38">IF(ISNUMBER(MATCH(B38, 'Sprint 15'!B:B, 0)), INDEX('Sprint 15'!J:J, MATCH(B38, 'Sprint 15'!B:B, 0)), "")</f>
        <v>In Progress</v>
      </c>
      <c r="V38" s="230"/>
      <c r="W38" s="102" t="s">
        <v>2266</v>
      </c>
      <c r="X38" s="102" t="s">
        <v>2267</v>
      </c>
      <c r="Y38" s="102"/>
      <c r="Z38" s="102"/>
      <c r="AA38" s="102"/>
    </row>
    <row r="39">
      <c r="A39" s="102" t="s">
        <v>276</v>
      </c>
      <c r="B39" s="102" t="s">
        <v>5361</v>
      </c>
      <c r="C39" s="229" t="s">
        <v>5362</v>
      </c>
      <c r="D39" s="102" t="s">
        <v>347</v>
      </c>
      <c r="E39" s="102" t="s">
        <v>280</v>
      </c>
      <c r="F39" s="102" t="s">
        <v>281</v>
      </c>
      <c r="G39" s="102" t="s">
        <v>280</v>
      </c>
      <c r="H39" s="102" t="s">
        <v>281</v>
      </c>
      <c r="I39" s="102" t="s">
        <v>284</v>
      </c>
      <c r="J39" s="102" t="s">
        <v>26</v>
      </c>
      <c r="L39" s="229" t="s">
        <v>5363</v>
      </c>
      <c r="M39" s="229" t="s">
        <v>5364</v>
      </c>
      <c r="O39" s="102"/>
      <c r="P39" s="102"/>
      <c r="S39" s="230"/>
      <c r="T39" s="230" t="str">
        <f>IF(ISNUMBER(MATCH(B39, 'Sprint 15'!B:B, 0)), "มาจาก Sprint 15", "")</f>
        <v>มาจาก Sprint 15</v>
      </c>
      <c r="U39" s="230" t="str">
        <f t="array" ref="U39">IF(ISNUMBER(MATCH(B39, 'Sprint 15'!B:B, 0)), INDEX('Sprint 15'!J:J, MATCH(B39, 'Sprint 15'!B:B, 0)), "")</f>
        <v>To Do</v>
      </c>
      <c r="V39" s="230"/>
      <c r="W39" s="102" t="s">
        <v>1369</v>
      </c>
      <c r="X39" s="102" t="s">
        <v>1370</v>
      </c>
      <c r="Y39" s="102"/>
      <c r="Z39" s="102"/>
      <c r="AA39" s="102"/>
    </row>
    <row r="40">
      <c r="A40" s="102" t="s">
        <v>276</v>
      </c>
      <c r="B40" s="102" t="s">
        <v>5365</v>
      </c>
      <c r="C40" s="229" t="s">
        <v>5366</v>
      </c>
      <c r="D40" s="102" t="s">
        <v>2030</v>
      </c>
      <c r="E40" s="102" t="s">
        <v>280</v>
      </c>
      <c r="F40" s="102" t="s">
        <v>281</v>
      </c>
      <c r="G40" s="102" t="s">
        <v>280</v>
      </c>
      <c r="H40" s="102" t="s">
        <v>281</v>
      </c>
      <c r="I40" s="102" t="s">
        <v>284</v>
      </c>
      <c r="J40" s="102" t="s">
        <v>26</v>
      </c>
      <c r="L40" s="229" t="s">
        <v>5363</v>
      </c>
      <c r="M40" s="229" t="s">
        <v>5364</v>
      </c>
      <c r="O40" s="102"/>
      <c r="S40" s="230"/>
      <c r="T40" s="230" t="str">
        <f>IF(ISNUMBER(MATCH(B40, 'Sprint 15'!B:B, 0)), "มาจาก Sprint 15", "")</f>
        <v>มาจาก Sprint 15</v>
      </c>
      <c r="U40" s="230" t="str">
        <f t="array" ref="U40">IF(ISNUMBER(MATCH(B40, 'Sprint 15'!B:B, 0)), INDEX('Sprint 15'!J:J, MATCH(B40, 'Sprint 15'!B:B, 0)), "")</f>
        <v>To Do</v>
      </c>
      <c r="V40" s="230"/>
      <c r="W40" s="102" t="s">
        <v>1369</v>
      </c>
      <c r="X40" s="102" t="s">
        <v>1370</v>
      </c>
      <c r="Y40" s="102"/>
      <c r="Z40" s="102"/>
      <c r="AA40" s="102"/>
    </row>
    <row r="41">
      <c r="A41" s="102" t="s">
        <v>276</v>
      </c>
      <c r="B41" s="102" t="s">
        <v>5367</v>
      </c>
      <c r="C41" s="229" t="s">
        <v>5368</v>
      </c>
      <c r="D41" s="102" t="s">
        <v>347</v>
      </c>
      <c r="E41" s="102" t="s">
        <v>280</v>
      </c>
      <c r="F41" s="102" t="s">
        <v>281</v>
      </c>
      <c r="G41" s="102" t="s">
        <v>280</v>
      </c>
      <c r="H41" s="102" t="s">
        <v>281</v>
      </c>
      <c r="I41" s="102" t="s">
        <v>284</v>
      </c>
      <c r="J41" s="102" t="s">
        <v>34</v>
      </c>
      <c r="L41" s="229" t="s">
        <v>5363</v>
      </c>
      <c r="M41" s="229" t="s">
        <v>5369</v>
      </c>
      <c r="N41" s="102"/>
      <c r="O41" s="102"/>
      <c r="S41" s="230"/>
      <c r="T41" s="230" t="str">
        <f>IF(ISNUMBER(MATCH(B41, 'Sprint 15'!B:B, 0)), "มาจาก Sprint 15", "")</f>
        <v>มาจาก Sprint 15</v>
      </c>
      <c r="U41" s="230" t="str">
        <f t="array" ref="U41">IF(ISNUMBER(MATCH(B41, 'Sprint 15'!B:B, 0)), INDEX('Sprint 15'!J:J, MATCH(B41, 'Sprint 15'!B:B, 0)), "")</f>
        <v>To Do</v>
      </c>
      <c r="V41" s="230"/>
      <c r="W41" s="102" t="s">
        <v>1369</v>
      </c>
      <c r="X41" s="102" t="s">
        <v>1370</v>
      </c>
      <c r="Y41" s="102"/>
      <c r="Z41" s="102"/>
      <c r="AA41" s="102"/>
    </row>
    <row r="42">
      <c r="A42" s="102" t="s">
        <v>276</v>
      </c>
      <c r="B42" s="102" t="s">
        <v>5370</v>
      </c>
      <c r="C42" s="229" t="s">
        <v>5371</v>
      </c>
      <c r="D42" s="102" t="s">
        <v>2030</v>
      </c>
      <c r="E42" s="102" t="s">
        <v>280</v>
      </c>
      <c r="F42" s="102" t="s">
        <v>281</v>
      </c>
      <c r="G42" s="102" t="s">
        <v>280</v>
      </c>
      <c r="H42" s="102" t="s">
        <v>281</v>
      </c>
      <c r="I42" s="102" t="s">
        <v>284</v>
      </c>
      <c r="J42" s="102" t="s">
        <v>34</v>
      </c>
      <c r="L42" s="229" t="s">
        <v>5363</v>
      </c>
      <c r="M42" s="229" t="s">
        <v>5369</v>
      </c>
      <c r="N42" s="102"/>
      <c r="O42" s="102"/>
      <c r="S42" s="230"/>
      <c r="T42" s="230" t="str">
        <f>IF(ISNUMBER(MATCH(B42, 'Sprint 15'!B:B, 0)), "มาจาก Sprint 15", "")</f>
        <v>มาจาก Sprint 15</v>
      </c>
      <c r="U42" s="230" t="str">
        <f t="array" ref="U42">IF(ISNUMBER(MATCH(B42, 'Sprint 15'!B:B, 0)), INDEX('Sprint 15'!J:J, MATCH(B42, 'Sprint 15'!B:B, 0)), "")</f>
        <v>To Do</v>
      </c>
      <c r="V42" s="230"/>
      <c r="W42" s="102" t="s">
        <v>1369</v>
      </c>
      <c r="X42" s="102" t="s">
        <v>1370</v>
      </c>
      <c r="Y42" s="102"/>
      <c r="Z42" s="102"/>
      <c r="AA42" s="102"/>
    </row>
    <row r="43">
      <c r="A43" s="102" t="s">
        <v>310</v>
      </c>
      <c r="B43" s="102" t="s">
        <v>4261</v>
      </c>
      <c r="C43" s="229" t="s">
        <v>4262</v>
      </c>
      <c r="D43" s="102" t="s">
        <v>4263</v>
      </c>
      <c r="E43" s="102" t="s">
        <v>556</v>
      </c>
      <c r="F43" s="102" t="s">
        <v>557</v>
      </c>
      <c r="G43" s="102" t="s">
        <v>353</v>
      </c>
      <c r="H43" s="102" t="s">
        <v>354</v>
      </c>
      <c r="I43" s="102" t="s">
        <v>284</v>
      </c>
      <c r="J43" s="102" t="s">
        <v>678</v>
      </c>
      <c r="L43" s="229" t="s">
        <v>4264</v>
      </c>
      <c r="M43" s="229" t="s">
        <v>5372</v>
      </c>
      <c r="N43" s="102"/>
      <c r="O43" s="102">
        <v>3.0</v>
      </c>
      <c r="S43" s="230"/>
      <c r="T43" s="230" t="str">
        <f>IF(ISNUMBER(MATCH(B43, 'Sprint 15'!B:B, 0)), "มาจาก Sprint 15", "")</f>
        <v/>
      </c>
      <c r="U43" s="230" t="str">
        <f t="array" ref="U43">IF(ISNUMBER(MATCH(B43, 'Sprint 15'!B:B, 0)), INDEX('Sprint 15'!J:J, MATCH(B43, 'Sprint 15'!B:B, 0)), "")</f>
        <v/>
      </c>
      <c r="V43" s="230"/>
      <c r="W43" s="102" t="s">
        <v>3043</v>
      </c>
      <c r="X43" s="102"/>
      <c r="Y43" s="102"/>
      <c r="Z43" s="102"/>
      <c r="AA43" s="102"/>
    </row>
    <row r="44">
      <c r="A44" s="102" t="s">
        <v>310</v>
      </c>
      <c r="B44" s="102" t="s">
        <v>4265</v>
      </c>
      <c r="C44" s="229" t="s">
        <v>4266</v>
      </c>
      <c r="D44" s="102" t="s">
        <v>4267</v>
      </c>
      <c r="E44" s="102" t="s">
        <v>564</v>
      </c>
      <c r="F44" s="102" t="s">
        <v>565</v>
      </c>
      <c r="G44" s="102" t="s">
        <v>353</v>
      </c>
      <c r="H44" s="102" t="s">
        <v>354</v>
      </c>
      <c r="I44" s="102" t="s">
        <v>284</v>
      </c>
      <c r="J44" s="102" t="s">
        <v>678</v>
      </c>
      <c r="L44" s="229" t="s">
        <v>4264</v>
      </c>
      <c r="M44" s="229" t="s">
        <v>5373</v>
      </c>
      <c r="N44" s="229" t="s">
        <v>4268</v>
      </c>
      <c r="O44" s="102">
        <v>3.0</v>
      </c>
      <c r="S44" s="102">
        <v>28800.0</v>
      </c>
      <c r="T44" s="230" t="str">
        <f>IF(ISNUMBER(MATCH(B44, 'Sprint 15'!B:B, 0)), "มาจาก Sprint 15", "")</f>
        <v/>
      </c>
      <c r="U44" s="230" t="str">
        <f t="array" ref="U44">IF(ISNUMBER(MATCH(B44, 'Sprint 15'!B:B, 0)), INDEX('Sprint 15'!J:J, MATCH(B44, 'Sprint 15'!B:B, 0)), "")</f>
        <v/>
      </c>
      <c r="V44" s="102"/>
      <c r="W44" s="102" t="s">
        <v>3043</v>
      </c>
      <c r="X44" s="102"/>
      <c r="Y44" s="102"/>
      <c r="Z44" s="102"/>
      <c r="AA44" s="102"/>
    </row>
    <row r="45">
      <c r="A45" s="102" t="s">
        <v>310</v>
      </c>
      <c r="B45" s="102" t="s">
        <v>5374</v>
      </c>
      <c r="C45" s="229" t="s">
        <v>5375</v>
      </c>
      <c r="D45" s="102" t="s">
        <v>5376</v>
      </c>
      <c r="E45" s="102" t="s">
        <v>328</v>
      </c>
      <c r="F45" s="102" t="s">
        <v>329</v>
      </c>
      <c r="G45" s="102" t="s">
        <v>353</v>
      </c>
      <c r="H45" s="102" t="s">
        <v>354</v>
      </c>
      <c r="I45" s="102" t="s">
        <v>284</v>
      </c>
      <c r="J45" s="102" t="s">
        <v>678</v>
      </c>
      <c r="L45" s="229" t="s">
        <v>5377</v>
      </c>
      <c r="M45" s="229" t="s">
        <v>5378</v>
      </c>
      <c r="N45" s="229" t="s">
        <v>5379</v>
      </c>
      <c r="O45" s="102">
        <v>5.0</v>
      </c>
      <c r="P45" s="102" t="s">
        <v>593</v>
      </c>
      <c r="Q45" s="102" t="s">
        <v>4240</v>
      </c>
      <c r="S45" s="102">
        <v>57600.0</v>
      </c>
      <c r="T45" s="230" t="str">
        <f>IF(ISNUMBER(MATCH(B45, 'Sprint 15'!B:B, 0)), "มาจาก Sprint 15", "")</f>
        <v/>
      </c>
      <c r="U45" s="230" t="str">
        <f t="array" ref="U45">IF(ISNUMBER(MATCH(B45, 'Sprint 15'!B:B, 0)), INDEX('Sprint 15'!J:J, MATCH(B45, 'Sprint 15'!B:B, 0)), "")</f>
        <v/>
      </c>
      <c r="V45" s="102"/>
      <c r="W45" s="102" t="s">
        <v>3043</v>
      </c>
      <c r="X45" s="102"/>
      <c r="Y45" s="102"/>
      <c r="Z45" s="102"/>
      <c r="AA45" s="102"/>
    </row>
    <row r="46">
      <c r="A46" s="102" t="s">
        <v>310</v>
      </c>
      <c r="B46" s="102" t="s">
        <v>3039</v>
      </c>
      <c r="C46" s="229" t="s">
        <v>3040</v>
      </c>
      <c r="D46" s="102" t="s">
        <v>3041</v>
      </c>
      <c r="E46" s="102" t="s">
        <v>584</v>
      </c>
      <c r="F46" s="102" t="s">
        <v>585</v>
      </c>
      <c r="G46" s="102" t="s">
        <v>353</v>
      </c>
      <c r="H46" s="102" t="s">
        <v>354</v>
      </c>
      <c r="I46" s="102" t="s">
        <v>284</v>
      </c>
      <c r="J46" s="102" t="s">
        <v>678</v>
      </c>
      <c r="L46" s="229" t="s">
        <v>3042</v>
      </c>
      <c r="M46" s="229" t="s">
        <v>5380</v>
      </c>
      <c r="O46" s="102">
        <v>5.0</v>
      </c>
      <c r="P46" s="102"/>
      <c r="S46" s="102">
        <v>86400.0</v>
      </c>
      <c r="T46" s="230" t="str">
        <f>IF(ISNUMBER(MATCH(B46, 'Sprint 15'!B:B, 0)), "มาจาก Sprint 15", "")</f>
        <v/>
      </c>
      <c r="U46" s="230" t="str">
        <f t="array" ref="U46">IF(ISNUMBER(MATCH(B46, 'Sprint 15'!B:B, 0)), INDEX('Sprint 15'!J:J, MATCH(B46, 'Sprint 15'!B:B, 0)), "")</f>
        <v/>
      </c>
      <c r="V46" s="102"/>
      <c r="W46" s="102" t="s">
        <v>3043</v>
      </c>
      <c r="X46" s="102"/>
      <c r="Y46" s="102"/>
      <c r="Z46" s="102"/>
      <c r="AA46" s="102"/>
    </row>
    <row r="47">
      <c r="A47" s="102" t="s">
        <v>310</v>
      </c>
      <c r="B47" s="102" t="s">
        <v>4269</v>
      </c>
      <c r="C47" s="229" t="s">
        <v>4270</v>
      </c>
      <c r="D47" s="102" t="s">
        <v>4271</v>
      </c>
      <c r="E47" s="102" t="s">
        <v>556</v>
      </c>
      <c r="F47" s="102" t="s">
        <v>557</v>
      </c>
      <c r="G47" s="102" t="s">
        <v>353</v>
      </c>
      <c r="H47" s="102" t="s">
        <v>354</v>
      </c>
      <c r="I47" s="102" t="s">
        <v>284</v>
      </c>
      <c r="J47" s="102" t="s">
        <v>678</v>
      </c>
      <c r="L47" s="229" t="s">
        <v>4272</v>
      </c>
      <c r="M47" s="229" t="s">
        <v>5381</v>
      </c>
      <c r="N47" s="102"/>
      <c r="O47" s="102">
        <v>5.0</v>
      </c>
      <c r="P47" s="102" t="s">
        <v>593</v>
      </c>
      <c r="Q47" s="102" t="s">
        <v>4240</v>
      </c>
      <c r="S47" s="230"/>
      <c r="T47" s="230" t="str">
        <f>IF(ISNUMBER(MATCH(B47, 'Sprint 15'!B:B, 0)), "มาจาก Sprint 15", "")</f>
        <v/>
      </c>
      <c r="U47" s="230" t="str">
        <f t="array" ref="U47">IF(ISNUMBER(MATCH(B47, 'Sprint 15'!B:B, 0)), INDEX('Sprint 15'!J:J, MATCH(B47, 'Sprint 15'!B:B, 0)), "")</f>
        <v/>
      </c>
      <c r="V47" s="230"/>
      <c r="W47" s="102" t="s">
        <v>3043</v>
      </c>
      <c r="X47" s="102"/>
      <c r="Y47" s="102"/>
      <c r="Z47" s="102"/>
      <c r="AA47" s="102"/>
    </row>
    <row r="48">
      <c r="A48" s="102" t="s">
        <v>276</v>
      </c>
      <c r="B48" s="102" t="s">
        <v>5382</v>
      </c>
      <c r="C48" s="229" t="s">
        <v>5383</v>
      </c>
      <c r="D48" s="102" t="s">
        <v>4345</v>
      </c>
      <c r="E48" s="102" t="s">
        <v>3288</v>
      </c>
      <c r="F48" s="102" t="s">
        <v>3289</v>
      </c>
      <c r="G48" s="102" t="s">
        <v>3288</v>
      </c>
      <c r="H48" s="102" t="s">
        <v>3289</v>
      </c>
      <c r="I48" s="102" t="s">
        <v>284</v>
      </c>
      <c r="J48" s="102" t="s">
        <v>26</v>
      </c>
      <c r="L48" s="229" t="s">
        <v>5384</v>
      </c>
      <c r="M48" s="229" t="s">
        <v>5326</v>
      </c>
      <c r="N48" s="102"/>
      <c r="O48" s="102"/>
      <c r="P48" s="102"/>
      <c r="Q48" s="102"/>
      <c r="S48" s="230"/>
      <c r="T48" s="230" t="str">
        <f>IF(ISNUMBER(MATCH(B48, 'Sprint 15'!B:B, 0)), "มาจาก Sprint 15", "")</f>
        <v>มาจาก Sprint 15</v>
      </c>
      <c r="U48" s="230" t="str">
        <f t="array" ref="U48">IF(ISNUMBER(MATCH(B48, 'Sprint 15'!B:B, 0)), INDEX('Sprint 15'!J:J, MATCH(B48, 'Sprint 15'!B:B, 0)), "")</f>
        <v>To Do</v>
      </c>
      <c r="V48" s="230"/>
      <c r="W48" s="102" t="s">
        <v>1368</v>
      </c>
      <c r="X48" s="102" t="s">
        <v>1369</v>
      </c>
      <c r="Y48" s="102" t="s">
        <v>1370</v>
      </c>
      <c r="Z48" s="230"/>
      <c r="AA48" s="102"/>
    </row>
    <row r="49">
      <c r="A49" s="102" t="s">
        <v>276</v>
      </c>
      <c r="B49" s="102" t="s">
        <v>5385</v>
      </c>
      <c r="C49" s="229" t="s">
        <v>5386</v>
      </c>
      <c r="D49" s="102" t="s">
        <v>4345</v>
      </c>
      <c r="E49" s="102" t="s">
        <v>3288</v>
      </c>
      <c r="F49" s="102" t="s">
        <v>3289</v>
      </c>
      <c r="G49" s="102" t="s">
        <v>3288</v>
      </c>
      <c r="H49" s="102" t="s">
        <v>3289</v>
      </c>
      <c r="I49" s="102" t="s">
        <v>284</v>
      </c>
      <c r="J49" s="102" t="s">
        <v>26</v>
      </c>
      <c r="L49" s="229" t="s">
        <v>5384</v>
      </c>
      <c r="M49" s="229" t="s">
        <v>5387</v>
      </c>
      <c r="N49" s="102"/>
      <c r="O49" s="102"/>
      <c r="P49" s="102"/>
      <c r="Q49" s="102"/>
      <c r="S49" s="230"/>
      <c r="T49" s="230" t="str">
        <f>IF(ISNUMBER(MATCH(B49, 'Sprint 15'!B:B, 0)), "มาจาก Sprint 15", "")</f>
        <v>มาจาก Sprint 15</v>
      </c>
      <c r="U49" s="230" t="str">
        <f t="array" ref="U49">IF(ISNUMBER(MATCH(B49, 'Sprint 15'!B:B, 0)), INDEX('Sprint 15'!J:J, MATCH(B49, 'Sprint 15'!B:B, 0)), "")</f>
        <v>In Progress</v>
      </c>
      <c r="V49" s="230"/>
      <c r="W49" s="102" t="s">
        <v>1368</v>
      </c>
      <c r="X49" s="102" t="s">
        <v>1369</v>
      </c>
      <c r="Y49" s="102" t="s">
        <v>1370</v>
      </c>
      <c r="Z49" s="230"/>
      <c r="AA49" s="102"/>
    </row>
    <row r="50">
      <c r="A50" s="102" t="s">
        <v>276</v>
      </c>
      <c r="B50" s="102" t="s">
        <v>5388</v>
      </c>
      <c r="C50" s="229" t="s">
        <v>5389</v>
      </c>
      <c r="D50" s="102" t="s">
        <v>4345</v>
      </c>
      <c r="E50" s="102" t="s">
        <v>3288</v>
      </c>
      <c r="F50" s="102" t="s">
        <v>3289</v>
      </c>
      <c r="G50" s="102" t="s">
        <v>3288</v>
      </c>
      <c r="H50" s="102" t="s">
        <v>3289</v>
      </c>
      <c r="I50" s="102" t="s">
        <v>284</v>
      </c>
      <c r="J50" s="102" t="s">
        <v>26</v>
      </c>
      <c r="L50" s="229" t="s">
        <v>5390</v>
      </c>
      <c r="M50" s="229" t="s">
        <v>5391</v>
      </c>
      <c r="N50" s="102"/>
      <c r="O50" s="102"/>
      <c r="P50" s="102"/>
      <c r="S50" s="230"/>
      <c r="T50" s="230" t="str">
        <f>IF(ISNUMBER(MATCH(B50, 'Sprint 15'!B:B, 0)), "มาจาก Sprint 15", "")</f>
        <v>มาจาก Sprint 15</v>
      </c>
      <c r="U50" s="230" t="str">
        <f t="array" ref="U50">IF(ISNUMBER(MATCH(B50, 'Sprint 15'!B:B, 0)), INDEX('Sprint 15'!J:J, MATCH(B50, 'Sprint 15'!B:B, 0)), "")</f>
        <v>In Progress</v>
      </c>
      <c r="V50" s="230"/>
      <c r="W50" s="102" t="s">
        <v>1368</v>
      </c>
      <c r="X50" s="102" t="s">
        <v>1369</v>
      </c>
      <c r="Y50" s="102" t="s">
        <v>1370</v>
      </c>
      <c r="Z50" s="102"/>
      <c r="AA50" s="102"/>
    </row>
    <row r="51">
      <c r="A51" s="102" t="s">
        <v>310</v>
      </c>
      <c r="B51" s="102" t="s">
        <v>5392</v>
      </c>
      <c r="C51" s="229" t="s">
        <v>5393</v>
      </c>
      <c r="D51" s="102" t="s">
        <v>5394</v>
      </c>
      <c r="E51" s="102" t="s">
        <v>314</v>
      </c>
      <c r="F51" s="102" t="s">
        <v>315</v>
      </c>
      <c r="G51" s="102" t="s">
        <v>353</v>
      </c>
      <c r="H51" s="102" t="s">
        <v>354</v>
      </c>
      <c r="I51" s="102" t="s">
        <v>284</v>
      </c>
      <c r="J51" s="102" t="s">
        <v>26</v>
      </c>
      <c r="L51" s="229" t="s">
        <v>5395</v>
      </c>
      <c r="M51" s="229" t="s">
        <v>5396</v>
      </c>
      <c r="N51" s="102"/>
      <c r="O51" s="102">
        <v>1.0</v>
      </c>
      <c r="S51" s="102">
        <v>7200.0</v>
      </c>
      <c r="T51" s="230" t="str">
        <f>IF(ISNUMBER(MATCH(B51, 'Sprint 15'!B:B, 0)), "มาจาก Sprint 15", "")</f>
        <v/>
      </c>
      <c r="U51" s="230" t="str">
        <f t="array" ref="U51">IF(ISNUMBER(MATCH(B51, 'Sprint 15'!B:B, 0)), INDEX('Sprint 15'!J:J, MATCH(B51, 'Sprint 15'!B:B, 0)), "")</f>
        <v/>
      </c>
      <c r="V51" s="102"/>
      <c r="W51" s="102" t="s">
        <v>1370</v>
      </c>
      <c r="X51" s="102"/>
      <c r="Y51" s="102"/>
      <c r="Z51" s="102"/>
      <c r="AA51" s="102"/>
      <c r="AB51" s="102"/>
    </row>
    <row r="52">
      <c r="A52" s="102" t="s">
        <v>310</v>
      </c>
      <c r="B52" s="102" t="s">
        <v>5397</v>
      </c>
      <c r="C52" s="229" t="s">
        <v>5398</v>
      </c>
      <c r="D52" s="102" t="s">
        <v>5399</v>
      </c>
      <c r="E52" s="102" t="s">
        <v>584</v>
      </c>
      <c r="F52" s="102" t="s">
        <v>585</v>
      </c>
      <c r="G52" s="102" t="s">
        <v>282</v>
      </c>
      <c r="H52" s="102" t="s">
        <v>283</v>
      </c>
      <c r="I52" s="102" t="s">
        <v>284</v>
      </c>
      <c r="J52" s="102" t="s">
        <v>26</v>
      </c>
      <c r="L52" s="229" t="s">
        <v>5400</v>
      </c>
      <c r="M52" s="229" t="s">
        <v>5300</v>
      </c>
      <c r="N52" s="102"/>
      <c r="O52" s="102">
        <v>3.0</v>
      </c>
      <c r="S52" s="102">
        <v>0.0</v>
      </c>
      <c r="T52" s="230" t="str">
        <f>IF(ISNUMBER(MATCH(B52, 'Sprint 15'!B:B, 0)), "มาจาก Sprint 15", "")</f>
        <v>มาจาก Sprint 15</v>
      </c>
      <c r="U52" s="230" t="str">
        <f t="array" ref="U52">IF(ISNUMBER(MATCH(B52, 'Sprint 15'!B:B, 0)), INDEX('Sprint 15'!J:J, MATCH(B52, 'Sprint 15'!B:B, 0)), "")</f>
        <v>Ready to Staging</v>
      </c>
      <c r="V52" s="102">
        <v>28800.0</v>
      </c>
      <c r="W52" s="102" t="s">
        <v>2266</v>
      </c>
      <c r="X52" s="102" t="s">
        <v>2267</v>
      </c>
      <c r="Y52" s="102"/>
      <c r="Z52" s="102"/>
      <c r="AA52" s="102"/>
      <c r="AB52" s="102"/>
    </row>
    <row r="53">
      <c r="A53" s="102" t="s">
        <v>310</v>
      </c>
      <c r="B53" s="102" t="s">
        <v>4618</v>
      </c>
      <c r="C53" s="229" t="s">
        <v>4619</v>
      </c>
      <c r="D53" s="102" t="s">
        <v>4620</v>
      </c>
      <c r="E53" s="102" t="s">
        <v>495</v>
      </c>
      <c r="F53" s="102" t="s">
        <v>496</v>
      </c>
      <c r="G53" s="102" t="s">
        <v>282</v>
      </c>
      <c r="H53" s="102" t="s">
        <v>283</v>
      </c>
      <c r="I53" s="102" t="s">
        <v>284</v>
      </c>
      <c r="J53" s="102" t="s">
        <v>678</v>
      </c>
      <c r="L53" s="229" t="s">
        <v>4621</v>
      </c>
      <c r="M53" s="229" t="s">
        <v>5401</v>
      </c>
      <c r="N53" s="102"/>
      <c r="O53" s="102">
        <v>5.0</v>
      </c>
      <c r="S53" s="230"/>
      <c r="T53" s="230" t="str">
        <f>IF(ISNUMBER(MATCH(B53, 'Sprint 15'!B:B, 0)), "มาจาก Sprint 15", "")</f>
        <v/>
      </c>
      <c r="U53" s="230" t="str">
        <f t="array" ref="U53">IF(ISNUMBER(MATCH(B53, 'Sprint 15'!B:B, 0)), INDEX('Sprint 15'!J:J, MATCH(B53, 'Sprint 15'!B:B, 0)), "")</f>
        <v/>
      </c>
      <c r="V53" s="230"/>
      <c r="W53" s="102" t="s">
        <v>4247</v>
      </c>
      <c r="X53" s="102"/>
      <c r="Y53" s="102"/>
      <c r="Z53" s="102"/>
      <c r="AA53" s="102"/>
      <c r="AB53" s="102"/>
    </row>
    <row r="54">
      <c r="A54" s="102" t="s">
        <v>310</v>
      </c>
      <c r="B54" s="102" t="s">
        <v>4623</v>
      </c>
      <c r="C54" s="229" t="s">
        <v>4624</v>
      </c>
      <c r="D54" s="102" t="s">
        <v>4625</v>
      </c>
      <c r="E54" s="102" t="s">
        <v>584</v>
      </c>
      <c r="F54" s="102" t="s">
        <v>585</v>
      </c>
      <c r="G54" s="102" t="s">
        <v>282</v>
      </c>
      <c r="H54" s="102" t="s">
        <v>283</v>
      </c>
      <c r="I54" s="102" t="s">
        <v>284</v>
      </c>
      <c r="J54" s="102" t="s">
        <v>678</v>
      </c>
      <c r="L54" s="229" t="s">
        <v>4626</v>
      </c>
      <c r="M54" s="229" t="s">
        <v>5380</v>
      </c>
      <c r="N54" s="102"/>
      <c r="O54" s="102">
        <v>5.0</v>
      </c>
      <c r="P54" s="102"/>
      <c r="Q54" s="102"/>
      <c r="R54" s="102"/>
      <c r="S54" s="102">
        <v>86400.0</v>
      </c>
      <c r="T54" s="230" t="str">
        <f>IF(ISNUMBER(MATCH(B54, 'Sprint 15'!B:B, 0)), "มาจาก Sprint 15", "")</f>
        <v/>
      </c>
      <c r="U54" s="230" t="str">
        <f t="array" ref="U54">IF(ISNUMBER(MATCH(B54, 'Sprint 15'!B:B, 0)), INDEX('Sprint 15'!J:J, MATCH(B54, 'Sprint 15'!B:B, 0)), "")</f>
        <v/>
      </c>
      <c r="V54" s="102"/>
      <c r="W54" s="102" t="s">
        <v>4247</v>
      </c>
      <c r="X54" s="102"/>
      <c r="Y54" s="102"/>
      <c r="Z54" s="102"/>
      <c r="AA54" s="102"/>
      <c r="AB54" s="102"/>
    </row>
    <row r="55">
      <c r="A55" s="102" t="s">
        <v>310</v>
      </c>
      <c r="B55" s="102" t="s">
        <v>4628</v>
      </c>
      <c r="C55" s="229" t="s">
        <v>4629</v>
      </c>
      <c r="D55" s="102" t="s">
        <v>4630</v>
      </c>
      <c r="E55" s="102" t="s">
        <v>495</v>
      </c>
      <c r="F55" s="102" t="s">
        <v>496</v>
      </c>
      <c r="G55" s="102" t="s">
        <v>282</v>
      </c>
      <c r="H55" s="102" t="s">
        <v>283</v>
      </c>
      <c r="I55" s="102" t="s">
        <v>284</v>
      </c>
      <c r="J55" s="102" t="s">
        <v>678</v>
      </c>
      <c r="L55" s="229" t="s">
        <v>4631</v>
      </c>
      <c r="M55" s="229" t="s">
        <v>5402</v>
      </c>
      <c r="O55" s="102">
        <v>8.0</v>
      </c>
      <c r="S55" s="230"/>
      <c r="T55" s="230" t="str">
        <f>IF(ISNUMBER(MATCH(B55, 'Sprint 15'!B:B, 0)), "มาจาก Sprint 15", "")</f>
        <v/>
      </c>
      <c r="U55" s="230" t="str">
        <f t="array" ref="U55">IF(ISNUMBER(MATCH(B55, 'Sprint 15'!B:B, 0)), INDEX('Sprint 15'!J:J, MATCH(B55, 'Sprint 15'!B:B, 0)), "")</f>
        <v/>
      </c>
      <c r="V55" s="230"/>
      <c r="W55" s="102" t="s">
        <v>4247</v>
      </c>
      <c r="X55" s="102"/>
      <c r="Y55" s="102"/>
      <c r="Z55" s="102"/>
      <c r="AA55" s="102"/>
      <c r="AB55" s="102"/>
    </row>
    <row r="56">
      <c r="A56" s="102" t="s">
        <v>310</v>
      </c>
      <c r="B56" s="102" t="s">
        <v>4897</v>
      </c>
      <c r="C56" s="229" t="s">
        <v>4898</v>
      </c>
      <c r="D56" s="102" t="s">
        <v>4899</v>
      </c>
      <c r="E56" s="102" t="s">
        <v>328</v>
      </c>
      <c r="F56" s="102" t="s">
        <v>329</v>
      </c>
      <c r="G56" s="102" t="s">
        <v>282</v>
      </c>
      <c r="H56" s="102" t="s">
        <v>283</v>
      </c>
      <c r="I56" s="102" t="s">
        <v>515</v>
      </c>
      <c r="J56" s="102" t="s">
        <v>678</v>
      </c>
      <c r="L56" s="229" t="s">
        <v>4900</v>
      </c>
      <c r="M56" s="229" t="s">
        <v>5403</v>
      </c>
      <c r="O56" s="102"/>
      <c r="S56" s="230"/>
      <c r="T56" s="230" t="str">
        <f>IF(ISNUMBER(MATCH(B56, 'Sprint 15'!B:B, 0)), "มาจาก Sprint 15", "")</f>
        <v>มาจาก Sprint 15</v>
      </c>
      <c r="U56" s="230" t="str">
        <f t="array" ref="U56">IF(ISNUMBER(MATCH(B56, 'Sprint 15'!B:B, 0)), INDEX('Sprint 15'!J:J, MATCH(B56, 'Sprint 15'!B:B, 0)), "")</f>
        <v>Ready to Staging</v>
      </c>
      <c r="V56" s="230"/>
      <c r="W56" s="102" t="s">
        <v>2266</v>
      </c>
      <c r="X56" s="102" t="s">
        <v>2267</v>
      </c>
      <c r="Y56" s="102"/>
      <c r="Z56" s="102"/>
      <c r="AA56" s="102"/>
      <c r="AB56" s="102"/>
    </row>
    <row r="57">
      <c r="A57" s="102" t="s">
        <v>310</v>
      </c>
      <c r="B57" s="102" t="s">
        <v>4633</v>
      </c>
      <c r="C57" s="229" t="s">
        <v>4634</v>
      </c>
      <c r="D57" s="102" t="s">
        <v>4635</v>
      </c>
      <c r="E57" s="102" t="s">
        <v>564</v>
      </c>
      <c r="F57" s="102" t="s">
        <v>565</v>
      </c>
      <c r="G57" s="102" t="s">
        <v>282</v>
      </c>
      <c r="H57" s="102" t="s">
        <v>283</v>
      </c>
      <c r="I57" s="102" t="s">
        <v>284</v>
      </c>
      <c r="J57" s="102" t="s">
        <v>678</v>
      </c>
      <c r="L57" s="229" t="s">
        <v>4636</v>
      </c>
      <c r="M57" s="229" t="s">
        <v>5404</v>
      </c>
      <c r="N57" s="229" t="s">
        <v>4638</v>
      </c>
      <c r="O57" s="102">
        <v>3.0</v>
      </c>
      <c r="P57" s="102"/>
      <c r="Q57" s="102"/>
      <c r="R57" s="102"/>
      <c r="S57" s="102">
        <v>21600.0</v>
      </c>
      <c r="T57" s="230" t="str">
        <f>IF(ISNUMBER(MATCH(B57, 'Sprint 15'!B:B, 0)), "มาจาก Sprint 15", "")</f>
        <v/>
      </c>
      <c r="U57" s="230" t="str">
        <f t="array" ref="U57">IF(ISNUMBER(MATCH(B57, 'Sprint 15'!B:B, 0)), INDEX('Sprint 15'!J:J, MATCH(B57, 'Sprint 15'!B:B, 0)), "")</f>
        <v/>
      </c>
      <c r="V57" s="102"/>
      <c r="W57" s="102" t="s">
        <v>4247</v>
      </c>
      <c r="X57" s="102"/>
      <c r="Y57" s="102"/>
      <c r="Z57" s="230"/>
      <c r="AA57" s="102"/>
      <c r="AB57" s="102"/>
    </row>
    <row r="58">
      <c r="A58" s="102" t="s">
        <v>310</v>
      </c>
      <c r="B58" s="102" t="s">
        <v>4639</v>
      </c>
      <c r="C58" s="229" t="s">
        <v>4640</v>
      </c>
      <c r="D58" s="102" t="s">
        <v>4641</v>
      </c>
      <c r="E58" s="102" t="s">
        <v>328</v>
      </c>
      <c r="F58" s="102" t="s">
        <v>329</v>
      </c>
      <c r="G58" s="102" t="s">
        <v>282</v>
      </c>
      <c r="H58" s="102" t="s">
        <v>283</v>
      </c>
      <c r="I58" s="102" t="s">
        <v>284</v>
      </c>
      <c r="J58" s="102" t="s">
        <v>678</v>
      </c>
      <c r="L58" s="229" t="s">
        <v>4642</v>
      </c>
      <c r="M58" s="229" t="s">
        <v>5405</v>
      </c>
      <c r="N58" s="102"/>
      <c r="O58" s="102">
        <v>5.0</v>
      </c>
      <c r="P58" s="102"/>
      <c r="Q58" s="102"/>
      <c r="R58" s="102"/>
      <c r="S58" s="102"/>
      <c r="T58" s="230" t="str">
        <f>IF(ISNUMBER(MATCH(B58, 'Sprint 15'!B:B, 0)), "มาจาก Sprint 15", "")</f>
        <v/>
      </c>
      <c r="U58" s="230" t="str">
        <f t="array" ref="U58">IF(ISNUMBER(MATCH(B58, 'Sprint 15'!B:B, 0)), INDEX('Sprint 15'!J:J, MATCH(B58, 'Sprint 15'!B:B, 0)), "")</f>
        <v/>
      </c>
      <c r="V58" s="102"/>
      <c r="W58" s="102" t="s">
        <v>4247</v>
      </c>
      <c r="X58" s="102"/>
      <c r="Y58" s="102"/>
      <c r="Z58" s="102"/>
      <c r="AA58" s="102"/>
      <c r="AB58" s="102"/>
    </row>
    <row r="59">
      <c r="A59" s="102" t="s">
        <v>310</v>
      </c>
      <c r="B59" s="102" t="s">
        <v>4643</v>
      </c>
      <c r="C59" s="229" t="s">
        <v>4644</v>
      </c>
      <c r="D59" s="102" t="s">
        <v>4645</v>
      </c>
      <c r="E59" s="102" t="s">
        <v>564</v>
      </c>
      <c r="F59" s="102" t="s">
        <v>565</v>
      </c>
      <c r="G59" s="102" t="s">
        <v>282</v>
      </c>
      <c r="H59" s="102" t="s">
        <v>283</v>
      </c>
      <c r="I59" s="102" t="s">
        <v>284</v>
      </c>
      <c r="J59" s="102" t="s">
        <v>678</v>
      </c>
      <c r="L59" s="229" t="s">
        <v>4646</v>
      </c>
      <c r="M59" s="229" t="s">
        <v>5406</v>
      </c>
      <c r="N59" s="229" t="s">
        <v>4647</v>
      </c>
      <c r="O59" s="102">
        <v>8.0</v>
      </c>
      <c r="P59" s="102" t="s">
        <v>4648</v>
      </c>
      <c r="S59" s="102">
        <v>86400.0</v>
      </c>
      <c r="T59" s="230" t="str">
        <f>IF(ISNUMBER(MATCH(B59, 'Sprint 15'!B:B, 0)), "มาจาก Sprint 15", "")</f>
        <v/>
      </c>
      <c r="U59" s="230" t="str">
        <f t="array" ref="U59">IF(ISNUMBER(MATCH(B59, 'Sprint 15'!B:B, 0)), INDEX('Sprint 15'!J:J, MATCH(B59, 'Sprint 15'!B:B, 0)), "")</f>
        <v/>
      </c>
      <c r="V59" s="102"/>
      <c r="W59" s="102" t="s">
        <v>4247</v>
      </c>
      <c r="X59" s="102"/>
      <c r="Y59" s="102"/>
      <c r="Z59" s="102"/>
      <c r="AA59" s="102"/>
      <c r="AB59" s="102"/>
    </row>
    <row r="60">
      <c r="A60" s="102" t="s">
        <v>310</v>
      </c>
      <c r="B60" s="102" t="s">
        <v>5407</v>
      </c>
      <c r="C60" s="229" t="s">
        <v>5408</v>
      </c>
      <c r="D60" s="102" t="s">
        <v>5409</v>
      </c>
      <c r="E60" s="102" t="s">
        <v>282</v>
      </c>
      <c r="F60" s="102" t="s">
        <v>283</v>
      </c>
      <c r="G60" s="102" t="s">
        <v>282</v>
      </c>
      <c r="H60" s="102" t="s">
        <v>283</v>
      </c>
      <c r="I60" s="102" t="s">
        <v>515</v>
      </c>
      <c r="J60" s="102" t="s">
        <v>26</v>
      </c>
      <c r="L60" s="229" t="s">
        <v>5410</v>
      </c>
      <c r="M60" s="229" t="s">
        <v>5411</v>
      </c>
      <c r="O60" s="102">
        <v>3.0</v>
      </c>
      <c r="P60" s="102" t="s">
        <v>593</v>
      </c>
      <c r="S60" s="102">
        <v>28800.0</v>
      </c>
      <c r="T60" s="230" t="str">
        <f>IF(ISNUMBER(MATCH(B60, 'Sprint 15'!B:B, 0)), "มาจาก Sprint 15", "")</f>
        <v/>
      </c>
      <c r="U60" s="230" t="str">
        <f t="array" ref="U60">IF(ISNUMBER(MATCH(B60, 'Sprint 15'!B:B, 0)), INDEX('Sprint 15'!J:J, MATCH(B60, 'Sprint 15'!B:B, 0)), "")</f>
        <v/>
      </c>
      <c r="V60" s="102"/>
      <c r="W60" s="102" t="s">
        <v>4247</v>
      </c>
      <c r="X60" s="102"/>
      <c r="Y60" s="102"/>
      <c r="Z60" s="102"/>
      <c r="AA60" s="102"/>
      <c r="AB60" s="102"/>
    </row>
    <row r="61">
      <c r="A61" s="102" t="s">
        <v>310</v>
      </c>
      <c r="B61" s="102" t="s">
        <v>5412</v>
      </c>
      <c r="C61" s="229" t="s">
        <v>5413</v>
      </c>
      <c r="D61" s="102" t="s">
        <v>5414</v>
      </c>
      <c r="E61" s="102" t="s">
        <v>282</v>
      </c>
      <c r="F61" s="102" t="s">
        <v>283</v>
      </c>
      <c r="G61" s="102" t="s">
        <v>282</v>
      </c>
      <c r="H61" s="102" t="s">
        <v>283</v>
      </c>
      <c r="I61" s="102" t="s">
        <v>284</v>
      </c>
      <c r="J61" s="102" t="s">
        <v>26</v>
      </c>
      <c r="L61" s="229" t="s">
        <v>5415</v>
      </c>
      <c r="M61" s="229" t="s">
        <v>5411</v>
      </c>
      <c r="O61" s="102">
        <v>1.0</v>
      </c>
      <c r="S61" s="102">
        <v>3600.0</v>
      </c>
      <c r="T61" s="230" t="str">
        <f>IF(ISNUMBER(MATCH(B61, 'Sprint 15'!B:B, 0)), "มาจาก Sprint 15", "")</f>
        <v/>
      </c>
      <c r="U61" s="230" t="str">
        <f t="array" ref="U61">IF(ISNUMBER(MATCH(B61, 'Sprint 15'!B:B, 0)), INDEX('Sprint 15'!J:J, MATCH(B61, 'Sprint 15'!B:B, 0)), "")</f>
        <v/>
      </c>
      <c r="V61" s="102"/>
      <c r="W61" s="102" t="s">
        <v>5416</v>
      </c>
      <c r="X61" s="102" t="s">
        <v>4247</v>
      </c>
      <c r="Y61" s="102"/>
      <c r="Z61" s="230"/>
      <c r="AA61" s="102"/>
      <c r="AB61" s="102"/>
    </row>
    <row r="62">
      <c r="A62" s="102" t="s">
        <v>310</v>
      </c>
      <c r="B62" s="102" t="s">
        <v>5417</v>
      </c>
      <c r="C62" s="229" t="s">
        <v>5418</v>
      </c>
      <c r="D62" s="102" t="s">
        <v>5419</v>
      </c>
      <c r="E62" s="102" t="s">
        <v>282</v>
      </c>
      <c r="F62" s="102" t="s">
        <v>283</v>
      </c>
      <c r="G62" s="102" t="s">
        <v>282</v>
      </c>
      <c r="H62" s="102" t="s">
        <v>283</v>
      </c>
      <c r="I62" s="102" t="s">
        <v>284</v>
      </c>
      <c r="J62" s="102" t="s">
        <v>26</v>
      </c>
      <c r="L62" s="229" t="s">
        <v>5420</v>
      </c>
      <c r="M62" s="229" t="s">
        <v>5411</v>
      </c>
      <c r="O62" s="102">
        <v>1.0</v>
      </c>
      <c r="S62" s="102">
        <v>3600.0</v>
      </c>
      <c r="T62" s="230" t="str">
        <f>IF(ISNUMBER(MATCH(B62, 'Sprint 15'!B:B, 0)), "มาจาก Sprint 15", "")</f>
        <v/>
      </c>
      <c r="U62" s="230" t="str">
        <f t="array" ref="U62">IF(ISNUMBER(MATCH(B62, 'Sprint 15'!B:B, 0)), INDEX('Sprint 15'!J:J, MATCH(B62, 'Sprint 15'!B:B, 0)), "")</f>
        <v/>
      </c>
      <c r="V62" s="102"/>
      <c r="W62" s="102" t="s">
        <v>5416</v>
      </c>
      <c r="X62" s="102" t="s">
        <v>4247</v>
      </c>
      <c r="Y62" s="102"/>
      <c r="Z62" s="230"/>
      <c r="AA62" s="102"/>
      <c r="AB62" s="102"/>
    </row>
    <row r="63">
      <c r="A63" s="102" t="s">
        <v>310</v>
      </c>
      <c r="B63" s="102" t="s">
        <v>5421</v>
      </c>
      <c r="C63" s="229" t="s">
        <v>5422</v>
      </c>
      <c r="D63" s="102" t="s">
        <v>5423</v>
      </c>
      <c r="E63" s="102" t="s">
        <v>282</v>
      </c>
      <c r="F63" s="102" t="s">
        <v>283</v>
      </c>
      <c r="G63" s="102" t="s">
        <v>282</v>
      </c>
      <c r="H63" s="102" t="s">
        <v>283</v>
      </c>
      <c r="I63" s="102" t="s">
        <v>515</v>
      </c>
      <c r="J63" s="102" t="s">
        <v>26</v>
      </c>
      <c r="L63" s="229" t="s">
        <v>5420</v>
      </c>
      <c r="M63" s="229" t="s">
        <v>5424</v>
      </c>
      <c r="O63" s="102">
        <v>5.0</v>
      </c>
      <c r="S63" s="102">
        <v>86400.0</v>
      </c>
      <c r="T63" s="230" t="str">
        <f>IF(ISNUMBER(MATCH(B63, 'Sprint 15'!B:B, 0)), "มาจาก Sprint 15", "")</f>
        <v/>
      </c>
      <c r="U63" s="230" t="str">
        <f t="array" ref="U63">IF(ISNUMBER(MATCH(B63, 'Sprint 15'!B:B, 0)), INDEX('Sprint 15'!J:J, MATCH(B63, 'Sprint 15'!B:B, 0)), "")</f>
        <v/>
      </c>
      <c r="V63" s="102"/>
      <c r="W63" s="102" t="s">
        <v>4247</v>
      </c>
      <c r="X63" s="102"/>
      <c r="Y63" s="102"/>
      <c r="Z63" s="230"/>
      <c r="AA63" s="102"/>
      <c r="AB63" s="102"/>
    </row>
    <row r="64">
      <c r="A64" s="102" t="s">
        <v>310</v>
      </c>
      <c r="B64" s="102" t="s">
        <v>5425</v>
      </c>
      <c r="C64" s="229" t="s">
        <v>5426</v>
      </c>
      <c r="D64" s="102" t="s">
        <v>5427</v>
      </c>
      <c r="E64" s="102" t="s">
        <v>282</v>
      </c>
      <c r="F64" s="102" t="s">
        <v>283</v>
      </c>
      <c r="G64" s="102" t="s">
        <v>282</v>
      </c>
      <c r="H64" s="102" t="s">
        <v>283</v>
      </c>
      <c r="I64" s="102" t="s">
        <v>284</v>
      </c>
      <c r="J64" s="102" t="s">
        <v>34</v>
      </c>
      <c r="L64" s="229" t="s">
        <v>5428</v>
      </c>
      <c r="M64" s="229" t="s">
        <v>5429</v>
      </c>
      <c r="O64" s="102">
        <v>13.0</v>
      </c>
      <c r="S64" s="230"/>
      <c r="T64" s="230" t="str">
        <f>IF(ISNUMBER(MATCH(B64, 'Sprint 15'!B:B, 0)), "มาจาก Sprint 15", "")</f>
        <v/>
      </c>
      <c r="U64" s="230" t="str">
        <f t="array" ref="U64">IF(ISNUMBER(MATCH(B64, 'Sprint 15'!B:B, 0)), INDEX('Sprint 15'!J:J, MATCH(B64, 'Sprint 15'!B:B, 0)), "")</f>
        <v/>
      </c>
      <c r="V64" s="230"/>
      <c r="W64" s="102" t="s">
        <v>5416</v>
      </c>
      <c r="X64" s="102" t="s">
        <v>4247</v>
      </c>
      <c r="Y64" s="102"/>
      <c r="Z64" s="230"/>
      <c r="AA64" s="102"/>
      <c r="AB64" s="102"/>
      <c r="AC64" s="102"/>
    </row>
    <row r="65">
      <c r="A65" s="102" t="s">
        <v>310</v>
      </c>
      <c r="B65" s="102" t="s">
        <v>5430</v>
      </c>
      <c r="C65" s="229" t="s">
        <v>5431</v>
      </c>
      <c r="D65" s="102" t="s">
        <v>5432</v>
      </c>
      <c r="E65" s="102" t="s">
        <v>495</v>
      </c>
      <c r="F65" s="102" t="s">
        <v>496</v>
      </c>
      <c r="G65" s="102" t="s">
        <v>314</v>
      </c>
      <c r="H65" s="102" t="s">
        <v>315</v>
      </c>
      <c r="I65" s="102" t="s">
        <v>284</v>
      </c>
      <c r="J65" s="102" t="s">
        <v>26</v>
      </c>
      <c r="L65" s="229" t="s">
        <v>5433</v>
      </c>
      <c r="M65" s="229" t="s">
        <v>5434</v>
      </c>
      <c r="O65" s="102">
        <v>3.0</v>
      </c>
      <c r="S65" s="102">
        <v>0.0</v>
      </c>
      <c r="T65" s="230" t="str">
        <f>IF(ISNUMBER(MATCH(B65, 'Sprint 15'!B:B, 0)), "มาจาก Sprint 15", "")</f>
        <v>มาจาก Sprint 15</v>
      </c>
      <c r="U65" s="230" t="str">
        <f t="array" ref="U65">IF(ISNUMBER(MATCH(B65, 'Sprint 15'!B:B, 0)), INDEX('Sprint 15'!J:J, MATCH(B65, 'Sprint 15'!B:B, 0)), "")</f>
        <v>Ready to Staging</v>
      </c>
      <c r="V65" s="102">
        <v>28800.0</v>
      </c>
      <c r="W65" s="102" t="s">
        <v>1369</v>
      </c>
      <c r="X65" s="102" t="s">
        <v>1370</v>
      </c>
      <c r="Y65" s="102"/>
      <c r="Z65" s="230"/>
      <c r="AA65" s="102"/>
      <c r="AB65" s="102"/>
      <c r="AC65" s="102"/>
    </row>
    <row r="66">
      <c r="A66" s="102" t="s">
        <v>310</v>
      </c>
      <c r="B66" s="102" t="s">
        <v>5435</v>
      </c>
      <c r="C66" s="229" t="s">
        <v>5436</v>
      </c>
      <c r="D66" s="102" t="s">
        <v>5437</v>
      </c>
      <c r="E66" s="102" t="s">
        <v>353</v>
      </c>
      <c r="F66" s="102" t="s">
        <v>354</v>
      </c>
      <c r="G66" s="102" t="s">
        <v>353</v>
      </c>
      <c r="H66" s="102" t="s">
        <v>354</v>
      </c>
      <c r="I66" s="102" t="s">
        <v>284</v>
      </c>
      <c r="J66" s="102" t="s">
        <v>26</v>
      </c>
      <c r="L66" s="229" t="s">
        <v>5438</v>
      </c>
      <c r="M66" s="229" t="s">
        <v>5360</v>
      </c>
      <c r="O66" s="102">
        <v>8.0</v>
      </c>
      <c r="S66" s="230"/>
      <c r="T66" s="230" t="str">
        <f>IF(ISNUMBER(MATCH(B66, 'Sprint 15'!B:B, 0)), "มาจาก Sprint 15", "")</f>
        <v>มาจาก Sprint 15</v>
      </c>
      <c r="U66" s="230" t="str">
        <f t="array" ref="U66">IF(ISNUMBER(MATCH(B66, 'Sprint 15'!B:B, 0)), INDEX('Sprint 15'!J:J, MATCH(B66, 'Sprint 15'!B:B, 0)), "")</f>
        <v>In Progress</v>
      </c>
      <c r="V66" s="230"/>
      <c r="W66" s="102" t="s">
        <v>2266</v>
      </c>
      <c r="X66" s="102" t="s">
        <v>2267</v>
      </c>
      <c r="Y66" s="102"/>
      <c r="Z66" s="230"/>
      <c r="AA66" s="102"/>
      <c r="AB66" s="102"/>
      <c r="AC66" s="102"/>
    </row>
    <row r="67">
      <c r="A67" s="102" t="s">
        <v>310</v>
      </c>
      <c r="B67" s="102" t="s">
        <v>5439</v>
      </c>
      <c r="C67" s="229" t="s">
        <v>5440</v>
      </c>
      <c r="D67" s="102" t="s">
        <v>5441</v>
      </c>
      <c r="E67" s="102" t="s">
        <v>495</v>
      </c>
      <c r="F67" s="102" t="s">
        <v>496</v>
      </c>
      <c r="G67" s="102" t="s">
        <v>314</v>
      </c>
      <c r="H67" s="102" t="s">
        <v>315</v>
      </c>
      <c r="I67" s="102" t="s">
        <v>284</v>
      </c>
      <c r="J67" s="102" t="s">
        <v>26</v>
      </c>
      <c r="L67" s="229" t="s">
        <v>5442</v>
      </c>
      <c r="M67" s="229" t="s">
        <v>5443</v>
      </c>
      <c r="O67" s="102">
        <v>5.0</v>
      </c>
      <c r="S67" s="102">
        <v>0.0</v>
      </c>
      <c r="T67" s="230" t="str">
        <f>IF(ISNUMBER(MATCH(B67, 'Sprint 15'!B:B, 0)), "มาจาก Sprint 15", "")</f>
        <v>มาจาก Sprint 15</v>
      </c>
      <c r="U67" s="230" t="str">
        <f t="array" ref="U67">IF(ISNUMBER(MATCH(B67, 'Sprint 15'!B:B, 0)), INDEX('Sprint 15'!J:J, MATCH(B67, 'Sprint 15'!B:B, 0)), "")</f>
        <v>Ready To Test</v>
      </c>
      <c r="V67" s="102">
        <v>57600.0</v>
      </c>
      <c r="W67" s="102" t="s">
        <v>1369</v>
      </c>
      <c r="X67" s="102" t="s">
        <v>1370</v>
      </c>
      <c r="Y67" s="102"/>
      <c r="Z67" s="230"/>
      <c r="AA67" s="102"/>
      <c r="AB67" s="102"/>
      <c r="AC67" s="102"/>
    </row>
    <row r="68">
      <c r="A68" s="102" t="s">
        <v>310</v>
      </c>
      <c r="B68" s="102" t="s">
        <v>5444</v>
      </c>
      <c r="C68" s="229" t="s">
        <v>5445</v>
      </c>
      <c r="D68" s="102" t="s">
        <v>5446</v>
      </c>
      <c r="E68" s="102" t="s">
        <v>328</v>
      </c>
      <c r="F68" s="102" t="s">
        <v>329</v>
      </c>
      <c r="G68" s="102" t="s">
        <v>314</v>
      </c>
      <c r="H68" s="102" t="s">
        <v>315</v>
      </c>
      <c r="I68" s="102" t="s">
        <v>284</v>
      </c>
      <c r="J68" s="102" t="s">
        <v>26</v>
      </c>
      <c r="L68" s="229" t="s">
        <v>5447</v>
      </c>
      <c r="M68" s="229" t="s">
        <v>5257</v>
      </c>
      <c r="N68" s="229" t="s">
        <v>5448</v>
      </c>
      <c r="O68" s="102">
        <v>1.0</v>
      </c>
      <c r="S68" s="102">
        <v>0.0</v>
      </c>
      <c r="T68" s="230" t="str">
        <f>IF(ISNUMBER(MATCH(B68, 'Sprint 15'!B:B, 0)), "มาจาก Sprint 15", "")</f>
        <v>มาจาก Sprint 15</v>
      </c>
      <c r="U68" s="230" t="str">
        <f t="array" ref="U68">IF(ISNUMBER(MATCH(B68, 'Sprint 15'!B:B, 0)), INDEX('Sprint 15'!J:J, MATCH(B68, 'Sprint 15'!B:B, 0)), "")</f>
        <v>Ready To Test</v>
      </c>
      <c r="V68" s="102">
        <v>7200.0</v>
      </c>
      <c r="W68" s="102" t="s">
        <v>1368</v>
      </c>
      <c r="X68" s="102" t="s">
        <v>1369</v>
      </c>
      <c r="Y68" s="102" t="s">
        <v>1370</v>
      </c>
      <c r="Z68" s="230"/>
      <c r="AA68" s="102"/>
      <c r="AB68" s="102"/>
      <c r="AC68" s="102"/>
    </row>
    <row r="69">
      <c r="A69" s="102" t="s">
        <v>310</v>
      </c>
      <c r="B69" s="102" t="s">
        <v>5449</v>
      </c>
      <c r="C69" s="229" t="s">
        <v>2572</v>
      </c>
      <c r="D69" s="102" t="s">
        <v>5450</v>
      </c>
      <c r="E69" s="102" t="s">
        <v>564</v>
      </c>
      <c r="F69" s="102" t="s">
        <v>565</v>
      </c>
      <c r="G69" s="102" t="s">
        <v>282</v>
      </c>
      <c r="H69" s="102" t="s">
        <v>283</v>
      </c>
      <c r="I69" s="102" t="s">
        <v>515</v>
      </c>
      <c r="J69" s="102" t="s">
        <v>678</v>
      </c>
      <c r="L69" s="229" t="s">
        <v>2574</v>
      </c>
      <c r="M69" s="229" t="s">
        <v>5451</v>
      </c>
      <c r="N69" s="229" t="s">
        <v>2575</v>
      </c>
      <c r="O69" s="102">
        <v>3.0</v>
      </c>
      <c r="S69" s="102">
        <v>0.0</v>
      </c>
      <c r="T69" s="230" t="str">
        <f>IF(ISNUMBER(MATCH(B69, 'Sprint 15'!B:B, 0)), "มาจาก Sprint 15", "")</f>
        <v>มาจาก Sprint 15</v>
      </c>
      <c r="U69" s="230" t="str">
        <f t="array" ref="U69">IF(ISNUMBER(MATCH(B69, 'Sprint 15'!B:B, 0)), INDEX('Sprint 15'!J:J, MATCH(B69, 'Sprint 15'!B:B, 0)), "")</f>
        <v>Ready to Staging</v>
      </c>
      <c r="V69" s="102">
        <v>28800.0</v>
      </c>
      <c r="W69" s="102" t="s">
        <v>2266</v>
      </c>
      <c r="X69" s="102" t="s">
        <v>2267</v>
      </c>
      <c r="Y69" s="102"/>
      <c r="Z69" s="230"/>
      <c r="AA69" s="102"/>
      <c r="AB69" s="102"/>
      <c r="AC69" s="102"/>
    </row>
    <row r="70">
      <c r="A70" s="102" t="s">
        <v>310</v>
      </c>
      <c r="B70" s="102" t="s">
        <v>5452</v>
      </c>
      <c r="C70" s="229" t="s">
        <v>5453</v>
      </c>
      <c r="D70" s="102" t="s">
        <v>5454</v>
      </c>
      <c r="E70" s="102" t="s">
        <v>495</v>
      </c>
      <c r="F70" s="102" t="s">
        <v>496</v>
      </c>
      <c r="G70" s="102" t="s">
        <v>353</v>
      </c>
      <c r="H70" s="102" t="s">
        <v>354</v>
      </c>
      <c r="I70" s="102" t="s">
        <v>284</v>
      </c>
      <c r="J70" s="102" t="s">
        <v>26</v>
      </c>
      <c r="L70" s="229" t="s">
        <v>5455</v>
      </c>
      <c r="M70" s="229" t="s">
        <v>5456</v>
      </c>
      <c r="N70" s="102"/>
      <c r="O70" s="102">
        <v>3.0</v>
      </c>
      <c r="S70" s="102">
        <v>0.0</v>
      </c>
      <c r="T70" s="230" t="str">
        <f>IF(ISNUMBER(MATCH(B70, 'Sprint 15'!B:B, 0)), "มาจาก Sprint 15", "")</f>
        <v>มาจาก Sprint 15</v>
      </c>
      <c r="U70" s="230" t="str">
        <f t="array" ref="U70">IF(ISNUMBER(MATCH(B70, 'Sprint 15'!B:B, 0)), INDEX('Sprint 15'!J:J, MATCH(B70, 'Sprint 15'!B:B, 0)), "")</f>
        <v>Ready To Test</v>
      </c>
      <c r="V70" s="102">
        <v>28800.0</v>
      </c>
      <c r="W70" s="102" t="s">
        <v>4657</v>
      </c>
      <c r="X70" s="102" t="s">
        <v>2266</v>
      </c>
      <c r="Y70" s="102" t="s">
        <v>2267</v>
      </c>
      <c r="Z70" s="102"/>
      <c r="AA70" s="102"/>
      <c r="AB70" s="102"/>
      <c r="AC70" s="102"/>
    </row>
    <row r="71">
      <c r="A71" s="102" t="s">
        <v>630</v>
      </c>
      <c r="B71" s="102" t="s">
        <v>2180</v>
      </c>
      <c r="C71" s="229" t="s">
        <v>2181</v>
      </c>
      <c r="D71" s="102" t="s">
        <v>2182</v>
      </c>
      <c r="E71" s="102"/>
      <c r="F71" s="102"/>
      <c r="G71" s="102" t="s">
        <v>304</v>
      </c>
      <c r="H71" s="102" t="s">
        <v>305</v>
      </c>
      <c r="I71" s="102" t="s">
        <v>284</v>
      </c>
      <c r="J71" s="102" t="s">
        <v>63</v>
      </c>
      <c r="L71" s="229" t="s">
        <v>2183</v>
      </c>
      <c r="M71" s="229" t="s">
        <v>4275</v>
      </c>
      <c r="O71" s="102"/>
      <c r="S71" s="230"/>
      <c r="T71" s="230" t="str">
        <f>IF(ISNUMBER(MATCH(B71, 'Sprint 15'!B:B, 0)), "มาจาก Sprint 15", "")</f>
        <v>มาจาก Sprint 15</v>
      </c>
      <c r="U71" s="230" t="str">
        <f t="array" ref="U71">IF(ISNUMBER(MATCH(B71, 'Sprint 15'!B:B, 0)), INDEX('Sprint 15'!J:J, MATCH(B71, 'Sprint 15'!B:B, 0)), "")</f>
        <v>To Do</v>
      </c>
      <c r="V71" s="230"/>
      <c r="W71" s="102" t="s">
        <v>2185</v>
      </c>
      <c r="X71" s="102" t="s">
        <v>2186</v>
      </c>
      <c r="Y71" s="102" t="s">
        <v>2187</v>
      </c>
      <c r="Z71" s="102"/>
      <c r="AA71" s="102"/>
      <c r="AB71" s="102"/>
      <c r="AC71" s="102"/>
    </row>
    <row r="72">
      <c r="A72" s="102" t="s">
        <v>332</v>
      </c>
      <c r="B72" s="102" t="s">
        <v>3053</v>
      </c>
      <c r="C72" s="229" t="s">
        <v>3054</v>
      </c>
      <c r="D72" s="102" t="s">
        <v>3055</v>
      </c>
      <c r="E72" s="102" t="s">
        <v>495</v>
      </c>
      <c r="F72" s="102" t="s">
        <v>496</v>
      </c>
      <c r="G72" s="102" t="s">
        <v>304</v>
      </c>
      <c r="H72" s="102" t="s">
        <v>305</v>
      </c>
      <c r="I72" s="102" t="s">
        <v>284</v>
      </c>
      <c r="J72" s="102" t="s">
        <v>922</v>
      </c>
      <c r="L72" s="229" t="s">
        <v>3056</v>
      </c>
      <c r="M72" s="229" t="s">
        <v>4275</v>
      </c>
      <c r="O72" s="102">
        <v>2.0</v>
      </c>
      <c r="P72" s="102"/>
      <c r="Q72" s="102"/>
      <c r="S72" s="230"/>
      <c r="T72" s="230" t="str">
        <f>IF(ISNUMBER(MATCH(B72, 'Sprint 15'!B:B, 0)), "มาจาก Sprint 15", "")</f>
        <v>มาจาก Sprint 15</v>
      </c>
      <c r="U72" s="230" t="str">
        <f t="array" ref="U72">IF(ISNUMBER(MATCH(B72, 'Sprint 15'!B:B, 0)), INDEX('Sprint 15'!J:J, MATCH(B72, 'Sprint 15'!B:B, 0)), "")</f>
        <v>Resolved</v>
      </c>
      <c r="V72" s="230"/>
      <c r="W72" s="102" t="s">
        <v>2185</v>
      </c>
      <c r="X72" s="102" t="s">
        <v>2186</v>
      </c>
      <c r="Y72" s="102" t="s">
        <v>2187</v>
      </c>
      <c r="Z72" s="102"/>
      <c r="AA72" s="102"/>
      <c r="AB72" s="102"/>
      <c r="AC72" s="102"/>
    </row>
    <row r="73">
      <c r="A73" s="102" t="s">
        <v>310</v>
      </c>
      <c r="B73" s="102" t="s">
        <v>5457</v>
      </c>
      <c r="C73" s="229" t="s">
        <v>5458</v>
      </c>
      <c r="D73" s="102" t="s">
        <v>5459</v>
      </c>
      <c r="E73" s="102" t="s">
        <v>495</v>
      </c>
      <c r="F73" s="102" t="s">
        <v>496</v>
      </c>
      <c r="G73" s="102" t="s">
        <v>353</v>
      </c>
      <c r="H73" s="102" t="s">
        <v>354</v>
      </c>
      <c r="I73" s="102" t="s">
        <v>284</v>
      </c>
      <c r="J73" s="102" t="s">
        <v>26</v>
      </c>
      <c r="L73" s="229" t="s">
        <v>5460</v>
      </c>
      <c r="M73" s="229" t="s">
        <v>5461</v>
      </c>
      <c r="N73" s="102"/>
      <c r="O73" s="102">
        <v>3.0</v>
      </c>
      <c r="S73" s="102">
        <v>0.0</v>
      </c>
      <c r="T73" s="230" t="str">
        <f>IF(ISNUMBER(MATCH(B73, 'Sprint 15'!B:B, 0)), "มาจาก Sprint 15", "")</f>
        <v>มาจาก Sprint 15</v>
      </c>
      <c r="U73" s="230" t="str">
        <f t="array" ref="U73">IF(ISNUMBER(MATCH(B73, 'Sprint 15'!B:B, 0)), INDEX('Sprint 15'!J:J, MATCH(B73, 'Sprint 15'!B:B, 0)), "")</f>
        <v>Ready To Test</v>
      </c>
      <c r="V73" s="102">
        <v>28800.0</v>
      </c>
      <c r="W73" s="102" t="s">
        <v>4657</v>
      </c>
      <c r="X73" s="102" t="s">
        <v>2266</v>
      </c>
      <c r="Y73" s="102" t="s">
        <v>2267</v>
      </c>
      <c r="Z73" s="102"/>
      <c r="AA73" s="102"/>
      <c r="AB73" s="102"/>
      <c r="AC73" s="102"/>
    </row>
    <row r="74">
      <c r="A74" s="102" t="s">
        <v>1465</v>
      </c>
      <c r="B74" s="102" t="s">
        <v>5462</v>
      </c>
      <c r="C74" s="229" t="s">
        <v>5463</v>
      </c>
      <c r="D74" s="102" t="s">
        <v>5464</v>
      </c>
      <c r="E74" s="102"/>
      <c r="F74" s="102"/>
      <c r="G74" s="102" t="s">
        <v>3288</v>
      </c>
      <c r="H74" s="102" t="s">
        <v>3289</v>
      </c>
      <c r="I74" s="102" t="s">
        <v>284</v>
      </c>
      <c r="J74" s="102" t="s">
        <v>26</v>
      </c>
      <c r="L74" s="229" t="s">
        <v>5465</v>
      </c>
      <c r="M74" s="229" t="s">
        <v>5466</v>
      </c>
      <c r="N74" s="102"/>
      <c r="O74" s="102"/>
      <c r="S74" s="230"/>
      <c r="T74" s="230" t="str">
        <f>IF(ISNUMBER(MATCH(B74, 'Sprint 15'!B:B, 0)), "มาจาก Sprint 15", "")</f>
        <v>มาจาก Sprint 15</v>
      </c>
      <c r="U74" s="230" t="str">
        <f t="array" ref="U74">IF(ISNUMBER(MATCH(B74, 'Sprint 15'!B:B, 0)), INDEX('Sprint 15'!J:J, MATCH(B74, 'Sprint 15'!B:B, 0)), "")</f>
        <v>To Do</v>
      </c>
      <c r="V74" s="230"/>
      <c r="W74" s="102" t="s">
        <v>4657</v>
      </c>
      <c r="X74" s="102" t="s">
        <v>2266</v>
      </c>
      <c r="Y74" s="102" t="s">
        <v>2267</v>
      </c>
      <c r="Z74" s="102"/>
      <c r="AA74" s="102"/>
      <c r="AB74" s="102"/>
    </row>
    <row r="75">
      <c r="A75" s="102" t="s">
        <v>276</v>
      </c>
      <c r="B75" s="102" t="s">
        <v>5467</v>
      </c>
      <c r="C75" s="229" t="s">
        <v>5468</v>
      </c>
      <c r="D75" s="102" t="s">
        <v>5469</v>
      </c>
      <c r="E75" s="102" t="s">
        <v>328</v>
      </c>
      <c r="F75" s="102" t="s">
        <v>329</v>
      </c>
      <c r="G75" s="102" t="s">
        <v>328</v>
      </c>
      <c r="H75" s="102" t="s">
        <v>329</v>
      </c>
      <c r="I75" s="102" t="s">
        <v>284</v>
      </c>
      <c r="J75" s="102" t="s">
        <v>26</v>
      </c>
      <c r="L75" s="229" t="s">
        <v>5470</v>
      </c>
      <c r="M75" s="229" t="s">
        <v>5471</v>
      </c>
      <c r="N75" s="102"/>
      <c r="O75" s="102"/>
      <c r="P75" s="102"/>
      <c r="Q75" s="102"/>
      <c r="S75" s="230"/>
      <c r="T75" s="230" t="str">
        <f>IF(ISNUMBER(MATCH(B75, 'Sprint 15'!B:B, 0)), "มาจาก Sprint 15", "")</f>
        <v>มาจาก Sprint 15</v>
      </c>
      <c r="U75" s="230" t="str">
        <f t="array" ref="U75">IF(ISNUMBER(MATCH(B75, 'Sprint 15'!B:B, 0)), INDEX('Sprint 15'!J:J, MATCH(B75, 'Sprint 15'!B:B, 0)), "")</f>
        <v>Done</v>
      </c>
      <c r="V75" s="230"/>
      <c r="W75" s="102" t="s">
        <v>1368</v>
      </c>
      <c r="X75" s="102" t="s">
        <v>1369</v>
      </c>
      <c r="Y75" s="102" t="s">
        <v>1370</v>
      </c>
      <c r="Z75" s="102"/>
      <c r="AA75" s="102"/>
      <c r="AB75" s="102"/>
    </row>
    <row r="76">
      <c r="A76" s="102" t="s">
        <v>276</v>
      </c>
      <c r="B76" s="102" t="s">
        <v>5472</v>
      </c>
      <c r="C76" s="229" t="s">
        <v>5473</v>
      </c>
      <c r="D76" s="102" t="s">
        <v>5474</v>
      </c>
      <c r="E76" s="102" t="s">
        <v>328</v>
      </c>
      <c r="F76" s="102" t="s">
        <v>329</v>
      </c>
      <c r="G76" s="102" t="s">
        <v>328</v>
      </c>
      <c r="H76" s="102" t="s">
        <v>329</v>
      </c>
      <c r="I76" s="102" t="s">
        <v>284</v>
      </c>
      <c r="J76" s="102" t="s">
        <v>26</v>
      </c>
      <c r="L76" s="229" t="s">
        <v>5470</v>
      </c>
      <c r="M76" s="229" t="s">
        <v>5471</v>
      </c>
      <c r="O76" s="102"/>
      <c r="P76" s="102"/>
      <c r="Q76" s="102"/>
      <c r="S76" s="230"/>
      <c r="T76" s="230" t="str">
        <f>IF(ISNUMBER(MATCH(B76, 'Sprint 15'!B:B, 0)), "มาจาก Sprint 15", "")</f>
        <v>มาจาก Sprint 15</v>
      </c>
      <c r="U76" s="230" t="str">
        <f t="array" ref="U76">IF(ISNUMBER(MATCH(B76, 'Sprint 15'!B:B, 0)), INDEX('Sprint 15'!J:J, MATCH(B76, 'Sprint 15'!B:B, 0)), "")</f>
        <v>Done</v>
      </c>
      <c r="V76" s="230"/>
      <c r="W76" s="102" t="s">
        <v>1368</v>
      </c>
      <c r="X76" s="102" t="s">
        <v>1369</v>
      </c>
      <c r="Y76" s="102" t="s">
        <v>1370</v>
      </c>
      <c r="Z76" s="102"/>
      <c r="AA76" s="102"/>
      <c r="AB76" s="102"/>
    </row>
    <row r="77">
      <c r="A77" s="102" t="s">
        <v>276</v>
      </c>
      <c r="B77" s="102" t="s">
        <v>5475</v>
      </c>
      <c r="C77" s="229" t="s">
        <v>5476</v>
      </c>
      <c r="D77" s="102" t="s">
        <v>5477</v>
      </c>
      <c r="E77" s="102" t="s">
        <v>328</v>
      </c>
      <c r="F77" s="102" t="s">
        <v>329</v>
      </c>
      <c r="G77" s="102" t="s">
        <v>328</v>
      </c>
      <c r="H77" s="102" t="s">
        <v>329</v>
      </c>
      <c r="I77" s="102" t="s">
        <v>284</v>
      </c>
      <c r="J77" s="102" t="s">
        <v>26</v>
      </c>
      <c r="L77" s="229" t="s">
        <v>5478</v>
      </c>
      <c r="M77" s="229" t="s">
        <v>5479</v>
      </c>
      <c r="O77" s="102"/>
      <c r="S77" s="230"/>
      <c r="T77" s="230" t="str">
        <f>IF(ISNUMBER(MATCH(B77, 'Sprint 15'!B:B, 0)), "มาจาก Sprint 15", "")</f>
        <v>มาจาก Sprint 15</v>
      </c>
      <c r="U77" s="230" t="str">
        <f t="array" ref="U77">IF(ISNUMBER(MATCH(B77, 'Sprint 15'!B:B, 0)), INDEX('Sprint 15'!J:J, MATCH(B77, 'Sprint 15'!B:B, 0)), "")</f>
        <v>Done</v>
      </c>
      <c r="V77" s="230"/>
      <c r="W77" s="102" t="s">
        <v>1368</v>
      </c>
      <c r="X77" s="102" t="s">
        <v>1369</v>
      </c>
      <c r="Y77" s="102" t="s">
        <v>1370</v>
      </c>
      <c r="Z77" s="102"/>
      <c r="AA77" s="102"/>
      <c r="AB77" s="102"/>
    </row>
    <row r="78">
      <c r="A78" s="102" t="s">
        <v>276</v>
      </c>
      <c r="B78" s="102" t="s">
        <v>5480</v>
      </c>
      <c r="C78" s="229" t="s">
        <v>5481</v>
      </c>
      <c r="D78" s="102" t="s">
        <v>5482</v>
      </c>
      <c r="E78" s="102" t="s">
        <v>328</v>
      </c>
      <c r="F78" s="102" t="s">
        <v>329</v>
      </c>
      <c r="G78" s="102" t="s">
        <v>328</v>
      </c>
      <c r="H78" s="102" t="s">
        <v>329</v>
      </c>
      <c r="I78" s="102" t="s">
        <v>284</v>
      </c>
      <c r="J78" s="102" t="s">
        <v>26</v>
      </c>
      <c r="L78" s="229" t="s">
        <v>5478</v>
      </c>
      <c r="M78" s="229" t="s">
        <v>5471</v>
      </c>
      <c r="N78" s="102"/>
      <c r="O78" s="102"/>
      <c r="S78" s="230"/>
      <c r="T78" s="230" t="str">
        <f>IF(ISNUMBER(MATCH(B78, 'Sprint 15'!B:B, 0)), "มาจาก Sprint 15", "")</f>
        <v>มาจาก Sprint 15</v>
      </c>
      <c r="U78" s="230" t="str">
        <f t="array" ref="U78">IF(ISNUMBER(MATCH(B78, 'Sprint 15'!B:B, 0)), INDEX('Sprint 15'!J:J, MATCH(B78, 'Sprint 15'!B:B, 0)), "")</f>
        <v>Done</v>
      </c>
      <c r="V78" s="230"/>
      <c r="W78" s="102" t="s">
        <v>1368</v>
      </c>
      <c r="X78" s="102" t="s">
        <v>1369</v>
      </c>
      <c r="Y78" s="102" t="s">
        <v>1370</v>
      </c>
      <c r="Z78" s="102"/>
      <c r="AA78" s="102"/>
      <c r="AB78" s="102"/>
    </row>
    <row r="79">
      <c r="A79" s="102" t="s">
        <v>276</v>
      </c>
      <c r="B79" s="102" t="s">
        <v>5483</v>
      </c>
      <c r="C79" s="229" t="s">
        <v>5484</v>
      </c>
      <c r="D79" s="102" t="s">
        <v>5485</v>
      </c>
      <c r="E79" s="102" t="s">
        <v>328</v>
      </c>
      <c r="F79" s="102" t="s">
        <v>329</v>
      </c>
      <c r="G79" s="102" t="s">
        <v>328</v>
      </c>
      <c r="H79" s="102" t="s">
        <v>329</v>
      </c>
      <c r="I79" s="102" t="s">
        <v>284</v>
      </c>
      <c r="J79" s="102" t="s">
        <v>26</v>
      </c>
      <c r="L79" s="229" t="s">
        <v>5478</v>
      </c>
      <c r="M79" s="229" t="s">
        <v>5471</v>
      </c>
      <c r="N79" s="102"/>
      <c r="O79" s="102"/>
      <c r="S79" s="230"/>
      <c r="T79" s="230" t="str">
        <f>IF(ISNUMBER(MATCH(B79, 'Sprint 15'!B:B, 0)), "มาจาก Sprint 15", "")</f>
        <v>มาจาก Sprint 15</v>
      </c>
      <c r="U79" s="230" t="str">
        <f t="array" ref="U79">IF(ISNUMBER(MATCH(B79, 'Sprint 15'!B:B, 0)), INDEX('Sprint 15'!J:J, MATCH(B79, 'Sprint 15'!B:B, 0)), "")</f>
        <v>Done</v>
      </c>
      <c r="V79" s="230"/>
      <c r="W79" s="102" t="s">
        <v>1368</v>
      </c>
      <c r="X79" s="102" t="s">
        <v>1369</v>
      </c>
      <c r="Y79" s="102" t="s">
        <v>1370</v>
      </c>
      <c r="Z79" s="102"/>
      <c r="AA79" s="102"/>
      <c r="AB79" s="102"/>
    </row>
    <row r="80">
      <c r="A80" s="102" t="s">
        <v>276</v>
      </c>
      <c r="B80" s="102" t="s">
        <v>5486</v>
      </c>
      <c r="C80" s="229" t="s">
        <v>5487</v>
      </c>
      <c r="D80" s="102" t="s">
        <v>5488</v>
      </c>
      <c r="E80" s="102" t="s">
        <v>328</v>
      </c>
      <c r="F80" s="102" t="s">
        <v>329</v>
      </c>
      <c r="G80" s="102" t="s">
        <v>328</v>
      </c>
      <c r="H80" s="102" t="s">
        <v>329</v>
      </c>
      <c r="I80" s="102" t="s">
        <v>284</v>
      </c>
      <c r="J80" s="102" t="s">
        <v>26</v>
      </c>
      <c r="L80" s="229" t="s">
        <v>5478</v>
      </c>
      <c r="M80" s="229" t="s">
        <v>5479</v>
      </c>
      <c r="O80" s="102"/>
      <c r="S80" s="230"/>
      <c r="T80" s="230" t="str">
        <f>IF(ISNUMBER(MATCH(B80, 'Sprint 15'!B:B, 0)), "มาจาก Sprint 15", "")</f>
        <v>มาจาก Sprint 15</v>
      </c>
      <c r="U80" s="230" t="str">
        <f t="array" ref="U80">IF(ISNUMBER(MATCH(B80, 'Sprint 15'!B:B, 0)), INDEX('Sprint 15'!J:J, MATCH(B80, 'Sprint 15'!B:B, 0)), "")</f>
        <v>Done</v>
      </c>
      <c r="V80" s="230"/>
      <c r="W80" s="102" t="s">
        <v>1368</v>
      </c>
      <c r="X80" s="102" t="s">
        <v>1369</v>
      </c>
      <c r="Y80" s="102" t="s">
        <v>1370</v>
      </c>
      <c r="Z80" s="102"/>
      <c r="AA80" s="102"/>
      <c r="AB80" s="102"/>
    </row>
    <row r="81">
      <c r="A81" s="102" t="s">
        <v>310</v>
      </c>
      <c r="B81" s="102" t="s">
        <v>5489</v>
      </c>
      <c r="C81" s="229" t="s">
        <v>5490</v>
      </c>
      <c r="D81" s="102" t="s">
        <v>5491</v>
      </c>
      <c r="E81" s="102" t="s">
        <v>328</v>
      </c>
      <c r="F81" s="102" t="s">
        <v>329</v>
      </c>
      <c r="G81" s="102" t="s">
        <v>314</v>
      </c>
      <c r="H81" s="102" t="s">
        <v>315</v>
      </c>
      <c r="I81" s="102" t="s">
        <v>284</v>
      </c>
      <c r="J81" s="102" t="s">
        <v>26</v>
      </c>
      <c r="L81" s="229" t="s">
        <v>5492</v>
      </c>
      <c r="M81" s="229" t="s">
        <v>5493</v>
      </c>
      <c r="N81" s="229" t="s">
        <v>5494</v>
      </c>
      <c r="O81" s="102">
        <v>2.0</v>
      </c>
      <c r="S81" s="102">
        <v>0.0</v>
      </c>
      <c r="T81" s="230" t="str">
        <f>IF(ISNUMBER(MATCH(B81, 'Sprint 15'!B:B, 0)), "มาจาก Sprint 15", "")</f>
        <v>มาจาก Sprint 15</v>
      </c>
      <c r="U81" s="230" t="str">
        <f t="array" ref="U81">IF(ISNUMBER(MATCH(B81, 'Sprint 15'!B:B, 0)), INDEX('Sprint 15'!J:J, MATCH(B81, 'Sprint 15'!B:B, 0)), "")</f>
        <v>Ready To Test</v>
      </c>
      <c r="V81" s="102">
        <v>115200.0</v>
      </c>
      <c r="W81" s="102" t="s">
        <v>4657</v>
      </c>
      <c r="X81" s="102" t="s">
        <v>2266</v>
      </c>
      <c r="Y81" s="102" t="s">
        <v>2267</v>
      </c>
      <c r="Z81" s="102"/>
      <c r="AA81" s="102"/>
      <c r="AB81" s="102"/>
    </row>
    <row r="82">
      <c r="A82" s="102" t="s">
        <v>310</v>
      </c>
      <c r="B82" s="102" t="s">
        <v>5495</v>
      </c>
      <c r="C82" s="229" t="s">
        <v>5496</v>
      </c>
      <c r="D82" s="102" t="s">
        <v>5497</v>
      </c>
      <c r="E82" s="102" t="s">
        <v>495</v>
      </c>
      <c r="F82" s="102" t="s">
        <v>496</v>
      </c>
      <c r="G82" s="102" t="s">
        <v>314</v>
      </c>
      <c r="H82" s="102" t="s">
        <v>315</v>
      </c>
      <c r="I82" s="102" t="s">
        <v>284</v>
      </c>
      <c r="J82" s="102" t="s">
        <v>26</v>
      </c>
      <c r="L82" s="229" t="s">
        <v>5498</v>
      </c>
      <c r="M82" s="229" t="s">
        <v>5257</v>
      </c>
      <c r="N82" s="102"/>
      <c r="O82" s="102">
        <v>3.0</v>
      </c>
      <c r="S82" s="102">
        <v>0.0</v>
      </c>
      <c r="T82" s="230" t="str">
        <f>IF(ISNUMBER(MATCH(B82, 'Sprint 15'!B:B, 0)), "มาจาก Sprint 15", "")</f>
        <v>มาจาก Sprint 15</v>
      </c>
      <c r="U82" s="230" t="str">
        <f t="array" ref="U82">IF(ISNUMBER(MATCH(B82, 'Sprint 15'!B:B, 0)), INDEX('Sprint 15'!J:J, MATCH(B82, 'Sprint 15'!B:B, 0)), "")</f>
        <v>Ready To Test</v>
      </c>
      <c r="V82" s="102">
        <v>43200.0</v>
      </c>
      <c r="W82" s="102" t="s">
        <v>1368</v>
      </c>
      <c r="X82" s="102" t="s">
        <v>1369</v>
      </c>
      <c r="Y82" s="102" t="s">
        <v>1370</v>
      </c>
      <c r="Z82" s="102"/>
      <c r="AA82" s="102"/>
      <c r="AB82" s="102"/>
    </row>
    <row r="83">
      <c r="A83" s="102" t="s">
        <v>310</v>
      </c>
      <c r="B83" s="102" t="s">
        <v>5499</v>
      </c>
      <c r="C83" s="229" t="s">
        <v>5500</v>
      </c>
      <c r="D83" s="102" t="s">
        <v>5501</v>
      </c>
      <c r="E83" s="102" t="s">
        <v>584</v>
      </c>
      <c r="F83" s="102" t="s">
        <v>585</v>
      </c>
      <c r="G83" s="102" t="s">
        <v>282</v>
      </c>
      <c r="H83" s="102" t="s">
        <v>283</v>
      </c>
      <c r="I83" s="102" t="s">
        <v>284</v>
      </c>
      <c r="J83" s="102" t="s">
        <v>26</v>
      </c>
      <c r="L83" s="229" t="s">
        <v>5502</v>
      </c>
      <c r="M83" s="229" t="s">
        <v>5300</v>
      </c>
      <c r="N83" s="102"/>
      <c r="O83" s="102">
        <v>3.0</v>
      </c>
      <c r="S83" s="102">
        <v>0.0</v>
      </c>
      <c r="T83" s="230" t="str">
        <f>IF(ISNUMBER(MATCH(B83, 'Sprint 15'!B:B, 0)), "มาจาก Sprint 15", "")</f>
        <v>มาจาก Sprint 15</v>
      </c>
      <c r="U83" s="230" t="str">
        <f t="array" ref="U83">IF(ISNUMBER(MATCH(B83, 'Sprint 15'!B:B, 0)), INDEX('Sprint 15'!J:J, MATCH(B83, 'Sprint 15'!B:B, 0)), "")</f>
        <v>Ready To Test</v>
      </c>
      <c r="V83" s="102">
        <v>28800.0</v>
      </c>
      <c r="W83" s="102" t="s">
        <v>4657</v>
      </c>
      <c r="X83" s="102" t="s">
        <v>2266</v>
      </c>
      <c r="Y83" s="102" t="s">
        <v>2267</v>
      </c>
      <c r="Z83" s="102"/>
      <c r="AA83" s="102"/>
      <c r="AB83" s="102"/>
    </row>
    <row r="84">
      <c r="A84" s="102" t="s">
        <v>310</v>
      </c>
      <c r="B84" s="102" t="s">
        <v>5503</v>
      </c>
      <c r="C84" s="229" t="s">
        <v>5504</v>
      </c>
      <c r="D84" s="102" t="s">
        <v>5505</v>
      </c>
      <c r="E84" s="102" t="s">
        <v>584</v>
      </c>
      <c r="F84" s="102" t="s">
        <v>585</v>
      </c>
      <c r="G84" s="102" t="s">
        <v>282</v>
      </c>
      <c r="H84" s="102" t="s">
        <v>283</v>
      </c>
      <c r="I84" s="102" t="s">
        <v>284</v>
      </c>
      <c r="J84" s="102" t="s">
        <v>26</v>
      </c>
      <c r="L84" s="229" t="s">
        <v>5502</v>
      </c>
      <c r="M84" s="229" t="s">
        <v>5300</v>
      </c>
      <c r="N84" s="102"/>
      <c r="O84" s="102">
        <v>3.0</v>
      </c>
      <c r="S84" s="102">
        <v>0.0</v>
      </c>
      <c r="T84" s="230" t="str">
        <f>IF(ISNUMBER(MATCH(B84, 'Sprint 15'!B:B, 0)), "มาจาก Sprint 15", "")</f>
        <v>มาจาก Sprint 15</v>
      </c>
      <c r="U84" s="230" t="str">
        <f t="array" ref="U84">IF(ISNUMBER(MATCH(B84, 'Sprint 15'!B:B, 0)), INDEX('Sprint 15'!J:J, MATCH(B84, 'Sprint 15'!B:B, 0)), "")</f>
        <v>Ready To Test</v>
      </c>
      <c r="V84" s="102">
        <v>28800.0</v>
      </c>
      <c r="W84" s="102" t="s">
        <v>4657</v>
      </c>
      <c r="X84" s="102" t="s">
        <v>2266</v>
      </c>
      <c r="Y84" s="102" t="s">
        <v>2267</v>
      </c>
      <c r="Z84" s="102"/>
      <c r="AA84" s="102"/>
      <c r="AB84" s="102"/>
    </row>
    <row r="85">
      <c r="A85" s="102" t="s">
        <v>310</v>
      </c>
      <c r="B85" s="102" t="s">
        <v>5506</v>
      </c>
      <c r="C85" s="229" t="s">
        <v>5507</v>
      </c>
      <c r="D85" s="102" t="s">
        <v>5508</v>
      </c>
      <c r="E85" s="102" t="s">
        <v>328</v>
      </c>
      <c r="F85" s="102" t="s">
        <v>329</v>
      </c>
      <c r="G85" s="102" t="s">
        <v>314</v>
      </c>
      <c r="H85" s="102" t="s">
        <v>315</v>
      </c>
      <c r="I85" s="102" t="s">
        <v>284</v>
      </c>
      <c r="J85" s="102" t="s">
        <v>26</v>
      </c>
      <c r="L85" s="229" t="s">
        <v>5509</v>
      </c>
      <c r="M85" s="229" t="s">
        <v>5443</v>
      </c>
      <c r="N85" s="102"/>
      <c r="O85" s="102">
        <v>5.0</v>
      </c>
      <c r="S85" s="230"/>
      <c r="T85" s="230" t="str">
        <f>IF(ISNUMBER(MATCH(B85, 'Sprint 15'!B:B, 0)), "มาจาก Sprint 15", "")</f>
        <v>มาจาก Sprint 15</v>
      </c>
      <c r="U85" s="230" t="str">
        <f t="array" ref="U85">IF(ISNUMBER(MATCH(B85, 'Sprint 15'!B:B, 0)), INDEX('Sprint 15'!J:J, MATCH(B85, 'Sprint 15'!B:B, 0)), "")</f>
        <v>Ready to Staging</v>
      </c>
      <c r="V85" s="230"/>
      <c r="W85" s="102" t="s">
        <v>1369</v>
      </c>
      <c r="X85" s="102" t="s">
        <v>1370</v>
      </c>
      <c r="Y85" s="102"/>
      <c r="Z85" s="102"/>
      <c r="AA85" s="102"/>
      <c r="AB85" s="102"/>
    </row>
    <row r="86">
      <c r="A86" s="102" t="s">
        <v>310</v>
      </c>
      <c r="B86" s="102" t="s">
        <v>5510</v>
      </c>
      <c r="C86" s="229" t="s">
        <v>5511</v>
      </c>
      <c r="D86" s="102" t="s">
        <v>5512</v>
      </c>
      <c r="E86" s="102" t="s">
        <v>584</v>
      </c>
      <c r="F86" s="102" t="s">
        <v>585</v>
      </c>
      <c r="G86" s="102" t="s">
        <v>314</v>
      </c>
      <c r="H86" s="102" t="s">
        <v>315</v>
      </c>
      <c r="I86" s="102" t="s">
        <v>284</v>
      </c>
      <c r="J86" s="102" t="s">
        <v>26</v>
      </c>
      <c r="L86" s="229" t="s">
        <v>5513</v>
      </c>
      <c r="M86" s="229" t="s">
        <v>5443</v>
      </c>
      <c r="N86" s="102"/>
      <c r="O86" s="102">
        <v>5.0</v>
      </c>
      <c r="S86" s="102">
        <v>0.0</v>
      </c>
      <c r="T86" s="230" t="str">
        <f>IF(ISNUMBER(MATCH(B86, 'Sprint 15'!B:B, 0)), "มาจาก Sprint 15", "")</f>
        <v>มาจาก Sprint 15</v>
      </c>
      <c r="U86" s="230" t="str">
        <f t="array" ref="U86">IF(ISNUMBER(MATCH(B86, 'Sprint 15'!B:B, 0)), INDEX('Sprint 15'!J:J, MATCH(B86, 'Sprint 15'!B:B, 0)), "")</f>
        <v>Ready To Test</v>
      </c>
      <c r="V86" s="102">
        <v>57600.0</v>
      </c>
      <c r="W86" s="102" t="s">
        <v>1368</v>
      </c>
      <c r="X86" s="102" t="s">
        <v>1369</v>
      </c>
      <c r="Y86" s="102" t="s">
        <v>1370</v>
      </c>
      <c r="Z86" s="102"/>
      <c r="AA86" s="102"/>
      <c r="AB86" s="102"/>
    </row>
    <row r="87">
      <c r="A87" s="102" t="s">
        <v>310</v>
      </c>
      <c r="B87" s="102" t="s">
        <v>5514</v>
      </c>
      <c r="C87" s="229" t="s">
        <v>5515</v>
      </c>
      <c r="D87" s="102" t="s">
        <v>5516</v>
      </c>
      <c r="E87" s="102" t="s">
        <v>556</v>
      </c>
      <c r="F87" s="102" t="s">
        <v>557</v>
      </c>
      <c r="G87" s="102" t="s">
        <v>314</v>
      </c>
      <c r="H87" s="102" t="s">
        <v>315</v>
      </c>
      <c r="I87" s="102" t="s">
        <v>284</v>
      </c>
      <c r="J87" s="102" t="s">
        <v>26</v>
      </c>
      <c r="L87" s="229" t="s">
        <v>5517</v>
      </c>
      <c r="M87" s="229" t="s">
        <v>5443</v>
      </c>
      <c r="N87" s="102"/>
      <c r="O87" s="102">
        <v>5.0</v>
      </c>
      <c r="S87" s="102">
        <v>0.0</v>
      </c>
      <c r="T87" s="230" t="str">
        <f>IF(ISNUMBER(MATCH(B87, 'Sprint 15'!B:B, 0)), "มาจาก Sprint 15", "")</f>
        <v>มาจาก Sprint 15</v>
      </c>
      <c r="U87" s="230" t="str">
        <f t="array" ref="U87">IF(ISNUMBER(MATCH(B87, 'Sprint 15'!B:B, 0)), INDEX('Sprint 15'!J:J, MATCH(B87, 'Sprint 15'!B:B, 0)), "")</f>
        <v>Ready To Test</v>
      </c>
      <c r="V87" s="102">
        <v>57600.0</v>
      </c>
      <c r="W87" s="102" t="s">
        <v>1368</v>
      </c>
      <c r="X87" s="102" t="s">
        <v>1369</v>
      </c>
      <c r="Y87" s="102" t="s">
        <v>1370</v>
      </c>
      <c r="Z87" s="102"/>
      <c r="AA87" s="102"/>
      <c r="AB87" s="102"/>
    </row>
    <row r="88">
      <c r="A88" s="102" t="s">
        <v>310</v>
      </c>
      <c r="B88" s="102" t="s">
        <v>5518</v>
      </c>
      <c r="C88" s="229" t="s">
        <v>5519</v>
      </c>
      <c r="D88" s="102" t="s">
        <v>5520</v>
      </c>
      <c r="E88" s="102" t="s">
        <v>328</v>
      </c>
      <c r="F88" s="102" t="s">
        <v>329</v>
      </c>
      <c r="G88" s="102" t="s">
        <v>314</v>
      </c>
      <c r="H88" s="102" t="s">
        <v>315</v>
      </c>
      <c r="I88" s="102" t="s">
        <v>284</v>
      </c>
      <c r="J88" s="102" t="s">
        <v>26</v>
      </c>
      <c r="L88" s="229" t="s">
        <v>5521</v>
      </c>
      <c r="M88" s="229" t="s">
        <v>5443</v>
      </c>
      <c r="N88" s="229" t="s">
        <v>5522</v>
      </c>
      <c r="O88" s="102">
        <v>5.0</v>
      </c>
      <c r="P88" s="102"/>
      <c r="S88" s="102">
        <v>0.0</v>
      </c>
      <c r="T88" s="230" t="str">
        <f>IF(ISNUMBER(MATCH(B88, 'Sprint 15'!B:B, 0)), "มาจาก Sprint 15", "")</f>
        <v>มาจาก Sprint 15</v>
      </c>
      <c r="U88" s="230" t="str">
        <f t="array" ref="U88">IF(ISNUMBER(MATCH(B88, 'Sprint 15'!B:B, 0)), INDEX('Sprint 15'!J:J, MATCH(B88, 'Sprint 15'!B:B, 0)), "")</f>
        <v>Ready To Test</v>
      </c>
      <c r="V88" s="102">
        <v>57600.0</v>
      </c>
      <c r="W88" s="102" t="s">
        <v>1368</v>
      </c>
      <c r="X88" s="102" t="s">
        <v>1369</v>
      </c>
      <c r="Y88" s="102" t="s">
        <v>1370</v>
      </c>
      <c r="Z88" s="102"/>
      <c r="AA88" s="102"/>
      <c r="AB88" s="102"/>
    </row>
    <row r="89">
      <c r="A89" s="102" t="s">
        <v>310</v>
      </c>
      <c r="B89" s="102" t="s">
        <v>5523</v>
      </c>
      <c r="C89" s="229" t="s">
        <v>5524</v>
      </c>
      <c r="D89" s="102" t="s">
        <v>5525</v>
      </c>
      <c r="E89" s="102" t="s">
        <v>328</v>
      </c>
      <c r="F89" s="102" t="s">
        <v>329</v>
      </c>
      <c r="G89" s="102" t="s">
        <v>353</v>
      </c>
      <c r="H89" s="102" t="s">
        <v>354</v>
      </c>
      <c r="I89" s="102" t="s">
        <v>284</v>
      </c>
      <c r="J89" s="102" t="s">
        <v>26</v>
      </c>
      <c r="L89" s="229" t="s">
        <v>5526</v>
      </c>
      <c r="M89" s="229" t="s">
        <v>5527</v>
      </c>
      <c r="N89" s="229" t="s">
        <v>5528</v>
      </c>
      <c r="O89" s="102">
        <v>3.0</v>
      </c>
      <c r="P89" s="102" t="s">
        <v>5529</v>
      </c>
      <c r="Q89" s="102" t="s">
        <v>593</v>
      </c>
      <c r="S89" s="102">
        <v>0.0</v>
      </c>
      <c r="T89" s="230" t="str">
        <f>IF(ISNUMBER(MATCH(B89, 'Sprint 15'!B:B, 0)), "มาจาก Sprint 15", "")</f>
        <v>มาจาก Sprint 15</v>
      </c>
      <c r="U89" s="230" t="str">
        <f t="array" ref="U89">IF(ISNUMBER(MATCH(B89, 'Sprint 15'!B:B, 0)), INDEX('Sprint 15'!J:J, MATCH(B89, 'Sprint 15'!B:B, 0)), "")</f>
        <v>Ready To Test</v>
      </c>
      <c r="V89" s="102">
        <v>28800.0</v>
      </c>
      <c r="W89" s="102" t="s">
        <v>4657</v>
      </c>
      <c r="X89" s="102" t="s">
        <v>2266</v>
      </c>
      <c r="Y89" s="102" t="s">
        <v>2267</v>
      </c>
      <c r="Z89" s="102"/>
      <c r="AA89" s="102"/>
      <c r="AB89" s="102"/>
      <c r="AC89" s="102"/>
    </row>
    <row r="90">
      <c r="A90" s="102" t="s">
        <v>310</v>
      </c>
      <c r="B90" s="102" t="s">
        <v>5530</v>
      </c>
      <c r="C90" s="229" t="s">
        <v>5531</v>
      </c>
      <c r="D90" s="102" t="s">
        <v>5532</v>
      </c>
      <c r="E90" s="102" t="s">
        <v>556</v>
      </c>
      <c r="F90" s="102" t="s">
        <v>557</v>
      </c>
      <c r="G90" s="102" t="s">
        <v>353</v>
      </c>
      <c r="H90" s="102" t="s">
        <v>354</v>
      </c>
      <c r="I90" s="102" t="s">
        <v>284</v>
      </c>
      <c r="J90" s="102" t="s">
        <v>26</v>
      </c>
      <c r="L90" s="229" t="s">
        <v>5533</v>
      </c>
      <c r="M90" s="229" t="s">
        <v>5527</v>
      </c>
      <c r="N90" s="229" t="s">
        <v>5494</v>
      </c>
      <c r="O90" s="102">
        <v>3.0</v>
      </c>
      <c r="P90" s="102" t="s">
        <v>5529</v>
      </c>
      <c r="Q90" s="102" t="s">
        <v>593</v>
      </c>
      <c r="S90" s="102">
        <v>0.0</v>
      </c>
      <c r="T90" s="230" t="str">
        <f>IF(ISNUMBER(MATCH(B90, 'Sprint 15'!B:B, 0)), "มาจาก Sprint 15", "")</f>
        <v>มาจาก Sprint 15</v>
      </c>
      <c r="U90" s="230" t="str">
        <f t="array" ref="U90">IF(ISNUMBER(MATCH(B90, 'Sprint 15'!B:B, 0)), INDEX('Sprint 15'!J:J, MATCH(B90, 'Sprint 15'!B:B, 0)), "")</f>
        <v>Ready To Test</v>
      </c>
      <c r="V90" s="102">
        <v>28800.0</v>
      </c>
      <c r="W90" s="102" t="s">
        <v>4657</v>
      </c>
      <c r="X90" s="102" t="s">
        <v>2266</v>
      </c>
      <c r="Y90" s="102" t="s">
        <v>2267</v>
      </c>
      <c r="Z90" s="102"/>
      <c r="AA90" s="102"/>
      <c r="AB90" s="102"/>
    </row>
    <row r="91">
      <c r="A91" s="102" t="s">
        <v>310</v>
      </c>
      <c r="B91" s="102" t="s">
        <v>5534</v>
      </c>
      <c r="C91" s="229" t="s">
        <v>5535</v>
      </c>
      <c r="D91" s="102" t="s">
        <v>5536</v>
      </c>
      <c r="E91" s="102" t="s">
        <v>584</v>
      </c>
      <c r="F91" s="102" t="s">
        <v>585</v>
      </c>
      <c r="G91" s="102" t="s">
        <v>353</v>
      </c>
      <c r="H91" s="102" t="s">
        <v>354</v>
      </c>
      <c r="I91" s="102" t="s">
        <v>284</v>
      </c>
      <c r="J91" s="102" t="s">
        <v>26</v>
      </c>
      <c r="L91" s="229" t="s">
        <v>5533</v>
      </c>
      <c r="M91" s="229" t="s">
        <v>5527</v>
      </c>
      <c r="N91" s="102"/>
      <c r="O91" s="102">
        <v>3.0</v>
      </c>
      <c r="P91" s="102" t="s">
        <v>5529</v>
      </c>
      <c r="Q91" s="102" t="s">
        <v>593</v>
      </c>
      <c r="S91" s="102">
        <v>0.0</v>
      </c>
      <c r="T91" s="230" t="str">
        <f>IF(ISNUMBER(MATCH(B91, 'Sprint 15'!B:B, 0)), "มาจาก Sprint 15", "")</f>
        <v>มาจาก Sprint 15</v>
      </c>
      <c r="U91" s="230" t="str">
        <f t="array" ref="U91">IF(ISNUMBER(MATCH(B91, 'Sprint 15'!B:B, 0)), INDEX('Sprint 15'!J:J, MATCH(B91, 'Sprint 15'!B:B, 0)), "")</f>
        <v>Ready To Test</v>
      </c>
      <c r="V91" s="102">
        <v>28800.0</v>
      </c>
      <c r="W91" s="102" t="s">
        <v>4657</v>
      </c>
      <c r="X91" s="102" t="s">
        <v>2266</v>
      </c>
      <c r="Y91" s="102" t="s">
        <v>2267</v>
      </c>
      <c r="Z91" s="102"/>
      <c r="AA91" s="102"/>
      <c r="AB91" s="102"/>
      <c r="AC91" s="102"/>
    </row>
    <row r="92">
      <c r="A92" s="102" t="s">
        <v>1465</v>
      </c>
      <c r="B92" s="102" t="s">
        <v>3241</v>
      </c>
      <c r="C92" s="229" t="s">
        <v>3242</v>
      </c>
      <c r="D92" s="102" t="s">
        <v>3243</v>
      </c>
      <c r="E92" s="102"/>
      <c r="F92" s="102"/>
      <c r="G92" s="102" t="s">
        <v>521</v>
      </c>
      <c r="H92" s="102" t="s">
        <v>522</v>
      </c>
      <c r="I92" s="102" t="s">
        <v>284</v>
      </c>
      <c r="J92" s="102" t="s">
        <v>63</v>
      </c>
      <c r="L92" s="229" t="s">
        <v>3244</v>
      </c>
      <c r="M92" s="229" t="s">
        <v>4275</v>
      </c>
      <c r="N92" s="102"/>
      <c r="O92" s="102"/>
      <c r="P92" s="102"/>
      <c r="S92" s="230"/>
      <c r="T92" s="230" t="str">
        <f>IF(ISNUMBER(MATCH(B92, 'Sprint 15'!B:B, 0)), "มาจาก Sprint 15", "")</f>
        <v>มาจาก Sprint 15</v>
      </c>
      <c r="U92" s="230" t="str">
        <f t="array" ref="U92">IF(ISNUMBER(MATCH(B92, 'Sprint 15'!B:B, 0)), INDEX('Sprint 15'!J:J, MATCH(B92, 'Sprint 15'!B:B, 0)), "")</f>
        <v>To Do</v>
      </c>
      <c r="V92" s="230"/>
      <c r="W92" s="102" t="s">
        <v>2196</v>
      </c>
      <c r="X92" s="102" t="s">
        <v>2185</v>
      </c>
      <c r="Y92" s="102" t="s">
        <v>2186</v>
      </c>
      <c r="Z92" s="102" t="s">
        <v>2187</v>
      </c>
      <c r="AA92" s="102"/>
      <c r="AB92" s="102"/>
      <c r="AC92" s="102"/>
    </row>
    <row r="93">
      <c r="A93" s="102" t="s">
        <v>310</v>
      </c>
      <c r="B93" s="102" t="s">
        <v>5537</v>
      </c>
      <c r="C93" s="229" t="s">
        <v>5538</v>
      </c>
      <c r="D93" s="102" t="s">
        <v>5539</v>
      </c>
      <c r="E93" s="102" t="s">
        <v>556</v>
      </c>
      <c r="F93" s="102" t="s">
        <v>557</v>
      </c>
      <c r="G93" s="102" t="s">
        <v>353</v>
      </c>
      <c r="H93" s="102" t="s">
        <v>354</v>
      </c>
      <c r="I93" s="102" t="s">
        <v>284</v>
      </c>
      <c r="J93" s="102" t="s">
        <v>26</v>
      </c>
      <c r="L93" s="229" t="s">
        <v>5540</v>
      </c>
      <c r="M93" s="229" t="s">
        <v>5541</v>
      </c>
      <c r="N93" s="102"/>
      <c r="O93" s="102">
        <v>2.0</v>
      </c>
      <c r="P93" s="102" t="s">
        <v>593</v>
      </c>
      <c r="Q93" s="102" t="s">
        <v>5542</v>
      </c>
      <c r="S93" s="230"/>
      <c r="T93" s="230" t="str">
        <f>IF(ISNUMBER(MATCH(B93, 'Sprint 15'!B:B, 0)), "มาจาก Sprint 15", "")</f>
        <v>มาจาก Sprint 15</v>
      </c>
      <c r="U93" s="230" t="str">
        <f t="array" ref="U93">IF(ISNUMBER(MATCH(B93, 'Sprint 15'!B:B, 0)), INDEX('Sprint 15'!J:J, MATCH(B93, 'Sprint 15'!B:B, 0)), "")</f>
        <v>Ready To Test</v>
      </c>
      <c r="V93" s="230"/>
      <c r="W93" s="102" t="s">
        <v>2266</v>
      </c>
      <c r="X93" s="102" t="s">
        <v>2267</v>
      </c>
      <c r="Y93" s="102"/>
      <c r="Z93" s="102"/>
      <c r="AA93" s="102"/>
      <c r="AB93" s="102"/>
      <c r="AC93" s="102"/>
    </row>
    <row r="94">
      <c r="A94" s="102" t="s">
        <v>332</v>
      </c>
      <c r="B94" s="102" t="s">
        <v>4915</v>
      </c>
      <c r="C94" s="229" t="s">
        <v>4916</v>
      </c>
      <c r="D94" s="102" t="s">
        <v>4917</v>
      </c>
      <c r="E94" s="102" t="s">
        <v>282</v>
      </c>
      <c r="F94" s="102" t="s">
        <v>283</v>
      </c>
      <c r="G94" s="102" t="s">
        <v>282</v>
      </c>
      <c r="H94" s="102" t="s">
        <v>283</v>
      </c>
      <c r="I94" s="102" t="s">
        <v>284</v>
      </c>
      <c r="J94" s="102" t="s">
        <v>1738</v>
      </c>
      <c r="L94" s="229" t="s">
        <v>4918</v>
      </c>
      <c r="M94" s="229" t="s">
        <v>5403</v>
      </c>
      <c r="N94" s="102"/>
      <c r="O94" s="102">
        <v>2.0</v>
      </c>
      <c r="P94" s="102"/>
      <c r="Q94" s="102"/>
      <c r="R94" s="102"/>
      <c r="S94" s="102"/>
      <c r="T94" s="230" t="str">
        <f>IF(ISNUMBER(MATCH(B94, 'Sprint 15'!B:B, 0)), "มาจาก Sprint 15", "")</f>
        <v>มาจาก Sprint 15</v>
      </c>
      <c r="U94" s="230" t="str">
        <f t="array" ref="U94">IF(ISNUMBER(MATCH(B94, 'Sprint 15'!B:B, 0)), INDEX('Sprint 15'!J:J, MATCH(B94, 'Sprint 15'!B:B, 0)), "")</f>
        <v>Pass : Waiting for deployment</v>
      </c>
      <c r="V94" s="102"/>
      <c r="W94" s="102" t="s">
        <v>4919</v>
      </c>
      <c r="X94" s="102" t="s">
        <v>4657</v>
      </c>
      <c r="Y94" s="102" t="s">
        <v>2266</v>
      </c>
      <c r="Z94" s="102" t="s">
        <v>2267</v>
      </c>
      <c r="AA94" s="102"/>
      <c r="AB94" s="102"/>
      <c r="AC94" s="102"/>
    </row>
    <row r="95">
      <c r="A95" s="102" t="s">
        <v>310</v>
      </c>
      <c r="B95" s="102" t="s">
        <v>5543</v>
      </c>
      <c r="C95" s="229" t="s">
        <v>5544</v>
      </c>
      <c r="D95" s="102" t="s">
        <v>5545</v>
      </c>
      <c r="E95" s="102" t="s">
        <v>556</v>
      </c>
      <c r="F95" s="102" t="s">
        <v>557</v>
      </c>
      <c r="G95" s="102" t="s">
        <v>353</v>
      </c>
      <c r="H95" s="102" t="s">
        <v>354</v>
      </c>
      <c r="I95" s="102" t="s">
        <v>284</v>
      </c>
      <c r="J95" s="102" t="s">
        <v>26</v>
      </c>
      <c r="L95" s="229" t="s">
        <v>5546</v>
      </c>
      <c r="M95" s="229" t="s">
        <v>5284</v>
      </c>
      <c r="O95" s="102">
        <v>2.0</v>
      </c>
      <c r="P95" s="102" t="s">
        <v>593</v>
      </c>
      <c r="Q95" s="102" t="s">
        <v>5547</v>
      </c>
      <c r="S95" s="230"/>
      <c r="T95" s="230" t="str">
        <f>IF(ISNUMBER(MATCH(B95, 'Sprint 15'!B:B, 0)), "มาจาก Sprint 15", "")</f>
        <v>มาจาก Sprint 15</v>
      </c>
      <c r="U95" s="230" t="str">
        <f t="array" ref="U95">IF(ISNUMBER(MATCH(B95, 'Sprint 15'!B:B, 0)), INDEX('Sprint 15'!J:J, MATCH(B95, 'Sprint 15'!B:B, 0)), "")</f>
        <v>Ready To Test</v>
      </c>
      <c r="V95" s="230"/>
      <c r="W95" s="102" t="s">
        <v>4919</v>
      </c>
      <c r="X95" s="102" t="s">
        <v>2266</v>
      </c>
      <c r="Y95" s="102" t="s">
        <v>2267</v>
      </c>
      <c r="Z95" s="102"/>
      <c r="AA95" s="102"/>
      <c r="AB95" s="102"/>
      <c r="AC95" s="102"/>
    </row>
    <row r="96">
      <c r="A96" s="102" t="s">
        <v>630</v>
      </c>
      <c r="B96" s="102" t="s">
        <v>2192</v>
      </c>
      <c r="C96" s="229" t="s">
        <v>2193</v>
      </c>
      <c r="D96" s="102" t="s">
        <v>2194</v>
      </c>
      <c r="E96" s="102"/>
      <c r="F96" s="102"/>
      <c r="G96" s="102" t="s">
        <v>304</v>
      </c>
      <c r="H96" s="102" t="s">
        <v>305</v>
      </c>
      <c r="I96" s="102" t="s">
        <v>284</v>
      </c>
      <c r="J96" s="102" t="s">
        <v>63</v>
      </c>
      <c r="L96" s="229" t="s">
        <v>2195</v>
      </c>
      <c r="M96" s="229" t="s">
        <v>4275</v>
      </c>
      <c r="O96" s="102"/>
      <c r="S96" s="230"/>
      <c r="T96" s="230" t="str">
        <f>IF(ISNUMBER(MATCH(B96, 'Sprint 15'!B:B, 0)), "มาจาก Sprint 15", "")</f>
        <v>มาจาก Sprint 15</v>
      </c>
      <c r="U96" s="230" t="str">
        <f t="array" ref="U96">IF(ISNUMBER(MATCH(B96, 'Sprint 15'!B:B, 0)), INDEX('Sprint 15'!J:J, MATCH(B96, 'Sprint 15'!B:B, 0)), "")</f>
        <v>To Do</v>
      </c>
      <c r="V96" s="230"/>
      <c r="W96" s="102" t="s">
        <v>2196</v>
      </c>
      <c r="X96" s="102" t="s">
        <v>2185</v>
      </c>
      <c r="Y96" s="102" t="s">
        <v>2186</v>
      </c>
      <c r="Z96" s="102" t="s">
        <v>2187</v>
      </c>
      <c r="AA96" s="102"/>
      <c r="AB96" s="102"/>
      <c r="AC96" s="102"/>
    </row>
    <row r="97">
      <c r="A97" s="102" t="s">
        <v>630</v>
      </c>
      <c r="B97" s="102" t="s">
        <v>2197</v>
      </c>
      <c r="C97" s="229" t="s">
        <v>2198</v>
      </c>
      <c r="D97" s="102" t="s">
        <v>2199</v>
      </c>
      <c r="E97" s="102"/>
      <c r="F97" s="102"/>
      <c r="G97" s="102" t="s">
        <v>304</v>
      </c>
      <c r="H97" s="102" t="s">
        <v>305</v>
      </c>
      <c r="I97" s="102" t="s">
        <v>284</v>
      </c>
      <c r="J97" s="102" t="s">
        <v>63</v>
      </c>
      <c r="L97" s="229" t="s">
        <v>2200</v>
      </c>
      <c r="M97" s="229" t="s">
        <v>4275</v>
      </c>
      <c r="N97" s="102"/>
      <c r="O97" s="102"/>
      <c r="S97" s="230"/>
      <c r="T97" s="230" t="str">
        <f>IF(ISNUMBER(MATCH(B97, 'Sprint 15'!B:B, 0)), "มาจาก Sprint 15", "")</f>
        <v>มาจาก Sprint 15</v>
      </c>
      <c r="U97" s="230" t="str">
        <f t="array" ref="U97">IF(ISNUMBER(MATCH(B97, 'Sprint 15'!B:B, 0)), INDEX('Sprint 15'!J:J, MATCH(B97, 'Sprint 15'!B:B, 0)), "")</f>
        <v>To Do</v>
      </c>
      <c r="V97" s="230"/>
      <c r="W97" s="102" t="s">
        <v>2196</v>
      </c>
      <c r="X97" s="102" t="s">
        <v>2185</v>
      </c>
      <c r="Y97" s="102" t="s">
        <v>2186</v>
      </c>
      <c r="Z97" s="102" t="s">
        <v>2187</v>
      </c>
      <c r="AA97" s="102"/>
      <c r="AB97" s="102"/>
      <c r="AC97" s="102"/>
    </row>
    <row r="98">
      <c r="A98" s="102" t="s">
        <v>630</v>
      </c>
      <c r="B98" s="102" t="s">
        <v>2201</v>
      </c>
      <c r="C98" s="229" t="s">
        <v>2202</v>
      </c>
      <c r="D98" s="102" t="s">
        <v>2203</v>
      </c>
      <c r="E98" s="102"/>
      <c r="F98" s="102"/>
      <c r="G98" s="102" t="s">
        <v>304</v>
      </c>
      <c r="H98" s="102" t="s">
        <v>305</v>
      </c>
      <c r="I98" s="102" t="s">
        <v>284</v>
      </c>
      <c r="J98" s="102" t="s">
        <v>63</v>
      </c>
      <c r="L98" s="229" t="s">
        <v>2204</v>
      </c>
      <c r="M98" s="229" t="s">
        <v>4275</v>
      </c>
      <c r="N98" s="102"/>
      <c r="O98" s="102"/>
      <c r="P98" s="102"/>
      <c r="Q98" s="102"/>
      <c r="R98" s="102"/>
      <c r="S98" s="102"/>
      <c r="T98" s="230" t="str">
        <f>IF(ISNUMBER(MATCH(B98, 'Sprint 15'!B:B, 0)), "มาจาก Sprint 15", "")</f>
        <v>มาจาก Sprint 15</v>
      </c>
      <c r="U98" s="230" t="str">
        <f t="array" ref="U98">IF(ISNUMBER(MATCH(B98, 'Sprint 15'!B:B, 0)), INDEX('Sprint 15'!J:J, MATCH(B98, 'Sprint 15'!B:B, 0)), "")</f>
        <v>To Do</v>
      </c>
      <c r="V98" s="102"/>
      <c r="W98" s="102" t="s">
        <v>2205</v>
      </c>
      <c r="X98" s="102" t="s">
        <v>2196</v>
      </c>
      <c r="Y98" s="102" t="s">
        <v>2185</v>
      </c>
      <c r="Z98" s="102" t="s">
        <v>2186</v>
      </c>
      <c r="AA98" s="102" t="s">
        <v>2187</v>
      </c>
      <c r="AB98" s="102"/>
      <c r="AC98" s="102"/>
    </row>
    <row r="99">
      <c r="A99" s="102" t="s">
        <v>630</v>
      </c>
      <c r="B99" s="102" t="s">
        <v>2206</v>
      </c>
      <c r="C99" s="229" t="s">
        <v>2207</v>
      </c>
      <c r="D99" s="102" t="s">
        <v>2208</v>
      </c>
      <c r="E99" s="102"/>
      <c r="F99" s="102"/>
      <c r="G99" s="102" t="s">
        <v>304</v>
      </c>
      <c r="H99" s="102" t="s">
        <v>305</v>
      </c>
      <c r="I99" s="102" t="s">
        <v>284</v>
      </c>
      <c r="J99" s="102" t="s">
        <v>63</v>
      </c>
      <c r="L99" s="229" t="s">
        <v>2209</v>
      </c>
      <c r="M99" s="229" t="s">
        <v>4275</v>
      </c>
      <c r="N99" s="102"/>
      <c r="O99" s="102"/>
      <c r="P99" s="102" t="s">
        <v>1808</v>
      </c>
      <c r="Q99" s="102"/>
      <c r="R99" s="102"/>
      <c r="S99" s="102"/>
      <c r="T99" s="230" t="str">
        <f>IF(ISNUMBER(MATCH(B99, 'Sprint 15'!B:B, 0)), "มาจาก Sprint 15", "")</f>
        <v>มาจาก Sprint 15</v>
      </c>
      <c r="U99" s="230" t="str">
        <f t="array" ref="U99">IF(ISNUMBER(MATCH(B99, 'Sprint 15'!B:B, 0)), INDEX('Sprint 15'!J:J, MATCH(B99, 'Sprint 15'!B:B, 0)), "")</f>
        <v>To Do</v>
      </c>
      <c r="V99" s="102"/>
      <c r="W99" s="102" t="s">
        <v>2205</v>
      </c>
      <c r="X99" s="102" t="s">
        <v>2196</v>
      </c>
      <c r="Y99" s="102" t="s">
        <v>2185</v>
      </c>
      <c r="Z99" s="102" t="s">
        <v>2186</v>
      </c>
      <c r="AA99" s="102" t="s">
        <v>2187</v>
      </c>
      <c r="AB99" s="102"/>
      <c r="AC99" s="102"/>
    </row>
    <row r="100">
      <c r="A100" s="102" t="s">
        <v>310</v>
      </c>
      <c r="B100" s="102" t="s">
        <v>4920</v>
      </c>
      <c r="C100" s="229" t="s">
        <v>4921</v>
      </c>
      <c r="D100" s="102" t="s">
        <v>4922</v>
      </c>
      <c r="E100" s="102" t="s">
        <v>282</v>
      </c>
      <c r="F100" s="102" t="s">
        <v>283</v>
      </c>
      <c r="G100" s="102" t="s">
        <v>316</v>
      </c>
      <c r="H100" s="102" t="s">
        <v>317</v>
      </c>
      <c r="I100" s="102" t="s">
        <v>284</v>
      </c>
      <c r="J100" s="102" t="s">
        <v>678</v>
      </c>
      <c r="L100" s="229" t="s">
        <v>4923</v>
      </c>
      <c r="M100" s="229" t="s">
        <v>5548</v>
      </c>
      <c r="N100" s="229" t="s">
        <v>4925</v>
      </c>
      <c r="O100" s="102">
        <v>8.0</v>
      </c>
      <c r="S100" s="230"/>
      <c r="T100" s="230" t="str">
        <f>IF(ISNUMBER(MATCH(B100, 'Sprint 15'!B:B, 0)), "มาจาก Sprint 15", "")</f>
        <v/>
      </c>
      <c r="U100" s="230" t="str">
        <f t="array" ref="U100">IF(ISNUMBER(MATCH(B100, 'Sprint 15'!B:B, 0)), INDEX('Sprint 15'!J:J, MATCH(B100, 'Sprint 15'!B:B, 0)), "")</f>
        <v/>
      </c>
      <c r="V100" s="230"/>
      <c r="W100" s="102" t="s">
        <v>4919</v>
      </c>
      <c r="X100" s="102" t="s">
        <v>4657</v>
      </c>
      <c r="Y100" s="102" t="s">
        <v>2267</v>
      </c>
      <c r="Z100" s="230"/>
      <c r="AA100" s="102"/>
      <c r="AB100" s="102"/>
      <c r="AC100" s="102"/>
    </row>
    <row r="101">
      <c r="A101" s="102" t="s">
        <v>310</v>
      </c>
      <c r="B101" s="102" t="s">
        <v>5142</v>
      </c>
      <c r="C101" s="229" t="s">
        <v>5143</v>
      </c>
      <c r="D101" s="102" t="s">
        <v>5144</v>
      </c>
      <c r="E101" s="102" t="s">
        <v>513</v>
      </c>
      <c r="F101" s="102" t="s">
        <v>514</v>
      </c>
      <c r="G101" s="102" t="s">
        <v>513</v>
      </c>
      <c r="H101" s="102" t="s">
        <v>514</v>
      </c>
      <c r="I101" s="102" t="s">
        <v>284</v>
      </c>
      <c r="J101" s="102" t="s">
        <v>34</v>
      </c>
      <c r="L101" s="229" t="s">
        <v>5145</v>
      </c>
      <c r="M101" s="229" t="s">
        <v>5549</v>
      </c>
      <c r="O101" s="102">
        <v>2.0</v>
      </c>
      <c r="P101" s="102" t="s">
        <v>593</v>
      </c>
      <c r="Q101" s="102" t="s">
        <v>473</v>
      </c>
      <c r="S101" s="230"/>
      <c r="T101" s="230" t="str">
        <f>IF(ISNUMBER(MATCH(B101, 'Sprint 15'!B:B, 0)), "มาจาก Sprint 15", "")</f>
        <v/>
      </c>
      <c r="U101" s="230" t="str">
        <f t="array" ref="U101">IF(ISNUMBER(MATCH(B101, 'Sprint 15'!B:B, 0)), INDEX('Sprint 15'!J:J, MATCH(B101, 'Sprint 15'!B:B, 0)), "")</f>
        <v/>
      </c>
      <c r="V101" s="230"/>
      <c r="W101" s="102" t="s">
        <v>5147</v>
      </c>
      <c r="X101" s="102"/>
      <c r="Y101" s="102"/>
      <c r="Z101" s="230"/>
      <c r="AA101" s="102"/>
      <c r="AB101" s="102"/>
      <c r="AC101" s="102"/>
    </row>
    <row r="102">
      <c r="A102" s="102" t="s">
        <v>310</v>
      </c>
      <c r="B102" s="102" t="s">
        <v>5550</v>
      </c>
      <c r="C102" s="229" t="s">
        <v>5551</v>
      </c>
      <c r="D102" s="102" t="s">
        <v>5552</v>
      </c>
      <c r="E102" s="102" t="s">
        <v>314</v>
      </c>
      <c r="F102" s="102" t="s">
        <v>315</v>
      </c>
      <c r="G102" s="102" t="s">
        <v>314</v>
      </c>
      <c r="H102" s="102" t="s">
        <v>315</v>
      </c>
      <c r="I102" s="102" t="s">
        <v>648</v>
      </c>
      <c r="J102" s="102" t="s">
        <v>355</v>
      </c>
      <c r="L102" s="229" t="s">
        <v>5553</v>
      </c>
      <c r="M102" s="229" t="s">
        <v>5554</v>
      </c>
      <c r="O102" s="102">
        <v>3.0</v>
      </c>
      <c r="P102" s="102" t="s">
        <v>593</v>
      </c>
      <c r="S102" s="102">
        <v>0.0</v>
      </c>
      <c r="T102" s="230" t="str">
        <f>IF(ISNUMBER(MATCH(B102, 'Sprint 15'!B:B, 0)), "มาจาก Sprint 15", "")</f>
        <v>มาจาก Sprint 15</v>
      </c>
      <c r="U102" s="230" t="str">
        <f t="array" ref="U102">IF(ISNUMBER(MATCH(B102, 'Sprint 15'!B:B, 0)), INDEX('Sprint 15'!J:J, MATCH(B102, 'Sprint 15'!B:B, 0)), "")</f>
        <v>In Review</v>
      </c>
      <c r="V102" s="102">
        <v>28800.0</v>
      </c>
      <c r="W102" s="102" t="s">
        <v>1366</v>
      </c>
      <c r="X102" s="102" t="s">
        <v>1367</v>
      </c>
      <c r="Y102" s="102" t="s">
        <v>1368</v>
      </c>
      <c r="Z102" s="102" t="s">
        <v>1369</v>
      </c>
      <c r="AA102" s="102" t="s">
        <v>1370</v>
      </c>
      <c r="AB102" s="102"/>
      <c r="AC102" s="102"/>
    </row>
    <row r="103">
      <c r="A103" s="102" t="s">
        <v>310</v>
      </c>
      <c r="B103" s="102" t="s">
        <v>5148</v>
      </c>
      <c r="C103" s="229" t="s">
        <v>5149</v>
      </c>
      <c r="D103" s="102" t="s">
        <v>5150</v>
      </c>
      <c r="E103" s="102"/>
      <c r="F103" s="102"/>
      <c r="G103" s="102" t="s">
        <v>513</v>
      </c>
      <c r="H103" s="102" t="s">
        <v>514</v>
      </c>
      <c r="I103" s="102" t="s">
        <v>284</v>
      </c>
      <c r="J103" s="102" t="s">
        <v>63</v>
      </c>
      <c r="L103" s="229" t="s">
        <v>5151</v>
      </c>
      <c r="M103" s="229" t="s">
        <v>5555</v>
      </c>
      <c r="N103" s="102"/>
      <c r="O103" s="102">
        <v>2.0</v>
      </c>
      <c r="S103" s="230"/>
      <c r="T103" s="230" t="str">
        <f>IF(ISNUMBER(MATCH(B103, 'Sprint 15'!B:B, 0)), "มาจาก Sprint 15", "")</f>
        <v/>
      </c>
      <c r="U103" s="230" t="str">
        <f t="array" ref="U103">IF(ISNUMBER(MATCH(B103, 'Sprint 15'!B:B, 0)), INDEX('Sprint 15'!J:J, MATCH(B103, 'Sprint 15'!B:B, 0)), "")</f>
        <v/>
      </c>
      <c r="V103" s="230"/>
      <c r="W103" s="102" t="s">
        <v>5147</v>
      </c>
      <c r="X103" s="102"/>
      <c r="Y103" s="102"/>
      <c r="Z103" s="102"/>
      <c r="AA103" s="102"/>
      <c r="AB103" s="102"/>
      <c r="AC103" s="102"/>
    </row>
    <row r="104">
      <c r="A104" s="102" t="s">
        <v>310</v>
      </c>
      <c r="B104" s="102" t="s">
        <v>5153</v>
      </c>
      <c r="C104" s="229" t="s">
        <v>5154</v>
      </c>
      <c r="D104" s="102" t="s">
        <v>5155</v>
      </c>
      <c r="E104" s="102"/>
      <c r="F104" s="102"/>
      <c r="G104" s="102" t="s">
        <v>513</v>
      </c>
      <c r="H104" s="102" t="s">
        <v>514</v>
      </c>
      <c r="I104" s="102" t="s">
        <v>284</v>
      </c>
      <c r="J104" s="102" t="s">
        <v>63</v>
      </c>
      <c r="L104" s="229" t="s">
        <v>5156</v>
      </c>
      <c r="M104" s="229" t="s">
        <v>5556</v>
      </c>
      <c r="N104" s="102"/>
      <c r="O104" s="102">
        <v>2.0</v>
      </c>
      <c r="P104" s="102" t="s">
        <v>593</v>
      </c>
      <c r="Q104" s="102"/>
      <c r="S104" s="230"/>
      <c r="T104" s="230" t="str">
        <f>IF(ISNUMBER(MATCH(B104, 'Sprint 15'!B:B, 0)), "มาจาก Sprint 15", "")</f>
        <v/>
      </c>
      <c r="U104" s="230" t="str">
        <f t="array" ref="U104">IF(ISNUMBER(MATCH(B104, 'Sprint 15'!B:B, 0)), INDEX('Sprint 15'!J:J, MATCH(B104, 'Sprint 15'!B:B, 0)), "")</f>
        <v/>
      </c>
      <c r="V104" s="230"/>
      <c r="W104" s="102" t="s">
        <v>5147</v>
      </c>
      <c r="X104" s="102"/>
      <c r="Y104" s="102"/>
      <c r="Z104" s="102"/>
      <c r="AA104" s="102"/>
      <c r="AB104" s="102"/>
      <c r="AC104" s="102"/>
    </row>
    <row r="105">
      <c r="A105" s="102" t="s">
        <v>310</v>
      </c>
      <c r="B105" s="102" t="s">
        <v>4926</v>
      </c>
      <c r="C105" s="229" t="s">
        <v>4927</v>
      </c>
      <c r="D105" s="102" t="s">
        <v>4928</v>
      </c>
      <c r="E105" s="102"/>
      <c r="F105" s="102"/>
      <c r="G105" s="102" t="s">
        <v>513</v>
      </c>
      <c r="H105" s="102" t="s">
        <v>514</v>
      </c>
      <c r="I105" s="102" t="s">
        <v>284</v>
      </c>
      <c r="J105" s="102" t="s">
        <v>63</v>
      </c>
      <c r="L105" s="229" t="s">
        <v>4929</v>
      </c>
      <c r="M105" s="229" t="s">
        <v>5555</v>
      </c>
      <c r="N105" s="102"/>
      <c r="O105" s="102">
        <v>3.0</v>
      </c>
      <c r="P105" s="102"/>
      <c r="S105" s="230"/>
      <c r="T105" s="230" t="str">
        <f>IF(ISNUMBER(MATCH(B105, 'Sprint 15'!B:B, 0)), "มาจาก Sprint 15", "")</f>
        <v/>
      </c>
      <c r="U105" s="230" t="str">
        <f t="array" ref="U105">IF(ISNUMBER(MATCH(B105, 'Sprint 15'!B:B, 0)), INDEX('Sprint 15'!J:J, MATCH(B105, 'Sprint 15'!B:B, 0)), "")</f>
        <v/>
      </c>
      <c r="V105" s="230"/>
      <c r="W105" s="102" t="s">
        <v>5147</v>
      </c>
      <c r="X105" s="102"/>
      <c r="Y105" s="102"/>
      <c r="Z105" s="102"/>
      <c r="AA105" s="102"/>
      <c r="AB105" s="102"/>
      <c r="AC105" s="102"/>
    </row>
    <row r="106">
      <c r="A106" s="102" t="s">
        <v>310</v>
      </c>
      <c r="B106" s="102" t="s">
        <v>5157</v>
      </c>
      <c r="C106" s="229" t="s">
        <v>5158</v>
      </c>
      <c r="D106" s="102" t="s">
        <v>5159</v>
      </c>
      <c r="E106" s="102" t="s">
        <v>513</v>
      </c>
      <c r="F106" s="102" t="s">
        <v>514</v>
      </c>
      <c r="G106" s="102" t="s">
        <v>513</v>
      </c>
      <c r="H106" s="102" t="s">
        <v>514</v>
      </c>
      <c r="I106" s="102" t="s">
        <v>284</v>
      </c>
      <c r="J106" s="102" t="s">
        <v>63</v>
      </c>
      <c r="L106" s="229" t="s">
        <v>4929</v>
      </c>
      <c r="M106" s="229" t="s">
        <v>5555</v>
      </c>
      <c r="O106" s="102">
        <v>1.0</v>
      </c>
      <c r="S106" s="230"/>
      <c r="T106" s="230" t="str">
        <f>IF(ISNUMBER(MATCH(B106, 'Sprint 15'!B:B, 0)), "มาจาก Sprint 15", "")</f>
        <v/>
      </c>
      <c r="U106" s="230" t="str">
        <f t="array" ref="U106">IF(ISNUMBER(MATCH(B106, 'Sprint 15'!B:B, 0)), INDEX('Sprint 15'!J:J, MATCH(B106, 'Sprint 15'!B:B, 0)), "")</f>
        <v/>
      </c>
      <c r="V106" s="230"/>
      <c r="W106" s="102" t="s">
        <v>5147</v>
      </c>
      <c r="X106" s="102"/>
      <c r="Y106" s="102"/>
      <c r="Z106" s="230"/>
      <c r="AA106" s="102"/>
      <c r="AB106" s="102"/>
      <c r="AC106" s="102"/>
    </row>
    <row r="107">
      <c r="A107" s="102" t="s">
        <v>310</v>
      </c>
      <c r="B107" s="102" t="s">
        <v>5160</v>
      </c>
      <c r="C107" s="229" t="s">
        <v>5161</v>
      </c>
      <c r="D107" s="102" t="s">
        <v>5162</v>
      </c>
      <c r="E107" s="102"/>
      <c r="F107" s="102"/>
      <c r="G107" s="102" t="s">
        <v>513</v>
      </c>
      <c r="H107" s="102" t="s">
        <v>514</v>
      </c>
      <c r="I107" s="102" t="s">
        <v>284</v>
      </c>
      <c r="J107" s="102" t="s">
        <v>63</v>
      </c>
      <c r="L107" s="229" t="s">
        <v>4933</v>
      </c>
      <c r="M107" s="229" t="s">
        <v>4234</v>
      </c>
      <c r="O107" s="102">
        <v>3.0</v>
      </c>
      <c r="P107" s="102" t="s">
        <v>593</v>
      </c>
      <c r="S107" s="230"/>
      <c r="T107" s="230" t="str">
        <f>IF(ISNUMBER(MATCH(B107, 'Sprint 15'!B:B, 0)), "มาจาก Sprint 15", "")</f>
        <v/>
      </c>
      <c r="U107" s="230" t="str">
        <f t="array" ref="U107">IF(ISNUMBER(MATCH(B107, 'Sprint 15'!B:B, 0)), INDEX('Sprint 15'!J:J, MATCH(B107, 'Sprint 15'!B:B, 0)), "")</f>
        <v/>
      </c>
      <c r="V107" s="230"/>
      <c r="W107" s="102" t="s">
        <v>5147</v>
      </c>
      <c r="X107" s="102"/>
      <c r="Y107" s="102"/>
      <c r="Z107" s="102"/>
      <c r="AA107" s="102"/>
      <c r="AB107" s="102"/>
      <c r="AC107" s="102"/>
    </row>
    <row r="108">
      <c r="A108" s="102" t="s">
        <v>310</v>
      </c>
      <c r="B108" s="102" t="s">
        <v>4930</v>
      </c>
      <c r="C108" s="229" t="s">
        <v>4931</v>
      </c>
      <c r="D108" s="102" t="s">
        <v>4932</v>
      </c>
      <c r="E108" s="102"/>
      <c r="F108" s="102"/>
      <c r="G108" s="102" t="s">
        <v>513</v>
      </c>
      <c r="H108" s="102" t="s">
        <v>514</v>
      </c>
      <c r="I108" s="102" t="s">
        <v>284</v>
      </c>
      <c r="J108" s="102" t="s">
        <v>63</v>
      </c>
      <c r="L108" s="229" t="s">
        <v>4933</v>
      </c>
      <c r="M108" s="229" t="s">
        <v>5557</v>
      </c>
      <c r="N108" s="102"/>
      <c r="O108" s="102">
        <v>2.0</v>
      </c>
      <c r="P108" s="102"/>
      <c r="S108" s="230"/>
      <c r="T108" s="230" t="str">
        <f>IF(ISNUMBER(MATCH(B108, 'Sprint 15'!B:B, 0)), "มาจาก Sprint 15", "")</f>
        <v/>
      </c>
      <c r="U108" s="230" t="str">
        <f t="array" ref="U108">IF(ISNUMBER(MATCH(B108, 'Sprint 15'!B:B, 0)), INDEX('Sprint 15'!J:J, MATCH(B108, 'Sprint 15'!B:B, 0)), "")</f>
        <v/>
      </c>
      <c r="V108" s="230"/>
      <c r="W108" s="102" t="s">
        <v>5147</v>
      </c>
      <c r="X108" s="102"/>
      <c r="Y108" s="102"/>
      <c r="Z108" s="102"/>
      <c r="AA108" s="102"/>
      <c r="AB108" s="102"/>
      <c r="AC108" s="102"/>
      <c r="AD108" s="102"/>
    </row>
    <row r="109">
      <c r="A109" s="102" t="s">
        <v>310</v>
      </c>
      <c r="B109" s="102" t="s">
        <v>5164</v>
      </c>
      <c r="C109" s="229" t="s">
        <v>5165</v>
      </c>
      <c r="D109" s="102" t="s">
        <v>5166</v>
      </c>
      <c r="E109" s="102"/>
      <c r="F109" s="102"/>
      <c r="G109" s="102" t="s">
        <v>513</v>
      </c>
      <c r="H109" s="102" t="s">
        <v>514</v>
      </c>
      <c r="I109" s="102" t="s">
        <v>284</v>
      </c>
      <c r="J109" s="102" t="s">
        <v>63</v>
      </c>
      <c r="L109" s="229" t="s">
        <v>4933</v>
      </c>
      <c r="M109" s="229" t="s">
        <v>4234</v>
      </c>
      <c r="O109" s="102">
        <v>1.0</v>
      </c>
      <c r="P109" s="102" t="s">
        <v>593</v>
      </c>
      <c r="S109" s="230"/>
      <c r="T109" s="230" t="str">
        <f>IF(ISNUMBER(MATCH(B109, 'Sprint 15'!B:B, 0)), "มาจาก Sprint 15", "")</f>
        <v/>
      </c>
      <c r="U109" s="230" t="str">
        <f t="array" ref="U109">IF(ISNUMBER(MATCH(B109, 'Sprint 15'!B:B, 0)), INDEX('Sprint 15'!J:J, MATCH(B109, 'Sprint 15'!B:B, 0)), "")</f>
        <v/>
      </c>
      <c r="V109" s="230"/>
      <c r="W109" s="102" t="s">
        <v>5147</v>
      </c>
      <c r="X109" s="102"/>
      <c r="Y109" s="102"/>
      <c r="Z109" s="102"/>
      <c r="AA109" s="102"/>
      <c r="AB109" s="102"/>
      <c r="AC109" s="102"/>
      <c r="AD109" s="102"/>
    </row>
    <row r="110">
      <c r="A110" s="102" t="s">
        <v>310</v>
      </c>
      <c r="B110" s="102" t="s">
        <v>5167</v>
      </c>
      <c r="C110" s="229" t="s">
        <v>5168</v>
      </c>
      <c r="D110" s="102" t="s">
        <v>5169</v>
      </c>
      <c r="E110" s="102"/>
      <c r="F110" s="102"/>
      <c r="G110" s="102" t="s">
        <v>513</v>
      </c>
      <c r="H110" s="102" t="s">
        <v>514</v>
      </c>
      <c r="I110" s="102" t="s">
        <v>284</v>
      </c>
      <c r="J110" s="102" t="s">
        <v>63</v>
      </c>
      <c r="L110" s="229" t="s">
        <v>5170</v>
      </c>
      <c r="M110" s="229" t="s">
        <v>5558</v>
      </c>
      <c r="N110" s="102"/>
      <c r="O110" s="102">
        <v>3.0</v>
      </c>
      <c r="P110" s="102" t="s">
        <v>593</v>
      </c>
      <c r="S110" s="230"/>
      <c r="T110" s="230" t="str">
        <f>IF(ISNUMBER(MATCH(B110, 'Sprint 15'!B:B, 0)), "มาจาก Sprint 15", "")</f>
        <v/>
      </c>
      <c r="U110" s="230" t="str">
        <f t="array" ref="U110">IF(ISNUMBER(MATCH(B110, 'Sprint 15'!B:B, 0)), INDEX('Sprint 15'!J:J, MATCH(B110, 'Sprint 15'!B:B, 0)), "")</f>
        <v/>
      </c>
      <c r="V110" s="230"/>
      <c r="W110" s="102" t="s">
        <v>5147</v>
      </c>
      <c r="X110" s="102"/>
      <c r="Y110" s="102"/>
      <c r="Z110" s="102"/>
      <c r="AA110" s="102"/>
      <c r="AB110" s="102"/>
      <c r="AC110" s="102"/>
      <c r="AD110" s="102"/>
      <c r="AE110" s="102"/>
    </row>
    <row r="111">
      <c r="A111" s="102" t="s">
        <v>310</v>
      </c>
      <c r="B111" s="102" t="s">
        <v>5171</v>
      </c>
      <c r="C111" s="229" t="s">
        <v>5172</v>
      </c>
      <c r="D111" s="102" t="s">
        <v>5173</v>
      </c>
      <c r="E111" s="102"/>
      <c r="F111" s="102"/>
      <c r="G111" s="102" t="s">
        <v>513</v>
      </c>
      <c r="H111" s="102" t="s">
        <v>514</v>
      </c>
      <c r="I111" s="102" t="s">
        <v>284</v>
      </c>
      <c r="J111" s="102" t="s">
        <v>63</v>
      </c>
      <c r="L111" s="229" t="s">
        <v>5170</v>
      </c>
      <c r="M111" s="229" t="s">
        <v>5558</v>
      </c>
      <c r="N111" s="102"/>
      <c r="O111" s="102">
        <v>1.0</v>
      </c>
      <c r="P111" s="102" t="s">
        <v>593</v>
      </c>
      <c r="Q111" s="102"/>
      <c r="S111" s="230"/>
      <c r="T111" s="230" t="str">
        <f>IF(ISNUMBER(MATCH(B111, 'Sprint 15'!B:B, 0)), "มาจาก Sprint 15", "")</f>
        <v/>
      </c>
      <c r="U111" s="230" t="str">
        <f t="array" ref="U111">IF(ISNUMBER(MATCH(B111, 'Sprint 15'!B:B, 0)), INDEX('Sprint 15'!J:J, MATCH(B111, 'Sprint 15'!B:B, 0)), "")</f>
        <v/>
      </c>
      <c r="V111" s="230"/>
      <c r="W111" s="102" t="s">
        <v>5147</v>
      </c>
      <c r="X111" s="102"/>
      <c r="Y111" s="102"/>
      <c r="Z111" s="102"/>
      <c r="AA111" s="102"/>
      <c r="AB111" s="102"/>
      <c r="AC111" s="102"/>
      <c r="AD111" s="102"/>
      <c r="AE111" s="102"/>
    </row>
    <row r="112">
      <c r="A112" s="102" t="s">
        <v>310</v>
      </c>
      <c r="B112" s="102" t="s">
        <v>5174</v>
      </c>
      <c r="C112" s="229" t="s">
        <v>5175</v>
      </c>
      <c r="D112" s="102" t="s">
        <v>5176</v>
      </c>
      <c r="E112" s="102"/>
      <c r="F112" s="102"/>
      <c r="G112" s="102" t="s">
        <v>513</v>
      </c>
      <c r="H112" s="102" t="s">
        <v>514</v>
      </c>
      <c r="I112" s="102" t="s">
        <v>284</v>
      </c>
      <c r="J112" s="102" t="s">
        <v>63</v>
      </c>
      <c r="L112" s="229" t="s">
        <v>5170</v>
      </c>
      <c r="M112" s="229" t="s">
        <v>5558</v>
      </c>
      <c r="N112" s="102"/>
      <c r="O112" s="102">
        <v>1.0</v>
      </c>
      <c r="P112" s="102" t="s">
        <v>593</v>
      </c>
      <c r="Q112" s="102"/>
      <c r="S112" s="230"/>
      <c r="T112" s="230" t="str">
        <f>IF(ISNUMBER(MATCH(B112, 'Sprint 15'!B:B, 0)), "มาจาก Sprint 15", "")</f>
        <v/>
      </c>
      <c r="U112" s="230" t="str">
        <f t="array" ref="U112">IF(ISNUMBER(MATCH(B112, 'Sprint 15'!B:B, 0)), INDEX('Sprint 15'!J:J, MATCH(B112, 'Sprint 15'!B:B, 0)), "")</f>
        <v/>
      </c>
      <c r="V112" s="230"/>
      <c r="W112" s="102" t="s">
        <v>5147</v>
      </c>
      <c r="X112" s="102"/>
      <c r="Y112" s="102"/>
      <c r="Z112" s="102"/>
      <c r="AA112" s="102"/>
      <c r="AB112" s="102"/>
      <c r="AC112" s="102"/>
      <c r="AD112" s="102"/>
      <c r="AE112" s="102"/>
    </row>
    <row r="113">
      <c r="A113" s="102" t="s">
        <v>310</v>
      </c>
      <c r="B113" s="102" t="s">
        <v>5177</v>
      </c>
      <c r="C113" s="229" t="s">
        <v>5178</v>
      </c>
      <c r="D113" s="102" t="s">
        <v>5179</v>
      </c>
      <c r="E113" s="102"/>
      <c r="F113" s="102"/>
      <c r="G113" s="102" t="s">
        <v>513</v>
      </c>
      <c r="H113" s="102" t="s">
        <v>514</v>
      </c>
      <c r="I113" s="102" t="s">
        <v>284</v>
      </c>
      <c r="J113" s="102" t="s">
        <v>63</v>
      </c>
      <c r="L113" s="229" t="s">
        <v>5180</v>
      </c>
      <c r="M113" s="229" t="s">
        <v>5558</v>
      </c>
      <c r="N113" s="102"/>
      <c r="O113" s="102">
        <v>3.0</v>
      </c>
      <c r="P113" s="102" t="s">
        <v>593</v>
      </c>
      <c r="S113" s="230"/>
      <c r="T113" s="230" t="str">
        <f>IF(ISNUMBER(MATCH(B113, 'Sprint 15'!B:B, 0)), "มาจาก Sprint 15", "")</f>
        <v/>
      </c>
      <c r="U113" s="230" t="str">
        <f t="array" ref="U113">IF(ISNUMBER(MATCH(B113, 'Sprint 15'!B:B, 0)), INDEX('Sprint 15'!J:J, MATCH(B113, 'Sprint 15'!B:B, 0)), "")</f>
        <v/>
      </c>
      <c r="V113" s="230"/>
      <c r="W113" s="102" t="s">
        <v>5147</v>
      </c>
      <c r="X113" s="102"/>
      <c r="Y113" s="102"/>
      <c r="Z113" s="102"/>
      <c r="AA113" s="102"/>
      <c r="AB113" s="102"/>
      <c r="AC113" s="102"/>
      <c r="AD113" s="102"/>
      <c r="AE113" s="102"/>
      <c r="AF113" s="102"/>
    </row>
    <row r="114">
      <c r="A114" s="102" t="s">
        <v>310</v>
      </c>
      <c r="B114" s="102" t="s">
        <v>4935</v>
      </c>
      <c r="C114" s="229" t="s">
        <v>4936</v>
      </c>
      <c r="D114" s="102" t="s">
        <v>4937</v>
      </c>
      <c r="E114" s="102"/>
      <c r="F114" s="102"/>
      <c r="G114" s="102" t="s">
        <v>513</v>
      </c>
      <c r="H114" s="102" t="s">
        <v>514</v>
      </c>
      <c r="I114" s="102" t="s">
        <v>284</v>
      </c>
      <c r="J114" s="102" t="s">
        <v>63</v>
      </c>
      <c r="L114" s="229" t="s">
        <v>4938</v>
      </c>
      <c r="M114" s="229" t="s">
        <v>4857</v>
      </c>
      <c r="N114" s="102"/>
      <c r="O114" s="102">
        <v>3.0</v>
      </c>
      <c r="P114" s="102" t="s">
        <v>593</v>
      </c>
      <c r="S114" s="230"/>
      <c r="T114" s="230" t="str">
        <f>IF(ISNUMBER(MATCH(B114, 'Sprint 15'!B:B, 0)), "มาจาก Sprint 15", "")</f>
        <v/>
      </c>
      <c r="U114" s="230" t="str">
        <f t="array" ref="U114">IF(ISNUMBER(MATCH(B114, 'Sprint 15'!B:B, 0)), INDEX('Sprint 15'!J:J, MATCH(B114, 'Sprint 15'!B:B, 0)), "")</f>
        <v/>
      </c>
      <c r="V114" s="230"/>
      <c r="W114" s="102" t="s">
        <v>5147</v>
      </c>
      <c r="X114" s="102"/>
      <c r="Y114" s="102"/>
      <c r="Z114" s="102"/>
      <c r="AA114" s="102"/>
      <c r="AB114" s="102"/>
      <c r="AC114" s="102"/>
      <c r="AD114" s="102"/>
      <c r="AE114" s="102"/>
      <c r="AF114" s="102"/>
    </row>
    <row r="115">
      <c r="A115" s="102" t="s">
        <v>310</v>
      </c>
      <c r="B115" s="102" t="s">
        <v>5181</v>
      </c>
      <c r="C115" s="229" t="s">
        <v>5182</v>
      </c>
      <c r="D115" s="102" t="s">
        <v>5183</v>
      </c>
      <c r="E115" s="102" t="s">
        <v>513</v>
      </c>
      <c r="F115" s="102" t="s">
        <v>514</v>
      </c>
      <c r="G115" s="102" t="s">
        <v>513</v>
      </c>
      <c r="H115" s="102" t="s">
        <v>514</v>
      </c>
      <c r="I115" s="102" t="s">
        <v>284</v>
      </c>
      <c r="J115" s="102" t="s">
        <v>63</v>
      </c>
      <c r="L115" s="229" t="s">
        <v>4938</v>
      </c>
      <c r="M115" s="229" t="s">
        <v>5555</v>
      </c>
      <c r="N115" s="102"/>
      <c r="O115" s="102">
        <v>1.0</v>
      </c>
      <c r="P115" s="102"/>
      <c r="S115" s="230"/>
      <c r="T115" s="230" t="str">
        <f>IF(ISNUMBER(MATCH(B115, 'Sprint 15'!B:B, 0)), "มาจาก Sprint 15", "")</f>
        <v/>
      </c>
      <c r="U115" s="230" t="str">
        <f t="array" ref="U115">IF(ISNUMBER(MATCH(B115, 'Sprint 15'!B:B, 0)), INDEX('Sprint 15'!J:J, MATCH(B115, 'Sprint 15'!B:B, 0)), "")</f>
        <v/>
      </c>
      <c r="V115" s="230"/>
      <c r="W115" s="102" t="s">
        <v>5147</v>
      </c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</row>
    <row r="116">
      <c r="A116" s="102" t="s">
        <v>310</v>
      </c>
      <c r="B116" s="102" t="s">
        <v>5184</v>
      </c>
      <c r="C116" s="229" t="s">
        <v>5185</v>
      </c>
      <c r="D116" s="102" t="s">
        <v>5186</v>
      </c>
      <c r="G116" s="102" t="s">
        <v>513</v>
      </c>
      <c r="H116" s="102" t="s">
        <v>514</v>
      </c>
      <c r="I116" s="102" t="s">
        <v>284</v>
      </c>
      <c r="J116" s="102" t="s">
        <v>63</v>
      </c>
      <c r="L116" s="229" t="s">
        <v>4938</v>
      </c>
      <c r="M116" s="229" t="s">
        <v>5555</v>
      </c>
      <c r="O116" s="102">
        <v>2.0</v>
      </c>
      <c r="P116" s="102"/>
      <c r="S116" s="230"/>
      <c r="T116" s="230" t="str">
        <f>IF(ISNUMBER(MATCH(B116, 'Sprint 15'!B:B, 0)), "มาจาก Sprint 15", "")</f>
        <v/>
      </c>
      <c r="U116" s="230" t="str">
        <f t="array" ref="U116">IF(ISNUMBER(MATCH(B116, 'Sprint 15'!B:B, 0)), INDEX('Sprint 15'!J:J, MATCH(B116, 'Sprint 15'!B:B, 0)), "")</f>
        <v/>
      </c>
      <c r="V116" s="230"/>
      <c r="W116" s="102" t="s">
        <v>5147</v>
      </c>
      <c r="X116" s="102"/>
      <c r="Y116" s="102"/>
      <c r="Z116" s="230"/>
      <c r="AA116" s="102"/>
      <c r="AB116" s="102"/>
      <c r="AC116" s="102"/>
      <c r="AD116" s="102"/>
      <c r="AE116" s="102"/>
      <c r="AF116" s="102"/>
      <c r="AG116" s="102"/>
      <c r="AH116" s="102"/>
    </row>
    <row r="117">
      <c r="A117" s="102" t="s">
        <v>310</v>
      </c>
      <c r="B117" s="102" t="s">
        <v>5188</v>
      </c>
      <c r="C117" s="229" t="s">
        <v>5189</v>
      </c>
      <c r="D117" s="102" t="s">
        <v>5190</v>
      </c>
      <c r="E117" s="102"/>
      <c r="F117" s="102"/>
      <c r="G117" s="102" t="s">
        <v>513</v>
      </c>
      <c r="H117" s="102" t="s">
        <v>514</v>
      </c>
      <c r="I117" s="102" t="s">
        <v>284</v>
      </c>
      <c r="J117" s="102" t="s">
        <v>63</v>
      </c>
      <c r="L117" s="229" t="s">
        <v>5191</v>
      </c>
      <c r="M117" s="229" t="s">
        <v>5558</v>
      </c>
      <c r="N117" s="102"/>
      <c r="O117" s="102">
        <v>3.0</v>
      </c>
      <c r="P117" s="102" t="s">
        <v>593</v>
      </c>
      <c r="S117" s="230"/>
      <c r="T117" s="230" t="str">
        <f>IF(ISNUMBER(MATCH(B117, 'Sprint 15'!B:B, 0)), "มาจาก Sprint 15", "")</f>
        <v/>
      </c>
      <c r="U117" s="230" t="str">
        <f t="array" ref="U117">IF(ISNUMBER(MATCH(B117, 'Sprint 15'!B:B, 0)), INDEX('Sprint 15'!J:J, MATCH(B117, 'Sprint 15'!B:B, 0)), "")</f>
        <v/>
      </c>
      <c r="V117" s="230"/>
      <c r="W117" s="102" t="s">
        <v>5147</v>
      </c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</row>
    <row r="118">
      <c r="A118" s="102" t="s">
        <v>310</v>
      </c>
      <c r="B118" s="102" t="s">
        <v>5192</v>
      </c>
      <c r="C118" s="229" t="s">
        <v>5193</v>
      </c>
      <c r="D118" s="102" t="s">
        <v>5194</v>
      </c>
      <c r="E118" s="102"/>
      <c r="F118" s="102"/>
      <c r="G118" s="102" t="s">
        <v>513</v>
      </c>
      <c r="H118" s="102" t="s">
        <v>514</v>
      </c>
      <c r="I118" s="102" t="s">
        <v>284</v>
      </c>
      <c r="J118" s="102" t="s">
        <v>63</v>
      </c>
      <c r="L118" s="229" t="s">
        <v>5191</v>
      </c>
      <c r="M118" s="229" t="s">
        <v>5558</v>
      </c>
      <c r="N118" s="102"/>
      <c r="O118" s="102">
        <v>3.0</v>
      </c>
      <c r="P118" s="102" t="s">
        <v>593</v>
      </c>
      <c r="S118" s="230"/>
      <c r="T118" s="230" t="str">
        <f>IF(ISNUMBER(MATCH(B118, 'Sprint 15'!B:B, 0)), "มาจาก Sprint 15", "")</f>
        <v/>
      </c>
      <c r="U118" s="230" t="str">
        <f t="array" ref="U118">IF(ISNUMBER(MATCH(B118, 'Sprint 15'!B:B, 0)), INDEX('Sprint 15'!J:J, MATCH(B118, 'Sprint 15'!B:B, 0)), "")</f>
        <v/>
      </c>
      <c r="V118" s="230"/>
      <c r="W118" s="102" t="s">
        <v>5147</v>
      </c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</row>
    <row r="119">
      <c r="A119" s="102" t="s">
        <v>310</v>
      </c>
      <c r="B119" s="102" t="s">
        <v>5195</v>
      </c>
      <c r="C119" s="229" t="s">
        <v>5196</v>
      </c>
      <c r="D119" s="102" t="s">
        <v>5197</v>
      </c>
      <c r="E119" s="102"/>
      <c r="F119" s="102"/>
      <c r="G119" s="102" t="s">
        <v>513</v>
      </c>
      <c r="H119" s="102" t="s">
        <v>514</v>
      </c>
      <c r="I119" s="102" t="s">
        <v>284</v>
      </c>
      <c r="J119" s="102" t="s">
        <v>63</v>
      </c>
      <c r="L119" s="229" t="s">
        <v>5191</v>
      </c>
      <c r="M119" s="229" t="s">
        <v>5559</v>
      </c>
      <c r="N119" s="102"/>
      <c r="O119" s="102">
        <v>3.0</v>
      </c>
      <c r="P119" s="102" t="s">
        <v>593</v>
      </c>
      <c r="S119" s="230"/>
      <c r="T119" s="230" t="str">
        <f>IF(ISNUMBER(MATCH(B119, 'Sprint 15'!B:B, 0)), "มาจาก Sprint 15", "")</f>
        <v/>
      </c>
      <c r="U119" s="230" t="str">
        <f t="array" ref="U119">IF(ISNUMBER(MATCH(B119, 'Sprint 15'!B:B, 0)), INDEX('Sprint 15'!J:J, MATCH(B119, 'Sprint 15'!B:B, 0)), "")</f>
        <v/>
      </c>
      <c r="V119" s="230"/>
      <c r="W119" s="102" t="s">
        <v>5147</v>
      </c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</row>
    <row r="120">
      <c r="A120" s="102" t="s">
        <v>310</v>
      </c>
      <c r="B120" s="102" t="s">
        <v>5198</v>
      </c>
      <c r="C120" s="229" t="s">
        <v>5199</v>
      </c>
      <c r="D120" s="102" t="s">
        <v>5200</v>
      </c>
      <c r="E120" s="102"/>
      <c r="F120" s="102"/>
      <c r="G120" s="102" t="s">
        <v>513</v>
      </c>
      <c r="H120" s="102" t="s">
        <v>514</v>
      </c>
      <c r="I120" s="102" t="s">
        <v>284</v>
      </c>
      <c r="J120" s="102" t="s">
        <v>63</v>
      </c>
      <c r="L120" s="229" t="s">
        <v>5191</v>
      </c>
      <c r="M120" s="229" t="s">
        <v>3034</v>
      </c>
      <c r="O120" s="102">
        <v>3.0</v>
      </c>
      <c r="P120" s="102" t="s">
        <v>593</v>
      </c>
      <c r="S120" s="230"/>
      <c r="T120" s="230" t="str">
        <f>IF(ISNUMBER(MATCH(B120, 'Sprint 15'!B:B, 0)), "มาจาก Sprint 15", "")</f>
        <v/>
      </c>
      <c r="U120" s="230" t="str">
        <f t="array" ref="U120">IF(ISNUMBER(MATCH(B120, 'Sprint 15'!B:B, 0)), INDEX('Sprint 15'!J:J, MATCH(B120, 'Sprint 15'!B:B, 0)), "")</f>
        <v/>
      </c>
      <c r="V120" s="230"/>
      <c r="W120" s="102" t="s">
        <v>5147</v>
      </c>
      <c r="X120" s="102"/>
      <c r="Y120" s="102"/>
      <c r="Z120" s="230"/>
      <c r="AA120" s="102"/>
      <c r="AB120" s="102"/>
      <c r="AC120" s="102"/>
      <c r="AD120" s="102"/>
      <c r="AE120" s="102"/>
    </row>
    <row r="121">
      <c r="A121" s="102" t="s">
        <v>310</v>
      </c>
      <c r="B121" s="102" t="s">
        <v>5201</v>
      </c>
      <c r="C121" s="229" t="s">
        <v>5202</v>
      </c>
      <c r="D121" s="102" t="s">
        <v>5203</v>
      </c>
      <c r="E121" s="102"/>
      <c r="F121" s="102"/>
      <c r="G121" s="102" t="s">
        <v>513</v>
      </c>
      <c r="H121" s="102" t="s">
        <v>514</v>
      </c>
      <c r="I121" s="102" t="s">
        <v>284</v>
      </c>
      <c r="J121" s="102" t="s">
        <v>63</v>
      </c>
      <c r="L121" s="229" t="s">
        <v>5204</v>
      </c>
      <c r="M121" s="229" t="s">
        <v>5560</v>
      </c>
      <c r="N121" s="102"/>
      <c r="O121" s="102">
        <v>2.0</v>
      </c>
      <c r="P121" s="102"/>
      <c r="S121" s="230"/>
      <c r="T121" s="230" t="str">
        <f>IF(ISNUMBER(MATCH(B121, 'Sprint 15'!B:B, 0)), "มาจาก Sprint 15", "")</f>
        <v/>
      </c>
      <c r="U121" s="230" t="str">
        <f t="array" ref="U121">IF(ISNUMBER(MATCH(B121, 'Sprint 15'!B:B, 0)), INDEX('Sprint 15'!J:J, MATCH(B121, 'Sprint 15'!B:B, 0)), "")</f>
        <v/>
      </c>
      <c r="V121" s="230"/>
      <c r="W121" s="102" t="s">
        <v>5147</v>
      </c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</row>
    <row r="122">
      <c r="A122" s="102" t="s">
        <v>310</v>
      </c>
      <c r="B122" s="102" t="s">
        <v>5205</v>
      </c>
      <c r="C122" s="229" t="s">
        <v>5206</v>
      </c>
      <c r="D122" s="102" t="s">
        <v>5207</v>
      </c>
      <c r="E122" s="102"/>
      <c r="F122" s="102"/>
      <c r="G122" s="102" t="s">
        <v>513</v>
      </c>
      <c r="H122" s="102" t="s">
        <v>514</v>
      </c>
      <c r="I122" s="102" t="s">
        <v>284</v>
      </c>
      <c r="J122" s="102" t="s">
        <v>63</v>
      </c>
      <c r="L122" s="229" t="s">
        <v>5204</v>
      </c>
      <c r="M122" s="229" t="s">
        <v>5560</v>
      </c>
      <c r="N122" s="102"/>
      <c r="O122" s="102">
        <v>2.0</v>
      </c>
      <c r="P122" s="102"/>
      <c r="S122" s="230"/>
      <c r="T122" s="230" t="str">
        <f>IF(ISNUMBER(MATCH(B122, 'Sprint 15'!B:B, 0)), "มาจาก Sprint 15", "")</f>
        <v/>
      </c>
      <c r="U122" s="230" t="str">
        <f t="array" ref="U122">IF(ISNUMBER(MATCH(B122, 'Sprint 15'!B:B, 0)), INDEX('Sprint 15'!J:J, MATCH(B122, 'Sprint 15'!B:B, 0)), "")</f>
        <v/>
      </c>
      <c r="V122" s="230"/>
      <c r="W122" s="102" t="s">
        <v>5147</v>
      </c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</row>
    <row r="123">
      <c r="A123" s="102" t="s">
        <v>310</v>
      </c>
      <c r="B123" s="102" t="s">
        <v>5208</v>
      </c>
      <c r="C123" s="229" t="s">
        <v>5209</v>
      </c>
      <c r="D123" s="102" t="s">
        <v>5210</v>
      </c>
      <c r="E123" s="102"/>
      <c r="F123" s="102"/>
      <c r="G123" s="102" t="s">
        <v>513</v>
      </c>
      <c r="H123" s="102" t="s">
        <v>514</v>
      </c>
      <c r="I123" s="102" t="s">
        <v>284</v>
      </c>
      <c r="J123" s="102" t="s">
        <v>63</v>
      </c>
      <c r="L123" s="229" t="s">
        <v>5211</v>
      </c>
      <c r="M123" s="229" t="s">
        <v>3034</v>
      </c>
      <c r="N123" s="102"/>
      <c r="O123" s="102">
        <v>3.0</v>
      </c>
      <c r="P123" s="102" t="s">
        <v>593</v>
      </c>
      <c r="S123" s="230"/>
      <c r="T123" s="230" t="str">
        <f>IF(ISNUMBER(MATCH(B123, 'Sprint 15'!B:B, 0)), "มาจาก Sprint 15", "")</f>
        <v/>
      </c>
      <c r="U123" s="230" t="str">
        <f t="array" ref="U123">IF(ISNUMBER(MATCH(B123, 'Sprint 15'!B:B, 0)), INDEX('Sprint 15'!J:J, MATCH(B123, 'Sprint 15'!B:B, 0)), "")</f>
        <v/>
      </c>
      <c r="V123" s="230"/>
      <c r="W123" s="102" t="s">
        <v>5147</v>
      </c>
      <c r="X123" s="102"/>
      <c r="Y123" s="102"/>
      <c r="Z123" s="102"/>
      <c r="AA123" s="102"/>
      <c r="AB123" s="102"/>
      <c r="AC123" s="102"/>
      <c r="AD123" s="102"/>
      <c r="AE123" s="102"/>
      <c r="AF123" s="102"/>
    </row>
    <row r="124">
      <c r="A124" s="102" t="s">
        <v>310</v>
      </c>
      <c r="B124" s="102" t="s">
        <v>5212</v>
      </c>
      <c r="C124" s="229" t="s">
        <v>5213</v>
      </c>
      <c r="D124" s="102" t="s">
        <v>5214</v>
      </c>
      <c r="E124" s="102"/>
      <c r="F124" s="102"/>
      <c r="G124" s="102" t="s">
        <v>513</v>
      </c>
      <c r="H124" s="102" t="s">
        <v>514</v>
      </c>
      <c r="I124" s="102" t="s">
        <v>284</v>
      </c>
      <c r="J124" s="102" t="s">
        <v>63</v>
      </c>
      <c r="L124" s="229" t="s">
        <v>5211</v>
      </c>
      <c r="M124" s="229" t="s">
        <v>3034</v>
      </c>
      <c r="N124" s="102"/>
      <c r="O124" s="102">
        <v>3.0</v>
      </c>
      <c r="P124" s="102" t="s">
        <v>593</v>
      </c>
      <c r="S124" s="230"/>
      <c r="T124" s="230" t="str">
        <f>IF(ISNUMBER(MATCH(B124, 'Sprint 15'!B:B, 0)), "มาจาก Sprint 15", "")</f>
        <v/>
      </c>
      <c r="U124" s="230" t="str">
        <f t="array" ref="U124">IF(ISNUMBER(MATCH(B124, 'Sprint 15'!B:B, 0)), INDEX('Sprint 15'!J:J, MATCH(B124, 'Sprint 15'!B:B, 0)), "")</f>
        <v/>
      </c>
      <c r="V124" s="230"/>
      <c r="W124" s="102" t="s">
        <v>5147</v>
      </c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</row>
    <row r="125">
      <c r="A125" s="102" t="s">
        <v>310</v>
      </c>
      <c r="B125" s="102" t="s">
        <v>5215</v>
      </c>
      <c r="C125" s="229" t="s">
        <v>5216</v>
      </c>
      <c r="D125" s="102" t="s">
        <v>5217</v>
      </c>
      <c r="E125" s="102"/>
      <c r="F125" s="102"/>
      <c r="G125" s="102" t="s">
        <v>513</v>
      </c>
      <c r="H125" s="102" t="s">
        <v>514</v>
      </c>
      <c r="I125" s="102" t="s">
        <v>284</v>
      </c>
      <c r="J125" s="102" t="s">
        <v>63</v>
      </c>
      <c r="L125" s="229" t="s">
        <v>5211</v>
      </c>
      <c r="M125" s="229" t="s">
        <v>3034</v>
      </c>
      <c r="N125" s="102"/>
      <c r="O125" s="102">
        <v>1.0</v>
      </c>
      <c r="P125" s="102" t="s">
        <v>593</v>
      </c>
      <c r="S125" s="230"/>
      <c r="T125" s="230" t="str">
        <f>IF(ISNUMBER(MATCH(B125, 'Sprint 15'!B:B, 0)), "มาจาก Sprint 15", "")</f>
        <v/>
      </c>
      <c r="U125" s="230" t="str">
        <f t="array" ref="U125">IF(ISNUMBER(MATCH(B125, 'Sprint 15'!B:B, 0)), INDEX('Sprint 15'!J:J, MATCH(B125, 'Sprint 15'!B:B, 0)), "")</f>
        <v/>
      </c>
      <c r="V125" s="230"/>
      <c r="W125" s="102" t="s">
        <v>5147</v>
      </c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</row>
    <row r="126">
      <c r="A126" s="102" t="s">
        <v>310</v>
      </c>
      <c r="B126" s="102" t="s">
        <v>5218</v>
      </c>
      <c r="C126" s="229" t="s">
        <v>5219</v>
      </c>
      <c r="D126" s="102" t="s">
        <v>5220</v>
      </c>
      <c r="E126" s="102"/>
      <c r="F126" s="102"/>
      <c r="G126" s="102" t="s">
        <v>513</v>
      </c>
      <c r="H126" s="102" t="s">
        <v>514</v>
      </c>
      <c r="I126" s="102" t="s">
        <v>284</v>
      </c>
      <c r="J126" s="102" t="s">
        <v>63</v>
      </c>
      <c r="L126" s="229" t="s">
        <v>5211</v>
      </c>
      <c r="M126" s="229" t="s">
        <v>5561</v>
      </c>
      <c r="N126" s="102"/>
      <c r="O126" s="102">
        <v>3.0</v>
      </c>
      <c r="P126" s="102" t="s">
        <v>593</v>
      </c>
      <c r="S126" s="230"/>
      <c r="T126" s="230" t="str">
        <f>IF(ISNUMBER(MATCH(B126, 'Sprint 15'!B:B, 0)), "มาจาก Sprint 15", "")</f>
        <v/>
      </c>
      <c r="U126" s="230" t="str">
        <f t="array" ref="U126">IF(ISNUMBER(MATCH(B126, 'Sprint 15'!B:B, 0)), INDEX('Sprint 15'!J:J, MATCH(B126, 'Sprint 15'!B:B, 0)), "")</f>
        <v/>
      </c>
      <c r="V126" s="230"/>
      <c r="W126" s="102" t="s">
        <v>5147</v>
      </c>
      <c r="X126" s="102"/>
      <c r="Y126" s="102"/>
      <c r="Z126" s="230"/>
      <c r="AA126" s="102"/>
      <c r="AB126" s="102"/>
      <c r="AC126" s="102"/>
      <c r="AD126" s="102"/>
      <c r="AE126" s="102"/>
      <c r="AF126" s="102"/>
      <c r="AG126" s="102"/>
      <c r="AH126" s="102"/>
    </row>
    <row r="127">
      <c r="A127" s="102" t="s">
        <v>310</v>
      </c>
      <c r="B127" s="102" t="s">
        <v>5221</v>
      </c>
      <c r="C127" s="229" t="s">
        <v>5222</v>
      </c>
      <c r="D127" s="102" t="s">
        <v>5223</v>
      </c>
      <c r="E127" s="102"/>
      <c r="F127" s="102"/>
      <c r="G127" s="102" t="s">
        <v>513</v>
      </c>
      <c r="H127" s="102" t="s">
        <v>514</v>
      </c>
      <c r="I127" s="102" t="s">
        <v>284</v>
      </c>
      <c r="J127" s="102" t="s">
        <v>63</v>
      </c>
      <c r="L127" s="229" t="s">
        <v>5224</v>
      </c>
      <c r="M127" s="229" t="s">
        <v>5561</v>
      </c>
      <c r="N127" s="102"/>
      <c r="O127" s="102">
        <v>1.0</v>
      </c>
      <c r="P127" s="102" t="s">
        <v>593</v>
      </c>
      <c r="S127" s="230"/>
      <c r="T127" s="230" t="str">
        <f>IF(ISNUMBER(MATCH(B127, 'Sprint 15'!B:B, 0)), "มาจาก Sprint 15", "")</f>
        <v/>
      </c>
      <c r="U127" s="230" t="str">
        <f t="array" ref="U127">IF(ISNUMBER(MATCH(B127, 'Sprint 15'!B:B, 0)), INDEX('Sprint 15'!J:J, MATCH(B127, 'Sprint 15'!B:B, 0)), "")</f>
        <v/>
      </c>
      <c r="V127" s="230"/>
      <c r="W127" s="102" t="s">
        <v>5147</v>
      </c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</row>
    <row r="128">
      <c r="A128" s="102" t="s">
        <v>310</v>
      </c>
      <c r="B128" s="102" t="s">
        <v>5225</v>
      </c>
      <c r="C128" s="229" t="s">
        <v>5226</v>
      </c>
      <c r="D128" s="102" t="s">
        <v>5227</v>
      </c>
      <c r="E128" s="102"/>
      <c r="F128" s="102"/>
      <c r="G128" s="102" t="s">
        <v>513</v>
      </c>
      <c r="H128" s="102" t="s">
        <v>514</v>
      </c>
      <c r="I128" s="102" t="s">
        <v>284</v>
      </c>
      <c r="J128" s="102" t="s">
        <v>63</v>
      </c>
      <c r="L128" s="229" t="s">
        <v>5228</v>
      </c>
      <c r="M128" s="229" t="s">
        <v>5561</v>
      </c>
      <c r="N128" s="102"/>
      <c r="O128" s="102">
        <v>2.0</v>
      </c>
      <c r="P128" s="102" t="s">
        <v>593</v>
      </c>
      <c r="S128" s="230"/>
      <c r="T128" s="230" t="str">
        <f>IF(ISNUMBER(MATCH(B128, 'Sprint 15'!B:B, 0)), "มาจาก Sprint 15", "")</f>
        <v/>
      </c>
      <c r="U128" s="230" t="str">
        <f t="array" ref="U128">IF(ISNUMBER(MATCH(B128, 'Sprint 15'!B:B, 0)), INDEX('Sprint 15'!J:J, MATCH(B128, 'Sprint 15'!B:B, 0)), "")</f>
        <v/>
      </c>
      <c r="V128" s="230"/>
      <c r="W128" s="102" t="s">
        <v>5147</v>
      </c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</row>
    <row r="129">
      <c r="A129" s="102" t="s">
        <v>310</v>
      </c>
      <c r="B129" s="102" t="s">
        <v>4939</v>
      </c>
      <c r="C129" s="229" t="s">
        <v>4940</v>
      </c>
      <c r="D129" s="102" t="s">
        <v>4941</v>
      </c>
      <c r="E129" s="102"/>
      <c r="F129" s="102"/>
      <c r="G129" s="102" t="s">
        <v>513</v>
      </c>
      <c r="H129" s="102" t="s">
        <v>514</v>
      </c>
      <c r="I129" s="102" t="s">
        <v>284</v>
      </c>
      <c r="J129" s="102" t="s">
        <v>63</v>
      </c>
      <c r="L129" s="229" t="s">
        <v>4942</v>
      </c>
      <c r="M129" s="229" t="s">
        <v>5561</v>
      </c>
      <c r="N129" s="102"/>
      <c r="O129" s="102">
        <v>3.0</v>
      </c>
      <c r="P129" s="102" t="s">
        <v>593</v>
      </c>
      <c r="S129" s="230"/>
      <c r="T129" s="230" t="str">
        <f>IF(ISNUMBER(MATCH(B129, 'Sprint 15'!B:B, 0)), "มาจาก Sprint 15", "")</f>
        <v/>
      </c>
      <c r="U129" s="230" t="str">
        <f t="array" ref="U129">IF(ISNUMBER(MATCH(B129, 'Sprint 15'!B:B, 0)), INDEX('Sprint 15'!J:J, MATCH(B129, 'Sprint 15'!B:B, 0)), "")</f>
        <v/>
      </c>
      <c r="V129" s="230"/>
      <c r="W129" s="102" t="s">
        <v>5147</v>
      </c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</row>
    <row r="130">
      <c r="A130" s="102" t="s">
        <v>310</v>
      </c>
      <c r="B130" s="102" t="s">
        <v>5229</v>
      </c>
      <c r="C130" s="229" t="s">
        <v>5230</v>
      </c>
      <c r="D130" s="102" t="s">
        <v>5231</v>
      </c>
      <c r="E130" s="102"/>
      <c r="F130" s="102"/>
      <c r="G130" s="102" t="s">
        <v>513</v>
      </c>
      <c r="H130" s="102" t="s">
        <v>514</v>
      </c>
      <c r="I130" s="102" t="s">
        <v>284</v>
      </c>
      <c r="J130" s="102" t="s">
        <v>63</v>
      </c>
      <c r="L130" s="229" t="s">
        <v>5232</v>
      </c>
      <c r="M130" s="229" t="s">
        <v>5561</v>
      </c>
      <c r="N130" s="102"/>
      <c r="O130" s="102">
        <v>2.0</v>
      </c>
      <c r="P130" s="102" t="s">
        <v>593</v>
      </c>
      <c r="S130" s="230"/>
      <c r="T130" s="230" t="str">
        <f>IF(ISNUMBER(MATCH(B130, 'Sprint 15'!B:B, 0)), "มาจาก Sprint 15", "")</f>
        <v/>
      </c>
      <c r="U130" s="230" t="str">
        <f t="array" ref="U130">IF(ISNUMBER(MATCH(B130, 'Sprint 15'!B:B, 0)), INDEX('Sprint 15'!J:J, MATCH(B130, 'Sprint 15'!B:B, 0)), "")</f>
        <v/>
      </c>
      <c r="V130" s="230"/>
      <c r="W130" s="102" t="s">
        <v>5147</v>
      </c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</row>
    <row r="131">
      <c r="A131" s="102" t="s">
        <v>310</v>
      </c>
      <c r="B131" s="102" t="s">
        <v>5233</v>
      </c>
      <c r="C131" s="229" t="s">
        <v>5234</v>
      </c>
      <c r="D131" s="102" t="s">
        <v>5235</v>
      </c>
      <c r="E131" s="102"/>
      <c r="F131" s="102"/>
      <c r="G131" s="102" t="s">
        <v>513</v>
      </c>
      <c r="H131" s="102" t="s">
        <v>514</v>
      </c>
      <c r="I131" s="102" t="s">
        <v>284</v>
      </c>
      <c r="J131" s="102" t="s">
        <v>63</v>
      </c>
      <c r="L131" s="229" t="s">
        <v>5236</v>
      </c>
      <c r="M131" s="229" t="s">
        <v>5561</v>
      </c>
      <c r="N131" s="102"/>
      <c r="O131" s="102">
        <v>1.0</v>
      </c>
      <c r="P131" s="102" t="s">
        <v>593</v>
      </c>
      <c r="S131" s="230"/>
      <c r="T131" s="230" t="str">
        <f>IF(ISNUMBER(MATCH(B131, 'Sprint 15'!B:B, 0)), "มาจาก Sprint 15", "")</f>
        <v/>
      </c>
      <c r="U131" s="230" t="str">
        <f t="array" ref="U131">IF(ISNUMBER(MATCH(B131, 'Sprint 15'!B:B, 0)), INDEX('Sprint 15'!J:J, MATCH(B131, 'Sprint 15'!B:B, 0)), "")</f>
        <v/>
      </c>
      <c r="V131" s="230"/>
      <c r="W131" s="102" t="s">
        <v>5147</v>
      </c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</row>
    <row r="132">
      <c r="A132" s="102" t="s">
        <v>332</v>
      </c>
      <c r="B132" s="102" t="s">
        <v>4949</v>
      </c>
      <c r="C132" s="229" t="s">
        <v>4950</v>
      </c>
      <c r="D132" s="102" t="s">
        <v>4951</v>
      </c>
      <c r="E132" s="102" t="s">
        <v>353</v>
      </c>
      <c r="F132" s="102" t="s">
        <v>354</v>
      </c>
      <c r="G132" s="102" t="s">
        <v>353</v>
      </c>
      <c r="H132" s="102" t="s">
        <v>354</v>
      </c>
      <c r="I132" s="102" t="s">
        <v>284</v>
      </c>
      <c r="J132" s="102" t="s">
        <v>1738</v>
      </c>
      <c r="L132" s="229" t="s">
        <v>4952</v>
      </c>
      <c r="M132" s="229" t="s">
        <v>5403</v>
      </c>
      <c r="O132" s="102">
        <v>2.0</v>
      </c>
      <c r="P132" s="102" t="s">
        <v>593</v>
      </c>
      <c r="S132" s="230"/>
      <c r="T132" s="230" t="str">
        <f>IF(ISNUMBER(MATCH(B132, 'Sprint 15'!B:B, 0)), "มาจาก Sprint 15", "")</f>
        <v>มาจาก Sprint 15</v>
      </c>
      <c r="U132" s="230" t="str">
        <f t="array" ref="U132">IF(ISNUMBER(MATCH(B132, 'Sprint 15'!B:B, 0)), INDEX('Sprint 15'!J:J, MATCH(B132, 'Sprint 15'!B:B, 0)), "")</f>
        <v>Pass : Waiting for deployment</v>
      </c>
      <c r="V132" s="230"/>
      <c r="W132" s="102" t="s">
        <v>4953</v>
      </c>
      <c r="X132" s="102" t="s">
        <v>4954</v>
      </c>
      <c r="Y132" s="102" t="s">
        <v>4919</v>
      </c>
      <c r="Z132" s="102" t="s">
        <v>4657</v>
      </c>
      <c r="AA132" s="102" t="s">
        <v>2266</v>
      </c>
      <c r="AB132" s="102" t="s">
        <v>2267</v>
      </c>
      <c r="AC132" s="102"/>
      <c r="AD132" s="102"/>
      <c r="AE132" s="102"/>
      <c r="AF132" s="102"/>
      <c r="AG132" s="102"/>
      <c r="AH132" s="102"/>
      <c r="AI132" s="102"/>
    </row>
    <row r="133">
      <c r="A133" s="102" t="s">
        <v>310</v>
      </c>
      <c r="B133" s="102" t="s">
        <v>5562</v>
      </c>
      <c r="C133" s="229" t="s">
        <v>5563</v>
      </c>
      <c r="D133" s="102" t="s">
        <v>5564</v>
      </c>
      <c r="E133" s="102" t="s">
        <v>556</v>
      </c>
      <c r="F133" s="102" t="s">
        <v>557</v>
      </c>
      <c r="G133" s="102" t="s">
        <v>282</v>
      </c>
      <c r="H133" s="102" t="s">
        <v>283</v>
      </c>
      <c r="I133" s="102" t="s">
        <v>284</v>
      </c>
      <c r="J133" s="102" t="s">
        <v>454</v>
      </c>
      <c r="L133" s="229" t="s">
        <v>5565</v>
      </c>
      <c r="M133" s="229" t="s">
        <v>5566</v>
      </c>
      <c r="N133" s="229" t="s">
        <v>5567</v>
      </c>
      <c r="O133" s="102">
        <v>2.0</v>
      </c>
      <c r="P133" s="102" t="s">
        <v>5547</v>
      </c>
      <c r="S133" s="102">
        <v>0.0</v>
      </c>
      <c r="T133" s="230" t="str">
        <f>IF(ISNUMBER(MATCH(B133, 'Sprint 15'!B:B, 0)), "มาจาก Sprint 15", "")</f>
        <v>มาจาก Sprint 15</v>
      </c>
      <c r="U133" s="230" t="str">
        <f t="array" ref="U133">IF(ISNUMBER(MATCH(B133, 'Sprint 15'!B:B, 0)), INDEX('Sprint 15'!J:J, MATCH(B133, 'Sprint 15'!B:B, 0)), "")</f>
        <v>Blocked</v>
      </c>
      <c r="V133" s="102">
        <v>14400.0</v>
      </c>
      <c r="W133" s="102" t="s">
        <v>4961</v>
      </c>
      <c r="X133" s="102" t="s">
        <v>4953</v>
      </c>
      <c r="Y133" s="102" t="s">
        <v>4954</v>
      </c>
      <c r="Z133" s="102" t="s">
        <v>4919</v>
      </c>
      <c r="AA133" s="102" t="s">
        <v>4657</v>
      </c>
      <c r="AB133" s="102" t="s">
        <v>2266</v>
      </c>
      <c r="AC133" s="102" t="s">
        <v>2267</v>
      </c>
    </row>
    <row r="134">
      <c r="A134" s="102" t="s">
        <v>310</v>
      </c>
      <c r="B134" s="102" t="s">
        <v>5568</v>
      </c>
      <c r="C134" s="229" t="s">
        <v>5569</v>
      </c>
      <c r="D134" s="102" t="s">
        <v>5570</v>
      </c>
      <c r="E134" s="102" t="s">
        <v>556</v>
      </c>
      <c r="F134" s="102" t="s">
        <v>557</v>
      </c>
      <c r="G134" s="102" t="s">
        <v>316</v>
      </c>
      <c r="H134" s="102" t="s">
        <v>317</v>
      </c>
      <c r="I134" s="102" t="s">
        <v>515</v>
      </c>
      <c r="J134" s="102" t="s">
        <v>454</v>
      </c>
      <c r="L134" s="229" t="s">
        <v>5571</v>
      </c>
      <c r="M134" s="229" t="s">
        <v>5572</v>
      </c>
      <c r="N134" s="229" t="s">
        <v>5573</v>
      </c>
      <c r="O134" s="102">
        <v>5.0</v>
      </c>
      <c r="P134" s="102" t="s">
        <v>1756</v>
      </c>
      <c r="S134" s="230"/>
      <c r="T134" s="230" t="str">
        <f>IF(ISNUMBER(MATCH(B134, 'Sprint 15'!B:B, 0)), "มาจาก Sprint 15", "")</f>
        <v/>
      </c>
      <c r="U134" s="230" t="str">
        <f t="array" ref="U134">IF(ISNUMBER(MATCH(B134, 'Sprint 15'!B:B, 0)), INDEX('Sprint 15'!J:J, MATCH(B134, 'Sprint 15'!B:B, 0)), "")</f>
        <v/>
      </c>
      <c r="V134" s="230"/>
      <c r="W134" s="102" t="s">
        <v>4961</v>
      </c>
      <c r="X134" s="102" t="s">
        <v>4953</v>
      </c>
      <c r="Y134" s="102" t="s">
        <v>4954</v>
      </c>
      <c r="Z134" s="102" t="s">
        <v>2267</v>
      </c>
    </row>
    <row r="135">
      <c r="A135" s="102" t="s">
        <v>630</v>
      </c>
      <c r="B135" s="102" t="s">
        <v>1357</v>
      </c>
      <c r="C135" s="229" t="s">
        <v>1358</v>
      </c>
      <c r="D135" s="102" t="s">
        <v>1359</v>
      </c>
      <c r="G135" s="102" t="s">
        <v>314</v>
      </c>
      <c r="H135" s="102" t="s">
        <v>315</v>
      </c>
      <c r="I135" s="102" t="s">
        <v>284</v>
      </c>
      <c r="J135" s="102" t="s">
        <v>63</v>
      </c>
      <c r="L135" s="229" t="s">
        <v>1360</v>
      </c>
      <c r="M135" s="229" t="s">
        <v>5554</v>
      </c>
      <c r="O135" s="230"/>
      <c r="S135" s="230"/>
      <c r="T135" s="230" t="str">
        <f>IF(ISNUMBER(MATCH(B135, 'Sprint 15'!B:B, 0)), "มาจาก Sprint 15", "")</f>
        <v>มาจาก Sprint 15</v>
      </c>
      <c r="U135" s="230" t="str">
        <f t="array" ref="U135">IF(ISNUMBER(MATCH(B135, 'Sprint 15'!B:B, 0)), INDEX('Sprint 15'!J:J, MATCH(B135, 'Sprint 15'!B:B, 0)), "")</f>
        <v>To Do</v>
      </c>
      <c r="V135" s="230"/>
      <c r="W135" s="102" t="s">
        <v>1362</v>
      </c>
      <c r="X135" s="102" t="s">
        <v>1363</v>
      </c>
      <c r="Y135" s="102" t="s">
        <v>1364</v>
      </c>
      <c r="Z135" s="102" t="s">
        <v>1365</v>
      </c>
      <c r="AA135" s="102" t="s">
        <v>1366</v>
      </c>
      <c r="AB135" s="102" t="s">
        <v>1367</v>
      </c>
      <c r="AC135" s="102" t="s">
        <v>1368</v>
      </c>
      <c r="AD135" s="102" t="s">
        <v>1369</v>
      </c>
      <c r="AE135" s="102" t="s">
        <v>1370</v>
      </c>
    </row>
    <row r="136">
      <c r="A136" s="102" t="s">
        <v>310</v>
      </c>
      <c r="B136" s="102" t="s">
        <v>4962</v>
      </c>
      <c r="C136" s="229" t="s">
        <v>4963</v>
      </c>
      <c r="D136" s="102" t="s">
        <v>4964</v>
      </c>
      <c r="E136" s="102" t="s">
        <v>556</v>
      </c>
      <c r="F136" s="102" t="s">
        <v>557</v>
      </c>
      <c r="G136" s="102" t="s">
        <v>353</v>
      </c>
      <c r="H136" s="102" t="s">
        <v>354</v>
      </c>
      <c r="I136" s="102" t="s">
        <v>284</v>
      </c>
      <c r="J136" s="102" t="s">
        <v>454</v>
      </c>
      <c r="L136" s="229" t="s">
        <v>4965</v>
      </c>
      <c r="M136" s="229" t="s">
        <v>5403</v>
      </c>
      <c r="N136" s="229" t="s">
        <v>4966</v>
      </c>
      <c r="O136" s="102">
        <v>1.0</v>
      </c>
      <c r="S136" s="102">
        <v>0.0</v>
      </c>
      <c r="T136" s="230" t="str">
        <f>IF(ISNUMBER(MATCH(B136, 'Sprint 15'!B:B, 0)), "มาจาก Sprint 15", "")</f>
        <v>มาจาก Sprint 15</v>
      </c>
      <c r="U136" s="230" t="str">
        <f t="array" ref="U136">IF(ISNUMBER(MATCH(B136, 'Sprint 15'!B:B, 0)), INDEX('Sprint 15'!J:J, MATCH(B136, 'Sprint 15'!B:B, 0)), "")</f>
        <v>Ready To Test</v>
      </c>
      <c r="V136" s="102">
        <v>7200.0</v>
      </c>
      <c r="W136" s="102" t="s">
        <v>4967</v>
      </c>
      <c r="X136" s="102" t="s">
        <v>4968</v>
      </c>
      <c r="Y136" s="102" t="s">
        <v>4960</v>
      </c>
      <c r="Z136" s="102" t="s">
        <v>4961</v>
      </c>
      <c r="AA136" s="102" t="s">
        <v>4953</v>
      </c>
      <c r="AB136" s="102" t="s">
        <v>4954</v>
      </c>
      <c r="AC136" s="102" t="s">
        <v>4919</v>
      </c>
      <c r="AD136" s="102" t="s">
        <v>4657</v>
      </c>
      <c r="AE136" s="102" t="s">
        <v>2266</v>
      </c>
      <c r="AF136" s="102" t="s">
        <v>2267</v>
      </c>
    </row>
    <row r="137">
      <c r="O137" s="230"/>
      <c r="S137" s="230"/>
      <c r="T137" s="230"/>
      <c r="U137" s="230"/>
      <c r="V137" s="230"/>
      <c r="W137" s="230"/>
      <c r="X137" s="230"/>
      <c r="Y137" s="230"/>
      <c r="Z137" s="230"/>
    </row>
    <row r="138">
      <c r="O138" s="230"/>
      <c r="S138" s="230"/>
      <c r="T138" s="230"/>
      <c r="U138" s="230"/>
      <c r="V138" s="230"/>
      <c r="W138" s="230"/>
      <c r="X138" s="230"/>
      <c r="Y138" s="230"/>
      <c r="Z138" s="230"/>
    </row>
    <row r="139">
      <c r="O139" s="230"/>
      <c r="S139" s="230"/>
      <c r="T139" s="230"/>
      <c r="U139" s="230"/>
      <c r="V139" s="230"/>
      <c r="W139" s="230"/>
      <c r="X139" s="230"/>
      <c r="Y139" s="230"/>
      <c r="Z139" s="230"/>
    </row>
    <row r="140">
      <c r="O140" s="230"/>
      <c r="S140" s="230"/>
      <c r="T140" s="230"/>
      <c r="U140" s="230"/>
      <c r="V140" s="230"/>
      <c r="W140" s="230"/>
      <c r="X140" s="230"/>
      <c r="Y140" s="230"/>
      <c r="Z140" s="230"/>
    </row>
    <row r="141">
      <c r="O141" s="230"/>
      <c r="S141" s="230"/>
      <c r="T141" s="230"/>
      <c r="U141" s="230"/>
      <c r="V141" s="230"/>
      <c r="W141" s="230"/>
      <c r="X141" s="230"/>
      <c r="Y141" s="230"/>
      <c r="Z141" s="230"/>
    </row>
    <row r="142">
      <c r="O142" s="230"/>
      <c r="S142" s="230"/>
      <c r="T142" s="230"/>
      <c r="U142" s="230"/>
      <c r="V142" s="230"/>
      <c r="W142" s="230"/>
      <c r="X142" s="230"/>
      <c r="Y142" s="230"/>
      <c r="Z142" s="230"/>
    </row>
    <row r="143">
      <c r="O143" s="230"/>
      <c r="S143" s="230"/>
      <c r="T143" s="230"/>
      <c r="U143" s="230"/>
      <c r="V143" s="230"/>
      <c r="W143" s="230"/>
      <c r="X143" s="230"/>
      <c r="Y143" s="230"/>
      <c r="Z143" s="230"/>
    </row>
    <row r="144">
      <c r="O144" s="230"/>
      <c r="S144" s="230"/>
      <c r="T144" s="230"/>
      <c r="U144" s="230"/>
      <c r="V144" s="230"/>
      <c r="W144" s="230"/>
      <c r="X144" s="230"/>
      <c r="Y144" s="230"/>
      <c r="Z144" s="230"/>
    </row>
    <row r="145">
      <c r="O145" s="230"/>
      <c r="S145" s="230"/>
      <c r="T145" s="230"/>
      <c r="U145" s="230"/>
      <c r="V145" s="230"/>
      <c r="W145" s="230"/>
      <c r="X145" s="230"/>
      <c r="Y145" s="230"/>
      <c r="Z145" s="230"/>
    </row>
    <row r="146">
      <c r="O146" s="230"/>
      <c r="S146" s="230"/>
      <c r="T146" s="230"/>
      <c r="U146" s="230"/>
      <c r="V146" s="230"/>
      <c r="W146" s="230"/>
      <c r="X146" s="230"/>
      <c r="Y146" s="230"/>
      <c r="Z146" s="230"/>
    </row>
    <row r="147">
      <c r="O147" s="230"/>
      <c r="S147" s="230"/>
      <c r="T147" s="230"/>
      <c r="U147" s="230"/>
      <c r="V147" s="230"/>
      <c r="W147" s="230"/>
      <c r="X147" s="230"/>
      <c r="Y147" s="230"/>
      <c r="Z147" s="230"/>
    </row>
    <row r="148">
      <c r="O148" s="230"/>
      <c r="S148" s="230"/>
      <c r="T148" s="230"/>
      <c r="U148" s="230"/>
      <c r="V148" s="230"/>
      <c r="W148" s="230"/>
      <c r="X148" s="230"/>
      <c r="Y148" s="230"/>
      <c r="Z148" s="230"/>
    </row>
    <row r="149">
      <c r="O149" s="230"/>
      <c r="S149" s="230"/>
      <c r="T149" s="230"/>
      <c r="U149" s="230"/>
      <c r="V149" s="230"/>
      <c r="W149" s="230"/>
      <c r="X149" s="230"/>
      <c r="Y149" s="230"/>
      <c r="Z149" s="230"/>
    </row>
    <row r="150">
      <c r="O150" s="230"/>
      <c r="S150" s="230"/>
      <c r="T150" s="230"/>
      <c r="U150" s="230"/>
      <c r="V150" s="230"/>
      <c r="W150" s="230"/>
      <c r="X150" s="230"/>
      <c r="Y150" s="230"/>
      <c r="Z150" s="230"/>
    </row>
    <row r="151">
      <c r="O151" s="230"/>
      <c r="S151" s="230"/>
      <c r="T151" s="230"/>
      <c r="U151" s="230"/>
      <c r="V151" s="230"/>
      <c r="W151" s="230"/>
      <c r="X151" s="230"/>
      <c r="Y151" s="230"/>
      <c r="Z151" s="230"/>
    </row>
    <row r="152">
      <c r="O152" s="230"/>
      <c r="S152" s="230"/>
      <c r="T152" s="230"/>
      <c r="U152" s="230"/>
      <c r="V152" s="230"/>
      <c r="W152" s="230"/>
      <c r="X152" s="230"/>
      <c r="Y152" s="230"/>
      <c r="Z152" s="230"/>
    </row>
    <row r="153">
      <c r="O153" s="230"/>
      <c r="S153" s="230"/>
      <c r="T153" s="230"/>
      <c r="U153" s="230"/>
      <c r="V153" s="230"/>
      <c r="W153" s="230"/>
      <c r="X153" s="230"/>
      <c r="Y153" s="230"/>
      <c r="Z153" s="230"/>
    </row>
    <row r="154">
      <c r="O154" s="230"/>
      <c r="S154" s="230"/>
      <c r="T154" s="230"/>
      <c r="U154" s="230"/>
      <c r="V154" s="230"/>
      <c r="W154" s="230"/>
      <c r="X154" s="230"/>
      <c r="Y154" s="230"/>
      <c r="Z154" s="230"/>
    </row>
    <row r="155">
      <c r="O155" s="230"/>
      <c r="S155" s="230"/>
      <c r="T155" s="230"/>
      <c r="U155" s="230"/>
      <c r="V155" s="230"/>
      <c r="W155" s="230"/>
      <c r="X155" s="230"/>
      <c r="Y155" s="230"/>
      <c r="Z155" s="230"/>
    </row>
    <row r="156">
      <c r="O156" s="230"/>
      <c r="S156" s="230"/>
      <c r="T156" s="230"/>
      <c r="U156" s="230"/>
      <c r="V156" s="230"/>
      <c r="W156" s="230"/>
      <c r="X156" s="230"/>
      <c r="Y156" s="230"/>
      <c r="Z156" s="230"/>
    </row>
    <row r="157">
      <c r="O157" s="230"/>
      <c r="S157" s="230"/>
      <c r="T157" s="230"/>
      <c r="U157" s="230"/>
      <c r="V157" s="230"/>
      <c r="W157" s="230"/>
      <c r="X157" s="230"/>
      <c r="Y157" s="230"/>
      <c r="Z157" s="230"/>
    </row>
    <row r="158">
      <c r="O158" s="230"/>
      <c r="S158" s="230"/>
      <c r="T158" s="230"/>
      <c r="U158" s="230"/>
      <c r="V158" s="230"/>
      <c r="W158" s="230"/>
      <c r="X158" s="230"/>
      <c r="Y158" s="230"/>
      <c r="Z158" s="230"/>
    </row>
    <row r="159">
      <c r="O159" s="230"/>
      <c r="S159" s="230"/>
      <c r="T159" s="230"/>
      <c r="U159" s="230"/>
      <c r="V159" s="230"/>
      <c r="W159" s="230"/>
      <c r="X159" s="230"/>
      <c r="Y159" s="230"/>
      <c r="Z159" s="230"/>
    </row>
    <row r="160">
      <c r="O160" s="230"/>
      <c r="S160" s="230"/>
      <c r="T160" s="230"/>
      <c r="U160" s="230"/>
      <c r="V160" s="230"/>
      <c r="W160" s="230"/>
      <c r="X160" s="230"/>
      <c r="Y160" s="230"/>
      <c r="Z160" s="230"/>
    </row>
    <row r="161">
      <c r="O161" s="230"/>
      <c r="S161" s="230"/>
      <c r="T161" s="230"/>
      <c r="U161" s="230"/>
      <c r="V161" s="230"/>
      <c r="W161" s="230"/>
      <c r="X161" s="230"/>
      <c r="Y161" s="230"/>
      <c r="Z161" s="230"/>
    </row>
    <row r="162">
      <c r="O162" s="230"/>
      <c r="S162" s="230"/>
      <c r="T162" s="230"/>
      <c r="U162" s="230"/>
      <c r="V162" s="230"/>
      <c r="W162" s="230"/>
      <c r="X162" s="230"/>
      <c r="Y162" s="230"/>
      <c r="Z162" s="230"/>
    </row>
    <row r="163">
      <c r="O163" s="230"/>
      <c r="S163" s="230"/>
      <c r="T163" s="230"/>
      <c r="U163" s="230"/>
      <c r="V163" s="230"/>
      <c r="W163" s="230"/>
      <c r="X163" s="230"/>
      <c r="Y163" s="230"/>
      <c r="Z163" s="230"/>
    </row>
    <row r="164">
      <c r="O164" s="230"/>
      <c r="S164" s="230"/>
      <c r="T164" s="230"/>
      <c r="U164" s="230"/>
      <c r="V164" s="230"/>
      <c r="W164" s="230"/>
      <c r="X164" s="230"/>
      <c r="Y164" s="230"/>
      <c r="Z164" s="230"/>
    </row>
    <row r="165">
      <c r="O165" s="230"/>
      <c r="S165" s="230"/>
      <c r="T165" s="230"/>
      <c r="U165" s="230"/>
      <c r="V165" s="230"/>
      <c r="W165" s="230"/>
      <c r="X165" s="230"/>
      <c r="Y165" s="230"/>
      <c r="Z165" s="230"/>
    </row>
    <row r="166">
      <c r="O166" s="230"/>
      <c r="S166" s="230"/>
      <c r="T166" s="230"/>
      <c r="U166" s="230"/>
      <c r="V166" s="230"/>
      <c r="W166" s="230"/>
      <c r="X166" s="230"/>
      <c r="Y166" s="230"/>
      <c r="Z166" s="230"/>
    </row>
    <row r="167">
      <c r="O167" s="230"/>
      <c r="S167" s="230"/>
      <c r="T167" s="230"/>
      <c r="U167" s="230"/>
      <c r="V167" s="230"/>
      <c r="W167" s="230"/>
      <c r="X167" s="230"/>
      <c r="Y167" s="230"/>
      <c r="Z167" s="230"/>
    </row>
    <row r="168">
      <c r="O168" s="230"/>
      <c r="S168" s="230"/>
      <c r="T168" s="230"/>
      <c r="U168" s="230"/>
      <c r="V168" s="230"/>
      <c r="W168" s="230"/>
      <c r="X168" s="230"/>
      <c r="Y168" s="230"/>
      <c r="Z168" s="230"/>
    </row>
    <row r="169">
      <c r="O169" s="230"/>
      <c r="S169" s="230"/>
      <c r="T169" s="230"/>
      <c r="U169" s="230"/>
      <c r="V169" s="230"/>
      <c r="W169" s="230"/>
      <c r="X169" s="230"/>
      <c r="Y169" s="230"/>
      <c r="Z169" s="230"/>
    </row>
    <row r="170">
      <c r="O170" s="230"/>
      <c r="S170" s="230"/>
      <c r="T170" s="230"/>
      <c r="U170" s="230"/>
      <c r="V170" s="230"/>
      <c r="W170" s="230"/>
      <c r="X170" s="230"/>
      <c r="Y170" s="230"/>
      <c r="Z170" s="230"/>
    </row>
    <row r="171">
      <c r="O171" s="230"/>
      <c r="S171" s="230"/>
      <c r="T171" s="230"/>
      <c r="U171" s="230"/>
      <c r="V171" s="230"/>
      <c r="W171" s="230"/>
      <c r="X171" s="230"/>
      <c r="Y171" s="230"/>
      <c r="Z171" s="230"/>
    </row>
    <row r="172">
      <c r="O172" s="230"/>
      <c r="S172" s="230"/>
      <c r="T172" s="230"/>
      <c r="U172" s="230"/>
      <c r="V172" s="230"/>
      <c r="W172" s="230"/>
      <c r="X172" s="230"/>
      <c r="Y172" s="230"/>
      <c r="Z172" s="230"/>
    </row>
    <row r="173">
      <c r="O173" s="230"/>
      <c r="S173" s="230"/>
      <c r="T173" s="230"/>
      <c r="U173" s="230"/>
      <c r="V173" s="230"/>
      <c r="W173" s="230"/>
      <c r="X173" s="230"/>
      <c r="Y173" s="230"/>
      <c r="Z173" s="230"/>
    </row>
    <row r="174">
      <c r="O174" s="230"/>
      <c r="S174" s="230"/>
      <c r="T174" s="230"/>
      <c r="U174" s="230"/>
      <c r="V174" s="230"/>
      <c r="W174" s="230"/>
      <c r="X174" s="230"/>
      <c r="Y174" s="230"/>
      <c r="Z174" s="230"/>
    </row>
    <row r="175">
      <c r="O175" s="230"/>
      <c r="S175" s="230"/>
      <c r="T175" s="230"/>
      <c r="U175" s="230"/>
      <c r="V175" s="230"/>
      <c r="W175" s="230"/>
      <c r="X175" s="230"/>
      <c r="Y175" s="230"/>
      <c r="Z175" s="230"/>
    </row>
    <row r="176">
      <c r="O176" s="230"/>
      <c r="S176" s="230"/>
      <c r="T176" s="230"/>
      <c r="U176" s="230"/>
      <c r="V176" s="230"/>
      <c r="W176" s="230"/>
      <c r="X176" s="230"/>
      <c r="Y176" s="230"/>
      <c r="Z176" s="230"/>
    </row>
    <row r="177">
      <c r="O177" s="230"/>
      <c r="S177" s="230"/>
      <c r="T177" s="230"/>
      <c r="U177" s="230"/>
      <c r="V177" s="230"/>
      <c r="W177" s="230"/>
      <c r="X177" s="230"/>
      <c r="Y177" s="230"/>
      <c r="Z177" s="230"/>
    </row>
    <row r="178">
      <c r="O178" s="230"/>
      <c r="S178" s="230"/>
      <c r="T178" s="230"/>
      <c r="U178" s="230"/>
      <c r="V178" s="230"/>
      <c r="W178" s="230"/>
      <c r="X178" s="230"/>
      <c r="Y178" s="230"/>
      <c r="Z178" s="230"/>
    </row>
    <row r="179">
      <c r="O179" s="230"/>
      <c r="S179" s="230"/>
      <c r="T179" s="230"/>
      <c r="U179" s="230"/>
      <c r="V179" s="230"/>
      <c r="W179" s="230"/>
      <c r="X179" s="230"/>
      <c r="Y179" s="230"/>
      <c r="Z179" s="230"/>
    </row>
    <row r="180">
      <c r="O180" s="230"/>
      <c r="S180" s="230"/>
      <c r="T180" s="230"/>
      <c r="U180" s="230"/>
      <c r="V180" s="230"/>
      <c r="W180" s="230"/>
      <c r="X180" s="230"/>
      <c r="Y180" s="230"/>
      <c r="Z180" s="230"/>
    </row>
    <row r="181">
      <c r="O181" s="230"/>
      <c r="S181" s="230"/>
      <c r="T181" s="230"/>
      <c r="U181" s="230"/>
      <c r="V181" s="230"/>
      <c r="W181" s="230"/>
      <c r="X181" s="230"/>
      <c r="Y181" s="230"/>
      <c r="Z181" s="230"/>
    </row>
    <row r="182">
      <c r="O182" s="230"/>
      <c r="S182" s="230"/>
      <c r="T182" s="230"/>
      <c r="U182" s="230"/>
      <c r="V182" s="230"/>
      <c r="W182" s="230"/>
      <c r="X182" s="230"/>
      <c r="Y182" s="230"/>
      <c r="Z182" s="230"/>
    </row>
    <row r="183">
      <c r="O183" s="230"/>
      <c r="S183" s="230"/>
      <c r="T183" s="230"/>
      <c r="U183" s="230"/>
      <c r="V183" s="230"/>
      <c r="W183" s="230"/>
      <c r="X183" s="230"/>
      <c r="Y183" s="230"/>
      <c r="Z183" s="230"/>
    </row>
    <row r="184">
      <c r="O184" s="230"/>
      <c r="S184" s="230"/>
      <c r="T184" s="230"/>
      <c r="U184" s="230"/>
      <c r="V184" s="230"/>
      <c r="W184" s="230"/>
      <c r="X184" s="230"/>
      <c r="Y184" s="230"/>
      <c r="Z184" s="230"/>
    </row>
    <row r="185">
      <c r="O185" s="230"/>
      <c r="S185" s="230"/>
      <c r="T185" s="230"/>
      <c r="U185" s="230"/>
      <c r="V185" s="230"/>
      <c r="W185" s="230"/>
      <c r="X185" s="230"/>
      <c r="Y185" s="230"/>
      <c r="Z185" s="230"/>
    </row>
    <row r="186">
      <c r="O186" s="230"/>
      <c r="S186" s="230"/>
      <c r="T186" s="230"/>
      <c r="U186" s="230"/>
      <c r="V186" s="230"/>
      <c r="W186" s="230"/>
      <c r="X186" s="230"/>
      <c r="Y186" s="230"/>
      <c r="Z186" s="230"/>
    </row>
    <row r="187">
      <c r="O187" s="230"/>
      <c r="S187" s="230"/>
      <c r="T187" s="230"/>
      <c r="U187" s="230"/>
      <c r="V187" s="230"/>
      <c r="W187" s="230"/>
      <c r="X187" s="230"/>
      <c r="Y187" s="230"/>
      <c r="Z187" s="230"/>
    </row>
    <row r="188">
      <c r="O188" s="230"/>
      <c r="S188" s="230"/>
      <c r="T188" s="230"/>
      <c r="U188" s="230"/>
      <c r="V188" s="230"/>
      <c r="W188" s="230"/>
      <c r="X188" s="230"/>
      <c r="Y188" s="230"/>
      <c r="Z188" s="230"/>
    </row>
    <row r="189">
      <c r="O189" s="230"/>
      <c r="S189" s="230"/>
      <c r="T189" s="230"/>
      <c r="U189" s="230"/>
      <c r="V189" s="230"/>
      <c r="W189" s="230"/>
      <c r="X189" s="230"/>
      <c r="Y189" s="230"/>
      <c r="Z189" s="230"/>
    </row>
    <row r="190">
      <c r="O190" s="230"/>
      <c r="S190" s="230"/>
      <c r="T190" s="230"/>
      <c r="U190" s="230"/>
      <c r="V190" s="230"/>
      <c r="W190" s="230"/>
      <c r="X190" s="230"/>
      <c r="Y190" s="230"/>
      <c r="Z190" s="230"/>
    </row>
    <row r="191">
      <c r="O191" s="230"/>
      <c r="S191" s="230"/>
      <c r="T191" s="230"/>
      <c r="U191" s="230"/>
      <c r="V191" s="230"/>
      <c r="W191" s="230"/>
      <c r="X191" s="230"/>
      <c r="Y191" s="230"/>
      <c r="Z191" s="230"/>
    </row>
    <row r="192">
      <c r="O192" s="230"/>
      <c r="S192" s="230"/>
      <c r="T192" s="230"/>
      <c r="U192" s="230"/>
      <c r="V192" s="230"/>
      <c r="W192" s="230"/>
      <c r="X192" s="230"/>
      <c r="Y192" s="230"/>
      <c r="Z192" s="230"/>
    </row>
    <row r="193">
      <c r="O193" s="230"/>
      <c r="S193" s="230"/>
      <c r="T193" s="230"/>
      <c r="U193" s="230"/>
      <c r="V193" s="230"/>
      <c r="W193" s="230"/>
      <c r="X193" s="230"/>
      <c r="Y193" s="230"/>
      <c r="Z193" s="230"/>
    </row>
    <row r="194">
      <c r="O194" s="230"/>
      <c r="S194" s="230"/>
      <c r="T194" s="230"/>
      <c r="U194" s="230"/>
      <c r="V194" s="230"/>
      <c r="W194" s="230"/>
      <c r="X194" s="230"/>
      <c r="Y194" s="230"/>
      <c r="Z194" s="230"/>
    </row>
    <row r="195">
      <c r="O195" s="230"/>
      <c r="S195" s="230"/>
      <c r="T195" s="230"/>
      <c r="U195" s="230"/>
      <c r="V195" s="230"/>
      <c r="W195" s="230"/>
      <c r="X195" s="230"/>
      <c r="Y195" s="230"/>
      <c r="Z195" s="230"/>
    </row>
    <row r="196">
      <c r="O196" s="230"/>
      <c r="S196" s="230"/>
      <c r="T196" s="230"/>
      <c r="U196" s="230"/>
      <c r="V196" s="230"/>
      <c r="W196" s="230"/>
      <c r="X196" s="230"/>
      <c r="Y196" s="230"/>
      <c r="Z196" s="230"/>
    </row>
    <row r="197">
      <c r="O197" s="230"/>
      <c r="S197" s="230"/>
      <c r="T197" s="230"/>
      <c r="U197" s="230"/>
      <c r="V197" s="230"/>
      <c r="W197" s="230"/>
      <c r="X197" s="230"/>
      <c r="Y197" s="230"/>
      <c r="Z197" s="230"/>
    </row>
    <row r="198">
      <c r="O198" s="230"/>
      <c r="S198" s="230"/>
      <c r="T198" s="230"/>
      <c r="U198" s="230"/>
      <c r="V198" s="230"/>
      <c r="W198" s="230"/>
      <c r="X198" s="230"/>
      <c r="Y198" s="230"/>
      <c r="Z198" s="230"/>
    </row>
    <row r="199">
      <c r="O199" s="230"/>
      <c r="S199" s="230"/>
      <c r="T199" s="230"/>
      <c r="U199" s="230"/>
      <c r="V199" s="230"/>
      <c r="W199" s="230"/>
      <c r="X199" s="230"/>
      <c r="Y199" s="230"/>
      <c r="Z199" s="230"/>
    </row>
    <row r="200">
      <c r="O200" s="230"/>
      <c r="S200" s="230"/>
      <c r="T200" s="230"/>
      <c r="U200" s="230"/>
      <c r="V200" s="230"/>
      <c r="W200" s="230"/>
      <c r="X200" s="230"/>
      <c r="Y200" s="230"/>
      <c r="Z200" s="230"/>
    </row>
    <row r="201">
      <c r="O201" s="230"/>
      <c r="S201" s="230"/>
      <c r="T201" s="230"/>
      <c r="U201" s="230"/>
      <c r="V201" s="230"/>
      <c r="W201" s="230"/>
      <c r="X201" s="230"/>
      <c r="Y201" s="230"/>
      <c r="Z201" s="230"/>
    </row>
    <row r="202">
      <c r="O202" s="230"/>
      <c r="S202" s="230"/>
      <c r="T202" s="230"/>
      <c r="U202" s="230"/>
      <c r="V202" s="230"/>
      <c r="W202" s="230"/>
      <c r="X202" s="230"/>
      <c r="Y202" s="230"/>
      <c r="Z202" s="230"/>
    </row>
    <row r="203">
      <c r="O203" s="230"/>
      <c r="S203" s="230"/>
      <c r="T203" s="230"/>
      <c r="U203" s="230"/>
      <c r="V203" s="230"/>
      <c r="W203" s="230"/>
      <c r="X203" s="230"/>
      <c r="Y203" s="230"/>
      <c r="Z203" s="230"/>
    </row>
    <row r="204">
      <c r="O204" s="230"/>
      <c r="S204" s="230"/>
      <c r="T204" s="230"/>
      <c r="U204" s="230"/>
      <c r="V204" s="230"/>
      <c r="W204" s="230"/>
      <c r="X204" s="230"/>
      <c r="Y204" s="230"/>
      <c r="Z204" s="230"/>
    </row>
    <row r="205">
      <c r="O205" s="230"/>
      <c r="S205" s="230"/>
      <c r="T205" s="230"/>
      <c r="U205" s="230"/>
      <c r="V205" s="230"/>
      <c r="W205" s="230"/>
      <c r="X205" s="230"/>
      <c r="Y205" s="230"/>
      <c r="Z205" s="230"/>
    </row>
    <row r="206">
      <c r="O206" s="230"/>
      <c r="S206" s="230"/>
      <c r="T206" s="230"/>
      <c r="U206" s="230"/>
      <c r="V206" s="230"/>
      <c r="W206" s="230"/>
      <c r="X206" s="230"/>
      <c r="Y206" s="230"/>
      <c r="Z206" s="230"/>
    </row>
    <row r="207">
      <c r="O207" s="230"/>
      <c r="S207" s="230"/>
      <c r="T207" s="230"/>
      <c r="U207" s="230"/>
      <c r="V207" s="230"/>
      <c r="W207" s="230"/>
      <c r="X207" s="230"/>
      <c r="Y207" s="230"/>
      <c r="Z207" s="230"/>
    </row>
    <row r="208">
      <c r="O208" s="230"/>
      <c r="S208" s="230"/>
      <c r="T208" s="230"/>
      <c r="U208" s="230"/>
      <c r="V208" s="230"/>
      <c r="W208" s="230"/>
      <c r="X208" s="230"/>
      <c r="Y208" s="230"/>
      <c r="Z208" s="230"/>
    </row>
    <row r="209">
      <c r="O209" s="230"/>
      <c r="S209" s="230"/>
      <c r="T209" s="230"/>
      <c r="U209" s="230"/>
      <c r="V209" s="230"/>
      <c r="W209" s="230"/>
      <c r="X209" s="230"/>
      <c r="Y209" s="230"/>
      <c r="Z209" s="230"/>
    </row>
    <row r="210">
      <c r="O210" s="230"/>
      <c r="S210" s="230"/>
      <c r="T210" s="230"/>
      <c r="U210" s="230"/>
      <c r="V210" s="230"/>
      <c r="W210" s="230"/>
      <c r="X210" s="230"/>
      <c r="Y210" s="230"/>
      <c r="Z210" s="230"/>
    </row>
    <row r="211">
      <c r="O211" s="230"/>
      <c r="S211" s="230"/>
      <c r="T211" s="230"/>
      <c r="U211" s="230"/>
      <c r="V211" s="230"/>
      <c r="W211" s="230"/>
      <c r="X211" s="230"/>
      <c r="Y211" s="230"/>
      <c r="Z211" s="230"/>
    </row>
    <row r="212">
      <c r="O212" s="230"/>
      <c r="S212" s="230"/>
      <c r="T212" s="230"/>
      <c r="U212" s="230"/>
      <c r="V212" s="230"/>
      <c r="W212" s="230"/>
      <c r="X212" s="230"/>
      <c r="Y212" s="230"/>
      <c r="Z212" s="230"/>
    </row>
    <row r="213">
      <c r="O213" s="230"/>
      <c r="S213" s="230"/>
      <c r="T213" s="230"/>
      <c r="U213" s="230"/>
      <c r="V213" s="230"/>
      <c r="W213" s="230"/>
      <c r="X213" s="230"/>
      <c r="Y213" s="230"/>
      <c r="Z213" s="230"/>
    </row>
    <row r="214">
      <c r="O214" s="230"/>
      <c r="S214" s="230"/>
      <c r="T214" s="230"/>
      <c r="U214" s="230"/>
      <c r="V214" s="230"/>
      <c r="W214" s="230"/>
      <c r="X214" s="230"/>
      <c r="Y214" s="230"/>
      <c r="Z214" s="230"/>
    </row>
    <row r="215">
      <c r="O215" s="230"/>
      <c r="S215" s="230"/>
      <c r="T215" s="230"/>
      <c r="U215" s="230"/>
      <c r="V215" s="230"/>
      <c r="W215" s="230"/>
      <c r="X215" s="230"/>
      <c r="Y215" s="230"/>
      <c r="Z215" s="230"/>
    </row>
    <row r="216">
      <c r="O216" s="230"/>
      <c r="S216" s="230"/>
      <c r="T216" s="230"/>
      <c r="U216" s="230"/>
      <c r="V216" s="230"/>
      <c r="W216" s="230"/>
      <c r="X216" s="230"/>
      <c r="Y216" s="230"/>
      <c r="Z216" s="230"/>
    </row>
    <row r="217">
      <c r="O217" s="230"/>
      <c r="S217" s="230"/>
      <c r="T217" s="230"/>
      <c r="U217" s="230"/>
      <c r="V217" s="230"/>
      <c r="W217" s="230"/>
      <c r="X217" s="230"/>
      <c r="Y217" s="230"/>
      <c r="Z217" s="230"/>
    </row>
    <row r="218">
      <c r="O218" s="230"/>
      <c r="S218" s="230"/>
      <c r="T218" s="230"/>
      <c r="U218" s="230"/>
      <c r="V218" s="230"/>
      <c r="W218" s="230"/>
      <c r="X218" s="230"/>
      <c r="Y218" s="230"/>
      <c r="Z218" s="230"/>
    </row>
    <row r="219">
      <c r="O219" s="230"/>
      <c r="S219" s="230"/>
      <c r="T219" s="230"/>
      <c r="U219" s="230"/>
      <c r="V219" s="230"/>
      <c r="W219" s="230"/>
      <c r="X219" s="230"/>
      <c r="Y219" s="230"/>
      <c r="Z219" s="230"/>
    </row>
    <row r="220">
      <c r="O220" s="230"/>
      <c r="S220" s="230"/>
      <c r="T220" s="230"/>
      <c r="U220" s="230"/>
      <c r="V220" s="230"/>
      <c r="W220" s="230"/>
      <c r="X220" s="230"/>
      <c r="Y220" s="230"/>
      <c r="Z220" s="230"/>
    </row>
    <row r="221">
      <c r="O221" s="230"/>
      <c r="S221" s="230"/>
      <c r="T221" s="230"/>
      <c r="U221" s="230"/>
      <c r="V221" s="230"/>
      <c r="W221" s="230"/>
      <c r="X221" s="230"/>
      <c r="Y221" s="230"/>
      <c r="Z221" s="230"/>
    </row>
    <row r="222">
      <c r="O222" s="230"/>
      <c r="S222" s="230"/>
      <c r="T222" s="230"/>
      <c r="U222" s="230"/>
      <c r="V222" s="230"/>
      <c r="W222" s="230"/>
      <c r="X222" s="230"/>
      <c r="Y222" s="230"/>
      <c r="Z222" s="230"/>
    </row>
    <row r="223">
      <c r="O223" s="230"/>
      <c r="S223" s="230"/>
      <c r="T223" s="230"/>
      <c r="U223" s="230"/>
      <c r="V223" s="230"/>
      <c r="W223" s="230"/>
      <c r="X223" s="230"/>
      <c r="Y223" s="230"/>
      <c r="Z223" s="230"/>
    </row>
    <row r="224">
      <c r="O224" s="230"/>
      <c r="S224" s="230"/>
      <c r="T224" s="230"/>
      <c r="U224" s="230"/>
      <c r="V224" s="230"/>
      <c r="W224" s="230"/>
      <c r="X224" s="230"/>
      <c r="Y224" s="230"/>
      <c r="Z224" s="230"/>
    </row>
    <row r="225">
      <c r="O225" s="230"/>
      <c r="S225" s="230"/>
      <c r="T225" s="230"/>
      <c r="U225" s="230"/>
      <c r="V225" s="230"/>
      <c r="W225" s="230"/>
      <c r="X225" s="230"/>
      <c r="Y225" s="230"/>
      <c r="Z225" s="230"/>
    </row>
    <row r="226">
      <c r="O226" s="230"/>
      <c r="S226" s="230"/>
      <c r="T226" s="230"/>
      <c r="U226" s="230"/>
      <c r="V226" s="230"/>
      <c r="W226" s="230"/>
      <c r="X226" s="230"/>
      <c r="Y226" s="230"/>
      <c r="Z226" s="230"/>
    </row>
    <row r="227">
      <c r="O227" s="230"/>
      <c r="S227" s="230"/>
      <c r="T227" s="230"/>
      <c r="U227" s="230"/>
      <c r="V227" s="230"/>
      <c r="W227" s="230"/>
      <c r="X227" s="230"/>
      <c r="Y227" s="230"/>
      <c r="Z227" s="230"/>
    </row>
    <row r="228">
      <c r="O228" s="230"/>
      <c r="S228" s="230"/>
      <c r="T228" s="230"/>
      <c r="U228" s="230"/>
      <c r="V228" s="230"/>
      <c r="W228" s="230"/>
      <c r="X228" s="230"/>
      <c r="Y228" s="230"/>
      <c r="Z228" s="230"/>
    </row>
    <row r="229">
      <c r="O229" s="230"/>
      <c r="S229" s="230"/>
      <c r="T229" s="230"/>
      <c r="U229" s="230"/>
      <c r="V229" s="230"/>
      <c r="W229" s="230"/>
      <c r="X229" s="230"/>
      <c r="Y229" s="230"/>
      <c r="Z229" s="230"/>
    </row>
    <row r="230">
      <c r="O230" s="230"/>
      <c r="S230" s="230"/>
      <c r="T230" s="230"/>
      <c r="U230" s="230"/>
      <c r="V230" s="230"/>
      <c r="W230" s="230"/>
      <c r="X230" s="230"/>
      <c r="Y230" s="230"/>
      <c r="Z230" s="230"/>
    </row>
    <row r="231">
      <c r="O231" s="230"/>
      <c r="S231" s="230"/>
      <c r="T231" s="230"/>
      <c r="U231" s="230"/>
      <c r="V231" s="230"/>
      <c r="W231" s="230"/>
      <c r="X231" s="230"/>
      <c r="Y231" s="230"/>
      <c r="Z231" s="230"/>
    </row>
    <row r="232">
      <c r="O232" s="230"/>
      <c r="S232" s="230"/>
      <c r="T232" s="230"/>
      <c r="U232" s="230"/>
      <c r="V232" s="230"/>
      <c r="W232" s="230"/>
      <c r="X232" s="230"/>
      <c r="Y232" s="230"/>
      <c r="Z232" s="230"/>
    </row>
    <row r="233">
      <c r="O233" s="230"/>
      <c r="S233" s="230"/>
      <c r="T233" s="230"/>
      <c r="U233" s="230"/>
      <c r="V233" s="230"/>
      <c r="W233" s="230"/>
      <c r="X233" s="230"/>
      <c r="Y233" s="230"/>
      <c r="Z233" s="230"/>
    </row>
    <row r="234">
      <c r="O234" s="230"/>
      <c r="S234" s="230"/>
      <c r="T234" s="230"/>
      <c r="U234" s="230"/>
      <c r="V234" s="230"/>
      <c r="W234" s="230"/>
      <c r="X234" s="230"/>
      <c r="Y234" s="230"/>
      <c r="Z234" s="230"/>
    </row>
    <row r="235">
      <c r="O235" s="230"/>
      <c r="S235" s="230"/>
      <c r="T235" s="230"/>
      <c r="U235" s="230"/>
      <c r="V235" s="230"/>
      <c r="W235" s="230"/>
      <c r="X235" s="230"/>
      <c r="Y235" s="230"/>
      <c r="Z235" s="230"/>
    </row>
    <row r="236">
      <c r="O236" s="230"/>
      <c r="S236" s="230"/>
      <c r="T236" s="230"/>
      <c r="U236" s="230"/>
      <c r="V236" s="230"/>
      <c r="W236" s="230"/>
      <c r="X236" s="230"/>
      <c r="Y236" s="230"/>
      <c r="Z236" s="230"/>
    </row>
    <row r="237">
      <c r="O237" s="230"/>
      <c r="S237" s="230"/>
      <c r="T237" s="230"/>
      <c r="U237" s="230"/>
      <c r="V237" s="230"/>
      <c r="W237" s="230"/>
      <c r="X237" s="230"/>
      <c r="Y237" s="230"/>
      <c r="Z237" s="230"/>
    </row>
    <row r="238">
      <c r="O238" s="230"/>
      <c r="S238" s="230"/>
      <c r="T238" s="230"/>
      <c r="U238" s="230"/>
      <c r="V238" s="230"/>
      <c r="W238" s="230"/>
      <c r="X238" s="230"/>
      <c r="Y238" s="230"/>
      <c r="Z238" s="230"/>
    </row>
    <row r="239">
      <c r="O239" s="230"/>
      <c r="S239" s="230"/>
      <c r="T239" s="230"/>
      <c r="U239" s="230"/>
      <c r="V239" s="230"/>
      <c r="W239" s="230"/>
      <c r="X239" s="230"/>
      <c r="Y239" s="230"/>
      <c r="Z239" s="230"/>
    </row>
    <row r="240">
      <c r="O240" s="230"/>
      <c r="S240" s="230"/>
      <c r="T240" s="230"/>
      <c r="U240" s="230"/>
      <c r="V240" s="230"/>
      <c r="W240" s="230"/>
      <c r="X240" s="230"/>
      <c r="Y240" s="230"/>
      <c r="Z240" s="230"/>
    </row>
    <row r="241">
      <c r="O241" s="230"/>
      <c r="S241" s="230"/>
      <c r="T241" s="230"/>
      <c r="U241" s="230"/>
      <c r="V241" s="230"/>
      <c r="W241" s="230"/>
      <c r="X241" s="230"/>
      <c r="Y241" s="230"/>
      <c r="Z241" s="230"/>
    </row>
    <row r="242">
      <c r="O242" s="230"/>
      <c r="S242" s="230"/>
      <c r="T242" s="230"/>
      <c r="U242" s="230"/>
      <c r="V242" s="230"/>
      <c r="W242" s="230"/>
      <c r="X242" s="230"/>
      <c r="Y242" s="230"/>
      <c r="Z242" s="230"/>
    </row>
    <row r="243">
      <c r="O243" s="230"/>
      <c r="S243" s="230"/>
      <c r="T243" s="230"/>
      <c r="U243" s="230"/>
      <c r="V243" s="230"/>
      <c r="W243" s="230"/>
      <c r="X243" s="230"/>
      <c r="Y243" s="230"/>
      <c r="Z243" s="230"/>
    </row>
    <row r="244">
      <c r="O244" s="230"/>
      <c r="S244" s="230"/>
      <c r="T244" s="230"/>
      <c r="U244" s="230"/>
      <c r="V244" s="230"/>
      <c r="W244" s="230"/>
      <c r="X244" s="230"/>
      <c r="Y244" s="230"/>
      <c r="Z244" s="230"/>
    </row>
    <row r="245">
      <c r="O245" s="230"/>
      <c r="S245" s="230"/>
      <c r="T245" s="230"/>
      <c r="U245" s="230"/>
      <c r="V245" s="230"/>
      <c r="W245" s="230"/>
      <c r="X245" s="230"/>
      <c r="Y245" s="230"/>
      <c r="Z245" s="230"/>
    </row>
    <row r="246">
      <c r="O246" s="230"/>
      <c r="S246" s="230"/>
      <c r="T246" s="230"/>
      <c r="U246" s="230"/>
      <c r="V246" s="230"/>
      <c r="W246" s="230"/>
      <c r="X246" s="230"/>
      <c r="Y246" s="230"/>
      <c r="Z246" s="230"/>
    </row>
    <row r="247">
      <c r="O247" s="230"/>
      <c r="S247" s="230"/>
      <c r="T247" s="230"/>
      <c r="U247" s="230"/>
      <c r="V247" s="230"/>
      <c r="W247" s="230"/>
      <c r="X247" s="230"/>
      <c r="Y247" s="230"/>
      <c r="Z247" s="230"/>
    </row>
    <row r="248">
      <c r="O248" s="230"/>
      <c r="S248" s="230"/>
      <c r="T248" s="230"/>
      <c r="U248" s="230"/>
      <c r="V248" s="230"/>
      <c r="W248" s="230"/>
      <c r="X248" s="230"/>
      <c r="Y248" s="230"/>
      <c r="Z248" s="230"/>
    </row>
    <row r="249">
      <c r="O249" s="230"/>
      <c r="S249" s="230"/>
      <c r="T249" s="230"/>
      <c r="U249" s="230"/>
      <c r="V249" s="230"/>
      <c r="W249" s="230"/>
      <c r="X249" s="230"/>
      <c r="Y249" s="230"/>
      <c r="Z249" s="230"/>
    </row>
    <row r="250">
      <c r="O250" s="230"/>
      <c r="S250" s="230"/>
      <c r="T250" s="230"/>
      <c r="U250" s="230"/>
      <c r="V250" s="230"/>
      <c r="W250" s="230"/>
      <c r="X250" s="230"/>
      <c r="Y250" s="230"/>
      <c r="Z250" s="230"/>
    </row>
    <row r="251">
      <c r="O251" s="230"/>
      <c r="S251" s="230"/>
      <c r="T251" s="230"/>
      <c r="U251" s="230"/>
      <c r="V251" s="230"/>
      <c r="W251" s="230"/>
      <c r="X251" s="230"/>
      <c r="Y251" s="230"/>
      <c r="Z251" s="230"/>
    </row>
    <row r="252">
      <c r="O252" s="230"/>
      <c r="S252" s="230"/>
      <c r="T252" s="230"/>
      <c r="U252" s="230"/>
      <c r="V252" s="230"/>
      <c r="W252" s="230"/>
      <c r="X252" s="230"/>
      <c r="Y252" s="230"/>
      <c r="Z252" s="230"/>
    </row>
    <row r="253">
      <c r="O253" s="230"/>
      <c r="S253" s="230"/>
      <c r="T253" s="230"/>
      <c r="U253" s="230"/>
      <c r="V253" s="230"/>
      <c r="W253" s="230"/>
      <c r="X253" s="230"/>
      <c r="Y253" s="230"/>
      <c r="Z253" s="230"/>
    </row>
    <row r="254">
      <c r="O254" s="230"/>
      <c r="S254" s="230"/>
      <c r="T254" s="230"/>
      <c r="U254" s="230"/>
      <c r="V254" s="230"/>
      <c r="W254" s="230"/>
      <c r="X254" s="230"/>
      <c r="Y254" s="230"/>
      <c r="Z254" s="230"/>
    </row>
    <row r="255">
      <c r="O255" s="230"/>
      <c r="S255" s="230"/>
      <c r="T255" s="230"/>
      <c r="U255" s="230"/>
      <c r="V255" s="230"/>
      <c r="W255" s="230"/>
      <c r="X255" s="230"/>
      <c r="Y255" s="230"/>
      <c r="Z255" s="230"/>
    </row>
    <row r="256">
      <c r="O256" s="230"/>
      <c r="S256" s="230"/>
      <c r="T256" s="230"/>
      <c r="U256" s="230"/>
      <c r="V256" s="230"/>
      <c r="W256" s="230"/>
      <c r="X256" s="230"/>
      <c r="Y256" s="230"/>
      <c r="Z256" s="230"/>
    </row>
    <row r="257">
      <c r="O257" s="230"/>
      <c r="S257" s="230"/>
      <c r="T257" s="230"/>
      <c r="U257" s="230"/>
      <c r="V257" s="230"/>
      <c r="W257" s="230"/>
      <c r="X257" s="230"/>
      <c r="Y257" s="230"/>
      <c r="Z257" s="230"/>
    </row>
    <row r="258">
      <c r="O258" s="230"/>
      <c r="S258" s="230"/>
      <c r="T258" s="230"/>
      <c r="U258" s="230"/>
      <c r="V258" s="230"/>
      <c r="W258" s="230"/>
      <c r="X258" s="230"/>
      <c r="Y258" s="230"/>
      <c r="Z258" s="230"/>
    </row>
    <row r="259">
      <c r="O259" s="230"/>
      <c r="S259" s="230"/>
      <c r="T259" s="230"/>
      <c r="U259" s="230"/>
      <c r="V259" s="230"/>
      <c r="W259" s="230"/>
      <c r="X259" s="230"/>
      <c r="Y259" s="230"/>
      <c r="Z259" s="230"/>
    </row>
    <row r="260">
      <c r="O260" s="230"/>
      <c r="S260" s="230"/>
      <c r="T260" s="230"/>
      <c r="U260" s="230"/>
      <c r="V260" s="230"/>
      <c r="W260" s="230"/>
      <c r="X260" s="230"/>
      <c r="Y260" s="230"/>
      <c r="Z260" s="230"/>
    </row>
    <row r="261">
      <c r="O261" s="230"/>
      <c r="S261" s="230"/>
      <c r="T261" s="230"/>
      <c r="U261" s="230"/>
      <c r="V261" s="230"/>
      <c r="W261" s="230"/>
      <c r="X261" s="230"/>
      <c r="Y261" s="230"/>
      <c r="Z261" s="230"/>
    </row>
    <row r="262">
      <c r="O262" s="230"/>
      <c r="S262" s="230"/>
      <c r="T262" s="230"/>
      <c r="U262" s="230"/>
      <c r="V262" s="230"/>
      <c r="W262" s="230"/>
      <c r="X262" s="230"/>
      <c r="Y262" s="230"/>
      <c r="Z262" s="230"/>
    </row>
    <row r="263">
      <c r="O263" s="230"/>
      <c r="S263" s="230"/>
      <c r="T263" s="230"/>
      <c r="U263" s="230"/>
      <c r="V263" s="230"/>
      <c r="W263" s="230"/>
      <c r="X263" s="230"/>
      <c r="Y263" s="230"/>
      <c r="Z263" s="230"/>
    </row>
    <row r="264">
      <c r="O264" s="230"/>
      <c r="S264" s="230"/>
      <c r="T264" s="230"/>
      <c r="U264" s="230"/>
      <c r="V264" s="230"/>
      <c r="W264" s="230"/>
      <c r="X264" s="230"/>
      <c r="Y264" s="230"/>
      <c r="Z264" s="230"/>
    </row>
    <row r="265">
      <c r="O265" s="230"/>
      <c r="S265" s="230"/>
      <c r="T265" s="230"/>
      <c r="U265" s="230"/>
      <c r="V265" s="230"/>
      <c r="W265" s="230"/>
      <c r="X265" s="230"/>
      <c r="Y265" s="230"/>
      <c r="Z265" s="230"/>
    </row>
    <row r="266">
      <c r="O266" s="230"/>
      <c r="S266" s="230"/>
      <c r="T266" s="230"/>
      <c r="U266" s="230"/>
      <c r="V266" s="230"/>
      <c r="W266" s="230"/>
      <c r="X266" s="230"/>
      <c r="Y266" s="230"/>
      <c r="Z266" s="230"/>
    </row>
    <row r="267">
      <c r="O267" s="230"/>
      <c r="S267" s="230"/>
      <c r="T267" s="230"/>
      <c r="U267" s="230"/>
      <c r="V267" s="230"/>
      <c r="W267" s="230"/>
      <c r="X267" s="230"/>
      <c r="Y267" s="230"/>
      <c r="Z267" s="230"/>
    </row>
    <row r="268">
      <c r="O268" s="230"/>
      <c r="S268" s="230"/>
      <c r="T268" s="230"/>
      <c r="U268" s="230"/>
      <c r="V268" s="230"/>
      <c r="W268" s="230"/>
      <c r="X268" s="230"/>
      <c r="Y268" s="230"/>
      <c r="Z268" s="230"/>
    </row>
    <row r="269">
      <c r="O269" s="230"/>
      <c r="S269" s="230"/>
      <c r="T269" s="230"/>
      <c r="U269" s="230"/>
      <c r="V269" s="230"/>
      <c r="W269" s="230"/>
      <c r="X269" s="230"/>
      <c r="Y269" s="230"/>
      <c r="Z269" s="230"/>
    </row>
    <row r="270">
      <c r="O270" s="230"/>
      <c r="S270" s="230"/>
      <c r="T270" s="230"/>
      <c r="U270" s="230"/>
      <c r="V270" s="230"/>
      <c r="W270" s="230"/>
      <c r="X270" s="230"/>
      <c r="Y270" s="230"/>
      <c r="Z270" s="230"/>
    </row>
    <row r="271">
      <c r="O271" s="230"/>
      <c r="S271" s="230"/>
      <c r="T271" s="230"/>
      <c r="U271" s="230"/>
      <c r="V271" s="230"/>
      <c r="W271" s="230"/>
      <c r="X271" s="230"/>
      <c r="Y271" s="230"/>
      <c r="Z271" s="230"/>
    </row>
    <row r="272">
      <c r="O272" s="230"/>
      <c r="S272" s="230"/>
      <c r="T272" s="230"/>
      <c r="U272" s="230"/>
      <c r="V272" s="230"/>
      <c r="W272" s="230"/>
      <c r="X272" s="230"/>
      <c r="Y272" s="230"/>
      <c r="Z272" s="230"/>
    </row>
    <row r="273">
      <c r="O273" s="230"/>
      <c r="S273" s="230"/>
      <c r="T273" s="230"/>
      <c r="U273" s="230"/>
      <c r="V273" s="230"/>
      <c r="W273" s="230"/>
      <c r="X273" s="230"/>
      <c r="Y273" s="230"/>
      <c r="Z273" s="230"/>
    </row>
    <row r="274">
      <c r="O274" s="230"/>
      <c r="S274" s="230"/>
      <c r="T274" s="230"/>
      <c r="U274" s="230"/>
      <c r="V274" s="230"/>
      <c r="W274" s="230"/>
      <c r="X274" s="230"/>
      <c r="Y274" s="230"/>
      <c r="Z274" s="230"/>
    </row>
    <row r="275">
      <c r="O275" s="230"/>
      <c r="S275" s="230"/>
      <c r="T275" s="230"/>
      <c r="U275" s="230"/>
      <c r="V275" s="230"/>
      <c r="W275" s="230"/>
      <c r="X275" s="230"/>
      <c r="Y275" s="230"/>
      <c r="Z275" s="230"/>
    </row>
    <row r="276">
      <c r="O276" s="230"/>
      <c r="S276" s="230"/>
      <c r="T276" s="230"/>
      <c r="U276" s="230"/>
      <c r="V276" s="230"/>
      <c r="W276" s="230"/>
      <c r="X276" s="230"/>
      <c r="Y276" s="230"/>
      <c r="Z276" s="230"/>
    </row>
    <row r="277">
      <c r="O277" s="230"/>
      <c r="S277" s="230"/>
      <c r="T277" s="230"/>
      <c r="U277" s="230"/>
      <c r="V277" s="230"/>
      <c r="W277" s="230"/>
      <c r="X277" s="230"/>
      <c r="Y277" s="230"/>
      <c r="Z277" s="230"/>
    </row>
    <row r="278">
      <c r="O278" s="230"/>
      <c r="S278" s="230"/>
      <c r="T278" s="230"/>
      <c r="U278" s="230"/>
      <c r="V278" s="230"/>
      <c r="W278" s="230"/>
      <c r="X278" s="230"/>
      <c r="Y278" s="230"/>
      <c r="Z278" s="230"/>
    </row>
    <row r="279">
      <c r="O279" s="230"/>
      <c r="S279" s="230"/>
      <c r="T279" s="230"/>
      <c r="U279" s="230"/>
      <c r="V279" s="230"/>
      <c r="W279" s="230"/>
      <c r="X279" s="230"/>
      <c r="Y279" s="230"/>
      <c r="Z279" s="230"/>
    </row>
    <row r="280">
      <c r="O280" s="230"/>
      <c r="S280" s="230"/>
      <c r="T280" s="230"/>
      <c r="U280" s="230"/>
      <c r="V280" s="230"/>
      <c r="W280" s="230"/>
      <c r="X280" s="230"/>
      <c r="Y280" s="230"/>
      <c r="Z280" s="230"/>
    </row>
    <row r="281">
      <c r="O281" s="230"/>
      <c r="S281" s="230"/>
      <c r="T281" s="230"/>
      <c r="U281" s="230"/>
      <c r="V281" s="230"/>
      <c r="W281" s="230"/>
      <c r="X281" s="230"/>
      <c r="Y281" s="230"/>
      <c r="Z281" s="230"/>
    </row>
    <row r="282">
      <c r="O282" s="230"/>
      <c r="S282" s="230"/>
      <c r="T282" s="230"/>
      <c r="U282" s="230"/>
      <c r="V282" s="230"/>
      <c r="W282" s="230"/>
      <c r="X282" s="230"/>
      <c r="Y282" s="230"/>
      <c r="Z282" s="230"/>
    </row>
    <row r="283">
      <c r="O283" s="230"/>
      <c r="S283" s="230"/>
      <c r="T283" s="230"/>
      <c r="U283" s="230"/>
      <c r="V283" s="230"/>
      <c r="W283" s="230"/>
      <c r="X283" s="230"/>
      <c r="Y283" s="230"/>
      <c r="Z283" s="230"/>
    </row>
    <row r="284">
      <c r="O284" s="230"/>
      <c r="S284" s="230"/>
      <c r="T284" s="230"/>
      <c r="U284" s="230"/>
      <c r="V284" s="230"/>
      <c r="W284" s="230"/>
      <c r="X284" s="230"/>
      <c r="Y284" s="230"/>
      <c r="Z284" s="230"/>
    </row>
    <row r="285">
      <c r="O285" s="230"/>
      <c r="S285" s="230"/>
      <c r="T285" s="230"/>
      <c r="U285" s="230"/>
      <c r="V285" s="230"/>
      <c r="W285" s="230"/>
      <c r="X285" s="230"/>
      <c r="Y285" s="230"/>
      <c r="Z285" s="230"/>
    </row>
    <row r="286">
      <c r="O286" s="230"/>
      <c r="S286" s="230"/>
      <c r="T286" s="230"/>
      <c r="U286" s="230"/>
      <c r="V286" s="230"/>
      <c r="W286" s="230"/>
      <c r="X286" s="230"/>
      <c r="Y286" s="230"/>
      <c r="Z286" s="230"/>
    </row>
    <row r="287">
      <c r="O287" s="230"/>
      <c r="S287" s="230"/>
      <c r="T287" s="230"/>
      <c r="U287" s="230"/>
      <c r="V287" s="230"/>
      <c r="W287" s="230"/>
      <c r="X287" s="230"/>
      <c r="Y287" s="230"/>
      <c r="Z287" s="230"/>
    </row>
    <row r="288">
      <c r="O288" s="230"/>
      <c r="S288" s="230"/>
      <c r="T288" s="230"/>
      <c r="U288" s="230"/>
      <c r="V288" s="230"/>
      <c r="W288" s="230"/>
      <c r="X288" s="230"/>
      <c r="Y288" s="230"/>
      <c r="Z288" s="230"/>
    </row>
    <row r="289">
      <c r="O289" s="230"/>
      <c r="S289" s="230"/>
      <c r="T289" s="230"/>
      <c r="U289" s="230"/>
      <c r="V289" s="230"/>
      <c r="W289" s="230"/>
      <c r="X289" s="230"/>
      <c r="Y289" s="230"/>
      <c r="Z289" s="230"/>
    </row>
    <row r="290">
      <c r="O290" s="230"/>
      <c r="S290" s="230"/>
      <c r="T290" s="230"/>
      <c r="U290" s="230"/>
      <c r="V290" s="230"/>
      <c r="W290" s="230"/>
      <c r="X290" s="230"/>
      <c r="Y290" s="230"/>
      <c r="Z290" s="230"/>
    </row>
    <row r="291">
      <c r="O291" s="230"/>
      <c r="S291" s="230"/>
      <c r="T291" s="230"/>
      <c r="U291" s="230"/>
      <c r="V291" s="230"/>
      <c r="W291" s="230"/>
      <c r="X291" s="230"/>
      <c r="Y291" s="230"/>
      <c r="Z291" s="230"/>
    </row>
    <row r="292">
      <c r="O292" s="230"/>
      <c r="S292" s="230"/>
      <c r="T292" s="230"/>
      <c r="U292" s="230"/>
      <c r="V292" s="230"/>
      <c r="W292" s="230"/>
      <c r="X292" s="230"/>
      <c r="Y292" s="230"/>
      <c r="Z292" s="230"/>
    </row>
    <row r="293">
      <c r="O293" s="230"/>
      <c r="S293" s="230"/>
      <c r="T293" s="230"/>
      <c r="U293" s="230"/>
      <c r="V293" s="230"/>
      <c r="W293" s="230"/>
      <c r="X293" s="230"/>
      <c r="Y293" s="230"/>
      <c r="Z293" s="230"/>
    </row>
    <row r="294">
      <c r="O294" s="230"/>
      <c r="S294" s="230"/>
      <c r="T294" s="230"/>
      <c r="U294" s="230"/>
      <c r="V294" s="230"/>
      <c r="W294" s="230"/>
      <c r="X294" s="230"/>
      <c r="Y294" s="230"/>
      <c r="Z294" s="230"/>
    </row>
    <row r="295">
      <c r="O295" s="230"/>
      <c r="S295" s="230"/>
      <c r="T295" s="230"/>
      <c r="U295" s="230"/>
      <c r="V295" s="230"/>
      <c r="W295" s="230"/>
      <c r="X295" s="230"/>
      <c r="Y295" s="230"/>
      <c r="Z295" s="230"/>
    </row>
    <row r="296">
      <c r="O296" s="230"/>
      <c r="S296" s="230"/>
      <c r="T296" s="230"/>
      <c r="U296" s="230"/>
      <c r="V296" s="230"/>
      <c r="W296" s="230"/>
      <c r="X296" s="230"/>
      <c r="Y296" s="230"/>
      <c r="Z296" s="230"/>
    </row>
    <row r="297">
      <c r="O297" s="230"/>
      <c r="S297" s="230"/>
      <c r="T297" s="230"/>
      <c r="U297" s="230"/>
      <c r="V297" s="230"/>
      <c r="W297" s="230"/>
      <c r="X297" s="230"/>
      <c r="Y297" s="230"/>
      <c r="Z297" s="230"/>
    </row>
    <row r="298">
      <c r="O298" s="230"/>
      <c r="S298" s="230"/>
      <c r="T298" s="230"/>
      <c r="U298" s="230"/>
      <c r="V298" s="230"/>
      <c r="W298" s="230"/>
      <c r="X298" s="230"/>
      <c r="Y298" s="230"/>
      <c r="Z298" s="230"/>
    </row>
    <row r="299">
      <c r="O299" s="230"/>
      <c r="S299" s="230"/>
      <c r="T299" s="230"/>
      <c r="U299" s="230"/>
      <c r="V299" s="230"/>
      <c r="W299" s="230"/>
      <c r="X299" s="230"/>
      <c r="Y299" s="230"/>
      <c r="Z299" s="230"/>
    </row>
    <row r="300">
      <c r="O300" s="230"/>
      <c r="S300" s="230"/>
      <c r="T300" s="230"/>
      <c r="U300" s="230"/>
      <c r="V300" s="230"/>
      <c r="W300" s="230"/>
      <c r="X300" s="230"/>
      <c r="Y300" s="230"/>
      <c r="Z300" s="230"/>
    </row>
    <row r="301">
      <c r="O301" s="230"/>
      <c r="S301" s="230"/>
      <c r="T301" s="230"/>
      <c r="U301" s="230"/>
      <c r="V301" s="230"/>
      <c r="W301" s="230"/>
      <c r="X301" s="230"/>
      <c r="Y301" s="230"/>
      <c r="Z301" s="230"/>
    </row>
    <row r="302">
      <c r="O302" s="230"/>
      <c r="S302" s="230"/>
      <c r="T302" s="230"/>
      <c r="U302" s="230"/>
      <c r="V302" s="230"/>
      <c r="W302" s="230"/>
      <c r="X302" s="230"/>
      <c r="Y302" s="230"/>
      <c r="Z302" s="230"/>
    </row>
    <row r="303">
      <c r="O303" s="230"/>
      <c r="S303" s="230"/>
      <c r="T303" s="230"/>
      <c r="U303" s="230"/>
      <c r="V303" s="230"/>
      <c r="W303" s="230"/>
      <c r="X303" s="230"/>
      <c r="Y303" s="230"/>
      <c r="Z303" s="230"/>
    </row>
    <row r="304">
      <c r="O304" s="230"/>
      <c r="S304" s="230"/>
      <c r="T304" s="230"/>
      <c r="U304" s="230"/>
      <c r="V304" s="230"/>
      <c r="W304" s="230"/>
      <c r="X304" s="230"/>
      <c r="Y304" s="230"/>
      <c r="Z304" s="230"/>
    </row>
    <row r="305">
      <c r="O305" s="230"/>
      <c r="S305" s="230"/>
      <c r="T305" s="230"/>
      <c r="U305" s="230"/>
      <c r="V305" s="230"/>
      <c r="W305" s="230"/>
      <c r="X305" s="230"/>
      <c r="Y305" s="230"/>
      <c r="Z305" s="230"/>
    </row>
    <row r="306">
      <c r="O306" s="230"/>
      <c r="S306" s="230"/>
      <c r="T306" s="230"/>
      <c r="U306" s="230"/>
      <c r="V306" s="230"/>
      <c r="W306" s="230"/>
      <c r="X306" s="230"/>
      <c r="Y306" s="230"/>
      <c r="Z306" s="230"/>
    </row>
    <row r="307">
      <c r="O307" s="230"/>
      <c r="S307" s="230"/>
      <c r="T307" s="230"/>
      <c r="U307" s="230"/>
      <c r="V307" s="230"/>
      <c r="W307" s="230"/>
      <c r="X307" s="230"/>
      <c r="Y307" s="230"/>
      <c r="Z307" s="230"/>
    </row>
    <row r="308">
      <c r="O308" s="230"/>
      <c r="S308" s="230"/>
      <c r="T308" s="230"/>
      <c r="U308" s="230"/>
      <c r="V308" s="230"/>
      <c r="W308" s="230"/>
      <c r="X308" s="230"/>
      <c r="Y308" s="230"/>
      <c r="Z308" s="230"/>
    </row>
    <row r="309">
      <c r="O309" s="230"/>
      <c r="S309" s="230"/>
      <c r="T309" s="230"/>
      <c r="U309" s="230"/>
      <c r="V309" s="230"/>
      <c r="W309" s="230"/>
      <c r="X309" s="230"/>
      <c r="Y309" s="230"/>
      <c r="Z309" s="230"/>
    </row>
    <row r="310">
      <c r="O310" s="230"/>
      <c r="S310" s="230"/>
      <c r="T310" s="230"/>
      <c r="U310" s="230"/>
      <c r="V310" s="230"/>
      <c r="W310" s="230"/>
      <c r="X310" s="230"/>
      <c r="Y310" s="230"/>
      <c r="Z310" s="230"/>
    </row>
    <row r="311">
      <c r="O311" s="230"/>
      <c r="S311" s="230"/>
      <c r="T311" s="230"/>
      <c r="U311" s="230"/>
      <c r="V311" s="230"/>
      <c r="W311" s="230"/>
      <c r="X311" s="230"/>
      <c r="Y311" s="230"/>
      <c r="Z311" s="230"/>
    </row>
    <row r="312">
      <c r="O312" s="230"/>
      <c r="S312" s="230"/>
      <c r="T312" s="230"/>
      <c r="U312" s="230"/>
      <c r="V312" s="230"/>
      <c r="W312" s="230"/>
      <c r="X312" s="230"/>
      <c r="Y312" s="230"/>
      <c r="Z312" s="230"/>
    </row>
    <row r="313">
      <c r="O313" s="230"/>
      <c r="S313" s="230"/>
      <c r="T313" s="230"/>
      <c r="U313" s="230"/>
      <c r="V313" s="230"/>
      <c r="W313" s="230"/>
      <c r="X313" s="230"/>
      <c r="Y313" s="230"/>
      <c r="Z313" s="230"/>
    </row>
    <row r="314">
      <c r="O314" s="230"/>
      <c r="S314" s="230"/>
      <c r="T314" s="230"/>
      <c r="U314" s="230"/>
      <c r="V314" s="230"/>
      <c r="W314" s="230"/>
      <c r="X314" s="230"/>
      <c r="Y314" s="230"/>
      <c r="Z314" s="230"/>
    </row>
    <row r="315">
      <c r="O315" s="230"/>
      <c r="S315" s="230"/>
      <c r="T315" s="230"/>
      <c r="U315" s="230"/>
      <c r="V315" s="230"/>
      <c r="W315" s="230"/>
      <c r="X315" s="230"/>
      <c r="Y315" s="230"/>
      <c r="Z315" s="230"/>
    </row>
    <row r="316">
      <c r="O316" s="230"/>
      <c r="S316" s="230"/>
      <c r="T316" s="230"/>
      <c r="U316" s="230"/>
      <c r="V316" s="230"/>
      <c r="W316" s="230"/>
      <c r="X316" s="230"/>
      <c r="Y316" s="230"/>
      <c r="Z316" s="230"/>
    </row>
    <row r="317">
      <c r="O317" s="230"/>
      <c r="S317" s="230"/>
      <c r="T317" s="230"/>
      <c r="U317" s="230"/>
      <c r="V317" s="230"/>
      <c r="W317" s="230"/>
      <c r="X317" s="230"/>
      <c r="Y317" s="230"/>
      <c r="Z317" s="230"/>
    </row>
    <row r="318">
      <c r="O318" s="230"/>
      <c r="S318" s="230"/>
      <c r="T318" s="230"/>
      <c r="U318" s="230"/>
      <c r="V318" s="230"/>
      <c r="W318" s="230"/>
      <c r="X318" s="230"/>
      <c r="Y318" s="230"/>
      <c r="Z318" s="230"/>
    </row>
    <row r="319">
      <c r="O319" s="230"/>
      <c r="S319" s="230"/>
      <c r="T319" s="230"/>
      <c r="U319" s="230"/>
      <c r="V319" s="230"/>
      <c r="W319" s="230"/>
      <c r="X319" s="230"/>
      <c r="Y319" s="230"/>
      <c r="Z319" s="230"/>
    </row>
    <row r="320">
      <c r="O320" s="230"/>
      <c r="S320" s="230"/>
      <c r="T320" s="230"/>
      <c r="U320" s="230"/>
      <c r="V320" s="230"/>
      <c r="W320" s="230"/>
      <c r="X320" s="230"/>
      <c r="Y320" s="230"/>
      <c r="Z320" s="230"/>
    </row>
    <row r="321">
      <c r="O321" s="230"/>
      <c r="S321" s="230"/>
      <c r="T321" s="230"/>
      <c r="U321" s="230"/>
      <c r="V321" s="230"/>
      <c r="W321" s="230"/>
      <c r="X321" s="230"/>
      <c r="Y321" s="230"/>
      <c r="Z321" s="230"/>
    </row>
    <row r="322">
      <c r="O322" s="230"/>
      <c r="S322" s="230"/>
      <c r="T322" s="230"/>
      <c r="U322" s="230"/>
      <c r="V322" s="230"/>
      <c r="W322" s="230"/>
      <c r="X322" s="230"/>
      <c r="Y322" s="230"/>
      <c r="Z322" s="230"/>
    </row>
    <row r="323">
      <c r="O323" s="230"/>
      <c r="S323" s="230"/>
      <c r="T323" s="230"/>
      <c r="U323" s="230"/>
      <c r="V323" s="230"/>
      <c r="W323" s="230"/>
      <c r="X323" s="230"/>
      <c r="Y323" s="230"/>
      <c r="Z323" s="230"/>
    </row>
    <row r="324">
      <c r="O324" s="230"/>
      <c r="S324" s="230"/>
      <c r="T324" s="230"/>
      <c r="U324" s="230"/>
      <c r="V324" s="230"/>
      <c r="W324" s="230"/>
      <c r="X324" s="230"/>
      <c r="Y324" s="230"/>
      <c r="Z324" s="230"/>
    </row>
    <row r="325">
      <c r="O325" s="230"/>
      <c r="S325" s="230"/>
      <c r="T325" s="230"/>
      <c r="U325" s="230"/>
      <c r="V325" s="230"/>
      <c r="W325" s="230"/>
      <c r="X325" s="230"/>
      <c r="Y325" s="230"/>
      <c r="Z325" s="230"/>
    </row>
    <row r="326">
      <c r="O326" s="230"/>
      <c r="S326" s="230"/>
      <c r="T326" s="230"/>
      <c r="U326" s="230"/>
      <c r="V326" s="230"/>
      <c r="W326" s="230"/>
      <c r="X326" s="230"/>
      <c r="Y326" s="230"/>
      <c r="Z326" s="230"/>
    </row>
    <row r="327">
      <c r="O327" s="230"/>
      <c r="S327" s="230"/>
      <c r="T327" s="230"/>
      <c r="U327" s="230"/>
      <c r="V327" s="230"/>
      <c r="W327" s="230"/>
      <c r="X327" s="230"/>
      <c r="Y327" s="230"/>
      <c r="Z327" s="230"/>
    </row>
    <row r="328">
      <c r="O328" s="230"/>
      <c r="S328" s="230"/>
      <c r="T328" s="230"/>
      <c r="U328" s="230"/>
      <c r="V328" s="230"/>
      <c r="W328" s="230"/>
      <c r="X328" s="230"/>
      <c r="Y328" s="230"/>
      <c r="Z328" s="230"/>
    </row>
    <row r="329">
      <c r="O329" s="230"/>
      <c r="S329" s="230"/>
      <c r="T329" s="230"/>
      <c r="U329" s="230"/>
      <c r="V329" s="230"/>
      <c r="W329" s="230"/>
      <c r="X329" s="230"/>
      <c r="Y329" s="230"/>
      <c r="Z329" s="230"/>
    </row>
    <row r="330">
      <c r="O330" s="230"/>
      <c r="S330" s="230"/>
      <c r="T330" s="230"/>
      <c r="U330" s="230"/>
      <c r="V330" s="230"/>
      <c r="W330" s="230"/>
      <c r="X330" s="230"/>
      <c r="Y330" s="230"/>
      <c r="Z330" s="230"/>
    </row>
    <row r="331">
      <c r="O331" s="230"/>
      <c r="S331" s="230"/>
      <c r="T331" s="230"/>
      <c r="U331" s="230"/>
      <c r="V331" s="230"/>
      <c r="W331" s="230"/>
      <c r="X331" s="230"/>
      <c r="Y331" s="230"/>
      <c r="Z331" s="230"/>
    </row>
    <row r="332">
      <c r="O332" s="230"/>
      <c r="S332" s="230"/>
      <c r="T332" s="230"/>
      <c r="U332" s="230"/>
      <c r="V332" s="230"/>
      <c r="W332" s="230"/>
      <c r="X332" s="230"/>
      <c r="Y332" s="230"/>
      <c r="Z332" s="230"/>
    </row>
    <row r="333">
      <c r="O333" s="230"/>
      <c r="S333" s="230"/>
      <c r="T333" s="230"/>
      <c r="U333" s="230"/>
      <c r="V333" s="230"/>
      <c r="W333" s="230"/>
      <c r="X333" s="230"/>
      <c r="Y333" s="230"/>
      <c r="Z333" s="230"/>
    </row>
    <row r="334">
      <c r="O334" s="230"/>
      <c r="S334" s="230"/>
      <c r="T334" s="230"/>
      <c r="U334" s="230"/>
      <c r="V334" s="230"/>
      <c r="W334" s="230"/>
      <c r="X334" s="230"/>
      <c r="Y334" s="230"/>
      <c r="Z334" s="230"/>
    </row>
    <row r="335">
      <c r="O335" s="230"/>
      <c r="S335" s="230"/>
      <c r="T335" s="230"/>
      <c r="U335" s="230"/>
      <c r="V335" s="230"/>
      <c r="W335" s="230"/>
      <c r="X335" s="230"/>
      <c r="Y335" s="230"/>
      <c r="Z335" s="230"/>
    </row>
    <row r="336">
      <c r="O336" s="230"/>
      <c r="S336" s="230"/>
      <c r="T336" s="230"/>
      <c r="U336" s="230"/>
      <c r="V336" s="230"/>
      <c r="W336" s="230"/>
      <c r="X336" s="230"/>
      <c r="Y336" s="230"/>
      <c r="Z336" s="230"/>
    </row>
    <row r="337">
      <c r="O337" s="230"/>
      <c r="S337" s="230"/>
      <c r="T337" s="230"/>
      <c r="U337" s="230"/>
      <c r="V337" s="230"/>
      <c r="W337" s="230"/>
      <c r="X337" s="230"/>
      <c r="Y337" s="230"/>
      <c r="Z337" s="230"/>
    </row>
    <row r="338">
      <c r="O338" s="230"/>
      <c r="S338" s="230"/>
      <c r="T338" s="230"/>
      <c r="U338" s="230"/>
      <c r="V338" s="230"/>
      <c r="W338" s="230"/>
      <c r="X338" s="230"/>
      <c r="Y338" s="230"/>
      <c r="Z338" s="230"/>
    </row>
    <row r="339">
      <c r="O339" s="230"/>
      <c r="S339" s="230"/>
      <c r="T339" s="230"/>
      <c r="U339" s="230"/>
      <c r="V339" s="230"/>
      <c r="W339" s="230"/>
      <c r="X339" s="230"/>
      <c r="Y339" s="230"/>
      <c r="Z339" s="230"/>
    </row>
    <row r="340">
      <c r="O340" s="230"/>
      <c r="S340" s="230"/>
      <c r="T340" s="230"/>
      <c r="U340" s="230"/>
      <c r="V340" s="230"/>
      <c r="W340" s="230"/>
      <c r="X340" s="230"/>
      <c r="Y340" s="230"/>
      <c r="Z340" s="230"/>
    </row>
    <row r="341">
      <c r="O341" s="230"/>
      <c r="S341" s="230"/>
      <c r="T341" s="230"/>
      <c r="U341" s="230"/>
      <c r="V341" s="230"/>
      <c r="W341" s="230"/>
      <c r="X341" s="230"/>
      <c r="Y341" s="230"/>
      <c r="Z341" s="230"/>
    </row>
    <row r="342">
      <c r="O342" s="230"/>
      <c r="S342" s="230"/>
      <c r="T342" s="230"/>
      <c r="U342" s="230"/>
      <c r="V342" s="230"/>
      <c r="W342" s="230"/>
      <c r="X342" s="230"/>
      <c r="Y342" s="230"/>
      <c r="Z342" s="230"/>
    </row>
    <row r="343">
      <c r="O343" s="230"/>
      <c r="S343" s="230"/>
      <c r="T343" s="230"/>
      <c r="U343" s="230"/>
      <c r="V343" s="230"/>
      <c r="W343" s="230"/>
      <c r="X343" s="230"/>
      <c r="Y343" s="230"/>
      <c r="Z343" s="230"/>
    </row>
    <row r="344">
      <c r="O344" s="230"/>
      <c r="S344" s="230"/>
      <c r="T344" s="230"/>
      <c r="U344" s="230"/>
      <c r="V344" s="230"/>
      <c r="W344" s="230"/>
      <c r="X344" s="230"/>
      <c r="Y344" s="230"/>
      <c r="Z344" s="230"/>
    </row>
    <row r="345">
      <c r="O345" s="230"/>
      <c r="S345" s="230"/>
      <c r="T345" s="230"/>
      <c r="U345" s="230"/>
      <c r="V345" s="230"/>
      <c r="W345" s="230"/>
      <c r="X345" s="230"/>
      <c r="Y345" s="230"/>
      <c r="Z345" s="230"/>
    </row>
    <row r="346">
      <c r="O346" s="230"/>
      <c r="S346" s="230"/>
      <c r="T346" s="230"/>
      <c r="U346" s="230"/>
      <c r="V346" s="230"/>
      <c r="W346" s="230"/>
      <c r="X346" s="230"/>
      <c r="Y346" s="230"/>
      <c r="Z346" s="230"/>
    </row>
    <row r="347">
      <c r="O347" s="230"/>
      <c r="S347" s="230"/>
      <c r="T347" s="230"/>
      <c r="U347" s="230"/>
      <c r="V347" s="230"/>
      <c r="W347" s="230"/>
      <c r="X347" s="230"/>
      <c r="Y347" s="230"/>
      <c r="Z347" s="230"/>
    </row>
    <row r="348">
      <c r="O348" s="230"/>
      <c r="S348" s="230"/>
      <c r="T348" s="230"/>
      <c r="U348" s="230"/>
      <c r="V348" s="230"/>
      <c r="W348" s="230"/>
      <c r="X348" s="230"/>
      <c r="Y348" s="230"/>
      <c r="Z348" s="230"/>
    </row>
    <row r="349">
      <c r="O349" s="230"/>
      <c r="S349" s="230"/>
      <c r="T349" s="230"/>
      <c r="U349" s="230"/>
      <c r="V349" s="230"/>
      <c r="W349" s="230"/>
      <c r="X349" s="230"/>
      <c r="Y349" s="230"/>
      <c r="Z349" s="230"/>
    </row>
    <row r="350">
      <c r="O350" s="230"/>
      <c r="S350" s="230"/>
      <c r="T350" s="230"/>
      <c r="U350" s="230"/>
      <c r="V350" s="230"/>
      <c r="W350" s="230"/>
      <c r="X350" s="230"/>
      <c r="Y350" s="230"/>
      <c r="Z350" s="230"/>
    </row>
    <row r="351">
      <c r="O351" s="230"/>
      <c r="S351" s="230"/>
      <c r="T351" s="230"/>
      <c r="U351" s="230"/>
      <c r="V351" s="230"/>
      <c r="W351" s="230"/>
      <c r="X351" s="230"/>
      <c r="Y351" s="230"/>
      <c r="Z351" s="230"/>
    </row>
    <row r="352">
      <c r="O352" s="230"/>
      <c r="S352" s="230"/>
      <c r="T352" s="230"/>
      <c r="U352" s="230"/>
      <c r="V352" s="230"/>
      <c r="W352" s="230"/>
      <c r="X352" s="230"/>
      <c r="Y352" s="230"/>
      <c r="Z352" s="230"/>
    </row>
    <row r="353">
      <c r="O353" s="230"/>
      <c r="S353" s="230"/>
      <c r="T353" s="230"/>
      <c r="U353" s="230"/>
      <c r="V353" s="230"/>
      <c r="W353" s="230"/>
      <c r="X353" s="230"/>
      <c r="Y353" s="230"/>
      <c r="Z353" s="230"/>
    </row>
    <row r="354">
      <c r="O354" s="230"/>
      <c r="S354" s="230"/>
      <c r="T354" s="230"/>
      <c r="U354" s="230"/>
      <c r="V354" s="230"/>
      <c r="W354" s="230"/>
      <c r="X354" s="230"/>
      <c r="Y354" s="230"/>
      <c r="Z354" s="230"/>
    </row>
    <row r="355">
      <c r="O355" s="230"/>
      <c r="S355" s="230"/>
      <c r="T355" s="230"/>
      <c r="U355" s="230"/>
      <c r="V355" s="230"/>
      <c r="W355" s="230"/>
      <c r="X355" s="230"/>
      <c r="Y355" s="230"/>
      <c r="Z355" s="230"/>
    </row>
    <row r="356">
      <c r="O356" s="230"/>
      <c r="S356" s="230"/>
      <c r="T356" s="230"/>
      <c r="U356" s="230"/>
      <c r="V356" s="230"/>
      <c r="W356" s="230"/>
      <c r="X356" s="230"/>
      <c r="Y356" s="230"/>
      <c r="Z356" s="230"/>
    </row>
    <row r="357">
      <c r="O357" s="230"/>
      <c r="S357" s="230"/>
      <c r="T357" s="230"/>
      <c r="U357" s="230"/>
      <c r="V357" s="230"/>
      <c r="W357" s="230"/>
      <c r="X357" s="230"/>
      <c r="Y357" s="230"/>
      <c r="Z357" s="230"/>
    </row>
    <row r="358">
      <c r="O358" s="230"/>
      <c r="S358" s="230"/>
      <c r="T358" s="230"/>
      <c r="U358" s="230"/>
      <c r="V358" s="230"/>
      <c r="W358" s="230"/>
      <c r="X358" s="230"/>
      <c r="Y358" s="230"/>
      <c r="Z358" s="230"/>
    </row>
    <row r="359">
      <c r="O359" s="230"/>
      <c r="S359" s="230"/>
      <c r="T359" s="230"/>
      <c r="U359" s="230"/>
      <c r="V359" s="230"/>
      <c r="W359" s="230"/>
      <c r="X359" s="230"/>
      <c r="Y359" s="230"/>
      <c r="Z359" s="230"/>
    </row>
    <row r="360">
      <c r="O360" s="230"/>
      <c r="S360" s="230"/>
      <c r="T360" s="230"/>
      <c r="U360" s="230"/>
      <c r="V360" s="230"/>
      <c r="W360" s="230"/>
      <c r="X360" s="230"/>
      <c r="Y360" s="230"/>
      <c r="Z360" s="230"/>
    </row>
    <row r="361">
      <c r="O361" s="230"/>
      <c r="S361" s="230"/>
      <c r="T361" s="230"/>
      <c r="U361" s="230"/>
      <c r="V361" s="230"/>
      <c r="W361" s="230"/>
      <c r="X361" s="230"/>
      <c r="Y361" s="230"/>
      <c r="Z361" s="230"/>
    </row>
    <row r="362">
      <c r="O362" s="230"/>
      <c r="S362" s="230"/>
      <c r="T362" s="230"/>
      <c r="U362" s="230"/>
      <c r="V362" s="230"/>
      <c r="W362" s="230"/>
      <c r="X362" s="230"/>
      <c r="Y362" s="230"/>
      <c r="Z362" s="230"/>
    </row>
    <row r="363">
      <c r="O363" s="230"/>
      <c r="S363" s="230"/>
      <c r="T363" s="230"/>
      <c r="U363" s="230"/>
      <c r="V363" s="230"/>
      <c r="W363" s="230"/>
      <c r="X363" s="230"/>
      <c r="Y363" s="230"/>
      <c r="Z363" s="230"/>
    </row>
    <row r="364">
      <c r="O364" s="230"/>
      <c r="S364" s="230"/>
      <c r="T364" s="230"/>
      <c r="U364" s="230"/>
      <c r="V364" s="230"/>
      <c r="W364" s="230"/>
      <c r="X364" s="230"/>
      <c r="Y364" s="230"/>
      <c r="Z364" s="230"/>
    </row>
    <row r="365">
      <c r="O365" s="230"/>
      <c r="S365" s="230"/>
      <c r="T365" s="230"/>
      <c r="U365" s="230"/>
      <c r="V365" s="230"/>
      <c r="W365" s="230"/>
      <c r="X365" s="230"/>
      <c r="Y365" s="230"/>
      <c r="Z365" s="230"/>
    </row>
    <row r="366">
      <c r="O366" s="230"/>
      <c r="S366" s="230"/>
      <c r="T366" s="230"/>
      <c r="U366" s="230"/>
      <c r="V366" s="230"/>
      <c r="W366" s="230"/>
      <c r="X366" s="230"/>
      <c r="Y366" s="230"/>
      <c r="Z366" s="230"/>
    </row>
    <row r="367">
      <c r="O367" s="230"/>
      <c r="S367" s="230"/>
      <c r="T367" s="230"/>
      <c r="U367" s="230"/>
      <c r="V367" s="230"/>
      <c r="W367" s="230"/>
      <c r="X367" s="230"/>
      <c r="Y367" s="230"/>
      <c r="Z367" s="230"/>
    </row>
    <row r="368">
      <c r="O368" s="230"/>
      <c r="S368" s="230"/>
      <c r="T368" s="230"/>
      <c r="U368" s="230"/>
      <c r="V368" s="230"/>
      <c r="W368" s="230"/>
      <c r="X368" s="230"/>
      <c r="Y368" s="230"/>
      <c r="Z368" s="230"/>
    </row>
    <row r="369">
      <c r="O369" s="230"/>
      <c r="S369" s="230"/>
      <c r="T369" s="230"/>
      <c r="U369" s="230"/>
      <c r="V369" s="230"/>
      <c r="W369" s="230"/>
      <c r="X369" s="230"/>
      <c r="Y369" s="230"/>
      <c r="Z369" s="230"/>
    </row>
    <row r="370">
      <c r="O370" s="230"/>
      <c r="S370" s="230"/>
      <c r="T370" s="230"/>
      <c r="U370" s="230"/>
      <c r="V370" s="230"/>
      <c r="W370" s="230"/>
      <c r="X370" s="230"/>
      <c r="Y370" s="230"/>
      <c r="Z370" s="230"/>
    </row>
    <row r="371">
      <c r="O371" s="230"/>
      <c r="S371" s="230"/>
      <c r="T371" s="230"/>
      <c r="U371" s="230"/>
      <c r="V371" s="230"/>
      <c r="W371" s="230"/>
      <c r="X371" s="230"/>
      <c r="Y371" s="230"/>
      <c r="Z371" s="230"/>
    </row>
    <row r="372">
      <c r="O372" s="230"/>
      <c r="S372" s="230"/>
      <c r="T372" s="230"/>
      <c r="U372" s="230"/>
      <c r="V372" s="230"/>
      <c r="W372" s="230"/>
      <c r="X372" s="230"/>
      <c r="Y372" s="230"/>
      <c r="Z372" s="230"/>
    </row>
    <row r="373">
      <c r="O373" s="230"/>
      <c r="S373" s="230"/>
      <c r="T373" s="230"/>
      <c r="U373" s="230"/>
      <c r="V373" s="230"/>
      <c r="W373" s="230"/>
      <c r="X373" s="230"/>
      <c r="Y373" s="230"/>
      <c r="Z373" s="230"/>
    </row>
    <row r="374">
      <c r="O374" s="230"/>
      <c r="S374" s="230"/>
      <c r="T374" s="230"/>
      <c r="U374" s="230"/>
      <c r="V374" s="230"/>
      <c r="W374" s="230"/>
      <c r="X374" s="230"/>
      <c r="Y374" s="230"/>
      <c r="Z374" s="230"/>
    </row>
    <row r="375">
      <c r="O375" s="230"/>
      <c r="S375" s="230"/>
      <c r="T375" s="230"/>
      <c r="U375" s="230"/>
      <c r="V375" s="230"/>
      <c r="W375" s="230"/>
      <c r="X375" s="230"/>
      <c r="Y375" s="230"/>
      <c r="Z375" s="230"/>
    </row>
    <row r="376">
      <c r="O376" s="230"/>
      <c r="S376" s="230"/>
      <c r="T376" s="230"/>
      <c r="U376" s="230"/>
      <c r="V376" s="230"/>
      <c r="W376" s="230"/>
      <c r="X376" s="230"/>
      <c r="Y376" s="230"/>
      <c r="Z376" s="230"/>
    </row>
    <row r="377">
      <c r="O377" s="230"/>
      <c r="S377" s="230"/>
      <c r="T377" s="230"/>
      <c r="U377" s="230"/>
      <c r="V377" s="230"/>
      <c r="W377" s="230"/>
      <c r="X377" s="230"/>
      <c r="Y377" s="230"/>
      <c r="Z377" s="230"/>
    </row>
    <row r="378">
      <c r="O378" s="230"/>
      <c r="S378" s="230"/>
      <c r="T378" s="230"/>
      <c r="U378" s="230"/>
      <c r="V378" s="230"/>
      <c r="W378" s="230"/>
      <c r="X378" s="230"/>
      <c r="Y378" s="230"/>
      <c r="Z378" s="230"/>
    </row>
    <row r="379">
      <c r="O379" s="230"/>
      <c r="S379" s="230"/>
      <c r="T379" s="230"/>
      <c r="U379" s="230"/>
      <c r="V379" s="230"/>
      <c r="W379" s="230"/>
      <c r="X379" s="230"/>
      <c r="Y379" s="230"/>
      <c r="Z379" s="230"/>
    </row>
    <row r="380">
      <c r="O380" s="230"/>
      <c r="S380" s="230"/>
      <c r="T380" s="230"/>
      <c r="U380" s="230"/>
      <c r="V380" s="230"/>
      <c r="W380" s="230"/>
      <c r="X380" s="230"/>
      <c r="Y380" s="230"/>
      <c r="Z380" s="230"/>
    </row>
    <row r="381">
      <c r="O381" s="230"/>
      <c r="S381" s="230"/>
      <c r="T381" s="230"/>
      <c r="U381" s="230"/>
      <c r="V381" s="230"/>
      <c r="W381" s="230"/>
      <c r="X381" s="230"/>
      <c r="Y381" s="230"/>
      <c r="Z381" s="230"/>
    </row>
    <row r="382">
      <c r="O382" s="230"/>
      <c r="S382" s="230"/>
      <c r="T382" s="230"/>
      <c r="U382" s="230"/>
      <c r="V382" s="230"/>
      <c r="W382" s="230"/>
      <c r="X382" s="230"/>
      <c r="Y382" s="230"/>
      <c r="Z382" s="230"/>
    </row>
    <row r="383">
      <c r="O383" s="230"/>
      <c r="S383" s="230"/>
      <c r="T383" s="230"/>
      <c r="U383" s="230"/>
      <c r="V383" s="230"/>
      <c r="W383" s="230"/>
      <c r="X383" s="230"/>
      <c r="Y383" s="230"/>
      <c r="Z383" s="230"/>
    </row>
    <row r="384">
      <c r="O384" s="230"/>
      <c r="S384" s="230"/>
      <c r="T384" s="230"/>
      <c r="U384" s="230"/>
      <c r="V384" s="230"/>
      <c r="W384" s="230"/>
      <c r="X384" s="230"/>
      <c r="Y384" s="230"/>
      <c r="Z384" s="230"/>
    </row>
    <row r="385">
      <c r="O385" s="230"/>
      <c r="S385" s="230"/>
      <c r="T385" s="230"/>
      <c r="U385" s="230"/>
      <c r="V385" s="230"/>
      <c r="W385" s="230"/>
      <c r="X385" s="230"/>
      <c r="Y385" s="230"/>
      <c r="Z385" s="230"/>
    </row>
    <row r="386">
      <c r="O386" s="230"/>
      <c r="S386" s="230"/>
      <c r="T386" s="230"/>
      <c r="U386" s="230"/>
      <c r="V386" s="230"/>
      <c r="W386" s="230"/>
      <c r="X386" s="230"/>
      <c r="Y386" s="230"/>
      <c r="Z386" s="230"/>
    </row>
    <row r="387">
      <c r="O387" s="230"/>
      <c r="S387" s="230"/>
      <c r="T387" s="230"/>
      <c r="U387" s="230"/>
      <c r="V387" s="230"/>
      <c r="W387" s="230"/>
      <c r="X387" s="230"/>
      <c r="Y387" s="230"/>
      <c r="Z387" s="230"/>
    </row>
    <row r="388">
      <c r="O388" s="230"/>
      <c r="S388" s="230"/>
      <c r="T388" s="230"/>
      <c r="U388" s="230"/>
      <c r="V388" s="230"/>
      <c r="W388" s="230"/>
      <c r="X388" s="230"/>
      <c r="Y388" s="230"/>
      <c r="Z388" s="230"/>
    </row>
    <row r="389">
      <c r="O389" s="230"/>
      <c r="S389" s="230"/>
      <c r="T389" s="230"/>
      <c r="U389" s="230"/>
      <c r="V389" s="230"/>
      <c r="W389" s="230"/>
      <c r="X389" s="230"/>
      <c r="Y389" s="230"/>
      <c r="Z389" s="230"/>
    </row>
    <row r="390">
      <c r="O390" s="230"/>
      <c r="S390" s="230"/>
      <c r="T390" s="230"/>
      <c r="U390" s="230"/>
      <c r="V390" s="230"/>
      <c r="W390" s="230"/>
      <c r="X390" s="230"/>
      <c r="Y390" s="230"/>
      <c r="Z390" s="230"/>
    </row>
    <row r="391">
      <c r="O391" s="230"/>
      <c r="S391" s="230"/>
      <c r="T391" s="230"/>
      <c r="U391" s="230"/>
      <c r="V391" s="230"/>
      <c r="W391" s="230"/>
      <c r="X391" s="230"/>
      <c r="Y391" s="230"/>
      <c r="Z391" s="230"/>
    </row>
    <row r="392">
      <c r="O392" s="230"/>
      <c r="S392" s="230"/>
      <c r="T392" s="230"/>
      <c r="U392" s="230"/>
      <c r="V392" s="230"/>
      <c r="W392" s="230"/>
      <c r="X392" s="230"/>
      <c r="Y392" s="230"/>
      <c r="Z392" s="230"/>
    </row>
    <row r="393">
      <c r="O393" s="230"/>
      <c r="S393" s="230"/>
      <c r="T393" s="230"/>
      <c r="U393" s="230"/>
      <c r="V393" s="230"/>
      <c r="W393" s="230"/>
      <c r="X393" s="230"/>
      <c r="Y393" s="230"/>
      <c r="Z393" s="230"/>
    </row>
    <row r="394">
      <c r="O394" s="230"/>
      <c r="S394" s="230"/>
      <c r="T394" s="230"/>
      <c r="U394" s="230"/>
      <c r="V394" s="230"/>
      <c r="W394" s="230"/>
      <c r="X394" s="230"/>
      <c r="Y394" s="230"/>
      <c r="Z394" s="230"/>
    </row>
    <row r="395">
      <c r="O395" s="230"/>
      <c r="S395" s="230"/>
      <c r="T395" s="230"/>
      <c r="U395" s="230"/>
      <c r="V395" s="230"/>
      <c r="W395" s="230"/>
      <c r="X395" s="230"/>
      <c r="Y395" s="230"/>
      <c r="Z395" s="230"/>
    </row>
    <row r="396">
      <c r="O396" s="230"/>
      <c r="S396" s="230"/>
      <c r="T396" s="230"/>
      <c r="U396" s="230"/>
      <c r="V396" s="230"/>
      <c r="W396" s="230"/>
      <c r="X396" s="230"/>
      <c r="Y396" s="230"/>
      <c r="Z396" s="230"/>
    </row>
    <row r="397">
      <c r="O397" s="230"/>
      <c r="S397" s="230"/>
      <c r="T397" s="230"/>
      <c r="U397" s="230"/>
      <c r="V397" s="230"/>
      <c r="W397" s="230"/>
      <c r="X397" s="230"/>
      <c r="Y397" s="230"/>
      <c r="Z397" s="230"/>
    </row>
    <row r="398">
      <c r="O398" s="230"/>
      <c r="S398" s="230"/>
      <c r="T398" s="230"/>
      <c r="U398" s="230"/>
      <c r="V398" s="230"/>
      <c r="W398" s="230"/>
      <c r="X398" s="230"/>
      <c r="Y398" s="230"/>
      <c r="Z398" s="230"/>
    </row>
    <row r="399">
      <c r="O399" s="230"/>
      <c r="S399" s="230"/>
      <c r="T399" s="230"/>
      <c r="U399" s="230"/>
      <c r="V399" s="230"/>
      <c r="W399" s="230"/>
      <c r="X399" s="230"/>
      <c r="Y399" s="230"/>
      <c r="Z399" s="230"/>
    </row>
    <row r="400">
      <c r="O400" s="230"/>
      <c r="S400" s="230"/>
      <c r="T400" s="230"/>
      <c r="U400" s="230"/>
      <c r="V400" s="230"/>
      <c r="W400" s="230"/>
      <c r="X400" s="230"/>
      <c r="Y400" s="230"/>
      <c r="Z400" s="230"/>
    </row>
    <row r="401">
      <c r="O401" s="230"/>
      <c r="S401" s="230"/>
      <c r="T401" s="230"/>
      <c r="U401" s="230"/>
      <c r="V401" s="230"/>
      <c r="W401" s="230"/>
      <c r="X401" s="230"/>
      <c r="Y401" s="230"/>
      <c r="Z401" s="230"/>
    </row>
    <row r="402">
      <c r="O402" s="230"/>
      <c r="S402" s="230"/>
      <c r="T402" s="230"/>
      <c r="U402" s="230"/>
      <c r="V402" s="230"/>
      <c r="W402" s="230"/>
      <c r="X402" s="230"/>
      <c r="Y402" s="230"/>
      <c r="Z402" s="230"/>
    </row>
    <row r="403">
      <c r="O403" s="230"/>
      <c r="S403" s="230"/>
      <c r="T403" s="230"/>
      <c r="U403" s="230"/>
      <c r="V403" s="230"/>
      <c r="W403" s="230"/>
      <c r="X403" s="230"/>
      <c r="Y403" s="230"/>
      <c r="Z403" s="230"/>
    </row>
    <row r="404">
      <c r="O404" s="230"/>
      <c r="S404" s="230"/>
      <c r="T404" s="230"/>
      <c r="U404" s="230"/>
      <c r="V404" s="230"/>
      <c r="W404" s="230"/>
      <c r="X404" s="230"/>
      <c r="Y404" s="230"/>
      <c r="Z404" s="230"/>
    </row>
    <row r="405">
      <c r="O405" s="230"/>
      <c r="S405" s="230"/>
      <c r="T405" s="230"/>
      <c r="U405" s="230"/>
      <c r="V405" s="230"/>
      <c r="W405" s="230"/>
      <c r="X405" s="230"/>
      <c r="Y405" s="230"/>
      <c r="Z405" s="230"/>
    </row>
    <row r="406">
      <c r="O406" s="230"/>
      <c r="S406" s="230"/>
      <c r="T406" s="230"/>
      <c r="U406" s="230"/>
      <c r="V406" s="230"/>
      <c r="W406" s="230"/>
      <c r="X406" s="230"/>
      <c r="Y406" s="230"/>
      <c r="Z406" s="230"/>
    </row>
    <row r="407">
      <c r="O407" s="230"/>
      <c r="S407" s="230"/>
      <c r="T407" s="230"/>
      <c r="U407" s="230"/>
      <c r="V407" s="230"/>
      <c r="W407" s="230"/>
      <c r="X407" s="230"/>
      <c r="Y407" s="230"/>
      <c r="Z407" s="230"/>
    </row>
    <row r="408">
      <c r="O408" s="230"/>
      <c r="S408" s="230"/>
      <c r="T408" s="230"/>
      <c r="U408" s="230"/>
      <c r="V408" s="230"/>
      <c r="W408" s="230"/>
      <c r="X408" s="230"/>
      <c r="Y408" s="230"/>
      <c r="Z408" s="230"/>
    </row>
    <row r="409">
      <c r="O409" s="230"/>
      <c r="S409" s="230"/>
      <c r="T409" s="230"/>
      <c r="U409" s="230"/>
      <c r="V409" s="230"/>
      <c r="W409" s="230"/>
      <c r="X409" s="230"/>
      <c r="Y409" s="230"/>
      <c r="Z409" s="230"/>
    </row>
    <row r="410">
      <c r="O410" s="230"/>
      <c r="S410" s="230"/>
      <c r="T410" s="230"/>
      <c r="U410" s="230"/>
      <c r="V410" s="230"/>
      <c r="W410" s="230"/>
      <c r="X410" s="230"/>
      <c r="Y410" s="230"/>
      <c r="Z410" s="230"/>
    </row>
    <row r="411">
      <c r="O411" s="230"/>
      <c r="S411" s="230"/>
      <c r="T411" s="230"/>
      <c r="U411" s="230"/>
      <c r="V411" s="230"/>
      <c r="W411" s="230"/>
      <c r="X411" s="230"/>
      <c r="Y411" s="230"/>
      <c r="Z411" s="230"/>
    </row>
    <row r="412">
      <c r="O412" s="230"/>
      <c r="S412" s="230"/>
      <c r="T412" s="230"/>
      <c r="U412" s="230"/>
      <c r="V412" s="230"/>
      <c r="W412" s="230"/>
      <c r="X412" s="230"/>
      <c r="Y412" s="230"/>
      <c r="Z412" s="230"/>
    </row>
    <row r="413">
      <c r="O413" s="230"/>
      <c r="S413" s="230"/>
      <c r="T413" s="230"/>
      <c r="U413" s="230"/>
      <c r="V413" s="230"/>
      <c r="W413" s="230"/>
      <c r="X413" s="230"/>
      <c r="Y413" s="230"/>
      <c r="Z413" s="230"/>
    </row>
    <row r="414">
      <c r="O414" s="230"/>
      <c r="S414" s="230"/>
      <c r="T414" s="230"/>
      <c r="U414" s="230"/>
      <c r="V414" s="230"/>
      <c r="W414" s="230"/>
      <c r="X414" s="230"/>
      <c r="Y414" s="230"/>
      <c r="Z414" s="230"/>
    </row>
    <row r="415">
      <c r="O415" s="230"/>
      <c r="S415" s="230"/>
      <c r="T415" s="230"/>
      <c r="U415" s="230"/>
      <c r="V415" s="230"/>
      <c r="W415" s="230"/>
      <c r="X415" s="230"/>
      <c r="Y415" s="230"/>
      <c r="Z415" s="230"/>
    </row>
    <row r="416">
      <c r="O416" s="230"/>
      <c r="S416" s="230"/>
      <c r="T416" s="230"/>
      <c r="U416" s="230"/>
      <c r="V416" s="230"/>
      <c r="W416" s="230"/>
      <c r="X416" s="230"/>
      <c r="Y416" s="230"/>
      <c r="Z416" s="230"/>
    </row>
    <row r="417">
      <c r="O417" s="230"/>
      <c r="S417" s="230"/>
      <c r="T417" s="230"/>
      <c r="U417" s="230"/>
      <c r="V417" s="230"/>
      <c r="W417" s="230"/>
      <c r="X417" s="230"/>
      <c r="Y417" s="230"/>
      <c r="Z417" s="230"/>
    </row>
    <row r="418">
      <c r="O418" s="230"/>
      <c r="S418" s="230"/>
      <c r="T418" s="230"/>
      <c r="U418" s="230"/>
      <c r="V418" s="230"/>
      <c r="W418" s="230"/>
      <c r="X418" s="230"/>
      <c r="Y418" s="230"/>
      <c r="Z418" s="230"/>
    </row>
    <row r="419">
      <c r="O419" s="230"/>
      <c r="S419" s="230"/>
      <c r="T419" s="230"/>
      <c r="U419" s="230"/>
      <c r="V419" s="230"/>
      <c r="W419" s="230"/>
      <c r="X419" s="230"/>
      <c r="Y419" s="230"/>
      <c r="Z419" s="230"/>
    </row>
    <row r="420">
      <c r="O420" s="230"/>
      <c r="S420" s="230"/>
      <c r="T420" s="230"/>
      <c r="U420" s="230"/>
      <c r="V420" s="230"/>
      <c r="W420" s="230"/>
      <c r="X420" s="230"/>
      <c r="Y420" s="230"/>
      <c r="Z420" s="230"/>
    </row>
    <row r="421">
      <c r="O421" s="230"/>
      <c r="S421" s="230"/>
      <c r="T421" s="230"/>
      <c r="U421" s="230"/>
      <c r="V421" s="230"/>
      <c r="W421" s="230"/>
      <c r="X421" s="230"/>
      <c r="Y421" s="230"/>
      <c r="Z421" s="230"/>
    </row>
    <row r="422">
      <c r="O422" s="230"/>
      <c r="S422" s="230"/>
      <c r="T422" s="230"/>
      <c r="U422" s="230"/>
      <c r="V422" s="230"/>
      <c r="W422" s="230"/>
      <c r="X422" s="230"/>
      <c r="Y422" s="230"/>
      <c r="Z422" s="230"/>
    </row>
    <row r="423">
      <c r="O423" s="230"/>
      <c r="S423" s="230"/>
      <c r="T423" s="230"/>
      <c r="U423" s="230"/>
      <c r="V423" s="230"/>
      <c r="W423" s="230"/>
      <c r="X423" s="230"/>
      <c r="Y423" s="230"/>
      <c r="Z423" s="230"/>
    </row>
    <row r="424">
      <c r="O424" s="230"/>
      <c r="S424" s="230"/>
      <c r="T424" s="230"/>
      <c r="U424" s="230"/>
      <c r="V424" s="230"/>
      <c r="W424" s="230"/>
      <c r="X424" s="230"/>
      <c r="Y424" s="230"/>
      <c r="Z424" s="230"/>
    </row>
    <row r="425">
      <c r="O425" s="230"/>
      <c r="S425" s="230"/>
      <c r="T425" s="230"/>
      <c r="U425" s="230"/>
      <c r="V425" s="230"/>
      <c r="W425" s="230"/>
      <c r="X425" s="230"/>
      <c r="Y425" s="230"/>
      <c r="Z425" s="230"/>
    </row>
    <row r="426">
      <c r="O426" s="230"/>
      <c r="S426" s="230"/>
      <c r="T426" s="230"/>
      <c r="U426" s="230"/>
      <c r="V426" s="230"/>
      <c r="W426" s="230"/>
      <c r="X426" s="230"/>
      <c r="Y426" s="230"/>
      <c r="Z426" s="230"/>
    </row>
    <row r="427">
      <c r="O427" s="230"/>
      <c r="S427" s="230"/>
      <c r="T427" s="230"/>
      <c r="U427" s="230"/>
      <c r="V427" s="230"/>
      <c r="W427" s="230"/>
      <c r="X427" s="230"/>
      <c r="Y427" s="230"/>
      <c r="Z427" s="230"/>
    </row>
    <row r="428">
      <c r="O428" s="230"/>
      <c r="S428" s="230"/>
      <c r="T428" s="230"/>
      <c r="U428" s="230"/>
      <c r="V428" s="230"/>
      <c r="W428" s="230"/>
      <c r="X428" s="230"/>
      <c r="Y428" s="230"/>
      <c r="Z428" s="230"/>
    </row>
    <row r="429">
      <c r="O429" s="230"/>
      <c r="S429" s="230"/>
      <c r="T429" s="230"/>
      <c r="U429" s="230"/>
      <c r="V429" s="230"/>
      <c r="W429" s="230"/>
      <c r="X429" s="230"/>
      <c r="Y429" s="230"/>
      <c r="Z429" s="230"/>
    </row>
    <row r="430">
      <c r="O430" s="230"/>
      <c r="S430" s="230"/>
      <c r="T430" s="230"/>
      <c r="U430" s="230"/>
      <c r="V430" s="230"/>
      <c r="W430" s="230"/>
      <c r="X430" s="230"/>
      <c r="Y430" s="230"/>
      <c r="Z430" s="230"/>
    </row>
    <row r="431">
      <c r="O431" s="230"/>
      <c r="S431" s="230"/>
      <c r="T431" s="230"/>
      <c r="U431" s="230"/>
      <c r="V431" s="230"/>
      <c r="W431" s="230"/>
      <c r="X431" s="230"/>
      <c r="Y431" s="230"/>
      <c r="Z431" s="230"/>
    </row>
    <row r="432">
      <c r="O432" s="230"/>
      <c r="S432" s="230"/>
      <c r="T432" s="230"/>
      <c r="U432" s="230"/>
      <c r="V432" s="230"/>
      <c r="W432" s="230"/>
      <c r="X432" s="230"/>
      <c r="Y432" s="230"/>
      <c r="Z432" s="230"/>
    </row>
    <row r="433">
      <c r="O433" s="230"/>
      <c r="S433" s="230"/>
      <c r="T433" s="230"/>
      <c r="U433" s="230"/>
      <c r="V433" s="230"/>
      <c r="W433" s="230"/>
      <c r="X433" s="230"/>
      <c r="Y433" s="230"/>
      <c r="Z433" s="230"/>
    </row>
    <row r="434">
      <c r="O434" s="230"/>
      <c r="S434" s="230"/>
      <c r="T434" s="230"/>
      <c r="U434" s="230"/>
      <c r="V434" s="230"/>
      <c r="W434" s="230"/>
      <c r="X434" s="230"/>
      <c r="Y434" s="230"/>
      <c r="Z434" s="230"/>
    </row>
    <row r="435">
      <c r="O435" s="230"/>
      <c r="S435" s="230"/>
      <c r="T435" s="230"/>
      <c r="U435" s="230"/>
      <c r="V435" s="230"/>
      <c r="W435" s="230"/>
      <c r="X435" s="230"/>
      <c r="Y435" s="230"/>
      <c r="Z435" s="230"/>
    </row>
    <row r="436">
      <c r="O436" s="230"/>
      <c r="S436" s="230"/>
      <c r="T436" s="230"/>
      <c r="U436" s="230"/>
      <c r="V436" s="230"/>
      <c r="W436" s="230"/>
      <c r="X436" s="230"/>
      <c r="Y436" s="230"/>
      <c r="Z436" s="230"/>
    </row>
    <row r="437">
      <c r="O437" s="230"/>
      <c r="S437" s="230"/>
      <c r="T437" s="230"/>
      <c r="U437" s="230"/>
      <c r="V437" s="230"/>
      <c r="W437" s="230"/>
      <c r="X437" s="230"/>
      <c r="Y437" s="230"/>
      <c r="Z437" s="230"/>
    </row>
    <row r="438">
      <c r="O438" s="230"/>
      <c r="S438" s="230"/>
      <c r="T438" s="230"/>
      <c r="U438" s="230"/>
      <c r="V438" s="230"/>
      <c r="W438" s="230"/>
      <c r="X438" s="230"/>
      <c r="Y438" s="230"/>
      <c r="Z438" s="230"/>
    </row>
    <row r="439">
      <c r="O439" s="230"/>
      <c r="S439" s="230"/>
      <c r="T439" s="230"/>
      <c r="U439" s="230"/>
      <c r="V439" s="230"/>
      <c r="W439" s="230"/>
      <c r="X439" s="230"/>
      <c r="Y439" s="230"/>
      <c r="Z439" s="230"/>
    </row>
    <row r="440">
      <c r="O440" s="230"/>
      <c r="S440" s="230"/>
      <c r="T440" s="230"/>
      <c r="U440" s="230"/>
      <c r="V440" s="230"/>
      <c r="W440" s="230"/>
      <c r="X440" s="230"/>
      <c r="Y440" s="230"/>
      <c r="Z440" s="230"/>
    </row>
    <row r="441">
      <c r="O441" s="230"/>
      <c r="S441" s="230"/>
      <c r="T441" s="230"/>
      <c r="U441" s="230"/>
      <c r="V441" s="230"/>
      <c r="W441" s="230"/>
      <c r="X441" s="230"/>
      <c r="Y441" s="230"/>
      <c r="Z441" s="230"/>
    </row>
    <row r="442">
      <c r="O442" s="230"/>
      <c r="S442" s="230"/>
      <c r="T442" s="230"/>
      <c r="U442" s="230"/>
      <c r="V442" s="230"/>
      <c r="W442" s="230"/>
      <c r="X442" s="230"/>
      <c r="Y442" s="230"/>
      <c r="Z442" s="230"/>
    </row>
    <row r="443">
      <c r="O443" s="230"/>
      <c r="S443" s="230"/>
      <c r="T443" s="230"/>
      <c r="U443" s="230"/>
      <c r="V443" s="230"/>
      <c r="W443" s="230"/>
      <c r="X443" s="230"/>
      <c r="Y443" s="230"/>
      <c r="Z443" s="230"/>
    </row>
    <row r="444">
      <c r="O444" s="230"/>
      <c r="S444" s="230"/>
      <c r="T444" s="230"/>
      <c r="U444" s="230"/>
      <c r="V444" s="230"/>
      <c r="W444" s="230"/>
      <c r="X444" s="230"/>
      <c r="Y444" s="230"/>
      <c r="Z444" s="230"/>
    </row>
    <row r="445">
      <c r="O445" s="230"/>
      <c r="S445" s="230"/>
      <c r="T445" s="230"/>
      <c r="U445" s="230"/>
      <c r="V445" s="230"/>
      <c r="W445" s="230"/>
      <c r="X445" s="230"/>
      <c r="Y445" s="230"/>
      <c r="Z445" s="230"/>
    </row>
    <row r="446">
      <c r="O446" s="230"/>
      <c r="S446" s="230"/>
      <c r="T446" s="230"/>
      <c r="U446" s="230"/>
      <c r="V446" s="230"/>
      <c r="W446" s="230"/>
      <c r="X446" s="230"/>
      <c r="Y446" s="230"/>
      <c r="Z446" s="230"/>
    </row>
    <row r="447">
      <c r="O447" s="230"/>
      <c r="S447" s="230"/>
      <c r="T447" s="230"/>
      <c r="U447" s="230"/>
      <c r="V447" s="230"/>
      <c r="W447" s="230"/>
      <c r="X447" s="230"/>
      <c r="Y447" s="230"/>
      <c r="Z447" s="230"/>
    </row>
    <row r="448">
      <c r="O448" s="230"/>
      <c r="S448" s="230"/>
      <c r="T448" s="230"/>
      <c r="U448" s="230"/>
      <c r="V448" s="230"/>
      <c r="W448" s="230"/>
      <c r="X448" s="230"/>
      <c r="Y448" s="230"/>
      <c r="Z448" s="230"/>
    </row>
    <row r="449">
      <c r="O449" s="230"/>
      <c r="S449" s="230"/>
      <c r="T449" s="230"/>
      <c r="U449" s="230"/>
      <c r="V449" s="230"/>
      <c r="W449" s="230"/>
      <c r="X449" s="230"/>
      <c r="Y449" s="230"/>
      <c r="Z449" s="230"/>
    </row>
    <row r="450">
      <c r="O450" s="230"/>
      <c r="S450" s="230"/>
      <c r="T450" s="230"/>
      <c r="U450" s="230"/>
      <c r="V450" s="230"/>
      <c r="W450" s="230"/>
      <c r="X450" s="230"/>
      <c r="Y450" s="230"/>
      <c r="Z450" s="230"/>
    </row>
    <row r="451">
      <c r="O451" s="230"/>
      <c r="S451" s="230"/>
      <c r="T451" s="230"/>
      <c r="U451" s="230"/>
      <c r="V451" s="230"/>
      <c r="W451" s="230"/>
      <c r="X451" s="230"/>
      <c r="Y451" s="230"/>
      <c r="Z451" s="230"/>
    </row>
    <row r="452">
      <c r="O452" s="230"/>
      <c r="S452" s="230"/>
      <c r="T452" s="230"/>
      <c r="U452" s="230"/>
      <c r="V452" s="230"/>
      <c r="W452" s="230"/>
      <c r="X452" s="230"/>
      <c r="Y452" s="230"/>
      <c r="Z452" s="230"/>
    </row>
    <row r="453">
      <c r="O453" s="230"/>
      <c r="S453" s="230"/>
      <c r="T453" s="230"/>
      <c r="U453" s="230"/>
      <c r="V453" s="230"/>
      <c r="W453" s="230"/>
      <c r="X453" s="230"/>
      <c r="Y453" s="230"/>
      <c r="Z453" s="230"/>
    </row>
    <row r="454">
      <c r="O454" s="230"/>
      <c r="S454" s="230"/>
      <c r="T454" s="230"/>
      <c r="U454" s="230"/>
      <c r="V454" s="230"/>
      <c r="W454" s="230"/>
      <c r="X454" s="230"/>
      <c r="Y454" s="230"/>
      <c r="Z454" s="230"/>
    </row>
    <row r="455">
      <c r="O455" s="230"/>
      <c r="S455" s="230"/>
      <c r="T455" s="230"/>
      <c r="U455" s="230"/>
      <c r="V455" s="230"/>
      <c r="W455" s="230"/>
      <c r="X455" s="230"/>
      <c r="Y455" s="230"/>
      <c r="Z455" s="230"/>
    </row>
    <row r="456">
      <c r="O456" s="230"/>
      <c r="S456" s="230"/>
      <c r="T456" s="230"/>
      <c r="U456" s="230"/>
      <c r="V456" s="230"/>
      <c r="W456" s="230"/>
      <c r="X456" s="230"/>
      <c r="Y456" s="230"/>
      <c r="Z456" s="230"/>
    </row>
    <row r="457">
      <c r="O457" s="230"/>
      <c r="S457" s="230"/>
      <c r="T457" s="230"/>
      <c r="U457" s="230"/>
      <c r="V457" s="230"/>
      <c r="W457" s="230"/>
      <c r="X457" s="230"/>
      <c r="Y457" s="230"/>
      <c r="Z457" s="230"/>
    </row>
    <row r="458">
      <c r="O458" s="230"/>
      <c r="S458" s="230"/>
      <c r="T458" s="230"/>
      <c r="U458" s="230"/>
      <c r="V458" s="230"/>
      <c r="W458" s="230"/>
      <c r="X458" s="230"/>
      <c r="Y458" s="230"/>
      <c r="Z458" s="230"/>
    </row>
    <row r="459">
      <c r="O459" s="230"/>
      <c r="S459" s="230"/>
      <c r="T459" s="230"/>
      <c r="U459" s="230"/>
      <c r="V459" s="230"/>
      <c r="W459" s="230"/>
      <c r="X459" s="230"/>
      <c r="Y459" s="230"/>
      <c r="Z459" s="230"/>
    </row>
    <row r="460">
      <c r="O460" s="230"/>
      <c r="S460" s="230"/>
      <c r="T460" s="230"/>
      <c r="U460" s="230"/>
      <c r="V460" s="230"/>
      <c r="W460" s="230"/>
      <c r="X460" s="230"/>
      <c r="Y460" s="230"/>
      <c r="Z460" s="230"/>
    </row>
    <row r="461">
      <c r="O461" s="230"/>
      <c r="S461" s="230"/>
      <c r="T461" s="230"/>
      <c r="U461" s="230"/>
      <c r="V461" s="230"/>
      <c r="W461" s="230"/>
      <c r="X461" s="230"/>
      <c r="Y461" s="230"/>
      <c r="Z461" s="230"/>
    </row>
    <row r="462">
      <c r="O462" s="230"/>
      <c r="S462" s="230"/>
      <c r="T462" s="230"/>
      <c r="U462" s="230"/>
      <c r="V462" s="230"/>
      <c r="W462" s="230"/>
      <c r="X462" s="230"/>
      <c r="Y462" s="230"/>
      <c r="Z462" s="230"/>
    </row>
    <row r="463">
      <c r="O463" s="230"/>
      <c r="S463" s="230"/>
      <c r="T463" s="230"/>
      <c r="U463" s="230"/>
      <c r="V463" s="230"/>
      <c r="W463" s="230"/>
      <c r="X463" s="230"/>
      <c r="Y463" s="230"/>
      <c r="Z463" s="230"/>
    </row>
    <row r="464">
      <c r="O464" s="230"/>
      <c r="S464" s="230"/>
      <c r="T464" s="230"/>
      <c r="U464" s="230"/>
      <c r="V464" s="230"/>
      <c r="W464" s="230"/>
      <c r="X464" s="230"/>
      <c r="Y464" s="230"/>
      <c r="Z464" s="230"/>
    </row>
    <row r="465">
      <c r="O465" s="230"/>
      <c r="S465" s="230"/>
      <c r="T465" s="230"/>
      <c r="U465" s="230"/>
      <c r="V465" s="230"/>
      <c r="W465" s="230"/>
      <c r="X465" s="230"/>
      <c r="Y465" s="230"/>
      <c r="Z465" s="230"/>
    </row>
    <row r="466">
      <c r="O466" s="230"/>
      <c r="S466" s="230"/>
      <c r="T466" s="230"/>
      <c r="U466" s="230"/>
      <c r="V466" s="230"/>
      <c r="W466" s="230"/>
      <c r="X466" s="230"/>
      <c r="Y466" s="230"/>
      <c r="Z466" s="230"/>
    </row>
    <row r="467">
      <c r="O467" s="230"/>
      <c r="S467" s="230"/>
      <c r="T467" s="230"/>
      <c r="U467" s="230"/>
      <c r="V467" s="230"/>
      <c r="W467" s="230"/>
      <c r="X467" s="230"/>
      <c r="Y467" s="230"/>
      <c r="Z467" s="230"/>
    </row>
    <row r="468">
      <c r="O468" s="230"/>
      <c r="S468" s="230"/>
      <c r="T468" s="230"/>
      <c r="U468" s="230"/>
      <c r="V468" s="230"/>
      <c r="W468" s="230"/>
      <c r="X468" s="230"/>
      <c r="Y468" s="230"/>
      <c r="Z468" s="230"/>
    </row>
    <row r="469">
      <c r="O469" s="230"/>
      <c r="S469" s="230"/>
      <c r="T469" s="230"/>
      <c r="U469" s="230"/>
      <c r="V469" s="230"/>
      <c r="W469" s="230"/>
      <c r="X469" s="230"/>
      <c r="Y469" s="230"/>
      <c r="Z469" s="230"/>
    </row>
    <row r="470">
      <c r="O470" s="230"/>
      <c r="S470" s="230"/>
      <c r="T470" s="230"/>
      <c r="U470" s="230"/>
      <c r="V470" s="230"/>
      <c r="W470" s="230"/>
      <c r="X470" s="230"/>
      <c r="Y470" s="230"/>
      <c r="Z470" s="230"/>
    </row>
    <row r="471">
      <c r="O471" s="230"/>
      <c r="S471" s="230"/>
      <c r="T471" s="230"/>
      <c r="U471" s="230"/>
      <c r="V471" s="230"/>
      <c r="W471" s="230"/>
      <c r="X471" s="230"/>
      <c r="Y471" s="230"/>
      <c r="Z471" s="230"/>
    </row>
    <row r="472">
      <c r="O472" s="230"/>
      <c r="S472" s="230"/>
      <c r="T472" s="230"/>
      <c r="U472" s="230"/>
      <c r="V472" s="230"/>
      <c r="W472" s="230"/>
      <c r="X472" s="230"/>
      <c r="Y472" s="230"/>
      <c r="Z472" s="230"/>
    </row>
    <row r="473">
      <c r="O473" s="230"/>
      <c r="S473" s="230"/>
      <c r="T473" s="230"/>
      <c r="U473" s="230"/>
      <c r="V473" s="230"/>
      <c r="W473" s="230"/>
      <c r="X473" s="230"/>
      <c r="Y473" s="230"/>
      <c r="Z473" s="230"/>
    </row>
    <row r="474">
      <c r="O474" s="230"/>
      <c r="S474" s="230"/>
      <c r="T474" s="230"/>
      <c r="U474" s="230"/>
      <c r="V474" s="230"/>
      <c r="W474" s="230"/>
      <c r="X474" s="230"/>
      <c r="Y474" s="230"/>
      <c r="Z474" s="230"/>
    </row>
    <row r="475">
      <c r="O475" s="230"/>
      <c r="S475" s="230"/>
      <c r="T475" s="230"/>
      <c r="U475" s="230"/>
      <c r="V475" s="230"/>
      <c r="W475" s="230"/>
      <c r="X475" s="230"/>
      <c r="Y475" s="230"/>
      <c r="Z475" s="230"/>
    </row>
    <row r="476">
      <c r="O476" s="230"/>
      <c r="S476" s="230"/>
      <c r="T476" s="230"/>
      <c r="U476" s="230"/>
      <c r="V476" s="230"/>
      <c r="W476" s="230"/>
      <c r="X476" s="230"/>
      <c r="Y476" s="230"/>
      <c r="Z476" s="230"/>
    </row>
    <row r="477">
      <c r="O477" s="230"/>
      <c r="S477" s="230"/>
      <c r="T477" s="230"/>
      <c r="U477" s="230"/>
      <c r="V477" s="230"/>
      <c r="W477" s="230"/>
      <c r="X477" s="230"/>
      <c r="Y477" s="230"/>
      <c r="Z477" s="230"/>
    </row>
    <row r="478">
      <c r="O478" s="230"/>
      <c r="S478" s="230"/>
      <c r="T478" s="230"/>
      <c r="U478" s="230"/>
      <c r="V478" s="230"/>
      <c r="W478" s="230"/>
      <c r="X478" s="230"/>
      <c r="Y478" s="230"/>
      <c r="Z478" s="230"/>
    </row>
    <row r="479">
      <c r="O479" s="230"/>
      <c r="S479" s="230"/>
      <c r="T479" s="230"/>
      <c r="U479" s="230"/>
      <c r="V479" s="230"/>
      <c r="W479" s="230"/>
      <c r="X479" s="230"/>
      <c r="Y479" s="230"/>
      <c r="Z479" s="230"/>
    </row>
    <row r="480">
      <c r="O480" s="230"/>
      <c r="S480" s="230"/>
      <c r="T480" s="230"/>
      <c r="U480" s="230"/>
      <c r="V480" s="230"/>
      <c r="W480" s="230"/>
      <c r="X480" s="230"/>
      <c r="Y480" s="230"/>
      <c r="Z480" s="230"/>
    </row>
    <row r="481">
      <c r="O481" s="230"/>
      <c r="S481" s="230"/>
      <c r="T481" s="230"/>
      <c r="U481" s="230"/>
      <c r="V481" s="230"/>
      <c r="W481" s="230"/>
      <c r="X481" s="230"/>
      <c r="Y481" s="230"/>
      <c r="Z481" s="230"/>
    </row>
    <row r="482">
      <c r="O482" s="230"/>
      <c r="S482" s="230"/>
      <c r="T482" s="230"/>
      <c r="U482" s="230"/>
      <c r="V482" s="230"/>
      <c r="W482" s="230"/>
      <c r="X482" s="230"/>
      <c r="Y482" s="230"/>
      <c r="Z482" s="230"/>
    </row>
    <row r="483">
      <c r="O483" s="230"/>
      <c r="S483" s="230"/>
      <c r="T483" s="230"/>
      <c r="U483" s="230"/>
      <c r="V483" s="230"/>
      <c r="W483" s="230"/>
      <c r="X483" s="230"/>
      <c r="Y483" s="230"/>
      <c r="Z483" s="230"/>
    </row>
    <row r="484">
      <c r="O484" s="230"/>
      <c r="S484" s="230"/>
      <c r="T484" s="230"/>
      <c r="U484" s="230"/>
      <c r="V484" s="230"/>
      <c r="W484" s="230"/>
      <c r="X484" s="230"/>
      <c r="Y484" s="230"/>
      <c r="Z484" s="230"/>
    </row>
    <row r="485">
      <c r="O485" s="230"/>
      <c r="S485" s="230"/>
      <c r="T485" s="230"/>
      <c r="U485" s="230"/>
      <c r="V485" s="230"/>
      <c r="W485" s="230"/>
      <c r="X485" s="230"/>
      <c r="Y485" s="230"/>
      <c r="Z485" s="230"/>
    </row>
    <row r="486">
      <c r="O486" s="230"/>
      <c r="S486" s="230"/>
      <c r="T486" s="230"/>
      <c r="U486" s="230"/>
      <c r="V486" s="230"/>
      <c r="W486" s="230"/>
      <c r="X486" s="230"/>
      <c r="Y486" s="230"/>
      <c r="Z486" s="230"/>
    </row>
    <row r="487">
      <c r="O487" s="230"/>
      <c r="S487" s="230"/>
      <c r="T487" s="230"/>
      <c r="U487" s="230"/>
      <c r="V487" s="230"/>
      <c r="W487" s="230"/>
      <c r="X487" s="230"/>
      <c r="Y487" s="230"/>
      <c r="Z487" s="230"/>
    </row>
    <row r="488">
      <c r="O488" s="230"/>
      <c r="S488" s="230"/>
      <c r="T488" s="230"/>
      <c r="U488" s="230"/>
      <c r="V488" s="230"/>
      <c r="W488" s="230"/>
      <c r="X488" s="230"/>
      <c r="Y488" s="230"/>
      <c r="Z488" s="230"/>
    </row>
    <row r="489">
      <c r="O489" s="230"/>
      <c r="S489" s="230"/>
      <c r="T489" s="230"/>
      <c r="U489" s="230"/>
      <c r="V489" s="230"/>
      <c r="W489" s="230"/>
      <c r="X489" s="230"/>
      <c r="Y489" s="230"/>
      <c r="Z489" s="230"/>
    </row>
    <row r="490">
      <c r="O490" s="230"/>
      <c r="S490" s="230"/>
      <c r="T490" s="230"/>
      <c r="U490" s="230"/>
      <c r="V490" s="230"/>
      <c r="W490" s="230"/>
      <c r="X490" s="230"/>
      <c r="Y490" s="230"/>
      <c r="Z490" s="230"/>
    </row>
    <row r="491">
      <c r="O491" s="230"/>
      <c r="S491" s="230"/>
      <c r="T491" s="230"/>
      <c r="U491" s="230"/>
      <c r="V491" s="230"/>
      <c r="W491" s="230"/>
      <c r="X491" s="230"/>
      <c r="Y491" s="230"/>
      <c r="Z491" s="230"/>
    </row>
    <row r="492">
      <c r="O492" s="230"/>
      <c r="S492" s="230"/>
      <c r="T492" s="230"/>
      <c r="U492" s="230"/>
      <c r="V492" s="230"/>
      <c r="W492" s="230"/>
      <c r="X492" s="230"/>
      <c r="Y492" s="230"/>
      <c r="Z492" s="230"/>
    </row>
    <row r="493">
      <c r="O493" s="230"/>
      <c r="S493" s="230"/>
      <c r="T493" s="230"/>
      <c r="U493" s="230"/>
      <c r="V493" s="230"/>
      <c r="W493" s="230"/>
      <c r="X493" s="230"/>
      <c r="Y493" s="230"/>
      <c r="Z493" s="230"/>
    </row>
    <row r="494">
      <c r="O494" s="230"/>
      <c r="S494" s="230"/>
      <c r="T494" s="230"/>
      <c r="U494" s="230"/>
      <c r="V494" s="230"/>
      <c r="W494" s="230"/>
      <c r="X494" s="230"/>
      <c r="Y494" s="230"/>
      <c r="Z494" s="230"/>
    </row>
    <row r="495">
      <c r="O495" s="230"/>
      <c r="S495" s="230"/>
      <c r="T495" s="230"/>
      <c r="U495" s="230"/>
      <c r="V495" s="230"/>
      <c r="W495" s="230"/>
      <c r="X495" s="230"/>
      <c r="Y495" s="230"/>
      <c r="Z495" s="230"/>
    </row>
    <row r="496">
      <c r="O496" s="230"/>
      <c r="S496" s="230"/>
      <c r="T496" s="230"/>
      <c r="U496" s="230"/>
      <c r="V496" s="230"/>
      <c r="W496" s="230"/>
      <c r="X496" s="230"/>
      <c r="Y496" s="230"/>
      <c r="Z496" s="230"/>
    </row>
    <row r="497">
      <c r="O497" s="230"/>
      <c r="S497" s="230"/>
      <c r="T497" s="230"/>
      <c r="U497" s="230"/>
      <c r="V497" s="230"/>
      <c r="W497" s="230"/>
      <c r="X497" s="230"/>
      <c r="Y497" s="230"/>
      <c r="Z497" s="230"/>
    </row>
    <row r="498">
      <c r="O498" s="230"/>
      <c r="S498" s="230"/>
      <c r="T498" s="230"/>
      <c r="U498" s="230"/>
      <c r="V498" s="230"/>
      <c r="W498" s="230"/>
      <c r="X498" s="230"/>
      <c r="Y498" s="230"/>
      <c r="Z498" s="230"/>
    </row>
    <row r="499">
      <c r="O499" s="230"/>
      <c r="S499" s="230"/>
      <c r="T499" s="230"/>
      <c r="U499" s="230"/>
      <c r="V499" s="230"/>
      <c r="W499" s="230"/>
      <c r="X499" s="230"/>
      <c r="Y499" s="230"/>
      <c r="Z499" s="230"/>
    </row>
    <row r="500">
      <c r="O500" s="230"/>
      <c r="S500" s="230"/>
      <c r="T500" s="230"/>
      <c r="U500" s="230"/>
      <c r="V500" s="230"/>
      <c r="W500" s="230"/>
      <c r="X500" s="230"/>
      <c r="Y500" s="230"/>
      <c r="Z500" s="230"/>
    </row>
    <row r="501">
      <c r="O501" s="230"/>
      <c r="S501" s="230"/>
      <c r="T501" s="230"/>
      <c r="U501" s="230"/>
      <c r="V501" s="230"/>
      <c r="W501" s="230"/>
      <c r="X501" s="230"/>
      <c r="Y501" s="230"/>
      <c r="Z501" s="230"/>
    </row>
    <row r="502">
      <c r="O502" s="230"/>
      <c r="S502" s="230"/>
      <c r="T502" s="230"/>
      <c r="U502" s="230"/>
      <c r="V502" s="230"/>
      <c r="W502" s="230"/>
      <c r="X502" s="230"/>
      <c r="Y502" s="230"/>
      <c r="Z502" s="230"/>
    </row>
    <row r="503">
      <c r="O503" s="230"/>
      <c r="S503" s="230"/>
      <c r="T503" s="230"/>
      <c r="U503" s="230"/>
      <c r="V503" s="230"/>
      <c r="W503" s="230"/>
      <c r="X503" s="230"/>
      <c r="Y503" s="230"/>
      <c r="Z503" s="230"/>
    </row>
    <row r="504">
      <c r="O504" s="230"/>
      <c r="S504" s="230"/>
      <c r="T504" s="230"/>
      <c r="U504" s="230"/>
      <c r="V504" s="230"/>
      <c r="W504" s="230"/>
      <c r="X504" s="230"/>
      <c r="Y504" s="230"/>
      <c r="Z504" s="230"/>
    </row>
    <row r="505">
      <c r="O505" s="230"/>
      <c r="S505" s="230"/>
      <c r="T505" s="230"/>
      <c r="U505" s="230"/>
      <c r="V505" s="230"/>
      <c r="W505" s="230"/>
      <c r="X505" s="230"/>
      <c r="Y505" s="230"/>
      <c r="Z505" s="230"/>
    </row>
    <row r="506">
      <c r="O506" s="230"/>
      <c r="S506" s="230"/>
      <c r="T506" s="230"/>
      <c r="U506" s="230"/>
      <c r="V506" s="230"/>
      <c r="W506" s="230"/>
      <c r="X506" s="230"/>
      <c r="Y506" s="230"/>
      <c r="Z506" s="230"/>
    </row>
    <row r="507">
      <c r="O507" s="230"/>
      <c r="S507" s="230"/>
      <c r="T507" s="230"/>
      <c r="U507" s="230"/>
      <c r="V507" s="230"/>
      <c r="W507" s="230"/>
      <c r="X507" s="230"/>
      <c r="Y507" s="230"/>
      <c r="Z507" s="230"/>
    </row>
    <row r="508">
      <c r="O508" s="230"/>
      <c r="S508" s="230"/>
      <c r="T508" s="230"/>
      <c r="U508" s="230"/>
      <c r="V508" s="230"/>
      <c r="W508" s="230"/>
      <c r="X508" s="230"/>
      <c r="Y508" s="230"/>
      <c r="Z508" s="230"/>
    </row>
    <row r="509">
      <c r="O509" s="230"/>
      <c r="S509" s="230"/>
      <c r="T509" s="230"/>
      <c r="U509" s="230"/>
      <c r="V509" s="230"/>
      <c r="W509" s="230"/>
      <c r="X509" s="230"/>
      <c r="Y509" s="230"/>
      <c r="Z509" s="230"/>
    </row>
    <row r="510">
      <c r="O510" s="230"/>
      <c r="S510" s="230"/>
      <c r="T510" s="230"/>
      <c r="U510" s="230"/>
      <c r="V510" s="230"/>
      <c r="W510" s="230"/>
      <c r="X510" s="230"/>
      <c r="Y510" s="230"/>
      <c r="Z510" s="230"/>
    </row>
    <row r="511">
      <c r="O511" s="230"/>
      <c r="S511" s="230"/>
      <c r="T511" s="230"/>
      <c r="U511" s="230"/>
      <c r="V511" s="230"/>
      <c r="W511" s="230"/>
      <c r="X511" s="230"/>
      <c r="Y511" s="230"/>
      <c r="Z511" s="230"/>
    </row>
    <row r="512">
      <c r="O512" s="230"/>
      <c r="S512" s="230"/>
      <c r="T512" s="230"/>
      <c r="U512" s="230"/>
      <c r="V512" s="230"/>
      <c r="W512" s="230"/>
      <c r="X512" s="230"/>
      <c r="Y512" s="230"/>
      <c r="Z512" s="230"/>
    </row>
    <row r="513">
      <c r="O513" s="230"/>
      <c r="S513" s="230"/>
      <c r="T513" s="230"/>
      <c r="U513" s="230"/>
      <c r="V513" s="230"/>
      <c r="W513" s="230"/>
      <c r="X513" s="230"/>
      <c r="Y513" s="230"/>
      <c r="Z513" s="230"/>
    </row>
    <row r="514">
      <c r="O514" s="230"/>
      <c r="S514" s="230"/>
      <c r="T514" s="230"/>
      <c r="U514" s="230"/>
      <c r="V514" s="230"/>
      <c r="W514" s="230"/>
      <c r="X514" s="230"/>
      <c r="Y514" s="230"/>
      <c r="Z514" s="230"/>
    </row>
    <row r="515">
      <c r="O515" s="230"/>
      <c r="S515" s="230"/>
      <c r="T515" s="230"/>
      <c r="U515" s="230"/>
      <c r="V515" s="230"/>
      <c r="W515" s="230"/>
      <c r="X515" s="230"/>
      <c r="Y515" s="230"/>
      <c r="Z515" s="230"/>
    </row>
    <row r="516">
      <c r="O516" s="230"/>
      <c r="S516" s="230"/>
      <c r="T516" s="230"/>
      <c r="U516" s="230"/>
      <c r="V516" s="230"/>
      <c r="W516" s="230"/>
      <c r="X516" s="230"/>
      <c r="Y516" s="230"/>
      <c r="Z516" s="230"/>
    </row>
    <row r="517">
      <c r="O517" s="230"/>
      <c r="S517" s="230"/>
      <c r="T517" s="230"/>
      <c r="U517" s="230"/>
      <c r="V517" s="230"/>
      <c r="W517" s="230"/>
      <c r="X517" s="230"/>
      <c r="Y517" s="230"/>
      <c r="Z517" s="230"/>
    </row>
    <row r="518">
      <c r="O518" s="230"/>
      <c r="S518" s="230"/>
      <c r="T518" s="230"/>
      <c r="U518" s="230"/>
      <c r="V518" s="230"/>
      <c r="W518" s="230"/>
      <c r="X518" s="230"/>
      <c r="Y518" s="230"/>
      <c r="Z518" s="230"/>
    </row>
    <row r="519">
      <c r="O519" s="230"/>
      <c r="S519" s="230"/>
      <c r="T519" s="230"/>
      <c r="U519" s="230"/>
      <c r="V519" s="230"/>
      <c r="W519" s="230"/>
      <c r="X519" s="230"/>
      <c r="Y519" s="230"/>
      <c r="Z519" s="230"/>
    </row>
    <row r="520">
      <c r="O520" s="230"/>
      <c r="S520" s="230"/>
      <c r="T520" s="230"/>
      <c r="U520" s="230"/>
      <c r="V520" s="230"/>
      <c r="W520" s="230"/>
      <c r="X520" s="230"/>
      <c r="Y520" s="230"/>
      <c r="Z520" s="230"/>
    </row>
    <row r="521">
      <c r="O521" s="230"/>
      <c r="S521" s="230"/>
      <c r="T521" s="230"/>
      <c r="U521" s="230"/>
      <c r="V521" s="230"/>
      <c r="W521" s="230"/>
      <c r="X521" s="230"/>
      <c r="Y521" s="230"/>
      <c r="Z521" s="230"/>
    </row>
    <row r="522">
      <c r="O522" s="230"/>
      <c r="S522" s="230"/>
      <c r="T522" s="230"/>
      <c r="U522" s="230"/>
      <c r="V522" s="230"/>
      <c r="W522" s="230"/>
      <c r="X522" s="230"/>
      <c r="Y522" s="230"/>
      <c r="Z522" s="230"/>
    </row>
    <row r="523">
      <c r="O523" s="230"/>
      <c r="S523" s="230"/>
      <c r="T523" s="230"/>
      <c r="U523" s="230"/>
      <c r="V523" s="230"/>
      <c r="W523" s="230"/>
      <c r="X523" s="230"/>
      <c r="Y523" s="230"/>
      <c r="Z523" s="230"/>
    </row>
    <row r="524">
      <c r="O524" s="230"/>
      <c r="S524" s="230"/>
      <c r="T524" s="230"/>
      <c r="U524" s="230"/>
      <c r="V524" s="230"/>
      <c r="W524" s="230"/>
      <c r="X524" s="230"/>
      <c r="Y524" s="230"/>
      <c r="Z524" s="230"/>
    </row>
    <row r="525">
      <c r="O525" s="230"/>
      <c r="S525" s="230"/>
      <c r="T525" s="230"/>
      <c r="U525" s="230"/>
      <c r="V525" s="230"/>
      <c r="W525" s="230"/>
      <c r="X525" s="230"/>
      <c r="Y525" s="230"/>
      <c r="Z525" s="230"/>
    </row>
    <row r="526">
      <c r="O526" s="230"/>
      <c r="S526" s="230"/>
      <c r="T526" s="230"/>
      <c r="U526" s="230"/>
      <c r="V526" s="230"/>
      <c r="W526" s="230"/>
      <c r="X526" s="230"/>
      <c r="Y526" s="230"/>
      <c r="Z526" s="230"/>
    </row>
    <row r="527">
      <c r="O527" s="230"/>
      <c r="S527" s="230"/>
      <c r="T527" s="230"/>
      <c r="U527" s="230"/>
      <c r="V527" s="230"/>
      <c r="W527" s="230"/>
      <c r="X527" s="230"/>
      <c r="Y527" s="230"/>
      <c r="Z527" s="230"/>
    </row>
    <row r="528">
      <c r="O528" s="230"/>
      <c r="S528" s="230"/>
      <c r="T528" s="230"/>
      <c r="U528" s="230"/>
      <c r="V528" s="230"/>
      <c r="W528" s="230"/>
      <c r="X528" s="230"/>
      <c r="Y528" s="230"/>
      <c r="Z528" s="230"/>
    </row>
    <row r="529">
      <c r="O529" s="230"/>
      <c r="S529" s="230"/>
      <c r="T529" s="230"/>
      <c r="U529" s="230"/>
      <c r="V529" s="230"/>
      <c r="W529" s="230"/>
      <c r="X529" s="230"/>
      <c r="Y529" s="230"/>
      <c r="Z529" s="230"/>
    </row>
    <row r="530">
      <c r="O530" s="230"/>
      <c r="S530" s="230"/>
      <c r="T530" s="230"/>
      <c r="U530" s="230"/>
      <c r="V530" s="230"/>
      <c r="W530" s="230"/>
      <c r="X530" s="230"/>
      <c r="Y530" s="230"/>
      <c r="Z530" s="230"/>
    </row>
    <row r="531">
      <c r="O531" s="230"/>
      <c r="S531" s="230"/>
      <c r="T531" s="230"/>
      <c r="U531" s="230"/>
      <c r="V531" s="230"/>
      <c r="W531" s="230"/>
      <c r="X531" s="230"/>
      <c r="Y531" s="230"/>
      <c r="Z531" s="230"/>
    </row>
    <row r="532">
      <c r="O532" s="230"/>
      <c r="S532" s="230"/>
      <c r="T532" s="230"/>
      <c r="U532" s="230"/>
      <c r="V532" s="230"/>
      <c r="W532" s="230"/>
      <c r="X532" s="230"/>
      <c r="Y532" s="230"/>
      <c r="Z532" s="230"/>
    </row>
    <row r="533">
      <c r="O533" s="230"/>
      <c r="S533" s="230"/>
      <c r="T533" s="230"/>
      <c r="U533" s="230"/>
      <c r="V533" s="230"/>
      <c r="W533" s="230"/>
      <c r="X533" s="230"/>
      <c r="Y533" s="230"/>
      <c r="Z533" s="230"/>
    </row>
    <row r="534">
      <c r="O534" s="230"/>
      <c r="S534" s="230"/>
      <c r="T534" s="230"/>
      <c r="U534" s="230"/>
      <c r="V534" s="230"/>
      <c r="W534" s="230"/>
      <c r="X534" s="230"/>
      <c r="Y534" s="230"/>
      <c r="Z534" s="230"/>
    </row>
    <row r="535">
      <c r="O535" s="230"/>
      <c r="S535" s="230"/>
      <c r="T535" s="230"/>
      <c r="U535" s="230"/>
      <c r="V535" s="230"/>
      <c r="W535" s="230"/>
      <c r="X535" s="230"/>
      <c r="Y535" s="230"/>
      <c r="Z535" s="230"/>
    </row>
    <row r="536">
      <c r="O536" s="230"/>
      <c r="S536" s="230"/>
      <c r="T536" s="230"/>
      <c r="U536" s="230"/>
      <c r="V536" s="230"/>
      <c r="W536" s="230"/>
      <c r="X536" s="230"/>
      <c r="Y536" s="230"/>
      <c r="Z536" s="230"/>
    </row>
    <row r="537">
      <c r="O537" s="230"/>
      <c r="S537" s="230"/>
      <c r="T537" s="230"/>
      <c r="U537" s="230"/>
      <c r="V537" s="230"/>
      <c r="W537" s="230"/>
      <c r="X537" s="230"/>
      <c r="Y537" s="230"/>
      <c r="Z537" s="230"/>
    </row>
    <row r="538">
      <c r="O538" s="230"/>
      <c r="S538" s="230"/>
      <c r="T538" s="230"/>
      <c r="U538" s="230"/>
      <c r="V538" s="230"/>
      <c r="W538" s="230"/>
      <c r="X538" s="230"/>
      <c r="Y538" s="230"/>
      <c r="Z538" s="230"/>
    </row>
    <row r="539">
      <c r="O539" s="230"/>
      <c r="S539" s="230"/>
      <c r="T539" s="230"/>
      <c r="U539" s="230"/>
      <c r="V539" s="230"/>
      <c r="W539" s="230"/>
      <c r="X539" s="230"/>
      <c r="Y539" s="230"/>
      <c r="Z539" s="230"/>
    </row>
    <row r="540">
      <c r="O540" s="230"/>
      <c r="S540" s="230"/>
      <c r="T540" s="230"/>
      <c r="U540" s="230"/>
      <c r="V540" s="230"/>
      <c r="W540" s="230"/>
      <c r="X540" s="230"/>
      <c r="Y540" s="230"/>
      <c r="Z540" s="230"/>
    </row>
    <row r="541">
      <c r="O541" s="230"/>
      <c r="S541" s="230"/>
      <c r="T541" s="230"/>
      <c r="U541" s="230"/>
      <c r="V541" s="230"/>
      <c r="W541" s="230"/>
      <c r="X541" s="230"/>
      <c r="Y541" s="230"/>
      <c r="Z541" s="230"/>
    </row>
    <row r="542">
      <c r="O542" s="230"/>
      <c r="S542" s="230"/>
      <c r="T542" s="230"/>
      <c r="U542" s="230"/>
      <c r="V542" s="230"/>
      <c r="W542" s="230"/>
      <c r="X542" s="230"/>
      <c r="Y542" s="230"/>
      <c r="Z542" s="230"/>
    </row>
    <row r="543">
      <c r="O543" s="230"/>
      <c r="S543" s="230"/>
      <c r="T543" s="230"/>
      <c r="U543" s="230"/>
      <c r="V543" s="230"/>
      <c r="W543" s="230"/>
      <c r="X543" s="230"/>
      <c r="Y543" s="230"/>
      <c r="Z543" s="230"/>
    </row>
    <row r="544">
      <c r="O544" s="230"/>
      <c r="S544" s="230"/>
      <c r="T544" s="230"/>
      <c r="U544" s="230"/>
      <c r="V544" s="230"/>
      <c r="W544" s="230"/>
      <c r="X544" s="230"/>
      <c r="Y544" s="230"/>
      <c r="Z544" s="230"/>
    </row>
    <row r="545">
      <c r="O545" s="230"/>
      <c r="S545" s="230"/>
      <c r="T545" s="230"/>
      <c r="U545" s="230"/>
      <c r="V545" s="230"/>
      <c r="W545" s="230"/>
      <c r="X545" s="230"/>
      <c r="Y545" s="230"/>
      <c r="Z545" s="230"/>
    </row>
    <row r="546">
      <c r="O546" s="230"/>
      <c r="S546" s="230"/>
      <c r="T546" s="230"/>
      <c r="U546" s="230"/>
      <c r="V546" s="230"/>
      <c r="W546" s="230"/>
      <c r="X546" s="230"/>
      <c r="Y546" s="230"/>
      <c r="Z546" s="230"/>
    </row>
    <row r="547">
      <c r="O547" s="230"/>
      <c r="S547" s="230"/>
      <c r="T547" s="230"/>
      <c r="U547" s="230"/>
      <c r="V547" s="230"/>
      <c r="W547" s="230"/>
      <c r="X547" s="230"/>
      <c r="Y547" s="230"/>
      <c r="Z547" s="230"/>
    </row>
    <row r="548">
      <c r="O548" s="230"/>
      <c r="S548" s="230"/>
      <c r="T548" s="230"/>
      <c r="U548" s="230"/>
      <c r="V548" s="230"/>
      <c r="W548" s="230"/>
      <c r="X548" s="230"/>
      <c r="Y548" s="230"/>
      <c r="Z548" s="230"/>
    </row>
    <row r="549">
      <c r="O549" s="230"/>
      <c r="S549" s="230"/>
      <c r="T549" s="230"/>
      <c r="U549" s="230"/>
      <c r="V549" s="230"/>
      <c r="W549" s="230"/>
      <c r="X549" s="230"/>
      <c r="Y549" s="230"/>
      <c r="Z549" s="230"/>
    </row>
    <row r="550">
      <c r="O550" s="230"/>
      <c r="S550" s="230"/>
      <c r="T550" s="230"/>
      <c r="U550" s="230"/>
      <c r="V550" s="230"/>
      <c r="W550" s="230"/>
      <c r="X550" s="230"/>
      <c r="Y550" s="230"/>
      <c r="Z550" s="230"/>
    </row>
    <row r="551">
      <c r="O551" s="230"/>
      <c r="S551" s="230"/>
      <c r="T551" s="230"/>
      <c r="U551" s="230"/>
      <c r="V551" s="230"/>
      <c r="W551" s="230"/>
      <c r="X551" s="230"/>
      <c r="Y551" s="230"/>
      <c r="Z551" s="230"/>
    </row>
    <row r="552">
      <c r="O552" s="230"/>
      <c r="S552" s="230"/>
      <c r="T552" s="230"/>
      <c r="U552" s="230"/>
      <c r="V552" s="230"/>
      <c r="W552" s="230"/>
      <c r="X552" s="230"/>
      <c r="Y552" s="230"/>
      <c r="Z552" s="230"/>
    </row>
    <row r="553">
      <c r="O553" s="230"/>
      <c r="S553" s="230"/>
      <c r="T553" s="230"/>
      <c r="U553" s="230"/>
      <c r="V553" s="230"/>
      <c r="W553" s="230"/>
      <c r="X553" s="230"/>
      <c r="Y553" s="230"/>
      <c r="Z553" s="230"/>
    </row>
    <row r="554">
      <c r="O554" s="230"/>
      <c r="S554" s="230"/>
      <c r="T554" s="230"/>
      <c r="U554" s="230"/>
      <c r="V554" s="230"/>
      <c r="W554" s="230"/>
      <c r="X554" s="230"/>
      <c r="Y554" s="230"/>
      <c r="Z554" s="230"/>
    </row>
    <row r="555">
      <c r="O555" s="230"/>
      <c r="S555" s="230"/>
      <c r="T555" s="230"/>
      <c r="U555" s="230"/>
      <c r="V555" s="230"/>
      <c r="W555" s="230"/>
      <c r="X555" s="230"/>
      <c r="Y555" s="230"/>
      <c r="Z555" s="230"/>
    </row>
    <row r="556">
      <c r="O556" s="230"/>
      <c r="S556" s="230"/>
      <c r="T556" s="230"/>
      <c r="U556" s="230"/>
      <c r="V556" s="230"/>
      <c r="W556" s="230"/>
      <c r="X556" s="230"/>
      <c r="Y556" s="230"/>
      <c r="Z556" s="230"/>
    </row>
    <row r="557">
      <c r="O557" s="230"/>
      <c r="S557" s="230"/>
      <c r="T557" s="230"/>
      <c r="U557" s="230"/>
      <c r="V557" s="230"/>
      <c r="W557" s="230"/>
      <c r="X557" s="230"/>
      <c r="Y557" s="230"/>
      <c r="Z557" s="230"/>
    </row>
    <row r="558">
      <c r="O558" s="230"/>
      <c r="S558" s="230"/>
      <c r="T558" s="230"/>
      <c r="U558" s="230"/>
      <c r="V558" s="230"/>
      <c r="W558" s="230"/>
      <c r="X558" s="230"/>
      <c r="Y558" s="230"/>
      <c r="Z558" s="230"/>
    </row>
    <row r="559">
      <c r="O559" s="230"/>
      <c r="S559" s="230"/>
      <c r="T559" s="230"/>
      <c r="U559" s="230"/>
      <c r="V559" s="230"/>
      <c r="W559" s="230"/>
      <c r="X559" s="230"/>
      <c r="Y559" s="230"/>
      <c r="Z559" s="230"/>
    </row>
    <row r="560">
      <c r="O560" s="230"/>
      <c r="S560" s="230"/>
      <c r="T560" s="230"/>
      <c r="U560" s="230"/>
      <c r="V560" s="230"/>
      <c r="W560" s="230"/>
      <c r="X560" s="230"/>
      <c r="Y560" s="230"/>
      <c r="Z560" s="230"/>
    </row>
    <row r="561">
      <c r="O561" s="230"/>
      <c r="S561" s="230"/>
      <c r="T561" s="230"/>
      <c r="U561" s="230"/>
      <c r="V561" s="230"/>
      <c r="W561" s="230"/>
      <c r="X561" s="230"/>
      <c r="Y561" s="230"/>
      <c r="Z561" s="230"/>
    </row>
    <row r="562">
      <c r="O562" s="230"/>
      <c r="S562" s="230"/>
      <c r="T562" s="230"/>
      <c r="U562" s="230"/>
      <c r="V562" s="230"/>
      <c r="W562" s="230"/>
      <c r="X562" s="230"/>
      <c r="Y562" s="230"/>
      <c r="Z562" s="230"/>
    </row>
    <row r="563">
      <c r="O563" s="230"/>
      <c r="S563" s="230"/>
      <c r="T563" s="230"/>
      <c r="U563" s="230"/>
      <c r="V563" s="230"/>
      <c r="W563" s="230"/>
      <c r="X563" s="230"/>
      <c r="Y563" s="230"/>
      <c r="Z563" s="230"/>
    </row>
    <row r="564">
      <c r="O564" s="230"/>
      <c r="S564" s="230"/>
      <c r="T564" s="230"/>
      <c r="U564" s="230"/>
      <c r="V564" s="230"/>
      <c r="W564" s="230"/>
      <c r="X564" s="230"/>
      <c r="Y564" s="230"/>
      <c r="Z564" s="230"/>
    </row>
    <row r="565">
      <c r="O565" s="230"/>
      <c r="S565" s="230"/>
      <c r="T565" s="230"/>
      <c r="U565" s="230"/>
      <c r="V565" s="230"/>
      <c r="W565" s="230"/>
      <c r="X565" s="230"/>
      <c r="Y565" s="230"/>
      <c r="Z565" s="230"/>
    </row>
    <row r="566">
      <c r="O566" s="230"/>
      <c r="S566" s="230"/>
      <c r="T566" s="230"/>
      <c r="U566" s="230"/>
      <c r="V566" s="230"/>
      <c r="W566" s="230"/>
      <c r="X566" s="230"/>
      <c r="Y566" s="230"/>
      <c r="Z566" s="230"/>
    </row>
    <row r="567">
      <c r="O567" s="230"/>
      <c r="S567" s="230"/>
      <c r="T567" s="230"/>
      <c r="U567" s="230"/>
      <c r="V567" s="230"/>
      <c r="W567" s="230"/>
      <c r="X567" s="230"/>
      <c r="Y567" s="230"/>
      <c r="Z567" s="230"/>
    </row>
    <row r="568">
      <c r="O568" s="230"/>
      <c r="S568" s="230"/>
      <c r="T568" s="230"/>
      <c r="U568" s="230"/>
      <c r="V568" s="230"/>
      <c r="W568" s="230"/>
      <c r="X568" s="230"/>
      <c r="Y568" s="230"/>
      <c r="Z568" s="230"/>
    </row>
    <row r="569">
      <c r="O569" s="230"/>
      <c r="S569" s="230"/>
      <c r="T569" s="230"/>
      <c r="U569" s="230"/>
      <c r="V569" s="230"/>
      <c r="W569" s="230"/>
      <c r="X569" s="230"/>
      <c r="Y569" s="230"/>
      <c r="Z569" s="230"/>
    </row>
    <row r="570">
      <c r="O570" s="230"/>
      <c r="S570" s="230"/>
      <c r="T570" s="230"/>
      <c r="U570" s="230"/>
      <c r="V570" s="230"/>
      <c r="W570" s="230"/>
      <c r="X570" s="230"/>
      <c r="Y570" s="230"/>
      <c r="Z570" s="230"/>
    </row>
    <row r="571">
      <c r="O571" s="230"/>
      <c r="S571" s="230"/>
      <c r="T571" s="230"/>
      <c r="U571" s="230"/>
      <c r="V571" s="230"/>
      <c r="W571" s="230"/>
      <c r="X571" s="230"/>
      <c r="Y571" s="230"/>
      <c r="Z571" s="230"/>
    </row>
    <row r="572">
      <c r="O572" s="230"/>
      <c r="S572" s="230"/>
      <c r="T572" s="230"/>
      <c r="U572" s="230"/>
      <c r="V572" s="230"/>
      <c r="W572" s="230"/>
      <c r="X572" s="230"/>
      <c r="Y572" s="230"/>
      <c r="Z572" s="230"/>
    </row>
    <row r="573">
      <c r="O573" s="230"/>
      <c r="S573" s="230"/>
      <c r="T573" s="230"/>
      <c r="U573" s="230"/>
      <c r="V573" s="230"/>
      <c r="W573" s="230"/>
      <c r="X573" s="230"/>
      <c r="Y573" s="230"/>
      <c r="Z573" s="230"/>
    </row>
    <row r="574">
      <c r="O574" s="230"/>
      <c r="S574" s="230"/>
      <c r="T574" s="230"/>
      <c r="U574" s="230"/>
      <c r="V574" s="230"/>
      <c r="W574" s="230"/>
      <c r="X574" s="230"/>
      <c r="Y574" s="230"/>
      <c r="Z574" s="230"/>
    </row>
    <row r="575">
      <c r="O575" s="230"/>
      <c r="S575" s="230"/>
      <c r="T575" s="230"/>
      <c r="U575" s="230"/>
      <c r="V575" s="230"/>
      <c r="W575" s="230"/>
      <c r="X575" s="230"/>
      <c r="Y575" s="230"/>
      <c r="Z575" s="230"/>
    </row>
    <row r="576">
      <c r="O576" s="230"/>
      <c r="S576" s="230"/>
      <c r="T576" s="230"/>
      <c r="U576" s="230"/>
      <c r="V576" s="230"/>
      <c r="W576" s="230"/>
      <c r="X576" s="230"/>
      <c r="Y576" s="230"/>
      <c r="Z576" s="230"/>
    </row>
    <row r="577">
      <c r="O577" s="230"/>
      <c r="S577" s="230"/>
      <c r="T577" s="230"/>
      <c r="U577" s="230"/>
      <c r="V577" s="230"/>
      <c r="W577" s="230"/>
      <c r="X577" s="230"/>
      <c r="Y577" s="230"/>
      <c r="Z577" s="230"/>
    </row>
    <row r="578">
      <c r="O578" s="230"/>
      <c r="S578" s="230"/>
      <c r="T578" s="230"/>
      <c r="U578" s="230"/>
      <c r="V578" s="230"/>
      <c r="W578" s="230"/>
      <c r="X578" s="230"/>
      <c r="Y578" s="230"/>
      <c r="Z578" s="230"/>
    </row>
    <row r="579">
      <c r="O579" s="230"/>
      <c r="S579" s="230"/>
      <c r="T579" s="230"/>
      <c r="U579" s="230"/>
      <c r="V579" s="230"/>
      <c r="W579" s="230"/>
      <c r="X579" s="230"/>
      <c r="Y579" s="230"/>
      <c r="Z579" s="230"/>
    </row>
    <row r="580">
      <c r="O580" s="230"/>
      <c r="S580" s="230"/>
      <c r="T580" s="230"/>
      <c r="U580" s="230"/>
      <c r="V580" s="230"/>
      <c r="W580" s="230"/>
      <c r="X580" s="230"/>
      <c r="Y580" s="230"/>
      <c r="Z580" s="230"/>
    </row>
    <row r="581">
      <c r="O581" s="230"/>
      <c r="S581" s="230"/>
      <c r="T581" s="230"/>
      <c r="U581" s="230"/>
      <c r="V581" s="230"/>
      <c r="W581" s="230"/>
      <c r="X581" s="230"/>
      <c r="Y581" s="230"/>
      <c r="Z581" s="230"/>
    </row>
    <row r="582">
      <c r="O582" s="230"/>
      <c r="S582" s="230"/>
      <c r="T582" s="230"/>
      <c r="U582" s="230"/>
      <c r="V582" s="230"/>
      <c r="W582" s="230"/>
      <c r="X582" s="230"/>
      <c r="Y582" s="230"/>
      <c r="Z582" s="230"/>
    </row>
    <row r="583">
      <c r="O583" s="230"/>
      <c r="S583" s="230"/>
      <c r="T583" s="230"/>
      <c r="U583" s="230"/>
      <c r="V583" s="230"/>
      <c r="W583" s="230"/>
      <c r="X583" s="230"/>
      <c r="Y583" s="230"/>
      <c r="Z583" s="230"/>
    </row>
    <row r="584">
      <c r="O584" s="230"/>
      <c r="S584" s="230"/>
      <c r="T584" s="230"/>
      <c r="U584" s="230"/>
      <c r="V584" s="230"/>
      <c r="W584" s="230"/>
      <c r="X584" s="230"/>
      <c r="Y584" s="230"/>
      <c r="Z584" s="230"/>
    </row>
    <row r="585">
      <c r="O585" s="230"/>
      <c r="S585" s="230"/>
      <c r="T585" s="230"/>
      <c r="U585" s="230"/>
      <c r="V585" s="230"/>
      <c r="W585" s="230"/>
      <c r="X585" s="230"/>
      <c r="Y585" s="230"/>
      <c r="Z585" s="230"/>
    </row>
    <row r="586">
      <c r="O586" s="230"/>
      <c r="S586" s="230"/>
      <c r="T586" s="230"/>
      <c r="U586" s="230"/>
      <c r="V586" s="230"/>
      <c r="W586" s="230"/>
      <c r="X586" s="230"/>
      <c r="Y586" s="230"/>
      <c r="Z586" s="230"/>
    </row>
    <row r="587">
      <c r="O587" s="230"/>
      <c r="S587" s="230"/>
      <c r="T587" s="230"/>
      <c r="U587" s="230"/>
      <c r="V587" s="230"/>
      <c r="W587" s="230"/>
      <c r="X587" s="230"/>
      <c r="Y587" s="230"/>
      <c r="Z587" s="230"/>
    </row>
    <row r="588">
      <c r="O588" s="230"/>
      <c r="S588" s="230"/>
      <c r="T588" s="230"/>
      <c r="U588" s="230"/>
      <c r="V588" s="230"/>
      <c r="W588" s="230"/>
      <c r="X588" s="230"/>
      <c r="Y588" s="230"/>
      <c r="Z588" s="230"/>
    </row>
    <row r="589">
      <c r="O589" s="230"/>
      <c r="S589" s="230"/>
      <c r="T589" s="230"/>
      <c r="U589" s="230"/>
      <c r="V589" s="230"/>
      <c r="W589" s="230"/>
      <c r="X589" s="230"/>
      <c r="Y589" s="230"/>
      <c r="Z589" s="230"/>
    </row>
    <row r="590">
      <c r="O590" s="230"/>
      <c r="S590" s="230"/>
      <c r="T590" s="230"/>
      <c r="U590" s="230"/>
      <c r="V590" s="230"/>
      <c r="W590" s="230"/>
      <c r="X590" s="230"/>
      <c r="Y590" s="230"/>
      <c r="Z590" s="230"/>
    </row>
    <row r="591">
      <c r="O591" s="230"/>
      <c r="S591" s="230"/>
      <c r="T591" s="230"/>
      <c r="U591" s="230"/>
      <c r="V591" s="230"/>
      <c r="W591" s="230"/>
      <c r="X591" s="230"/>
      <c r="Y591" s="230"/>
      <c r="Z591" s="230"/>
    </row>
    <row r="592">
      <c r="O592" s="230"/>
      <c r="S592" s="230"/>
      <c r="T592" s="230"/>
      <c r="U592" s="230"/>
      <c r="V592" s="230"/>
      <c r="W592" s="230"/>
      <c r="X592" s="230"/>
      <c r="Y592" s="230"/>
      <c r="Z592" s="230"/>
    </row>
    <row r="593">
      <c r="O593" s="230"/>
      <c r="S593" s="230"/>
      <c r="T593" s="230"/>
      <c r="U593" s="230"/>
      <c r="V593" s="230"/>
      <c r="W593" s="230"/>
      <c r="X593" s="230"/>
      <c r="Y593" s="230"/>
      <c r="Z593" s="230"/>
    </row>
    <row r="594">
      <c r="O594" s="230"/>
      <c r="S594" s="230"/>
      <c r="T594" s="230"/>
      <c r="U594" s="230"/>
      <c r="V594" s="230"/>
      <c r="W594" s="230"/>
      <c r="X594" s="230"/>
      <c r="Y594" s="230"/>
      <c r="Z594" s="230"/>
    </row>
    <row r="595">
      <c r="O595" s="230"/>
      <c r="S595" s="230"/>
      <c r="T595" s="230"/>
      <c r="U595" s="230"/>
      <c r="V595" s="230"/>
      <c r="W595" s="230"/>
      <c r="X595" s="230"/>
      <c r="Y595" s="230"/>
      <c r="Z595" s="230"/>
    </row>
    <row r="596">
      <c r="O596" s="230"/>
      <c r="S596" s="230"/>
      <c r="T596" s="230"/>
      <c r="U596" s="230"/>
      <c r="V596" s="230"/>
      <c r="W596" s="230"/>
      <c r="X596" s="230"/>
      <c r="Y596" s="230"/>
      <c r="Z596" s="230"/>
    </row>
    <row r="597">
      <c r="O597" s="230"/>
      <c r="S597" s="230"/>
      <c r="T597" s="230"/>
      <c r="U597" s="230"/>
      <c r="V597" s="230"/>
      <c r="W597" s="230"/>
      <c r="X597" s="230"/>
      <c r="Y597" s="230"/>
      <c r="Z597" s="230"/>
    </row>
    <row r="598">
      <c r="O598" s="230"/>
      <c r="S598" s="230"/>
      <c r="T598" s="230"/>
      <c r="U598" s="230"/>
      <c r="V598" s="230"/>
      <c r="W598" s="230"/>
      <c r="X598" s="230"/>
      <c r="Y598" s="230"/>
      <c r="Z598" s="230"/>
    </row>
    <row r="599">
      <c r="O599" s="230"/>
      <c r="S599" s="230"/>
      <c r="T599" s="230"/>
      <c r="U599" s="230"/>
      <c r="V599" s="230"/>
      <c r="W599" s="230"/>
      <c r="X599" s="230"/>
      <c r="Y599" s="230"/>
      <c r="Z599" s="230"/>
    </row>
    <row r="600">
      <c r="O600" s="230"/>
      <c r="S600" s="230"/>
      <c r="T600" s="230"/>
      <c r="U600" s="230"/>
      <c r="V600" s="230"/>
      <c r="W600" s="230"/>
      <c r="X600" s="230"/>
      <c r="Y600" s="230"/>
      <c r="Z600" s="230"/>
    </row>
    <row r="601">
      <c r="O601" s="230"/>
      <c r="S601" s="230"/>
      <c r="T601" s="230"/>
      <c r="U601" s="230"/>
      <c r="V601" s="230"/>
      <c r="W601" s="230"/>
      <c r="X601" s="230"/>
      <c r="Y601" s="230"/>
      <c r="Z601" s="230"/>
    </row>
    <row r="602">
      <c r="O602" s="230"/>
      <c r="S602" s="230"/>
      <c r="T602" s="230"/>
      <c r="U602" s="230"/>
      <c r="V602" s="230"/>
      <c r="W602" s="230"/>
      <c r="X602" s="230"/>
      <c r="Y602" s="230"/>
      <c r="Z602" s="230"/>
    </row>
    <row r="603">
      <c r="O603" s="230"/>
      <c r="S603" s="230"/>
      <c r="T603" s="230"/>
      <c r="U603" s="230"/>
      <c r="V603" s="230"/>
      <c r="W603" s="230"/>
      <c r="X603" s="230"/>
      <c r="Y603" s="230"/>
      <c r="Z603" s="230"/>
    </row>
    <row r="604">
      <c r="O604" s="230"/>
      <c r="S604" s="230"/>
      <c r="T604" s="230"/>
      <c r="U604" s="230"/>
      <c r="V604" s="230"/>
      <c r="W604" s="230"/>
      <c r="X604" s="230"/>
      <c r="Y604" s="230"/>
      <c r="Z604" s="230"/>
    </row>
    <row r="605">
      <c r="O605" s="230"/>
      <c r="S605" s="230"/>
      <c r="T605" s="230"/>
      <c r="U605" s="230"/>
      <c r="V605" s="230"/>
      <c r="W605" s="230"/>
      <c r="X605" s="230"/>
      <c r="Y605" s="230"/>
      <c r="Z605" s="230"/>
    </row>
    <row r="606">
      <c r="O606" s="230"/>
      <c r="S606" s="230"/>
      <c r="T606" s="230"/>
      <c r="U606" s="230"/>
      <c r="V606" s="230"/>
      <c r="W606" s="230"/>
      <c r="X606" s="230"/>
      <c r="Y606" s="230"/>
      <c r="Z606" s="230"/>
    </row>
    <row r="607">
      <c r="O607" s="230"/>
      <c r="S607" s="230"/>
      <c r="T607" s="230"/>
      <c r="U607" s="230"/>
      <c r="V607" s="230"/>
      <c r="W607" s="230"/>
      <c r="X607" s="230"/>
      <c r="Y607" s="230"/>
      <c r="Z607" s="230"/>
    </row>
    <row r="608">
      <c r="O608" s="230"/>
      <c r="S608" s="230"/>
      <c r="T608" s="230"/>
      <c r="U608" s="230"/>
      <c r="V608" s="230"/>
      <c r="W608" s="230"/>
      <c r="X608" s="230"/>
      <c r="Y608" s="230"/>
      <c r="Z608" s="230"/>
    </row>
    <row r="609">
      <c r="O609" s="230"/>
      <c r="S609" s="230"/>
      <c r="T609" s="230"/>
      <c r="U609" s="230"/>
      <c r="V609" s="230"/>
      <c r="W609" s="230"/>
      <c r="X609" s="230"/>
      <c r="Y609" s="230"/>
      <c r="Z609" s="230"/>
    </row>
    <row r="610">
      <c r="O610" s="230"/>
      <c r="S610" s="230"/>
      <c r="T610" s="230"/>
      <c r="U610" s="230"/>
      <c r="V610" s="230"/>
      <c r="W610" s="230"/>
      <c r="X610" s="230"/>
      <c r="Y610" s="230"/>
      <c r="Z610" s="230"/>
    </row>
    <row r="611">
      <c r="O611" s="230"/>
      <c r="S611" s="230"/>
      <c r="T611" s="230"/>
      <c r="U611" s="230"/>
      <c r="V611" s="230"/>
      <c r="W611" s="230"/>
      <c r="X611" s="230"/>
      <c r="Y611" s="230"/>
      <c r="Z611" s="230"/>
    </row>
    <row r="612">
      <c r="O612" s="230"/>
      <c r="S612" s="230"/>
      <c r="T612" s="230"/>
      <c r="U612" s="230"/>
      <c r="V612" s="230"/>
      <c r="W612" s="230"/>
      <c r="X612" s="230"/>
      <c r="Y612" s="230"/>
      <c r="Z612" s="230"/>
    </row>
    <row r="613">
      <c r="O613" s="230"/>
      <c r="S613" s="230"/>
      <c r="T613" s="230"/>
      <c r="U613" s="230"/>
      <c r="V613" s="230"/>
      <c r="W613" s="230"/>
      <c r="X613" s="230"/>
      <c r="Y613" s="230"/>
      <c r="Z613" s="230"/>
    </row>
    <row r="614">
      <c r="O614" s="230"/>
      <c r="S614" s="230"/>
      <c r="T614" s="230"/>
      <c r="U614" s="230"/>
      <c r="V614" s="230"/>
      <c r="W614" s="230"/>
      <c r="X614" s="230"/>
      <c r="Y614" s="230"/>
      <c r="Z614" s="230"/>
    </row>
    <row r="615">
      <c r="O615" s="230"/>
      <c r="S615" s="230"/>
      <c r="T615" s="230"/>
      <c r="U615" s="230"/>
      <c r="V615" s="230"/>
      <c r="W615" s="230"/>
      <c r="X615" s="230"/>
      <c r="Y615" s="230"/>
      <c r="Z615" s="230"/>
    </row>
    <row r="616">
      <c r="O616" s="230"/>
      <c r="S616" s="230"/>
      <c r="T616" s="230"/>
      <c r="U616" s="230"/>
      <c r="V616" s="230"/>
      <c r="W616" s="230"/>
      <c r="X616" s="230"/>
      <c r="Y616" s="230"/>
      <c r="Z616" s="230"/>
    </row>
    <row r="617">
      <c r="O617" s="230"/>
      <c r="S617" s="230"/>
      <c r="T617" s="230"/>
      <c r="U617" s="230"/>
      <c r="V617" s="230"/>
      <c r="W617" s="230"/>
      <c r="X617" s="230"/>
      <c r="Y617" s="230"/>
      <c r="Z617" s="230"/>
    </row>
    <row r="618">
      <c r="O618" s="230"/>
      <c r="S618" s="230"/>
      <c r="T618" s="230"/>
      <c r="U618" s="230"/>
      <c r="V618" s="230"/>
      <c r="W618" s="230"/>
      <c r="X618" s="230"/>
      <c r="Y618" s="230"/>
      <c r="Z618" s="230"/>
    </row>
    <row r="619">
      <c r="O619" s="230"/>
      <c r="S619" s="230"/>
      <c r="T619" s="230"/>
      <c r="U619" s="230"/>
      <c r="V619" s="230"/>
      <c r="W619" s="230"/>
      <c r="X619" s="230"/>
      <c r="Y619" s="230"/>
      <c r="Z619" s="230"/>
    </row>
    <row r="620">
      <c r="O620" s="230"/>
      <c r="S620" s="230"/>
      <c r="T620" s="230"/>
      <c r="U620" s="230"/>
      <c r="V620" s="230"/>
      <c r="W620" s="230"/>
      <c r="X620" s="230"/>
      <c r="Y620" s="230"/>
      <c r="Z620" s="230"/>
    </row>
    <row r="621">
      <c r="O621" s="230"/>
      <c r="S621" s="230"/>
      <c r="T621" s="230"/>
      <c r="U621" s="230"/>
      <c r="V621" s="230"/>
      <c r="W621" s="230"/>
      <c r="X621" s="230"/>
      <c r="Y621" s="230"/>
      <c r="Z621" s="230"/>
    </row>
    <row r="622">
      <c r="O622" s="230"/>
      <c r="S622" s="230"/>
      <c r="T622" s="230"/>
      <c r="U622" s="230"/>
      <c r="V622" s="230"/>
      <c r="W622" s="230"/>
      <c r="X622" s="230"/>
      <c r="Y622" s="230"/>
      <c r="Z622" s="230"/>
    </row>
    <row r="623">
      <c r="O623" s="230"/>
      <c r="S623" s="230"/>
      <c r="T623" s="230"/>
      <c r="U623" s="230"/>
      <c r="V623" s="230"/>
      <c r="W623" s="230"/>
      <c r="X623" s="230"/>
      <c r="Y623" s="230"/>
      <c r="Z623" s="230"/>
    </row>
    <row r="624">
      <c r="O624" s="230"/>
      <c r="S624" s="230"/>
      <c r="T624" s="230"/>
      <c r="U624" s="230"/>
      <c r="V624" s="230"/>
      <c r="W624" s="230"/>
      <c r="X624" s="230"/>
      <c r="Y624" s="230"/>
      <c r="Z624" s="230"/>
    </row>
    <row r="625">
      <c r="O625" s="230"/>
      <c r="S625" s="230"/>
      <c r="T625" s="230"/>
      <c r="U625" s="230"/>
      <c r="V625" s="230"/>
      <c r="W625" s="230"/>
      <c r="X625" s="230"/>
      <c r="Y625" s="230"/>
      <c r="Z625" s="230"/>
    </row>
    <row r="626">
      <c r="O626" s="230"/>
      <c r="S626" s="230"/>
      <c r="T626" s="230"/>
      <c r="U626" s="230"/>
      <c r="V626" s="230"/>
      <c r="W626" s="230"/>
      <c r="X626" s="230"/>
      <c r="Y626" s="230"/>
      <c r="Z626" s="230"/>
    </row>
    <row r="627">
      <c r="O627" s="230"/>
      <c r="S627" s="230"/>
      <c r="T627" s="230"/>
      <c r="U627" s="230"/>
      <c r="V627" s="230"/>
      <c r="W627" s="230"/>
      <c r="X627" s="230"/>
      <c r="Y627" s="230"/>
      <c r="Z627" s="230"/>
    </row>
    <row r="628">
      <c r="O628" s="230"/>
      <c r="S628" s="230"/>
      <c r="T628" s="230"/>
      <c r="U628" s="230"/>
      <c r="V628" s="230"/>
      <c r="W628" s="230"/>
      <c r="X628" s="230"/>
      <c r="Y628" s="230"/>
      <c r="Z628" s="230"/>
    </row>
    <row r="629">
      <c r="O629" s="230"/>
      <c r="S629" s="230"/>
      <c r="T629" s="230"/>
      <c r="U629" s="230"/>
      <c r="V629" s="230"/>
      <c r="W629" s="230"/>
      <c r="X629" s="230"/>
      <c r="Y629" s="230"/>
      <c r="Z629" s="230"/>
    </row>
    <row r="630">
      <c r="O630" s="230"/>
      <c r="S630" s="230"/>
      <c r="T630" s="230"/>
      <c r="U630" s="230"/>
      <c r="V630" s="230"/>
      <c r="W630" s="230"/>
      <c r="X630" s="230"/>
      <c r="Y630" s="230"/>
      <c r="Z630" s="230"/>
    </row>
    <row r="631">
      <c r="O631" s="230"/>
      <c r="S631" s="230"/>
      <c r="T631" s="230"/>
      <c r="U631" s="230"/>
      <c r="V631" s="230"/>
      <c r="W631" s="230"/>
      <c r="X631" s="230"/>
      <c r="Y631" s="230"/>
      <c r="Z631" s="230"/>
    </row>
    <row r="632">
      <c r="O632" s="230"/>
      <c r="S632" s="230"/>
      <c r="T632" s="230"/>
      <c r="U632" s="230"/>
      <c r="V632" s="230"/>
      <c r="W632" s="230"/>
      <c r="X632" s="230"/>
      <c r="Y632" s="230"/>
      <c r="Z632" s="230"/>
    </row>
    <row r="633">
      <c r="O633" s="230"/>
      <c r="S633" s="230"/>
      <c r="T633" s="230"/>
      <c r="U633" s="230"/>
      <c r="V633" s="230"/>
      <c r="W633" s="230"/>
      <c r="X633" s="230"/>
      <c r="Y633" s="230"/>
      <c r="Z633" s="230"/>
    </row>
    <row r="634">
      <c r="O634" s="230"/>
      <c r="S634" s="230"/>
      <c r="T634" s="230"/>
      <c r="U634" s="230"/>
      <c r="V634" s="230"/>
      <c r="W634" s="230"/>
      <c r="X634" s="230"/>
      <c r="Y634" s="230"/>
      <c r="Z634" s="230"/>
    </row>
    <row r="635">
      <c r="O635" s="230"/>
      <c r="S635" s="230"/>
      <c r="T635" s="230"/>
      <c r="U635" s="230"/>
      <c r="V635" s="230"/>
      <c r="W635" s="230"/>
      <c r="X635" s="230"/>
      <c r="Y635" s="230"/>
      <c r="Z635" s="230"/>
    </row>
    <row r="636">
      <c r="O636" s="230"/>
      <c r="S636" s="230"/>
      <c r="T636" s="230"/>
      <c r="U636" s="230"/>
      <c r="V636" s="230"/>
      <c r="W636" s="230"/>
      <c r="X636" s="230"/>
      <c r="Y636" s="230"/>
      <c r="Z636" s="230"/>
    </row>
    <row r="637">
      <c r="O637" s="230"/>
      <c r="S637" s="230"/>
      <c r="T637" s="230"/>
      <c r="U637" s="230"/>
      <c r="V637" s="230"/>
      <c r="W637" s="230"/>
      <c r="X637" s="230"/>
      <c r="Y637" s="230"/>
      <c r="Z637" s="230"/>
    </row>
    <row r="638">
      <c r="O638" s="230"/>
      <c r="S638" s="230"/>
      <c r="T638" s="230"/>
      <c r="U638" s="230"/>
      <c r="V638" s="230"/>
      <c r="W638" s="230"/>
      <c r="X638" s="230"/>
      <c r="Y638" s="230"/>
      <c r="Z638" s="230"/>
    </row>
    <row r="639">
      <c r="O639" s="230"/>
      <c r="S639" s="230"/>
      <c r="T639" s="230"/>
      <c r="U639" s="230"/>
      <c r="V639" s="230"/>
      <c r="W639" s="230"/>
      <c r="X639" s="230"/>
      <c r="Y639" s="230"/>
      <c r="Z639" s="230"/>
    </row>
    <row r="640">
      <c r="O640" s="230"/>
      <c r="S640" s="230"/>
      <c r="T640" s="230"/>
      <c r="U640" s="230"/>
      <c r="V640" s="230"/>
      <c r="W640" s="230"/>
      <c r="X640" s="230"/>
      <c r="Y640" s="230"/>
      <c r="Z640" s="230"/>
    </row>
    <row r="641">
      <c r="O641" s="230"/>
      <c r="S641" s="230"/>
      <c r="T641" s="230"/>
      <c r="U641" s="230"/>
      <c r="V641" s="230"/>
      <c r="W641" s="230"/>
      <c r="X641" s="230"/>
      <c r="Y641" s="230"/>
      <c r="Z641" s="230"/>
    </row>
    <row r="642">
      <c r="O642" s="230"/>
      <c r="S642" s="230"/>
      <c r="T642" s="230"/>
      <c r="U642" s="230"/>
      <c r="V642" s="230"/>
      <c r="W642" s="230"/>
      <c r="X642" s="230"/>
      <c r="Y642" s="230"/>
      <c r="Z642" s="230"/>
    </row>
    <row r="643">
      <c r="O643" s="230"/>
      <c r="S643" s="230"/>
      <c r="T643" s="230"/>
      <c r="U643" s="230"/>
      <c r="V643" s="230"/>
      <c r="W643" s="230"/>
      <c r="X643" s="230"/>
      <c r="Y643" s="230"/>
      <c r="Z643" s="230"/>
    </row>
    <row r="644">
      <c r="O644" s="230"/>
      <c r="S644" s="230"/>
      <c r="T644" s="230"/>
      <c r="U644" s="230"/>
      <c r="V644" s="230"/>
      <c r="W644" s="230"/>
      <c r="X644" s="230"/>
      <c r="Y644" s="230"/>
      <c r="Z644" s="230"/>
    </row>
    <row r="645">
      <c r="O645" s="230"/>
      <c r="S645" s="230"/>
      <c r="T645" s="230"/>
      <c r="U645" s="230"/>
      <c r="V645" s="230"/>
      <c r="W645" s="230"/>
      <c r="X645" s="230"/>
      <c r="Y645" s="230"/>
      <c r="Z645" s="230"/>
    </row>
    <row r="646">
      <c r="O646" s="230"/>
      <c r="S646" s="230"/>
      <c r="T646" s="230"/>
      <c r="U646" s="230"/>
      <c r="V646" s="230"/>
      <c r="W646" s="230"/>
      <c r="X646" s="230"/>
      <c r="Y646" s="230"/>
      <c r="Z646" s="230"/>
    </row>
    <row r="647">
      <c r="O647" s="230"/>
      <c r="S647" s="230"/>
      <c r="T647" s="230"/>
      <c r="U647" s="230"/>
      <c r="V647" s="230"/>
      <c r="W647" s="230"/>
      <c r="X647" s="230"/>
      <c r="Y647" s="230"/>
      <c r="Z647" s="230"/>
    </row>
    <row r="648">
      <c r="O648" s="230"/>
      <c r="S648" s="230"/>
      <c r="T648" s="230"/>
      <c r="U648" s="230"/>
      <c r="V648" s="230"/>
      <c r="W648" s="230"/>
      <c r="X648" s="230"/>
      <c r="Y648" s="230"/>
      <c r="Z648" s="230"/>
    </row>
    <row r="649">
      <c r="O649" s="230"/>
      <c r="S649" s="230"/>
      <c r="T649" s="230"/>
      <c r="U649" s="230"/>
      <c r="V649" s="230"/>
      <c r="W649" s="230"/>
      <c r="X649" s="230"/>
      <c r="Y649" s="230"/>
      <c r="Z649" s="230"/>
    </row>
    <row r="650">
      <c r="O650" s="230"/>
      <c r="S650" s="230"/>
      <c r="T650" s="230"/>
      <c r="U650" s="230"/>
      <c r="V650" s="230"/>
      <c r="W650" s="230"/>
      <c r="X650" s="230"/>
      <c r="Y650" s="230"/>
      <c r="Z650" s="230"/>
    </row>
    <row r="651">
      <c r="O651" s="230"/>
      <c r="S651" s="230"/>
      <c r="T651" s="230"/>
      <c r="U651" s="230"/>
      <c r="V651" s="230"/>
      <c r="W651" s="230"/>
      <c r="X651" s="230"/>
      <c r="Y651" s="230"/>
      <c r="Z651" s="230"/>
    </row>
    <row r="652">
      <c r="O652" s="230"/>
      <c r="S652" s="230"/>
      <c r="T652" s="230"/>
      <c r="U652" s="230"/>
      <c r="V652" s="230"/>
      <c r="W652" s="230"/>
      <c r="X652" s="230"/>
      <c r="Y652" s="230"/>
      <c r="Z652" s="230"/>
    </row>
    <row r="653">
      <c r="O653" s="230"/>
      <c r="S653" s="230"/>
      <c r="T653" s="230"/>
      <c r="U653" s="230"/>
      <c r="V653" s="230"/>
      <c r="W653" s="230"/>
      <c r="X653" s="230"/>
      <c r="Y653" s="230"/>
      <c r="Z653" s="230"/>
    </row>
    <row r="654">
      <c r="O654" s="230"/>
      <c r="S654" s="230"/>
      <c r="T654" s="230"/>
      <c r="U654" s="230"/>
      <c r="V654" s="230"/>
      <c r="W654" s="230"/>
      <c r="X654" s="230"/>
      <c r="Y654" s="230"/>
      <c r="Z654" s="230"/>
    </row>
    <row r="655">
      <c r="O655" s="230"/>
      <c r="S655" s="230"/>
      <c r="T655" s="230"/>
      <c r="U655" s="230"/>
      <c r="V655" s="230"/>
      <c r="W655" s="230"/>
      <c r="X655" s="230"/>
      <c r="Y655" s="230"/>
      <c r="Z655" s="230"/>
    </row>
    <row r="656">
      <c r="O656" s="230"/>
      <c r="S656" s="230"/>
      <c r="T656" s="230"/>
      <c r="U656" s="230"/>
      <c r="V656" s="230"/>
      <c r="W656" s="230"/>
      <c r="X656" s="230"/>
      <c r="Y656" s="230"/>
      <c r="Z656" s="230"/>
    </row>
    <row r="657">
      <c r="O657" s="230"/>
      <c r="S657" s="230"/>
      <c r="T657" s="230"/>
      <c r="U657" s="230"/>
      <c r="V657" s="230"/>
      <c r="W657" s="230"/>
      <c r="X657" s="230"/>
      <c r="Y657" s="230"/>
      <c r="Z657" s="230"/>
    </row>
    <row r="658">
      <c r="O658" s="230"/>
      <c r="S658" s="230"/>
      <c r="T658" s="230"/>
      <c r="U658" s="230"/>
      <c r="V658" s="230"/>
      <c r="W658" s="230"/>
      <c r="X658" s="230"/>
      <c r="Y658" s="230"/>
      <c r="Z658" s="230"/>
    </row>
    <row r="659">
      <c r="O659" s="230"/>
      <c r="S659" s="230"/>
      <c r="T659" s="230"/>
      <c r="U659" s="230"/>
      <c r="V659" s="230"/>
      <c r="W659" s="230"/>
      <c r="X659" s="230"/>
      <c r="Y659" s="230"/>
      <c r="Z659" s="230"/>
    </row>
    <row r="660">
      <c r="O660" s="230"/>
      <c r="S660" s="230"/>
      <c r="T660" s="230"/>
      <c r="U660" s="230"/>
      <c r="V660" s="230"/>
      <c r="W660" s="230"/>
      <c r="X660" s="230"/>
      <c r="Y660" s="230"/>
      <c r="Z660" s="230"/>
    </row>
    <row r="661">
      <c r="O661" s="230"/>
      <c r="S661" s="230"/>
      <c r="T661" s="230"/>
      <c r="U661" s="230"/>
      <c r="V661" s="230"/>
      <c r="W661" s="230"/>
      <c r="X661" s="230"/>
      <c r="Y661" s="230"/>
      <c r="Z661" s="230"/>
    </row>
    <row r="662">
      <c r="O662" s="230"/>
      <c r="S662" s="230"/>
      <c r="T662" s="230"/>
      <c r="U662" s="230"/>
      <c r="V662" s="230"/>
      <c r="W662" s="230"/>
      <c r="X662" s="230"/>
      <c r="Y662" s="230"/>
      <c r="Z662" s="230"/>
    </row>
    <row r="663">
      <c r="O663" s="230"/>
      <c r="S663" s="230"/>
      <c r="T663" s="230"/>
      <c r="U663" s="230"/>
      <c r="V663" s="230"/>
      <c r="W663" s="230"/>
      <c r="X663" s="230"/>
      <c r="Y663" s="230"/>
      <c r="Z663" s="230"/>
    </row>
    <row r="664">
      <c r="O664" s="230"/>
      <c r="S664" s="230"/>
      <c r="T664" s="230"/>
      <c r="U664" s="230"/>
      <c r="V664" s="230"/>
      <c r="W664" s="230"/>
      <c r="X664" s="230"/>
      <c r="Y664" s="230"/>
      <c r="Z664" s="230"/>
    </row>
    <row r="665">
      <c r="O665" s="230"/>
      <c r="S665" s="230"/>
      <c r="T665" s="230"/>
      <c r="U665" s="230"/>
      <c r="V665" s="230"/>
      <c r="W665" s="230"/>
      <c r="X665" s="230"/>
      <c r="Y665" s="230"/>
      <c r="Z665" s="230"/>
    </row>
    <row r="666">
      <c r="O666" s="230"/>
      <c r="S666" s="230"/>
      <c r="T666" s="230"/>
      <c r="U666" s="230"/>
      <c r="V666" s="230"/>
      <c r="W666" s="230"/>
      <c r="X666" s="230"/>
      <c r="Y666" s="230"/>
      <c r="Z666" s="230"/>
    </row>
    <row r="667">
      <c r="O667" s="230"/>
      <c r="S667" s="230"/>
      <c r="T667" s="230"/>
      <c r="U667" s="230"/>
      <c r="V667" s="230"/>
      <c r="W667" s="230"/>
      <c r="X667" s="230"/>
      <c r="Y667" s="230"/>
      <c r="Z667" s="230"/>
    </row>
    <row r="668">
      <c r="O668" s="230"/>
      <c r="S668" s="230"/>
      <c r="T668" s="230"/>
      <c r="U668" s="230"/>
      <c r="V668" s="230"/>
      <c r="W668" s="230"/>
      <c r="X668" s="230"/>
      <c r="Y668" s="230"/>
      <c r="Z668" s="230"/>
    </row>
    <row r="669">
      <c r="O669" s="230"/>
      <c r="S669" s="230"/>
      <c r="T669" s="230"/>
      <c r="U669" s="230"/>
      <c r="V669" s="230"/>
      <c r="W669" s="230"/>
      <c r="X669" s="230"/>
      <c r="Y669" s="230"/>
      <c r="Z669" s="230"/>
    </row>
    <row r="670">
      <c r="O670" s="230"/>
      <c r="S670" s="230"/>
      <c r="T670" s="230"/>
      <c r="U670" s="230"/>
      <c r="V670" s="230"/>
      <c r="W670" s="230"/>
      <c r="X670" s="230"/>
      <c r="Y670" s="230"/>
      <c r="Z670" s="230"/>
    </row>
    <row r="671">
      <c r="O671" s="230"/>
      <c r="S671" s="230"/>
      <c r="T671" s="230"/>
      <c r="U671" s="230"/>
      <c r="V671" s="230"/>
      <c r="W671" s="230"/>
      <c r="X671" s="230"/>
      <c r="Y671" s="230"/>
      <c r="Z671" s="230"/>
    </row>
    <row r="672">
      <c r="O672" s="230"/>
      <c r="S672" s="230"/>
      <c r="T672" s="230"/>
      <c r="U672" s="230"/>
      <c r="V672" s="230"/>
      <c r="W672" s="230"/>
      <c r="X672" s="230"/>
      <c r="Y672" s="230"/>
      <c r="Z672" s="230"/>
    </row>
    <row r="673">
      <c r="O673" s="230"/>
      <c r="S673" s="230"/>
      <c r="T673" s="230"/>
      <c r="U673" s="230"/>
      <c r="V673" s="230"/>
      <c r="W673" s="230"/>
      <c r="X673" s="230"/>
      <c r="Y673" s="230"/>
      <c r="Z673" s="230"/>
    </row>
    <row r="674">
      <c r="O674" s="230"/>
      <c r="S674" s="230"/>
      <c r="T674" s="230"/>
      <c r="U674" s="230"/>
      <c r="V674" s="230"/>
      <c r="W674" s="230"/>
      <c r="X674" s="230"/>
      <c r="Y674" s="230"/>
      <c r="Z674" s="230"/>
    </row>
    <row r="675">
      <c r="O675" s="230"/>
      <c r="S675" s="230"/>
      <c r="T675" s="230"/>
      <c r="U675" s="230"/>
      <c r="V675" s="230"/>
      <c r="W675" s="230"/>
      <c r="X675" s="230"/>
      <c r="Y675" s="230"/>
      <c r="Z675" s="230"/>
    </row>
    <row r="676">
      <c r="O676" s="230"/>
      <c r="S676" s="230"/>
      <c r="T676" s="230"/>
      <c r="U676" s="230"/>
      <c r="V676" s="230"/>
      <c r="W676" s="230"/>
      <c r="X676" s="230"/>
      <c r="Y676" s="230"/>
      <c r="Z676" s="230"/>
    </row>
    <row r="677">
      <c r="O677" s="230"/>
      <c r="S677" s="230"/>
      <c r="T677" s="230"/>
      <c r="U677" s="230"/>
      <c r="V677" s="230"/>
      <c r="W677" s="230"/>
      <c r="X677" s="230"/>
      <c r="Y677" s="230"/>
      <c r="Z677" s="230"/>
    </row>
    <row r="678">
      <c r="O678" s="230"/>
      <c r="S678" s="230"/>
      <c r="T678" s="230"/>
      <c r="U678" s="230"/>
      <c r="V678" s="230"/>
      <c r="W678" s="230"/>
      <c r="X678" s="230"/>
      <c r="Y678" s="230"/>
      <c r="Z678" s="230"/>
    </row>
    <row r="679">
      <c r="O679" s="230"/>
      <c r="S679" s="230"/>
      <c r="T679" s="230"/>
      <c r="U679" s="230"/>
      <c r="V679" s="230"/>
      <c r="W679" s="230"/>
      <c r="X679" s="230"/>
      <c r="Y679" s="230"/>
      <c r="Z679" s="230"/>
    </row>
    <row r="680">
      <c r="O680" s="230"/>
      <c r="S680" s="230"/>
      <c r="T680" s="230"/>
      <c r="U680" s="230"/>
      <c r="V680" s="230"/>
      <c r="W680" s="230"/>
      <c r="X680" s="230"/>
      <c r="Y680" s="230"/>
      <c r="Z680" s="230"/>
    </row>
    <row r="681">
      <c r="O681" s="230"/>
      <c r="S681" s="230"/>
      <c r="T681" s="230"/>
      <c r="U681" s="230"/>
      <c r="V681" s="230"/>
      <c r="W681" s="230"/>
      <c r="X681" s="230"/>
      <c r="Y681" s="230"/>
      <c r="Z681" s="230"/>
    </row>
    <row r="682">
      <c r="O682" s="230"/>
      <c r="S682" s="230"/>
      <c r="T682" s="230"/>
      <c r="U682" s="230"/>
      <c r="V682" s="230"/>
      <c r="W682" s="230"/>
      <c r="X682" s="230"/>
      <c r="Y682" s="230"/>
      <c r="Z682" s="230"/>
    </row>
    <row r="683">
      <c r="O683" s="230"/>
      <c r="S683" s="230"/>
      <c r="T683" s="230"/>
      <c r="U683" s="230"/>
      <c r="V683" s="230"/>
      <c r="W683" s="230"/>
      <c r="X683" s="230"/>
      <c r="Y683" s="230"/>
      <c r="Z683" s="230"/>
    </row>
    <row r="684">
      <c r="O684" s="230"/>
      <c r="S684" s="230"/>
      <c r="T684" s="230"/>
      <c r="U684" s="230"/>
      <c r="V684" s="230"/>
      <c r="W684" s="230"/>
      <c r="X684" s="230"/>
      <c r="Y684" s="230"/>
      <c r="Z684" s="230"/>
    </row>
    <row r="685">
      <c r="O685" s="230"/>
      <c r="S685" s="230"/>
      <c r="T685" s="230"/>
      <c r="U685" s="230"/>
      <c r="V685" s="230"/>
      <c r="W685" s="230"/>
      <c r="X685" s="230"/>
      <c r="Y685" s="230"/>
      <c r="Z685" s="230"/>
    </row>
    <row r="686">
      <c r="O686" s="230"/>
      <c r="S686" s="230"/>
      <c r="T686" s="230"/>
      <c r="U686" s="230"/>
      <c r="V686" s="230"/>
      <c r="W686" s="230"/>
      <c r="X686" s="230"/>
      <c r="Y686" s="230"/>
      <c r="Z686" s="230"/>
    </row>
    <row r="687">
      <c r="O687" s="230"/>
      <c r="S687" s="230"/>
      <c r="T687" s="230"/>
      <c r="U687" s="230"/>
      <c r="V687" s="230"/>
      <c r="W687" s="230"/>
      <c r="X687" s="230"/>
      <c r="Y687" s="230"/>
      <c r="Z687" s="230"/>
    </row>
    <row r="688">
      <c r="O688" s="230"/>
      <c r="S688" s="230"/>
      <c r="T688" s="230"/>
      <c r="U688" s="230"/>
      <c r="V688" s="230"/>
      <c r="W688" s="230"/>
      <c r="X688" s="230"/>
      <c r="Y688" s="230"/>
      <c r="Z688" s="230"/>
    </row>
    <row r="689">
      <c r="O689" s="230"/>
      <c r="S689" s="230"/>
      <c r="T689" s="230"/>
      <c r="U689" s="230"/>
      <c r="V689" s="230"/>
      <c r="W689" s="230"/>
      <c r="X689" s="230"/>
      <c r="Y689" s="230"/>
      <c r="Z689" s="230"/>
    </row>
    <row r="690">
      <c r="O690" s="230"/>
      <c r="S690" s="230"/>
      <c r="T690" s="230"/>
      <c r="U690" s="230"/>
      <c r="V690" s="230"/>
      <c r="W690" s="230"/>
      <c r="X690" s="230"/>
      <c r="Y690" s="230"/>
      <c r="Z690" s="230"/>
    </row>
    <row r="691">
      <c r="O691" s="230"/>
      <c r="S691" s="230"/>
      <c r="T691" s="230"/>
      <c r="U691" s="230"/>
      <c r="V691" s="230"/>
      <c r="W691" s="230"/>
      <c r="X691" s="230"/>
      <c r="Y691" s="230"/>
      <c r="Z691" s="230"/>
    </row>
    <row r="692">
      <c r="O692" s="230"/>
      <c r="S692" s="230"/>
      <c r="T692" s="230"/>
      <c r="U692" s="230"/>
      <c r="V692" s="230"/>
      <c r="W692" s="230"/>
      <c r="X692" s="230"/>
      <c r="Y692" s="230"/>
      <c r="Z692" s="230"/>
    </row>
    <row r="693">
      <c r="O693" s="230"/>
      <c r="S693" s="230"/>
      <c r="T693" s="230"/>
      <c r="U693" s="230"/>
      <c r="V693" s="230"/>
      <c r="W693" s="230"/>
      <c r="X693" s="230"/>
      <c r="Y693" s="230"/>
      <c r="Z693" s="230"/>
    </row>
    <row r="694">
      <c r="O694" s="230"/>
      <c r="S694" s="230"/>
      <c r="T694" s="230"/>
      <c r="U694" s="230"/>
      <c r="V694" s="230"/>
      <c r="W694" s="230"/>
      <c r="X694" s="230"/>
      <c r="Y694" s="230"/>
      <c r="Z694" s="230"/>
    </row>
    <row r="695">
      <c r="O695" s="230"/>
      <c r="S695" s="230"/>
      <c r="T695" s="230"/>
      <c r="U695" s="230"/>
      <c r="V695" s="230"/>
      <c r="W695" s="230"/>
      <c r="X695" s="230"/>
      <c r="Y695" s="230"/>
      <c r="Z695" s="230"/>
    </row>
    <row r="696">
      <c r="O696" s="230"/>
      <c r="S696" s="230"/>
      <c r="T696" s="230"/>
      <c r="U696" s="230"/>
      <c r="V696" s="230"/>
      <c r="W696" s="230"/>
      <c r="X696" s="230"/>
      <c r="Y696" s="230"/>
      <c r="Z696" s="230"/>
    </row>
    <row r="697">
      <c r="O697" s="230"/>
      <c r="S697" s="230"/>
      <c r="T697" s="230"/>
      <c r="U697" s="230"/>
      <c r="V697" s="230"/>
      <c r="W697" s="230"/>
      <c r="X697" s="230"/>
      <c r="Y697" s="230"/>
      <c r="Z697" s="230"/>
    </row>
    <row r="698">
      <c r="O698" s="230"/>
      <c r="S698" s="230"/>
      <c r="T698" s="230"/>
      <c r="U698" s="230"/>
      <c r="V698" s="230"/>
      <c r="W698" s="230"/>
      <c r="X698" s="230"/>
      <c r="Y698" s="230"/>
      <c r="Z698" s="230"/>
    </row>
    <row r="699">
      <c r="O699" s="230"/>
      <c r="S699" s="230"/>
      <c r="T699" s="230"/>
      <c r="U699" s="230"/>
      <c r="V699" s="230"/>
      <c r="W699" s="230"/>
      <c r="X699" s="230"/>
      <c r="Y699" s="230"/>
      <c r="Z699" s="230"/>
    </row>
    <row r="700">
      <c r="O700" s="230"/>
      <c r="S700" s="230"/>
      <c r="T700" s="230"/>
      <c r="U700" s="230"/>
      <c r="V700" s="230"/>
      <c r="W700" s="230"/>
      <c r="X700" s="230"/>
      <c r="Y700" s="230"/>
      <c r="Z700" s="230"/>
    </row>
    <row r="701">
      <c r="O701" s="230"/>
      <c r="S701" s="230"/>
      <c r="T701" s="230"/>
      <c r="U701" s="230"/>
      <c r="V701" s="230"/>
      <c r="W701" s="230"/>
      <c r="X701" s="230"/>
      <c r="Y701" s="230"/>
      <c r="Z701" s="230"/>
    </row>
    <row r="702">
      <c r="O702" s="230"/>
      <c r="S702" s="230"/>
      <c r="T702" s="230"/>
      <c r="U702" s="230"/>
      <c r="V702" s="230"/>
      <c r="W702" s="230"/>
      <c r="X702" s="230"/>
      <c r="Y702" s="230"/>
      <c r="Z702" s="230"/>
    </row>
    <row r="703">
      <c r="O703" s="230"/>
      <c r="S703" s="230"/>
      <c r="T703" s="230"/>
      <c r="U703" s="230"/>
      <c r="V703" s="230"/>
      <c r="W703" s="230"/>
      <c r="X703" s="230"/>
      <c r="Y703" s="230"/>
      <c r="Z703" s="230"/>
    </row>
    <row r="704">
      <c r="O704" s="230"/>
      <c r="S704" s="230"/>
      <c r="T704" s="230"/>
      <c r="U704" s="230"/>
      <c r="V704" s="230"/>
      <c r="W704" s="230"/>
      <c r="X704" s="230"/>
      <c r="Y704" s="230"/>
      <c r="Z704" s="230"/>
    </row>
    <row r="705">
      <c r="O705" s="230"/>
      <c r="S705" s="230"/>
      <c r="T705" s="230"/>
      <c r="U705" s="230"/>
      <c r="V705" s="230"/>
      <c r="W705" s="230"/>
      <c r="X705" s="230"/>
      <c r="Y705" s="230"/>
      <c r="Z705" s="230"/>
    </row>
    <row r="706">
      <c r="O706" s="230"/>
      <c r="S706" s="230"/>
      <c r="T706" s="230"/>
      <c r="U706" s="230"/>
      <c r="V706" s="230"/>
      <c r="W706" s="230"/>
      <c r="X706" s="230"/>
      <c r="Y706" s="230"/>
      <c r="Z706" s="230"/>
    </row>
    <row r="707">
      <c r="O707" s="230"/>
      <c r="S707" s="230"/>
      <c r="T707" s="230"/>
      <c r="U707" s="230"/>
      <c r="V707" s="230"/>
      <c r="W707" s="230"/>
      <c r="X707" s="230"/>
      <c r="Y707" s="230"/>
      <c r="Z707" s="230"/>
    </row>
    <row r="708">
      <c r="O708" s="230"/>
      <c r="S708" s="230"/>
      <c r="T708" s="230"/>
      <c r="U708" s="230"/>
      <c r="V708" s="230"/>
      <c r="W708" s="230"/>
      <c r="X708" s="230"/>
      <c r="Y708" s="230"/>
      <c r="Z708" s="230"/>
    </row>
    <row r="709">
      <c r="O709" s="230"/>
      <c r="S709" s="230"/>
      <c r="T709" s="230"/>
      <c r="U709" s="230"/>
      <c r="V709" s="230"/>
      <c r="W709" s="230"/>
      <c r="X709" s="230"/>
      <c r="Y709" s="230"/>
      <c r="Z709" s="230"/>
    </row>
    <row r="710">
      <c r="O710" s="230"/>
      <c r="S710" s="230"/>
      <c r="T710" s="230"/>
      <c r="U710" s="230"/>
      <c r="V710" s="230"/>
      <c r="W710" s="230"/>
      <c r="X710" s="230"/>
      <c r="Y710" s="230"/>
      <c r="Z710" s="230"/>
    </row>
    <row r="711">
      <c r="O711" s="230"/>
      <c r="S711" s="230"/>
      <c r="T711" s="230"/>
      <c r="U711" s="230"/>
      <c r="V711" s="230"/>
      <c r="W711" s="230"/>
      <c r="X711" s="230"/>
      <c r="Y711" s="230"/>
      <c r="Z711" s="230"/>
    </row>
    <row r="712">
      <c r="O712" s="230"/>
      <c r="S712" s="230"/>
      <c r="T712" s="230"/>
      <c r="U712" s="230"/>
      <c r="V712" s="230"/>
      <c r="W712" s="230"/>
      <c r="X712" s="230"/>
      <c r="Y712" s="230"/>
      <c r="Z712" s="230"/>
    </row>
    <row r="713">
      <c r="O713" s="230"/>
      <c r="S713" s="230"/>
      <c r="T713" s="230"/>
      <c r="U713" s="230"/>
      <c r="V713" s="230"/>
      <c r="W713" s="230"/>
      <c r="X713" s="230"/>
      <c r="Y713" s="230"/>
      <c r="Z713" s="230"/>
    </row>
    <row r="714">
      <c r="O714" s="230"/>
      <c r="S714" s="230"/>
      <c r="T714" s="230"/>
      <c r="U714" s="230"/>
      <c r="V714" s="230"/>
      <c r="W714" s="230"/>
      <c r="X714" s="230"/>
      <c r="Y714" s="230"/>
      <c r="Z714" s="230"/>
    </row>
    <row r="715">
      <c r="O715" s="230"/>
      <c r="S715" s="230"/>
      <c r="T715" s="230"/>
      <c r="U715" s="230"/>
      <c r="V715" s="230"/>
      <c r="W715" s="230"/>
      <c r="X715" s="230"/>
      <c r="Y715" s="230"/>
      <c r="Z715" s="230"/>
    </row>
    <row r="716">
      <c r="O716" s="230"/>
      <c r="S716" s="230"/>
      <c r="T716" s="230"/>
      <c r="U716" s="230"/>
      <c r="V716" s="230"/>
      <c r="W716" s="230"/>
      <c r="X716" s="230"/>
      <c r="Y716" s="230"/>
      <c r="Z716" s="230"/>
    </row>
    <row r="717">
      <c r="O717" s="230"/>
      <c r="S717" s="230"/>
      <c r="T717" s="230"/>
      <c r="U717" s="230"/>
      <c r="V717" s="230"/>
      <c r="W717" s="230"/>
      <c r="X717" s="230"/>
      <c r="Y717" s="230"/>
      <c r="Z717" s="230"/>
    </row>
    <row r="718">
      <c r="O718" s="230"/>
      <c r="S718" s="230"/>
      <c r="T718" s="230"/>
      <c r="U718" s="230"/>
      <c r="V718" s="230"/>
      <c r="W718" s="230"/>
      <c r="X718" s="230"/>
      <c r="Y718" s="230"/>
      <c r="Z718" s="230"/>
    </row>
    <row r="719">
      <c r="O719" s="230"/>
      <c r="S719" s="230"/>
      <c r="T719" s="230"/>
      <c r="U719" s="230"/>
      <c r="V719" s="230"/>
      <c r="W719" s="230"/>
      <c r="X719" s="230"/>
      <c r="Y719" s="230"/>
      <c r="Z719" s="230"/>
    </row>
    <row r="720">
      <c r="O720" s="230"/>
      <c r="S720" s="230"/>
      <c r="T720" s="230"/>
      <c r="U720" s="230"/>
      <c r="V720" s="230"/>
      <c r="W720" s="230"/>
      <c r="X720" s="230"/>
      <c r="Y720" s="230"/>
      <c r="Z720" s="230"/>
    </row>
    <row r="721">
      <c r="O721" s="230"/>
      <c r="S721" s="230"/>
      <c r="T721" s="230"/>
      <c r="U721" s="230"/>
      <c r="V721" s="230"/>
      <c r="W721" s="230"/>
      <c r="X721" s="230"/>
      <c r="Y721" s="230"/>
      <c r="Z721" s="230"/>
    </row>
    <row r="722">
      <c r="O722" s="230"/>
      <c r="S722" s="230"/>
      <c r="T722" s="230"/>
      <c r="U722" s="230"/>
      <c r="V722" s="230"/>
      <c r="W722" s="230"/>
      <c r="X722" s="230"/>
      <c r="Y722" s="230"/>
      <c r="Z722" s="230"/>
    </row>
    <row r="723">
      <c r="O723" s="230"/>
      <c r="S723" s="230"/>
      <c r="T723" s="230"/>
      <c r="U723" s="230"/>
      <c r="V723" s="230"/>
      <c r="W723" s="230"/>
      <c r="X723" s="230"/>
      <c r="Y723" s="230"/>
      <c r="Z723" s="230"/>
    </row>
    <row r="724">
      <c r="O724" s="230"/>
      <c r="S724" s="230"/>
      <c r="T724" s="230"/>
      <c r="U724" s="230"/>
      <c r="V724" s="230"/>
      <c r="W724" s="230"/>
      <c r="X724" s="230"/>
      <c r="Y724" s="230"/>
      <c r="Z724" s="230"/>
    </row>
    <row r="725">
      <c r="O725" s="230"/>
      <c r="S725" s="230"/>
      <c r="T725" s="230"/>
      <c r="U725" s="230"/>
      <c r="V725" s="230"/>
      <c r="W725" s="230"/>
      <c r="X725" s="230"/>
      <c r="Y725" s="230"/>
      <c r="Z725" s="230"/>
    </row>
    <row r="726">
      <c r="O726" s="230"/>
      <c r="S726" s="230"/>
      <c r="T726" s="230"/>
      <c r="U726" s="230"/>
      <c r="V726" s="230"/>
      <c r="W726" s="230"/>
      <c r="X726" s="230"/>
      <c r="Y726" s="230"/>
      <c r="Z726" s="230"/>
    </row>
    <row r="727">
      <c r="O727" s="230"/>
      <c r="S727" s="230"/>
      <c r="T727" s="230"/>
      <c r="U727" s="230"/>
      <c r="V727" s="230"/>
      <c r="W727" s="230"/>
      <c r="X727" s="230"/>
      <c r="Y727" s="230"/>
      <c r="Z727" s="230"/>
    </row>
    <row r="728">
      <c r="O728" s="230"/>
      <c r="S728" s="230"/>
      <c r="T728" s="230"/>
      <c r="U728" s="230"/>
      <c r="V728" s="230"/>
      <c r="W728" s="230"/>
      <c r="X728" s="230"/>
      <c r="Y728" s="230"/>
      <c r="Z728" s="230"/>
    </row>
    <row r="729">
      <c r="O729" s="230"/>
      <c r="S729" s="230"/>
      <c r="T729" s="230"/>
      <c r="U729" s="230"/>
      <c r="V729" s="230"/>
      <c r="W729" s="230"/>
      <c r="X729" s="230"/>
      <c r="Y729" s="230"/>
      <c r="Z729" s="230"/>
    </row>
    <row r="730">
      <c r="O730" s="230"/>
      <c r="S730" s="230"/>
      <c r="T730" s="230"/>
      <c r="U730" s="230"/>
      <c r="V730" s="230"/>
      <c r="W730" s="230"/>
      <c r="X730" s="230"/>
      <c r="Y730" s="230"/>
      <c r="Z730" s="230"/>
    </row>
    <row r="731">
      <c r="O731" s="230"/>
      <c r="S731" s="230"/>
      <c r="T731" s="230"/>
      <c r="U731" s="230"/>
      <c r="V731" s="230"/>
      <c r="W731" s="230"/>
      <c r="X731" s="230"/>
      <c r="Y731" s="230"/>
      <c r="Z731" s="230"/>
    </row>
    <row r="732">
      <c r="O732" s="230"/>
      <c r="S732" s="230"/>
      <c r="T732" s="230"/>
      <c r="U732" s="230"/>
      <c r="V732" s="230"/>
      <c r="W732" s="230"/>
      <c r="X732" s="230"/>
      <c r="Y732" s="230"/>
      <c r="Z732" s="230"/>
    </row>
    <row r="733">
      <c r="O733" s="230"/>
      <c r="S733" s="230"/>
      <c r="T733" s="230"/>
      <c r="U733" s="230"/>
      <c r="V733" s="230"/>
      <c r="W733" s="230"/>
      <c r="X733" s="230"/>
      <c r="Y733" s="230"/>
      <c r="Z733" s="230"/>
    </row>
    <row r="734">
      <c r="O734" s="230"/>
      <c r="S734" s="230"/>
      <c r="T734" s="230"/>
      <c r="U734" s="230"/>
      <c r="V734" s="230"/>
      <c r="W734" s="230"/>
      <c r="X734" s="230"/>
      <c r="Y734" s="230"/>
      <c r="Z734" s="230"/>
    </row>
    <row r="735">
      <c r="O735" s="230"/>
      <c r="S735" s="230"/>
      <c r="T735" s="230"/>
      <c r="U735" s="230"/>
      <c r="V735" s="230"/>
      <c r="W735" s="230"/>
      <c r="X735" s="230"/>
      <c r="Y735" s="230"/>
      <c r="Z735" s="230"/>
    </row>
    <row r="736">
      <c r="O736" s="230"/>
      <c r="S736" s="230"/>
      <c r="T736" s="230"/>
      <c r="U736" s="230"/>
      <c r="V736" s="230"/>
      <c r="W736" s="230"/>
      <c r="X736" s="230"/>
      <c r="Y736" s="230"/>
      <c r="Z736" s="230"/>
    </row>
    <row r="737">
      <c r="O737" s="230"/>
      <c r="S737" s="230"/>
      <c r="T737" s="230"/>
      <c r="U737" s="230"/>
      <c r="V737" s="230"/>
      <c r="W737" s="230"/>
      <c r="X737" s="230"/>
      <c r="Y737" s="230"/>
      <c r="Z737" s="230"/>
    </row>
    <row r="738">
      <c r="O738" s="230"/>
      <c r="S738" s="230"/>
      <c r="T738" s="230"/>
      <c r="U738" s="230"/>
      <c r="V738" s="230"/>
      <c r="W738" s="230"/>
      <c r="X738" s="230"/>
      <c r="Y738" s="230"/>
      <c r="Z738" s="230"/>
    </row>
    <row r="739">
      <c r="O739" s="230"/>
      <c r="S739" s="230"/>
      <c r="T739" s="230"/>
      <c r="U739" s="230"/>
      <c r="V739" s="230"/>
      <c r="W739" s="230"/>
      <c r="X739" s="230"/>
      <c r="Y739" s="230"/>
      <c r="Z739" s="230"/>
    </row>
    <row r="740">
      <c r="O740" s="230"/>
      <c r="S740" s="230"/>
      <c r="T740" s="230"/>
      <c r="U740" s="230"/>
      <c r="V740" s="230"/>
      <c r="W740" s="230"/>
      <c r="X740" s="230"/>
      <c r="Y740" s="230"/>
      <c r="Z740" s="230"/>
    </row>
    <row r="741">
      <c r="O741" s="230"/>
      <c r="S741" s="230"/>
      <c r="T741" s="230"/>
      <c r="U741" s="230"/>
      <c r="V741" s="230"/>
      <c r="W741" s="230"/>
      <c r="X741" s="230"/>
      <c r="Y741" s="230"/>
      <c r="Z741" s="230"/>
    </row>
    <row r="742">
      <c r="O742" s="230"/>
      <c r="S742" s="230"/>
      <c r="T742" s="230"/>
      <c r="U742" s="230"/>
      <c r="V742" s="230"/>
      <c r="W742" s="230"/>
      <c r="X742" s="230"/>
      <c r="Y742" s="230"/>
      <c r="Z742" s="230"/>
    </row>
    <row r="743">
      <c r="O743" s="230"/>
      <c r="S743" s="230"/>
      <c r="T743" s="230"/>
      <c r="U743" s="230"/>
      <c r="V743" s="230"/>
      <c r="W743" s="230"/>
      <c r="X743" s="230"/>
      <c r="Y743" s="230"/>
      <c r="Z743" s="230"/>
    </row>
    <row r="744">
      <c r="O744" s="230"/>
      <c r="S744" s="230"/>
      <c r="T744" s="230"/>
      <c r="U744" s="230"/>
      <c r="V744" s="230"/>
      <c r="W744" s="230"/>
      <c r="X744" s="230"/>
      <c r="Y744" s="230"/>
      <c r="Z744" s="230"/>
    </row>
    <row r="745">
      <c r="O745" s="230"/>
      <c r="S745" s="230"/>
      <c r="T745" s="230"/>
      <c r="U745" s="230"/>
      <c r="V745" s="230"/>
      <c r="W745" s="230"/>
      <c r="X745" s="230"/>
      <c r="Y745" s="230"/>
      <c r="Z745" s="230"/>
    </row>
    <row r="746">
      <c r="O746" s="230"/>
      <c r="S746" s="230"/>
      <c r="T746" s="230"/>
      <c r="U746" s="230"/>
      <c r="V746" s="230"/>
      <c r="W746" s="230"/>
      <c r="X746" s="230"/>
      <c r="Y746" s="230"/>
      <c r="Z746" s="230"/>
    </row>
    <row r="747">
      <c r="O747" s="230"/>
      <c r="S747" s="230"/>
      <c r="T747" s="230"/>
      <c r="U747" s="230"/>
      <c r="V747" s="230"/>
      <c r="W747" s="230"/>
      <c r="X747" s="230"/>
      <c r="Y747" s="230"/>
      <c r="Z747" s="230"/>
    </row>
    <row r="748">
      <c r="O748" s="230"/>
      <c r="S748" s="230"/>
      <c r="T748" s="230"/>
      <c r="U748" s="230"/>
      <c r="V748" s="230"/>
      <c r="W748" s="230"/>
      <c r="X748" s="230"/>
      <c r="Y748" s="230"/>
      <c r="Z748" s="230"/>
    </row>
    <row r="749">
      <c r="O749" s="230"/>
      <c r="S749" s="230"/>
      <c r="T749" s="230"/>
      <c r="U749" s="230"/>
      <c r="V749" s="230"/>
      <c r="W749" s="230"/>
      <c r="X749" s="230"/>
      <c r="Y749" s="230"/>
      <c r="Z749" s="230"/>
    </row>
    <row r="750">
      <c r="O750" s="230"/>
      <c r="S750" s="230"/>
      <c r="T750" s="230"/>
      <c r="U750" s="230"/>
      <c r="V750" s="230"/>
      <c r="W750" s="230"/>
      <c r="X750" s="230"/>
      <c r="Y750" s="230"/>
      <c r="Z750" s="230"/>
    </row>
    <row r="751">
      <c r="O751" s="230"/>
      <c r="S751" s="230"/>
      <c r="T751" s="230"/>
      <c r="U751" s="230"/>
      <c r="V751" s="230"/>
      <c r="W751" s="230"/>
      <c r="X751" s="230"/>
      <c r="Y751" s="230"/>
      <c r="Z751" s="230"/>
    </row>
    <row r="752">
      <c r="O752" s="230"/>
      <c r="S752" s="230"/>
      <c r="T752" s="230"/>
      <c r="U752" s="230"/>
      <c r="V752" s="230"/>
      <c r="W752" s="230"/>
      <c r="X752" s="230"/>
      <c r="Y752" s="230"/>
      <c r="Z752" s="230"/>
    </row>
    <row r="753">
      <c r="O753" s="230"/>
      <c r="S753" s="230"/>
      <c r="T753" s="230"/>
      <c r="U753" s="230"/>
      <c r="V753" s="230"/>
      <c r="W753" s="230"/>
      <c r="X753" s="230"/>
      <c r="Y753" s="230"/>
      <c r="Z753" s="230"/>
    </row>
    <row r="754">
      <c r="O754" s="230"/>
      <c r="S754" s="230"/>
      <c r="T754" s="230"/>
      <c r="U754" s="230"/>
      <c r="V754" s="230"/>
      <c r="W754" s="230"/>
      <c r="X754" s="230"/>
      <c r="Y754" s="230"/>
      <c r="Z754" s="230"/>
    </row>
    <row r="755">
      <c r="O755" s="230"/>
      <c r="S755" s="230"/>
      <c r="T755" s="230"/>
      <c r="U755" s="230"/>
      <c r="V755" s="230"/>
      <c r="W755" s="230"/>
      <c r="X755" s="230"/>
      <c r="Y755" s="230"/>
      <c r="Z755" s="230"/>
    </row>
    <row r="756">
      <c r="O756" s="230"/>
      <c r="S756" s="230"/>
      <c r="T756" s="230"/>
      <c r="U756" s="230"/>
      <c r="V756" s="230"/>
      <c r="W756" s="230"/>
      <c r="X756" s="230"/>
      <c r="Y756" s="230"/>
      <c r="Z756" s="230"/>
    </row>
    <row r="757">
      <c r="O757" s="230"/>
      <c r="S757" s="230"/>
      <c r="T757" s="230"/>
      <c r="U757" s="230"/>
      <c r="V757" s="230"/>
      <c r="W757" s="230"/>
      <c r="X757" s="230"/>
      <c r="Y757" s="230"/>
      <c r="Z757" s="230"/>
    </row>
    <row r="758">
      <c r="O758" s="230"/>
      <c r="S758" s="230"/>
      <c r="T758" s="230"/>
      <c r="U758" s="230"/>
      <c r="V758" s="230"/>
      <c r="W758" s="230"/>
      <c r="X758" s="230"/>
      <c r="Y758" s="230"/>
      <c r="Z758" s="230"/>
    </row>
    <row r="759">
      <c r="O759" s="230"/>
      <c r="S759" s="230"/>
      <c r="T759" s="230"/>
      <c r="U759" s="230"/>
      <c r="V759" s="230"/>
      <c r="W759" s="230"/>
      <c r="X759" s="230"/>
      <c r="Y759" s="230"/>
      <c r="Z759" s="230"/>
    </row>
    <row r="760">
      <c r="O760" s="230"/>
      <c r="S760" s="230"/>
      <c r="T760" s="230"/>
      <c r="U760" s="230"/>
      <c r="V760" s="230"/>
      <c r="W760" s="230"/>
      <c r="X760" s="230"/>
      <c r="Y760" s="230"/>
      <c r="Z760" s="230"/>
    </row>
    <row r="761">
      <c r="O761" s="230"/>
      <c r="S761" s="230"/>
      <c r="T761" s="230"/>
      <c r="U761" s="230"/>
      <c r="V761" s="230"/>
      <c r="W761" s="230"/>
      <c r="X761" s="230"/>
      <c r="Y761" s="230"/>
      <c r="Z761" s="230"/>
    </row>
    <row r="762">
      <c r="O762" s="230"/>
      <c r="S762" s="230"/>
      <c r="T762" s="230"/>
      <c r="U762" s="230"/>
      <c r="V762" s="230"/>
      <c r="W762" s="230"/>
      <c r="X762" s="230"/>
      <c r="Y762" s="230"/>
      <c r="Z762" s="230"/>
    </row>
    <row r="763">
      <c r="O763" s="230"/>
      <c r="S763" s="230"/>
      <c r="T763" s="230"/>
      <c r="U763" s="230"/>
      <c r="V763" s="230"/>
      <c r="W763" s="230"/>
      <c r="X763" s="230"/>
      <c r="Y763" s="230"/>
      <c r="Z763" s="230"/>
    </row>
    <row r="764">
      <c r="O764" s="230"/>
      <c r="S764" s="230"/>
      <c r="T764" s="230"/>
      <c r="U764" s="230"/>
      <c r="V764" s="230"/>
      <c r="W764" s="230"/>
      <c r="X764" s="230"/>
      <c r="Y764" s="230"/>
      <c r="Z764" s="230"/>
    </row>
    <row r="765">
      <c r="O765" s="230"/>
      <c r="S765" s="230"/>
      <c r="T765" s="230"/>
      <c r="U765" s="230"/>
      <c r="V765" s="230"/>
      <c r="W765" s="230"/>
      <c r="X765" s="230"/>
      <c r="Y765" s="230"/>
      <c r="Z765" s="230"/>
    </row>
    <row r="766">
      <c r="O766" s="230"/>
      <c r="S766" s="230"/>
      <c r="T766" s="230"/>
      <c r="U766" s="230"/>
      <c r="V766" s="230"/>
      <c r="W766" s="230"/>
      <c r="X766" s="230"/>
      <c r="Y766" s="230"/>
      <c r="Z766" s="230"/>
    </row>
    <row r="767">
      <c r="O767" s="230"/>
      <c r="S767" s="230"/>
      <c r="T767" s="230"/>
      <c r="U767" s="230"/>
      <c r="V767" s="230"/>
      <c r="W767" s="230"/>
      <c r="X767" s="230"/>
      <c r="Y767" s="230"/>
      <c r="Z767" s="230"/>
    </row>
    <row r="768">
      <c r="O768" s="230"/>
      <c r="S768" s="230"/>
      <c r="T768" s="230"/>
      <c r="U768" s="230"/>
      <c r="V768" s="230"/>
      <c r="W768" s="230"/>
      <c r="X768" s="230"/>
      <c r="Y768" s="230"/>
      <c r="Z768" s="230"/>
    </row>
    <row r="769">
      <c r="O769" s="230"/>
      <c r="S769" s="230"/>
      <c r="T769" s="230"/>
      <c r="U769" s="230"/>
      <c r="V769" s="230"/>
      <c r="W769" s="230"/>
      <c r="X769" s="230"/>
      <c r="Y769" s="230"/>
      <c r="Z769" s="230"/>
    </row>
    <row r="770">
      <c r="O770" s="230"/>
      <c r="S770" s="230"/>
      <c r="T770" s="230"/>
      <c r="U770" s="230"/>
      <c r="V770" s="230"/>
      <c r="W770" s="230"/>
      <c r="X770" s="230"/>
      <c r="Y770" s="230"/>
      <c r="Z770" s="230"/>
    </row>
    <row r="771">
      <c r="O771" s="230"/>
      <c r="S771" s="230"/>
      <c r="T771" s="230"/>
      <c r="U771" s="230"/>
      <c r="V771" s="230"/>
      <c r="W771" s="230"/>
      <c r="X771" s="230"/>
      <c r="Y771" s="230"/>
      <c r="Z771" s="230"/>
    </row>
    <row r="772">
      <c r="O772" s="230"/>
      <c r="S772" s="230"/>
      <c r="T772" s="230"/>
      <c r="U772" s="230"/>
      <c r="V772" s="230"/>
      <c r="W772" s="230"/>
      <c r="X772" s="230"/>
      <c r="Y772" s="230"/>
      <c r="Z772" s="230"/>
    </row>
    <row r="773">
      <c r="O773" s="230"/>
      <c r="S773" s="230"/>
      <c r="T773" s="230"/>
      <c r="U773" s="230"/>
      <c r="V773" s="230"/>
      <c r="W773" s="230"/>
      <c r="X773" s="230"/>
      <c r="Y773" s="230"/>
      <c r="Z773" s="230"/>
    </row>
    <row r="774">
      <c r="O774" s="230"/>
      <c r="S774" s="230"/>
      <c r="T774" s="230"/>
      <c r="U774" s="230"/>
      <c r="V774" s="230"/>
      <c r="W774" s="230"/>
      <c r="X774" s="230"/>
      <c r="Y774" s="230"/>
      <c r="Z774" s="230"/>
    </row>
    <row r="775">
      <c r="O775" s="230"/>
      <c r="S775" s="230"/>
      <c r="T775" s="230"/>
      <c r="U775" s="230"/>
      <c r="V775" s="230"/>
      <c r="W775" s="230"/>
      <c r="X775" s="230"/>
      <c r="Y775" s="230"/>
      <c r="Z775" s="230"/>
    </row>
    <row r="776">
      <c r="O776" s="230"/>
      <c r="S776" s="230"/>
      <c r="T776" s="230"/>
      <c r="U776" s="230"/>
      <c r="V776" s="230"/>
      <c r="W776" s="230"/>
      <c r="X776" s="230"/>
      <c r="Y776" s="230"/>
      <c r="Z776" s="230"/>
    </row>
    <row r="777">
      <c r="O777" s="230"/>
      <c r="S777" s="230"/>
      <c r="T777" s="230"/>
      <c r="U777" s="230"/>
      <c r="V777" s="230"/>
      <c r="W777" s="230"/>
      <c r="X777" s="230"/>
      <c r="Y777" s="230"/>
      <c r="Z777" s="230"/>
    </row>
    <row r="778">
      <c r="O778" s="230"/>
      <c r="S778" s="230"/>
      <c r="T778" s="230"/>
      <c r="U778" s="230"/>
      <c r="V778" s="230"/>
      <c r="W778" s="230"/>
      <c r="X778" s="230"/>
      <c r="Y778" s="230"/>
      <c r="Z778" s="230"/>
    </row>
    <row r="779">
      <c r="O779" s="230"/>
      <c r="S779" s="230"/>
      <c r="T779" s="230"/>
      <c r="U779" s="230"/>
      <c r="V779" s="230"/>
      <c r="W779" s="230"/>
      <c r="X779" s="230"/>
      <c r="Y779" s="230"/>
      <c r="Z779" s="230"/>
    </row>
    <row r="780">
      <c r="O780" s="230"/>
      <c r="S780" s="230"/>
      <c r="T780" s="230"/>
      <c r="U780" s="230"/>
      <c r="V780" s="230"/>
      <c r="W780" s="230"/>
      <c r="X780" s="230"/>
      <c r="Y780" s="230"/>
      <c r="Z780" s="230"/>
    </row>
    <row r="781">
      <c r="O781" s="230"/>
      <c r="S781" s="230"/>
      <c r="T781" s="230"/>
      <c r="U781" s="230"/>
      <c r="V781" s="230"/>
      <c r="W781" s="230"/>
      <c r="X781" s="230"/>
      <c r="Y781" s="230"/>
      <c r="Z781" s="230"/>
    </row>
    <row r="782">
      <c r="O782" s="230"/>
      <c r="S782" s="230"/>
      <c r="T782" s="230"/>
      <c r="U782" s="230"/>
      <c r="V782" s="230"/>
      <c r="W782" s="230"/>
      <c r="X782" s="230"/>
      <c r="Y782" s="230"/>
      <c r="Z782" s="230"/>
    </row>
    <row r="783">
      <c r="O783" s="230"/>
      <c r="S783" s="230"/>
      <c r="T783" s="230"/>
      <c r="U783" s="230"/>
      <c r="V783" s="230"/>
      <c r="W783" s="230"/>
      <c r="X783" s="230"/>
      <c r="Y783" s="230"/>
      <c r="Z783" s="230"/>
    </row>
    <row r="784">
      <c r="O784" s="230"/>
      <c r="S784" s="230"/>
      <c r="T784" s="230"/>
      <c r="U784" s="230"/>
      <c r="V784" s="230"/>
      <c r="W784" s="230"/>
      <c r="X784" s="230"/>
      <c r="Y784" s="230"/>
      <c r="Z784" s="230"/>
    </row>
    <row r="785">
      <c r="O785" s="230"/>
      <c r="S785" s="230"/>
      <c r="T785" s="230"/>
      <c r="U785" s="230"/>
      <c r="V785" s="230"/>
      <c r="W785" s="230"/>
      <c r="X785" s="230"/>
      <c r="Y785" s="230"/>
      <c r="Z785" s="230"/>
    </row>
    <row r="786">
      <c r="O786" s="230"/>
      <c r="S786" s="230"/>
      <c r="T786" s="230"/>
      <c r="U786" s="230"/>
      <c r="V786" s="230"/>
      <c r="W786" s="230"/>
      <c r="X786" s="230"/>
      <c r="Y786" s="230"/>
      <c r="Z786" s="230"/>
    </row>
    <row r="787">
      <c r="O787" s="230"/>
      <c r="S787" s="230"/>
      <c r="T787" s="230"/>
      <c r="U787" s="230"/>
      <c r="V787" s="230"/>
      <c r="W787" s="230"/>
      <c r="X787" s="230"/>
      <c r="Y787" s="230"/>
      <c r="Z787" s="230"/>
    </row>
    <row r="788">
      <c r="O788" s="230"/>
      <c r="S788" s="230"/>
      <c r="T788" s="230"/>
      <c r="U788" s="230"/>
      <c r="V788" s="230"/>
      <c r="W788" s="230"/>
      <c r="X788" s="230"/>
      <c r="Y788" s="230"/>
      <c r="Z788" s="230"/>
    </row>
    <row r="789">
      <c r="O789" s="230"/>
      <c r="S789" s="230"/>
      <c r="T789" s="230"/>
      <c r="U789" s="230"/>
      <c r="V789" s="230"/>
      <c r="W789" s="230"/>
      <c r="X789" s="230"/>
      <c r="Y789" s="230"/>
      <c r="Z789" s="230"/>
    </row>
    <row r="790">
      <c r="O790" s="230"/>
      <c r="S790" s="230"/>
      <c r="T790" s="230"/>
      <c r="U790" s="230"/>
      <c r="V790" s="230"/>
      <c r="W790" s="230"/>
      <c r="X790" s="230"/>
      <c r="Y790" s="230"/>
      <c r="Z790" s="230"/>
    </row>
    <row r="791">
      <c r="O791" s="230"/>
      <c r="S791" s="230"/>
      <c r="T791" s="230"/>
      <c r="U791" s="230"/>
      <c r="V791" s="230"/>
      <c r="W791" s="230"/>
      <c r="X791" s="230"/>
      <c r="Y791" s="230"/>
      <c r="Z791" s="230"/>
    </row>
    <row r="792">
      <c r="O792" s="230"/>
      <c r="S792" s="230"/>
      <c r="T792" s="230"/>
      <c r="U792" s="230"/>
      <c r="V792" s="230"/>
      <c r="W792" s="230"/>
      <c r="X792" s="230"/>
      <c r="Y792" s="230"/>
      <c r="Z792" s="230"/>
    </row>
    <row r="793">
      <c r="O793" s="230"/>
      <c r="S793" s="230"/>
      <c r="T793" s="230"/>
      <c r="U793" s="230"/>
      <c r="V793" s="230"/>
      <c r="W793" s="230"/>
      <c r="X793" s="230"/>
      <c r="Y793" s="230"/>
      <c r="Z793" s="230"/>
    </row>
    <row r="794">
      <c r="O794" s="230"/>
      <c r="S794" s="230"/>
      <c r="T794" s="230"/>
      <c r="U794" s="230"/>
      <c r="V794" s="230"/>
      <c r="W794" s="230"/>
      <c r="X794" s="230"/>
      <c r="Y794" s="230"/>
      <c r="Z794" s="230"/>
    </row>
    <row r="795">
      <c r="O795" s="230"/>
      <c r="S795" s="230"/>
      <c r="T795" s="230"/>
      <c r="U795" s="230"/>
      <c r="V795" s="230"/>
      <c r="W795" s="230"/>
      <c r="X795" s="230"/>
      <c r="Y795" s="230"/>
      <c r="Z795" s="230"/>
    </row>
    <row r="796">
      <c r="O796" s="230"/>
      <c r="S796" s="230"/>
      <c r="T796" s="230"/>
      <c r="U796" s="230"/>
      <c r="V796" s="230"/>
      <c r="W796" s="230"/>
      <c r="X796" s="230"/>
      <c r="Y796" s="230"/>
      <c r="Z796" s="230"/>
    </row>
    <row r="797">
      <c r="O797" s="230"/>
      <c r="S797" s="230"/>
      <c r="T797" s="230"/>
      <c r="U797" s="230"/>
      <c r="V797" s="230"/>
      <c r="W797" s="230"/>
      <c r="X797" s="230"/>
      <c r="Y797" s="230"/>
      <c r="Z797" s="230"/>
    </row>
    <row r="798">
      <c r="O798" s="230"/>
      <c r="S798" s="230"/>
      <c r="T798" s="230"/>
      <c r="U798" s="230"/>
      <c r="V798" s="230"/>
      <c r="W798" s="230"/>
      <c r="X798" s="230"/>
      <c r="Y798" s="230"/>
      <c r="Z798" s="230"/>
    </row>
    <row r="799">
      <c r="O799" s="230"/>
      <c r="S799" s="230"/>
      <c r="T799" s="230"/>
      <c r="U799" s="230"/>
      <c r="V799" s="230"/>
      <c r="W799" s="230"/>
      <c r="X799" s="230"/>
      <c r="Y799" s="230"/>
      <c r="Z799" s="230"/>
    </row>
    <row r="800">
      <c r="O800" s="230"/>
      <c r="S800" s="230"/>
      <c r="T800" s="230"/>
      <c r="U800" s="230"/>
      <c r="V800" s="230"/>
      <c r="W800" s="230"/>
      <c r="X800" s="230"/>
      <c r="Y800" s="230"/>
      <c r="Z800" s="230"/>
    </row>
    <row r="801">
      <c r="O801" s="230"/>
      <c r="S801" s="230"/>
      <c r="T801" s="230"/>
      <c r="U801" s="230"/>
      <c r="V801" s="230"/>
      <c r="W801" s="230"/>
      <c r="X801" s="230"/>
      <c r="Y801" s="230"/>
      <c r="Z801" s="230"/>
    </row>
    <row r="802">
      <c r="O802" s="230"/>
      <c r="S802" s="230"/>
      <c r="T802" s="230"/>
      <c r="U802" s="230"/>
      <c r="V802" s="230"/>
      <c r="W802" s="230"/>
      <c r="X802" s="230"/>
      <c r="Y802" s="230"/>
      <c r="Z802" s="230"/>
    </row>
    <row r="803">
      <c r="O803" s="230"/>
      <c r="S803" s="230"/>
      <c r="T803" s="230"/>
      <c r="U803" s="230"/>
      <c r="V803" s="230"/>
      <c r="W803" s="230"/>
      <c r="X803" s="230"/>
      <c r="Y803" s="230"/>
      <c r="Z803" s="230"/>
    </row>
    <row r="804">
      <c r="O804" s="230"/>
      <c r="S804" s="230"/>
      <c r="T804" s="230"/>
      <c r="U804" s="230"/>
      <c r="V804" s="230"/>
      <c r="W804" s="230"/>
      <c r="X804" s="230"/>
      <c r="Y804" s="230"/>
      <c r="Z804" s="230"/>
    </row>
    <row r="805">
      <c r="O805" s="230"/>
      <c r="S805" s="230"/>
      <c r="T805" s="230"/>
      <c r="U805" s="230"/>
      <c r="V805" s="230"/>
      <c r="W805" s="230"/>
      <c r="X805" s="230"/>
      <c r="Y805" s="230"/>
      <c r="Z805" s="230"/>
    </row>
    <row r="806">
      <c r="O806" s="230"/>
      <c r="S806" s="230"/>
      <c r="T806" s="230"/>
      <c r="U806" s="230"/>
      <c r="V806" s="230"/>
      <c r="W806" s="230"/>
      <c r="X806" s="230"/>
      <c r="Y806" s="230"/>
      <c r="Z806" s="230"/>
    </row>
    <row r="807">
      <c r="O807" s="230"/>
      <c r="S807" s="230"/>
      <c r="T807" s="230"/>
      <c r="U807" s="230"/>
      <c r="V807" s="230"/>
      <c r="W807" s="230"/>
      <c r="X807" s="230"/>
      <c r="Y807" s="230"/>
      <c r="Z807" s="230"/>
    </row>
    <row r="808">
      <c r="O808" s="230"/>
      <c r="S808" s="230"/>
      <c r="T808" s="230"/>
      <c r="U808" s="230"/>
      <c r="V808" s="230"/>
      <c r="W808" s="230"/>
      <c r="X808" s="230"/>
      <c r="Y808" s="230"/>
      <c r="Z808" s="230"/>
    </row>
    <row r="809">
      <c r="O809" s="230"/>
      <c r="S809" s="230"/>
      <c r="T809" s="230"/>
      <c r="U809" s="230"/>
      <c r="V809" s="230"/>
      <c r="W809" s="230"/>
      <c r="X809" s="230"/>
      <c r="Y809" s="230"/>
      <c r="Z809" s="230"/>
    </row>
    <row r="810">
      <c r="O810" s="230"/>
      <c r="S810" s="230"/>
      <c r="T810" s="230"/>
      <c r="U810" s="230"/>
      <c r="V810" s="230"/>
      <c r="W810" s="230"/>
      <c r="X810" s="230"/>
      <c r="Y810" s="230"/>
      <c r="Z810" s="230"/>
    </row>
    <row r="811">
      <c r="O811" s="230"/>
      <c r="S811" s="230"/>
      <c r="T811" s="230"/>
      <c r="U811" s="230"/>
      <c r="V811" s="230"/>
      <c r="W811" s="230"/>
      <c r="X811" s="230"/>
      <c r="Y811" s="230"/>
      <c r="Z811" s="230"/>
    </row>
    <row r="812">
      <c r="O812" s="230"/>
      <c r="S812" s="230"/>
      <c r="T812" s="230"/>
      <c r="U812" s="230"/>
      <c r="V812" s="230"/>
      <c r="W812" s="230"/>
      <c r="X812" s="230"/>
      <c r="Y812" s="230"/>
      <c r="Z812" s="230"/>
    </row>
    <row r="813">
      <c r="O813" s="230"/>
      <c r="S813" s="230"/>
      <c r="T813" s="230"/>
      <c r="U813" s="230"/>
      <c r="V813" s="230"/>
      <c r="W813" s="230"/>
      <c r="X813" s="230"/>
      <c r="Y813" s="230"/>
      <c r="Z813" s="230"/>
    </row>
    <row r="814">
      <c r="O814" s="230"/>
      <c r="S814" s="230"/>
      <c r="T814" s="230"/>
      <c r="U814" s="230"/>
      <c r="V814" s="230"/>
      <c r="W814" s="230"/>
      <c r="X814" s="230"/>
      <c r="Y814" s="230"/>
      <c r="Z814" s="230"/>
    </row>
    <row r="815">
      <c r="O815" s="230"/>
      <c r="S815" s="230"/>
      <c r="T815" s="230"/>
      <c r="U815" s="230"/>
      <c r="V815" s="230"/>
      <c r="W815" s="230"/>
      <c r="X815" s="230"/>
      <c r="Y815" s="230"/>
      <c r="Z815" s="230"/>
    </row>
    <row r="816">
      <c r="O816" s="230"/>
      <c r="S816" s="230"/>
      <c r="T816" s="230"/>
      <c r="U816" s="230"/>
      <c r="V816" s="230"/>
      <c r="W816" s="230"/>
      <c r="X816" s="230"/>
      <c r="Y816" s="230"/>
      <c r="Z816" s="230"/>
    </row>
    <row r="817">
      <c r="O817" s="230"/>
      <c r="S817" s="230"/>
      <c r="T817" s="230"/>
      <c r="U817" s="230"/>
      <c r="V817" s="230"/>
      <c r="W817" s="230"/>
      <c r="X817" s="230"/>
      <c r="Y817" s="230"/>
      <c r="Z817" s="230"/>
    </row>
    <row r="818">
      <c r="O818" s="230"/>
      <c r="S818" s="230"/>
      <c r="T818" s="230"/>
      <c r="U818" s="230"/>
      <c r="V818" s="230"/>
      <c r="W818" s="230"/>
      <c r="X818" s="230"/>
      <c r="Y818" s="230"/>
      <c r="Z818" s="230"/>
    </row>
    <row r="819">
      <c r="O819" s="230"/>
      <c r="S819" s="230"/>
      <c r="T819" s="230"/>
      <c r="U819" s="230"/>
      <c r="V819" s="230"/>
      <c r="W819" s="230"/>
      <c r="X819" s="230"/>
      <c r="Y819" s="230"/>
      <c r="Z819" s="230"/>
    </row>
    <row r="820">
      <c r="O820" s="230"/>
      <c r="S820" s="230"/>
      <c r="T820" s="230"/>
      <c r="U820" s="230"/>
      <c r="V820" s="230"/>
      <c r="W820" s="230"/>
      <c r="X820" s="230"/>
      <c r="Y820" s="230"/>
      <c r="Z820" s="230"/>
    </row>
    <row r="821">
      <c r="O821" s="230"/>
      <c r="S821" s="230"/>
      <c r="T821" s="230"/>
      <c r="U821" s="230"/>
      <c r="V821" s="230"/>
      <c r="W821" s="230"/>
      <c r="X821" s="230"/>
      <c r="Y821" s="230"/>
      <c r="Z821" s="230"/>
    </row>
    <row r="822">
      <c r="O822" s="230"/>
      <c r="S822" s="230"/>
      <c r="T822" s="230"/>
      <c r="U822" s="230"/>
      <c r="V822" s="230"/>
      <c r="W822" s="230"/>
      <c r="X822" s="230"/>
      <c r="Y822" s="230"/>
      <c r="Z822" s="230"/>
    </row>
    <row r="823">
      <c r="O823" s="230"/>
      <c r="S823" s="230"/>
      <c r="T823" s="230"/>
      <c r="U823" s="230"/>
      <c r="V823" s="230"/>
      <c r="W823" s="230"/>
      <c r="X823" s="230"/>
      <c r="Y823" s="230"/>
      <c r="Z823" s="230"/>
    </row>
    <row r="824">
      <c r="O824" s="230"/>
      <c r="S824" s="230"/>
      <c r="T824" s="230"/>
      <c r="U824" s="230"/>
      <c r="V824" s="230"/>
      <c r="W824" s="230"/>
      <c r="X824" s="230"/>
      <c r="Y824" s="230"/>
      <c r="Z824" s="230"/>
    </row>
    <row r="825">
      <c r="O825" s="230"/>
      <c r="S825" s="230"/>
      <c r="T825" s="230"/>
      <c r="U825" s="230"/>
      <c r="V825" s="230"/>
      <c r="W825" s="230"/>
      <c r="X825" s="230"/>
      <c r="Y825" s="230"/>
      <c r="Z825" s="230"/>
    </row>
    <row r="826">
      <c r="O826" s="230"/>
      <c r="S826" s="230"/>
      <c r="T826" s="230"/>
      <c r="U826" s="230"/>
      <c r="V826" s="230"/>
      <c r="W826" s="230"/>
      <c r="X826" s="230"/>
      <c r="Y826" s="230"/>
      <c r="Z826" s="230"/>
    </row>
    <row r="827">
      <c r="O827" s="230"/>
      <c r="S827" s="230"/>
      <c r="T827" s="230"/>
      <c r="U827" s="230"/>
      <c r="V827" s="230"/>
      <c r="W827" s="230"/>
      <c r="X827" s="230"/>
      <c r="Y827" s="230"/>
      <c r="Z827" s="230"/>
    </row>
    <row r="828">
      <c r="O828" s="230"/>
      <c r="S828" s="230"/>
      <c r="T828" s="230"/>
      <c r="U828" s="230"/>
      <c r="V828" s="230"/>
      <c r="W828" s="230"/>
      <c r="X828" s="230"/>
      <c r="Y828" s="230"/>
      <c r="Z828" s="230"/>
    </row>
    <row r="829">
      <c r="O829" s="230"/>
      <c r="S829" s="230"/>
      <c r="T829" s="230"/>
      <c r="U829" s="230"/>
      <c r="V829" s="230"/>
      <c r="W829" s="230"/>
      <c r="X829" s="230"/>
      <c r="Y829" s="230"/>
      <c r="Z829" s="230"/>
    </row>
    <row r="830">
      <c r="O830" s="230"/>
      <c r="S830" s="230"/>
      <c r="T830" s="230"/>
      <c r="U830" s="230"/>
      <c r="V830" s="230"/>
      <c r="W830" s="230"/>
      <c r="X830" s="230"/>
      <c r="Y830" s="230"/>
      <c r="Z830" s="230"/>
    </row>
    <row r="831">
      <c r="O831" s="230"/>
      <c r="S831" s="230"/>
      <c r="T831" s="230"/>
      <c r="U831" s="230"/>
      <c r="V831" s="230"/>
      <c r="W831" s="230"/>
      <c r="X831" s="230"/>
      <c r="Y831" s="230"/>
      <c r="Z831" s="230"/>
    </row>
    <row r="832">
      <c r="O832" s="230"/>
      <c r="S832" s="230"/>
      <c r="T832" s="230"/>
      <c r="U832" s="230"/>
      <c r="V832" s="230"/>
      <c r="W832" s="230"/>
      <c r="X832" s="230"/>
      <c r="Y832" s="230"/>
      <c r="Z832" s="230"/>
    </row>
    <row r="833">
      <c r="O833" s="230"/>
      <c r="S833" s="230"/>
      <c r="T833" s="230"/>
      <c r="U833" s="230"/>
      <c r="V833" s="230"/>
      <c r="W833" s="230"/>
      <c r="X833" s="230"/>
      <c r="Y833" s="230"/>
      <c r="Z833" s="230"/>
    </row>
    <row r="834">
      <c r="O834" s="230"/>
      <c r="S834" s="230"/>
      <c r="T834" s="230"/>
      <c r="U834" s="230"/>
      <c r="V834" s="230"/>
      <c r="W834" s="230"/>
      <c r="X834" s="230"/>
      <c r="Y834" s="230"/>
      <c r="Z834" s="230"/>
    </row>
    <row r="835">
      <c r="O835" s="230"/>
      <c r="S835" s="230"/>
      <c r="T835" s="230"/>
      <c r="U835" s="230"/>
      <c r="V835" s="230"/>
      <c r="W835" s="230"/>
      <c r="X835" s="230"/>
      <c r="Y835" s="230"/>
      <c r="Z835" s="230"/>
    </row>
    <row r="836">
      <c r="O836" s="230"/>
      <c r="S836" s="230"/>
      <c r="T836" s="230"/>
      <c r="U836" s="230"/>
      <c r="V836" s="230"/>
      <c r="W836" s="230"/>
      <c r="X836" s="230"/>
      <c r="Y836" s="230"/>
      <c r="Z836" s="230"/>
    </row>
    <row r="837">
      <c r="O837" s="230"/>
      <c r="S837" s="230"/>
      <c r="T837" s="230"/>
      <c r="U837" s="230"/>
      <c r="V837" s="230"/>
      <c r="W837" s="230"/>
      <c r="X837" s="230"/>
      <c r="Y837" s="230"/>
      <c r="Z837" s="230"/>
    </row>
    <row r="838">
      <c r="O838" s="230"/>
      <c r="S838" s="230"/>
      <c r="T838" s="230"/>
      <c r="U838" s="230"/>
      <c r="V838" s="230"/>
      <c r="W838" s="230"/>
      <c r="X838" s="230"/>
      <c r="Y838" s="230"/>
      <c r="Z838" s="230"/>
    </row>
    <row r="839">
      <c r="O839" s="230"/>
      <c r="S839" s="230"/>
      <c r="T839" s="230"/>
      <c r="U839" s="230"/>
      <c r="V839" s="230"/>
      <c r="W839" s="230"/>
      <c r="X839" s="230"/>
      <c r="Y839" s="230"/>
      <c r="Z839" s="230"/>
    </row>
    <row r="840">
      <c r="O840" s="230"/>
      <c r="S840" s="230"/>
      <c r="T840" s="230"/>
      <c r="U840" s="230"/>
      <c r="V840" s="230"/>
      <c r="W840" s="230"/>
      <c r="X840" s="230"/>
      <c r="Y840" s="230"/>
      <c r="Z840" s="230"/>
    </row>
    <row r="841">
      <c r="O841" s="230"/>
      <c r="S841" s="230"/>
      <c r="T841" s="230"/>
      <c r="U841" s="230"/>
      <c r="V841" s="230"/>
      <c r="W841" s="230"/>
      <c r="X841" s="230"/>
      <c r="Y841" s="230"/>
      <c r="Z841" s="230"/>
    </row>
    <row r="842">
      <c r="O842" s="230"/>
      <c r="S842" s="230"/>
      <c r="T842" s="230"/>
      <c r="U842" s="230"/>
      <c r="V842" s="230"/>
      <c r="W842" s="230"/>
      <c r="X842" s="230"/>
      <c r="Y842" s="230"/>
      <c r="Z842" s="230"/>
    </row>
    <row r="843">
      <c r="O843" s="230"/>
      <c r="S843" s="230"/>
      <c r="T843" s="230"/>
      <c r="U843" s="230"/>
      <c r="V843" s="230"/>
      <c r="W843" s="230"/>
      <c r="X843" s="230"/>
      <c r="Y843" s="230"/>
      <c r="Z843" s="230"/>
    </row>
    <row r="844">
      <c r="O844" s="230"/>
      <c r="S844" s="230"/>
      <c r="T844" s="230"/>
      <c r="U844" s="230"/>
      <c r="V844" s="230"/>
      <c r="W844" s="230"/>
      <c r="X844" s="230"/>
      <c r="Y844" s="230"/>
      <c r="Z844" s="230"/>
    </row>
    <row r="845">
      <c r="O845" s="230"/>
      <c r="S845" s="230"/>
      <c r="T845" s="230"/>
      <c r="U845" s="230"/>
      <c r="V845" s="230"/>
      <c r="W845" s="230"/>
      <c r="X845" s="230"/>
      <c r="Y845" s="230"/>
      <c r="Z845" s="230"/>
    </row>
    <row r="846">
      <c r="O846" s="230"/>
      <c r="S846" s="230"/>
      <c r="T846" s="230"/>
      <c r="U846" s="230"/>
      <c r="V846" s="230"/>
      <c r="W846" s="230"/>
      <c r="X846" s="230"/>
      <c r="Y846" s="230"/>
      <c r="Z846" s="230"/>
    </row>
    <row r="847">
      <c r="O847" s="230"/>
      <c r="S847" s="230"/>
      <c r="T847" s="230"/>
      <c r="U847" s="230"/>
      <c r="V847" s="230"/>
      <c r="W847" s="230"/>
      <c r="X847" s="230"/>
      <c r="Y847" s="230"/>
      <c r="Z847" s="230"/>
    </row>
    <row r="848">
      <c r="O848" s="230"/>
      <c r="S848" s="230"/>
      <c r="T848" s="230"/>
      <c r="U848" s="230"/>
      <c r="V848" s="230"/>
      <c r="W848" s="230"/>
      <c r="X848" s="230"/>
      <c r="Y848" s="230"/>
      <c r="Z848" s="230"/>
    </row>
    <row r="849">
      <c r="O849" s="230"/>
      <c r="S849" s="230"/>
      <c r="T849" s="230"/>
      <c r="U849" s="230"/>
      <c r="V849" s="230"/>
      <c r="W849" s="230"/>
      <c r="X849" s="230"/>
      <c r="Y849" s="230"/>
      <c r="Z849" s="230"/>
    </row>
    <row r="850">
      <c r="O850" s="230"/>
      <c r="S850" s="230"/>
      <c r="T850" s="230"/>
      <c r="U850" s="230"/>
      <c r="V850" s="230"/>
      <c r="W850" s="230"/>
      <c r="X850" s="230"/>
      <c r="Y850" s="230"/>
      <c r="Z850" s="230"/>
    </row>
    <row r="851">
      <c r="O851" s="230"/>
      <c r="S851" s="230"/>
      <c r="T851" s="230"/>
      <c r="U851" s="230"/>
      <c r="V851" s="230"/>
      <c r="W851" s="230"/>
      <c r="X851" s="230"/>
      <c r="Y851" s="230"/>
      <c r="Z851" s="230"/>
    </row>
    <row r="852">
      <c r="O852" s="230"/>
      <c r="S852" s="230"/>
      <c r="T852" s="230"/>
      <c r="U852" s="230"/>
      <c r="V852" s="230"/>
      <c r="W852" s="230"/>
      <c r="X852" s="230"/>
      <c r="Y852" s="230"/>
      <c r="Z852" s="230"/>
    </row>
    <row r="853">
      <c r="O853" s="230"/>
      <c r="S853" s="230"/>
      <c r="T853" s="230"/>
      <c r="U853" s="230"/>
      <c r="V853" s="230"/>
      <c r="W853" s="230"/>
      <c r="X853" s="230"/>
      <c r="Y853" s="230"/>
      <c r="Z853" s="230"/>
    </row>
    <row r="854">
      <c r="O854" s="230"/>
      <c r="S854" s="230"/>
      <c r="T854" s="230"/>
      <c r="U854" s="230"/>
      <c r="V854" s="230"/>
      <c r="W854" s="230"/>
      <c r="X854" s="230"/>
      <c r="Y854" s="230"/>
      <c r="Z854" s="230"/>
    </row>
    <row r="855">
      <c r="O855" s="230"/>
      <c r="S855" s="230"/>
      <c r="T855" s="230"/>
      <c r="U855" s="230"/>
      <c r="V855" s="230"/>
      <c r="W855" s="230"/>
      <c r="X855" s="230"/>
      <c r="Y855" s="230"/>
      <c r="Z855" s="230"/>
    </row>
    <row r="856">
      <c r="O856" s="230"/>
      <c r="S856" s="230"/>
      <c r="T856" s="230"/>
      <c r="U856" s="230"/>
      <c r="V856" s="230"/>
      <c r="W856" s="230"/>
      <c r="X856" s="230"/>
      <c r="Y856" s="230"/>
      <c r="Z856" s="230"/>
    </row>
    <row r="857">
      <c r="O857" s="230"/>
      <c r="S857" s="230"/>
      <c r="T857" s="230"/>
      <c r="U857" s="230"/>
      <c r="V857" s="230"/>
      <c r="W857" s="230"/>
      <c r="X857" s="230"/>
      <c r="Y857" s="230"/>
      <c r="Z857" s="230"/>
    </row>
    <row r="858">
      <c r="O858" s="230"/>
      <c r="S858" s="230"/>
      <c r="T858" s="230"/>
      <c r="U858" s="230"/>
      <c r="V858" s="230"/>
      <c r="W858" s="230"/>
      <c r="X858" s="230"/>
      <c r="Y858" s="230"/>
      <c r="Z858" s="230"/>
    </row>
    <row r="859">
      <c r="O859" s="230"/>
      <c r="S859" s="230"/>
      <c r="T859" s="230"/>
      <c r="U859" s="230"/>
      <c r="V859" s="230"/>
      <c r="W859" s="230"/>
      <c r="X859" s="230"/>
      <c r="Y859" s="230"/>
      <c r="Z859" s="230"/>
    </row>
    <row r="860">
      <c r="O860" s="230"/>
      <c r="S860" s="230"/>
      <c r="T860" s="230"/>
      <c r="U860" s="230"/>
      <c r="V860" s="230"/>
      <c r="W860" s="230"/>
      <c r="X860" s="230"/>
      <c r="Y860" s="230"/>
      <c r="Z860" s="230"/>
    </row>
    <row r="861">
      <c r="O861" s="230"/>
      <c r="S861" s="230"/>
      <c r="T861" s="230"/>
      <c r="U861" s="230"/>
      <c r="V861" s="230"/>
      <c r="W861" s="230"/>
      <c r="X861" s="230"/>
      <c r="Y861" s="230"/>
      <c r="Z861" s="230"/>
    </row>
    <row r="862">
      <c r="O862" s="230"/>
      <c r="S862" s="230"/>
      <c r="T862" s="230"/>
      <c r="U862" s="230"/>
      <c r="V862" s="230"/>
      <c r="W862" s="230"/>
      <c r="X862" s="230"/>
      <c r="Y862" s="230"/>
      <c r="Z862" s="230"/>
    </row>
    <row r="863">
      <c r="O863" s="230"/>
      <c r="S863" s="230"/>
      <c r="T863" s="230"/>
      <c r="U863" s="230"/>
      <c r="V863" s="230"/>
      <c r="W863" s="230"/>
      <c r="X863" s="230"/>
      <c r="Y863" s="230"/>
      <c r="Z863" s="230"/>
    </row>
    <row r="864">
      <c r="O864" s="230"/>
      <c r="S864" s="230"/>
      <c r="T864" s="230"/>
      <c r="U864" s="230"/>
      <c r="V864" s="230"/>
      <c r="W864" s="230"/>
      <c r="X864" s="230"/>
      <c r="Y864" s="230"/>
      <c r="Z864" s="230"/>
    </row>
    <row r="865">
      <c r="O865" s="230"/>
      <c r="S865" s="230"/>
      <c r="T865" s="230"/>
      <c r="U865" s="230"/>
      <c r="V865" s="230"/>
      <c r="W865" s="230"/>
      <c r="X865" s="230"/>
      <c r="Y865" s="230"/>
      <c r="Z865" s="230"/>
    </row>
    <row r="866">
      <c r="O866" s="230"/>
      <c r="S866" s="230"/>
      <c r="T866" s="230"/>
      <c r="U866" s="230"/>
      <c r="V866" s="230"/>
      <c r="W866" s="230"/>
      <c r="X866" s="230"/>
      <c r="Y866" s="230"/>
      <c r="Z866" s="230"/>
    </row>
    <row r="867">
      <c r="O867" s="230"/>
      <c r="S867" s="230"/>
      <c r="T867" s="230"/>
      <c r="U867" s="230"/>
      <c r="V867" s="230"/>
      <c r="W867" s="230"/>
      <c r="X867" s="230"/>
      <c r="Y867" s="230"/>
      <c r="Z867" s="230"/>
    </row>
    <row r="868">
      <c r="O868" s="230"/>
      <c r="S868" s="230"/>
      <c r="T868" s="230"/>
      <c r="U868" s="230"/>
      <c r="V868" s="230"/>
      <c r="W868" s="230"/>
      <c r="X868" s="230"/>
      <c r="Y868" s="230"/>
      <c r="Z868" s="230"/>
    </row>
    <row r="869">
      <c r="O869" s="230"/>
      <c r="S869" s="230"/>
      <c r="T869" s="230"/>
      <c r="U869" s="230"/>
      <c r="V869" s="230"/>
      <c r="W869" s="230"/>
      <c r="X869" s="230"/>
      <c r="Y869" s="230"/>
      <c r="Z869" s="230"/>
    </row>
    <row r="870">
      <c r="O870" s="230"/>
      <c r="S870" s="230"/>
      <c r="T870" s="230"/>
      <c r="U870" s="230"/>
      <c r="V870" s="230"/>
      <c r="W870" s="230"/>
      <c r="X870" s="230"/>
      <c r="Y870" s="230"/>
      <c r="Z870" s="230"/>
    </row>
    <row r="871">
      <c r="O871" s="230"/>
      <c r="S871" s="230"/>
      <c r="T871" s="230"/>
      <c r="U871" s="230"/>
      <c r="V871" s="230"/>
      <c r="W871" s="230"/>
      <c r="X871" s="230"/>
      <c r="Y871" s="230"/>
      <c r="Z871" s="230"/>
    </row>
    <row r="872">
      <c r="O872" s="230"/>
      <c r="S872" s="230"/>
      <c r="T872" s="230"/>
      <c r="U872" s="230"/>
      <c r="V872" s="230"/>
      <c r="W872" s="230"/>
      <c r="X872" s="230"/>
      <c r="Y872" s="230"/>
      <c r="Z872" s="230"/>
    </row>
    <row r="873">
      <c r="O873" s="230"/>
      <c r="S873" s="230"/>
      <c r="T873" s="230"/>
      <c r="U873" s="230"/>
      <c r="V873" s="230"/>
      <c r="W873" s="230"/>
      <c r="X873" s="230"/>
      <c r="Y873" s="230"/>
      <c r="Z873" s="230"/>
    </row>
    <row r="874">
      <c r="O874" s="230"/>
      <c r="S874" s="230"/>
      <c r="T874" s="230"/>
      <c r="U874" s="230"/>
      <c r="V874" s="230"/>
      <c r="W874" s="230"/>
      <c r="X874" s="230"/>
      <c r="Y874" s="230"/>
      <c r="Z874" s="230"/>
    </row>
    <row r="875">
      <c r="O875" s="230"/>
      <c r="S875" s="230"/>
      <c r="T875" s="230"/>
      <c r="U875" s="230"/>
      <c r="V875" s="230"/>
      <c r="W875" s="230"/>
      <c r="X875" s="230"/>
      <c r="Y875" s="230"/>
      <c r="Z875" s="230"/>
    </row>
    <row r="876">
      <c r="O876" s="230"/>
      <c r="S876" s="230"/>
      <c r="T876" s="230"/>
      <c r="U876" s="230"/>
      <c r="V876" s="230"/>
      <c r="W876" s="230"/>
      <c r="X876" s="230"/>
      <c r="Y876" s="230"/>
      <c r="Z876" s="230"/>
    </row>
    <row r="877">
      <c r="O877" s="230"/>
      <c r="S877" s="230"/>
      <c r="T877" s="230"/>
      <c r="U877" s="230"/>
      <c r="V877" s="230"/>
      <c r="W877" s="230"/>
      <c r="X877" s="230"/>
      <c r="Y877" s="230"/>
      <c r="Z877" s="230"/>
    </row>
    <row r="878">
      <c r="O878" s="230"/>
      <c r="S878" s="230"/>
      <c r="T878" s="230"/>
      <c r="U878" s="230"/>
      <c r="V878" s="230"/>
      <c r="W878" s="230"/>
      <c r="X878" s="230"/>
      <c r="Y878" s="230"/>
      <c r="Z878" s="230"/>
    </row>
    <row r="879">
      <c r="O879" s="230"/>
      <c r="S879" s="230"/>
      <c r="T879" s="230"/>
      <c r="U879" s="230"/>
      <c r="V879" s="230"/>
      <c r="W879" s="230"/>
      <c r="X879" s="230"/>
      <c r="Y879" s="230"/>
      <c r="Z879" s="230"/>
    </row>
    <row r="880">
      <c r="O880" s="230"/>
      <c r="S880" s="230"/>
      <c r="T880" s="230"/>
      <c r="U880" s="230"/>
      <c r="V880" s="230"/>
      <c r="W880" s="230"/>
      <c r="X880" s="230"/>
      <c r="Y880" s="230"/>
      <c r="Z880" s="230"/>
    </row>
    <row r="881">
      <c r="O881" s="230"/>
      <c r="S881" s="230"/>
      <c r="T881" s="230"/>
      <c r="U881" s="230"/>
      <c r="V881" s="230"/>
      <c r="W881" s="230"/>
      <c r="X881" s="230"/>
      <c r="Y881" s="230"/>
      <c r="Z881" s="230"/>
    </row>
    <row r="882">
      <c r="O882" s="230"/>
      <c r="S882" s="230"/>
      <c r="T882" s="230"/>
      <c r="U882" s="230"/>
      <c r="V882" s="230"/>
      <c r="W882" s="230"/>
      <c r="X882" s="230"/>
      <c r="Y882" s="230"/>
      <c r="Z882" s="230"/>
    </row>
    <row r="883">
      <c r="O883" s="230"/>
      <c r="S883" s="230"/>
      <c r="T883" s="230"/>
      <c r="U883" s="230"/>
      <c r="V883" s="230"/>
      <c r="W883" s="230"/>
      <c r="X883" s="230"/>
      <c r="Y883" s="230"/>
      <c r="Z883" s="230"/>
    </row>
    <row r="884">
      <c r="O884" s="230"/>
      <c r="S884" s="230"/>
      <c r="T884" s="230"/>
      <c r="U884" s="230"/>
      <c r="V884" s="230"/>
      <c r="W884" s="230"/>
      <c r="X884" s="230"/>
      <c r="Y884" s="230"/>
      <c r="Z884" s="230"/>
    </row>
    <row r="885">
      <c r="O885" s="230"/>
      <c r="S885" s="230"/>
      <c r="T885" s="230"/>
      <c r="U885" s="230"/>
      <c r="V885" s="230"/>
      <c r="W885" s="230"/>
      <c r="X885" s="230"/>
      <c r="Y885" s="230"/>
      <c r="Z885" s="230"/>
    </row>
    <row r="886">
      <c r="O886" s="230"/>
      <c r="S886" s="230"/>
      <c r="T886" s="230"/>
      <c r="U886" s="230"/>
      <c r="V886" s="230"/>
      <c r="W886" s="230"/>
      <c r="X886" s="230"/>
      <c r="Y886" s="230"/>
      <c r="Z886" s="230"/>
    </row>
    <row r="887">
      <c r="O887" s="230"/>
      <c r="S887" s="230"/>
      <c r="T887" s="230"/>
      <c r="U887" s="230"/>
      <c r="V887" s="230"/>
      <c r="W887" s="230"/>
      <c r="X887" s="230"/>
      <c r="Y887" s="230"/>
      <c r="Z887" s="230"/>
    </row>
    <row r="888">
      <c r="O888" s="230"/>
      <c r="S888" s="230"/>
      <c r="T888" s="230"/>
      <c r="U888" s="230"/>
      <c r="V888" s="230"/>
      <c r="W888" s="230"/>
      <c r="X888" s="230"/>
      <c r="Y888" s="230"/>
      <c r="Z888" s="230"/>
    </row>
    <row r="889">
      <c r="O889" s="230"/>
      <c r="S889" s="230"/>
      <c r="T889" s="230"/>
      <c r="U889" s="230"/>
      <c r="V889" s="230"/>
      <c r="W889" s="230"/>
      <c r="X889" s="230"/>
      <c r="Y889" s="230"/>
      <c r="Z889" s="230"/>
    </row>
    <row r="890">
      <c r="O890" s="230"/>
      <c r="S890" s="230"/>
      <c r="T890" s="230"/>
      <c r="U890" s="230"/>
      <c r="V890" s="230"/>
      <c r="W890" s="230"/>
      <c r="X890" s="230"/>
      <c r="Y890" s="230"/>
      <c r="Z890" s="230"/>
    </row>
    <row r="891">
      <c r="O891" s="230"/>
      <c r="S891" s="230"/>
      <c r="T891" s="230"/>
      <c r="U891" s="230"/>
      <c r="V891" s="230"/>
      <c r="W891" s="230"/>
      <c r="X891" s="230"/>
      <c r="Y891" s="230"/>
      <c r="Z891" s="230"/>
    </row>
    <row r="892">
      <c r="O892" s="230"/>
      <c r="S892" s="230"/>
      <c r="T892" s="230"/>
      <c r="U892" s="230"/>
      <c r="V892" s="230"/>
      <c r="W892" s="230"/>
      <c r="X892" s="230"/>
      <c r="Y892" s="230"/>
      <c r="Z892" s="230"/>
    </row>
    <row r="893">
      <c r="O893" s="230"/>
      <c r="S893" s="230"/>
      <c r="T893" s="230"/>
      <c r="U893" s="230"/>
      <c r="V893" s="230"/>
      <c r="W893" s="230"/>
      <c r="X893" s="230"/>
      <c r="Y893" s="230"/>
      <c r="Z893" s="230"/>
    </row>
    <row r="894">
      <c r="O894" s="230"/>
      <c r="S894" s="230"/>
      <c r="T894" s="230"/>
      <c r="U894" s="230"/>
      <c r="V894" s="230"/>
      <c r="W894" s="230"/>
      <c r="X894" s="230"/>
      <c r="Y894" s="230"/>
      <c r="Z894" s="230"/>
    </row>
    <row r="895">
      <c r="O895" s="230"/>
      <c r="S895" s="230"/>
      <c r="T895" s="230"/>
      <c r="U895" s="230"/>
      <c r="V895" s="230"/>
      <c r="W895" s="230"/>
      <c r="X895" s="230"/>
      <c r="Y895" s="230"/>
      <c r="Z895" s="230"/>
    </row>
    <row r="896">
      <c r="O896" s="230"/>
      <c r="S896" s="230"/>
      <c r="T896" s="230"/>
      <c r="U896" s="230"/>
      <c r="V896" s="230"/>
      <c r="W896" s="230"/>
      <c r="X896" s="230"/>
      <c r="Y896" s="230"/>
      <c r="Z896" s="230"/>
    </row>
    <row r="897">
      <c r="O897" s="230"/>
      <c r="S897" s="230"/>
      <c r="T897" s="230"/>
      <c r="U897" s="230"/>
      <c r="V897" s="230"/>
      <c r="W897" s="230"/>
      <c r="X897" s="230"/>
      <c r="Y897" s="230"/>
      <c r="Z897" s="230"/>
    </row>
    <row r="898">
      <c r="O898" s="230"/>
      <c r="S898" s="230"/>
      <c r="T898" s="230"/>
      <c r="U898" s="230"/>
      <c r="V898" s="230"/>
      <c r="W898" s="230"/>
      <c r="X898" s="230"/>
      <c r="Y898" s="230"/>
      <c r="Z898" s="230"/>
    </row>
    <row r="899">
      <c r="O899" s="230"/>
      <c r="S899" s="230"/>
      <c r="T899" s="230"/>
      <c r="U899" s="230"/>
      <c r="V899" s="230"/>
      <c r="W899" s="230"/>
      <c r="X899" s="230"/>
      <c r="Y899" s="230"/>
      <c r="Z899" s="230"/>
    </row>
    <row r="900">
      <c r="O900" s="230"/>
      <c r="S900" s="230"/>
      <c r="T900" s="230"/>
      <c r="U900" s="230"/>
      <c r="V900" s="230"/>
      <c r="W900" s="230"/>
      <c r="X900" s="230"/>
      <c r="Y900" s="230"/>
      <c r="Z900" s="230"/>
    </row>
    <row r="901">
      <c r="O901" s="230"/>
      <c r="S901" s="230"/>
      <c r="T901" s="230"/>
      <c r="U901" s="230"/>
      <c r="V901" s="230"/>
      <c r="W901" s="230"/>
      <c r="X901" s="230"/>
      <c r="Y901" s="230"/>
      <c r="Z901" s="230"/>
    </row>
    <row r="902">
      <c r="O902" s="230"/>
      <c r="S902" s="230"/>
      <c r="T902" s="230"/>
      <c r="U902" s="230"/>
      <c r="V902" s="230"/>
      <c r="W902" s="230"/>
      <c r="X902" s="230"/>
      <c r="Y902" s="230"/>
      <c r="Z902" s="230"/>
    </row>
    <row r="903">
      <c r="O903" s="230"/>
      <c r="S903" s="230"/>
      <c r="T903" s="230"/>
      <c r="U903" s="230"/>
      <c r="V903" s="230"/>
      <c r="W903" s="230"/>
      <c r="X903" s="230"/>
      <c r="Y903" s="230"/>
      <c r="Z903" s="230"/>
    </row>
    <row r="904">
      <c r="O904" s="230"/>
      <c r="S904" s="230"/>
      <c r="T904" s="230"/>
      <c r="U904" s="230"/>
      <c r="V904" s="230"/>
      <c r="W904" s="230"/>
      <c r="X904" s="230"/>
      <c r="Y904" s="230"/>
      <c r="Z904" s="230"/>
    </row>
    <row r="905">
      <c r="O905" s="230"/>
      <c r="S905" s="230"/>
      <c r="T905" s="230"/>
      <c r="U905" s="230"/>
      <c r="V905" s="230"/>
      <c r="W905" s="230"/>
      <c r="X905" s="230"/>
      <c r="Y905" s="230"/>
      <c r="Z905" s="230"/>
    </row>
    <row r="906">
      <c r="O906" s="230"/>
      <c r="S906" s="230"/>
      <c r="T906" s="230"/>
      <c r="U906" s="230"/>
      <c r="V906" s="230"/>
      <c r="W906" s="230"/>
      <c r="X906" s="230"/>
      <c r="Y906" s="230"/>
      <c r="Z906" s="230"/>
    </row>
    <row r="907">
      <c r="O907" s="230"/>
      <c r="S907" s="230"/>
      <c r="T907" s="230"/>
      <c r="U907" s="230"/>
      <c r="V907" s="230"/>
      <c r="W907" s="230"/>
      <c r="X907" s="230"/>
      <c r="Y907" s="230"/>
      <c r="Z907" s="230"/>
    </row>
    <row r="908">
      <c r="O908" s="230"/>
      <c r="S908" s="230"/>
      <c r="T908" s="230"/>
      <c r="U908" s="230"/>
      <c r="V908" s="230"/>
      <c r="W908" s="230"/>
      <c r="X908" s="230"/>
      <c r="Y908" s="230"/>
      <c r="Z908" s="230"/>
    </row>
    <row r="909">
      <c r="O909" s="230"/>
      <c r="S909" s="230"/>
      <c r="T909" s="230"/>
      <c r="U909" s="230"/>
      <c r="V909" s="230"/>
      <c r="W909" s="230"/>
      <c r="X909" s="230"/>
      <c r="Y909" s="230"/>
      <c r="Z909" s="230"/>
    </row>
    <row r="910">
      <c r="O910" s="230"/>
      <c r="S910" s="230"/>
      <c r="T910" s="230"/>
      <c r="U910" s="230"/>
      <c r="V910" s="230"/>
      <c r="W910" s="230"/>
      <c r="X910" s="230"/>
      <c r="Y910" s="230"/>
      <c r="Z910" s="230"/>
    </row>
    <row r="911">
      <c r="O911" s="230"/>
      <c r="S911" s="230"/>
      <c r="T911" s="230"/>
      <c r="U911" s="230"/>
      <c r="V911" s="230"/>
      <c r="W911" s="230"/>
      <c r="X911" s="230"/>
      <c r="Y911" s="230"/>
      <c r="Z911" s="230"/>
    </row>
    <row r="912">
      <c r="O912" s="230"/>
      <c r="S912" s="230"/>
      <c r="T912" s="230"/>
      <c r="U912" s="230"/>
      <c r="V912" s="230"/>
      <c r="W912" s="230"/>
      <c r="X912" s="230"/>
      <c r="Y912" s="230"/>
      <c r="Z912" s="230"/>
    </row>
    <row r="913">
      <c r="O913" s="230"/>
      <c r="S913" s="230"/>
      <c r="T913" s="230"/>
      <c r="U913" s="230"/>
      <c r="V913" s="230"/>
      <c r="W913" s="230"/>
      <c r="X913" s="230"/>
      <c r="Y913" s="230"/>
      <c r="Z913" s="230"/>
    </row>
    <row r="914">
      <c r="O914" s="230"/>
      <c r="S914" s="230"/>
      <c r="T914" s="230"/>
      <c r="U914" s="230"/>
      <c r="V914" s="230"/>
      <c r="W914" s="230"/>
      <c r="X914" s="230"/>
      <c r="Y914" s="230"/>
      <c r="Z914" s="230"/>
    </row>
    <row r="915">
      <c r="O915" s="230"/>
      <c r="S915" s="230"/>
      <c r="T915" s="230"/>
      <c r="U915" s="230"/>
      <c r="V915" s="230"/>
      <c r="W915" s="230"/>
      <c r="X915" s="230"/>
      <c r="Y915" s="230"/>
      <c r="Z915" s="230"/>
    </row>
    <row r="916">
      <c r="O916" s="230"/>
      <c r="S916" s="230"/>
      <c r="T916" s="230"/>
      <c r="U916" s="230"/>
      <c r="V916" s="230"/>
      <c r="W916" s="230"/>
      <c r="X916" s="230"/>
      <c r="Y916" s="230"/>
      <c r="Z916" s="230"/>
    </row>
    <row r="917">
      <c r="O917" s="230"/>
      <c r="S917" s="230"/>
      <c r="T917" s="230"/>
      <c r="U917" s="230"/>
      <c r="V917" s="230"/>
      <c r="W917" s="230"/>
      <c r="X917" s="230"/>
      <c r="Y917" s="230"/>
      <c r="Z917" s="230"/>
    </row>
    <row r="918">
      <c r="O918" s="230"/>
      <c r="S918" s="230"/>
      <c r="T918" s="230"/>
      <c r="U918" s="230"/>
      <c r="V918" s="230"/>
      <c r="W918" s="230"/>
      <c r="X918" s="230"/>
      <c r="Y918" s="230"/>
      <c r="Z918" s="230"/>
    </row>
    <row r="919">
      <c r="O919" s="230"/>
      <c r="S919" s="230"/>
      <c r="T919" s="230"/>
      <c r="U919" s="230"/>
      <c r="V919" s="230"/>
      <c r="W919" s="230"/>
      <c r="X919" s="230"/>
      <c r="Y919" s="230"/>
      <c r="Z919" s="230"/>
    </row>
    <row r="920">
      <c r="O920" s="230"/>
      <c r="S920" s="230"/>
      <c r="T920" s="230"/>
      <c r="U920" s="230"/>
      <c r="V920" s="230"/>
      <c r="W920" s="230"/>
      <c r="X920" s="230"/>
      <c r="Y920" s="230"/>
      <c r="Z920" s="230"/>
    </row>
    <row r="921">
      <c r="O921" s="230"/>
      <c r="S921" s="230"/>
      <c r="T921" s="230"/>
      <c r="U921" s="230"/>
      <c r="V921" s="230"/>
      <c r="W921" s="230"/>
      <c r="X921" s="230"/>
      <c r="Y921" s="230"/>
      <c r="Z921" s="230"/>
    </row>
    <row r="922">
      <c r="O922" s="230"/>
      <c r="S922" s="230"/>
      <c r="T922" s="230"/>
      <c r="U922" s="230"/>
      <c r="V922" s="230"/>
      <c r="W922" s="230"/>
      <c r="X922" s="230"/>
      <c r="Y922" s="230"/>
      <c r="Z922" s="230"/>
    </row>
    <row r="923">
      <c r="O923" s="230"/>
      <c r="S923" s="230"/>
      <c r="T923" s="230"/>
      <c r="U923" s="230"/>
      <c r="V923" s="230"/>
      <c r="W923" s="230"/>
      <c r="X923" s="230"/>
      <c r="Y923" s="230"/>
      <c r="Z923" s="230"/>
    </row>
    <row r="924">
      <c r="O924" s="230"/>
      <c r="S924" s="230"/>
      <c r="T924" s="230"/>
      <c r="U924" s="230"/>
      <c r="V924" s="230"/>
      <c r="W924" s="230"/>
      <c r="X924" s="230"/>
      <c r="Y924" s="230"/>
      <c r="Z924" s="230"/>
    </row>
    <row r="925">
      <c r="O925" s="230"/>
      <c r="S925" s="230"/>
      <c r="T925" s="230"/>
      <c r="U925" s="230"/>
      <c r="V925" s="230"/>
      <c r="W925" s="230"/>
      <c r="X925" s="230"/>
      <c r="Y925" s="230"/>
      <c r="Z925" s="230"/>
    </row>
    <row r="926">
      <c r="O926" s="230"/>
      <c r="S926" s="230"/>
      <c r="T926" s="230"/>
      <c r="U926" s="230"/>
      <c r="V926" s="230"/>
      <c r="W926" s="230"/>
      <c r="X926" s="230"/>
      <c r="Y926" s="230"/>
      <c r="Z926" s="230"/>
    </row>
    <row r="927">
      <c r="O927" s="230"/>
      <c r="S927" s="230"/>
      <c r="T927" s="230"/>
      <c r="U927" s="230"/>
      <c r="V927" s="230"/>
      <c r="W927" s="230"/>
      <c r="X927" s="230"/>
      <c r="Y927" s="230"/>
      <c r="Z927" s="230"/>
    </row>
    <row r="928">
      <c r="O928" s="230"/>
      <c r="S928" s="230"/>
      <c r="T928" s="230"/>
      <c r="U928" s="230"/>
      <c r="V928" s="230"/>
      <c r="W928" s="230"/>
      <c r="X928" s="230"/>
      <c r="Y928" s="230"/>
      <c r="Z928" s="230"/>
    </row>
    <row r="929">
      <c r="O929" s="230"/>
      <c r="S929" s="230"/>
      <c r="T929" s="230"/>
      <c r="U929" s="230"/>
      <c r="V929" s="230"/>
      <c r="W929" s="230"/>
      <c r="X929" s="230"/>
      <c r="Y929" s="230"/>
      <c r="Z929" s="230"/>
    </row>
    <row r="930">
      <c r="O930" s="230"/>
      <c r="S930" s="230"/>
      <c r="T930" s="230"/>
      <c r="U930" s="230"/>
      <c r="V930" s="230"/>
      <c r="W930" s="230"/>
      <c r="X930" s="230"/>
      <c r="Y930" s="230"/>
      <c r="Z930" s="230"/>
    </row>
    <row r="931">
      <c r="O931" s="230"/>
      <c r="S931" s="230"/>
      <c r="T931" s="230"/>
      <c r="U931" s="230"/>
      <c r="V931" s="230"/>
      <c r="W931" s="230"/>
      <c r="X931" s="230"/>
      <c r="Y931" s="230"/>
      <c r="Z931" s="230"/>
    </row>
    <row r="932">
      <c r="O932" s="230"/>
      <c r="S932" s="230"/>
      <c r="T932" s="230"/>
      <c r="U932" s="230"/>
      <c r="V932" s="230"/>
      <c r="W932" s="230"/>
      <c r="X932" s="230"/>
      <c r="Y932" s="230"/>
      <c r="Z932" s="230"/>
    </row>
    <row r="933">
      <c r="O933" s="230"/>
      <c r="S933" s="230"/>
      <c r="T933" s="230"/>
      <c r="U933" s="230"/>
      <c r="V933" s="230"/>
      <c r="W933" s="230"/>
      <c r="X933" s="230"/>
      <c r="Y933" s="230"/>
      <c r="Z933" s="230"/>
    </row>
    <row r="934">
      <c r="O934" s="230"/>
      <c r="S934" s="230"/>
      <c r="T934" s="230"/>
      <c r="U934" s="230"/>
      <c r="V934" s="230"/>
      <c r="W934" s="230"/>
      <c r="X934" s="230"/>
      <c r="Y934" s="230"/>
      <c r="Z934" s="230"/>
    </row>
    <row r="935">
      <c r="O935" s="230"/>
      <c r="S935" s="230"/>
      <c r="T935" s="230"/>
      <c r="U935" s="230"/>
      <c r="V935" s="230"/>
      <c r="W935" s="230"/>
      <c r="X935" s="230"/>
      <c r="Y935" s="230"/>
      <c r="Z935" s="230"/>
    </row>
    <row r="936">
      <c r="O936" s="230"/>
      <c r="S936" s="230"/>
      <c r="T936" s="230"/>
      <c r="U936" s="230"/>
      <c r="V936" s="230"/>
      <c r="W936" s="230"/>
      <c r="X936" s="230"/>
      <c r="Y936" s="230"/>
      <c r="Z936" s="230"/>
    </row>
    <row r="937">
      <c r="O937" s="230"/>
      <c r="S937" s="230"/>
      <c r="T937" s="230"/>
      <c r="U937" s="230"/>
      <c r="V937" s="230"/>
      <c r="W937" s="230"/>
      <c r="X937" s="230"/>
      <c r="Y937" s="230"/>
      <c r="Z937" s="230"/>
    </row>
    <row r="938">
      <c r="O938" s="230"/>
      <c r="S938" s="230"/>
      <c r="T938" s="230"/>
      <c r="U938" s="230"/>
      <c r="V938" s="230"/>
      <c r="W938" s="230"/>
      <c r="X938" s="230"/>
      <c r="Y938" s="230"/>
      <c r="Z938" s="230"/>
    </row>
    <row r="939">
      <c r="O939" s="230"/>
      <c r="S939" s="230"/>
      <c r="T939" s="230"/>
      <c r="U939" s="230"/>
      <c r="V939" s="230"/>
      <c r="W939" s="230"/>
      <c r="X939" s="230"/>
      <c r="Y939" s="230"/>
      <c r="Z939" s="230"/>
    </row>
    <row r="940">
      <c r="O940" s="230"/>
      <c r="S940" s="230"/>
      <c r="T940" s="230"/>
      <c r="U940" s="230"/>
      <c r="V940" s="230"/>
      <c r="W940" s="230"/>
      <c r="X940" s="230"/>
      <c r="Y940" s="230"/>
      <c r="Z940" s="230"/>
    </row>
    <row r="941">
      <c r="O941" s="230"/>
      <c r="S941" s="230"/>
      <c r="T941" s="230"/>
      <c r="U941" s="230"/>
      <c r="V941" s="230"/>
      <c r="W941" s="230"/>
      <c r="X941" s="230"/>
      <c r="Y941" s="230"/>
      <c r="Z941" s="230"/>
    </row>
    <row r="942">
      <c r="O942" s="230"/>
      <c r="S942" s="230"/>
      <c r="T942" s="230"/>
      <c r="U942" s="230"/>
      <c r="V942" s="230"/>
      <c r="W942" s="230"/>
      <c r="X942" s="230"/>
      <c r="Y942" s="230"/>
      <c r="Z942" s="230"/>
    </row>
    <row r="943">
      <c r="O943" s="230"/>
      <c r="S943" s="230"/>
      <c r="T943" s="230"/>
      <c r="U943" s="230"/>
      <c r="V943" s="230"/>
      <c r="W943" s="230"/>
      <c r="X943" s="230"/>
      <c r="Y943" s="230"/>
      <c r="Z943" s="230"/>
    </row>
    <row r="944">
      <c r="O944" s="230"/>
      <c r="S944" s="230"/>
      <c r="T944" s="230"/>
      <c r="U944" s="230"/>
      <c r="V944" s="230"/>
      <c r="W944" s="230"/>
      <c r="X944" s="230"/>
      <c r="Y944" s="230"/>
      <c r="Z944" s="230"/>
    </row>
    <row r="945">
      <c r="O945" s="230"/>
      <c r="S945" s="230"/>
      <c r="T945" s="230"/>
      <c r="U945" s="230"/>
      <c r="V945" s="230"/>
      <c r="W945" s="230"/>
      <c r="X945" s="230"/>
      <c r="Y945" s="230"/>
      <c r="Z945" s="230"/>
    </row>
    <row r="946">
      <c r="O946" s="230"/>
      <c r="S946" s="230"/>
      <c r="T946" s="230"/>
      <c r="U946" s="230"/>
      <c r="V946" s="230"/>
      <c r="W946" s="230"/>
      <c r="X946" s="230"/>
      <c r="Y946" s="230"/>
      <c r="Z946" s="230"/>
    </row>
    <row r="947">
      <c r="O947" s="230"/>
      <c r="S947" s="230"/>
      <c r="T947" s="230"/>
      <c r="U947" s="230"/>
      <c r="V947" s="230"/>
      <c r="W947" s="230"/>
      <c r="X947" s="230"/>
      <c r="Y947" s="230"/>
      <c r="Z947" s="230"/>
    </row>
    <row r="948">
      <c r="O948" s="230"/>
      <c r="S948" s="230"/>
      <c r="T948" s="230"/>
      <c r="U948" s="230"/>
      <c r="V948" s="230"/>
      <c r="W948" s="230"/>
      <c r="X948" s="230"/>
      <c r="Y948" s="230"/>
      <c r="Z948" s="230"/>
    </row>
    <row r="949">
      <c r="O949" s="230"/>
      <c r="S949" s="230"/>
      <c r="T949" s="230"/>
      <c r="U949" s="230"/>
      <c r="V949" s="230"/>
      <c r="W949" s="230"/>
      <c r="X949" s="230"/>
      <c r="Y949" s="230"/>
      <c r="Z949" s="230"/>
    </row>
    <row r="950">
      <c r="O950" s="230"/>
      <c r="S950" s="230"/>
      <c r="T950" s="230"/>
      <c r="U950" s="230"/>
      <c r="V950" s="230"/>
      <c r="W950" s="230"/>
      <c r="X950" s="230"/>
      <c r="Y950" s="230"/>
      <c r="Z950" s="230"/>
    </row>
    <row r="951">
      <c r="O951" s="230"/>
      <c r="S951" s="230"/>
      <c r="T951" s="230"/>
      <c r="U951" s="230"/>
      <c r="V951" s="230"/>
      <c r="W951" s="230"/>
      <c r="X951" s="230"/>
      <c r="Y951" s="230"/>
      <c r="Z951" s="230"/>
    </row>
    <row r="952">
      <c r="O952" s="230"/>
      <c r="S952" s="230"/>
      <c r="T952" s="230"/>
      <c r="U952" s="230"/>
      <c r="V952" s="230"/>
      <c r="W952" s="230"/>
      <c r="X952" s="230"/>
      <c r="Y952" s="230"/>
      <c r="Z952" s="230"/>
    </row>
    <row r="953">
      <c r="O953" s="230"/>
      <c r="S953" s="230"/>
      <c r="T953" s="230"/>
      <c r="U953" s="230"/>
      <c r="V953" s="230"/>
      <c r="W953" s="230"/>
      <c r="X953" s="230"/>
      <c r="Y953" s="230"/>
      <c r="Z953" s="230"/>
    </row>
    <row r="954">
      <c r="O954" s="230"/>
      <c r="S954" s="230"/>
      <c r="T954" s="230"/>
      <c r="U954" s="230"/>
      <c r="V954" s="230"/>
      <c r="W954" s="230"/>
      <c r="X954" s="230"/>
      <c r="Y954" s="230"/>
      <c r="Z954" s="230"/>
    </row>
    <row r="955">
      <c r="O955" s="230"/>
      <c r="S955" s="230"/>
      <c r="T955" s="230"/>
      <c r="U955" s="230"/>
      <c r="V955" s="230"/>
      <c r="W955" s="230"/>
      <c r="X955" s="230"/>
      <c r="Y955" s="230"/>
      <c r="Z955" s="230"/>
    </row>
    <row r="956">
      <c r="O956" s="230"/>
      <c r="S956" s="230"/>
      <c r="T956" s="230"/>
      <c r="U956" s="230"/>
      <c r="V956" s="230"/>
      <c r="W956" s="230"/>
      <c r="X956" s="230"/>
      <c r="Y956" s="230"/>
      <c r="Z956" s="230"/>
    </row>
    <row r="957">
      <c r="O957" s="230"/>
      <c r="S957" s="230"/>
      <c r="T957" s="230"/>
      <c r="U957" s="230"/>
      <c r="V957" s="230"/>
      <c r="W957" s="230"/>
      <c r="X957" s="230"/>
      <c r="Y957" s="230"/>
      <c r="Z957" s="230"/>
    </row>
    <row r="958">
      <c r="O958" s="230"/>
      <c r="S958" s="230"/>
      <c r="T958" s="230"/>
      <c r="U958" s="230"/>
      <c r="V958" s="230"/>
      <c r="W958" s="230"/>
      <c r="X958" s="230"/>
      <c r="Y958" s="230"/>
      <c r="Z958" s="230"/>
    </row>
    <row r="959">
      <c r="O959" s="230"/>
      <c r="S959" s="230"/>
      <c r="T959" s="230"/>
      <c r="U959" s="230"/>
      <c r="V959" s="230"/>
      <c r="W959" s="230"/>
      <c r="X959" s="230"/>
      <c r="Y959" s="230"/>
      <c r="Z959" s="230"/>
    </row>
    <row r="960">
      <c r="O960" s="230"/>
      <c r="S960" s="230"/>
      <c r="T960" s="230"/>
      <c r="U960" s="230"/>
      <c r="V960" s="230"/>
      <c r="W960" s="230"/>
      <c r="X960" s="230"/>
      <c r="Y960" s="230"/>
      <c r="Z960" s="230"/>
    </row>
    <row r="961">
      <c r="O961" s="230"/>
      <c r="S961" s="230"/>
      <c r="T961" s="230"/>
      <c r="U961" s="230"/>
      <c r="V961" s="230"/>
      <c r="W961" s="230"/>
      <c r="X961" s="230"/>
      <c r="Y961" s="230"/>
      <c r="Z961" s="230"/>
    </row>
    <row r="962">
      <c r="O962" s="230"/>
      <c r="S962" s="230"/>
      <c r="T962" s="230"/>
      <c r="U962" s="230"/>
      <c r="V962" s="230"/>
      <c r="W962" s="230"/>
      <c r="X962" s="230"/>
      <c r="Y962" s="230"/>
      <c r="Z962" s="230"/>
    </row>
    <row r="963">
      <c r="O963" s="230"/>
      <c r="S963" s="230"/>
      <c r="T963" s="230"/>
      <c r="U963" s="230"/>
      <c r="V963" s="230"/>
      <c r="W963" s="230"/>
      <c r="X963" s="230"/>
      <c r="Y963" s="230"/>
      <c r="Z963" s="230"/>
    </row>
    <row r="964">
      <c r="O964" s="230"/>
      <c r="S964" s="230"/>
      <c r="T964" s="230"/>
      <c r="U964" s="230"/>
      <c r="V964" s="230"/>
      <c r="W964" s="230"/>
      <c r="X964" s="230"/>
      <c r="Y964" s="230"/>
      <c r="Z964" s="230"/>
    </row>
    <row r="965">
      <c r="O965" s="230"/>
      <c r="S965" s="230"/>
      <c r="T965" s="230"/>
      <c r="U965" s="230"/>
      <c r="V965" s="230"/>
      <c r="W965" s="230"/>
      <c r="X965" s="230"/>
      <c r="Y965" s="230"/>
      <c r="Z965" s="230"/>
    </row>
    <row r="966">
      <c r="O966" s="230"/>
      <c r="S966" s="230"/>
      <c r="T966" s="230"/>
      <c r="U966" s="230"/>
      <c r="V966" s="230"/>
      <c r="W966" s="230"/>
      <c r="X966" s="230"/>
      <c r="Y966" s="230"/>
      <c r="Z966" s="230"/>
    </row>
    <row r="967">
      <c r="O967" s="230"/>
      <c r="S967" s="230"/>
      <c r="T967" s="230"/>
      <c r="U967" s="230"/>
      <c r="V967" s="230"/>
      <c r="W967" s="230"/>
      <c r="X967" s="230"/>
      <c r="Y967" s="230"/>
      <c r="Z967" s="230"/>
    </row>
    <row r="968">
      <c r="O968" s="230"/>
      <c r="S968" s="230"/>
      <c r="T968" s="230"/>
      <c r="U968" s="230"/>
      <c r="V968" s="230"/>
      <c r="W968" s="230"/>
      <c r="X968" s="230"/>
      <c r="Y968" s="230"/>
      <c r="Z968" s="230"/>
    </row>
    <row r="969">
      <c r="O969" s="230"/>
      <c r="S969" s="230"/>
      <c r="T969" s="230"/>
      <c r="U969" s="230"/>
      <c r="V969" s="230"/>
      <c r="W969" s="230"/>
      <c r="X969" s="230"/>
      <c r="Y969" s="230"/>
      <c r="Z969" s="230"/>
    </row>
    <row r="970">
      <c r="O970" s="230"/>
      <c r="S970" s="230"/>
      <c r="T970" s="230"/>
      <c r="U970" s="230"/>
      <c r="V970" s="230"/>
      <c r="W970" s="230"/>
      <c r="X970" s="230"/>
      <c r="Y970" s="230"/>
      <c r="Z970" s="230"/>
    </row>
    <row r="971">
      <c r="O971" s="230"/>
      <c r="S971" s="230"/>
      <c r="T971" s="230"/>
      <c r="U971" s="230"/>
      <c r="V971" s="230"/>
      <c r="W971" s="230"/>
      <c r="X971" s="230"/>
      <c r="Y971" s="230"/>
      <c r="Z971" s="230"/>
    </row>
    <row r="972">
      <c r="O972" s="230"/>
      <c r="S972" s="230"/>
      <c r="T972" s="230"/>
      <c r="U972" s="230"/>
      <c r="V972" s="230"/>
      <c r="W972" s="230"/>
      <c r="X972" s="230"/>
      <c r="Y972" s="230"/>
      <c r="Z972" s="230"/>
    </row>
    <row r="973">
      <c r="O973" s="230"/>
      <c r="S973" s="230"/>
      <c r="T973" s="230"/>
      <c r="U973" s="230"/>
      <c r="V973" s="230"/>
      <c r="W973" s="230"/>
      <c r="X973" s="230"/>
      <c r="Y973" s="230"/>
      <c r="Z973" s="230"/>
    </row>
    <row r="974">
      <c r="O974" s="230"/>
      <c r="S974" s="230"/>
      <c r="T974" s="230"/>
      <c r="U974" s="230"/>
      <c r="V974" s="230"/>
      <c r="W974" s="230"/>
      <c r="X974" s="230"/>
      <c r="Y974" s="230"/>
      <c r="Z974" s="230"/>
    </row>
    <row r="975">
      <c r="O975" s="230"/>
      <c r="S975" s="230"/>
      <c r="T975" s="230"/>
      <c r="U975" s="230"/>
      <c r="V975" s="230"/>
      <c r="W975" s="230"/>
      <c r="X975" s="230"/>
      <c r="Y975" s="230"/>
      <c r="Z975" s="230"/>
    </row>
    <row r="976">
      <c r="O976" s="230"/>
      <c r="S976" s="230"/>
      <c r="T976" s="230"/>
      <c r="U976" s="230"/>
      <c r="V976" s="230"/>
      <c r="W976" s="230"/>
      <c r="X976" s="230"/>
      <c r="Y976" s="230"/>
      <c r="Z976" s="230"/>
    </row>
    <row r="977">
      <c r="O977" s="230"/>
      <c r="S977" s="230"/>
      <c r="T977" s="230"/>
      <c r="U977" s="230"/>
      <c r="V977" s="230"/>
      <c r="W977" s="230"/>
      <c r="X977" s="230"/>
      <c r="Y977" s="230"/>
      <c r="Z977" s="230"/>
    </row>
    <row r="978">
      <c r="O978" s="230"/>
      <c r="S978" s="230"/>
      <c r="T978" s="230"/>
      <c r="U978" s="230"/>
      <c r="V978" s="230"/>
      <c r="W978" s="230"/>
      <c r="X978" s="230"/>
      <c r="Y978" s="230"/>
      <c r="Z978" s="230"/>
    </row>
    <row r="979">
      <c r="O979" s="230"/>
      <c r="S979" s="230"/>
      <c r="T979" s="230"/>
      <c r="U979" s="230"/>
      <c r="V979" s="230"/>
      <c r="W979" s="230"/>
      <c r="X979" s="230"/>
      <c r="Y979" s="230"/>
      <c r="Z979" s="230"/>
    </row>
    <row r="980">
      <c r="O980" s="230"/>
      <c r="S980" s="230"/>
      <c r="T980" s="230"/>
      <c r="U980" s="230"/>
      <c r="V980" s="230"/>
      <c r="W980" s="230"/>
      <c r="X980" s="230"/>
      <c r="Y980" s="230"/>
      <c r="Z980" s="230"/>
    </row>
    <row r="981">
      <c r="O981" s="230"/>
      <c r="S981" s="230"/>
      <c r="T981" s="230"/>
      <c r="U981" s="230"/>
      <c r="V981" s="230"/>
      <c r="W981" s="230"/>
      <c r="X981" s="230"/>
      <c r="Y981" s="230"/>
      <c r="Z981" s="230"/>
    </row>
    <row r="982">
      <c r="O982" s="230"/>
      <c r="S982" s="230"/>
      <c r="T982" s="230"/>
      <c r="U982" s="230"/>
      <c r="V982" s="230"/>
      <c r="W982" s="230"/>
      <c r="X982" s="230"/>
      <c r="Y982" s="230"/>
      <c r="Z982" s="230"/>
    </row>
    <row r="983">
      <c r="O983" s="230"/>
      <c r="S983" s="230"/>
      <c r="T983" s="230"/>
      <c r="U983" s="230"/>
      <c r="V983" s="230"/>
      <c r="W983" s="230"/>
      <c r="X983" s="230"/>
      <c r="Y983" s="230"/>
      <c r="Z983" s="230"/>
    </row>
    <row r="984">
      <c r="O984" s="230"/>
      <c r="S984" s="230"/>
      <c r="T984" s="230"/>
      <c r="U984" s="230"/>
      <c r="V984" s="230"/>
      <c r="W984" s="230"/>
      <c r="X984" s="230"/>
      <c r="Y984" s="230"/>
      <c r="Z984" s="230"/>
    </row>
    <row r="985">
      <c r="O985" s="230"/>
      <c r="S985" s="230"/>
      <c r="T985" s="230"/>
      <c r="U985" s="230"/>
      <c r="V985" s="230"/>
      <c r="W985" s="230"/>
      <c r="X985" s="230"/>
      <c r="Y985" s="230"/>
      <c r="Z985" s="230"/>
    </row>
    <row r="986">
      <c r="O986" s="230"/>
      <c r="S986" s="230"/>
      <c r="T986" s="230"/>
      <c r="U986" s="230"/>
      <c r="V986" s="230"/>
      <c r="W986" s="230"/>
      <c r="X986" s="230"/>
      <c r="Y986" s="230"/>
      <c r="Z986" s="230"/>
    </row>
    <row r="987">
      <c r="O987" s="230"/>
      <c r="S987" s="230"/>
      <c r="T987" s="230"/>
      <c r="U987" s="230"/>
      <c r="V987" s="230"/>
      <c r="W987" s="230"/>
      <c r="X987" s="230"/>
      <c r="Y987" s="230"/>
      <c r="Z987" s="230"/>
    </row>
    <row r="988">
      <c r="O988" s="230"/>
      <c r="S988" s="230"/>
      <c r="T988" s="230"/>
      <c r="U988" s="230"/>
      <c r="V988" s="230"/>
      <c r="W988" s="230"/>
      <c r="X988" s="230"/>
      <c r="Y988" s="230"/>
      <c r="Z988" s="230"/>
    </row>
    <row r="989">
      <c r="O989" s="230"/>
      <c r="S989" s="230"/>
      <c r="T989" s="230"/>
      <c r="U989" s="230"/>
      <c r="V989" s="230"/>
      <c r="W989" s="230"/>
      <c r="X989" s="230"/>
      <c r="Y989" s="230"/>
      <c r="Z989" s="230"/>
    </row>
    <row r="990">
      <c r="O990" s="230"/>
      <c r="S990" s="230"/>
      <c r="T990" s="230"/>
      <c r="U990" s="230"/>
      <c r="V990" s="230"/>
      <c r="W990" s="230"/>
      <c r="X990" s="230"/>
      <c r="Y990" s="230"/>
      <c r="Z990" s="230"/>
    </row>
    <row r="991">
      <c r="O991" s="230"/>
      <c r="S991" s="230"/>
      <c r="T991" s="230"/>
      <c r="U991" s="230"/>
      <c r="V991" s="230"/>
      <c r="W991" s="230"/>
      <c r="X991" s="230"/>
      <c r="Y991" s="230"/>
      <c r="Z991" s="230"/>
    </row>
    <row r="992">
      <c r="O992" s="230"/>
      <c r="S992" s="230"/>
      <c r="T992" s="230"/>
      <c r="U992" s="230"/>
      <c r="V992" s="230"/>
      <c r="W992" s="230"/>
      <c r="X992" s="230"/>
      <c r="Y992" s="230"/>
      <c r="Z992" s="230"/>
    </row>
    <row r="993">
      <c r="O993" s="230"/>
      <c r="S993" s="230"/>
      <c r="T993" s="230"/>
      <c r="U993" s="230"/>
      <c r="V993" s="230"/>
      <c r="W993" s="230"/>
      <c r="X993" s="230"/>
      <c r="Y993" s="230"/>
      <c r="Z993" s="230"/>
    </row>
    <row r="994">
      <c r="O994" s="230"/>
      <c r="S994" s="230"/>
      <c r="T994" s="230"/>
      <c r="U994" s="230"/>
      <c r="V994" s="230"/>
      <c r="W994" s="230"/>
      <c r="X994" s="230"/>
      <c r="Y994" s="230"/>
      <c r="Z994" s="230"/>
    </row>
    <row r="995">
      <c r="O995" s="230"/>
      <c r="S995" s="230"/>
      <c r="T995" s="230"/>
      <c r="U995" s="230"/>
      <c r="V995" s="230"/>
      <c r="W995" s="230"/>
      <c r="X995" s="230"/>
      <c r="Y995" s="230"/>
      <c r="Z995" s="230"/>
    </row>
    <row r="996">
      <c r="O996" s="230"/>
      <c r="S996" s="230"/>
      <c r="T996" s="230"/>
      <c r="U996" s="230"/>
      <c r="V996" s="230"/>
      <c r="W996" s="230"/>
      <c r="X996" s="230"/>
      <c r="Y996" s="230"/>
      <c r="Z996" s="230"/>
    </row>
    <row r="997">
      <c r="O997" s="230"/>
      <c r="S997" s="230"/>
      <c r="T997" s="230"/>
      <c r="U997" s="230"/>
      <c r="V997" s="230"/>
      <c r="W997" s="230"/>
      <c r="X997" s="230"/>
      <c r="Y997" s="230"/>
      <c r="Z997" s="230"/>
    </row>
    <row r="998">
      <c r="O998" s="230"/>
      <c r="S998" s="230"/>
      <c r="T998" s="230"/>
      <c r="U998" s="230"/>
      <c r="V998" s="230"/>
      <c r="W998" s="230"/>
      <c r="X998" s="230"/>
      <c r="Y998" s="230"/>
      <c r="Z998" s="230"/>
    </row>
    <row r="999">
      <c r="O999" s="230"/>
      <c r="S999" s="230"/>
      <c r="T999" s="230"/>
      <c r="U999" s="230"/>
      <c r="V999" s="230"/>
      <c r="W999" s="230"/>
      <c r="X999" s="230"/>
      <c r="Y999" s="230"/>
      <c r="Z999" s="230"/>
    </row>
    <row r="1000">
      <c r="O1000" s="230"/>
      <c r="S1000" s="230"/>
      <c r="T1000" s="230"/>
      <c r="U1000" s="230"/>
      <c r="V1000" s="230"/>
      <c r="W1000" s="230"/>
      <c r="X1000" s="230"/>
      <c r="Y1000" s="230"/>
      <c r="Z1000" s="230"/>
    </row>
    <row r="1001">
      <c r="O1001" s="230"/>
      <c r="S1001" s="230"/>
      <c r="T1001" s="230"/>
      <c r="U1001" s="230"/>
      <c r="V1001" s="230"/>
      <c r="W1001" s="230"/>
      <c r="X1001" s="230"/>
      <c r="Y1001" s="230"/>
      <c r="Z1001" s="230"/>
    </row>
    <row r="1002">
      <c r="O1002" s="230"/>
      <c r="S1002" s="230"/>
      <c r="T1002" s="230"/>
      <c r="U1002" s="230"/>
      <c r="V1002" s="230"/>
      <c r="W1002" s="230"/>
      <c r="X1002" s="230"/>
      <c r="Y1002" s="230"/>
      <c r="Z1002" s="230"/>
    </row>
    <row r="1003">
      <c r="O1003" s="230"/>
      <c r="S1003" s="230"/>
      <c r="T1003" s="230"/>
      <c r="U1003" s="230"/>
      <c r="V1003" s="230"/>
      <c r="W1003" s="230"/>
      <c r="X1003" s="230"/>
      <c r="Y1003" s="230"/>
      <c r="Z1003" s="230"/>
    </row>
    <row r="1004">
      <c r="O1004" s="230"/>
      <c r="S1004" s="230"/>
      <c r="T1004" s="230"/>
      <c r="U1004" s="230"/>
      <c r="V1004" s="230"/>
      <c r="W1004" s="230"/>
      <c r="X1004" s="230"/>
      <c r="Y1004" s="230"/>
      <c r="Z1004" s="230"/>
    </row>
    <row r="1005">
      <c r="O1005" s="230"/>
      <c r="S1005" s="230"/>
      <c r="T1005" s="230"/>
      <c r="U1005" s="230"/>
      <c r="V1005" s="230"/>
      <c r="W1005" s="230"/>
      <c r="X1005" s="230"/>
      <c r="Y1005" s="230"/>
      <c r="Z1005" s="230"/>
    </row>
    <row r="1006">
      <c r="O1006" s="230"/>
      <c r="S1006" s="230"/>
      <c r="T1006" s="230"/>
      <c r="U1006" s="230"/>
      <c r="V1006" s="230"/>
      <c r="W1006" s="230"/>
      <c r="X1006" s="230"/>
      <c r="Y1006" s="230"/>
      <c r="Z1006" s="230"/>
    </row>
    <row r="1007">
      <c r="O1007" s="230"/>
      <c r="S1007" s="230"/>
      <c r="T1007" s="230"/>
      <c r="U1007" s="230"/>
      <c r="V1007" s="230"/>
      <c r="W1007" s="230"/>
      <c r="X1007" s="230"/>
      <c r="Y1007" s="230"/>
      <c r="Z1007" s="230"/>
    </row>
    <row r="1008">
      <c r="O1008" s="230"/>
      <c r="S1008" s="230"/>
      <c r="T1008" s="230"/>
      <c r="U1008" s="230"/>
      <c r="V1008" s="230"/>
      <c r="W1008" s="230"/>
      <c r="X1008" s="230"/>
      <c r="Y1008" s="230"/>
      <c r="Z1008" s="230"/>
    </row>
    <row r="1009">
      <c r="O1009" s="230"/>
      <c r="S1009" s="230"/>
      <c r="T1009" s="230"/>
      <c r="U1009" s="230"/>
      <c r="V1009" s="230"/>
      <c r="W1009" s="230"/>
      <c r="X1009" s="230"/>
      <c r="Y1009" s="230"/>
      <c r="Z1009" s="230"/>
    </row>
    <row r="1010">
      <c r="O1010" s="230"/>
      <c r="S1010" s="230"/>
      <c r="T1010" s="230"/>
      <c r="U1010" s="230"/>
      <c r="V1010" s="230"/>
      <c r="W1010" s="230"/>
      <c r="X1010" s="230"/>
      <c r="Y1010" s="230"/>
      <c r="Z1010" s="230"/>
    </row>
    <row r="1011">
      <c r="O1011" s="230"/>
      <c r="S1011" s="230"/>
      <c r="T1011" s="230"/>
      <c r="U1011" s="230"/>
      <c r="V1011" s="230"/>
      <c r="W1011" s="230"/>
      <c r="X1011" s="230"/>
      <c r="Y1011" s="230"/>
      <c r="Z1011" s="230"/>
    </row>
    <row r="1012">
      <c r="O1012" s="230"/>
      <c r="S1012" s="230"/>
      <c r="T1012" s="230"/>
      <c r="U1012" s="230"/>
      <c r="V1012" s="230"/>
      <c r="W1012" s="230"/>
      <c r="X1012" s="230"/>
      <c r="Y1012" s="230"/>
      <c r="Z1012" s="230"/>
    </row>
    <row r="1013">
      <c r="O1013" s="230"/>
      <c r="S1013" s="230"/>
      <c r="T1013" s="230"/>
      <c r="U1013" s="230"/>
      <c r="V1013" s="230"/>
      <c r="W1013" s="230"/>
      <c r="X1013" s="230"/>
      <c r="Y1013" s="230"/>
      <c r="Z1013" s="230"/>
    </row>
    <row r="1014">
      <c r="O1014" s="230"/>
      <c r="S1014" s="230"/>
      <c r="T1014" s="230"/>
      <c r="U1014" s="230"/>
      <c r="V1014" s="230"/>
      <c r="W1014" s="230"/>
      <c r="X1014" s="230"/>
      <c r="Y1014" s="230"/>
      <c r="Z1014" s="230"/>
    </row>
    <row r="1015">
      <c r="O1015" s="230"/>
      <c r="S1015" s="230"/>
      <c r="T1015" s="230"/>
      <c r="U1015" s="230"/>
      <c r="V1015" s="230"/>
      <c r="W1015" s="230"/>
      <c r="X1015" s="230"/>
      <c r="Y1015" s="230"/>
      <c r="Z1015" s="230"/>
    </row>
    <row r="1016">
      <c r="O1016" s="230"/>
      <c r="S1016" s="230"/>
      <c r="T1016" s="230"/>
      <c r="U1016" s="230"/>
      <c r="V1016" s="230"/>
      <c r="W1016" s="230"/>
      <c r="X1016" s="230"/>
      <c r="Y1016" s="230"/>
      <c r="Z1016" s="230"/>
    </row>
    <row r="1017">
      <c r="O1017" s="230"/>
      <c r="S1017" s="230"/>
      <c r="T1017" s="230"/>
      <c r="U1017" s="230"/>
      <c r="V1017" s="230"/>
      <c r="W1017" s="230"/>
      <c r="X1017" s="230"/>
      <c r="Y1017" s="230"/>
      <c r="Z1017" s="230"/>
    </row>
    <row r="1018">
      <c r="O1018" s="230"/>
      <c r="S1018" s="230"/>
      <c r="T1018" s="230"/>
      <c r="U1018" s="230"/>
      <c r="V1018" s="230"/>
      <c r="W1018" s="230"/>
      <c r="X1018" s="230"/>
      <c r="Y1018" s="230"/>
      <c r="Z1018" s="230"/>
    </row>
    <row r="1019">
      <c r="O1019" s="230"/>
      <c r="S1019" s="230"/>
      <c r="T1019" s="230"/>
      <c r="U1019" s="230"/>
      <c r="V1019" s="230"/>
      <c r="W1019" s="230"/>
      <c r="X1019" s="230"/>
      <c r="Y1019" s="230"/>
      <c r="Z1019" s="230"/>
    </row>
    <row r="1020">
      <c r="O1020" s="230"/>
      <c r="S1020" s="230"/>
      <c r="T1020" s="230"/>
      <c r="U1020" s="230"/>
      <c r="V1020" s="230"/>
      <c r="W1020" s="230"/>
      <c r="X1020" s="230"/>
      <c r="Y1020" s="230"/>
      <c r="Z1020" s="230"/>
    </row>
    <row r="1021">
      <c r="O1021" s="230"/>
      <c r="S1021" s="230"/>
      <c r="T1021" s="230"/>
      <c r="U1021" s="230"/>
      <c r="V1021" s="230"/>
      <c r="W1021" s="230"/>
      <c r="X1021" s="230"/>
      <c r="Y1021" s="230"/>
      <c r="Z1021" s="230"/>
    </row>
    <row r="1022">
      <c r="O1022" s="230"/>
      <c r="S1022" s="230"/>
      <c r="T1022" s="230"/>
      <c r="U1022" s="230"/>
      <c r="V1022" s="230"/>
      <c r="W1022" s="230"/>
      <c r="X1022" s="230"/>
      <c r="Y1022" s="230"/>
      <c r="Z1022" s="230"/>
    </row>
    <row r="1023">
      <c r="O1023" s="230"/>
      <c r="S1023" s="230"/>
      <c r="T1023" s="230"/>
      <c r="U1023" s="230"/>
      <c r="V1023" s="230"/>
      <c r="W1023" s="230"/>
      <c r="X1023" s="230"/>
      <c r="Y1023" s="230"/>
      <c r="Z1023" s="230"/>
    </row>
    <row r="1024">
      <c r="O1024" s="230"/>
      <c r="S1024" s="230"/>
      <c r="T1024" s="230"/>
      <c r="U1024" s="230"/>
      <c r="V1024" s="230"/>
      <c r="W1024" s="230"/>
      <c r="X1024" s="230"/>
      <c r="Y1024" s="230"/>
      <c r="Z1024" s="230"/>
    </row>
    <row r="1025">
      <c r="O1025" s="230"/>
      <c r="S1025" s="230"/>
      <c r="T1025" s="230"/>
      <c r="U1025" s="230"/>
      <c r="V1025" s="230"/>
      <c r="W1025" s="230"/>
      <c r="X1025" s="230"/>
      <c r="Y1025" s="230"/>
      <c r="Z1025" s="230"/>
    </row>
    <row r="1026">
      <c r="O1026" s="230"/>
      <c r="S1026" s="230"/>
      <c r="T1026" s="230"/>
      <c r="U1026" s="230"/>
      <c r="V1026" s="230"/>
      <c r="W1026" s="230"/>
      <c r="X1026" s="230"/>
      <c r="Y1026" s="230"/>
      <c r="Z1026" s="230"/>
    </row>
    <row r="1027">
      <c r="O1027" s="230"/>
      <c r="S1027" s="230"/>
      <c r="T1027" s="230"/>
      <c r="U1027" s="230"/>
      <c r="V1027" s="230"/>
      <c r="W1027" s="230"/>
      <c r="X1027" s="230"/>
      <c r="Y1027" s="230"/>
      <c r="Z1027" s="230"/>
    </row>
    <row r="1028">
      <c r="O1028" s="230"/>
      <c r="S1028" s="230"/>
      <c r="T1028" s="230"/>
      <c r="U1028" s="230"/>
      <c r="V1028" s="230"/>
      <c r="W1028" s="230"/>
      <c r="X1028" s="230"/>
      <c r="Y1028" s="230"/>
      <c r="Z1028" s="230"/>
    </row>
    <row r="1029">
      <c r="O1029" s="230"/>
      <c r="S1029" s="230"/>
      <c r="T1029" s="230"/>
      <c r="U1029" s="230"/>
      <c r="V1029" s="230"/>
      <c r="W1029" s="230"/>
      <c r="X1029" s="230"/>
      <c r="Y1029" s="230"/>
      <c r="Z1029" s="230"/>
    </row>
    <row r="1030">
      <c r="O1030" s="230"/>
      <c r="S1030" s="230"/>
      <c r="T1030" s="230"/>
      <c r="U1030" s="230"/>
      <c r="V1030" s="230"/>
      <c r="W1030" s="230"/>
      <c r="X1030" s="230"/>
      <c r="Y1030" s="230"/>
      <c r="Z1030" s="230"/>
    </row>
    <row r="1031">
      <c r="O1031" s="230"/>
      <c r="S1031" s="230"/>
      <c r="T1031" s="230"/>
      <c r="U1031" s="230"/>
      <c r="V1031" s="230"/>
      <c r="W1031" s="230"/>
      <c r="X1031" s="230"/>
      <c r="Y1031" s="230"/>
      <c r="Z1031" s="230"/>
    </row>
    <row r="1032">
      <c r="O1032" s="230"/>
      <c r="S1032" s="230"/>
      <c r="T1032" s="230"/>
      <c r="U1032" s="230"/>
      <c r="V1032" s="230"/>
      <c r="W1032" s="230"/>
      <c r="X1032" s="230"/>
      <c r="Y1032" s="230"/>
      <c r="Z1032" s="230"/>
    </row>
    <row r="1033">
      <c r="O1033" s="230"/>
      <c r="S1033" s="230"/>
      <c r="T1033" s="230"/>
      <c r="U1033" s="230"/>
      <c r="V1033" s="230"/>
      <c r="W1033" s="230"/>
      <c r="X1033" s="230"/>
      <c r="Y1033" s="230"/>
      <c r="Z1033" s="230"/>
    </row>
    <row r="1034">
      <c r="O1034" s="230"/>
      <c r="S1034" s="230"/>
      <c r="T1034" s="230"/>
      <c r="U1034" s="230"/>
      <c r="V1034" s="230"/>
      <c r="W1034" s="230"/>
      <c r="X1034" s="230"/>
      <c r="Y1034" s="230"/>
      <c r="Z1034" s="230"/>
    </row>
    <row r="1035">
      <c r="O1035" s="230"/>
      <c r="S1035" s="230"/>
      <c r="T1035" s="230"/>
      <c r="U1035" s="230"/>
      <c r="V1035" s="230"/>
      <c r="W1035" s="230"/>
      <c r="X1035" s="230"/>
      <c r="Y1035" s="230"/>
      <c r="Z1035" s="230"/>
    </row>
    <row r="1036">
      <c r="O1036" s="230"/>
      <c r="S1036" s="230"/>
      <c r="T1036" s="230"/>
      <c r="U1036" s="230"/>
      <c r="V1036" s="230"/>
      <c r="W1036" s="230"/>
      <c r="X1036" s="230"/>
      <c r="Y1036" s="230"/>
      <c r="Z1036" s="230"/>
    </row>
    <row r="1037">
      <c r="O1037" s="230"/>
      <c r="S1037" s="230"/>
      <c r="T1037" s="230"/>
      <c r="U1037" s="230"/>
      <c r="V1037" s="230"/>
      <c r="W1037" s="230"/>
      <c r="X1037" s="230"/>
      <c r="Y1037" s="230"/>
      <c r="Z1037" s="230"/>
    </row>
    <row r="1038">
      <c r="O1038" s="230"/>
      <c r="S1038" s="230"/>
      <c r="T1038" s="230"/>
      <c r="U1038" s="230"/>
      <c r="V1038" s="230"/>
      <c r="W1038" s="230"/>
      <c r="X1038" s="230"/>
      <c r="Y1038" s="230"/>
      <c r="Z1038" s="230"/>
    </row>
    <row r="1039">
      <c r="O1039" s="230"/>
      <c r="S1039" s="230"/>
      <c r="T1039" s="230"/>
      <c r="U1039" s="230"/>
      <c r="V1039" s="230"/>
      <c r="W1039" s="230"/>
      <c r="X1039" s="230"/>
      <c r="Y1039" s="230"/>
      <c r="Z1039" s="230"/>
    </row>
    <row r="1040">
      <c r="O1040" s="230"/>
      <c r="S1040" s="230"/>
      <c r="T1040" s="230"/>
      <c r="U1040" s="230"/>
      <c r="V1040" s="230"/>
      <c r="W1040" s="230"/>
      <c r="X1040" s="230"/>
      <c r="Y1040" s="230"/>
      <c r="Z1040" s="230"/>
    </row>
    <row r="1041">
      <c r="O1041" s="230"/>
      <c r="S1041" s="230"/>
      <c r="T1041" s="230"/>
      <c r="U1041" s="230"/>
      <c r="V1041" s="230"/>
      <c r="W1041" s="230"/>
      <c r="X1041" s="230"/>
      <c r="Y1041" s="230"/>
      <c r="Z1041" s="230"/>
    </row>
    <row r="1042">
      <c r="O1042" s="230"/>
      <c r="S1042" s="230"/>
      <c r="T1042" s="230"/>
      <c r="U1042" s="230"/>
      <c r="V1042" s="230"/>
      <c r="W1042" s="230"/>
      <c r="X1042" s="230"/>
      <c r="Y1042" s="230"/>
      <c r="Z1042" s="230"/>
    </row>
    <row r="1043">
      <c r="O1043" s="230"/>
      <c r="S1043" s="230"/>
      <c r="T1043" s="230"/>
      <c r="U1043" s="230"/>
      <c r="V1043" s="230"/>
      <c r="W1043" s="230"/>
      <c r="X1043" s="230"/>
      <c r="Y1043" s="230"/>
      <c r="Z1043" s="230"/>
    </row>
    <row r="1044">
      <c r="O1044" s="230"/>
      <c r="S1044" s="230"/>
      <c r="T1044" s="230"/>
      <c r="U1044" s="230"/>
      <c r="V1044" s="230"/>
      <c r="W1044" s="230"/>
      <c r="X1044" s="230"/>
      <c r="Y1044" s="230"/>
      <c r="Z1044" s="230"/>
    </row>
    <row r="1045">
      <c r="O1045" s="230"/>
      <c r="S1045" s="230"/>
      <c r="T1045" s="230"/>
      <c r="U1045" s="230"/>
      <c r="V1045" s="230"/>
      <c r="W1045" s="230"/>
      <c r="X1045" s="230"/>
      <c r="Y1045" s="230"/>
      <c r="Z1045" s="230"/>
    </row>
    <row r="1046">
      <c r="O1046" s="230"/>
      <c r="S1046" s="230"/>
      <c r="T1046" s="230"/>
      <c r="U1046" s="230"/>
      <c r="V1046" s="230"/>
      <c r="W1046" s="230"/>
      <c r="X1046" s="230"/>
      <c r="Y1046" s="230"/>
      <c r="Z1046" s="230"/>
    </row>
    <row r="1047">
      <c r="O1047" s="230"/>
      <c r="S1047" s="230"/>
      <c r="T1047" s="230"/>
      <c r="U1047" s="230"/>
      <c r="V1047" s="230"/>
      <c r="W1047" s="230"/>
      <c r="X1047" s="230"/>
      <c r="Y1047" s="230"/>
      <c r="Z1047" s="230"/>
    </row>
    <row r="1048">
      <c r="O1048" s="230"/>
      <c r="S1048" s="230"/>
      <c r="T1048" s="230"/>
      <c r="U1048" s="230"/>
      <c r="V1048" s="230"/>
      <c r="W1048" s="230"/>
      <c r="X1048" s="230"/>
      <c r="Y1048" s="230"/>
      <c r="Z1048" s="230"/>
    </row>
    <row r="1049">
      <c r="O1049" s="230"/>
      <c r="S1049" s="230"/>
      <c r="T1049" s="230"/>
      <c r="U1049" s="230"/>
      <c r="V1049" s="230"/>
      <c r="W1049" s="230"/>
      <c r="X1049" s="230"/>
      <c r="Y1049" s="230"/>
      <c r="Z1049" s="230"/>
    </row>
    <row r="1050">
      <c r="O1050" s="230"/>
      <c r="S1050" s="230"/>
      <c r="T1050" s="230"/>
      <c r="U1050" s="230"/>
      <c r="V1050" s="230"/>
      <c r="W1050" s="230"/>
      <c r="X1050" s="230"/>
      <c r="Y1050" s="230"/>
      <c r="Z1050" s="230"/>
    </row>
    <row r="1051">
      <c r="O1051" s="230"/>
      <c r="S1051" s="230"/>
      <c r="T1051" s="230"/>
      <c r="U1051" s="230"/>
      <c r="V1051" s="230"/>
      <c r="W1051" s="230"/>
      <c r="X1051" s="230"/>
      <c r="Y1051" s="230"/>
      <c r="Z1051" s="230"/>
    </row>
    <row r="1052">
      <c r="O1052" s="230"/>
      <c r="S1052" s="230"/>
      <c r="T1052" s="230"/>
      <c r="U1052" s="230"/>
      <c r="V1052" s="230"/>
      <c r="W1052" s="230"/>
      <c r="X1052" s="230"/>
      <c r="Y1052" s="230"/>
      <c r="Z1052" s="230"/>
    </row>
    <row r="1053">
      <c r="O1053" s="230"/>
      <c r="S1053" s="230"/>
      <c r="T1053" s="230"/>
      <c r="U1053" s="230"/>
      <c r="V1053" s="230"/>
      <c r="W1053" s="230"/>
      <c r="X1053" s="230"/>
      <c r="Y1053" s="230"/>
      <c r="Z1053" s="230"/>
    </row>
    <row r="1054">
      <c r="O1054" s="230"/>
      <c r="S1054" s="230"/>
      <c r="T1054" s="230"/>
      <c r="U1054" s="230"/>
      <c r="V1054" s="230"/>
      <c r="W1054" s="230"/>
      <c r="X1054" s="230"/>
      <c r="Y1054" s="230"/>
      <c r="Z1054" s="230"/>
    </row>
    <row r="1055">
      <c r="O1055" s="230"/>
      <c r="S1055" s="230"/>
      <c r="T1055" s="230"/>
      <c r="U1055" s="230"/>
      <c r="V1055" s="230"/>
      <c r="W1055" s="230"/>
      <c r="X1055" s="230"/>
      <c r="Y1055" s="230"/>
      <c r="Z1055" s="230"/>
    </row>
    <row r="1056">
      <c r="O1056" s="230"/>
      <c r="S1056" s="230"/>
      <c r="T1056" s="230"/>
      <c r="U1056" s="230"/>
      <c r="V1056" s="230"/>
      <c r="W1056" s="230"/>
      <c r="X1056" s="230"/>
      <c r="Y1056" s="230"/>
      <c r="Z1056" s="230"/>
    </row>
    <row r="1057">
      <c r="O1057" s="230"/>
      <c r="S1057" s="230"/>
      <c r="T1057" s="230"/>
      <c r="U1057" s="230"/>
      <c r="V1057" s="230"/>
      <c r="W1057" s="230"/>
      <c r="X1057" s="230"/>
      <c r="Y1057" s="230"/>
      <c r="Z1057" s="230"/>
    </row>
    <row r="1058">
      <c r="O1058" s="230"/>
      <c r="S1058" s="230"/>
      <c r="T1058" s="230"/>
      <c r="U1058" s="230"/>
      <c r="V1058" s="230"/>
      <c r="W1058" s="230"/>
      <c r="X1058" s="230"/>
      <c r="Y1058" s="230"/>
      <c r="Z1058" s="230"/>
    </row>
    <row r="1059">
      <c r="O1059" s="230"/>
      <c r="S1059" s="230"/>
      <c r="T1059" s="230"/>
      <c r="U1059" s="230"/>
      <c r="V1059" s="230"/>
      <c r="W1059" s="230"/>
      <c r="X1059" s="230"/>
      <c r="Y1059" s="230"/>
      <c r="Z1059" s="230"/>
    </row>
    <row r="1060">
      <c r="O1060" s="230"/>
      <c r="S1060" s="230"/>
      <c r="T1060" s="230"/>
      <c r="U1060" s="230"/>
      <c r="V1060" s="230"/>
      <c r="W1060" s="230"/>
      <c r="X1060" s="230"/>
      <c r="Y1060" s="230"/>
      <c r="Z1060" s="230"/>
    </row>
    <row r="1061">
      <c r="O1061" s="230"/>
      <c r="S1061" s="230"/>
      <c r="T1061" s="230"/>
      <c r="U1061" s="230"/>
      <c r="V1061" s="230"/>
      <c r="W1061" s="230"/>
      <c r="X1061" s="230"/>
      <c r="Y1061" s="230"/>
      <c r="Z1061" s="230"/>
    </row>
    <row r="1062">
      <c r="O1062" s="230"/>
      <c r="S1062" s="230"/>
      <c r="T1062" s="230"/>
      <c r="U1062" s="230"/>
      <c r="V1062" s="230"/>
      <c r="W1062" s="230"/>
      <c r="X1062" s="230"/>
      <c r="Y1062" s="230"/>
      <c r="Z1062" s="230"/>
    </row>
    <row r="1063">
      <c r="O1063" s="230"/>
      <c r="S1063" s="230"/>
      <c r="T1063" s="230"/>
      <c r="U1063" s="230"/>
      <c r="V1063" s="230"/>
      <c r="W1063" s="230"/>
      <c r="X1063" s="230"/>
      <c r="Y1063" s="230"/>
      <c r="Z1063" s="230"/>
    </row>
    <row r="1064">
      <c r="O1064" s="230"/>
      <c r="S1064" s="230"/>
      <c r="T1064" s="230"/>
      <c r="U1064" s="230"/>
      <c r="V1064" s="230"/>
      <c r="W1064" s="230"/>
      <c r="X1064" s="230"/>
      <c r="Y1064" s="230"/>
      <c r="Z1064" s="230"/>
    </row>
    <row r="1065">
      <c r="O1065" s="230"/>
      <c r="S1065" s="230"/>
      <c r="T1065" s="230"/>
      <c r="U1065" s="230"/>
      <c r="V1065" s="230"/>
      <c r="W1065" s="230"/>
      <c r="X1065" s="230"/>
      <c r="Y1065" s="230"/>
      <c r="Z1065" s="230"/>
    </row>
    <row r="1066">
      <c r="O1066" s="230"/>
      <c r="S1066" s="230"/>
      <c r="T1066" s="230"/>
      <c r="U1066" s="230"/>
      <c r="V1066" s="230"/>
      <c r="W1066" s="230"/>
      <c r="X1066" s="230"/>
      <c r="Y1066" s="230"/>
      <c r="Z1066" s="230"/>
    </row>
    <row r="1067">
      <c r="O1067" s="230"/>
      <c r="S1067" s="230"/>
      <c r="T1067" s="230"/>
      <c r="U1067" s="230"/>
      <c r="V1067" s="230"/>
      <c r="W1067" s="230"/>
      <c r="X1067" s="230"/>
      <c r="Y1067" s="230"/>
      <c r="Z1067" s="230"/>
    </row>
    <row r="1068">
      <c r="O1068" s="230"/>
      <c r="S1068" s="230"/>
      <c r="T1068" s="230"/>
      <c r="U1068" s="230"/>
      <c r="V1068" s="230"/>
      <c r="W1068" s="230"/>
      <c r="X1068" s="230"/>
      <c r="Y1068" s="230"/>
      <c r="Z1068" s="230"/>
    </row>
    <row r="1069">
      <c r="O1069" s="230"/>
      <c r="S1069" s="230"/>
      <c r="T1069" s="230"/>
      <c r="U1069" s="230"/>
      <c r="V1069" s="230"/>
      <c r="W1069" s="230"/>
      <c r="X1069" s="230"/>
      <c r="Y1069" s="230"/>
      <c r="Z1069" s="230"/>
    </row>
    <row r="1070">
      <c r="O1070" s="230"/>
      <c r="S1070" s="230"/>
      <c r="T1070" s="230"/>
      <c r="U1070" s="230"/>
      <c r="V1070" s="230"/>
      <c r="W1070" s="230"/>
      <c r="X1070" s="230"/>
      <c r="Y1070" s="230"/>
      <c r="Z1070" s="230"/>
    </row>
    <row r="1071">
      <c r="O1071" s="230"/>
      <c r="S1071" s="230"/>
      <c r="T1071" s="230"/>
      <c r="U1071" s="230"/>
      <c r="V1071" s="230"/>
      <c r="W1071" s="230"/>
      <c r="X1071" s="230"/>
      <c r="Y1071" s="230"/>
      <c r="Z1071" s="230"/>
    </row>
    <row r="1072">
      <c r="O1072" s="230"/>
      <c r="S1072" s="230"/>
      <c r="T1072" s="230"/>
      <c r="U1072" s="230"/>
      <c r="V1072" s="230"/>
      <c r="W1072" s="230"/>
      <c r="X1072" s="230"/>
      <c r="Y1072" s="230"/>
      <c r="Z1072" s="230"/>
    </row>
    <row r="1073">
      <c r="O1073" s="230"/>
      <c r="S1073" s="230"/>
      <c r="T1073" s="230"/>
      <c r="U1073" s="230"/>
      <c r="V1073" s="230"/>
      <c r="W1073" s="230"/>
      <c r="X1073" s="230"/>
      <c r="Y1073" s="230"/>
      <c r="Z1073" s="230"/>
    </row>
    <row r="1074">
      <c r="O1074" s="230"/>
      <c r="S1074" s="230"/>
      <c r="T1074" s="230"/>
      <c r="U1074" s="230"/>
      <c r="V1074" s="230"/>
      <c r="W1074" s="230"/>
      <c r="X1074" s="230"/>
      <c r="Y1074" s="230"/>
      <c r="Z1074" s="230"/>
    </row>
    <row r="1075">
      <c r="O1075" s="230"/>
      <c r="S1075" s="230"/>
      <c r="T1075" s="230"/>
      <c r="U1075" s="230"/>
      <c r="V1075" s="230"/>
      <c r="W1075" s="230"/>
      <c r="X1075" s="230"/>
      <c r="Y1075" s="230"/>
      <c r="Z1075" s="230"/>
    </row>
    <row r="1076">
      <c r="O1076" s="230"/>
      <c r="S1076" s="230"/>
      <c r="T1076" s="230"/>
      <c r="U1076" s="230"/>
      <c r="V1076" s="230"/>
      <c r="W1076" s="230"/>
      <c r="X1076" s="230"/>
      <c r="Y1076" s="230"/>
      <c r="Z1076" s="230"/>
    </row>
    <row r="1077">
      <c r="O1077" s="230"/>
      <c r="S1077" s="230"/>
      <c r="T1077" s="230"/>
      <c r="U1077" s="230"/>
      <c r="V1077" s="230"/>
      <c r="W1077" s="230"/>
      <c r="X1077" s="230"/>
      <c r="Y1077" s="230"/>
      <c r="Z1077" s="230"/>
    </row>
    <row r="1078">
      <c r="O1078" s="230"/>
      <c r="S1078" s="230"/>
      <c r="T1078" s="230"/>
      <c r="U1078" s="230"/>
      <c r="V1078" s="230"/>
      <c r="W1078" s="230"/>
      <c r="X1078" s="230"/>
      <c r="Y1078" s="230"/>
      <c r="Z1078" s="230"/>
    </row>
    <row r="1079">
      <c r="O1079" s="230"/>
      <c r="S1079" s="230"/>
      <c r="T1079" s="230"/>
      <c r="U1079" s="230"/>
      <c r="V1079" s="230"/>
      <c r="W1079" s="230"/>
      <c r="X1079" s="230"/>
      <c r="Y1079" s="230"/>
      <c r="Z1079" s="230"/>
    </row>
    <row r="1080">
      <c r="O1080" s="230"/>
      <c r="S1080" s="230"/>
      <c r="T1080" s="230"/>
      <c r="U1080" s="230"/>
      <c r="V1080" s="230"/>
      <c r="W1080" s="230"/>
      <c r="X1080" s="230"/>
      <c r="Y1080" s="230"/>
      <c r="Z1080" s="230"/>
    </row>
    <row r="1081">
      <c r="O1081" s="230"/>
      <c r="S1081" s="230"/>
      <c r="T1081" s="230"/>
      <c r="U1081" s="230"/>
      <c r="V1081" s="230"/>
      <c r="W1081" s="230"/>
      <c r="X1081" s="230"/>
      <c r="Y1081" s="230"/>
      <c r="Z1081" s="230"/>
    </row>
    <row r="1082">
      <c r="O1082" s="230"/>
      <c r="S1082" s="230"/>
      <c r="T1082" s="230"/>
      <c r="U1082" s="230"/>
      <c r="V1082" s="230"/>
      <c r="W1082" s="230"/>
      <c r="X1082" s="230"/>
      <c r="Y1082" s="230"/>
      <c r="Z1082" s="230"/>
    </row>
    <row r="1083">
      <c r="O1083" s="230"/>
      <c r="S1083" s="230"/>
      <c r="T1083" s="230"/>
      <c r="U1083" s="230"/>
      <c r="V1083" s="230"/>
      <c r="W1083" s="230"/>
      <c r="X1083" s="230"/>
      <c r="Y1083" s="230"/>
      <c r="Z1083" s="230"/>
    </row>
    <row r="1084">
      <c r="O1084" s="230"/>
      <c r="S1084" s="230"/>
      <c r="T1084" s="230"/>
      <c r="U1084" s="230"/>
      <c r="V1084" s="230"/>
      <c r="W1084" s="230"/>
      <c r="X1084" s="230"/>
      <c r="Y1084" s="230"/>
      <c r="Z1084" s="230"/>
    </row>
    <row r="1085">
      <c r="O1085" s="230"/>
      <c r="S1085" s="230"/>
      <c r="T1085" s="230"/>
      <c r="U1085" s="230"/>
      <c r="V1085" s="230"/>
      <c r="W1085" s="230"/>
      <c r="X1085" s="230"/>
      <c r="Y1085" s="230"/>
      <c r="Z1085" s="230"/>
    </row>
    <row r="1086">
      <c r="O1086" s="230"/>
      <c r="S1086" s="230"/>
      <c r="T1086" s="230"/>
      <c r="U1086" s="230"/>
      <c r="V1086" s="230"/>
      <c r="W1086" s="230"/>
      <c r="X1086" s="230"/>
      <c r="Y1086" s="230"/>
      <c r="Z1086" s="230"/>
    </row>
    <row r="1087">
      <c r="O1087" s="230"/>
      <c r="S1087" s="230"/>
      <c r="T1087" s="230"/>
      <c r="U1087" s="230"/>
      <c r="V1087" s="230"/>
      <c r="W1087" s="230"/>
      <c r="X1087" s="230"/>
      <c r="Y1087" s="230"/>
      <c r="Z1087" s="230"/>
    </row>
    <row r="1088">
      <c r="O1088" s="230"/>
      <c r="S1088" s="230"/>
      <c r="T1088" s="230"/>
      <c r="U1088" s="230"/>
      <c r="V1088" s="230"/>
      <c r="W1088" s="230"/>
      <c r="X1088" s="230"/>
      <c r="Y1088" s="230"/>
      <c r="Z1088" s="230"/>
    </row>
    <row r="1089">
      <c r="O1089" s="230"/>
      <c r="S1089" s="230"/>
      <c r="T1089" s="230"/>
      <c r="U1089" s="230"/>
      <c r="V1089" s="230"/>
      <c r="W1089" s="230"/>
      <c r="X1089" s="230"/>
      <c r="Y1089" s="230"/>
      <c r="Z1089" s="230"/>
    </row>
    <row r="1090">
      <c r="O1090" s="230"/>
      <c r="S1090" s="230"/>
      <c r="T1090" s="230"/>
      <c r="U1090" s="230"/>
      <c r="V1090" s="230"/>
      <c r="W1090" s="230"/>
      <c r="X1090" s="230"/>
      <c r="Y1090" s="230"/>
      <c r="Z1090" s="230"/>
    </row>
    <row r="1091">
      <c r="O1091" s="230"/>
      <c r="S1091" s="230"/>
      <c r="T1091" s="230"/>
      <c r="U1091" s="230"/>
      <c r="V1091" s="230"/>
      <c r="W1091" s="230"/>
      <c r="X1091" s="230"/>
      <c r="Y1091" s="230"/>
      <c r="Z1091" s="230"/>
    </row>
    <row r="1092">
      <c r="O1092" s="230"/>
      <c r="S1092" s="230"/>
      <c r="T1092" s="230"/>
      <c r="U1092" s="230"/>
      <c r="V1092" s="230"/>
      <c r="W1092" s="230"/>
      <c r="X1092" s="230"/>
      <c r="Y1092" s="230"/>
      <c r="Z1092" s="230"/>
    </row>
    <row r="1093">
      <c r="O1093" s="230"/>
      <c r="S1093" s="230"/>
      <c r="T1093" s="230"/>
      <c r="U1093" s="230"/>
      <c r="V1093" s="230"/>
      <c r="W1093" s="230"/>
      <c r="X1093" s="230"/>
      <c r="Y1093" s="230"/>
      <c r="Z1093" s="230"/>
    </row>
    <row r="1094">
      <c r="O1094" s="230"/>
      <c r="S1094" s="230"/>
      <c r="T1094" s="230"/>
      <c r="U1094" s="230"/>
      <c r="V1094" s="230"/>
      <c r="W1094" s="230"/>
      <c r="X1094" s="230"/>
      <c r="Y1094" s="230"/>
      <c r="Z1094" s="230"/>
    </row>
    <row r="1095">
      <c r="O1095" s="230"/>
      <c r="S1095" s="230"/>
      <c r="T1095" s="230"/>
      <c r="U1095" s="230"/>
      <c r="V1095" s="230"/>
      <c r="W1095" s="230"/>
      <c r="X1095" s="230"/>
      <c r="Y1095" s="230"/>
      <c r="Z1095" s="230"/>
    </row>
    <row r="1096">
      <c r="O1096" s="230"/>
      <c r="S1096" s="230"/>
      <c r="T1096" s="230"/>
      <c r="U1096" s="230"/>
      <c r="V1096" s="230"/>
      <c r="W1096" s="230"/>
      <c r="X1096" s="230"/>
      <c r="Y1096" s="230"/>
      <c r="Z1096" s="230"/>
    </row>
    <row r="1097">
      <c r="O1097" s="230"/>
      <c r="S1097" s="230"/>
      <c r="T1097" s="230"/>
      <c r="U1097" s="230"/>
      <c r="V1097" s="230"/>
      <c r="W1097" s="230"/>
      <c r="X1097" s="230"/>
      <c r="Y1097" s="230"/>
      <c r="Z1097" s="230"/>
    </row>
    <row r="1098">
      <c r="O1098" s="230"/>
      <c r="S1098" s="230"/>
      <c r="T1098" s="230"/>
      <c r="U1098" s="230"/>
      <c r="V1098" s="230"/>
      <c r="W1098" s="230"/>
      <c r="X1098" s="230"/>
      <c r="Y1098" s="230"/>
      <c r="Z1098" s="230"/>
    </row>
    <row r="1099">
      <c r="O1099" s="230"/>
      <c r="S1099" s="230"/>
      <c r="T1099" s="230"/>
      <c r="U1099" s="230"/>
      <c r="V1099" s="230"/>
      <c r="W1099" s="230"/>
      <c r="X1099" s="230"/>
      <c r="Y1099" s="230"/>
      <c r="Z1099" s="230"/>
    </row>
    <row r="1100">
      <c r="O1100" s="230"/>
      <c r="S1100" s="230"/>
      <c r="T1100" s="230"/>
      <c r="U1100" s="230"/>
      <c r="V1100" s="230"/>
      <c r="W1100" s="230"/>
      <c r="X1100" s="230"/>
      <c r="Y1100" s="230"/>
      <c r="Z1100" s="230"/>
    </row>
    <row r="1101">
      <c r="O1101" s="230"/>
      <c r="S1101" s="230"/>
      <c r="T1101" s="230"/>
      <c r="U1101" s="230"/>
      <c r="V1101" s="230"/>
      <c r="W1101" s="230"/>
      <c r="X1101" s="230"/>
      <c r="Y1101" s="230"/>
      <c r="Z1101" s="230"/>
    </row>
    <row r="1102">
      <c r="O1102" s="230"/>
      <c r="S1102" s="230"/>
      <c r="T1102" s="230"/>
      <c r="U1102" s="230"/>
      <c r="V1102" s="230"/>
      <c r="W1102" s="230"/>
      <c r="X1102" s="230"/>
      <c r="Y1102" s="230"/>
      <c r="Z1102" s="230"/>
    </row>
    <row r="1103">
      <c r="O1103" s="230"/>
      <c r="S1103" s="230"/>
      <c r="T1103" s="230"/>
      <c r="U1103" s="230"/>
      <c r="V1103" s="230"/>
      <c r="W1103" s="230"/>
      <c r="X1103" s="230"/>
      <c r="Y1103" s="230"/>
      <c r="Z1103" s="230"/>
    </row>
    <row r="1104">
      <c r="O1104" s="230"/>
      <c r="S1104" s="230"/>
      <c r="T1104" s="230"/>
      <c r="U1104" s="230"/>
      <c r="V1104" s="230"/>
      <c r="W1104" s="230"/>
      <c r="X1104" s="230"/>
      <c r="Y1104" s="230"/>
      <c r="Z1104" s="230"/>
    </row>
    <row r="1105">
      <c r="O1105" s="230"/>
      <c r="S1105" s="230"/>
      <c r="T1105" s="230"/>
      <c r="U1105" s="230"/>
      <c r="V1105" s="230"/>
      <c r="W1105" s="230"/>
      <c r="X1105" s="230"/>
      <c r="Y1105" s="230"/>
      <c r="Z1105" s="230"/>
    </row>
    <row r="1106">
      <c r="O1106" s="230"/>
      <c r="S1106" s="230"/>
      <c r="T1106" s="230"/>
      <c r="U1106" s="230"/>
      <c r="V1106" s="230"/>
      <c r="W1106" s="230"/>
      <c r="X1106" s="230"/>
      <c r="Y1106" s="230"/>
      <c r="Z1106" s="230"/>
    </row>
    <row r="1107">
      <c r="O1107" s="230"/>
      <c r="S1107" s="230"/>
      <c r="T1107" s="230"/>
      <c r="U1107" s="230"/>
      <c r="V1107" s="230"/>
      <c r="W1107" s="230"/>
      <c r="X1107" s="230"/>
      <c r="Y1107" s="230"/>
      <c r="Z1107" s="230"/>
    </row>
    <row r="1108">
      <c r="O1108" s="230"/>
      <c r="S1108" s="230"/>
      <c r="T1108" s="230"/>
      <c r="U1108" s="230"/>
      <c r="V1108" s="230"/>
      <c r="W1108" s="230"/>
      <c r="X1108" s="230"/>
      <c r="Y1108" s="230"/>
      <c r="Z1108" s="230"/>
    </row>
    <row r="1109">
      <c r="O1109" s="230"/>
      <c r="S1109" s="230"/>
      <c r="T1109" s="230"/>
      <c r="U1109" s="230"/>
      <c r="V1109" s="230"/>
      <c r="W1109" s="230"/>
      <c r="X1109" s="230"/>
      <c r="Y1109" s="230"/>
      <c r="Z1109" s="230"/>
    </row>
    <row r="1110">
      <c r="O1110" s="230"/>
      <c r="S1110" s="230"/>
      <c r="T1110" s="230"/>
      <c r="U1110" s="230"/>
      <c r="V1110" s="230"/>
      <c r="W1110" s="230"/>
      <c r="X1110" s="230"/>
      <c r="Y1110" s="230"/>
      <c r="Z1110" s="230"/>
    </row>
    <row r="1111">
      <c r="O1111" s="230"/>
      <c r="S1111" s="230"/>
      <c r="T1111" s="230"/>
      <c r="U1111" s="230"/>
      <c r="V1111" s="230"/>
      <c r="W1111" s="230"/>
      <c r="X1111" s="230"/>
      <c r="Y1111" s="230"/>
      <c r="Z1111" s="230"/>
    </row>
    <row r="1112">
      <c r="O1112" s="230"/>
      <c r="S1112" s="230"/>
      <c r="T1112" s="230"/>
      <c r="U1112" s="230"/>
      <c r="V1112" s="230"/>
      <c r="W1112" s="230"/>
      <c r="X1112" s="230"/>
      <c r="Y1112" s="230"/>
      <c r="Z1112" s="230"/>
    </row>
    <row r="1113">
      <c r="O1113" s="230"/>
      <c r="S1113" s="230"/>
      <c r="T1113" s="230"/>
      <c r="U1113" s="230"/>
      <c r="V1113" s="230"/>
      <c r="W1113" s="230"/>
      <c r="X1113" s="230"/>
      <c r="Y1113" s="230"/>
      <c r="Z1113" s="230"/>
    </row>
    <row r="1114">
      <c r="O1114" s="230"/>
      <c r="S1114" s="230"/>
      <c r="T1114" s="230"/>
      <c r="U1114" s="230"/>
      <c r="V1114" s="230"/>
      <c r="W1114" s="230"/>
      <c r="X1114" s="230"/>
      <c r="Y1114" s="230"/>
      <c r="Z1114" s="230"/>
    </row>
    <row r="1115">
      <c r="O1115" s="230"/>
      <c r="S1115" s="230"/>
      <c r="T1115" s="230"/>
      <c r="U1115" s="230"/>
      <c r="V1115" s="230"/>
      <c r="W1115" s="230"/>
      <c r="X1115" s="230"/>
      <c r="Y1115" s="230"/>
      <c r="Z1115" s="230"/>
    </row>
    <row r="1116">
      <c r="O1116" s="230"/>
      <c r="S1116" s="230"/>
      <c r="T1116" s="230"/>
      <c r="U1116" s="230"/>
      <c r="V1116" s="230"/>
      <c r="W1116" s="230"/>
      <c r="X1116" s="230"/>
      <c r="Y1116" s="230"/>
      <c r="Z1116" s="230"/>
    </row>
    <row r="1117">
      <c r="O1117" s="230"/>
      <c r="S1117" s="230"/>
      <c r="T1117" s="230"/>
      <c r="U1117" s="230"/>
      <c r="V1117" s="230"/>
      <c r="W1117" s="230"/>
      <c r="X1117" s="230"/>
      <c r="Y1117" s="230"/>
      <c r="Z1117" s="230"/>
    </row>
    <row r="1118">
      <c r="O1118" s="230"/>
      <c r="S1118" s="230"/>
      <c r="T1118" s="230"/>
      <c r="U1118" s="230"/>
      <c r="V1118" s="230"/>
      <c r="W1118" s="230"/>
      <c r="X1118" s="230"/>
      <c r="Y1118" s="230"/>
      <c r="Z1118" s="230"/>
    </row>
    <row r="1119">
      <c r="O1119" s="230"/>
      <c r="S1119" s="230"/>
      <c r="T1119" s="230"/>
      <c r="U1119" s="230"/>
      <c r="V1119" s="230"/>
      <c r="W1119" s="230"/>
      <c r="X1119" s="230"/>
      <c r="Y1119" s="230"/>
      <c r="Z1119" s="230"/>
    </row>
    <row r="1120">
      <c r="O1120" s="230"/>
      <c r="S1120" s="230"/>
      <c r="T1120" s="230"/>
      <c r="U1120" s="230"/>
      <c r="V1120" s="230"/>
      <c r="W1120" s="230"/>
      <c r="X1120" s="230"/>
      <c r="Y1120" s="230"/>
      <c r="Z1120" s="230"/>
    </row>
    <row r="1121">
      <c r="O1121" s="230"/>
      <c r="S1121" s="230"/>
      <c r="T1121" s="230"/>
      <c r="U1121" s="230"/>
      <c r="V1121" s="230"/>
      <c r="W1121" s="230"/>
      <c r="X1121" s="230"/>
      <c r="Y1121" s="230"/>
      <c r="Z1121" s="230"/>
    </row>
    <row r="1122">
      <c r="O1122" s="230"/>
      <c r="S1122" s="230"/>
      <c r="T1122" s="230"/>
      <c r="U1122" s="230"/>
      <c r="V1122" s="230"/>
      <c r="W1122" s="230"/>
      <c r="X1122" s="230"/>
      <c r="Y1122" s="230"/>
      <c r="Z1122" s="230"/>
    </row>
    <row r="1123">
      <c r="O1123" s="230"/>
      <c r="S1123" s="230"/>
      <c r="T1123" s="230"/>
      <c r="U1123" s="230"/>
      <c r="V1123" s="230"/>
      <c r="W1123" s="230"/>
      <c r="X1123" s="230"/>
      <c r="Y1123" s="230"/>
      <c r="Z1123" s="230"/>
    </row>
    <row r="1124">
      <c r="O1124" s="230"/>
      <c r="S1124" s="230"/>
      <c r="T1124" s="230"/>
      <c r="U1124" s="230"/>
      <c r="V1124" s="230"/>
      <c r="W1124" s="230"/>
      <c r="X1124" s="230"/>
      <c r="Y1124" s="230"/>
      <c r="Z1124" s="230"/>
    </row>
    <row r="1125">
      <c r="O1125" s="230"/>
      <c r="S1125" s="230"/>
      <c r="T1125" s="230"/>
      <c r="U1125" s="230"/>
      <c r="V1125" s="230"/>
      <c r="W1125" s="230"/>
      <c r="X1125" s="230"/>
      <c r="Y1125" s="230"/>
      <c r="Z1125" s="230"/>
    </row>
    <row r="1126">
      <c r="O1126" s="230"/>
      <c r="S1126" s="230"/>
      <c r="T1126" s="230"/>
      <c r="U1126" s="230"/>
      <c r="V1126" s="230"/>
      <c r="W1126" s="230"/>
      <c r="X1126" s="230"/>
      <c r="Y1126" s="230"/>
      <c r="Z1126" s="230"/>
    </row>
    <row r="1127">
      <c r="O1127" s="230"/>
      <c r="S1127" s="230"/>
      <c r="T1127" s="230"/>
      <c r="U1127" s="230"/>
      <c r="V1127" s="230"/>
      <c r="W1127" s="230"/>
      <c r="X1127" s="230"/>
      <c r="Y1127" s="230"/>
      <c r="Z1127" s="230"/>
    </row>
    <row r="1128">
      <c r="O1128" s="230"/>
      <c r="S1128" s="230"/>
      <c r="T1128" s="230"/>
      <c r="U1128" s="230"/>
      <c r="V1128" s="230"/>
      <c r="W1128" s="230"/>
      <c r="X1128" s="230"/>
      <c r="Y1128" s="230"/>
      <c r="Z1128" s="230"/>
    </row>
    <row r="1129">
      <c r="O1129" s="230"/>
      <c r="S1129" s="230"/>
      <c r="T1129" s="230"/>
      <c r="U1129" s="230"/>
      <c r="V1129" s="230"/>
      <c r="W1129" s="230"/>
      <c r="X1129" s="230"/>
      <c r="Y1129" s="230"/>
      <c r="Z1129" s="230"/>
    </row>
    <row r="1130">
      <c r="O1130" s="230"/>
      <c r="S1130" s="230"/>
      <c r="T1130" s="230"/>
      <c r="U1130" s="230"/>
      <c r="V1130" s="230"/>
      <c r="W1130" s="230"/>
      <c r="X1130" s="230"/>
      <c r="Y1130" s="230"/>
      <c r="Z1130" s="230"/>
    </row>
    <row r="1131">
      <c r="O1131" s="230"/>
      <c r="S1131" s="230"/>
      <c r="T1131" s="230"/>
      <c r="U1131" s="230"/>
      <c r="V1131" s="230"/>
      <c r="W1131" s="230"/>
      <c r="X1131" s="230"/>
      <c r="Y1131" s="230"/>
      <c r="Z1131" s="230"/>
    </row>
    <row r="1132">
      <c r="O1132" s="230"/>
      <c r="S1132" s="230"/>
      <c r="T1132" s="230"/>
      <c r="U1132" s="230"/>
      <c r="V1132" s="230"/>
      <c r="W1132" s="230"/>
      <c r="X1132" s="230"/>
      <c r="Y1132" s="230"/>
      <c r="Z1132" s="230"/>
    </row>
    <row r="1133">
      <c r="O1133" s="230"/>
      <c r="S1133" s="230"/>
      <c r="T1133" s="230"/>
      <c r="U1133" s="230"/>
      <c r="V1133" s="230"/>
      <c r="W1133" s="230"/>
      <c r="X1133" s="230"/>
      <c r="Y1133" s="230"/>
      <c r="Z1133" s="230"/>
    </row>
    <row r="1134">
      <c r="O1134" s="230"/>
      <c r="S1134" s="230"/>
      <c r="T1134" s="230"/>
      <c r="U1134" s="230"/>
      <c r="V1134" s="230"/>
      <c r="W1134" s="230"/>
      <c r="X1134" s="230"/>
      <c r="Y1134" s="230"/>
      <c r="Z1134" s="230"/>
    </row>
    <row r="1135">
      <c r="O1135" s="230"/>
      <c r="S1135" s="230"/>
      <c r="T1135" s="230"/>
      <c r="U1135" s="230"/>
      <c r="V1135" s="230"/>
      <c r="W1135" s="230"/>
      <c r="X1135" s="230"/>
      <c r="Y1135" s="230"/>
      <c r="Z1135" s="230"/>
    </row>
    <row r="1136">
      <c r="O1136" s="230"/>
      <c r="S1136" s="230"/>
      <c r="T1136" s="230"/>
      <c r="U1136" s="230"/>
      <c r="V1136" s="230"/>
      <c r="W1136" s="230"/>
      <c r="X1136" s="230"/>
      <c r="Y1136" s="230"/>
      <c r="Z1136" s="230"/>
    </row>
    <row r="1137">
      <c r="O1137" s="230"/>
      <c r="S1137" s="230"/>
      <c r="T1137" s="230"/>
      <c r="U1137" s="230"/>
      <c r="V1137" s="230"/>
      <c r="W1137" s="230"/>
      <c r="X1137" s="230"/>
      <c r="Y1137" s="230"/>
      <c r="Z1137" s="230"/>
    </row>
    <row r="1138">
      <c r="O1138" s="230"/>
      <c r="S1138" s="230"/>
      <c r="T1138" s="230"/>
      <c r="U1138" s="230"/>
      <c r="V1138" s="230"/>
      <c r="W1138" s="230"/>
      <c r="X1138" s="230"/>
      <c r="Y1138" s="230"/>
      <c r="Z1138" s="230"/>
    </row>
    <row r="1139">
      <c r="O1139" s="230"/>
      <c r="S1139" s="230"/>
      <c r="T1139" s="230"/>
      <c r="U1139" s="230"/>
      <c r="V1139" s="230"/>
      <c r="W1139" s="230"/>
      <c r="X1139" s="230"/>
      <c r="Y1139" s="230"/>
      <c r="Z1139" s="230"/>
    </row>
    <row r="1140">
      <c r="O1140" s="230"/>
      <c r="S1140" s="230"/>
      <c r="T1140" s="230"/>
      <c r="U1140" s="230"/>
      <c r="V1140" s="230"/>
      <c r="W1140" s="230"/>
      <c r="X1140" s="230"/>
      <c r="Y1140" s="230"/>
      <c r="Z1140" s="230"/>
    </row>
    <row r="1141">
      <c r="O1141" s="230"/>
      <c r="S1141" s="230"/>
      <c r="T1141" s="230"/>
      <c r="U1141" s="230"/>
      <c r="V1141" s="230"/>
      <c r="W1141" s="230"/>
      <c r="X1141" s="230"/>
      <c r="Y1141" s="230"/>
      <c r="Z1141" s="230"/>
    </row>
    <row r="1142">
      <c r="O1142" s="230"/>
      <c r="S1142" s="230"/>
      <c r="T1142" s="230"/>
      <c r="U1142" s="230"/>
      <c r="V1142" s="230"/>
      <c r="W1142" s="230"/>
      <c r="X1142" s="230"/>
      <c r="Y1142" s="230"/>
      <c r="Z1142" s="230"/>
    </row>
    <row r="1143">
      <c r="O1143" s="230"/>
      <c r="S1143" s="230"/>
      <c r="T1143" s="230"/>
      <c r="U1143" s="230"/>
      <c r="V1143" s="230"/>
      <c r="W1143" s="230"/>
      <c r="X1143" s="230"/>
      <c r="Y1143" s="230"/>
      <c r="Z1143" s="230"/>
    </row>
    <row r="1144">
      <c r="O1144" s="230"/>
      <c r="S1144" s="230"/>
      <c r="T1144" s="230"/>
      <c r="U1144" s="230"/>
      <c r="V1144" s="230"/>
      <c r="W1144" s="230"/>
      <c r="X1144" s="230"/>
      <c r="Y1144" s="230"/>
      <c r="Z1144" s="230"/>
    </row>
    <row r="1145">
      <c r="O1145" s="230"/>
      <c r="S1145" s="230"/>
      <c r="T1145" s="230"/>
      <c r="U1145" s="230"/>
      <c r="V1145" s="230"/>
      <c r="W1145" s="230"/>
      <c r="X1145" s="230"/>
      <c r="Y1145" s="230"/>
      <c r="Z1145" s="230"/>
    </row>
    <row r="1146">
      <c r="O1146" s="230"/>
      <c r="S1146" s="230"/>
      <c r="T1146" s="230"/>
      <c r="U1146" s="230"/>
      <c r="V1146" s="230"/>
      <c r="W1146" s="230"/>
      <c r="X1146" s="230"/>
      <c r="Y1146" s="230"/>
      <c r="Z1146" s="230"/>
    </row>
    <row r="1147">
      <c r="O1147" s="230"/>
      <c r="S1147" s="230"/>
      <c r="T1147" s="230"/>
      <c r="U1147" s="230"/>
      <c r="V1147" s="230"/>
      <c r="W1147" s="230"/>
      <c r="X1147" s="230"/>
      <c r="Y1147" s="230"/>
      <c r="Z1147" s="230"/>
    </row>
    <row r="1148">
      <c r="O1148" s="230"/>
      <c r="S1148" s="230"/>
      <c r="T1148" s="230"/>
      <c r="U1148" s="230"/>
      <c r="V1148" s="230"/>
      <c r="W1148" s="230"/>
      <c r="X1148" s="230"/>
      <c r="Y1148" s="230"/>
      <c r="Z1148" s="230"/>
    </row>
    <row r="1149">
      <c r="O1149" s="230"/>
      <c r="S1149" s="230"/>
      <c r="T1149" s="230"/>
      <c r="U1149" s="230"/>
      <c r="V1149" s="230"/>
      <c r="W1149" s="230"/>
      <c r="X1149" s="230"/>
      <c r="Y1149" s="230"/>
      <c r="Z1149" s="230"/>
    </row>
    <row r="1150">
      <c r="O1150" s="230"/>
      <c r="S1150" s="230"/>
      <c r="T1150" s="230"/>
      <c r="U1150" s="230"/>
      <c r="V1150" s="230"/>
      <c r="W1150" s="230"/>
      <c r="X1150" s="230"/>
      <c r="Y1150" s="230"/>
      <c r="Z1150" s="230"/>
    </row>
    <row r="1151">
      <c r="O1151" s="230"/>
      <c r="S1151" s="230"/>
      <c r="T1151" s="230"/>
      <c r="U1151" s="230"/>
      <c r="V1151" s="230"/>
      <c r="W1151" s="230"/>
      <c r="X1151" s="230"/>
      <c r="Y1151" s="230"/>
      <c r="Z1151" s="230"/>
    </row>
    <row r="1152">
      <c r="O1152" s="230"/>
      <c r="S1152" s="230"/>
      <c r="T1152" s="230"/>
      <c r="U1152" s="230"/>
      <c r="V1152" s="230"/>
      <c r="W1152" s="230"/>
      <c r="X1152" s="230"/>
      <c r="Y1152" s="230"/>
      <c r="Z1152" s="230"/>
    </row>
    <row r="1153">
      <c r="O1153" s="230"/>
      <c r="S1153" s="230"/>
      <c r="T1153" s="230"/>
      <c r="U1153" s="230"/>
      <c r="V1153" s="230"/>
      <c r="W1153" s="230"/>
      <c r="X1153" s="230"/>
      <c r="Y1153" s="230"/>
      <c r="Z1153" s="230"/>
    </row>
    <row r="1154">
      <c r="O1154" s="230"/>
      <c r="S1154" s="230"/>
      <c r="T1154" s="230"/>
      <c r="U1154" s="230"/>
      <c r="V1154" s="230"/>
      <c r="W1154" s="230"/>
      <c r="X1154" s="230"/>
      <c r="Y1154" s="230"/>
      <c r="Z1154" s="230"/>
    </row>
    <row r="1155">
      <c r="O1155" s="230"/>
      <c r="S1155" s="230"/>
      <c r="T1155" s="230"/>
      <c r="U1155" s="230"/>
      <c r="V1155" s="230"/>
      <c r="W1155" s="230"/>
      <c r="X1155" s="230"/>
      <c r="Y1155" s="230"/>
      <c r="Z1155" s="230"/>
    </row>
    <row r="1156">
      <c r="O1156" s="230"/>
      <c r="S1156" s="230"/>
      <c r="T1156" s="230"/>
      <c r="U1156" s="230"/>
      <c r="V1156" s="230"/>
      <c r="W1156" s="230"/>
      <c r="X1156" s="230"/>
      <c r="Y1156" s="230"/>
      <c r="Z1156" s="230"/>
    </row>
    <row r="1157">
      <c r="O1157" s="230"/>
      <c r="S1157" s="230"/>
      <c r="T1157" s="230"/>
      <c r="U1157" s="230"/>
      <c r="V1157" s="230"/>
      <c r="W1157" s="230"/>
      <c r="X1157" s="230"/>
      <c r="Y1157" s="230"/>
      <c r="Z1157" s="230"/>
    </row>
    <row r="1158">
      <c r="O1158" s="230"/>
      <c r="S1158" s="230"/>
      <c r="T1158" s="230"/>
      <c r="U1158" s="230"/>
      <c r="V1158" s="230"/>
      <c r="W1158" s="230"/>
      <c r="X1158" s="230"/>
      <c r="Y1158" s="230"/>
      <c r="Z1158" s="230"/>
    </row>
    <row r="1159">
      <c r="O1159" s="230"/>
      <c r="S1159" s="230"/>
      <c r="T1159" s="230"/>
      <c r="U1159" s="230"/>
      <c r="V1159" s="230"/>
      <c r="W1159" s="230"/>
      <c r="X1159" s="230"/>
      <c r="Y1159" s="230"/>
      <c r="Z1159" s="230"/>
    </row>
    <row r="1160">
      <c r="O1160" s="230"/>
      <c r="S1160" s="230"/>
      <c r="T1160" s="230"/>
      <c r="U1160" s="230"/>
      <c r="V1160" s="230"/>
      <c r="W1160" s="230"/>
      <c r="X1160" s="230"/>
      <c r="Y1160" s="230"/>
      <c r="Z1160" s="230"/>
    </row>
    <row r="1161">
      <c r="O1161" s="230"/>
      <c r="S1161" s="230"/>
      <c r="T1161" s="230"/>
      <c r="U1161" s="230"/>
      <c r="V1161" s="230"/>
      <c r="W1161" s="230"/>
      <c r="X1161" s="230"/>
      <c r="Y1161" s="230"/>
      <c r="Z1161" s="230"/>
    </row>
    <row r="1162">
      <c r="O1162" s="230"/>
      <c r="S1162" s="230"/>
      <c r="T1162" s="230"/>
      <c r="U1162" s="230"/>
      <c r="V1162" s="230"/>
      <c r="W1162" s="230"/>
      <c r="X1162" s="230"/>
      <c r="Y1162" s="230"/>
      <c r="Z1162" s="230"/>
    </row>
    <row r="1163">
      <c r="O1163" s="230"/>
      <c r="S1163" s="230"/>
      <c r="T1163" s="230"/>
      <c r="U1163" s="230"/>
      <c r="V1163" s="230"/>
      <c r="W1163" s="230"/>
      <c r="X1163" s="230"/>
      <c r="Y1163" s="230"/>
      <c r="Z1163" s="230"/>
    </row>
    <row r="1164">
      <c r="O1164" s="230"/>
      <c r="S1164" s="230"/>
      <c r="T1164" s="230"/>
      <c r="U1164" s="230"/>
      <c r="V1164" s="230"/>
      <c r="W1164" s="230"/>
      <c r="X1164" s="230"/>
      <c r="Y1164" s="230"/>
      <c r="Z1164" s="230"/>
    </row>
    <row r="1165">
      <c r="O1165" s="230"/>
      <c r="S1165" s="230"/>
      <c r="T1165" s="230"/>
      <c r="U1165" s="230"/>
      <c r="V1165" s="230"/>
      <c r="W1165" s="230"/>
      <c r="X1165" s="230"/>
      <c r="Y1165" s="230"/>
      <c r="Z1165" s="230"/>
    </row>
    <row r="1166">
      <c r="O1166" s="230"/>
      <c r="S1166" s="230"/>
      <c r="T1166" s="230"/>
      <c r="U1166" s="230"/>
      <c r="V1166" s="230"/>
      <c r="W1166" s="230"/>
      <c r="X1166" s="230"/>
      <c r="Y1166" s="230"/>
      <c r="Z1166" s="230"/>
    </row>
    <row r="1167">
      <c r="O1167" s="230"/>
      <c r="S1167" s="230"/>
      <c r="T1167" s="230"/>
      <c r="U1167" s="230"/>
      <c r="V1167" s="230"/>
      <c r="W1167" s="230"/>
      <c r="X1167" s="230"/>
      <c r="Y1167" s="230"/>
      <c r="Z1167" s="230"/>
    </row>
    <row r="1168">
      <c r="O1168" s="230"/>
      <c r="S1168" s="230"/>
      <c r="T1168" s="230"/>
      <c r="U1168" s="230"/>
      <c r="V1168" s="230"/>
      <c r="W1168" s="230"/>
      <c r="X1168" s="230"/>
      <c r="Y1168" s="230"/>
      <c r="Z1168" s="230"/>
    </row>
    <row r="1169">
      <c r="O1169" s="230"/>
      <c r="S1169" s="230"/>
      <c r="T1169" s="230"/>
      <c r="U1169" s="230"/>
      <c r="V1169" s="230"/>
      <c r="W1169" s="230"/>
      <c r="X1169" s="230"/>
      <c r="Y1169" s="230"/>
      <c r="Z1169" s="230"/>
    </row>
    <row r="1170">
      <c r="O1170" s="230"/>
      <c r="S1170" s="230"/>
      <c r="T1170" s="230"/>
      <c r="U1170" s="230"/>
      <c r="V1170" s="230"/>
      <c r="W1170" s="230"/>
      <c r="X1170" s="230"/>
      <c r="Y1170" s="230"/>
      <c r="Z1170" s="230"/>
    </row>
    <row r="1171">
      <c r="O1171" s="230"/>
      <c r="S1171" s="230"/>
      <c r="T1171" s="230"/>
      <c r="U1171" s="230"/>
      <c r="V1171" s="230"/>
      <c r="W1171" s="230"/>
      <c r="X1171" s="230"/>
      <c r="Y1171" s="230"/>
      <c r="Z1171" s="230"/>
    </row>
    <row r="1172">
      <c r="O1172" s="230"/>
      <c r="S1172" s="230"/>
      <c r="T1172" s="230"/>
      <c r="U1172" s="230"/>
      <c r="V1172" s="230"/>
      <c r="W1172" s="230"/>
      <c r="X1172" s="230"/>
      <c r="Y1172" s="230"/>
      <c r="Z1172" s="230"/>
    </row>
    <row r="1173">
      <c r="O1173" s="230"/>
      <c r="S1173" s="230"/>
      <c r="T1173" s="230"/>
      <c r="U1173" s="230"/>
      <c r="V1173" s="230"/>
      <c r="W1173" s="230"/>
      <c r="X1173" s="230"/>
      <c r="Y1173" s="230"/>
      <c r="Z1173" s="230"/>
    </row>
    <row r="1174">
      <c r="O1174" s="230"/>
      <c r="S1174" s="230"/>
      <c r="T1174" s="230"/>
      <c r="U1174" s="230"/>
      <c r="V1174" s="230"/>
      <c r="W1174" s="230"/>
      <c r="X1174" s="230"/>
      <c r="Y1174" s="230"/>
      <c r="Z1174" s="230"/>
    </row>
    <row r="1175">
      <c r="O1175" s="230"/>
      <c r="S1175" s="230"/>
      <c r="T1175" s="230"/>
      <c r="U1175" s="230"/>
      <c r="V1175" s="230"/>
      <c r="W1175" s="230"/>
      <c r="X1175" s="230"/>
      <c r="Y1175" s="230"/>
      <c r="Z1175" s="230"/>
    </row>
    <row r="1176">
      <c r="O1176" s="230"/>
      <c r="S1176" s="230"/>
      <c r="T1176" s="230"/>
      <c r="U1176" s="230"/>
      <c r="V1176" s="230"/>
      <c r="W1176" s="230"/>
      <c r="X1176" s="230"/>
      <c r="Y1176" s="230"/>
      <c r="Z1176" s="230"/>
    </row>
    <row r="1177">
      <c r="O1177" s="230"/>
      <c r="S1177" s="230"/>
      <c r="T1177" s="230"/>
      <c r="U1177" s="230"/>
      <c r="V1177" s="230"/>
      <c r="W1177" s="230"/>
      <c r="X1177" s="230"/>
      <c r="Y1177" s="230"/>
      <c r="Z1177" s="230"/>
    </row>
    <row r="1178">
      <c r="O1178" s="230"/>
      <c r="S1178" s="230"/>
      <c r="T1178" s="230"/>
      <c r="U1178" s="230"/>
      <c r="V1178" s="230"/>
      <c r="W1178" s="230"/>
      <c r="X1178" s="230"/>
      <c r="Y1178" s="230"/>
      <c r="Z1178" s="230"/>
    </row>
    <row r="1179">
      <c r="O1179" s="230"/>
      <c r="S1179" s="230"/>
      <c r="T1179" s="230"/>
      <c r="U1179" s="230"/>
      <c r="V1179" s="230"/>
      <c r="W1179" s="230"/>
      <c r="X1179" s="230"/>
      <c r="Y1179" s="230"/>
      <c r="Z1179" s="230"/>
    </row>
    <row r="1180">
      <c r="O1180" s="230"/>
      <c r="S1180" s="230"/>
      <c r="T1180" s="230"/>
      <c r="U1180" s="230"/>
      <c r="V1180" s="230"/>
      <c r="W1180" s="230"/>
      <c r="X1180" s="230"/>
      <c r="Y1180" s="230"/>
      <c r="Z1180" s="230"/>
    </row>
    <row r="1181">
      <c r="O1181" s="230"/>
      <c r="S1181" s="230"/>
      <c r="T1181" s="230"/>
      <c r="U1181" s="230"/>
      <c r="V1181" s="230"/>
      <c r="W1181" s="230"/>
      <c r="X1181" s="230"/>
      <c r="Y1181" s="230"/>
      <c r="Z1181" s="230"/>
    </row>
    <row r="1182">
      <c r="O1182" s="230"/>
      <c r="S1182" s="230"/>
      <c r="T1182" s="230"/>
      <c r="U1182" s="230"/>
      <c r="V1182" s="230"/>
      <c r="W1182" s="230"/>
      <c r="X1182" s="230"/>
      <c r="Y1182" s="230"/>
      <c r="Z1182" s="230"/>
    </row>
    <row r="1183">
      <c r="O1183" s="230"/>
      <c r="S1183" s="230"/>
      <c r="T1183" s="230"/>
      <c r="U1183" s="230"/>
      <c r="V1183" s="230"/>
      <c r="W1183" s="230"/>
      <c r="X1183" s="230"/>
      <c r="Y1183" s="230"/>
      <c r="Z1183" s="230"/>
    </row>
    <row r="1184">
      <c r="O1184" s="230"/>
      <c r="S1184" s="230"/>
      <c r="T1184" s="230"/>
      <c r="U1184" s="230"/>
      <c r="V1184" s="230"/>
      <c r="W1184" s="230"/>
      <c r="X1184" s="230"/>
      <c r="Y1184" s="230"/>
      <c r="Z1184" s="230"/>
    </row>
    <row r="1185">
      <c r="O1185" s="230"/>
      <c r="S1185" s="230"/>
      <c r="T1185" s="230"/>
      <c r="U1185" s="230"/>
      <c r="V1185" s="230"/>
      <c r="W1185" s="230"/>
      <c r="X1185" s="230"/>
      <c r="Y1185" s="230"/>
      <c r="Z1185" s="230"/>
    </row>
    <row r="1186">
      <c r="O1186" s="230"/>
      <c r="S1186" s="230"/>
      <c r="T1186" s="230"/>
      <c r="U1186" s="230"/>
      <c r="V1186" s="230"/>
      <c r="W1186" s="230"/>
      <c r="X1186" s="230"/>
      <c r="Y1186" s="230"/>
      <c r="Z1186" s="230"/>
    </row>
    <row r="1187">
      <c r="O1187" s="230"/>
      <c r="S1187" s="230"/>
      <c r="T1187" s="230"/>
      <c r="U1187" s="230"/>
      <c r="V1187" s="230"/>
      <c r="W1187" s="230"/>
      <c r="X1187" s="230"/>
      <c r="Y1187" s="230"/>
      <c r="Z1187" s="230"/>
    </row>
    <row r="1188">
      <c r="O1188" s="230"/>
      <c r="S1188" s="230"/>
      <c r="T1188" s="230"/>
      <c r="U1188" s="230"/>
      <c r="V1188" s="230"/>
      <c r="W1188" s="230"/>
      <c r="X1188" s="230"/>
      <c r="Y1188" s="230"/>
      <c r="Z1188" s="230"/>
    </row>
    <row r="1189">
      <c r="O1189" s="230"/>
      <c r="S1189" s="230"/>
      <c r="T1189" s="230"/>
      <c r="U1189" s="230"/>
      <c r="V1189" s="230"/>
      <c r="W1189" s="230"/>
      <c r="X1189" s="230"/>
      <c r="Y1189" s="230"/>
      <c r="Z1189" s="230"/>
    </row>
    <row r="1190">
      <c r="O1190" s="230"/>
      <c r="S1190" s="230"/>
      <c r="T1190" s="230"/>
      <c r="U1190" s="230"/>
      <c r="V1190" s="230"/>
      <c r="W1190" s="230"/>
      <c r="X1190" s="230"/>
      <c r="Y1190" s="230"/>
      <c r="Z1190" s="230"/>
    </row>
    <row r="1191">
      <c r="O1191" s="230"/>
      <c r="S1191" s="230"/>
      <c r="T1191" s="230"/>
      <c r="U1191" s="230"/>
      <c r="V1191" s="230"/>
      <c r="W1191" s="230"/>
      <c r="X1191" s="230"/>
      <c r="Y1191" s="230"/>
      <c r="Z1191" s="230"/>
    </row>
    <row r="1192">
      <c r="O1192" s="230"/>
      <c r="S1192" s="230"/>
      <c r="T1192" s="230"/>
      <c r="U1192" s="230"/>
      <c r="V1192" s="230"/>
      <c r="W1192" s="230"/>
      <c r="X1192" s="230"/>
      <c r="Y1192" s="230"/>
      <c r="Z1192" s="230"/>
    </row>
    <row r="1193">
      <c r="O1193" s="230"/>
      <c r="S1193" s="230"/>
      <c r="T1193" s="230"/>
      <c r="U1193" s="230"/>
      <c r="V1193" s="230"/>
      <c r="W1193" s="230"/>
      <c r="X1193" s="230"/>
      <c r="Y1193" s="230"/>
      <c r="Z1193" s="230"/>
    </row>
    <row r="1194">
      <c r="O1194" s="230"/>
      <c r="S1194" s="230"/>
      <c r="T1194" s="230"/>
      <c r="U1194" s="230"/>
      <c r="V1194" s="230"/>
      <c r="W1194" s="230"/>
      <c r="X1194" s="230"/>
      <c r="Y1194" s="230"/>
      <c r="Z1194" s="230"/>
    </row>
    <row r="1195">
      <c r="O1195" s="230"/>
      <c r="S1195" s="230"/>
      <c r="T1195" s="230"/>
      <c r="U1195" s="230"/>
      <c r="V1195" s="230"/>
      <c r="W1195" s="230"/>
      <c r="X1195" s="230"/>
      <c r="Y1195" s="230"/>
      <c r="Z1195" s="230"/>
    </row>
    <row r="1196">
      <c r="O1196" s="230"/>
      <c r="S1196" s="230"/>
      <c r="T1196" s="230"/>
      <c r="U1196" s="230"/>
      <c r="V1196" s="230"/>
      <c r="W1196" s="230"/>
      <c r="X1196" s="230"/>
      <c r="Y1196" s="230"/>
      <c r="Z1196" s="230"/>
    </row>
    <row r="1197">
      <c r="O1197" s="230"/>
      <c r="S1197" s="230"/>
      <c r="T1197" s="230"/>
      <c r="U1197" s="230"/>
      <c r="V1197" s="230"/>
      <c r="W1197" s="230"/>
      <c r="X1197" s="230"/>
      <c r="Y1197" s="230"/>
      <c r="Z1197" s="230"/>
    </row>
    <row r="1198">
      <c r="O1198" s="230"/>
      <c r="S1198" s="230"/>
      <c r="T1198" s="230"/>
      <c r="U1198" s="230"/>
      <c r="V1198" s="230"/>
      <c r="W1198" s="230"/>
      <c r="X1198" s="230"/>
      <c r="Y1198" s="230"/>
      <c r="Z1198" s="230"/>
    </row>
    <row r="1199">
      <c r="O1199" s="230"/>
      <c r="S1199" s="230"/>
      <c r="T1199" s="230"/>
      <c r="U1199" s="230"/>
      <c r="V1199" s="230"/>
      <c r="W1199" s="230"/>
      <c r="X1199" s="230"/>
      <c r="Y1199" s="230"/>
      <c r="Z1199" s="230"/>
    </row>
    <row r="1200">
      <c r="O1200" s="230"/>
      <c r="S1200" s="230"/>
      <c r="T1200" s="230"/>
      <c r="U1200" s="230"/>
      <c r="V1200" s="230"/>
      <c r="W1200" s="230"/>
      <c r="X1200" s="230"/>
      <c r="Y1200" s="230"/>
      <c r="Z1200" s="230"/>
    </row>
    <row r="1201">
      <c r="O1201" s="230"/>
      <c r="S1201" s="230"/>
      <c r="T1201" s="230"/>
      <c r="U1201" s="230"/>
      <c r="V1201" s="230"/>
      <c r="W1201" s="230"/>
      <c r="X1201" s="230"/>
      <c r="Y1201" s="230"/>
      <c r="Z1201" s="230"/>
    </row>
    <row r="1202">
      <c r="O1202" s="230"/>
      <c r="S1202" s="230"/>
      <c r="T1202" s="230"/>
      <c r="U1202" s="230"/>
      <c r="V1202" s="230"/>
      <c r="W1202" s="230"/>
      <c r="X1202" s="230"/>
      <c r="Y1202" s="230"/>
      <c r="Z1202" s="230"/>
    </row>
    <row r="1203">
      <c r="O1203" s="230"/>
      <c r="S1203" s="230"/>
      <c r="T1203" s="230"/>
      <c r="U1203" s="230"/>
      <c r="V1203" s="230"/>
      <c r="W1203" s="230"/>
      <c r="X1203" s="230"/>
      <c r="Y1203" s="230"/>
      <c r="Z1203" s="230"/>
    </row>
    <row r="1204">
      <c r="O1204" s="230"/>
      <c r="S1204" s="230"/>
      <c r="T1204" s="230"/>
      <c r="U1204" s="230"/>
      <c r="V1204" s="230"/>
      <c r="W1204" s="230"/>
      <c r="X1204" s="230"/>
      <c r="Y1204" s="230"/>
      <c r="Z1204" s="230"/>
    </row>
    <row r="1205">
      <c r="O1205" s="230"/>
      <c r="S1205" s="230"/>
      <c r="T1205" s="230"/>
      <c r="U1205" s="230"/>
      <c r="V1205" s="230"/>
      <c r="W1205" s="230"/>
      <c r="X1205" s="230"/>
      <c r="Y1205" s="230"/>
      <c r="Z1205" s="230"/>
    </row>
    <row r="1206">
      <c r="O1206" s="230"/>
      <c r="S1206" s="230"/>
      <c r="T1206" s="230"/>
      <c r="U1206" s="230"/>
      <c r="V1206" s="230"/>
      <c r="W1206" s="230"/>
      <c r="X1206" s="230"/>
      <c r="Y1206" s="230"/>
      <c r="Z1206" s="230"/>
    </row>
    <row r="1207">
      <c r="O1207" s="230"/>
      <c r="S1207" s="230"/>
      <c r="T1207" s="230"/>
      <c r="U1207" s="230"/>
      <c r="V1207" s="230"/>
      <c r="W1207" s="230"/>
      <c r="X1207" s="230"/>
      <c r="Y1207" s="230"/>
      <c r="Z1207" s="230"/>
    </row>
    <row r="1208">
      <c r="O1208" s="230"/>
      <c r="S1208" s="230"/>
      <c r="T1208" s="230"/>
      <c r="U1208" s="230"/>
      <c r="V1208" s="230"/>
      <c r="W1208" s="230"/>
      <c r="X1208" s="230"/>
      <c r="Y1208" s="230"/>
      <c r="Z1208" s="230"/>
    </row>
    <row r="1209">
      <c r="O1209" s="230"/>
      <c r="S1209" s="230"/>
      <c r="T1209" s="230"/>
      <c r="U1209" s="230"/>
      <c r="V1209" s="230"/>
      <c r="W1209" s="230"/>
      <c r="X1209" s="230"/>
      <c r="Y1209" s="230"/>
      <c r="Z1209" s="230"/>
    </row>
    <row r="1210">
      <c r="O1210" s="230"/>
      <c r="S1210" s="230"/>
      <c r="T1210" s="230"/>
      <c r="U1210" s="230"/>
      <c r="V1210" s="230"/>
      <c r="W1210" s="230"/>
      <c r="X1210" s="230"/>
      <c r="Y1210" s="230"/>
      <c r="Z1210" s="230"/>
    </row>
    <row r="1211">
      <c r="O1211" s="230"/>
      <c r="S1211" s="230"/>
      <c r="T1211" s="230"/>
      <c r="U1211" s="230"/>
      <c r="V1211" s="230"/>
      <c r="W1211" s="230"/>
      <c r="X1211" s="230"/>
      <c r="Y1211" s="230"/>
      <c r="Z1211" s="230"/>
    </row>
    <row r="1212">
      <c r="O1212" s="230"/>
      <c r="S1212" s="230"/>
      <c r="T1212" s="230"/>
      <c r="U1212" s="230"/>
      <c r="V1212" s="230"/>
      <c r="W1212" s="230"/>
      <c r="X1212" s="230"/>
      <c r="Y1212" s="230"/>
      <c r="Z1212" s="230"/>
    </row>
    <row r="1213">
      <c r="O1213" s="230"/>
      <c r="S1213" s="230"/>
      <c r="T1213" s="230"/>
      <c r="U1213" s="230"/>
      <c r="V1213" s="230"/>
      <c r="W1213" s="230"/>
      <c r="X1213" s="230"/>
      <c r="Y1213" s="230"/>
      <c r="Z1213" s="230"/>
    </row>
    <row r="1214">
      <c r="O1214" s="230"/>
      <c r="S1214" s="230"/>
      <c r="T1214" s="230"/>
      <c r="U1214" s="230"/>
      <c r="V1214" s="230"/>
      <c r="W1214" s="230"/>
      <c r="X1214" s="230"/>
      <c r="Y1214" s="230"/>
      <c r="Z1214" s="230"/>
    </row>
    <row r="1215">
      <c r="O1215" s="230"/>
      <c r="S1215" s="230"/>
      <c r="T1215" s="230"/>
      <c r="U1215" s="230"/>
      <c r="V1215" s="230"/>
      <c r="W1215" s="230"/>
      <c r="X1215" s="230"/>
      <c r="Y1215" s="230"/>
      <c r="Z1215" s="230"/>
    </row>
    <row r="1216">
      <c r="O1216" s="230"/>
      <c r="S1216" s="230"/>
      <c r="T1216" s="230"/>
      <c r="U1216" s="230"/>
      <c r="V1216" s="230"/>
      <c r="W1216" s="230"/>
      <c r="X1216" s="230"/>
      <c r="Y1216" s="230"/>
      <c r="Z1216" s="230"/>
    </row>
    <row r="1217">
      <c r="O1217" s="230"/>
      <c r="S1217" s="230"/>
      <c r="T1217" s="230"/>
      <c r="U1217" s="230"/>
      <c r="V1217" s="230"/>
      <c r="W1217" s="230"/>
      <c r="X1217" s="230"/>
      <c r="Y1217" s="230"/>
      <c r="Z1217" s="230"/>
    </row>
    <row r="1218">
      <c r="O1218" s="230"/>
      <c r="S1218" s="230"/>
      <c r="T1218" s="230"/>
      <c r="U1218" s="230"/>
      <c r="V1218" s="230"/>
      <c r="W1218" s="230"/>
      <c r="X1218" s="230"/>
      <c r="Y1218" s="230"/>
      <c r="Z1218" s="230"/>
    </row>
    <row r="1219">
      <c r="O1219" s="230"/>
      <c r="S1219" s="230"/>
      <c r="T1219" s="230"/>
      <c r="U1219" s="230"/>
      <c r="V1219" s="230"/>
      <c r="W1219" s="230"/>
      <c r="X1219" s="230"/>
      <c r="Y1219" s="230"/>
      <c r="Z1219" s="230"/>
    </row>
    <row r="1220">
      <c r="O1220" s="230"/>
      <c r="S1220" s="230"/>
      <c r="T1220" s="230"/>
      <c r="U1220" s="230"/>
      <c r="V1220" s="230"/>
      <c r="W1220" s="230"/>
      <c r="X1220" s="230"/>
      <c r="Y1220" s="230"/>
      <c r="Z1220" s="230"/>
    </row>
    <row r="1221">
      <c r="O1221" s="230"/>
      <c r="S1221" s="230"/>
      <c r="T1221" s="230"/>
      <c r="U1221" s="230"/>
      <c r="V1221" s="230"/>
      <c r="W1221" s="230"/>
      <c r="X1221" s="230"/>
      <c r="Y1221" s="230"/>
      <c r="Z1221" s="230"/>
    </row>
    <row r="1222">
      <c r="O1222" s="230"/>
      <c r="S1222" s="230"/>
      <c r="T1222" s="230"/>
      <c r="U1222" s="230"/>
      <c r="V1222" s="230"/>
      <c r="W1222" s="230"/>
      <c r="X1222" s="230"/>
      <c r="Y1222" s="230"/>
      <c r="Z1222" s="230"/>
    </row>
    <row r="1223">
      <c r="O1223" s="230"/>
      <c r="S1223" s="230"/>
      <c r="T1223" s="230"/>
      <c r="U1223" s="230"/>
      <c r="V1223" s="230"/>
      <c r="W1223" s="230"/>
      <c r="X1223" s="230"/>
      <c r="Y1223" s="230"/>
      <c r="Z1223" s="230"/>
    </row>
    <row r="1224">
      <c r="O1224" s="230"/>
      <c r="S1224" s="230"/>
      <c r="T1224" s="230"/>
      <c r="U1224" s="230"/>
      <c r="V1224" s="230"/>
      <c r="W1224" s="230"/>
      <c r="X1224" s="230"/>
      <c r="Y1224" s="230"/>
      <c r="Z1224" s="230"/>
    </row>
    <row r="1225">
      <c r="O1225" s="230"/>
      <c r="S1225" s="230"/>
      <c r="T1225" s="230"/>
      <c r="U1225" s="230"/>
      <c r="V1225" s="230"/>
      <c r="W1225" s="230"/>
      <c r="X1225" s="230"/>
      <c r="Y1225" s="230"/>
      <c r="Z1225" s="230"/>
    </row>
    <row r="1226">
      <c r="O1226" s="230"/>
      <c r="S1226" s="230"/>
      <c r="T1226" s="230"/>
      <c r="U1226" s="230"/>
      <c r="V1226" s="230"/>
      <c r="W1226" s="230"/>
      <c r="X1226" s="230"/>
      <c r="Y1226" s="230"/>
      <c r="Z1226" s="230"/>
    </row>
    <row r="1227">
      <c r="O1227" s="230"/>
      <c r="S1227" s="230"/>
      <c r="T1227" s="230"/>
      <c r="U1227" s="230"/>
      <c r="V1227" s="230"/>
      <c r="W1227" s="230"/>
      <c r="X1227" s="230"/>
      <c r="Y1227" s="230"/>
      <c r="Z1227" s="230"/>
    </row>
    <row r="1228">
      <c r="O1228" s="230"/>
      <c r="S1228" s="230"/>
      <c r="T1228" s="230"/>
      <c r="U1228" s="230"/>
      <c r="V1228" s="230"/>
      <c r="W1228" s="230"/>
      <c r="X1228" s="230"/>
      <c r="Y1228" s="230"/>
      <c r="Z1228" s="230"/>
    </row>
    <row r="1229">
      <c r="O1229" s="230"/>
      <c r="S1229" s="230"/>
      <c r="T1229" s="230"/>
      <c r="U1229" s="230"/>
      <c r="V1229" s="230"/>
      <c r="W1229" s="230"/>
      <c r="X1229" s="230"/>
      <c r="Y1229" s="230"/>
      <c r="Z1229" s="230"/>
    </row>
    <row r="1230">
      <c r="O1230" s="230"/>
      <c r="S1230" s="230"/>
      <c r="T1230" s="230"/>
      <c r="U1230" s="230"/>
      <c r="V1230" s="230"/>
      <c r="W1230" s="230"/>
      <c r="X1230" s="230"/>
      <c r="Y1230" s="230"/>
      <c r="Z1230" s="230"/>
    </row>
    <row r="1231">
      <c r="O1231" s="230"/>
      <c r="S1231" s="230"/>
      <c r="T1231" s="230"/>
      <c r="U1231" s="230"/>
      <c r="V1231" s="230"/>
      <c r="W1231" s="230"/>
      <c r="X1231" s="230"/>
      <c r="Y1231" s="230"/>
      <c r="Z1231" s="230"/>
    </row>
    <row r="1232">
      <c r="O1232" s="230"/>
      <c r="S1232" s="230"/>
      <c r="T1232" s="230"/>
      <c r="U1232" s="230"/>
      <c r="V1232" s="230"/>
      <c r="W1232" s="230"/>
      <c r="X1232" s="230"/>
      <c r="Y1232" s="230"/>
      <c r="Z1232" s="230"/>
    </row>
    <row r="1233">
      <c r="O1233" s="230"/>
      <c r="S1233" s="230"/>
      <c r="T1233" s="230"/>
      <c r="U1233" s="230"/>
      <c r="V1233" s="230"/>
      <c r="W1233" s="230"/>
      <c r="X1233" s="230"/>
      <c r="Y1233" s="230"/>
      <c r="Z1233" s="230"/>
    </row>
    <row r="1234">
      <c r="O1234" s="230"/>
      <c r="S1234" s="230"/>
      <c r="T1234" s="230"/>
      <c r="U1234" s="230"/>
      <c r="V1234" s="230"/>
      <c r="W1234" s="230"/>
      <c r="X1234" s="230"/>
      <c r="Y1234" s="230"/>
      <c r="Z1234" s="230"/>
    </row>
    <row r="1235">
      <c r="O1235" s="230"/>
      <c r="S1235" s="230"/>
      <c r="T1235" s="230"/>
      <c r="U1235" s="230"/>
      <c r="V1235" s="230"/>
      <c r="W1235" s="230"/>
      <c r="X1235" s="230"/>
      <c r="Y1235" s="230"/>
      <c r="Z1235" s="230"/>
    </row>
    <row r="1236">
      <c r="O1236" s="230"/>
      <c r="S1236" s="230"/>
      <c r="T1236" s="230"/>
      <c r="U1236" s="230"/>
      <c r="V1236" s="230"/>
      <c r="W1236" s="230"/>
      <c r="X1236" s="230"/>
      <c r="Y1236" s="230"/>
      <c r="Z1236" s="230"/>
    </row>
    <row r="1237">
      <c r="O1237" s="230"/>
      <c r="S1237" s="230"/>
      <c r="T1237" s="230"/>
      <c r="U1237" s="230"/>
      <c r="V1237" s="230"/>
      <c r="W1237" s="230"/>
      <c r="X1237" s="230"/>
      <c r="Y1237" s="230"/>
      <c r="Z1237" s="230"/>
    </row>
    <row r="1238">
      <c r="O1238" s="230"/>
      <c r="S1238" s="230"/>
      <c r="T1238" s="230"/>
      <c r="U1238" s="230"/>
      <c r="V1238" s="230"/>
      <c r="W1238" s="230"/>
      <c r="X1238" s="230"/>
      <c r="Y1238" s="230"/>
      <c r="Z1238" s="230"/>
    </row>
    <row r="1239">
      <c r="O1239" s="230"/>
      <c r="S1239" s="230"/>
      <c r="T1239" s="230"/>
      <c r="U1239" s="230"/>
      <c r="V1239" s="230"/>
      <c r="W1239" s="230"/>
      <c r="X1239" s="230"/>
      <c r="Y1239" s="230"/>
      <c r="Z1239" s="230"/>
    </row>
    <row r="1240">
      <c r="O1240" s="230"/>
      <c r="S1240" s="230"/>
      <c r="T1240" s="230"/>
      <c r="U1240" s="230"/>
      <c r="V1240" s="230"/>
      <c r="W1240" s="230"/>
      <c r="X1240" s="230"/>
      <c r="Y1240" s="230"/>
      <c r="Z1240" s="230"/>
    </row>
    <row r="1241">
      <c r="O1241" s="230"/>
      <c r="S1241" s="230"/>
      <c r="T1241" s="230"/>
      <c r="U1241" s="230"/>
      <c r="V1241" s="230"/>
      <c r="W1241" s="230"/>
      <c r="X1241" s="230"/>
      <c r="Y1241" s="230"/>
      <c r="Z1241" s="230"/>
    </row>
    <row r="1242">
      <c r="O1242" s="230"/>
      <c r="S1242" s="230"/>
      <c r="T1242" s="230"/>
      <c r="U1242" s="230"/>
      <c r="V1242" s="230"/>
      <c r="W1242" s="230"/>
      <c r="X1242" s="230"/>
      <c r="Y1242" s="230"/>
      <c r="Z1242" s="230"/>
    </row>
    <row r="1243">
      <c r="O1243" s="230"/>
      <c r="S1243" s="230"/>
      <c r="T1243" s="230"/>
      <c r="U1243" s="230"/>
      <c r="V1243" s="230"/>
      <c r="W1243" s="230"/>
      <c r="X1243" s="230"/>
      <c r="Y1243" s="230"/>
      <c r="Z1243" s="230"/>
    </row>
    <row r="1244">
      <c r="O1244" s="230"/>
      <c r="S1244" s="230"/>
      <c r="T1244" s="230"/>
      <c r="U1244" s="230"/>
      <c r="V1244" s="230"/>
      <c r="W1244" s="230"/>
      <c r="X1244" s="230"/>
      <c r="Y1244" s="230"/>
      <c r="Z1244" s="230"/>
    </row>
    <row r="1245">
      <c r="O1245" s="230"/>
      <c r="S1245" s="230"/>
      <c r="T1245" s="230"/>
      <c r="U1245" s="230"/>
      <c r="V1245" s="230"/>
      <c r="W1245" s="230"/>
      <c r="X1245" s="230"/>
      <c r="Y1245" s="230"/>
      <c r="Z1245" s="230"/>
    </row>
    <row r="1246">
      <c r="O1246" s="230"/>
      <c r="S1246" s="230"/>
      <c r="T1246" s="230"/>
      <c r="U1246" s="230"/>
      <c r="V1246" s="230"/>
      <c r="W1246" s="230"/>
      <c r="X1246" s="230"/>
      <c r="Y1246" s="230"/>
      <c r="Z1246" s="230"/>
    </row>
    <row r="1247">
      <c r="O1247" s="230"/>
      <c r="S1247" s="230"/>
      <c r="T1247" s="230"/>
      <c r="U1247" s="230"/>
      <c r="V1247" s="230"/>
      <c r="W1247" s="230"/>
      <c r="X1247" s="230"/>
      <c r="Y1247" s="230"/>
      <c r="Z1247" s="230"/>
    </row>
    <row r="1248">
      <c r="O1248" s="230"/>
      <c r="S1248" s="230"/>
      <c r="T1248" s="230"/>
      <c r="U1248" s="230"/>
      <c r="V1248" s="230"/>
      <c r="W1248" s="230"/>
      <c r="X1248" s="230"/>
      <c r="Y1248" s="230"/>
      <c r="Z1248" s="230"/>
    </row>
    <row r="1249">
      <c r="O1249" s="230"/>
      <c r="S1249" s="230"/>
      <c r="T1249" s="230"/>
      <c r="U1249" s="230"/>
      <c r="V1249" s="230"/>
      <c r="W1249" s="230"/>
      <c r="X1249" s="230"/>
      <c r="Y1249" s="230"/>
      <c r="Z1249" s="230"/>
    </row>
    <row r="1250">
      <c r="O1250" s="230"/>
      <c r="S1250" s="230"/>
      <c r="T1250" s="230"/>
      <c r="U1250" s="230"/>
      <c r="V1250" s="230"/>
      <c r="W1250" s="230"/>
      <c r="X1250" s="230"/>
      <c r="Y1250" s="230"/>
      <c r="Z1250" s="230"/>
    </row>
    <row r="1251">
      <c r="O1251" s="230"/>
      <c r="S1251" s="230"/>
      <c r="T1251" s="230"/>
      <c r="U1251" s="230"/>
      <c r="V1251" s="230"/>
      <c r="W1251" s="230"/>
      <c r="X1251" s="230"/>
      <c r="Y1251" s="230"/>
      <c r="Z1251" s="230"/>
    </row>
    <row r="1252">
      <c r="O1252" s="230"/>
      <c r="S1252" s="230"/>
      <c r="T1252" s="230"/>
      <c r="U1252" s="230"/>
      <c r="V1252" s="230"/>
      <c r="W1252" s="230"/>
      <c r="X1252" s="230"/>
      <c r="Y1252" s="230"/>
      <c r="Z1252" s="230"/>
    </row>
    <row r="1253">
      <c r="O1253" s="230"/>
      <c r="S1253" s="230"/>
      <c r="T1253" s="230"/>
      <c r="U1253" s="230"/>
      <c r="V1253" s="230"/>
      <c r="W1253" s="230"/>
      <c r="X1253" s="230"/>
      <c r="Y1253" s="230"/>
      <c r="Z1253" s="230"/>
    </row>
    <row r="1254">
      <c r="O1254" s="230"/>
      <c r="S1254" s="230"/>
      <c r="T1254" s="230"/>
      <c r="U1254" s="230"/>
      <c r="V1254" s="230"/>
      <c r="W1254" s="230"/>
      <c r="X1254" s="230"/>
      <c r="Y1254" s="230"/>
      <c r="Z1254" s="230"/>
    </row>
    <row r="1255">
      <c r="O1255" s="230"/>
      <c r="S1255" s="230"/>
      <c r="T1255" s="230"/>
      <c r="U1255" s="230"/>
      <c r="V1255" s="230"/>
      <c r="W1255" s="230"/>
      <c r="X1255" s="230"/>
      <c r="Y1255" s="230"/>
      <c r="Z1255" s="230"/>
    </row>
    <row r="1256">
      <c r="O1256" s="230"/>
      <c r="S1256" s="230"/>
      <c r="T1256" s="230"/>
      <c r="U1256" s="230"/>
      <c r="V1256" s="230"/>
      <c r="W1256" s="230"/>
      <c r="X1256" s="230"/>
      <c r="Y1256" s="230"/>
      <c r="Z1256" s="230"/>
    </row>
    <row r="1257">
      <c r="O1257" s="230"/>
      <c r="S1257" s="230"/>
      <c r="T1257" s="230"/>
      <c r="U1257" s="230"/>
      <c r="V1257" s="230"/>
      <c r="W1257" s="230"/>
      <c r="X1257" s="230"/>
      <c r="Y1257" s="230"/>
      <c r="Z1257" s="230"/>
    </row>
    <row r="1258">
      <c r="O1258" s="230"/>
      <c r="S1258" s="230"/>
      <c r="T1258" s="230"/>
      <c r="U1258" s="230"/>
      <c r="V1258" s="230"/>
      <c r="W1258" s="230"/>
      <c r="X1258" s="230"/>
      <c r="Y1258" s="230"/>
      <c r="Z1258" s="230"/>
    </row>
    <row r="1259">
      <c r="O1259" s="230"/>
      <c r="S1259" s="230"/>
      <c r="T1259" s="230"/>
      <c r="U1259" s="230"/>
      <c r="V1259" s="230"/>
      <c r="W1259" s="230"/>
      <c r="X1259" s="230"/>
      <c r="Y1259" s="230"/>
      <c r="Z1259" s="230"/>
    </row>
    <row r="1260">
      <c r="O1260" s="230"/>
      <c r="S1260" s="230"/>
      <c r="T1260" s="230"/>
      <c r="U1260" s="230"/>
      <c r="V1260" s="230"/>
      <c r="W1260" s="230"/>
      <c r="X1260" s="230"/>
      <c r="Y1260" s="230"/>
      <c r="Z1260" s="230"/>
    </row>
    <row r="1261">
      <c r="O1261" s="230"/>
      <c r="S1261" s="230"/>
      <c r="T1261" s="230"/>
      <c r="U1261" s="230"/>
      <c r="V1261" s="230"/>
      <c r="W1261" s="230"/>
      <c r="X1261" s="230"/>
      <c r="Y1261" s="230"/>
      <c r="Z1261" s="230"/>
    </row>
    <row r="1262">
      <c r="O1262" s="230"/>
      <c r="S1262" s="230"/>
      <c r="T1262" s="230"/>
      <c r="U1262" s="230"/>
      <c r="V1262" s="230"/>
      <c r="W1262" s="230"/>
      <c r="X1262" s="230"/>
      <c r="Y1262" s="230"/>
      <c r="Z1262" s="230"/>
    </row>
    <row r="1263">
      <c r="O1263" s="230"/>
      <c r="S1263" s="230"/>
      <c r="T1263" s="230"/>
      <c r="U1263" s="230"/>
      <c r="V1263" s="230"/>
      <c r="W1263" s="230"/>
      <c r="X1263" s="230"/>
      <c r="Y1263" s="230"/>
      <c r="Z1263" s="230"/>
    </row>
    <row r="1264">
      <c r="O1264" s="230"/>
      <c r="S1264" s="230"/>
      <c r="T1264" s="230"/>
      <c r="U1264" s="230"/>
      <c r="V1264" s="230"/>
      <c r="W1264" s="230"/>
      <c r="X1264" s="230"/>
      <c r="Y1264" s="230"/>
      <c r="Z1264" s="230"/>
    </row>
    <row r="1265">
      <c r="O1265" s="230"/>
      <c r="S1265" s="230"/>
      <c r="T1265" s="230"/>
      <c r="U1265" s="230"/>
      <c r="V1265" s="230"/>
      <c r="W1265" s="230"/>
      <c r="X1265" s="230"/>
      <c r="Y1265" s="230"/>
      <c r="Z1265" s="230"/>
    </row>
    <row r="1266">
      <c r="O1266" s="230"/>
      <c r="S1266" s="230"/>
      <c r="T1266" s="230"/>
      <c r="U1266" s="230"/>
      <c r="V1266" s="230"/>
      <c r="W1266" s="230"/>
      <c r="X1266" s="230"/>
      <c r="Y1266" s="230"/>
      <c r="Z1266" s="230"/>
    </row>
    <row r="1267">
      <c r="O1267" s="230"/>
      <c r="S1267" s="230"/>
      <c r="T1267" s="230"/>
      <c r="U1267" s="230"/>
      <c r="V1267" s="230"/>
      <c r="W1267" s="230"/>
      <c r="X1267" s="230"/>
      <c r="Y1267" s="230"/>
      <c r="Z1267" s="230"/>
    </row>
    <row r="1268">
      <c r="O1268" s="230"/>
      <c r="S1268" s="230"/>
      <c r="T1268" s="230"/>
      <c r="U1268" s="230"/>
      <c r="V1268" s="230"/>
      <c r="W1268" s="230"/>
      <c r="X1268" s="230"/>
      <c r="Y1268" s="230"/>
      <c r="Z1268" s="230"/>
    </row>
    <row r="1269">
      <c r="O1269" s="230"/>
      <c r="S1269" s="230"/>
      <c r="T1269" s="230"/>
      <c r="U1269" s="230"/>
      <c r="V1269" s="230"/>
      <c r="W1269" s="230"/>
      <c r="X1269" s="230"/>
      <c r="Y1269" s="230"/>
      <c r="Z1269" s="230"/>
    </row>
    <row r="1270">
      <c r="O1270" s="230"/>
      <c r="S1270" s="230"/>
      <c r="T1270" s="230"/>
      <c r="U1270" s="230"/>
      <c r="V1270" s="230"/>
      <c r="W1270" s="230"/>
      <c r="X1270" s="230"/>
      <c r="Y1270" s="230"/>
      <c r="Z1270" s="230"/>
    </row>
    <row r="1271">
      <c r="O1271" s="230"/>
      <c r="S1271" s="230"/>
      <c r="T1271" s="230"/>
      <c r="U1271" s="230"/>
      <c r="V1271" s="230"/>
      <c r="W1271" s="230"/>
      <c r="X1271" s="230"/>
      <c r="Y1271" s="230"/>
      <c r="Z1271" s="230"/>
    </row>
    <row r="1272">
      <c r="O1272" s="230"/>
      <c r="S1272" s="230"/>
      <c r="T1272" s="230"/>
      <c r="U1272" s="230"/>
      <c r="V1272" s="230"/>
      <c r="W1272" s="230"/>
      <c r="X1272" s="230"/>
      <c r="Y1272" s="230"/>
      <c r="Z1272" s="230"/>
    </row>
    <row r="1273">
      <c r="O1273" s="230"/>
      <c r="S1273" s="230"/>
      <c r="T1273" s="230"/>
      <c r="U1273" s="230"/>
      <c r="V1273" s="230"/>
      <c r="W1273" s="230"/>
      <c r="X1273" s="230"/>
      <c r="Y1273" s="230"/>
      <c r="Z1273" s="230"/>
    </row>
    <row r="1274">
      <c r="O1274" s="230"/>
      <c r="S1274" s="230"/>
      <c r="T1274" s="230"/>
      <c r="U1274" s="230"/>
      <c r="V1274" s="230"/>
      <c r="W1274" s="230"/>
      <c r="X1274" s="230"/>
      <c r="Y1274" s="230"/>
      <c r="Z1274" s="230"/>
    </row>
    <row r="1275">
      <c r="O1275" s="230"/>
      <c r="S1275" s="230"/>
      <c r="T1275" s="230"/>
      <c r="U1275" s="230"/>
      <c r="V1275" s="230"/>
      <c r="W1275" s="230"/>
      <c r="X1275" s="230"/>
      <c r="Y1275" s="230"/>
      <c r="Z1275" s="230"/>
    </row>
    <row r="1276">
      <c r="O1276" s="230"/>
      <c r="S1276" s="230"/>
      <c r="T1276" s="230"/>
      <c r="U1276" s="230"/>
      <c r="V1276" s="230"/>
      <c r="W1276" s="230"/>
      <c r="X1276" s="230"/>
      <c r="Y1276" s="230"/>
      <c r="Z1276" s="230"/>
    </row>
    <row r="1277">
      <c r="O1277" s="230"/>
      <c r="S1277" s="230"/>
      <c r="T1277" s="230"/>
      <c r="U1277" s="230"/>
      <c r="V1277" s="230"/>
      <c r="W1277" s="230"/>
      <c r="X1277" s="230"/>
      <c r="Y1277" s="230"/>
      <c r="Z1277" s="230"/>
    </row>
    <row r="1278">
      <c r="O1278" s="230"/>
      <c r="S1278" s="230"/>
      <c r="T1278" s="230"/>
      <c r="U1278" s="230"/>
      <c r="V1278" s="230"/>
      <c r="W1278" s="230"/>
      <c r="X1278" s="230"/>
      <c r="Y1278" s="230"/>
      <c r="Z1278" s="230"/>
    </row>
    <row r="1279">
      <c r="O1279" s="230"/>
      <c r="S1279" s="230"/>
      <c r="T1279" s="230"/>
      <c r="U1279" s="230"/>
      <c r="V1279" s="230"/>
      <c r="W1279" s="230"/>
      <c r="X1279" s="230"/>
      <c r="Y1279" s="230"/>
      <c r="Z1279" s="230"/>
    </row>
    <row r="1280">
      <c r="O1280" s="230"/>
      <c r="S1280" s="230"/>
      <c r="T1280" s="230"/>
      <c r="U1280" s="230"/>
      <c r="V1280" s="230"/>
      <c r="W1280" s="230"/>
      <c r="X1280" s="230"/>
      <c r="Y1280" s="230"/>
      <c r="Z1280" s="230"/>
    </row>
    <row r="1281">
      <c r="O1281" s="230"/>
      <c r="S1281" s="230"/>
      <c r="T1281" s="230"/>
      <c r="U1281" s="230"/>
      <c r="V1281" s="230"/>
      <c r="W1281" s="230"/>
      <c r="X1281" s="230"/>
      <c r="Y1281" s="230"/>
      <c r="Z1281" s="230"/>
    </row>
    <row r="1282">
      <c r="O1282" s="230"/>
      <c r="S1282" s="230"/>
      <c r="T1282" s="230"/>
      <c r="U1282" s="230"/>
      <c r="V1282" s="230"/>
      <c r="W1282" s="230"/>
      <c r="X1282" s="230"/>
      <c r="Y1282" s="230"/>
      <c r="Z1282" s="230"/>
    </row>
    <row r="1283">
      <c r="O1283" s="230"/>
      <c r="S1283" s="230"/>
      <c r="T1283" s="230"/>
      <c r="U1283" s="230"/>
      <c r="V1283" s="230"/>
      <c r="W1283" s="230"/>
      <c r="X1283" s="230"/>
      <c r="Y1283" s="230"/>
      <c r="Z1283" s="230"/>
    </row>
    <row r="1284">
      <c r="O1284" s="230"/>
      <c r="S1284" s="230"/>
      <c r="T1284" s="230"/>
      <c r="U1284" s="230"/>
      <c r="V1284" s="230"/>
      <c r="W1284" s="230"/>
      <c r="X1284" s="230"/>
      <c r="Y1284" s="230"/>
      <c r="Z1284" s="230"/>
    </row>
    <row r="1285">
      <c r="O1285" s="230"/>
      <c r="S1285" s="230"/>
      <c r="T1285" s="230"/>
      <c r="U1285" s="230"/>
      <c r="V1285" s="230"/>
      <c r="W1285" s="230"/>
      <c r="X1285" s="230"/>
      <c r="Y1285" s="230"/>
      <c r="Z1285" s="230"/>
    </row>
    <row r="1286">
      <c r="O1286" s="230"/>
      <c r="S1286" s="230"/>
      <c r="T1286" s="230"/>
      <c r="U1286" s="230"/>
      <c r="V1286" s="230"/>
      <c r="W1286" s="230"/>
      <c r="X1286" s="230"/>
      <c r="Y1286" s="230"/>
      <c r="Z1286" s="230"/>
    </row>
    <row r="1287">
      <c r="O1287" s="230"/>
      <c r="S1287" s="230"/>
      <c r="T1287" s="230"/>
      <c r="U1287" s="230"/>
      <c r="V1287" s="230"/>
      <c r="W1287" s="230"/>
      <c r="X1287" s="230"/>
      <c r="Y1287" s="230"/>
      <c r="Z1287" s="230"/>
    </row>
    <row r="1288">
      <c r="O1288" s="230"/>
      <c r="S1288" s="230"/>
      <c r="T1288" s="230"/>
      <c r="U1288" s="230"/>
      <c r="V1288" s="230"/>
      <c r="W1288" s="230"/>
      <c r="X1288" s="230"/>
      <c r="Y1288" s="230"/>
      <c r="Z1288" s="230"/>
    </row>
    <row r="1289">
      <c r="O1289" s="230"/>
      <c r="S1289" s="230"/>
      <c r="T1289" s="230"/>
      <c r="U1289" s="230"/>
      <c r="V1289" s="230"/>
      <c r="W1289" s="230"/>
      <c r="X1289" s="230"/>
      <c r="Y1289" s="230"/>
      <c r="Z1289" s="230"/>
    </row>
    <row r="1290">
      <c r="O1290" s="230"/>
      <c r="S1290" s="230"/>
      <c r="T1290" s="230"/>
      <c r="U1290" s="230"/>
      <c r="V1290" s="230"/>
      <c r="W1290" s="230"/>
      <c r="X1290" s="230"/>
      <c r="Y1290" s="230"/>
      <c r="Z1290" s="230"/>
    </row>
    <row r="1291">
      <c r="O1291" s="230"/>
      <c r="S1291" s="230"/>
      <c r="T1291" s="230"/>
      <c r="U1291" s="230"/>
      <c r="V1291" s="230"/>
      <c r="W1291" s="230"/>
      <c r="X1291" s="230"/>
      <c r="Y1291" s="230"/>
      <c r="Z1291" s="230"/>
    </row>
    <row r="1292">
      <c r="O1292" s="230"/>
      <c r="S1292" s="230"/>
      <c r="T1292" s="230"/>
      <c r="U1292" s="230"/>
      <c r="V1292" s="230"/>
      <c r="W1292" s="230"/>
      <c r="X1292" s="230"/>
      <c r="Y1292" s="230"/>
      <c r="Z1292" s="230"/>
    </row>
    <row r="1293">
      <c r="O1293" s="230"/>
      <c r="S1293" s="230"/>
      <c r="T1293" s="230"/>
      <c r="U1293" s="230"/>
      <c r="V1293" s="230"/>
      <c r="W1293" s="230"/>
      <c r="X1293" s="230"/>
      <c r="Y1293" s="230"/>
      <c r="Z1293" s="230"/>
    </row>
    <row r="1294">
      <c r="O1294" s="230"/>
      <c r="S1294" s="230"/>
      <c r="T1294" s="230"/>
      <c r="U1294" s="230"/>
      <c r="V1294" s="230"/>
      <c r="W1294" s="230"/>
      <c r="X1294" s="230"/>
      <c r="Y1294" s="230"/>
      <c r="Z1294" s="230"/>
    </row>
    <row r="1295">
      <c r="O1295" s="230"/>
      <c r="S1295" s="230"/>
      <c r="T1295" s="230"/>
      <c r="U1295" s="230"/>
      <c r="V1295" s="230"/>
      <c r="W1295" s="230"/>
      <c r="X1295" s="230"/>
      <c r="Y1295" s="230"/>
      <c r="Z1295" s="230"/>
    </row>
    <row r="1296">
      <c r="O1296" s="230"/>
      <c r="S1296" s="230"/>
      <c r="T1296" s="230"/>
      <c r="U1296" s="230"/>
      <c r="V1296" s="230"/>
      <c r="W1296" s="230"/>
      <c r="X1296" s="230"/>
      <c r="Y1296" s="230"/>
      <c r="Z1296" s="230"/>
    </row>
    <row r="1297">
      <c r="O1297" s="230"/>
      <c r="S1297" s="230"/>
      <c r="T1297" s="230"/>
      <c r="U1297" s="230"/>
      <c r="V1297" s="230"/>
      <c r="W1297" s="230"/>
      <c r="X1297" s="230"/>
      <c r="Y1297" s="230"/>
      <c r="Z1297" s="230"/>
    </row>
    <row r="1298">
      <c r="O1298" s="230"/>
      <c r="S1298" s="230"/>
      <c r="T1298" s="230"/>
      <c r="U1298" s="230"/>
      <c r="V1298" s="230"/>
      <c r="W1298" s="230"/>
      <c r="X1298" s="230"/>
      <c r="Y1298" s="230"/>
      <c r="Z1298" s="230"/>
    </row>
    <row r="1299">
      <c r="O1299" s="230"/>
      <c r="S1299" s="230"/>
      <c r="T1299" s="230"/>
      <c r="U1299" s="230"/>
      <c r="V1299" s="230"/>
      <c r="W1299" s="230"/>
      <c r="X1299" s="230"/>
      <c r="Y1299" s="230"/>
      <c r="Z1299" s="230"/>
    </row>
    <row r="1300">
      <c r="O1300" s="230"/>
      <c r="S1300" s="230"/>
      <c r="T1300" s="230"/>
      <c r="U1300" s="230"/>
      <c r="V1300" s="230"/>
      <c r="W1300" s="230"/>
      <c r="X1300" s="230"/>
      <c r="Y1300" s="230"/>
      <c r="Z1300" s="230"/>
    </row>
    <row r="1301">
      <c r="O1301" s="230"/>
      <c r="S1301" s="230"/>
      <c r="T1301" s="230"/>
      <c r="U1301" s="230"/>
      <c r="V1301" s="230"/>
      <c r="W1301" s="230"/>
      <c r="X1301" s="230"/>
      <c r="Y1301" s="230"/>
      <c r="Z1301" s="230"/>
    </row>
    <row r="1302">
      <c r="O1302" s="230"/>
      <c r="S1302" s="230"/>
      <c r="T1302" s="230"/>
      <c r="U1302" s="230"/>
      <c r="V1302" s="230"/>
      <c r="W1302" s="230"/>
      <c r="X1302" s="230"/>
      <c r="Y1302" s="230"/>
      <c r="Z1302" s="230"/>
    </row>
    <row r="1303">
      <c r="O1303" s="230"/>
      <c r="S1303" s="230"/>
      <c r="T1303" s="230"/>
      <c r="U1303" s="230"/>
      <c r="V1303" s="230"/>
      <c r="W1303" s="230"/>
      <c r="X1303" s="230"/>
      <c r="Y1303" s="230"/>
      <c r="Z1303" s="230"/>
    </row>
    <row r="1304">
      <c r="O1304" s="230"/>
      <c r="S1304" s="230"/>
      <c r="T1304" s="230"/>
      <c r="U1304" s="230"/>
      <c r="V1304" s="230"/>
      <c r="W1304" s="230"/>
      <c r="X1304" s="230"/>
      <c r="Y1304" s="230"/>
      <c r="Z1304" s="230"/>
    </row>
    <row r="1305">
      <c r="O1305" s="230"/>
      <c r="S1305" s="230"/>
      <c r="T1305" s="230"/>
      <c r="U1305" s="230"/>
      <c r="V1305" s="230"/>
      <c r="W1305" s="230"/>
      <c r="X1305" s="230"/>
      <c r="Y1305" s="230"/>
      <c r="Z1305" s="230"/>
    </row>
    <row r="1306">
      <c r="O1306" s="230"/>
      <c r="S1306" s="230"/>
      <c r="T1306" s="230"/>
      <c r="U1306" s="230"/>
      <c r="V1306" s="230"/>
      <c r="W1306" s="230"/>
      <c r="X1306" s="230"/>
      <c r="Y1306" s="230"/>
      <c r="Z1306" s="230"/>
    </row>
    <row r="1307">
      <c r="O1307" s="230"/>
      <c r="S1307" s="230"/>
      <c r="T1307" s="230"/>
      <c r="U1307" s="230"/>
      <c r="V1307" s="230"/>
      <c r="W1307" s="230"/>
      <c r="X1307" s="230"/>
      <c r="Y1307" s="230"/>
      <c r="Z1307" s="230"/>
    </row>
    <row r="1308">
      <c r="O1308" s="230"/>
      <c r="S1308" s="230"/>
      <c r="T1308" s="230"/>
      <c r="U1308" s="230"/>
      <c r="V1308" s="230"/>
      <c r="W1308" s="230"/>
      <c r="X1308" s="230"/>
      <c r="Y1308" s="230"/>
      <c r="Z1308" s="230"/>
    </row>
    <row r="1309">
      <c r="O1309" s="230"/>
      <c r="S1309" s="230"/>
      <c r="T1309" s="230"/>
      <c r="U1309" s="230"/>
      <c r="V1309" s="230"/>
      <c r="W1309" s="230"/>
      <c r="X1309" s="230"/>
      <c r="Y1309" s="230"/>
      <c r="Z1309" s="230"/>
    </row>
    <row r="1310">
      <c r="O1310" s="230"/>
      <c r="S1310" s="230"/>
      <c r="T1310" s="230"/>
      <c r="U1310" s="230"/>
      <c r="V1310" s="230"/>
      <c r="W1310" s="230"/>
      <c r="X1310" s="230"/>
      <c r="Y1310" s="230"/>
      <c r="Z1310" s="230"/>
    </row>
    <row r="1311">
      <c r="O1311" s="230"/>
      <c r="S1311" s="230"/>
      <c r="T1311" s="230"/>
      <c r="U1311" s="230"/>
      <c r="V1311" s="230"/>
      <c r="W1311" s="230"/>
      <c r="X1311" s="230"/>
      <c r="Y1311" s="230"/>
      <c r="Z1311" s="230"/>
    </row>
    <row r="1312">
      <c r="O1312" s="230"/>
      <c r="S1312" s="230"/>
      <c r="T1312" s="230"/>
      <c r="U1312" s="230"/>
      <c r="V1312" s="230"/>
      <c r="W1312" s="230"/>
      <c r="X1312" s="230"/>
      <c r="Y1312" s="230"/>
      <c r="Z1312" s="230"/>
    </row>
    <row r="1313">
      <c r="O1313" s="230"/>
      <c r="S1313" s="230"/>
      <c r="T1313" s="230"/>
      <c r="U1313" s="230"/>
      <c r="V1313" s="230"/>
      <c r="W1313" s="230"/>
      <c r="X1313" s="230"/>
      <c r="Y1313" s="230"/>
      <c r="Z1313" s="230"/>
    </row>
    <row r="1314">
      <c r="O1314" s="230"/>
      <c r="S1314" s="230"/>
      <c r="T1314" s="230"/>
      <c r="U1314" s="230"/>
      <c r="V1314" s="230"/>
      <c r="W1314" s="230"/>
      <c r="X1314" s="230"/>
      <c r="Y1314" s="230"/>
      <c r="Z1314" s="230"/>
    </row>
    <row r="1315">
      <c r="O1315" s="230"/>
      <c r="S1315" s="230"/>
      <c r="T1315" s="230"/>
      <c r="U1315" s="230"/>
      <c r="V1315" s="230"/>
      <c r="W1315" s="230"/>
      <c r="X1315" s="230"/>
      <c r="Y1315" s="230"/>
      <c r="Z1315" s="230"/>
    </row>
    <row r="1316">
      <c r="O1316" s="230"/>
      <c r="S1316" s="230"/>
      <c r="T1316" s="230"/>
      <c r="U1316" s="230"/>
      <c r="V1316" s="230"/>
      <c r="W1316" s="230"/>
      <c r="X1316" s="230"/>
      <c r="Y1316" s="230"/>
      <c r="Z1316" s="230"/>
    </row>
    <row r="1317">
      <c r="O1317" s="230"/>
      <c r="S1317" s="230"/>
      <c r="T1317" s="230"/>
      <c r="U1317" s="230"/>
      <c r="V1317" s="230"/>
      <c r="W1317" s="230"/>
      <c r="X1317" s="230"/>
      <c r="Y1317" s="230"/>
      <c r="Z1317" s="230"/>
    </row>
    <row r="1318">
      <c r="O1318" s="230"/>
      <c r="S1318" s="230"/>
      <c r="T1318" s="230"/>
      <c r="U1318" s="230"/>
      <c r="V1318" s="230"/>
      <c r="W1318" s="230"/>
      <c r="X1318" s="230"/>
      <c r="Y1318" s="230"/>
      <c r="Z1318" s="230"/>
    </row>
    <row r="1319">
      <c r="O1319" s="230"/>
      <c r="S1319" s="230"/>
      <c r="T1319" s="230"/>
      <c r="U1319" s="230"/>
      <c r="V1319" s="230"/>
      <c r="W1319" s="230"/>
      <c r="X1319" s="230"/>
      <c r="Y1319" s="230"/>
      <c r="Z1319" s="230"/>
    </row>
    <row r="1320">
      <c r="O1320" s="230"/>
      <c r="S1320" s="230"/>
      <c r="T1320" s="230"/>
      <c r="U1320" s="230"/>
      <c r="V1320" s="230"/>
      <c r="W1320" s="230"/>
      <c r="X1320" s="230"/>
      <c r="Y1320" s="230"/>
      <c r="Z1320" s="230"/>
    </row>
    <row r="1321">
      <c r="O1321" s="230"/>
      <c r="S1321" s="230"/>
      <c r="T1321" s="230"/>
      <c r="U1321" s="230"/>
      <c r="V1321" s="230"/>
      <c r="W1321" s="230"/>
      <c r="X1321" s="230"/>
      <c r="Y1321" s="230"/>
      <c r="Z1321" s="230"/>
    </row>
    <row r="1322">
      <c r="O1322" s="230"/>
      <c r="S1322" s="230"/>
      <c r="T1322" s="230"/>
      <c r="U1322" s="230"/>
      <c r="V1322" s="230"/>
      <c r="W1322" s="230"/>
      <c r="X1322" s="230"/>
      <c r="Y1322" s="230"/>
      <c r="Z1322" s="230"/>
    </row>
    <row r="1323">
      <c r="O1323" s="230"/>
      <c r="S1323" s="230"/>
      <c r="T1323" s="230"/>
      <c r="U1323" s="230"/>
      <c r="V1323" s="230"/>
      <c r="W1323" s="230"/>
      <c r="X1323" s="230"/>
      <c r="Y1323" s="230"/>
      <c r="Z1323" s="230"/>
    </row>
    <row r="1324">
      <c r="O1324" s="230"/>
      <c r="S1324" s="230"/>
      <c r="T1324" s="230"/>
      <c r="U1324" s="230"/>
      <c r="V1324" s="230"/>
      <c r="W1324" s="230"/>
      <c r="X1324" s="230"/>
      <c r="Y1324" s="230"/>
      <c r="Z1324" s="230"/>
    </row>
    <row r="1325">
      <c r="O1325" s="230"/>
      <c r="S1325" s="230"/>
      <c r="T1325" s="230"/>
      <c r="U1325" s="230"/>
      <c r="V1325" s="230"/>
      <c r="W1325" s="230"/>
      <c r="X1325" s="230"/>
      <c r="Y1325" s="230"/>
      <c r="Z1325" s="230"/>
    </row>
    <row r="1326">
      <c r="O1326" s="230"/>
      <c r="S1326" s="230"/>
      <c r="T1326" s="230"/>
      <c r="U1326" s="230"/>
      <c r="V1326" s="230"/>
      <c r="W1326" s="230"/>
      <c r="X1326" s="230"/>
      <c r="Y1326" s="230"/>
      <c r="Z1326" s="230"/>
    </row>
    <row r="1327">
      <c r="O1327" s="230"/>
      <c r="S1327" s="230"/>
      <c r="T1327" s="230"/>
      <c r="U1327" s="230"/>
      <c r="V1327" s="230"/>
      <c r="W1327" s="230"/>
      <c r="X1327" s="230"/>
      <c r="Y1327" s="230"/>
      <c r="Z1327" s="230"/>
    </row>
    <row r="1328">
      <c r="O1328" s="230"/>
      <c r="S1328" s="230"/>
      <c r="T1328" s="230"/>
      <c r="U1328" s="230"/>
      <c r="V1328" s="230"/>
      <c r="W1328" s="230"/>
      <c r="X1328" s="230"/>
      <c r="Y1328" s="230"/>
      <c r="Z1328" s="230"/>
    </row>
    <row r="1329">
      <c r="O1329" s="230"/>
      <c r="S1329" s="230"/>
      <c r="T1329" s="230"/>
      <c r="U1329" s="230"/>
      <c r="V1329" s="230"/>
      <c r="W1329" s="230"/>
      <c r="X1329" s="230"/>
      <c r="Y1329" s="230"/>
      <c r="Z1329" s="230"/>
    </row>
    <row r="1330">
      <c r="O1330" s="230"/>
      <c r="S1330" s="230"/>
      <c r="T1330" s="230"/>
      <c r="U1330" s="230"/>
      <c r="V1330" s="230"/>
      <c r="W1330" s="230"/>
      <c r="X1330" s="230"/>
      <c r="Y1330" s="230"/>
      <c r="Z1330" s="230"/>
    </row>
    <row r="1331">
      <c r="O1331" s="230"/>
      <c r="S1331" s="230"/>
      <c r="T1331" s="230"/>
      <c r="U1331" s="230"/>
      <c r="V1331" s="230"/>
      <c r="W1331" s="230"/>
      <c r="X1331" s="230"/>
      <c r="Y1331" s="230"/>
      <c r="Z1331" s="230"/>
    </row>
    <row r="1332">
      <c r="O1332" s="230"/>
      <c r="S1332" s="230"/>
      <c r="T1332" s="230"/>
      <c r="U1332" s="230"/>
      <c r="V1332" s="230"/>
      <c r="W1332" s="230"/>
      <c r="X1332" s="230"/>
      <c r="Y1332" s="230"/>
      <c r="Z1332" s="230"/>
    </row>
    <row r="1333">
      <c r="O1333" s="230"/>
      <c r="S1333" s="230"/>
      <c r="T1333" s="230"/>
      <c r="U1333" s="230"/>
      <c r="V1333" s="230"/>
      <c r="W1333" s="230"/>
      <c r="X1333" s="230"/>
      <c r="Y1333" s="230"/>
      <c r="Z1333" s="230"/>
    </row>
    <row r="1334">
      <c r="O1334" s="230"/>
      <c r="S1334" s="230"/>
      <c r="T1334" s="230"/>
      <c r="U1334" s="230"/>
      <c r="V1334" s="230"/>
      <c r="W1334" s="230"/>
      <c r="X1334" s="230"/>
      <c r="Y1334" s="230"/>
      <c r="Z1334" s="230"/>
    </row>
    <row r="1335">
      <c r="O1335" s="230"/>
      <c r="S1335" s="230"/>
      <c r="T1335" s="230"/>
      <c r="U1335" s="230"/>
      <c r="V1335" s="230"/>
      <c r="W1335" s="230"/>
      <c r="X1335" s="230"/>
      <c r="Y1335" s="230"/>
      <c r="Z1335" s="230"/>
    </row>
    <row r="1336">
      <c r="O1336" s="230"/>
      <c r="S1336" s="230"/>
      <c r="T1336" s="230"/>
      <c r="U1336" s="230"/>
      <c r="V1336" s="230"/>
      <c r="W1336" s="230"/>
      <c r="X1336" s="230"/>
      <c r="Y1336" s="230"/>
      <c r="Z1336" s="230"/>
    </row>
    <row r="1337">
      <c r="O1337" s="230"/>
      <c r="S1337" s="230"/>
      <c r="T1337" s="230"/>
      <c r="U1337" s="230"/>
      <c r="V1337" s="230"/>
      <c r="W1337" s="230"/>
      <c r="X1337" s="230"/>
      <c r="Y1337" s="230"/>
      <c r="Z1337" s="230"/>
    </row>
    <row r="1338">
      <c r="O1338" s="230"/>
      <c r="S1338" s="230"/>
      <c r="T1338" s="230"/>
      <c r="U1338" s="230"/>
      <c r="V1338" s="230"/>
      <c r="W1338" s="230"/>
      <c r="X1338" s="230"/>
      <c r="Y1338" s="230"/>
      <c r="Z1338" s="230"/>
    </row>
    <row r="1339">
      <c r="O1339" s="230"/>
      <c r="S1339" s="230"/>
      <c r="T1339" s="230"/>
      <c r="U1339" s="230"/>
      <c r="V1339" s="230"/>
      <c r="W1339" s="230"/>
      <c r="X1339" s="230"/>
      <c r="Y1339" s="230"/>
      <c r="Z1339" s="230"/>
    </row>
    <row r="1340">
      <c r="O1340" s="230"/>
      <c r="S1340" s="230"/>
      <c r="T1340" s="230"/>
      <c r="U1340" s="230"/>
      <c r="V1340" s="230"/>
      <c r="W1340" s="230"/>
      <c r="X1340" s="230"/>
      <c r="Y1340" s="230"/>
      <c r="Z1340" s="230"/>
    </row>
    <row r="1341">
      <c r="O1341" s="230"/>
      <c r="S1341" s="230"/>
      <c r="T1341" s="230"/>
      <c r="U1341" s="230"/>
      <c r="V1341" s="230"/>
      <c r="W1341" s="230"/>
      <c r="X1341" s="230"/>
      <c r="Y1341" s="230"/>
      <c r="Z1341" s="230"/>
    </row>
    <row r="1342">
      <c r="O1342" s="230"/>
      <c r="S1342" s="230"/>
      <c r="T1342" s="230"/>
      <c r="U1342" s="230"/>
      <c r="V1342" s="230"/>
      <c r="W1342" s="230"/>
      <c r="X1342" s="230"/>
      <c r="Y1342" s="230"/>
      <c r="Z1342" s="230"/>
    </row>
    <row r="1343">
      <c r="O1343" s="230"/>
      <c r="S1343" s="230"/>
      <c r="T1343" s="230"/>
      <c r="U1343" s="230"/>
      <c r="V1343" s="230"/>
      <c r="W1343" s="230"/>
      <c r="X1343" s="230"/>
      <c r="Y1343" s="230"/>
      <c r="Z1343" s="230"/>
    </row>
    <row r="1344">
      <c r="O1344" s="230"/>
      <c r="S1344" s="230"/>
      <c r="T1344" s="230"/>
      <c r="U1344" s="230"/>
      <c r="V1344" s="230"/>
      <c r="W1344" s="230"/>
      <c r="X1344" s="230"/>
      <c r="Y1344" s="230"/>
      <c r="Z1344" s="230"/>
    </row>
    <row r="1345">
      <c r="O1345" s="230"/>
      <c r="S1345" s="230"/>
      <c r="T1345" s="230"/>
      <c r="U1345" s="230"/>
      <c r="V1345" s="230"/>
      <c r="W1345" s="230"/>
      <c r="X1345" s="230"/>
      <c r="Y1345" s="230"/>
      <c r="Z1345" s="230"/>
    </row>
    <row r="1346">
      <c r="O1346" s="230"/>
      <c r="S1346" s="230"/>
      <c r="T1346" s="230"/>
      <c r="U1346" s="230"/>
      <c r="V1346" s="230"/>
      <c r="W1346" s="230"/>
      <c r="X1346" s="230"/>
      <c r="Y1346" s="230"/>
      <c r="Z1346" s="230"/>
    </row>
    <row r="1347">
      <c r="O1347" s="230"/>
      <c r="S1347" s="230"/>
      <c r="T1347" s="230"/>
      <c r="U1347" s="230"/>
      <c r="V1347" s="230"/>
      <c r="W1347" s="230"/>
      <c r="X1347" s="230"/>
      <c r="Y1347" s="230"/>
      <c r="Z1347" s="230"/>
    </row>
    <row r="1348">
      <c r="O1348" s="230"/>
      <c r="S1348" s="230"/>
      <c r="T1348" s="230"/>
      <c r="U1348" s="230"/>
      <c r="V1348" s="230"/>
      <c r="W1348" s="230"/>
      <c r="X1348" s="230"/>
      <c r="Y1348" s="230"/>
      <c r="Z1348" s="230"/>
    </row>
    <row r="1349">
      <c r="O1349" s="230"/>
      <c r="S1349" s="230"/>
      <c r="T1349" s="230"/>
      <c r="U1349" s="230"/>
      <c r="V1349" s="230"/>
      <c r="W1349" s="230"/>
      <c r="X1349" s="230"/>
      <c r="Y1349" s="230"/>
      <c r="Z1349" s="230"/>
    </row>
    <row r="1350">
      <c r="O1350" s="230"/>
      <c r="S1350" s="230"/>
      <c r="T1350" s="230"/>
      <c r="U1350" s="230"/>
      <c r="V1350" s="230"/>
      <c r="W1350" s="230"/>
      <c r="X1350" s="230"/>
      <c r="Y1350" s="230"/>
      <c r="Z1350" s="230"/>
    </row>
    <row r="1351">
      <c r="O1351" s="230"/>
      <c r="S1351" s="230"/>
      <c r="T1351" s="230"/>
      <c r="U1351" s="230"/>
      <c r="V1351" s="230"/>
      <c r="W1351" s="230"/>
      <c r="X1351" s="230"/>
      <c r="Y1351" s="230"/>
      <c r="Z1351" s="230"/>
    </row>
    <row r="1352">
      <c r="O1352" s="230"/>
      <c r="S1352" s="230"/>
      <c r="T1352" s="230"/>
      <c r="U1352" s="230"/>
      <c r="V1352" s="230"/>
      <c r="W1352" s="230"/>
      <c r="X1352" s="230"/>
      <c r="Y1352" s="230"/>
      <c r="Z1352" s="230"/>
    </row>
    <row r="1353">
      <c r="O1353" s="230"/>
      <c r="S1353" s="230"/>
      <c r="T1353" s="230"/>
      <c r="U1353" s="230"/>
      <c r="V1353" s="230"/>
      <c r="W1353" s="230"/>
      <c r="X1353" s="230"/>
      <c r="Y1353" s="230"/>
      <c r="Z1353" s="230"/>
    </row>
    <row r="1354">
      <c r="O1354" s="230"/>
      <c r="S1354" s="230"/>
      <c r="T1354" s="230"/>
      <c r="U1354" s="230"/>
      <c r="V1354" s="230"/>
      <c r="W1354" s="230"/>
      <c r="X1354" s="230"/>
      <c r="Y1354" s="230"/>
      <c r="Z1354" s="230"/>
    </row>
    <row r="1355">
      <c r="O1355" s="230"/>
      <c r="S1355" s="230"/>
      <c r="T1355" s="230"/>
      <c r="U1355" s="230"/>
      <c r="V1355" s="230"/>
      <c r="W1355" s="230"/>
      <c r="X1355" s="230"/>
      <c r="Y1355" s="230"/>
      <c r="Z1355" s="230"/>
    </row>
    <row r="1356">
      <c r="O1356" s="230"/>
      <c r="S1356" s="230"/>
      <c r="T1356" s="230"/>
      <c r="U1356" s="230"/>
      <c r="V1356" s="230"/>
      <c r="W1356" s="230"/>
      <c r="X1356" s="230"/>
      <c r="Y1356" s="230"/>
      <c r="Z1356" s="230"/>
    </row>
    <row r="1357">
      <c r="O1357" s="230"/>
      <c r="S1357" s="230"/>
      <c r="T1357" s="230"/>
      <c r="U1357" s="230"/>
      <c r="V1357" s="230"/>
      <c r="W1357" s="230"/>
      <c r="X1357" s="230"/>
      <c r="Y1357" s="230"/>
      <c r="Z1357" s="230"/>
    </row>
    <row r="1358">
      <c r="O1358" s="230"/>
      <c r="S1358" s="230"/>
      <c r="T1358" s="230"/>
      <c r="U1358" s="230"/>
      <c r="V1358" s="230"/>
      <c r="W1358" s="230"/>
      <c r="X1358" s="230"/>
      <c r="Y1358" s="230"/>
      <c r="Z1358" s="230"/>
    </row>
    <row r="1359">
      <c r="O1359" s="230"/>
      <c r="S1359" s="230"/>
      <c r="T1359" s="230"/>
      <c r="U1359" s="230"/>
      <c r="V1359" s="230"/>
      <c r="W1359" s="230"/>
      <c r="X1359" s="230"/>
      <c r="Y1359" s="230"/>
      <c r="Z1359" s="230"/>
    </row>
    <row r="1360">
      <c r="O1360" s="230"/>
      <c r="S1360" s="230"/>
      <c r="T1360" s="230"/>
      <c r="U1360" s="230"/>
      <c r="V1360" s="230"/>
      <c r="W1360" s="230"/>
      <c r="X1360" s="230"/>
      <c r="Y1360" s="230"/>
      <c r="Z1360" s="230"/>
    </row>
    <row r="1361">
      <c r="O1361" s="230"/>
      <c r="S1361" s="230"/>
      <c r="T1361" s="230"/>
      <c r="U1361" s="230"/>
      <c r="V1361" s="230"/>
      <c r="W1361" s="230"/>
      <c r="X1361" s="230"/>
      <c r="Y1361" s="230"/>
      <c r="Z1361" s="230"/>
    </row>
    <row r="1362">
      <c r="O1362" s="230"/>
      <c r="S1362" s="230"/>
      <c r="T1362" s="230"/>
      <c r="U1362" s="230"/>
      <c r="V1362" s="230"/>
      <c r="W1362" s="230"/>
      <c r="X1362" s="230"/>
      <c r="Y1362" s="230"/>
      <c r="Z1362" s="230"/>
    </row>
    <row r="1363">
      <c r="O1363" s="230"/>
      <c r="S1363" s="230"/>
      <c r="T1363" s="230"/>
      <c r="U1363" s="230"/>
      <c r="V1363" s="230"/>
      <c r="W1363" s="230"/>
      <c r="X1363" s="230"/>
      <c r="Y1363" s="230"/>
      <c r="Z1363" s="230"/>
    </row>
    <row r="1364">
      <c r="O1364" s="230"/>
      <c r="S1364" s="230"/>
      <c r="T1364" s="230"/>
      <c r="U1364" s="230"/>
      <c r="V1364" s="230"/>
      <c r="W1364" s="230"/>
      <c r="X1364" s="230"/>
      <c r="Y1364" s="230"/>
      <c r="Z1364" s="230"/>
    </row>
    <row r="1365">
      <c r="O1365" s="230"/>
      <c r="S1365" s="230"/>
      <c r="T1365" s="230"/>
      <c r="U1365" s="230"/>
      <c r="V1365" s="230"/>
      <c r="W1365" s="230"/>
      <c r="X1365" s="230"/>
      <c r="Y1365" s="230"/>
      <c r="Z1365" s="230"/>
    </row>
    <row r="1366">
      <c r="O1366" s="230"/>
      <c r="S1366" s="230"/>
      <c r="T1366" s="230"/>
      <c r="U1366" s="230"/>
      <c r="V1366" s="230"/>
      <c r="W1366" s="230"/>
      <c r="X1366" s="230"/>
      <c r="Y1366" s="230"/>
      <c r="Z1366" s="230"/>
    </row>
    <row r="1367">
      <c r="O1367" s="230"/>
      <c r="S1367" s="230"/>
      <c r="T1367" s="230"/>
      <c r="U1367" s="230"/>
      <c r="V1367" s="230"/>
      <c r="W1367" s="230"/>
      <c r="X1367" s="230"/>
      <c r="Y1367" s="230"/>
      <c r="Z1367" s="230"/>
    </row>
    <row r="1368">
      <c r="O1368" s="230"/>
      <c r="S1368" s="230"/>
      <c r="T1368" s="230"/>
      <c r="U1368" s="230"/>
      <c r="V1368" s="230"/>
      <c r="W1368" s="230"/>
      <c r="X1368" s="230"/>
      <c r="Y1368" s="230"/>
      <c r="Z1368" s="230"/>
    </row>
    <row r="1369">
      <c r="O1369" s="230"/>
      <c r="S1369" s="230"/>
      <c r="T1369" s="230"/>
      <c r="U1369" s="230"/>
      <c r="V1369" s="230"/>
      <c r="W1369" s="230"/>
      <c r="X1369" s="230"/>
      <c r="Y1369" s="230"/>
      <c r="Z1369" s="230"/>
    </row>
    <row r="1370">
      <c r="O1370" s="230"/>
      <c r="S1370" s="230"/>
      <c r="T1370" s="230"/>
      <c r="U1370" s="230"/>
      <c r="V1370" s="230"/>
      <c r="W1370" s="230"/>
      <c r="X1370" s="230"/>
      <c r="Y1370" s="230"/>
      <c r="Z1370" s="230"/>
    </row>
    <row r="1371">
      <c r="O1371" s="230"/>
      <c r="S1371" s="230"/>
      <c r="T1371" s="230"/>
      <c r="U1371" s="230"/>
      <c r="V1371" s="230"/>
      <c r="W1371" s="230"/>
      <c r="X1371" s="230"/>
      <c r="Y1371" s="230"/>
      <c r="Z1371" s="230"/>
    </row>
    <row r="1372">
      <c r="O1372" s="230"/>
      <c r="S1372" s="230"/>
      <c r="T1372" s="230"/>
      <c r="U1372" s="230"/>
      <c r="V1372" s="230"/>
      <c r="W1372" s="230"/>
      <c r="X1372" s="230"/>
      <c r="Y1372" s="230"/>
      <c r="Z1372" s="230"/>
    </row>
    <row r="1373">
      <c r="O1373" s="230"/>
      <c r="S1373" s="230"/>
      <c r="T1373" s="230"/>
      <c r="U1373" s="230"/>
      <c r="V1373" s="230"/>
      <c r="W1373" s="230"/>
      <c r="X1373" s="230"/>
      <c r="Y1373" s="230"/>
      <c r="Z1373" s="230"/>
    </row>
    <row r="1374">
      <c r="O1374" s="230"/>
      <c r="S1374" s="230"/>
      <c r="T1374" s="230"/>
      <c r="U1374" s="230"/>
      <c r="V1374" s="230"/>
      <c r="W1374" s="230"/>
      <c r="X1374" s="230"/>
      <c r="Y1374" s="230"/>
      <c r="Z1374" s="230"/>
    </row>
    <row r="1375">
      <c r="O1375" s="230"/>
      <c r="S1375" s="230"/>
      <c r="T1375" s="230"/>
      <c r="U1375" s="230"/>
      <c r="V1375" s="230"/>
      <c r="W1375" s="230"/>
      <c r="X1375" s="230"/>
      <c r="Y1375" s="230"/>
      <c r="Z1375" s="230"/>
    </row>
    <row r="1376">
      <c r="O1376" s="230"/>
      <c r="S1376" s="230"/>
      <c r="T1376" s="230"/>
      <c r="U1376" s="230"/>
      <c r="V1376" s="230"/>
      <c r="W1376" s="230"/>
      <c r="X1376" s="230"/>
      <c r="Y1376" s="230"/>
      <c r="Z1376" s="230"/>
    </row>
    <row r="1377">
      <c r="O1377" s="230"/>
      <c r="S1377" s="230"/>
      <c r="T1377" s="230"/>
      <c r="U1377" s="230"/>
      <c r="V1377" s="230"/>
      <c r="W1377" s="230"/>
      <c r="X1377" s="230"/>
      <c r="Y1377" s="230"/>
      <c r="Z1377" s="230"/>
    </row>
    <row r="1378">
      <c r="O1378" s="230"/>
      <c r="S1378" s="230"/>
      <c r="T1378" s="230"/>
      <c r="U1378" s="230"/>
      <c r="V1378" s="230"/>
      <c r="W1378" s="230"/>
      <c r="X1378" s="230"/>
      <c r="Y1378" s="230"/>
      <c r="Z1378" s="230"/>
    </row>
    <row r="1379">
      <c r="O1379" s="230"/>
      <c r="S1379" s="230"/>
      <c r="T1379" s="230"/>
      <c r="U1379" s="230"/>
      <c r="V1379" s="230"/>
      <c r="W1379" s="230"/>
      <c r="X1379" s="230"/>
      <c r="Y1379" s="230"/>
      <c r="Z1379" s="230"/>
    </row>
    <row r="1380">
      <c r="O1380" s="230"/>
      <c r="S1380" s="230"/>
      <c r="T1380" s="230"/>
      <c r="U1380" s="230"/>
      <c r="V1380" s="230"/>
      <c r="W1380" s="230"/>
      <c r="X1380" s="230"/>
      <c r="Y1380" s="230"/>
      <c r="Z1380" s="230"/>
    </row>
    <row r="1381">
      <c r="O1381" s="230"/>
      <c r="S1381" s="230"/>
      <c r="T1381" s="230"/>
      <c r="U1381" s="230"/>
      <c r="V1381" s="230"/>
      <c r="W1381" s="230"/>
      <c r="X1381" s="230"/>
      <c r="Y1381" s="230"/>
      <c r="Z1381" s="230"/>
    </row>
    <row r="1382">
      <c r="O1382" s="230"/>
      <c r="S1382" s="230"/>
      <c r="T1382" s="230"/>
      <c r="U1382" s="230"/>
      <c r="V1382" s="230"/>
      <c r="W1382" s="230"/>
      <c r="X1382" s="230"/>
      <c r="Y1382" s="230"/>
      <c r="Z1382" s="230"/>
    </row>
    <row r="1383">
      <c r="O1383" s="230"/>
      <c r="S1383" s="230"/>
      <c r="T1383" s="230"/>
      <c r="U1383" s="230"/>
      <c r="V1383" s="230"/>
      <c r="W1383" s="230"/>
      <c r="X1383" s="230"/>
      <c r="Y1383" s="230"/>
      <c r="Z1383" s="230"/>
    </row>
    <row r="1384">
      <c r="O1384" s="230"/>
      <c r="S1384" s="230"/>
      <c r="T1384" s="230"/>
      <c r="U1384" s="230"/>
      <c r="V1384" s="230"/>
      <c r="W1384" s="230"/>
      <c r="X1384" s="230"/>
      <c r="Y1384" s="230"/>
      <c r="Z1384" s="230"/>
    </row>
    <row r="1385">
      <c r="O1385" s="230"/>
      <c r="S1385" s="230"/>
      <c r="T1385" s="230"/>
      <c r="U1385" s="230"/>
      <c r="V1385" s="230"/>
      <c r="W1385" s="230"/>
      <c r="X1385" s="230"/>
      <c r="Y1385" s="230"/>
      <c r="Z1385" s="230"/>
    </row>
    <row r="1386">
      <c r="O1386" s="230"/>
      <c r="S1386" s="230"/>
      <c r="T1386" s="230"/>
      <c r="U1386" s="230"/>
      <c r="V1386" s="230"/>
      <c r="W1386" s="230"/>
      <c r="X1386" s="230"/>
      <c r="Y1386" s="230"/>
      <c r="Z1386" s="230"/>
    </row>
    <row r="1387">
      <c r="O1387" s="230"/>
      <c r="S1387" s="230"/>
      <c r="T1387" s="230"/>
      <c r="U1387" s="230"/>
      <c r="V1387" s="230"/>
      <c r="W1387" s="230"/>
      <c r="X1387" s="230"/>
      <c r="Y1387" s="230"/>
      <c r="Z1387" s="230"/>
    </row>
    <row r="1388">
      <c r="O1388" s="230"/>
      <c r="S1388" s="230"/>
      <c r="T1388" s="230"/>
      <c r="U1388" s="230"/>
      <c r="V1388" s="230"/>
      <c r="W1388" s="230"/>
      <c r="X1388" s="230"/>
      <c r="Y1388" s="230"/>
      <c r="Z1388" s="230"/>
    </row>
    <row r="1389">
      <c r="O1389" s="230"/>
      <c r="S1389" s="230"/>
      <c r="T1389" s="230"/>
      <c r="U1389" s="230"/>
      <c r="V1389" s="230"/>
      <c r="W1389" s="230"/>
      <c r="X1389" s="230"/>
      <c r="Y1389" s="230"/>
      <c r="Z1389" s="230"/>
    </row>
    <row r="1390">
      <c r="O1390" s="230"/>
      <c r="S1390" s="230"/>
      <c r="T1390" s="230"/>
      <c r="U1390" s="230"/>
      <c r="V1390" s="230"/>
      <c r="W1390" s="230"/>
      <c r="X1390" s="230"/>
      <c r="Y1390" s="230"/>
      <c r="Z1390" s="230"/>
    </row>
    <row r="1391">
      <c r="O1391" s="230"/>
      <c r="S1391" s="230"/>
      <c r="T1391" s="230"/>
      <c r="U1391" s="230"/>
      <c r="V1391" s="230"/>
      <c r="W1391" s="230"/>
      <c r="X1391" s="230"/>
      <c r="Y1391" s="230"/>
      <c r="Z1391" s="230"/>
    </row>
    <row r="1392">
      <c r="O1392" s="230"/>
      <c r="S1392" s="230"/>
      <c r="T1392" s="230"/>
      <c r="U1392" s="230"/>
      <c r="V1392" s="230"/>
      <c r="W1392" s="230"/>
      <c r="X1392" s="230"/>
      <c r="Y1392" s="230"/>
      <c r="Z1392" s="230"/>
    </row>
    <row r="1393">
      <c r="O1393" s="230"/>
      <c r="S1393" s="230"/>
      <c r="T1393" s="230"/>
      <c r="U1393" s="230"/>
      <c r="V1393" s="230"/>
      <c r="W1393" s="230"/>
      <c r="X1393" s="230"/>
      <c r="Y1393" s="230"/>
      <c r="Z1393" s="230"/>
    </row>
    <row r="1394">
      <c r="O1394" s="230"/>
      <c r="S1394" s="230"/>
      <c r="T1394" s="230"/>
      <c r="U1394" s="230"/>
      <c r="V1394" s="230"/>
      <c r="W1394" s="230"/>
      <c r="X1394" s="230"/>
      <c r="Y1394" s="230"/>
      <c r="Z1394" s="230"/>
    </row>
    <row r="1395">
      <c r="O1395" s="230"/>
      <c r="S1395" s="230"/>
      <c r="T1395" s="230"/>
      <c r="U1395" s="230"/>
      <c r="V1395" s="230"/>
      <c r="W1395" s="230"/>
      <c r="X1395" s="230"/>
      <c r="Y1395" s="230"/>
      <c r="Z1395" s="230"/>
    </row>
    <row r="1396">
      <c r="O1396" s="230"/>
      <c r="S1396" s="230"/>
      <c r="T1396" s="230"/>
      <c r="U1396" s="230"/>
      <c r="V1396" s="230"/>
      <c r="W1396" s="230"/>
      <c r="X1396" s="230"/>
      <c r="Y1396" s="230"/>
      <c r="Z1396" s="230"/>
    </row>
    <row r="1397">
      <c r="O1397" s="230"/>
      <c r="S1397" s="230"/>
      <c r="T1397" s="230"/>
      <c r="U1397" s="230"/>
      <c r="V1397" s="230"/>
      <c r="W1397" s="230"/>
      <c r="X1397" s="230"/>
      <c r="Y1397" s="230"/>
      <c r="Z1397" s="230"/>
    </row>
    <row r="1398">
      <c r="O1398" s="230"/>
      <c r="S1398" s="230"/>
      <c r="T1398" s="230"/>
      <c r="U1398" s="230"/>
      <c r="V1398" s="230"/>
      <c r="W1398" s="230"/>
      <c r="X1398" s="230"/>
      <c r="Y1398" s="230"/>
      <c r="Z1398" s="230"/>
    </row>
    <row r="1399">
      <c r="O1399" s="230"/>
      <c r="S1399" s="230"/>
      <c r="T1399" s="230"/>
      <c r="U1399" s="230"/>
      <c r="V1399" s="230"/>
      <c r="W1399" s="230"/>
      <c r="X1399" s="230"/>
      <c r="Y1399" s="230"/>
      <c r="Z1399" s="230"/>
    </row>
    <row r="1400">
      <c r="O1400" s="230"/>
      <c r="S1400" s="230"/>
      <c r="T1400" s="230"/>
      <c r="U1400" s="230"/>
      <c r="V1400" s="230"/>
      <c r="W1400" s="230"/>
      <c r="X1400" s="230"/>
      <c r="Y1400" s="230"/>
      <c r="Z1400" s="230"/>
    </row>
    <row r="1401">
      <c r="O1401" s="230"/>
      <c r="S1401" s="230"/>
      <c r="T1401" s="230"/>
      <c r="U1401" s="230"/>
      <c r="V1401" s="230"/>
      <c r="W1401" s="230"/>
      <c r="X1401" s="230"/>
      <c r="Y1401" s="230"/>
      <c r="Z1401" s="230"/>
    </row>
    <row r="1402">
      <c r="O1402" s="230"/>
      <c r="S1402" s="230"/>
      <c r="T1402" s="230"/>
      <c r="U1402" s="230"/>
      <c r="V1402" s="230"/>
      <c r="W1402" s="230"/>
      <c r="X1402" s="230"/>
      <c r="Y1402" s="230"/>
      <c r="Z1402" s="230"/>
    </row>
    <row r="1403">
      <c r="O1403" s="230"/>
      <c r="S1403" s="230"/>
      <c r="T1403" s="230"/>
      <c r="U1403" s="230"/>
      <c r="V1403" s="230"/>
      <c r="W1403" s="230"/>
      <c r="X1403" s="230"/>
      <c r="Y1403" s="230"/>
      <c r="Z1403" s="230"/>
    </row>
    <row r="1404">
      <c r="O1404" s="230"/>
      <c r="S1404" s="230"/>
      <c r="T1404" s="230"/>
      <c r="U1404" s="230"/>
      <c r="V1404" s="230"/>
      <c r="W1404" s="230"/>
      <c r="X1404" s="230"/>
      <c r="Y1404" s="230"/>
      <c r="Z1404" s="230"/>
    </row>
    <row r="1405">
      <c r="O1405" s="230"/>
      <c r="S1405" s="230"/>
      <c r="T1405" s="230"/>
      <c r="U1405" s="230"/>
      <c r="V1405" s="230"/>
      <c r="W1405" s="230"/>
      <c r="X1405" s="230"/>
      <c r="Y1405" s="230"/>
      <c r="Z1405" s="230"/>
    </row>
    <row r="1406">
      <c r="O1406" s="230"/>
      <c r="S1406" s="230"/>
      <c r="T1406" s="230"/>
      <c r="U1406" s="230"/>
      <c r="V1406" s="230"/>
      <c r="W1406" s="230"/>
      <c r="X1406" s="230"/>
      <c r="Y1406" s="230"/>
      <c r="Z1406" s="230"/>
    </row>
    <row r="1407">
      <c r="O1407" s="230"/>
      <c r="S1407" s="230"/>
      <c r="T1407" s="230"/>
      <c r="U1407" s="230"/>
      <c r="V1407" s="230"/>
      <c r="W1407" s="230"/>
      <c r="X1407" s="230"/>
      <c r="Y1407" s="230"/>
      <c r="Z1407" s="230"/>
    </row>
    <row r="1408">
      <c r="O1408" s="230"/>
      <c r="S1408" s="230"/>
      <c r="T1408" s="230"/>
      <c r="U1408" s="230"/>
      <c r="V1408" s="230"/>
      <c r="W1408" s="230"/>
      <c r="X1408" s="230"/>
      <c r="Y1408" s="230"/>
      <c r="Z1408" s="230"/>
    </row>
    <row r="1409">
      <c r="O1409" s="230"/>
      <c r="S1409" s="230"/>
      <c r="T1409" s="230"/>
      <c r="U1409" s="230"/>
      <c r="V1409" s="230"/>
      <c r="W1409" s="230"/>
      <c r="X1409" s="230"/>
      <c r="Y1409" s="230"/>
      <c r="Z1409" s="230"/>
    </row>
    <row r="1410">
      <c r="O1410" s="230"/>
      <c r="S1410" s="230"/>
      <c r="T1410" s="230"/>
      <c r="U1410" s="230"/>
      <c r="V1410" s="230"/>
      <c r="W1410" s="230"/>
      <c r="X1410" s="230"/>
      <c r="Y1410" s="230"/>
      <c r="Z1410" s="230"/>
    </row>
    <row r="1411">
      <c r="O1411" s="230"/>
      <c r="S1411" s="230"/>
      <c r="T1411" s="230"/>
      <c r="U1411" s="230"/>
      <c r="V1411" s="230"/>
      <c r="W1411" s="230"/>
      <c r="X1411" s="230"/>
      <c r="Y1411" s="230"/>
      <c r="Z1411" s="230"/>
    </row>
    <row r="1412">
      <c r="O1412" s="230"/>
      <c r="S1412" s="230"/>
      <c r="T1412" s="230"/>
      <c r="U1412" s="230"/>
      <c r="V1412" s="230"/>
      <c r="W1412" s="230"/>
      <c r="X1412" s="230"/>
      <c r="Y1412" s="230"/>
      <c r="Z1412" s="230"/>
    </row>
    <row r="1413">
      <c r="O1413" s="230"/>
      <c r="S1413" s="230"/>
      <c r="T1413" s="230"/>
      <c r="U1413" s="230"/>
      <c r="V1413" s="230"/>
      <c r="W1413" s="230"/>
      <c r="X1413" s="230"/>
      <c r="Y1413" s="230"/>
      <c r="Z1413" s="230"/>
    </row>
    <row r="1414">
      <c r="O1414" s="230"/>
      <c r="S1414" s="230"/>
      <c r="T1414" s="230"/>
      <c r="U1414" s="230"/>
      <c r="V1414" s="230"/>
      <c r="W1414" s="230"/>
      <c r="X1414" s="230"/>
      <c r="Y1414" s="230"/>
      <c r="Z1414" s="230"/>
    </row>
    <row r="1415">
      <c r="O1415" s="230"/>
      <c r="S1415" s="230"/>
      <c r="T1415" s="230"/>
      <c r="U1415" s="230"/>
      <c r="V1415" s="230"/>
      <c r="W1415" s="230"/>
      <c r="X1415" s="230"/>
      <c r="Y1415" s="230"/>
      <c r="Z1415" s="230"/>
    </row>
    <row r="1416">
      <c r="O1416" s="230"/>
      <c r="S1416" s="230"/>
      <c r="T1416" s="230"/>
      <c r="U1416" s="230"/>
      <c r="V1416" s="230"/>
      <c r="W1416" s="230"/>
      <c r="X1416" s="230"/>
      <c r="Y1416" s="230"/>
      <c r="Z1416" s="230"/>
    </row>
    <row r="1417">
      <c r="O1417" s="230"/>
      <c r="S1417" s="230"/>
      <c r="T1417" s="230"/>
      <c r="U1417" s="230"/>
      <c r="V1417" s="230"/>
      <c r="W1417" s="230"/>
      <c r="X1417" s="230"/>
      <c r="Y1417" s="230"/>
      <c r="Z1417" s="230"/>
    </row>
    <row r="1418">
      <c r="O1418" s="230"/>
      <c r="S1418" s="230"/>
      <c r="T1418" s="230"/>
      <c r="U1418" s="230"/>
      <c r="V1418" s="230"/>
      <c r="W1418" s="230"/>
      <c r="X1418" s="230"/>
      <c r="Y1418" s="230"/>
      <c r="Z1418" s="230"/>
    </row>
    <row r="1419">
      <c r="O1419" s="230"/>
      <c r="S1419" s="230"/>
      <c r="T1419" s="230"/>
      <c r="U1419" s="230"/>
      <c r="V1419" s="230"/>
      <c r="W1419" s="230"/>
      <c r="X1419" s="230"/>
      <c r="Y1419" s="230"/>
      <c r="Z1419" s="230"/>
    </row>
    <row r="1420">
      <c r="O1420" s="230"/>
      <c r="S1420" s="230"/>
      <c r="T1420" s="230"/>
      <c r="U1420" s="230"/>
      <c r="V1420" s="230"/>
      <c r="W1420" s="230"/>
      <c r="X1420" s="230"/>
      <c r="Y1420" s="230"/>
      <c r="Z1420" s="230"/>
    </row>
    <row r="1421">
      <c r="O1421" s="230"/>
      <c r="S1421" s="230"/>
      <c r="T1421" s="230"/>
      <c r="U1421" s="230"/>
      <c r="V1421" s="230"/>
      <c r="W1421" s="230"/>
      <c r="X1421" s="230"/>
      <c r="Y1421" s="230"/>
      <c r="Z1421" s="230"/>
    </row>
    <row r="1422">
      <c r="O1422" s="230"/>
      <c r="S1422" s="230"/>
      <c r="T1422" s="230"/>
      <c r="U1422" s="230"/>
      <c r="V1422" s="230"/>
      <c r="W1422" s="230"/>
      <c r="X1422" s="230"/>
      <c r="Y1422" s="230"/>
      <c r="Z1422" s="230"/>
    </row>
    <row r="1423">
      <c r="O1423" s="230"/>
      <c r="S1423" s="230"/>
      <c r="T1423" s="230"/>
      <c r="U1423" s="230"/>
      <c r="V1423" s="230"/>
      <c r="W1423" s="230"/>
      <c r="X1423" s="230"/>
      <c r="Y1423" s="230"/>
      <c r="Z1423" s="230"/>
    </row>
    <row r="1424">
      <c r="O1424" s="230"/>
      <c r="S1424" s="230"/>
      <c r="T1424" s="230"/>
      <c r="U1424" s="230"/>
      <c r="V1424" s="230"/>
      <c r="W1424" s="230"/>
      <c r="X1424" s="230"/>
      <c r="Y1424" s="230"/>
      <c r="Z1424" s="230"/>
    </row>
    <row r="1425">
      <c r="O1425" s="230"/>
      <c r="S1425" s="230"/>
      <c r="T1425" s="230"/>
      <c r="U1425" s="230"/>
      <c r="V1425" s="230"/>
      <c r="W1425" s="230"/>
      <c r="X1425" s="230"/>
      <c r="Y1425" s="230"/>
      <c r="Z1425" s="230"/>
    </row>
    <row r="1426">
      <c r="O1426" s="230"/>
      <c r="S1426" s="230"/>
      <c r="T1426" s="230"/>
      <c r="U1426" s="230"/>
      <c r="V1426" s="230"/>
      <c r="W1426" s="230"/>
      <c r="X1426" s="230"/>
      <c r="Y1426" s="230"/>
      <c r="Z1426" s="230"/>
    </row>
    <row r="1427">
      <c r="O1427" s="230"/>
      <c r="S1427" s="230"/>
      <c r="T1427" s="230"/>
      <c r="U1427" s="230"/>
      <c r="V1427" s="230"/>
      <c r="W1427" s="230"/>
      <c r="X1427" s="230"/>
      <c r="Y1427" s="230"/>
      <c r="Z1427" s="230"/>
    </row>
    <row r="1428">
      <c r="O1428" s="230"/>
      <c r="S1428" s="230"/>
      <c r="T1428" s="230"/>
      <c r="U1428" s="230"/>
      <c r="V1428" s="230"/>
      <c r="W1428" s="230"/>
      <c r="X1428" s="230"/>
      <c r="Y1428" s="230"/>
      <c r="Z1428" s="230"/>
    </row>
    <row r="1429">
      <c r="O1429" s="230"/>
      <c r="S1429" s="230"/>
      <c r="T1429" s="230"/>
      <c r="U1429" s="230"/>
      <c r="V1429" s="230"/>
      <c r="W1429" s="230"/>
      <c r="X1429" s="230"/>
      <c r="Y1429" s="230"/>
      <c r="Z1429" s="230"/>
    </row>
    <row r="1430">
      <c r="O1430" s="230"/>
      <c r="S1430" s="230"/>
      <c r="T1430" s="230"/>
      <c r="U1430" s="230"/>
      <c r="V1430" s="230"/>
      <c r="W1430" s="230"/>
      <c r="X1430" s="230"/>
      <c r="Y1430" s="230"/>
      <c r="Z1430" s="230"/>
    </row>
    <row r="1431">
      <c r="O1431" s="230"/>
      <c r="S1431" s="230"/>
      <c r="T1431" s="230"/>
      <c r="U1431" s="230"/>
      <c r="V1431" s="230"/>
      <c r="W1431" s="230"/>
      <c r="X1431" s="230"/>
      <c r="Y1431" s="230"/>
      <c r="Z1431" s="230"/>
    </row>
    <row r="1432">
      <c r="O1432" s="230"/>
      <c r="S1432" s="230"/>
      <c r="T1432" s="230"/>
      <c r="U1432" s="230"/>
      <c r="V1432" s="230"/>
      <c r="W1432" s="230"/>
      <c r="X1432" s="230"/>
      <c r="Y1432" s="230"/>
      <c r="Z1432" s="230"/>
    </row>
    <row r="1433">
      <c r="O1433" s="230"/>
      <c r="S1433" s="230"/>
      <c r="T1433" s="230"/>
      <c r="U1433" s="230"/>
      <c r="V1433" s="230"/>
      <c r="W1433" s="230"/>
      <c r="X1433" s="230"/>
      <c r="Y1433" s="230"/>
      <c r="Z1433" s="230"/>
    </row>
    <row r="1434">
      <c r="O1434" s="230"/>
      <c r="S1434" s="230"/>
      <c r="T1434" s="230"/>
      <c r="U1434" s="230"/>
      <c r="V1434" s="230"/>
      <c r="W1434" s="230"/>
      <c r="X1434" s="230"/>
      <c r="Y1434" s="230"/>
      <c r="Z1434" s="230"/>
    </row>
    <row r="1435">
      <c r="O1435" s="230"/>
      <c r="S1435" s="230"/>
      <c r="T1435" s="230"/>
      <c r="U1435" s="230"/>
      <c r="V1435" s="230"/>
      <c r="W1435" s="230"/>
      <c r="X1435" s="230"/>
      <c r="Y1435" s="230"/>
      <c r="Z1435" s="230"/>
    </row>
    <row r="1436">
      <c r="O1436" s="230"/>
      <c r="S1436" s="230"/>
      <c r="T1436" s="230"/>
      <c r="U1436" s="230"/>
      <c r="V1436" s="230"/>
      <c r="W1436" s="230"/>
      <c r="X1436" s="230"/>
      <c r="Y1436" s="230"/>
      <c r="Z1436" s="230"/>
    </row>
    <row r="1437">
      <c r="O1437" s="230"/>
      <c r="S1437" s="230"/>
      <c r="T1437" s="230"/>
      <c r="U1437" s="230"/>
      <c r="V1437" s="230"/>
      <c r="W1437" s="230"/>
      <c r="X1437" s="230"/>
      <c r="Y1437" s="230"/>
      <c r="Z1437" s="230"/>
    </row>
    <row r="1438">
      <c r="O1438" s="230"/>
      <c r="S1438" s="230"/>
      <c r="T1438" s="230"/>
      <c r="U1438" s="230"/>
      <c r="V1438" s="230"/>
      <c r="W1438" s="230"/>
      <c r="X1438" s="230"/>
      <c r="Y1438" s="230"/>
      <c r="Z1438" s="230"/>
    </row>
    <row r="1439">
      <c r="O1439" s="230"/>
      <c r="S1439" s="230"/>
      <c r="T1439" s="230"/>
      <c r="U1439" s="230"/>
      <c r="V1439" s="230"/>
      <c r="W1439" s="230"/>
      <c r="X1439" s="230"/>
      <c r="Y1439" s="230"/>
      <c r="Z1439" s="230"/>
    </row>
    <row r="1440">
      <c r="O1440" s="230"/>
      <c r="S1440" s="230"/>
      <c r="T1440" s="230"/>
      <c r="U1440" s="230"/>
      <c r="V1440" s="230"/>
      <c r="W1440" s="230"/>
      <c r="X1440" s="230"/>
      <c r="Y1440" s="230"/>
      <c r="Z1440" s="230"/>
    </row>
    <row r="1441">
      <c r="O1441" s="230"/>
      <c r="S1441" s="230"/>
      <c r="T1441" s="230"/>
      <c r="U1441" s="230"/>
      <c r="V1441" s="230"/>
      <c r="W1441" s="230"/>
      <c r="X1441" s="230"/>
      <c r="Y1441" s="230"/>
      <c r="Z1441" s="230"/>
    </row>
    <row r="1442">
      <c r="O1442" s="230"/>
      <c r="S1442" s="230"/>
      <c r="T1442" s="230"/>
      <c r="U1442" s="230"/>
      <c r="V1442" s="230"/>
      <c r="W1442" s="230"/>
      <c r="X1442" s="230"/>
      <c r="Y1442" s="230"/>
      <c r="Z1442" s="230"/>
    </row>
    <row r="1443">
      <c r="O1443" s="230"/>
      <c r="S1443" s="230"/>
      <c r="T1443" s="230"/>
      <c r="U1443" s="230"/>
      <c r="V1443" s="230"/>
      <c r="W1443" s="230"/>
      <c r="X1443" s="230"/>
      <c r="Y1443" s="230"/>
      <c r="Z1443" s="230"/>
    </row>
    <row r="1444">
      <c r="O1444" s="230"/>
      <c r="S1444" s="230"/>
      <c r="T1444" s="230"/>
      <c r="U1444" s="230"/>
      <c r="V1444" s="230"/>
      <c r="W1444" s="230"/>
      <c r="X1444" s="230"/>
      <c r="Y1444" s="230"/>
      <c r="Z1444" s="230"/>
    </row>
    <row r="1445">
      <c r="O1445" s="230"/>
      <c r="S1445" s="230"/>
      <c r="T1445" s="230"/>
      <c r="U1445" s="230"/>
      <c r="V1445" s="230"/>
      <c r="W1445" s="230"/>
      <c r="X1445" s="230"/>
      <c r="Y1445" s="230"/>
      <c r="Z1445" s="230"/>
    </row>
    <row r="1446">
      <c r="O1446" s="230"/>
      <c r="S1446" s="230"/>
      <c r="T1446" s="230"/>
      <c r="U1446" s="230"/>
      <c r="V1446" s="230"/>
      <c r="W1446" s="230"/>
      <c r="X1446" s="230"/>
      <c r="Y1446" s="230"/>
      <c r="Z1446" s="230"/>
    </row>
    <row r="1447">
      <c r="O1447" s="230"/>
      <c r="S1447" s="230"/>
      <c r="T1447" s="230"/>
      <c r="U1447" s="230"/>
      <c r="V1447" s="230"/>
      <c r="W1447" s="230"/>
      <c r="X1447" s="230"/>
      <c r="Y1447" s="230"/>
      <c r="Z1447" s="230"/>
    </row>
    <row r="1448">
      <c r="O1448" s="230"/>
      <c r="S1448" s="230"/>
      <c r="T1448" s="230"/>
      <c r="U1448" s="230"/>
      <c r="V1448" s="230"/>
      <c r="W1448" s="230"/>
      <c r="X1448" s="230"/>
      <c r="Y1448" s="230"/>
      <c r="Z1448" s="230"/>
    </row>
    <row r="1449">
      <c r="O1449" s="230"/>
      <c r="S1449" s="230"/>
      <c r="T1449" s="230"/>
      <c r="U1449" s="230"/>
      <c r="V1449" s="230"/>
      <c r="W1449" s="230"/>
      <c r="X1449" s="230"/>
      <c r="Y1449" s="230"/>
      <c r="Z1449" s="230"/>
    </row>
    <row r="1450">
      <c r="O1450" s="230"/>
      <c r="S1450" s="230"/>
      <c r="T1450" s="230"/>
      <c r="U1450" s="230"/>
      <c r="V1450" s="230"/>
      <c r="W1450" s="230"/>
      <c r="X1450" s="230"/>
      <c r="Y1450" s="230"/>
      <c r="Z1450" s="230"/>
    </row>
    <row r="1451">
      <c r="O1451" s="230"/>
      <c r="S1451" s="230"/>
      <c r="T1451" s="230"/>
      <c r="U1451" s="230"/>
      <c r="V1451" s="230"/>
      <c r="W1451" s="230"/>
      <c r="X1451" s="230"/>
      <c r="Y1451" s="230"/>
      <c r="Z1451" s="230"/>
    </row>
    <row r="1452">
      <c r="O1452" s="230"/>
      <c r="S1452" s="230"/>
      <c r="T1452" s="230"/>
      <c r="U1452" s="230"/>
      <c r="V1452" s="230"/>
      <c r="W1452" s="230"/>
      <c r="X1452" s="230"/>
      <c r="Y1452" s="230"/>
      <c r="Z1452" s="230"/>
    </row>
    <row r="1453">
      <c r="O1453" s="230"/>
      <c r="S1453" s="230"/>
      <c r="T1453" s="230"/>
      <c r="U1453" s="230"/>
      <c r="V1453" s="230"/>
      <c r="W1453" s="230"/>
      <c r="X1453" s="230"/>
      <c r="Y1453" s="230"/>
      <c r="Z1453" s="230"/>
    </row>
    <row r="1454">
      <c r="O1454" s="230"/>
      <c r="S1454" s="230"/>
      <c r="T1454" s="230"/>
      <c r="U1454" s="230"/>
      <c r="V1454" s="230"/>
      <c r="W1454" s="230"/>
      <c r="X1454" s="230"/>
      <c r="Y1454" s="230"/>
      <c r="Z1454" s="230"/>
    </row>
    <row r="1455">
      <c r="O1455" s="230"/>
      <c r="S1455" s="230"/>
      <c r="T1455" s="230"/>
      <c r="U1455" s="230"/>
      <c r="V1455" s="230"/>
      <c r="W1455" s="230"/>
      <c r="X1455" s="230"/>
      <c r="Y1455" s="230"/>
      <c r="Z1455" s="230"/>
    </row>
    <row r="1456">
      <c r="O1456" s="230"/>
      <c r="S1456" s="230"/>
      <c r="T1456" s="230"/>
      <c r="U1456" s="230"/>
      <c r="V1456" s="230"/>
      <c r="W1456" s="230"/>
      <c r="X1456" s="230"/>
      <c r="Y1456" s="230"/>
      <c r="Z1456" s="230"/>
    </row>
    <row r="1457">
      <c r="O1457" s="230"/>
      <c r="S1457" s="230"/>
      <c r="T1457" s="230"/>
      <c r="U1457" s="230"/>
      <c r="V1457" s="230"/>
      <c r="W1457" s="230"/>
      <c r="X1457" s="230"/>
      <c r="Y1457" s="230"/>
      <c r="Z1457" s="230"/>
    </row>
    <row r="1458">
      <c r="O1458" s="230"/>
      <c r="S1458" s="230"/>
      <c r="T1458" s="230"/>
      <c r="U1458" s="230"/>
      <c r="V1458" s="230"/>
      <c r="W1458" s="230"/>
      <c r="X1458" s="230"/>
      <c r="Y1458" s="230"/>
      <c r="Z1458" s="230"/>
    </row>
    <row r="1459">
      <c r="O1459" s="230"/>
      <c r="S1459" s="230"/>
      <c r="T1459" s="230"/>
      <c r="U1459" s="230"/>
      <c r="V1459" s="230"/>
      <c r="W1459" s="230"/>
      <c r="X1459" s="230"/>
      <c r="Y1459" s="230"/>
      <c r="Z1459" s="230"/>
    </row>
    <row r="1460">
      <c r="O1460" s="230"/>
      <c r="S1460" s="230"/>
      <c r="T1460" s="230"/>
      <c r="U1460" s="230"/>
      <c r="V1460" s="230"/>
      <c r="W1460" s="230"/>
      <c r="X1460" s="230"/>
      <c r="Y1460" s="230"/>
      <c r="Z1460" s="230"/>
    </row>
    <row r="1461">
      <c r="O1461" s="230"/>
      <c r="S1461" s="230"/>
      <c r="T1461" s="230"/>
      <c r="U1461" s="230"/>
      <c r="V1461" s="230"/>
      <c r="W1461" s="230"/>
      <c r="X1461" s="230"/>
      <c r="Y1461" s="230"/>
      <c r="Z1461" s="230"/>
    </row>
    <row r="1462">
      <c r="O1462" s="230"/>
      <c r="S1462" s="230"/>
      <c r="T1462" s="230"/>
      <c r="U1462" s="230"/>
      <c r="V1462" s="230"/>
      <c r="W1462" s="230"/>
      <c r="X1462" s="230"/>
      <c r="Y1462" s="230"/>
      <c r="Z1462" s="230"/>
    </row>
    <row r="1463">
      <c r="O1463" s="230"/>
      <c r="S1463" s="230"/>
      <c r="T1463" s="230"/>
      <c r="U1463" s="230"/>
      <c r="V1463" s="230"/>
      <c r="W1463" s="230"/>
      <c r="X1463" s="230"/>
      <c r="Y1463" s="230"/>
      <c r="Z1463" s="230"/>
    </row>
    <row r="1464">
      <c r="O1464" s="230"/>
      <c r="S1464" s="230"/>
      <c r="T1464" s="230"/>
      <c r="U1464" s="230"/>
      <c r="V1464" s="230"/>
      <c r="W1464" s="230"/>
      <c r="X1464" s="230"/>
      <c r="Y1464" s="230"/>
      <c r="Z1464" s="230"/>
    </row>
    <row r="1465">
      <c r="O1465" s="230"/>
      <c r="S1465" s="230"/>
      <c r="T1465" s="230"/>
      <c r="U1465" s="230"/>
      <c r="V1465" s="230"/>
      <c r="W1465" s="230"/>
      <c r="X1465" s="230"/>
      <c r="Y1465" s="230"/>
      <c r="Z1465" s="230"/>
    </row>
    <row r="1466">
      <c r="O1466" s="230"/>
      <c r="S1466" s="230"/>
      <c r="T1466" s="230"/>
      <c r="U1466" s="230"/>
      <c r="V1466" s="230"/>
      <c r="W1466" s="230"/>
      <c r="X1466" s="230"/>
      <c r="Y1466" s="230"/>
      <c r="Z1466" s="230"/>
    </row>
    <row r="1467">
      <c r="O1467" s="230"/>
      <c r="S1467" s="230"/>
      <c r="T1467" s="230"/>
      <c r="U1467" s="230"/>
      <c r="V1467" s="230"/>
      <c r="W1467" s="230"/>
      <c r="X1467" s="230"/>
      <c r="Y1467" s="230"/>
      <c r="Z1467" s="230"/>
    </row>
    <row r="1468">
      <c r="O1468" s="230"/>
      <c r="S1468" s="230"/>
      <c r="T1468" s="230"/>
      <c r="U1468" s="230"/>
      <c r="V1468" s="230"/>
      <c r="W1468" s="230"/>
      <c r="X1468" s="230"/>
      <c r="Y1468" s="230"/>
      <c r="Z1468" s="230"/>
    </row>
    <row r="1469">
      <c r="O1469" s="230"/>
      <c r="S1469" s="230"/>
      <c r="T1469" s="230"/>
      <c r="U1469" s="230"/>
      <c r="V1469" s="230"/>
      <c r="W1469" s="230"/>
      <c r="X1469" s="230"/>
      <c r="Y1469" s="230"/>
      <c r="Z1469" s="230"/>
    </row>
    <row r="1470">
      <c r="O1470" s="230"/>
      <c r="S1470" s="230"/>
      <c r="T1470" s="230"/>
      <c r="U1470" s="230"/>
      <c r="V1470" s="230"/>
      <c r="W1470" s="230"/>
      <c r="X1470" s="230"/>
      <c r="Y1470" s="230"/>
      <c r="Z1470" s="230"/>
    </row>
    <row r="1471">
      <c r="O1471" s="230"/>
      <c r="S1471" s="230"/>
      <c r="T1471" s="230"/>
      <c r="U1471" s="230"/>
      <c r="V1471" s="230"/>
      <c r="W1471" s="230"/>
      <c r="X1471" s="230"/>
      <c r="Y1471" s="230"/>
      <c r="Z1471" s="230"/>
    </row>
    <row r="1472">
      <c r="O1472" s="230"/>
      <c r="S1472" s="230"/>
      <c r="T1472" s="230"/>
      <c r="U1472" s="230"/>
      <c r="V1472" s="230"/>
      <c r="W1472" s="230"/>
      <c r="X1472" s="230"/>
      <c r="Y1472" s="230"/>
      <c r="Z1472" s="230"/>
    </row>
    <row r="1473">
      <c r="O1473" s="230"/>
      <c r="S1473" s="230"/>
      <c r="T1473" s="230"/>
      <c r="U1473" s="230"/>
      <c r="V1473" s="230"/>
      <c r="W1473" s="230"/>
      <c r="X1473" s="230"/>
      <c r="Y1473" s="230"/>
      <c r="Z1473" s="230"/>
    </row>
    <row r="1474">
      <c r="O1474" s="230"/>
      <c r="S1474" s="230"/>
      <c r="T1474" s="230"/>
      <c r="U1474" s="230"/>
      <c r="V1474" s="230"/>
      <c r="W1474" s="230"/>
      <c r="X1474" s="230"/>
      <c r="Y1474" s="230"/>
      <c r="Z1474" s="230"/>
    </row>
    <row r="1475">
      <c r="O1475" s="230"/>
      <c r="S1475" s="230"/>
      <c r="T1475" s="230"/>
      <c r="U1475" s="230"/>
      <c r="V1475" s="230"/>
      <c r="W1475" s="230"/>
      <c r="X1475" s="230"/>
      <c r="Y1475" s="230"/>
      <c r="Z1475" s="230"/>
    </row>
    <row r="1476">
      <c r="O1476" s="230"/>
      <c r="S1476" s="230"/>
      <c r="T1476" s="230"/>
      <c r="U1476" s="230"/>
      <c r="V1476" s="230"/>
      <c r="W1476" s="230"/>
      <c r="X1476" s="230"/>
      <c r="Y1476" s="230"/>
      <c r="Z1476" s="230"/>
    </row>
    <row r="1477">
      <c r="O1477" s="230"/>
      <c r="S1477" s="230"/>
      <c r="T1477" s="230"/>
      <c r="U1477" s="230"/>
      <c r="V1477" s="230"/>
      <c r="W1477" s="230"/>
      <c r="X1477" s="230"/>
      <c r="Y1477" s="230"/>
      <c r="Z1477" s="230"/>
    </row>
    <row r="1478">
      <c r="O1478" s="230"/>
      <c r="S1478" s="230"/>
      <c r="T1478" s="230"/>
      <c r="U1478" s="230"/>
      <c r="V1478" s="230"/>
      <c r="W1478" s="230"/>
      <c r="X1478" s="230"/>
      <c r="Y1478" s="230"/>
      <c r="Z1478" s="230"/>
    </row>
    <row r="1479">
      <c r="O1479" s="230"/>
      <c r="S1479" s="230"/>
      <c r="T1479" s="230"/>
      <c r="U1479" s="230"/>
      <c r="V1479" s="230"/>
      <c r="W1479" s="230"/>
      <c r="X1479" s="230"/>
      <c r="Y1479" s="230"/>
      <c r="Z1479" s="230"/>
    </row>
    <row r="1480">
      <c r="O1480" s="230"/>
      <c r="S1480" s="230"/>
      <c r="T1480" s="230"/>
      <c r="U1480" s="230"/>
      <c r="V1480" s="230"/>
      <c r="W1480" s="230"/>
      <c r="X1480" s="230"/>
      <c r="Y1480" s="230"/>
      <c r="Z1480" s="230"/>
    </row>
    <row r="1481">
      <c r="O1481" s="230"/>
      <c r="S1481" s="230"/>
      <c r="T1481" s="230"/>
      <c r="U1481" s="230"/>
      <c r="V1481" s="230"/>
      <c r="W1481" s="230"/>
      <c r="X1481" s="230"/>
      <c r="Y1481" s="230"/>
      <c r="Z1481" s="230"/>
    </row>
    <row r="1482">
      <c r="O1482" s="230"/>
      <c r="S1482" s="230"/>
      <c r="T1482" s="230"/>
      <c r="U1482" s="230"/>
      <c r="V1482" s="230"/>
      <c r="W1482" s="230"/>
      <c r="X1482" s="230"/>
      <c r="Y1482" s="230"/>
      <c r="Z1482" s="230"/>
    </row>
    <row r="1483">
      <c r="O1483" s="230"/>
      <c r="S1483" s="230"/>
      <c r="T1483" s="230"/>
      <c r="U1483" s="230"/>
      <c r="V1483" s="230"/>
      <c r="W1483" s="230"/>
      <c r="X1483" s="230"/>
      <c r="Y1483" s="230"/>
      <c r="Z1483" s="230"/>
    </row>
    <row r="1484">
      <c r="O1484" s="230"/>
      <c r="S1484" s="230"/>
      <c r="T1484" s="230"/>
      <c r="U1484" s="230"/>
      <c r="V1484" s="230"/>
      <c r="W1484" s="230"/>
      <c r="X1484" s="230"/>
      <c r="Y1484" s="230"/>
      <c r="Z1484" s="230"/>
    </row>
    <row r="1485">
      <c r="O1485" s="230"/>
      <c r="S1485" s="230"/>
      <c r="T1485" s="230"/>
      <c r="U1485" s="230"/>
      <c r="V1485" s="230"/>
      <c r="W1485" s="230"/>
      <c r="X1485" s="230"/>
      <c r="Y1485" s="230"/>
      <c r="Z1485" s="230"/>
    </row>
    <row r="1486">
      <c r="O1486" s="230"/>
      <c r="S1486" s="230"/>
      <c r="T1486" s="230"/>
      <c r="U1486" s="230"/>
      <c r="V1486" s="230"/>
      <c r="W1486" s="230"/>
      <c r="X1486" s="230"/>
      <c r="Y1486" s="230"/>
      <c r="Z1486" s="230"/>
    </row>
    <row r="1487">
      <c r="O1487" s="230"/>
      <c r="S1487" s="230"/>
      <c r="T1487" s="230"/>
      <c r="U1487" s="230"/>
      <c r="V1487" s="230"/>
      <c r="W1487" s="230"/>
      <c r="X1487" s="230"/>
      <c r="Y1487" s="230"/>
      <c r="Z1487" s="230"/>
    </row>
    <row r="1488">
      <c r="O1488" s="230"/>
      <c r="S1488" s="230"/>
      <c r="T1488" s="230"/>
      <c r="U1488" s="230"/>
      <c r="V1488" s="230"/>
      <c r="W1488" s="230"/>
      <c r="X1488" s="230"/>
      <c r="Y1488" s="230"/>
      <c r="Z1488" s="230"/>
    </row>
    <row r="1489">
      <c r="O1489" s="230"/>
      <c r="S1489" s="230"/>
      <c r="T1489" s="230"/>
      <c r="U1489" s="230"/>
      <c r="V1489" s="230"/>
      <c r="W1489" s="230"/>
      <c r="X1489" s="230"/>
      <c r="Y1489" s="230"/>
      <c r="Z1489" s="230"/>
    </row>
    <row r="1490">
      <c r="O1490" s="230"/>
      <c r="S1490" s="230"/>
      <c r="T1490" s="230"/>
      <c r="U1490" s="230"/>
      <c r="V1490" s="230"/>
      <c r="W1490" s="230"/>
      <c r="X1490" s="230"/>
      <c r="Y1490" s="230"/>
      <c r="Z1490" s="230"/>
    </row>
    <row r="1491">
      <c r="O1491" s="230"/>
      <c r="S1491" s="230"/>
      <c r="T1491" s="230"/>
      <c r="U1491" s="230"/>
      <c r="V1491" s="230"/>
      <c r="W1491" s="230"/>
      <c r="X1491" s="230"/>
      <c r="Y1491" s="230"/>
      <c r="Z1491" s="230"/>
    </row>
    <row r="1492">
      <c r="O1492" s="230"/>
      <c r="S1492" s="230"/>
      <c r="T1492" s="230"/>
      <c r="U1492" s="230"/>
      <c r="V1492" s="230"/>
      <c r="W1492" s="230"/>
      <c r="X1492" s="230"/>
      <c r="Y1492" s="230"/>
      <c r="Z1492" s="230"/>
    </row>
    <row r="1493">
      <c r="O1493" s="230"/>
      <c r="S1493" s="230"/>
      <c r="T1493" s="230"/>
      <c r="U1493" s="230"/>
      <c r="V1493" s="230"/>
      <c r="W1493" s="230"/>
      <c r="X1493" s="230"/>
      <c r="Y1493" s="230"/>
      <c r="Z1493" s="230"/>
    </row>
    <row r="1494">
      <c r="O1494" s="230"/>
      <c r="S1494" s="230"/>
      <c r="T1494" s="230"/>
      <c r="U1494" s="230"/>
      <c r="V1494" s="230"/>
      <c r="W1494" s="230"/>
      <c r="X1494" s="230"/>
      <c r="Y1494" s="230"/>
      <c r="Z1494" s="230"/>
    </row>
    <row r="1495">
      <c r="O1495" s="230"/>
      <c r="S1495" s="230"/>
      <c r="T1495" s="230"/>
      <c r="U1495" s="230"/>
      <c r="V1495" s="230"/>
      <c r="W1495" s="230"/>
      <c r="X1495" s="230"/>
      <c r="Y1495" s="230"/>
      <c r="Z1495" s="230"/>
    </row>
    <row r="1496">
      <c r="O1496" s="230"/>
      <c r="S1496" s="230"/>
      <c r="T1496" s="230"/>
      <c r="U1496" s="230"/>
      <c r="V1496" s="230"/>
      <c r="W1496" s="230"/>
      <c r="X1496" s="230"/>
      <c r="Y1496" s="230"/>
      <c r="Z1496" s="230"/>
    </row>
    <row r="1497">
      <c r="O1497" s="230"/>
      <c r="S1497" s="230"/>
      <c r="T1497" s="230"/>
      <c r="U1497" s="230"/>
      <c r="V1497" s="230"/>
      <c r="W1497" s="230"/>
      <c r="X1497" s="230"/>
      <c r="Y1497" s="230"/>
      <c r="Z1497" s="230"/>
    </row>
    <row r="1498">
      <c r="O1498" s="230"/>
      <c r="S1498" s="230"/>
      <c r="T1498" s="230"/>
      <c r="U1498" s="230"/>
      <c r="V1498" s="230"/>
      <c r="W1498" s="230"/>
      <c r="X1498" s="230"/>
      <c r="Y1498" s="230"/>
      <c r="Z1498" s="230"/>
    </row>
    <row r="1499">
      <c r="O1499" s="230"/>
      <c r="S1499" s="230"/>
      <c r="T1499" s="230"/>
      <c r="U1499" s="230"/>
      <c r="V1499" s="230"/>
      <c r="W1499" s="230"/>
      <c r="X1499" s="230"/>
      <c r="Y1499" s="230"/>
      <c r="Z1499" s="230"/>
    </row>
    <row r="1500">
      <c r="O1500" s="230"/>
      <c r="S1500" s="230"/>
      <c r="T1500" s="230"/>
      <c r="U1500" s="230"/>
      <c r="V1500" s="230"/>
      <c r="W1500" s="230"/>
      <c r="X1500" s="230"/>
      <c r="Y1500" s="230"/>
      <c r="Z1500" s="230"/>
    </row>
    <row r="1501">
      <c r="O1501" s="230"/>
      <c r="S1501" s="230"/>
      <c r="T1501" s="230"/>
      <c r="U1501" s="230"/>
      <c r="V1501" s="230"/>
      <c r="W1501" s="230"/>
      <c r="X1501" s="230"/>
      <c r="Y1501" s="230"/>
      <c r="Z1501" s="230"/>
    </row>
    <row r="1502">
      <c r="O1502" s="230"/>
      <c r="S1502" s="230"/>
      <c r="T1502" s="230"/>
      <c r="U1502" s="230"/>
      <c r="V1502" s="230"/>
      <c r="W1502" s="230"/>
      <c r="X1502" s="230"/>
      <c r="Y1502" s="230"/>
      <c r="Z1502" s="230"/>
    </row>
    <row r="1503">
      <c r="O1503" s="230"/>
      <c r="S1503" s="230"/>
      <c r="T1503" s="230"/>
      <c r="U1503" s="230"/>
      <c r="V1503" s="230"/>
      <c r="W1503" s="230"/>
      <c r="X1503" s="230"/>
      <c r="Y1503" s="230"/>
      <c r="Z1503" s="230"/>
    </row>
    <row r="1504">
      <c r="O1504" s="230"/>
      <c r="S1504" s="230"/>
      <c r="T1504" s="230"/>
      <c r="U1504" s="230"/>
      <c r="V1504" s="230"/>
      <c r="W1504" s="230"/>
      <c r="X1504" s="230"/>
      <c r="Y1504" s="230"/>
      <c r="Z1504" s="230"/>
    </row>
    <row r="1505">
      <c r="O1505" s="230"/>
      <c r="S1505" s="230"/>
      <c r="T1505" s="230"/>
      <c r="U1505" s="230"/>
      <c r="V1505" s="230"/>
      <c r="W1505" s="230"/>
      <c r="X1505" s="230"/>
      <c r="Y1505" s="230"/>
      <c r="Z1505" s="230"/>
    </row>
    <row r="1506">
      <c r="O1506" s="230"/>
      <c r="S1506" s="230"/>
      <c r="T1506" s="230"/>
      <c r="U1506" s="230"/>
      <c r="V1506" s="230"/>
      <c r="W1506" s="230"/>
      <c r="X1506" s="230"/>
      <c r="Y1506" s="230"/>
      <c r="Z1506" s="230"/>
    </row>
    <row r="1507">
      <c r="O1507" s="230"/>
      <c r="S1507" s="230"/>
      <c r="T1507" s="230"/>
      <c r="U1507" s="230"/>
      <c r="V1507" s="230"/>
      <c r="W1507" s="230"/>
      <c r="X1507" s="230"/>
      <c r="Y1507" s="230"/>
      <c r="Z1507" s="230"/>
    </row>
    <row r="1508">
      <c r="O1508" s="230"/>
      <c r="S1508" s="230"/>
      <c r="T1508" s="230"/>
      <c r="U1508" s="230"/>
      <c r="V1508" s="230"/>
      <c r="W1508" s="230"/>
      <c r="X1508" s="230"/>
      <c r="Y1508" s="230"/>
      <c r="Z1508" s="230"/>
    </row>
    <row r="1509">
      <c r="O1509" s="230"/>
      <c r="S1509" s="230"/>
      <c r="T1509" s="230"/>
      <c r="U1509" s="230"/>
      <c r="V1509" s="230"/>
      <c r="W1509" s="230"/>
      <c r="X1509" s="230"/>
      <c r="Y1509" s="230"/>
      <c r="Z1509" s="230"/>
    </row>
    <row r="1510">
      <c r="O1510" s="230"/>
      <c r="S1510" s="230"/>
      <c r="T1510" s="230"/>
      <c r="U1510" s="230"/>
      <c r="V1510" s="230"/>
      <c r="W1510" s="230"/>
      <c r="X1510" s="230"/>
      <c r="Y1510" s="230"/>
      <c r="Z1510" s="230"/>
    </row>
    <row r="1511">
      <c r="O1511" s="230"/>
      <c r="S1511" s="230"/>
      <c r="T1511" s="230"/>
      <c r="U1511" s="230"/>
      <c r="V1511" s="230"/>
      <c r="W1511" s="230"/>
      <c r="X1511" s="230"/>
      <c r="Y1511" s="230"/>
      <c r="Z1511" s="230"/>
    </row>
    <row r="1512">
      <c r="O1512" s="230"/>
      <c r="S1512" s="230"/>
      <c r="T1512" s="230"/>
      <c r="U1512" s="230"/>
      <c r="V1512" s="230"/>
      <c r="W1512" s="230"/>
      <c r="X1512" s="230"/>
      <c r="Y1512" s="230"/>
      <c r="Z1512" s="230"/>
    </row>
    <row r="1513">
      <c r="O1513" s="230"/>
      <c r="S1513" s="230"/>
      <c r="T1513" s="230"/>
      <c r="U1513" s="230"/>
      <c r="V1513" s="230"/>
      <c r="W1513" s="230"/>
      <c r="X1513" s="230"/>
      <c r="Y1513" s="230"/>
      <c r="Z1513" s="230"/>
    </row>
    <row r="1514">
      <c r="O1514" s="230"/>
      <c r="S1514" s="230"/>
      <c r="T1514" s="230"/>
      <c r="U1514" s="230"/>
      <c r="V1514" s="230"/>
      <c r="W1514" s="230"/>
      <c r="X1514" s="230"/>
      <c r="Y1514" s="230"/>
      <c r="Z1514" s="230"/>
    </row>
    <row r="1515">
      <c r="O1515" s="230"/>
      <c r="S1515" s="230"/>
      <c r="T1515" s="230"/>
      <c r="U1515" s="230"/>
      <c r="V1515" s="230"/>
      <c r="W1515" s="230"/>
      <c r="X1515" s="230"/>
      <c r="Y1515" s="230"/>
      <c r="Z1515" s="230"/>
    </row>
    <row r="1516">
      <c r="O1516" s="230"/>
      <c r="S1516" s="230"/>
      <c r="T1516" s="230"/>
      <c r="U1516" s="230"/>
      <c r="V1516" s="230"/>
      <c r="W1516" s="230"/>
      <c r="X1516" s="230"/>
      <c r="Y1516" s="230"/>
      <c r="Z1516" s="230"/>
    </row>
    <row r="1517">
      <c r="O1517" s="230"/>
      <c r="S1517" s="230"/>
      <c r="T1517" s="230"/>
      <c r="U1517" s="230"/>
      <c r="V1517" s="230"/>
      <c r="W1517" s="230"/>
      <c r="X1517" s="230"/>
      <c r="Y1517" s="230"/>
      <c r="Z1517" s="230"/>
    </row>
    <row r="1518">
      <c r="O1518" s="230"/>
      <c r="S1518" s="230"/>
      <c r="T1518" s="230"/>
      <c r="U1518" s="230"/>
      <c r="V1518" s="230"/>
      <c r="W1518" s="230"/>
      <c r="X1518" s="230"/>
      <c r="Y1518" s="230"/>
      <c r="Z1518" s="230"/>
    </row>
    <row r="1519">
      <c r="O1519" s="230"/>
      <c r="S1519" s="230"/>
      <c r="T1519" s="230"/>
      <c r="U1519" s="230"/>
      <c r="V1519" s="230"/>
      <c r="W1519" s="230"/>
      <c r="X1519" s="230"/>
      <c r="Y1519" s="230"/>
      <c r="Z1519" s="230"/>
    </row>
    <row r="1520">
      <c r="O1520" s="230"/>
      <c r="S1520" s="230"/>
      <c r="T1520" s="230"/>
      <c r="U1520" s="230"/>
      <c r="V1520" s="230"/>
      <c r="W1520" s="230"/>
      <c r="X1520" s="230"/>
      <c r="Y1520" s="230"/>
      <c r="Z1520" s="230"/>
    </row>
    <row r="1521">
      <c r="O1521" s="230"/>
      <c r="S1521" s="230"/>
      <c r="T1521" s="230"/>
      <c r="U1521" s="230"/>
      <c r="V1521" s="230"/>
      <c r="W1521" s="230"/>
      <c r="X1521" s="230"/>
      <c r="Y1521" s="230"/>
      <c r="Z1521" s="230"/>
    </row>
    <row r="1522">
      <c r="O1522" s="230"/>
      <c r="S1522" s="230"/>
      <c r="T1522" s="230"/>
      <c r="U1522" s="230"/>
      <c r="V1522" s="230"/>
      <c r="W1522" s="230"/>
      <c r="X1522" s="230"/>
      <c r="Y1522" s="230"/>
      <c r="Z1522" s="230"/>
    </row>
    <row r="1523">
      <c r="O1523" s="230"/>
      <c r="S1523" s="230"/>
      <c r="T1523" s="230"/>
      <c r="U1523" s="230"/>
      <c r="V1523" s="230"/>
      <c r="W1523" s="230"/>
      <c r="X1523" s="230"/>
      <c r="Y1523" s="230"/>
      <c r="Z1523" s="230"/>
    </row>
    <row r="1524">
      <c r="O1524" s="230"/>
      <c r="S1524" s="230"/>
      <c r="T1524" s="230"/>
      <c r="U1524" s="230"/>
      <c r="V1524" s="230"/>
      <c r="W1524" s="230"/>
      <c r="X1524" s="230"/>
      <c r="Y1524" s="230"/>
      <c r="Z1524" s="230"/>
    </row>
    <row r="1525">
      <c r="O1525" s="230"/>
      <c r="S1525" s="230"/>
      <c r="T1525" s="230"/>
      <c r="U1525" s="230"/>
      <c r="V1525" s="230"/>
      <c r="W1525" s="230"/>
      <c r="X1525" s="230"/>
      <c r="Y1525" s="230"/>
      <c r="Z1525" s="230"/>
    </row>
    <row r="1526">
      <c r="O1526" s="230"/>
      <c r="S1526" s="230"/>
      <c r="T1526" s="230"/>
      <c r="U1526" s="230"/>
      <c r="V1526" s="230"/>
      <c r="W1526" s="230"/>
      <c r="X1526" s="230"/>
      <c r="Y1526" s="230"/>
      <c r="Z1526" s="230"/>
    </row>
    <row r="1527">
      <c r="O1527" s="230"/>
      <c r="S1527" s="230"/>
      <c r="T1527" s="230"/>
      <c r="U1527" s="230"/>
      <c r="V1527" s="230"/>
      <c r="W1527" s="230"/>
      <c r="X1527" s="230"/>
      <c r="Y1527" s="230"/>
      <c r="Z1527" s="230"/>
    </row>
    <row r="1528">
      <c r="O1528" s="230"/>
      <c r="S1528" s="230"/>
      <c r="T1528" s="230"/>
      <c r="U1528" s="230"/>
      <c r="V1528" s="230"/>
      <c r="W1528" s="230"/>
      <c r="X1528" s="230"/>
      <c r="Y1528" s="230"/>
      <c r="Z1528" s="230"/>
    </row>
    <row r="1529">
      <c r="O1529" s="230"/>
      <c r="S1529" s="230"/>
      <c r="T1529" s="230"/>
      <c r="U1529" s="230"/>
      <c r="V1529" s="230"/>
      <c r="W1529" s="230"/>
      <c r="X1529" s="230"/>
      <c r="Y1529" s="230"/>
      <c r="Z1529" s="230"/>
    </row>
    <row r="1530">
      <c r="O1530" s="230"/>
      <c r="S1530" s="230"/>
      <c r="T1530" s="230"/>
      <c r="U1530" s="230"/>
      <c r="V1530" s="230"/>
      <c r="W1530" s="230"/>
      <c r="X1530" s="230"/>
      <c r="Y1530" s="230"/>
      <c r="Z1530" s="230"/>
    </row>
    <row r="1531">
      <c r="O1531" s="230"/>
      <c r="S1531" s="230"/>
      <c r="T1531" s="230"/>
      <c r="U1531" s="230"/>
      <c r="V1531" s="230"/>
      <c r="W1531" s="230"/>
      <c r="X1531" s="230"/>
      <c r="Y1531" s="230"/>
      <c r="Z1531" s="230"/>
    </row>
    <row r="1532">
      <c r="O1532" s="230"/>
      <c r="S1532" s="230"/>
      <c r="T1532" s="230"/>
      <c r="U1532" s="230"/>
      <c r="V1532" s="230"/>
      <c r="W1532" s="230"/>
      <c r="X1532" s="230"/>
      <c r="Y1532" s="230"/>
      <c r="Z1532" s="230"/>
    </row>
    <row r="1533">
      <c r="O1533" s="230"/>
      <c r="S1533" s="230"/>
      <c r="T1533" s="230"/>
      <c r="U1533" s="230"/>
      <c r="V1533" s="230"/>
      <c r="W1533" s="230"/>
      <c r="X1533" s="230"/>
      <c r="Y1533" s="230"/>
      <c r="Z1533" s="230"/>
    </row>
    <row r="1534">
      <c r="O1534" s="230"/>
      <c r="S1534" s="230"/>
      <c r="T1534" s="230"/>
      <c r="U1534" s="230"/>
      <c r="V1534" s="230"/>
      <c r="W1534" s="230"/>
      <c r="X1534" s="230"/>
      <c r="Y1534" s="230"/>
      <c r="Z1534" s="230"/>
    </row>
    <row r="1535">
      <c r="O1535" s="230"/>
      <c r="S1535" s="230"/>
      <c r="T1535" s="230"/>
      <c r="U1535" s="230"/>
      <c r="V1535" s="230"/>
      <c r="W1535" s="230"/>
      <c r="X1535" s="230"/>
      <c r="Y1535" s="230"/>
      <c r="Z1535" s="230"/>
    </row>
    <row r="1536">
      <c r="O1536" s="230"/>
      <c r="S1536" s="230"/>
      <c r="T1536" s="230"/>
      <c r="U1536" s="230"/>
      <c r="V1536" s="230"/>
      <c r="W1536" s="230"/>
      <c r="X1536" s="230"/>
      <c r="Y1536" s="230"/>
      <c r="Z1536" s="230"/>
    </row>
    <row r="1537">
      <c r="O1537" s="230"/>
      <c r="S1537" s="230"/>
      <c r="T1537" s="230"/>
      <c r="U1537" s="230"/>
      <c r="V1537" s="230"/>
      <c r="W1537" s="230"/>
      <c r="X1537" s="230"/>
      <c r="Y1537" s="230"/>
      <c r="Z1537" s="230"/>
    </row>
    <row r="1538">
      <c r="O1538" s="230"/>
      <c r="S1538" s="230"/>
      <c r="T1538" s="230"/>
      <c r="U1538" s="230"/>
      <c r="V1538" s="230"/>
      <c r="W1538" s="230"/>
      <c r="X1538" s="230"/>
      <c r="Y1538" s="230"/>
      <c r="Z1538" s="230"/>
    </row>
    <row r="1539">
      <c r="O1539" s="230"/>
      <c r="S1539" s="230"/>
      <c r="T1539" s="230"/>
      <c r="U1539" s="230"/>
      <c r="V1539" s="230"/>
      <c r="W1539" s="230"/>
      <c r="X1539" s="230"/>
      <c r="Y1539" s="230"/>
      <c r="Z1539" s="230"/>
    </row>
    <row r="1540">
      <c r="O1540" s="230"/>
      <c r="S1540" s="230"/>
      <c r="T1540" s="230"/>
      <c r="U1540" s="230"/>
      <c r="V1540" s="230"/>
      <c r="W1540" s="230"/>
      <c r="X1540" s="230"/>
      <c r="Y1540" s="230"/>
      <c r="Z1540" s="230"/>
    </row>
    <row r="1541">
      <c r="O1541" s="230"/>
      <c r="S1541" s="230"/>
      <c r="T1541" s="230"/>
      <c r="U1541" s="230"/>
      <c r="V1541" s="230"/>
      <c r="W1541" s="230"/>
      <c r="X1541" s="230"/>
      <c r="Y1541" s="230"/>
      <c r="Z1541" s="230"/>
    </row>
    <row r="1542">
      <c r="O1542" s="230"/>
      <c r="S1542" s="230"/>
      <c r="T1542" s="230"/>
      <c r="U1542" s="230"/>
      <c r="V1542" s="230"/>
      <c r="W1542" s="230"/>
      <c r="X1542" s="230"/>
      <c r="Y1542" s="230"/>
      <c r="Z1542" s="230"/>
    </row>
    <row r="1543">
      <c r="O1543" s="230"/>
      <c r="S1543" s="230"/>
      <c r="T1543" s="230"/>
      <c r="U1543" s="230"/>
      <c r="V1543" s="230"/>
      <c r="W1543" s="230"/>
      <c r="X1543" s="230"/>
      <c r="Y1543" s="230"/>
      <c r="Z1543" s="230"/>
    </row>
    <row r="1544">
      <c r="O1544" s="230"/>
      <c r="S1544" s="230"/>
      <c r="T1544" s="230"/>
      <c r="U1544" s="230"/>
      <c r="V1544" s="230"/>
      <c r="W1544" s="230"/>
      <c r="X1544" s="230"/>
      <c r="Y1544" s="230"/>
      <c r="Z1544" s="230"/>
    </row>
    <row r="1545">
      <c r="O1545" s="230"/>
      <c r="S1545" s="230"/>
      <c r="T1545" s="230"/>
      <c r="U1545" s="230"/>
      <c r="V1545" s="230"/>
      <c r="W1545" s="230"/>
      <c r="X1545" s="230"/>
      <c r="Y1545" s="230"/>
      <c r="Z1545" s="230"/>
    </row>
    <row r="1546">
      <c r="O1546" s="230"/>
      <c r="S1546" s="230"/>
      <c r="T1546" s="230"/>
      <c r="U1546" s="230"/>
      <c r="V1546" s="230"/>
      <c r="W1546" s="230"/>
      <c r="X1546" s="230"/>
      <c r="Y1546" s="230"/>
      <c r="Z1546" s="230"/>
    </row>
    <row r="1547">
      <c r="O1547" s="230"/>
      <c r="S1547" s="230"/>
      <c r="T1547" s="230"/>
      <c r="U1547" s="230"/>
      <c r="V1547" s="230"/>
      <c r="W1547" s="230"/>
      <c r="X1547" s="230"/>
      <c r="Y1547" s="230"/>
      <c r="Z1547" s="230"/>
    </row>
    <row r="1548">
      <c r="O1548" s="230"/>
      <c r="S1548" s="230"/>
      <c r="T1548" s="230"/>
      <c r="U1548" s="230"/>
      <c r="V1548" s="230"/>
      <c r="W1548" s="230"/>
      <c r="X1548" s="230"/>
      <c r="Y1548" s="230"/>
      <c r="Z1548" s="230"/>
    </row>
    <row r="1549">
      <c r="O1549" s="230"/>
      <c r="S1549" s="230"/>
      <c r="T1549" s="230"/>
      <c r="U1549" s="230"/>
      <c r="V1549" s="230"/>
      <c r="W1549" s="230"/>
      <c r="X1549" s="230"/>
      <c r="Y1549" s="230"/>
      <c r="Z1549" s="230"/>
    </row>
    <row r="1550">
      <c r="O1550" s="230"/>
      <c r="S1550" s="230"/>
      <c r="T1550" s="230"/>
      <c r="U1550" s="230"/>
      <c r="V1550" s="230"/>
      <c r="W1550" s="230"/>
      <c r="X1550" s="230"/>
      <c r="Y1550" s="230"/>
      <c r="Z1550" s="230"/>
    </row>
    <row r="1551">
      <c r="O1551" s="230"/>
      <c r="S1551" s="230"/>
      <c r="T1551" s="230"/>
      <c r="U1551" s="230"/>
      <c r="V1551" s="230"/>
      <c r="W1551" s="230"/>
      <c r="X1551" s="230"/>
      <c r="Y1551" s="230"/>
      <c r="Z1551" s="230"/>
    </row>
    <row r="1552">
      <c r="O1552" s="230"/>
      <c r="S1552" s="230"/>
      <c r="T1552" s="230"/>
      <c r="U1552" s="230"/>
      <c r="V1552" s="230"/>
      <c r="W1552" s="230"/>
      <c r="X1552" s="230"/>
      <c r="Y1552" s="230"/>
      <c r="Z1552" s="230"/>
    </row>
    <row r="1553">
      <c r="O1553" s="230"/>
      <c r="S1553" s="230"/>
      <c r="T1553" s="230"/>
      <c r="U1553" s="230"/>
      <c r="V1553" s="230"/>
      <c r="W1553" s="230"/>
      <c r="X1553" s="230"/>
      <c r="Y1553" s="230"/>
      <c r="Z1553" s="230"/>
    </row>
    <row r="1554">
      <c r="O1554" s="230"/>
      <c r="S1554" s="230"/>
      <c r="T1554" s="230"/>
      <c r="U1554" s="230"/>
      <c r="V1554" s="230"/>
      <c r="W1554" s="230"/>
      <c r="X1554" s="230"/>
      <c r="Y1554" s="230"/>
      <c r="Z1554" s="230"/>
    </row>
    <row r="1555">
      <c r="O1555" s="230"/>
      <c r="S1555" s="230"/>
      <c r="T1555" s="230"/>
      <c r="U1555" s="230"/>
      <c r="V1555" s="230"/>
      <c r="W1555" s="230"/>
      <c r="X1555" s="230"/>
      <c r="Y1555" s="230"/>
      <c r="Z1555" s="230"/>
    </row>
    <row r="1556">
      <c r="O1556" s="230"/>
      <c r="S1556" s="230"/>
      <c r="T1556" s="230"/>
      <c r="U1556" s="230"/>
      <c r="V1556" s="230"/>
      <c r="W1556" s="230"/>
      <c r="X1556" s="230"/>
      <c r="Y1556" s="230"/>
      <c r="Z1556" s="230"/>
    </row>
    <row r="1557">
      <c r="O1557" s="230"/>
      <c r="S1557" s="230"/>
      <c r="T1557" s="230"/>
      <c r="U1557" s="230"/>
      <c r="V1557" s="230"/>
      <c r="W1557" s="230"/>
      <c r="X1557" s="230"/>
      <c r="Y1557" s="230"/>
      <c r="Z1557" s="230"/>
    </row>
    <row r="1558">
      <c r="O1558" s="230"/>
      <c r="S1558" s="230"/>
      <c r="T1558" s="230"/>
      <c r="U1558" s="230"/>
      <c r="V1558" s="230"/>
      <c r="W1558" s="230"/>
      <c r="X1558" s="230"/>
      <c r="Y1558" s="230"/>
      <c r="Z1558" s="230"/>
    </row>
    <row r="1559">
      <c r="O1559" s="230"/>
      <c r="S1559" s="230"/>
      <c r="T1559" s="230"/>
      <c r="U1559" s="230"/>
      <c r="V1559" s="230"/>
      <c r="W1559" s="230"/>
      <c r="X1559" s="230"/>
      <c r="Y1559" s="230"/>
      <c r="Z1559" s="230"/>
    </row>
    <row r="1560">
      <c r="O1560" s="230"/>
      <c r="S1560" s="230"/>
      <c r="T1560" s="230"/>
      <c r="U1560" s="230"/>
      <c r="V1560" s="230"/>
      <c r="W1560" s="230"/>
      <c r="X1560" s="230"/>
      <c r="Y1560" s="230"/>
      <c r="Z1560" s="230"/>
    </row>
    <row r="1561">
      <c r="O1561" s="230"/>
      <c r="S1561" s="230"/>
      <c r="T1561" s="230"/>
      <c r="U1561" s="230"/>
      <c r="V1561" s="230"/>
      <c r="W1561" s="230"/>
      <c r="X1561" s="230"/>
      <c r="Y1561" s="230"/>
      <c r="Z1561" s="230"/>
    </row>
    <row r="1562">
      <c r="O1562" s="230"/>
      <c r="S1562" s="230"/>
      <c r="T1562" s="230"/>
      <c r="U1562" s="230"/>
      <c r="V1562" s="230"/>
      <c r="W1562" s="230"/>
      <c r="X1562" s="230"/>
      <c r="Y1562" s="230"/>
      <c r="Z1562" s="230"/>
    </row>
    <row r="1563">
      <c r="O1563" s="230"/>
      <c r="S1563" s="230"/>
      <c r="T1563" s="230"/>
      <c r="U1563" s="230"/>
      <c r="V1563" s="230"/>
      <c r="W1563" s="230"/>
      <c r="X1563" s="230"/>
      <c r="Y1563" s="230"/>
      <c r="Z1563" s="230"/>
    </row>
    <row r="1564">
      <c r="O1564" s="230"/>
      <c r="S1564" s="230"/>
      <c r="T1564" s="230"/>
      <c r="U1564" s="230"/>
      <c r="V1564" s="230"/>
      <c r="W1564" s="230"/>
      <c r="X1564" s="230"/>
      <c r="Y1564" s="230"/>
      <c r="Z1564" s="230"/>
    </row>
    <row r="1565">
      <c r="O1565" s="230"/>
      <c r="S1565" s="230"/>
      <c r="T1565" s="230"/>
      <c r="U1565" s="230"/>
      <c r="V1565" s="230"/>
      <c r="W1565" s="230"/>
      <c r="X1565" s="230"/>
      <c r="Y1565" s="230"/>
      <c r="Z1565" s="230"/>
    </row>
    <row r="1566">
      <c r="O1566" s="230"/>
      <c r="S1566" s="230"/>
      <c r="T1566" s="230"/>
      <c r="U1566" s="230"/>
      <c r="V1566" s="230"/>
      <c r="W1566" s="230"/>
      <c r="X1566" s="230"/>
      <c r="Y1566" s="230"/>
      <c r="Z1566" s="230"/>
    </row>
    <row r="1567">
      <c r="O1567" s="230"/>
      <c r="S1567" s="230"/>
      <c r="T1567" s="230"/>
      <c r="U1567" s="230"/>
      <c r="V1567" s="230"/>
      <c r="W1567" s="230"/>
      <c r="X1567" s="230"/>
      <c r="Y1567" s="230"/>
      <c r="Z1567" s="230"/>
    </row>
    <row r="1568">
      <c r="O1568" s="230"/>
      <c r="S1568" s="230"/>
      <c r="T1568" s="230"/>
      <c r="U1568" s="230"/>
      <c r="V1568" s="230"/>
      <c r="W1568" s="230"/>
      <c r="X1568" s="230"/>
      <c r="Y1568" s="230"/>
      <c r="Z1568" s="230"/>
    </row>
    <row r="1569">
      <c r="O1569" s="230"/>
      <c r="S1569" s="230"/>
      <c r="T1569" s="230"/>
      <c r="U1569" s="230"/>
      <c r="V1569" s="230"/>
      <c r="W1569" s="230"/>
      <c r="X1569" s="230"/>
      <c r="Y1569" s="230"/>
      <c r="Z1569" s="230"/>
    </row>
    <row r="1570">
      <c r="O1570" s="230"/>
      <c r="S1570" s="230"/>
      <c r="T1570" s="230"/>
      <c r="U1570" s="230"/>
      <c r="V1570" s="230"/>
      <c r="W1570" s="230"/>
      <c r="X1570" s="230"/>
      <c r="Y1570" s="230"/>
      <c r="Z1570" s="230"/>
    </row>
    <row r="1571">
      <c r="O1571" s="230"/>
      <c r="S1571" s="230"/>
      <c r="T1571" s="230"/>
      <c r="U1571" s="230"/>
      <c r="V1571" s="230"/>
      <c r="W1571" s="230"/>
      <c r="X1571" s="230"/>
      <c r="Y1571" s="230"/>
      <c r="Z1571" s="230"/>
    </row>
    <row r="1572">
      <c r="O1572" s="230"/>
      <c r="S1572" s="230"/>
      <c r="T1572" s="230"/>
      <c r="U1572" s="230"/>
      <c r="V1572" s="230"/>
      <c r="W1572" s="230"/>
      <c r="X1572" s="230"/>
      <c r="Y1572" s="230"/>
      <c r="Z1572" s="230"/>
    </row>
    <row r="1573">
      <c r="O1573" s="230"/>
      <c r="S1573" s="230"/>
      <c r="T1573" s="230"/>
      <c r="U1573" s="230"/>
      <c r="V1573" s="230"/>
      <c r="W1573" s="230"/>
      <c r="X1573" s="230"/>
      <c r="Y1573" s="230"/>
      <c r="Z1573" s="230"/>
    </row>
    <row r="1574">
      <c r="O1574" s="230"/>
      <c r="S1574" s="230"/>
      <c r="T1574" s="230"/>
      <c r="U1574" s="230"/>
      <c r="V1574" s="230"/>
      <c r="W1574" s="230"/>
      <c r="X1574" s="230"/>
      <c r="Y1574" s="230"/>
      <c r="Z1574" s="230"/>
    </row>
    <row r="1575">
      <c r="O1575" s="230"/>
      <c r="S1575" s="230"/>
      <c r="T1575" s="230"/>
      <c r="U1575" s="230"/>
      <c r="V1575" s="230"/>
      <c r="W1575" s="230"/>
      <c r="X1575" s="230"/>
      <c r="Y1575" s="230"/>
      <c r="Z1575" s="230"/>
    </row>
    <row r="1576">
      <c r="O1576" s="230"/>
      <c r="S1576" s="230"/>
      <c r="T1576" s="230"/>
      <c r="U1576" s="230"/>
      <c r="V1576" s="230"/>
      <c r="W1576" s="230"/>
      <c r="X1576" s="230"/>
      <c r="Y1576" s="230"/>
      <c r="Z1576" s="230"/>
    </row>
    <row r="1577">
      <c r="O1577" s="230"/>
      <c r="S1577" s="230"/>
      <c r="T1577" s="230"/>
      <c r="U1577" s="230"/>
      <c r="V1577" s="230"/>
      <c r="W1577" s="230"/>
      <c r="X1577" s="230"/>
      <c r="Y1577" s="230"/>
      <c r="Z1577" s="230"/>
    </row>
    <row r="1578">
      <c r="O1578" s="230"/>
      <c r="S1578" s="230"/>
      <c r="T1578" s="230"/>
      <c r="U1578" s="230"/>
      <c r="V1578" s="230"/>
      <c r="W1578" s="230"/>
      <c r="X1578" s="230"/>
      <c r="Y1578" s="230"/>
      <c r="Z1578" s="230"/>
    </row>
    <row r="1579">
      <c r="O1579" s="230"/>
      <c r="S1579" s="230"/>
      <c r="T1579" s="230"/>
      <c r="U1579" s="230"/>
      <c r="V1579" s="230"/>
      <c r="W1579" s="230"/>
      <c r="X1579" s="230"/>
      <c r="Y1579" s="230"/>
      <c r="Z1579" s="230"/>
    </row>
    <row r="1580">
      <c r="O1580" s="230"/>
      <c r="S1580" s="230"/>
      <c r="T1580" s="230"/>
      <c r="U1580" s="230"/>
      <c r="V1580" s="230"/>
      <c r="W1580" s="230"/>
      <c r="X1580" s="230"/>
      <c r="Y1580" s="230"/>
      <c r="Z1580" s="230"/>
    </row>
    <row r="1581">
      <c r="O1581" s="230"/>
      <c r="S1581" s="230"/>
      <c r="T1581" s="230"/>
      <c r="U1581" s="230"/>
      <c r="V1581" s="230"/>
      <c r="W1581" s="230"/>
      <c r="X1581" s="230"/>
      <c r="Y1581" s="230"/>
      <c r="Z1581" s="230"/>
    </row>
    <row r="1582">
      <c r="O1582" s="230"/>
      <c r="S1582" s="230"/>
      <c r="T1582" s="230"/>
      <c r="U1582" s="230"/>
      <c r="V1582" s="230"/>
      <c r="W1582" s="230"/>
      <c r="X1582" s="230"/>
      <c r="Y1582" s="230"/>
      <c r="Z1582" s="230"/>
    </row>
    <row r="1583">
      <c r="O1583" s="230"/>
      <c r="S1583" s="230"/>
      <c r="T1583" s="230"/>
      <c r="U1583" s="230"/>
      <c r="V1583" s="230"/>
      <c r="W1583" s="230"/>
      <c r="X1583" s="230"/>
      <c r="Y1583" s="230"/>
      <c r="Z1583" s="230"/>
    </row>
    <row r="1584">
      <c r="O1584" s="230"/>
      <c r="S1584" s="230"/>
      <c r="T1584" s="230"/>
      <c r="U1584" s="230"/>
      <c r="V1584" s="230"/>
      <c r="W1584" s="230"/>
      <c r="X1584" s="230"/>
      <c r="Y1584" s="230"/>
      <c r="Z1584" s="230"/>
    </row>
    <row r="1585">
      <c r="O1585" s="230"/>
      <c r="S1585" s="230"/>
      <c r="T1585" s="230"/>
      <c r="U1585" s="230"/>
      <c r="V1585" s="230"/>
      <c r="W1585" s="230"/>
      <c r="X1585" s="230"/>
      <c r="Y1585" s="230"/>
      <c r="Z1585" s="230"/>
    </row>
    <row r="1586">
      <c r="O1586" s="230"/>
      <c r="S1586" s="230"/>
      <c r="T1586" s="230"/>
      <c r="U1586" s="230"/>
      <c r="V1586" s="230"/>
      <c r="W1586" s="230"/>
      <c r="X1586" s="230"/>
      <c r="Y1586" s="230"/>
      <c r="Z1586" s="230"/>
    </row>
    <row r="1587">
      <c r="O1587" s="230"/>
      <c r="S1587" s="230"/>
      <c r="T1587" s="230"/>
      <c r="U1587" s="230"/>
      <c r="V1587" s="230"/>
      <c r="W1587" s="230"/>
      <c r="X1587" s="230"/>
      <c r="Y1587" s="230"/>
      <c r="Z1587" s="230"/>
    </row>
    <row r="1588">
      <c r="O1588" s="230"/>
      <c r="S1588" s="230"/>
      <c r="T1588" s="230"/>
      <c r="U1588" s="230"/>
      <c r="V1588" s="230"/>
      <c r="W1588" s="230"/>
      <c r="X1588" s="230"/>
      <c r="Y1588" s="230"/>
      <c r="Z1588" s="230"/>
    </row>
    <row r="1589">
      <c r="O1589" s="230"/>
      <c r="S1589" s="230"/>
      <c r="T1589" s="230"/>
      <c r="U1589" s="230"/>
      <c r="V1589" s="230"/>
      <c r="W1589" s="230"/>
      <c r="X1589" s="230"/>
      <c r="Y1589" s="230"/>
      <c r="Z1589" s="230"/>
    </row>
    <row r="1590">
      <c r="O1590" s="230"/>
      <c r="S1590" s="230"/>
      <c r="T1590" s="230"/>
      <c r="U1590" s="230"/>
      <c r="V1590" s="230"/>
      <c r="W1590" s="230"/>
      <c r="X1590" s="230"/>
      <c r="Y1590" s="230"/>
      <c r="Z1590" s="230"/>
    </row>
    <row r="1591">
      <c r="O1591" s="230"/>
      <c r="S1591" s="230"/>
      <c r="T1591" s="230"/>
      <c r="U1591" s="230"/>
      <c r="V1591" s="230"/>
      <c r="W1591" s="230"/>
      <c r="X1591" s="230"/>
      <c r="Y1591" s="230"/>
      <c r="Z1591" s="230"/>
    </row>
    <row r="1592">
      <c r="O1592" s="230"/>
      <c r="S1592" s="230"/>
      <c r="T1592" s="230"/>
      <c r="U1592" s="230"/>
      <c r="V1592" s="230"/>
      <c r="W1592" s="230"/>
      <c r="X1592" s="230"/>
      <c r="Y1592" s="230"/>
      <c r="Z1592" s="230"/>
    </row>
    <row r="1593">
      <c r="O1593" s="230"/>
      <c r="S1593" s="230"/>
      <c r="T1593" s="230"/>
      <c r="U1593" s="230"/>
      <c r="V1593" s="230"/>
      <c r="W1593" s="230"/>
      <c r="X1593" s="230"/>
      <c r="Y1593" s="230"/>
      <c r="Z1593" s="230"/>
    </row>
    <row r="1594">
      <c r="O1594" s="230"/>
      <c r="S1594" s="230"/>
      <c r="T1594" s="230"/>
      <c r="U1594" s="230"/>
      <c r="V1594" s="230"/>
      <c r="W1594" s="230"/>
      <c r="X1594" s="230"/>
      <c r="Y1594" s="230"/>
      <c r="Z1594" s="230"/>
    </row>
    <row r="1595">
      <c r="O1595" s="230"/>
      <c r="S1595" s="230"/>
      <c r="T1595" s="230"/>
      <c r="U1595" s="230"/>
      <c r="V1595" s="230"/>
      <c r="W1595" s="230"/>
      <c r="X1595" s="230"/>
      <c r="Y1595" s="230"/>
      <c r="Z1595" s="230"/>
    </row>
    <row r="1596">
      <c r="O1596" s="230"/>
      <c r="S1596" s="230"/>
      <c r="T1596" s="230"/>
      <c r="U1596" s="230"/>
      <c r="V1596" s="230"/>
      <c r="W1596" s="230"/>
      <c r="X1596" s="230"/>
      <c r="Y1596" s="230"/>
      <c r="Z1596" s="230"/>
    </row>
    <row r="1597">
      <c r="O1597" s="230"/>
      <c r="S1597" s="230"/>
      <c r="T1597" s="230"/>
      <c r="U1597" s="230"/>
      <c r="V1597" s="230"/>
      <c r="W1597" s="230"/>
      <c r="X1597" s="230"/>
      <c r="Y1597" s="230"/>
      <c r="Z1597" s="230"/>
    </row>
    <row r="1598">
      <c r="O1598" s="230"/>
      <c r="S1598" s="230"/>
      <c r="T1598" s="230"/>
      <c r="U1598" s="230"/>
      <c r="V1598" s="230"/>
      <c r="W1598" s="230"/>
      <c r="X1598" s="230"/>
      <c r="Y1598" s="230"/>
      <c r="Z1598" s="230"/>
    </row>
    <row r="1599">
      <c r="O1599" s="230"/>
      <c r="S1599" s="230"/>
      <c r="T1599" s="230"/>
      <c r="U1599" s="230"/>
      <c r="V1599" s="230"/>
      <c r="W1599" s="230"/>
      <c r="X1599" s="230"/>
      <c r="Y1599" s="230"/>
      <c r="Z1599" s="230"/>
    </row>
    <row r="1600">
      <c r="O1600" s="230"/>
      <c r="S1600" s="230"/>
      <c r="T1600" s="230"/>
      <c r="U1600" s="230"/>
      <c r="V1600" s="230"/>
      <c r="W1600" s="230"/>
      <c r="X1600" s="230"/>
      <c r="Y1600" s="230"/>
      <c r="Z1600" s="230"/>
    </row>
    <row r="1601">
      <c r="O1601" s="230"/>
      <c r="S1601" s="230"/>
      <c r="T1601" s="230"/>
      <c r="U1601" s="230"/>
      <c r="V1601" s="230"/>
      <c r="W1601" s="230"/>
      <c r="X1601" s="230"/>
      <c r="Y1601" s="230"/>
      <c r="Z1601" s="230"/>
    </row>
    <row r="1602">
      <c r="O1602" s="230"/>
      <c r="S1602" s="230"/>
      <c r="T1602" s="230"/>
      <c r="U1602" s="230"/>
      <c r="V1602" s="230"/>
      <c r="W1602" s="230"/>
      <c r="X1602" s="230"/>
      <c r="Y1602" s="230"/>
      <c r="Z1602" s="230"/>
    </row>
    <row r="1603">
      <c r="O1603" s="230"/>
      <c r="S1603" s="230"/>
      <c r="T1603" s="230"/>
      <c r="U1603" s="230"/>
      <c r="V1603" s="230"/>
      <c r="W1603" s="230"/>
      <c r="X1603" s="230"/>
      <c r="Y1603" s="230"/>
      <c r="Z1603" s="230"/>
    </row>
    <row r="1604">
      <c r="O1604" s="230"/>
      <c r="S1604" s="230"/>
      <c r="T1604" s="230"/>
      <c r="U1604" s="230"/>
      <c r="V1604" s="230"/>
      <c r="W1604" s="230"/>
      <c r="X1604" s="230"/>
      <c r="Y1604" s="230"/>
      <c r="Z1604" s="230"/>
    </row>
    <row r="1605">
      <c r="O1605" s="230"/>
      <c r="S1605" s="230"/>
      <c r="T1605" s="230"/>
      <c r="U1605" s="230"/>
      <c r="V1605" s="230"/>
      <c r="W1605" s="230"/>
      <c r="X1605" s="230"/>
      <c r="Y1605" s="230"/>
      <c r="Z1605" s="230"/>
    </row>
    <row r="1606">
      <c r="O1606" s="230"/>
      <c r="S1606" s="230"/>
      <c r="T1606" s="230"/>
      <c r="U1606" s="230"/>
      <c r="V1606" s="230"/>
      <c r="W1606" s="230"/>
      <c r="X1606" s="230"/>
      <c r="Y1606" s="230"/>
      <c r="Z1606" s="230"/>
    </row>
    <row r="1607">
      <c r="O1607" s="230"/>
      <c r="S1607" s="230"/>
      <c r="T1607" s="230"/>
      <c r="U1607" s="230"/>
      <c r="V1607" s="230"/>
      <c r="W1607" s="230"/>
      <c r="X1607" s="230"/>
      <c r="Y1607" s="230"/>
      <c r="Z1607" s="230"/>
    </row>
    <row r="1608">
      <c r="O1608" s="230"/>
      <c r="S1608" s="230"/>
      <c r="T1608" s="230"/>
      <c r="U1608" s="230"/>
      <c r="V1608" s="230"/>
      <c r="W1608" s="230"/>
      <c r="X1608" s="230"/>
      <c r="Y1608" s="230"/>
      <c r="Z1608" s="230"/>
    </row>
    <row r="1609">
      <c r="O1609" s="230"/>
      <c r="S1609" s="230"/>
      <c r="T1609" s="230"/>
      <c r="U1609" s="230"/>
      <c r="V1609" s="230"/>
      <c r="W1609" s="230"/>
      <c r="X1609" s="230"/>
      <c r="Y1609" s="230"/>
      <c r="Z1609" s="230"/>
    </row>
    <row r="1610">
      <c r="O1610" s="230"/>
      <c r="S1610" s="230"/>
      <c r="T1610" s="230"/>
      <c r="U1610" s="230"/>
      <c r="V1610" s="230"/>
      <c r="W1610" s="230"/>
      <c r="X1610" s="230"/>
      <c r="Y1610" s="230"/>
      <c r="Z1610" s="230"/>
    </row>
    <row r="1611">
      <c r="O1611" s="230"/>
      <c r="S1611" s="230"/>
      <c r="T1611" s="230"/>
      <c r="U1611" s="230"/>
      <c r="V1611" s="230"/>
      <c r="W1611" s="230"/>
      <c r="X1611" s="230"/>
      <c r="Y1611" s="230"/>
      <c r="Z1611" s="230"/>
    </row>
    <row r="1612">
      <c r="O1612" s="230"/>
      <c r="S1612" s="230"/>
      <c r="T1612" s="230"/>
      <c r="U1612" s="230"/>
      <c r="V1612" s="230"/>
      <c r="W1612" s="230"/>
      <c r="X1612" s="230"/>
      <c r="Y1612" s="230"/>
      <c r="Z1612" s="230"/>
    </row>
    <row r="1613">
      <c r="O1613" s="230"/>
      <c r="S1613" s="230"/>
      <c r="T1613" s="230"/>
      <c r="U1613" s="230"/>
      <c r="V1613" s="230"/>
      <c r="W1613" s="230"/>
      <c r="X1613" s="230"/>
      <c r="Y1613" s="230"/>
      <c r="Z1613" s="230"/>
    </row>
    <row r="1614">
      <c r="O1614" s="230"/>
      <c r="S1614" s="230"/>
      <c r="T1614" s="230"/>
      <c r="U1614" s="230"/>
      <c r="V1614" s="230"/>
      <c r="W1614" s="230"/>
      <c r="X1614" s="230"/>
      <c r="Y1614" s="230"/>
      <c r="Z1614" s="230"/>
    </row>
    <row r="1615">
      <c r="O1615" s="230"/>
      <c r="S1615" s="230"/>
      <c r="T1615" s="230"/>
      <c r="U1615" s="230"/>
      <c r="V1615" s="230"/>
      <c r="W1615" s="230"/>
      <c r="X1615" s="230"/>
      <c r="Y1615" s="230"/>
      <c r="Z1615" s="230"/>
    </row>
    <row r="1616">
      <c r="O1616" s="230"/>
      <c r="S1616" s="230"/>
      <c r="T1616" s="230"/>
      <c r="U1616" s="230"/>
      <c r="V1616" s="230"/>
      <c r="W1616" s="230"/>
      <c r="X1616" s="230"/>
      <c r="Y1616" s="230"/>
      <c r="Z1616" s="230"/>
    </row>
    <row r="1617">
      <c r="O1617" s="230"/>
      <c r="S1617" s="230"/>
      <c r="T1617" s="230"/>
      <c r="U1617" s="230"/>
      <c r="V1617" s="230"/>
      <c r="W1617" s="230"/>
      <c r="X1617" s="230"/>
      <c r="Y1617" s="230"/>
      <c r="Z1617" s="230"/>
    </row>
    <row r="1618">
      <c r="O1618" s="230"/>
      <c r="S1618" s="230"/>
      <c r="T1618" s="230"/>
      <c r="U1618" s="230"/>
      <c r="V1618" s="230"/>
      <c r="W1618" s="230"/>
      <c r="X1618" s="230"/>
      <c r="Y1618" s="230"/>
      <c r="Z1618" s="230"/>
    </row>
    <row r="1619">
      <c r="O1619" s="230"/>
      <c r="S1619" s="230"/>
      <c r="T1619" s="230"/>
      <c r="U1619" s="230"/>
      <c r="V1619" s="230"/>
      <c r="W1619" s="230"/>
      <c r="X1619" s="230"/>
      <c r="Y1619" s="230"/>
      <c r="Z1619" s="230"/>
    </row>
    <row r="1620">
      <c r="O1620" s="230"/>
      <c r="S1620" s="230"/>
      <c r="T1620" s="230"/>
      <c r="U1620" s="230"/>
      <c r="V1620" s="230"/>
      <c r="W1620" s="230"/>
      <c r="X1620" s="230"/>
      <c r="Y1620" s="230"/>
      <c r="Z1620" s="230"/>
    </row>
    <row r="1621">
      <c r="O1621" s="230"/>
      <c r="S1621" s="230"/>
      <c r="T1621" s="230"/>
      <c r="U1621" s="230"/>
      <c r="V1621" s="230"/>
      <c r="W1621" s="230"/>
      <c r="X1621" s="230"/>
      <c r="Y1621" s="230"/>
      <c r="Z1621" s="230"/>
    </row>
    <row r="1622">
      <c r="O1622" s="230"/>
      <c r="S1622" s="230"/>
      <c r="T1622" s="230"/>
      <c r="U1622" s="230"/>
      <c r="V1622" s="230"/>
      <c r="W1622" s="230"/>
      <c r="X1622" s="230"/>
      <c r="Y1622" s="230"/>
      <c r="Z1622" s="230"/>
    </row>
    <row r="1623">
      <c r="O1623" s="230"/>
      <c r="S1623" s="230"/>
      <c r="T1623" s="230"/>
      <c r="U1623" s="230"/>
      <c r="V1623" s="230"/>
      <c r="W1623" s="230"/>
      <c r="X1623" s="230"/>
      <c r="Y1623" s="230"/>
      <c r="Z1623" s="230"/>
    </row>
    <row r="1624">
      <c r="O1624" s="230"/>
      <c r="S1624" s="230"/>
      <c r="T1624" s="230"/>
      <c r="U1624" s="230"/>
      <c r="V1624" s="230"/>
      <c r="W1624" s="230"/>
      <c r="X1624" s="230"/>
      <c r="Y1624" s="230"/>
      <c r="Z1624" s="230"/>
    </row>
    <row r="1625">
      <c r="O1625" s="230"/>
      <c r="S1625" s="230"/>
      <c r="T1625" s="230"/>
      <c r="U1625" s="230"/>
      <c r="V1625" s="230"/>
      <c r="W1625" s="230"/>
      <c r="X1625" s="230"/>
      <c r="Y1625" s="230"/>
      <c r="Z1625" s="230"/>
    </row>
    <row r="1626">
      <c r="O1626" s="230"/>
      <c r="S1626" s="230"/>
      <c r="T1626" s="230"/>
      <c r="U1626" s="230"/>
      <c r="V1626" s="230"/>
      <c r="W1626" s="230"/>
      <c r="X1626" s="230"/>
      <c r="Y1626" s="230"/>
      <c r="Z1626" s="230"/>
    </row>
    <row r="1627">
      <c r="O1627" s="230"/>
      <c r="S1627" s="230"/>
      <c r="T1627" s="230"/>
      <c r="U1627" s="230"/>
      <c r="V1627" s="230"/>
      <c r="W1627" s="230"/>
      <c r="X1627" s="230"/>
      <c r="Y1627" s="230"/>
      <c r="Z1627" s="230"/>
    </row>
    <row r="1628">
      <c r="O1628" s="230"/>
      <c r="S1628" s="230"/>
      <c r="T1628" s="230"/>
      <c r="U1628" s="230"/>
      <c r="V1628" s="230"/>
      <c r="W1628" s="230"/>
      <c r="X1628" s="230"/>
      <c r="Y1628" s="230"/>
      <c r="Z1628" s="230"/>
    </row>
    <row r="1629">
      <c r="O1629" s="230"/>
      <c r="S1629" s="230"/>
      <c r="T1629" s="230"/>
      <c r="U1629" s="230"/>
      <c r="V1629" s="230"/>
      <c r="W1629" s="230"/>
      <c r="X1629" s="230"/>
      <c r="Y1629" s="230"/>
      <c r="Z1629" s="230"/>
    </row>
    <row r="1630">
      <c r="O1630" s="230"/>
      <c r="S1630" s="230"/>
      <c r="T1630" s="230"/>
      <c r="U1630" s="230"/>
      <c r="V1630" s="230"/>
      <c r="W1630" s="230"/>
      <c r="X1630" s="230"/>
      <c r="Y1630" s="230"/>
      <c r="Z1630" s="230"/>
    </row>
    <row r="1631">
      <c r="O1631" s="230"/>
      <c r="S1631" s="230"/>
      <c r="T1631" s="230"/>
      <c r="U1631" s="230"/>
      <c r="V1631" s="230"/>
      <c r="W1631" s="230"/>
      <c r="X1631" s="230"/>
      <c r="Y1631" s="230"/>
      <c r="Z1631" s="230"/>
    </row>
    <row r="1632">
      <c r="O1632" s="230"/>
      <c r="S1632" s="230"/>
      <c r="T1632" s="230"/>
      <c r="U1632" s="230"/>
      <c r="V1632" s="230"/>
      <c r="W1632" s="230"/>
      <c r="X1632" s="230"/>
      <c r="Y1632" s="230"/>
      <c r="Z1632" s="230"/>
    </row>
    <row r="1633">
      <c r="O1633" s="230"/>
      <c r="S1633" s="230"/>
      <c r="T1633" s="230"/>
      <c r="U1633" s="230"/>
      <c r="V1633" s="230"/>
      <c r="W1633" s="230"/>
      <c r="X1633" s="230"/>
      <c r="Y1633" s="230"/>
      <c r="Z1633" s="230"/>
    </row>
    <row r="1634">
      <c r="O1634" s="230"/>
      <c r="S1634" s="230"/>
      <c r="T1634" s="230"/>
      <c r="U1634" s="230"/>
      <c r="V1634" s="230"/>
      <c r="W1634" s="230"/>
      <c r="X1634" s="230"/>
      <c r="Y1634" s="230"/>
      <c r="Z1634" s="230"/>
    </row>
    <row r="1635">
      <c r="O1635" s="230"/>
      <c r="S1635" s="230"/>
      <c r="T1635" s="230"/>
      <c r="U1635" s="230"/>
      <c r="V1635" s="230"/>
      <c r="W1635" s="230"/>
      <c r="X1635" s="230"/>
      <c r="Y1635" s="230"/>
      <c r="Z1635" s="230"/>
    </row>
    <row r="1636">
      <c r="O1636" s="230"/>
      <c r="S1636" s="230"/>
      <c r="T1636" s="230"/>
      <c r="U1636" s="230"/>
      <c r="V1636" s="230"/>
      <c r="W1636" s="230"/>
      <c r="X1636" s="230"/>
      <c r="Y1636" s="230"/>
      <c r="Z1636" s="230"/>
    </row>
    <row r="1637">
      <c r="O1637" s="230"/>
      <c r="S1637" s="230"/>
      <c r="T1637" s="230"/>
      <c r="U1637" s="230"/>
      <c r="V1637" s="230"/>
      <c r="W1637" s="230"/>
      <c r="X1637" s="230"/>
      <c r="Y1637" s="230"/>
      <c r="Z1637" s="230"/>
    </row>
    <row r="1638">
      <c r="O1638" s="230"/>
      <c r="S1638" s="230"/>
      <c r="T1638" s="230"/>
      <c r="U1638" s="230"/>
      <c r="V1638" s="230"/>
      <c r="W1638" s="230"/>
      <c r="X1638" s="230"/>
      <c r="Y1638" s="230"/>
      <c r="Z1638" s="230"/>
    </row>
    <row r="1639">
      <c r="O1639" s="230"/>
      <c r="S1639" s="230"/>
      <c r="T1639" s="230"/>
      <c r="U1639" s="230"/>
      <c r="V1639" s="230"/>
      <c r="W1639" s="230"/>
      <c r="X1639" s="230"/>
      <c r="Y1639" s="230"/>
      <c r="Z1639" s="230"/>
    </row>
    <row r="1640">
      <c r="O1640" s="230"/>
      <c r="S1640" s="230"/>
      <c r="T1640" s="230"/>
      <c r="U1640" s="230"/>
      <c r="V1640" s="230"/>
      <c r="W1640" s="230"/>
      <c r="X1640" s="230"/>
      <c r="Y1640" s="230"/>
      <c r="Z1640" s="230"/>
    </row>
    <row r="1641">
      <c r="O1641" s="230"/>
      <c r="S1641" s="230"/>
      <c r="T1641" s="230"/>
      <c r="U1641" s="230"/>
      <c r="V1641" s="230"/>
      <c r="W1641" s="230"/>
      <c r="X1641" s="230"/>
      <c r="Y1641" s="230"/>
      <c r="Z1641" s="230"/>
    </row>
    <row r="1642">
      <c r="O1642" s="230"/>
      <c r="S1642" s="230"/>
      <c r="T1642" s="230"/>
      <c r="U1642" s="230"/>
      <c r="V1642" s="230"/>
      <c r="W1642" s="230"/>
      <c r="X1642" s="230"/>
      <c r="Y1642" s="230"/>
      <c r="Z1642" s="230"/>
    </row>
    <row r="1643">
      <c r="O1643" s="230"/>
      <c r="S1643" s="230"/>
      <c r="T1643" s="230"/>
      <c r="U1643" s="230"/>
      <c r="V1643" s="230"/>
      <c r="W1643" s="230"/>
      <c r="X1643" s="230"/>
      <c r="Y1643" s="230"/>
      <c r="Z1643" s="230"/>
    </row>
    <row r="1644">
      <c r="O1644" s="230"/>
      <c r="S1644" s="230"/>
      <c r="T1644" s="230"/>
      <c r="U1644" s="230"/>
      <c r="V1644" s="230"/>
      <c r="W1644" s="230"/>
      <c r="X1644" s="230"/>
      <c r="Y1644" s="230"/>
      <c r="Z1644" s="230"/>
    </row>
    <row r="1645">
      <c r="O1645" s="230"/>
      <c r="S1645" s="230"/>
      <c r="T1645" s="230"/>
      <c r="U1645" s="230"/>
      <c r="V1645" s="230"/>
      <c r="W1645" s="230"/>
      <c r="X1645" s="230"/>
      <c r="Y1645" s="230"/>
      <c r="Z1645" s="230"/>
    </row>
    <row r="1646">
      <c r="O1646" s="230"/>
      <c r="S1646" s="230"/>
      <c r="T1646" s="230"/>
      <c r="U1646" s="230"/>
      <c r="V1646" s="230"/>
      <c r="W1646" s="230"/>
      <c r="X1646" s="230"/>
      <c r="Y1646" s="230"/>
      <c r="Z1646" s="230"/>
    </row>
    <row r="1647">
      <c r="O1647" s="230"/>
      <c r="S1647" s="230"/>
      <c r="T1647" s="230"/>
      <c r="U1647" s="230"/>
      <c r="V1647" s="230"/>
      <c r="W1647" s="230"/>
      <c r="X1647" s="230"/>
      <c r="Y1647" s="230"/>
      <c r="Z1647" s="230"/>
    </row>
    <row r="1648">
      <c r="O1648" s="230"/>
      <c r="S1648" s="230"/>
      <c r="T1648" s="230"/>
      <c r="U1648" s="230"/>
      <c r="V1648" s="230"/>
      <c r="W1648" s="230"/>
      <c r="X1648" s="230"/>
      <c r="Y1648" s="230"/>
      <c r="Z1648" s="230"/>
    </row>
    <row r="1649">
      <c r="O1649" s="230"/>
      <c r="S1649" s="230"/>
      <c r="T1649" s="230"/>
      <c r="U1649" s="230"/>
      <c r="V1649" s="230"/>
      <c r="W1649" s="230"/>
      <c r="X1649" s="230"/>
      <c r="Y1649" s="230"/>
      <c r="Z1649" s="230"/>
    </row>
    <row r="1650">
      <c r="O1650" s="230"/>
      <c r="S1650" s="230"/>
      <c r="T1650" s="230"/>
      <c r="U1650" s="230"/>
      <c r="V1650" s="230"/>
      <c r="W1650" s="230"/>
      <c r="X1650" s="230"/>
      <c r="Y1650" s="230"/>
      <c r="Z1650" s="230"/>
    </row>
    <row r="1651">
      <c r="O1651" s="230"/>
      <c r="S1651" s="230"/>
      <c r="T1651" s="230"/>
      <c r="U1651" s="230"/>
      <c r="V1651" s="230"/>
      <c r="W1651" s="230"/>
      <c r="X1651" s="230"/>
      <c r="Y1651" s="230"/>
      <c r="Z1651" s="230"/>
    </row>
    <row r="1652">
      <c r="O1652" s="230"/>
      <c r="S1652" s="230"/>
      <c r="T1652" s="230"/>
      <c r="U1652" s="230"/>
      <c r="V1652" s="230"/>
      <c r="W1652" s="230"/>
      <c r="X1652" s="230"/>
      <c r="Y1652" s="230"/>
      <c r="Z1652" s="230"/>
    </row>
    <row r="1653">
      <c r="O1653" s="230"/>
      <c r="S1653" s="230"/>
      <c r="T1653" s="230"/>
      <c r="U1653" s="230"/>
      <c r="V1653" s="230"/>
      <c r="W1653" s="230"/>
      <c r="X1653" s="230"/>
      <c r="Y1653" s="230"/>
      <c r="Z1653" s="230"/>
    </row>
    <row r="1654">
      <c r="O1654" s="230"/>
      <c r="S1654" s="230"/>
      <c r="T1654" s="230"/>
      <c r="U1654" s="230"/>
      <c r="V1654" s="230"/>
      <c r="W1654" s="230"/>
      <c r="X1654" s="230"/>
      <c r="Y1654" s="230"/>
      <c r="Z1654" s="230"/>
    </row>
    <row r="1655">
      <c r="O1655" s="230"/>
      <c r="S1655" s="230"/>
      <c r="T1655" s="230"/>
      <c r="U1655" s="230"/>
      <c r="V1655" s="230"/>
      <c r="W1655" s="230"/>
      <c r="X1655" s="230"/>
      <c r="Y1655" s="230"/>
      <c r="Z1655" s="230"/>
    </row>
    <row r="1656">
      <c r="O1656" s="230"/>
      <c r="S1656" s="230"/>
      <c r="T1656" s="230"/>
      <c r="U1656" s="230"/>
      <c r="V1656" s="230"/>
      <c r="W1656" s="230"/>
      <c r="X1656" s="230"/>
      <c r="Y1656" s="230"/>
      <c r="Z1656" s="230"/>
    </row>
    <row r="1657">
      <c r="O1657" s="230"/>
      <c r="S1657" s="230"/>
      <c r="T1657" s="230"/>
      <c r="U1657" s="230"/>
      <c r="V1657" s="230"/>
      <c r="W1657" s="230"/>
      <c r="X1657" s="230"/>
      <c r="Y1657" s="230"/>
      <c r="Z1657" s="230"/>
    </row>
    <row r="1658">
      <c r="O1658" s="230"/>
      <c r="S1658" s="230"/>
      <c r="T1658" s="230"/>
      <c r="U1658" s="230"/>
      <c r="V1658" s="230"/>
      <c r="W1658" s="230"/>
      <c r="X1658" s="230"/>
      <c r="Y1658" s="230"/>
      <c r="Z1658" s="230"/>
    </row>
    <row r="1659">
      <c r="O1659" s="230"/>
      <c r="S1659" s="230"/>
      <c r="T1659" s="230"/>
      <c r="U1659" s="230"/>
      <c r="V1659" s="230"/>
      <c r="W1659" s="230"/>
      <c r="X1659" s="230"/>
      <c r="Y1659" s="230"/>
      <c r="Z1659" s="230"/>
    </row>
    <row r="1660">
      <c r="O1660" s="230"/>
      <c r="S1660" s="230"/>
      <c r="T1660" s="230"/>
      <c r="U1660" s="230"/>
      <c r="V1660" s="230"/>
      <c r="W1660" s="230"/>
      <c r="X1660" s="230"/>
      <c r="Y1660" s="230"/>
      <c r="Z1660" s="230"/>
    </row>
    <row r="1661">
      <c r="O1661" s="230"/>
      <c r="S1661" s="230"/>
      <c r="T1661" s="230"/>
      <c r="U1661" s="230"/>
      <c r="V1661" s="230"/>
      <c r="W1661" s="230"/>
      <c r="X1661" s="230"/>
      <c r="Y1661" s="230"/>
      <c r="Z1661" s="230"/>
    </row>
    <row r="1662">
      <c r="O1662" s="230"/>
      <c r="S1662" s="230"/>
      <c r="T1662" s="230"/>
      <c r="U1662" s="230"/>
      <c r="V1662" s="230"/>
      <c r="W1662" s="230"/>
      <c r="X1662" s="230"/>
      <c r="Y1662" s="230"/>
      <c r="Z1662" s="230"/>
    </row>
    <row r="1663">
      <c r="O1663" s="230"/>
      <c r="S1663" s="230"/>
      <c r="T1663" s="230"/>
      <c r="U1663" s="230"/>
      <c r="V1663" s="230"/>
      <c r="W1663" s="230"/>
      <c r="X1663" s="230"/>
      <c r="Y1663" s="230"/>
      <c r="Z1663" s="230"/>
    </row>
    <row r="1664">
      <c r="O1664" s="230"/>
      <c r="S1664" s="230"/>
      <c r="T1664" s="230"/>
      <c r="U1664" s="230"/>
      <c r="V1664" s="230"/>
      <c r="W1664" s="230"/>
      <c r="X1664" s="230"/>
      <c r="Y1664" s="230"/>
      <c r="Z1664" s="230"/>
    </row>
    <row r="1665">
      <c r="O1665" s="230"/>
      <c r="S1665" s="230"/>
      <c r="T1665" s="230"/>
      <c r="U1665" s="230"/>
      <c r="V1665" s="230"/>
      <c r="W1665" s="230"/>
      <c r="X1665" s="230"/>
      <c r="Y1665" s="230"/>
      <c r="Z1665" s="230"/>
    </row>
    <row r="1666">
      <c r="O1666" s="230"/>
      <c r="S1666" s="230"/>
      <c r="T1666" s="230"/>
      <c r="U1666" s="230"/>
      <c r="V1666" s="230"/>
      <c r="W1666" s="230"/>
      <c r="X1666" s="230"/>
      <c r="Y1666" s="230"/>
      <c r="Z1666" s="230"/>
    </row>
    <row r="1667">
      <c r="O1667" s="230"/>
      <c r="S1667" s="230"/>
      <c r="T1667" s="230"/>
      <c r="U1667" s="230"/>
      <c r="V1667" s="230"/>
      <c r="W1667" s="230"/>
      <c r="X1667" s="230"/>
      <c r="Y1667" s="230"/>
      <c r="Z1667" s="230"/>
    </row>
    <row r="1668">
      <c r="O1668" s="230"/>
      <c r="S1668" s="230"/>
      <c r="T1668" s="230"/>
      <c r="U1668" s="230"/>
      <c r="V1668" s="230"/>
      <c r="W1668" s="230"/>
      <c r="X1668" s="230"/>
      <c r="Y1668" s="230"/>
      <c r="Z1668" s="230"/>
    </row>
    <row r="1669">
      <c r="O1669" s="230"/>
      <c r="S1669" s="230"/>
      <c r="T1669" s="230"/>
      <c r="U1669" s="230"/>
      <c r="V1669" s="230"/>
      <c r="W1669" s="230"/>
      <c r="X1669" s="230"/>
      <c r="Y1669" s="230"/>
      <c r="Z1669" s="230"/>
    </row>
    <row r="1670">
      <c r="O1670" s="230"/>
      <c r="S1670" s="230"/>
      <c r="T1670" s="230"/>
      <c r="U1670" s="230"/>
      <c r="V1670" s="230"/>
      <c r="W1670" s="230"/>
      <c r="X1670" s="230"/>
      <c r="Y1670" s="230"/>
      <c r="Z1670" s="230"/>
    </row>
    <row r="1671">
      <c r="O1671" s="230"/>
      <c r="S1671" s="230"/>
      <c r="T1671" s="230"/>
      <c r="U1671" s="230"/>
      <c r="V1671" s="230"/>
      <c r="W1671" s="230"/>
      <c r="X1671" s="230"/>
      <c r="Y1671" s="230"/>
      <c r="Z1671" s="230"/>
    </row>
    <row r="1672">
      <c r="O1672" s="230"/>
      <c r="S1672" s="230"/>
      <c r="T1672" s="230"/>
      <c r="U1672" s="230"/>
      <c r="V1672" s="230"/>
      <c r="W1672" s="230"/>
      <c r="X1672" s="230"/>
      <c r="Y1672" s="230"/>
      <c r="Z1672" s="230"/>
    </row>
    <row r="1673">
      <c r="O1673" s="230"/>
      <c r="S1673" s="230"/>
      <c r="T1673" s="230"/>
      <c r="U1673" s="230"/>
      <c r="V1673" s="230"/>
      <c r="W1673" s="230"/>
      <c r="X1673" s="230"/>
      <c r="Y1673" s="230"/>
      <c r="Z1673" s="230"/>
    </row>
    <row r="1674">
      <c r="O1674" s="230"/>
      <c r="S1674" s="230"/>
      <c r="T1674" s="230"/>
      <c r="U1674" s="230"/>
      <c r="V1674" s="230"/>
      <c r="W1674" s="230"/>
      <c r="X1674" s="230"/>
      <c r="Y1674" s="230"/>
      <c r="Z1674" s="230"/>
    </row>
    <row r="1675">
      <c r="O1675" s="230"/>
      <c r="S1675" s="230"/>
      <c r="T1675" s="230"/>
      <c r="U1675" s="230"/>
      <c r="V1675" s="230"/>
      <c r="W1675" s="230"/>
      <c r="X1675" s="230"/>
      <c r="Y1675" s="230"/>
      <c r="Z1675" s="230"/>
    </row>
    <row r="1676">
      <c r="O1676" s="230"/>
      <c r="S1676" s="230"/>
      <c r="T1676" s="230"/>
      <c r="U1676" s="230"/>
      <c r="V1676" s="230"/>
      <c r="W1676" s="230"/>
      <c r="X1676" s="230"/>
      <c r="Y1676" s="230"/>
      <c r="Z1676" s="230"/>
    </row>
    <row r="1677">
      <c r="O1677" s="230"/>
      <c r="S1677" s="230"/>
      <c r="T1677" s="230"/>
      <c r="U1677" s="230"/>
      <c r="V1677" s="230"/>
      <c r="W1677" s="230"/>
      <c r="X1677" s="230"/>
      <c r="Y1677" s="230"/>
      <c r="Z1677" s="230"/>
    </row>
    <row r="1678">
      <c r="O1678" s="230"/>
      <c r="S1678" s="230"/>
      <c r="T1678" s="230"/>
      <c r="U1678" s="230"/>
      <c r="V1678" s="230"/>
      <c r="W1678" s="230"/>
      <c r="X1678" s="230"/>
      <c r="Y1678" s="230"/>
      <c r="Z1678" s="230"/>
    </row>
    <row r="1679">
      <c r="O1679" s="230"/>
      <c r="S1679" s="230"/>
      <c r="T1679" s="230"/>
      <c r="U1679" s="230"/>
      <c r="V1679" s="230"/>
      <c r="W1679" s="230"/>
      <c r="X1679" s="230"/>
      <c r="Y1679" s="230"/>
      <c r="Z1679" s="230"/>
    </row>
    <row r="1680">
      <c r="O1680" s="230"/>
      <c r="S1680" s="230"/>
      <c r="T1680" s="230"/>
      <c r="U1680" s="230"/>
      <c r="V1680" s="230"/>
      <c r="W1680" s="230"/>
      <c r="X1680" s="230"/>
      <c r="Y1680" s="230"/>
      <c r="Z1680" s="230"/>
    </row>
    <row r="1681">
      <c r="O1681" s="230"/>
      <c r="S1681" s="230"/>
      <c r="T1681" s="230"/>
      <c r="U1681" s="230"/>
      <c r="V1681" s="230"/>
      <c r="W1681" s="230"/>
      <c r="X1681" s="230"/>
      <c r="Y1681" s="230"/>
      <c r="Z1681" s="230"/>
    </row>
    <row r="1682">
      <c r="O1682" s="230"/>
      <c r="S1682" s="230"/>
      <c r="T1682" s="230"/>
      <c r="U1682" s="230"/>
      <c r="V1682" s="230"/>
      <c r="W1682" s="230"/>
      <c r="X1682" s="230"/>
      <c r="Y1682" s="230"/>
      <c r="Z1682" s="230"/>
    </row>
    <row r="1683">
      <c r="O1683" s="230"/>
      <c r="S1683" s="230"/>
      <c r="T1683" s="230"/>
      <c r="U1683" s="230"/>
      <c r="V1683" s="230"/>
      <c r="W1683" s="230"/>
      <c r="X1683" s="230"/>
      <c r="Y1683" s="230"/>
      <c r="Z1683" s="230"/>
    </row>
    <row r="1684">
      <c r="O1684" s="230"/>
      <c r="S1684" s="230"/>
      <c r="T1684" s="230"/>
      <c r="U1684" s="230"/>
      <c r="V1684" s="230"/>
      <c r="W1684" s="230"/>
      <c r="X1684" s="230"/>
      <c r="Y1684" s="230"/>
      <c r="Z1684" s="230"/>
    </row>
    <row r="1685">
      <c r="O1685" s="230"/>
      <c r="S1685" s="230"/>
      <c r="T1685" s="230"/>
      <c r="U1685" s="230"/>
      <c r="V1685" s="230"/>
      <c r="W1685" s="230"/>
      <c r="X1685" s="230"/>
      <c r="Y1685" s="230"/>
      <c r="Z1685" s="230"/>
    </row>
    <row r="1686">
      <c r="O1686" s="230"/>
      <c r="S1686" s="230"/>
      <c r="T1686" s="230"/>
      <c r="U1686" s="230"/>
      <c r="V1686" s="230"/>
      <c r="W1686" s="230"/>
      <c r="X1686" s="230"/>
      <c r="Y1686" s="230"/>
      <c r="Z1686" s="230"/>
    </row>
    <row r="1687">
      <c r="O1687" s="230"/>
      <c r="S1687" s="230"/>
      <c r="T1687" s="230"/>
      <c r="U1687" s="230"/>
      <c r="V1687" s="230"/>
      <c r="W1687" s="230"/>
      <c r="X1687" s="230"/>
      <c r="Y1687" s="230"/>
      <c r="Z1687" s="230"/>
    </row>
    <row r="1688">
      <c r="O1688" s="230"/>
      <c r="S1688" s="230"/>
      <c r="T1688" s="230"/>
      <c r="U1688" s="230"/>
      <c r="V1688" s="230"/>
      <c r="W1688" s="230"/>
      <c r="X1688" s="230"/>
      <c r="Y1688" s="230"/>
      <c r="Z1688" s="230"/>
    </row>
    <row r="1689">
      <c r="O1689" s="230"/>
      <c r="S1689" s="230"/>
      <c r="T1689" s="230"/>
      <c r="U1689" s="230"/>
      <c r="V1689" s="230"/>
      <c r="W1689" s="230"/>
      <c r="X1689" s="230"/>
      <c r="Y1689" s="230"/>
      <c r="Z1689" s="230"/>
    </row>
    <row r="1690">
      <c r="O1690" s="230"/>
      <c r="S1690" s="230"/>
      <c r="T1690" s="230"/>
      <c r="U1690" s="230"/>
      <c r="V1690" s="230"/>
      <c r="W1690" s="230"/>
      <c r="X1690" s="230"/>
      <c r="Y1690" s="230"/>
      <c r="Z1690" s="230"/>
    </row>
    <row r="1691">
      <c r="O1691" s="230"/>
      <c r="S1691" s="230"/>
      <c r="T1691" s="230"/>
      <c r="U1691" s="230"/>
      <c r="V1691" s="230"/>
      <c r="W1691" s="230"/>
      <c r="X1691" s="230"/>
      <c r="Y1691" s="230"/>
      <c r="Z1691" s="230"/>
    </row>
    <row r="1692">
      <c r="O1692" s="230"/>
      <c r="S1692" s="230"/>
      <c r="T1692" s="230"/>
      <c r="U1692" s="230"/>
      <c r="V1692" s="230"/>
      <c r="W1692" s="230"/>
      <c r="X1692" s="230"/>
      <c r="Y1692" s="230"/>
      <c r="Z1692" s="230"/>
    </row>
    <row r="1693">
      <c r="O1693" s="230"/>
      <c r="S1693" s="230"/>
      <c r="T1693" s="230"/>
      <c r="U1693" s="230"/>
      <c r="V1693" s="230"/>
      <c r="W1693" s="230"/>
      <c r="X1693" s="230"/>
      <c r="Y1693" s="230"/>
      <c r="Z1693" s="230"/>
    </row>
    <row r="1694">
      <c r="O1694" s="230"/>
      <c r="S1694" s="230"/>
      <c r="T1694" s="230"/>
      <c r="U1694" s="230"/>
      <c r="V1694" s="230"/>
      <c r="W1694" s="230"/>
      <c r="X1694" s="230"/>
      <c r="Y1694" s="230"/>
      <c r="Z1694" s="230"/>
    </row>
    <row r="1695">
      <c r="O1695" s="230"/>
      <c r="S1695" s="230"/>
      <c r="T1695" s="230"/>
      <c r="U1695" s="230"/>
      <c r="V1695" s="230"/>
      <c r="W1695" s="230"/>
      <c r="X1695" s="230"/>
      <c r="Y1695" s="230"/>
      <c r="Z1695" s="230"/>
    </row>
    <row r="1696">
      <c r="O1696" s="230"/>
      <c r="S1696" s="230"/>
      <c r="T1696" s="230"/>
      <c r="U1696" s="230"/>
      <c r="V1696" s="230"/>
      <c r="W1696" s="230"/>
      <c r="X1696" s="230"/>
      <c r="Y1696" s="230"/>
      <c r="Z1696" s="230"/>
    </row>
    <row r="1697">
      <c r="O1697" s="230"/>
      <c r="S1697" s="230"/>
      <c r="T1697" s="230"/>
      <c r="U1697" s="230"/>
      <c r="V1697" s="230"/>
      <c r="W1697" s="230"/>
      <c r="X1697" s="230"/>
      <c r="Y1697" s="230"/>
      <c r="Z1697" s="230"/>
    </row>
    <row r="1698">
      <c r="O1698" s="230"/>
      <c r="S1698" s="230"/>
      <c r="T1698" s="230"/>
      <c r="U1698" s="230"/>
      <c r="V1698" s="230"/>
      <c r="W1698" s="230"/>
      <c r="X1698" s="230"/>
      <c r="Y1698" s="230"/>
      <c r="Z1698" s="230"/>
    </row>
    <row r="1699">
      <c r="O1699" s="230"/>
      <c r="S1699" s="230"/>
      <c r="T1699" s="230"/>
      <c r="U1699" s="230"/>
      <c r="V1699" s="230"/>
      <c r="W1699" s="230"/>
      <c r="X1699" s="230"/>
      <c r="Y1699" s="230"/>
      <c r="Z1699" s="230"/>
    </row>
    <row r="1700">
      <c r="O1700" s="230"/>
      <c r="S1700" s="230"/>
      <c r="T1700" s="230"/>
      <c r="U1700" s="230"/>
      <c r="V1700" s="230"/>
      <c r="W1700" s="230"/>
      <c r="X1700" s="230"/>
      <c r="Y1700" s="230"/>
      <c r="Z1700" s="230"/>
    </row>
    <row r="1701">
      <c r="O1701" s="230"/>
      <c r="S1701" s="230"/>
      <c r="T1701" s="230"/>
      <c r="U1701" s="230"/>
      <c r="V1701" s="230"/>
      <c r="W1701" s="230"/>
      <c r="X1701" s="230"/>
      <c r="Y1701" s="230"/>
      <c r="Z1701" s="230"/>
    </row>
    <row r="1702">
      <c r="O1702" s="230"/>
      <c r="S1702" s="230"/>
      <c r="T1702" s="230"/>
      <c r="U1702" s="230"/>
      <c r="V1702" s="230"/>
      <c r="W1702" s="230"/>
      <c r="X1702" s="230"/>
      <c r="Y1702" s="230"/>
      <c r="Z1702" s="230"/>
    </row>
    <row r="1703">
      <c r="O1703" s="230"/>
      <c r="S1703" s="230"/>
      <c r="T1703" s="230"/>
      <c r="U1703" s="230"/>
      <c r="V1703" s="230"/>
      <c r="W1703" s="230"/>
      <c r="X1703" s="230"/>
      <c r="Y1703" s="230"/>
      <c r="Z1703" s="230"/>
    </row>
    <row r="1704">
      <c r="O1704" s="230"/>
      <c r="S1704" s="230"/>
      <c r="T1704" s="230"/>
      <c r="U1704" s="230"/>
      <c r="V1704" s="230"/>
      <c r="W1704" s="230"/>
      <c r="X1704" s="230"/>
      <c r="Y1704" s="230"/>
      <c r="Z1704" s="230"/>
    </row>
    <row r="1705">
      <c r="O1705" s="230"/>
      <c r="S1705" s="230"/>
      <c r="T1705" s="230"/>
      <c r="U1705" s="230"/>
      <c r="V1705" s="230"/>
      <c r="W1705" s="230"/>
      <c r="X1705" s="230"/>
      <c r="Y1705" s="230"/>
      <c r="Z1705" s="230"/>
    </row>
    <row r="1706">
      <c r="O1706" s="230"/>
      <c r="S1706" s="230"/>
      <c r="T1706" s="230"/>
      <c r="U1706" s="230"/>
      <c r="V1706" s="230"/>
      <c r="W1706" s="230"/>
      <c r="X1706" s="230"/>
      <c r="Y1706" s="230"/>
      <c r="Z1706" s="230"/>
    </row>
    <row r="1707">
      <c r="O1707" s="230"/>
      <c r="S1707" s="230"/>
      <c r="T1707" s="230"/>
      <c r="U1707" s="230"/>
      <c r="V1707" s="230"/>
      <c r="W1707" s="230"/>
      <c r="X1707" s="230"/>
      <c r="Y1707" s="230"/>
      <c r="Z1707" s="230"/>
    </row>
    <row r="1708">
      <c r="O1708" s="230"/>
      <c r="S1708" s="230"/>
      <c r="T1708" s="230"/>
      <c r="U1708" s="230"/>
      <c r="V1708" s="230"/>
      <c r="W1708" s="230"/>
      <c r="X1708" s="230"/>
      <c r="Y1708" s="230"/>
      <c r="Z1708" s="230"/>
    </row>
    <row r="1709">
      <c r="O1709" s="230"/>
      <c r="S1709" s="230"/>
      <c r="T1709" s="230"/>
      <c r="U1709" s="230"/>
      <c r="V1709" s="230"/>
      <c r="W1709" s="230"/>
      <c r="X1709" s="230"/>
      <c r="Y1709" s="230"/>
      <c r="Z1709" s="230"/>
    </row>
    <row r="1710">
      <c r="O1710" s="230"/>
      <c r="S1710" s="230"/>
      <c r="T1710" s="230"/>
      <c r="U1710" s="230"/>
      <c r="V1710" s="230"/>
      <c r="W1710" s="230"/>
      <c r="X1710" s="230"/>
      <c r="Y1710" s="230"/>
      <c r="Z1710" s="230"/>
    </row>
    <row r="1711">
      <c r="O1711" s="230"/>
      <c r="S1711" s="230"/>
      <c r="T1711" s="230"/>
      <c r="U1711" s="230"/>
      <c r="V1711" s="230"/>
      <c r="W1711" s="230"/>
      <c r="X1711" s="230"/>
      <c r="Y1711" s="230"/>
      <c r="Z1711" s="230"/>
    </row>
    <row r="1712">
      <c r="O1712" s="230"/>
      <c r="S1712" s="230"/>
      <c r="T1712" s="230"/>
      <c r="U1712" s="230"/>
      <c r="V1712" s="230"/>
      <c r="W1712" s="230"/>
      <c r="X1712" s="230"/>
      <c r="Y1712" s="230"/>
      <c r="Z1712" s="230"/>
    </row>
    <row r="1713">
      <c r="O1713" s="230"/>
      <c r="S1713" s="230"/>
      <c r="T1713" s="230"/>
      <c r="U1713" s="230"/>
      <c r="V1713" s="230"/>
      <c r="W1713" s="230"/>
      <c r="X1713" s="230"/>
      <c r="Y1713" s="230"/>
      <c r="Z1713" s="230"/>
    </row>
    <row r="1714">
      <c r="O1714" s="230"/>
      <c r="S1714" s="230"/>
      <c r="T1714" s="230"/>
      <c r="U1714" s="230"/>
      <c r="V1714" s="230"/>
      <c r="W1714" s="230"/>
      <c r="X1714" s="230"/>
      <c r="Y1714" s="230"/>
      <c r="Z1714" s="230"/>
    </row>
    <row r="1715">
      <c r="O1715" s="230"/>
      <c r="S1715" s="230"/>
      <c r="T1715" s="230"/>
      <c r="U1715" s="230"/>
      <c r="V1715" s="230"/>
      <c r="W1715" s="230"/>
      <c r="X1715" s="230"/>
      <c r="Y1715" s="230"/>
      <c r="Z1715" s="230"/>
    </row>
    <row r="1716">
      <c r="O1716" s="230"/>
      <c r="S1716" s="230"/>
      <c r="T1716" s="230"/>
      <c r="U1716" s="230"/>
      <c r="V1716" s="230"/>
      <c r="W1716" s="230"/>
      <c r="X1716" s="230"/>
      <c r="Y1716" s="230"/>
      <c r="Z1716" s="230"/>
    </row>
    <row r="1717">
      <c r="O1717" s="230"/>
      <c r="S1717" s="230"/>
      <c r="T1717" s="230"/>
      <c r="U1717" s="230"/>
      <c r="V1717" s="230"/>
      <c r="W1717" s="230"/>
      <c r="X1717" s="230"/>
      <c r="Y1717" s="230"/>
      <c r="Z1717" s="230"/>
    </row>
    <row r="1718">
      <c r="O1718" s="230"/>
      <c r="S1718" s="230"/>
      <c r="T1718" s="230"/>
      <c r="U1718" s="230"/>
      <c r="V1718" s="230"/>
      <c r="W1718" s="230"/>
      <c r="X1718" s="230"/>
      <c r="Y1718" s="230"/>
      <c r="Z1718" s="230"/>
    </row>
    <row r="1719">
      <c r="O1719" s="230"/>
      <c r="S1719" s="230"/>
      <c r="T1719" s="230"/>
      <c r="U1719" s="230"/>
      <c r="V1719" s="230"/>
      <c r="W1719" s="230"/>
      <c r="X1719" s="230"/>
      <c r="Y1719" s="230"/>
      <c r="Z1719" s="230"/>
    </row>
    <row r="1720">
      <c r="O1720" s="230"/>
      <c r="S1720" s="230"/>
      <c r="T1720" s="230"/>
      <c r="U1720" s="230"/>
      <c r="V1720" s="230"/>
      <c r="W1720" s="230"/>
      <c r="X1720" s="230"/>
      <c r="Y1720" s="230"/>
      <c r="Z1720" s="230"/>
    </row>
    <row r="1721">
      <c r="O1721" s="230"/>
      <c r="S1721" s="230"/>
      <c r="T1721" s="230"/>
      <c r="U1721" s="230"/>
      <c r="V1721" s="230"/>
      <c r="W1721" s="230"/>
      <c r="X1721" s="230"/>
      <c r="Y1721" s="230"/>
      <c r="Z1721" s="230"/>
    </row>
    <row r="1722">
      <c r="O1722" s="230"/>
      <c r="S1722" s="230"/>
      <c r="T1722" s="230"/>
      <c r="U1722" s="230"/>
      <c r="V1722" s="230"/>
      <c r="W1722" s="230"/>
      <c r="X1722" s="230"/>
      <c r="Y1722" s="230"/>
      <c r="Z1722" s="230"/>
    </row>
    <row r="1723">
      <c r="O1723" s="230"/>
      <c r="S1723" s="230"/>
      <c r="T1723" s="230"/>
      <c r="U1723" s="230"/>
      <c r="V1723" s="230"/>
      <c r="W1723" s="230"/>
      <c r="X1723" s="230"/>
      <c r="Y1723" s="230"/>
      <c r="Z1723" s="230"/>
    </row>
    <row r="1724">
      <c r="O1724" s="230"/>
      <c r="S1724" s="230"/>
      <c r="T1724" s="230"/>
      <c r="U1724" s="230"/>
      <c r="V1724" s="230"/>
      <c r="W1724" s="230"/>
      <c r="X1724" s="230"/>
      <c r="Y1724" s="230"/>
      <c r="Z1724" s="230"/>
    </row>
    <row r="1725">
      <c r="O1725" s="230"/>
      <c r="S1725" s="230"/>
      <c r="T1725" s="230"/>
      <c r="U1725" s="230"/>
      <c r="V1725" s="230"/>
      <c r="W1725" s="230"/>
      <c r="X1725" s="230"/>
      <c r="Y1725" s="230"/>
      <c r="Z1725" s="230"/>
    </row>
    <row r="1726">
      <c r="O1726" s="230"/>
      <c r="S1726" s="230"/>
      <c r="T1726" s="230"/>
      <c r="U1726" s="230"/>
      <c r="V1726" s="230"/>
      <c r="W1726" s="230"/>
      <c r="X1726" s="230"/>
      <c r="Y1726" s="230"/>
      <c r="Z1726" s="230"/>
    </row>
    <row r="1727">
      <c r="O1727" s="230"/>
      <c r="S1727" s="230"/>
      <c r="T1727" s="230"/>
      <c r="U1727" s="230"/>
      <c r="V1727" s="230"/>
      <c r="W1727" s="230"/>
      <c r="X1727" s="230"/>
      <c r="Y1727" s="230"/>
      <c r="Z1727" s="230"/>
    </row>
    <row r="1728">
      <c r="O1728" s="230"/>
      <c r="S1728" s="230"/>
      <c r="T1728" s="230"/>
      <c r="U1728" s="230"/>
      <c r="V1728" s="230"/>
      <c r="W1728" s="230"/>
      <c r="X1728" s="230"/>
      <c r="Y1728" s="230"/>
      <c r="Z1728" s="230"/>
    </row>
    <row r="1729">
      <c r="O1729" s="230"/>
      <c r="S1729" s="230"/>
      <c r="T1729" s="230"/>
      <c r="U1729" s="230"/>
      <c r="V1729" s="230"/>
      <c r="W1729" s="230"/>
      <c r="X1729" s="230"/>
      <c r="Y1729" s="230"/>
      <c r="Z1729" s="230"/>
    </row>
    <row r="1730">
      <c r="O1730" s="230"/>
      <c r="S1730" s="230"/>
      <c r="T1730" s="230"/>
      <c r="U1730" s="230"/>
      <c r="V1730" s="230"/>
      <c r="W1730" s="230"/>
      <c r="X1730" s="230"/>
      <c r="Y1730" s="230"/>
      <c r="Z1730" s="230"/>
    </row>
    <row r="1731">
      <c r="O1731" s="230"/>
      <c r="S1731" s="230"/>
      <c r="T1731" s="230"/>
      <c r="U1731" s="230"/>
      <c r="V1731" s="230"/>
      <c r="W1731" s="230"/>
      <c r="X1731" s="230"/>
      <c r="Y1731" s="230"/>
      <c r="Z1731" s="230"/>
    </row>
    <row r="1732">
      <c r="O1732" s="230"/>
      <c r="S1732" s="230"/>
      <c r="T1732" s="230"/>
      <c r="U1732" s="230"/>
      <c r="V1732" s="230"/>
      <c r="W1732" s="230"/>
      <c r="X1732" s="230"/>
      <c r="Y1732" s="230"/>
      <c r="Z1732" s="230"/>
    </row>
    <row r="1733">
      <c r="O1733" s="230"/>
      <c r="S1733" s="230"/>
      <c r="T1733" s="230"/>
      <c r="U1733" s="230"/>
      <c r="V1733" s="230"/>
      <c r="W1733" s="230"/>
      <c r="X1733" s="230"/>
      <c r="Y1733" s="230"/>
      <c r="Z1733" s="230"/>
    </row>
    <row r="1734">
      <c r="O1734" s="230"/>
      <c r="S1734" s="230"/>
      <c r="T1734" s="230"/>
      <c r="U1734" s="230"/>
      <c r="V1734" s="230"/>
      <c r="W1734" s="230"/>
      <c r="X1734" s="230"/>
      <c r="Y1734" s="230"/>
      <c r="Z1734" s="230"/>
    </row>
    <row r="1735">
      <c r="O1735" s="230"/>
      <c r="S1735" s="230"/>
      <c r="T1735" s="230"/>
      <c r="U1735" s="230"/>
      <c r="V1735" s="230"/>
      <c r="W1735" s="230"/>
      <c r="X1735" s="230"/>
      <c r="Y1735" s="230"/>
      <c r="Z1735" s="230"/>
    </row>
    <row r="1736">
      <c r="O1736" s="230"/>
      <c r="S1736" s="230"/>
      <c r="T1736" s="230"/>
      <c r="U1736" s="230"/>
      <c r="V1736" s="230"/>
      <c r="W1736" s="230"/>
      <c r="X1736" s="230"/>
      <c r="Y1736" s="230"/>
      <c r="Z1736" s="230"/>
    </row>
    <row r="1737">
      <c r="O1737" s="230"/>
      <c r="S1737" s="230"/>
      <c r="T1737" s="230"/>
      <c r="U1737" s="230"/>
      <c r="V1737" s="230"/>
      <c r="W1737" s="230"/>
      <c r="X1737" s="230"/>
      <c r="Y1737" s="230"/>
      <c r="Z1737" s="230"/>
    </row>
    <row r="1738">
      <c r="O1738" s="230"/>
      <c r="S1738" s="230"/>
      <c r="T1738" s="230"/>
      <c r="U1738" s="230"/>
      <c r="V1738" s="230"/>
      <c r="W1738" s="230"/>
      <c r="X1738" s="230"/>
      <c r="Y1738" s="230"/>
      <c r="Z1738" s="230"/>
    </row>
    <row r="1739">
      <c r="O1739" s="230"/>
      <c r="S1739" s="230"/>
      <c r="T1739" s="230"/>
      <c r="U1739" s="230"/>
      <c r="V1739" s="230"/>
      <c r="W1739" s="230"/>
      <c r="X1739" s="230"/>
      <c r="Y1739" s="230"/>
      <c r="Z1739" s="230"/>
    </row>
    <row r="1740">
      <c r="O1740" s="230"/>
      <c r="S1740" s="230"/>
      <c r="T1740" s="230"/>
      <c r="U1740" s="230"/>
      <c r="V1740" s="230"/>
      <c r="W1740" s="230"/>
      <c r="X1740" s="230"/>
      <c r="Y1740" s="230"/>
      <c r="Z1740" s="230"/>
    </row>
    <row r="1741">
      <c r="O1741" s="230"/>
      <c r="S1741" s="230"/>
      <c r="T1741" s="230"/>
      <c r="U1741" s="230"/>
      <c r="V1741" s="230"/>
      <c r="W1741" s="230"/>
      <c r="X1741" s="230"/>
      <c r="Y1741" s="230"/>
      <c r="Z1741" s="230"/>
    </row>
    <row r="1742">
      <c r="O1742" s="230"/>
      <c r="S1742" s="230"/>
      <c r="T1742" s="230"/>
      <c r="U1742" s="230"/>
      <c r="V1742" s="230"/>
      <c r="W1742" s="230"/>
      <c r="X1742" s="230"/>
      <c r="Y1742" s="230"/>
      <c r="Z1742" s="230"/>
    </row>
    <row r="1743">
      <c r="O1743" s="230"/>
      <c r="S1743" s="230"/>
      <c r="T1743" s="230"/>
      <c r="U1743" s="230"/>
      <c r="V1743" s="230"/>
      <c r="W1743" s="230"/>
      <c r="X1743" s="230"/>
      <c r="Y1743" s="230"/>
      <c r="Z1743" s="230"/>
    </row>
    <row r="1744">
      <c r="O1744" s="230"/>
      <c r="S1744" s="230"/>
      <c r="T1744" s="230"/>
      <c r="U1744" s="230"/>
      <c r="V1744" s="230"/>
      <c r="W1744" s="230"/>
      <c r="X1744" s="230"/>
      <c r="Y1744" s="230"/>
      <c r="Z1744" s="230"/>
    </row>
    <row r="1745">
      <c r="O1745" s="230"/>
      <c r="S1745" s="230"/>
      <c r="T1745" s="230"/>
      <c r="U1745" s="230"/>
      <c r="V1745" s="230"/>
      <c r="W1745" s="230"/>
      <c r="X1745" s="230"/>
      <c r="Y1745" s="230"/>
      <c r="Z1745" s="230"/>
    </row>
    <row r="1746">
      <c r="O1746" s="230"/>
      <c r="S1746" s="230"/>
      <c r="T1746" s="230"/>
      <c r="U1746" s="230"/>
      <c r="V1746" s="230"/>
      <c r="W1746" s="230"/>
      <c r="X1746" s="230"/>
      <c r="Y1746" s="230"/>
      <c r="Z1746" s="230"/>
    </row>
    <row r="1747">
      <c r="O1747" s="230"/>
      <c r="S1747" s="230"/>
      <c r="T1747" s="230"/>
      <c r="U1747" s="230"/>
      <c r="V1747" s="230"/>
      <c r="W1747" s="230"/>
      <c r="X1747" s="230"/>
      <c r="Y1747" s="230"/>
      <c r="Z1747" s="230"/>
    </row>
    <row r="1748">
      <c r="O1748" s="230"/>
      <c r="S1748" s="230"/>
      <c r="T1748" s="230"/>
      <c r="U1748" s="230"/>
      <c r="V1748" s="230"/>
      <c r="W1748" s="230"/>
      <c r="X1748" s="230"/>
      <c r="Y1748" s="230"/>
      <c r="Z1748" s="230"/>
    </row>
    <row r="1749">
      <c r="O1749" s="230"/>
      <c r="S1749" s="230"/>
      <c r="T1749" s="230"/>
      <c r="U1749" s="230"/>
      <c r="V1749" s="230"/>
      <c r="W1749" s="230"/>
      <c r="X1749" s="230"/>
      <c r="Y1749" s="230"/>
      <c r="Z1749" s="230"/>
    </row>
    <row r="1750">
      <c r="O1750" s="230"/>
      <c r="S1750" s="230"/>
      <c r="T1750" s="230"/>
      <c r="U1750" s="230"/>
      <c r="V1750" s="230"/>
      <c r="W1750" s="230"/>
      <c r="X1750" s="230"/>
      <c r="Y1750" s="230"/>
      <c r="Z1750" s="230"/>
    </row>
    <row r="1751">
      <c r="O1751" s="230"/>
      <c r="S1751" s="230"/>
      <c r="T1751" s="230"/>
      <c r="U1751" s="230"/>
      <c r="V1751" s="230"/>
      <c r="W1751" s="230"/>
      <c r="X1751" s="230"/>
      <c r="Y1751" s="230"/>
      <c r="Z1751" s="230"/>
    </row>
    <row r="1752">
      <c r="O1752" s="230"/>
      <c r="S1752" s="230"/>
      <c r="T1752" s="230"/>
      <c r="U1752" s="230"/>
      <c r="V1752" s="230"/>
      <c r="W1752" s="230"/>
      <c r="X1752" s="230"/>
      <c r="Y1752" s="230"/>
      <c r="Z1752" s="230"/>
    </row>
    <row r="1753">
      <c r="O1753" s="230"/>
      <c r="S1753" s="230"/>
      <c r="T1753" s="230"/>
      <c r="U1753" s="230"/>
      <c r="V1753" s="230"/>
      <c r="W1753" s="230"/>
      <c r="X1753" s="230"/>
      <c r="Y1753" s="230"/>
      <c r="Z1753" s="230"/>
    </row>
    <row r="1754">
      <c r="O1754" s="230"/>
      <c r="S1754" s="230"/>
      <c r="T1754" s="230"/>
      <c r="U1754" s="230"/>
      <c r="V1754" s="230"/>
      <c r="W1754" s="230"/>
      <c r="X1754" s="230"/>
      <c r="Y1754" s="230"/>
      <c r="Z1754" s="230"/>
    </row>
    <row r="1755">
      <c r="O1755" s="230"/>
      <c r="S1755" s="230"/>
      <c r="T1755" s="230"/>
      <c r="U1755" s="230"/>
      <c r="V1755" s="230"/>
      <c r="W1755" s="230"/>
      <c r="X1755" s="230"/>
      <c r="Y1755" s="230"/>
      <c r="Z1755" s="230"/>
    </row>
    <row r="1756">
      <c r="O1756" s="230"/>
      <c r="S1756" s="230"/>
      <c r="T1756" s="230"/>
      <c r="U1756" s="230"/>
      <c r="V1756" s="230"/>
      <c r="W1756" s="230"/>
      <c r="X1756" s="230"/>
      <c r="Y1756" s="230"/>
      <c r="Z1756" s="230"/>
    </row>
    <row r="1757">
      <c r="O1757" s="230"/>
      <c r="S1757" s="230"/>
      <c r="T1757" s="230"/>
      <c r="U1757" s="230"/>
      <c r="V1757" s="230"/>
      <c r="W1757" s="230"/>
      <c r="X1757" s="230"/>
      <c r="Y1757" s="230"/>
      <c r="Z1757" s="230"/>
    </row>
    <row r="1758">
      <c r="O1758" s="230"/>
      <c r="S1758" s="230"/>
      <c r="T1758" s="230"/>
      <c r="U1758" s="230"/>
      <c r="V1758" s="230"/>
      <c r="W1758" s="230"/>
      <c r="X1758" s="230"/>
      <c r="Y1758" s="230"/>
      <c r="Z1758" s="230"/>
    </row>
    <row r="1759">
      <c r="O1759" s="230"/>
      <c r="S1759" s="230"/>
      <c r="T1759" s="230"/>
      <c r="U1759" s="230"/>
      <c r="V1759" s="230"/>
      <c r="W1759" s="230"/>
      <c r="X1759" s="230"/>
      <c r="Y1759" s="230"/>
      <c r="Z1759" s="230"/>
    </row>
    <row r="1760">
      <c r="O1760" s="230"/>
      <c r="S1760" s="230"/>
      <c r="T1760" s="230"/>
      <c r="U1760" s="230"/>
      <c r="V1760" s="230"/>
      <c r="W1760" s="230"/>
      <c r="X1760" s="230"/>
      <c r="Y1760" s="230"/>
      <c r="Z1760" s="230"/>
    </row>
    <row r="1761">
      <c r="O1761" s="230"/>
      <c r="S1761" s="230"/>
      <c r="T1761" s="230"/>
      <c r="U1761" s="230"/>
      <c r="V1761" s="230"/>
      <c r="W1761" s="230"/>
      <c r="X1761" s="230"/>
      <c r="Y1761" s="230"/>
      <c r="Z1761" s="230"/>
    </row>
    <row r="1762">
      <c r="O1762" s="230"/>
      <c r="S1762" s="230"/>
      <c r="T1762" s="230"/>
      <c r="U1762" s="230"/>
      <c r="V1762" s="230"/>
      <c r="W1762" s="230"/>
      <c r="X1762" s="230"/>
      <c r="Y1762" s="230"/>
      <c r="Z1762" s="230"/>
    </row>
    <row r="1763">
      <c r="O1763" s="230"/>
      <c r="S1763" s="230"/>
      <c r="T1763" s="230"/>
      <c r="U1763" s="230"/>
      <c r="V1763" s="230"/>
      <c r="W1763" s="230"/>
      <c r="X1763" s="230"/>
      <c r="Y1763" s="230"/>
      <c r="Z1763" s="230"/>
    </row>
    <row r="1764">
      <c r="O1764" s="230"/>
      <c r="S1764" s="230"/>
      <c r="T1764" s="230"/>
      <c r="U1764" s="230"/>
      <c r="V1764" s="230"/>
      <c r="W1764" s="230"/>
      <c r="X1764" s="230"/>
      <c r="Y1764" s="230"/>
      <c r="Z1764" s="230"/>
    </row>
    <row r="1765">
      <c r="O1765" s="230"/>
      <c r="S1765" s="230"/>
      <c r="T1765" s="230"/>
      <c r="U1765" s="230"/>
      <c r="V1765" s="230"/>
      <c r="W1765" s="230"/>
      <c r="X1765" s="230"/>
      <c r="Y1765" s="230"/>
      <c r="Z1765" s="230"/>
    </row>
    <row r="1766">
      <c r="O1766" s="230"/>
      <c r="S1766" s="230"/>
      <c r="T1766" s="230"/>
      <c r="U1766" s="230"/>
      <c r="V1766" s="230"/>
      <c r="W1766" s="230"/>
      <c r="X1766" s="230"/>
      <c r="Y1766" s="230"/>
      <c r="Z1766" s="230"/>
    </row>
    <row r="1767">
      <c r="O1767" s="230"/>
      <c r="S1767" s="230"/>
      <c r="T1767" s="230"/>
      <c r="U1767" s="230"/>
      <c r="V1767" s="230"/>
      <c r="W1767" s="230"/>
      <c r="X1767" s="230"/>
      <c r="Y1767" s="230"/>
      <c r="Z1767" s="230"/>
    </row>
    <row r="1768">
      <c r="O1768" s="230"/>
      <c r="S1768" s="230"/>
      <c r="T1768" s="230"/>
      <c r="U1768" s="230"/>
      <c r="V1768" s="230"/>
      <c r="W1768" s="230"/>
      <c r="X1768" s="230"/>
      <c r="Y1768" s="230"/>
      <c r="Z1768" s="230"/>
    </row>
    <row r="1769">
      <c r="O1769" s="230"/>
      <c r="S1769" s="230"/>
      <c r="T1769" s="230"/>
      <c r="U1769" s="230"/>
      <c r="V1769" s="230"/>
      <c r="W1769" s="230"/>
      <c r="X1769" s="230"/>
      <c r="Y1769" s="230"/>
      <c r="Z1769" s="230"/>
    </row>
    <row r="1770">
      <c r="O1770" s="230"/>
      <c r="S1770" s="230"/>
      <c r="T1770" s="230"/>
      <c r="U1770" s="230"/>
      <c r="V1770" s="230"/>
      <c r="W1770" s="230"/>
      <c r="X1770" s="230"/>
      <c r="Y1770" s="230"/>
      <c r="Z1770" s="230"/>
    </row>
    <row r="1771">
      <c r="O1771" s="230"/>
      <c r="S1771" s="230"/>
      <c r="T1771" s="230"/>
      <c r="U1771" s="230"/>
      <c r="V1771" s="230"/>
      <c r="W1771" s="230"/>
      <c r="X1771" s="230"/>
      <c r="Y1771" s="230"/>
      <c r="Z1771" s="230"/>
    </row>
    <row r="1772">
      <c r="O1772" s="230"/>
      <c r="S1772" s="230"/>
      <c r="T1772" s="230"/>
      <c r="U1772" s="230"/>
      <c r="V1772" s="230"/>
      <c r="W1772" s="230"/>
      <c r="X1772" s="230"/>
      <c r="Y1772" s="230"/>
      <c r="Z1772" s="230"/>
    </row>
    <row r="1773">
      <c r="O1773" s="230"/>
      <c r="S1773" s="230"/>
      <c r="T1773" s="230"/>
      <c r="U1773" s="230"/>
      <c r="V1773" s="230"/>
      <c r="W1773" s="230"/>
      <c r="X1773" s="230"/>
      <c r="Y1773" s="230"/>
      <c r="Z1773" s="230"/>
    </row>
    <row r="1774">
      <c r="O1774" s="230"/>
      <c r="S1774" s="230"/>
      <c r="T1774" s="230"/>
      <c r="U1774" s="230"/>
      <c r="V1774" s="230"/>
      <c r="W1774" s="230"/>
      <c r="X1774" s="230"/>
      <c r="Y1774" s="230"/>
      <c r="Z1774" s="230"/>
    </row>
    <row r="1775">
      <c r="O1775" s="230"/>
      <c r="S1775" s="230"/>
      <c r="T1775" s="230"/>
      <c r="U1775" s="230"/>
      <c r="V1775" s="230"/>
      <c r="W1775" s="230"/>
      <c r="X1775" s="230"/>
      <c r="Y1775" s="230"/>
      <c r="Z1775" s="230"/>
    </row>
    <row r="1776">
      <c r="O1776" s="230"/>
      <c r="S1776" s="230"/>
      <c r="T1776" s="230"/>
      <c r="U1776" s="230"/>
      <c r="V1776" s="230"/>
      <c r="W1776" s="230"/>
      <c r="X1776" s="230"/>
      <c r="Y1776" s="230"/>
      <c r="Z1776" s="230"/>
    </row>
    <row r="1777">
      <c r="O1777" s="230"/>
      <c r="S1777" s="230"/>
      <c r="T1777" s="230"/>
      <c r="U1777" s="230"/>
      <c r="V1777" s="230"/>
      <c r="W1777" s="230"/>
      <c r="X1777" s="230"/>
      <c r="Y1777" s="230"/>
      <c r="Z1777" s="230"/>
    </row>
    <row r="1778">
      <c r="O1778" s="230"/>
      <c r="S1778" s="230"/>
      <c r="T1778" s="230"/>
      <c r="U1778" s="230"/>
      <c r="V1778" s="230"/>
      <c r="W1778" s="230"/>
      <c r="X1778" s="230"/>
      <c r="Y1778" s="230"/>
      <c r="Z1778" s="230"/>
    </row>
    <row r="1779">
      <c r="O1779" s="230"/>
      <c r="S1779" s="230"/>
      <c r="T1779" s="230"/>
      <c r="U1779" s="230"/>
      <c r="V1779" s="230"/>
      <c r="W1779" s="230"/>
      <c r="X1779" s="230"/>
      <c r="Y1779" s="230"/>
      <c r="Z1779" s="230"/>
    </row>
    <row r="1780">
      <c r="O1780" s="230"/>
      <c r="S1780" s="230"/>
      <c r="T1780" s="230"/>
      <c r="U1780" s="230"/>
      <c r="V1780" s="230"/>
      <c r="W1780" s="230"/>
      <c r="X1780" s="230"/>
      <c r="Y1780" s="230"/>
      <c r="Z1780" s="230"/>
    </row>
    <row r="1781">
      <c r="O1781" s="230"/>
      <c r="S1781" s="230"/>
      <c r="T1781" s="230"/>
      <c r="U1781" s="230"/>
      <c r="V1781" s="230"/>
      <c r="W1781" s="230"/>
      <c r="X1781" s="230"/>
      <c r="Y1781" s="230"/>
      <c r="Z1781" s="230"/>
    </row>
    <row r="1782">
      <c r="O1782" s="230"/>
      <c r="S1782" s="230"/>
      <c r="T1782" s="230"/>
      <c r="U1782" s="230"/>
      <c r="V1782" s="230"/>
      <c r="W1782" s="230"/>
      <c r="X1782" s="230"/>
      <c r="Y1782" s="230"/>
      <c r="Z1782" s="230"/>
    </row>
    <row r="1783">
      <c r="O1783" s="230"/>
      <c r="S1783" s="230"/>
      <c r="T1783" s="230"/>
      <c r="U1783" s="230"/>
      <c r="V1783" s="230"/>
      <c r="W1783" s="230"/>
      <c r="X1783" s="230"/>
      <c r="Y1783" s="230"/>
      <c r="Z1783" s="230"/>
    </row>
    <row r="1784">
      <c r="O1784" s="230"/>
      <c r="S1784" s="230"/>
      <c r="T1784" s="230"/>
      <c r="U1784" s="230"/>
      <c r="V1784" s="230"/>
      <c r="W1784" s="230"/>
      <c r="X1784" s="230"/>
      <c r="Y1784" s="230"/>
      <c r="Z1784" s="230"/>
    </row>
    <row r="1785">
      <c r="O1785" s="230"/>
      <c r="S1785" s="230"/>
      <c r="T1785" s="230"/>
      <c r="U1785" s="230"/>
      <c r="V1785" s="230"/>
      <c r="W1785" s="230"/>
      <c r="X1785" s="230"/>
      <c r="Y1785" s="230"/>
      <c r="Z1785" s="230"/>
    </row>
    <row r="1786">
      <c r="O1786" s="230"/>
      <c r="S1786" s="230"/>
      <c r="T1786" s="230"/>
      <c r="U1786" s="230"/>
      <c r="V1786" s="230"/>
      <c r="W1786" s="230"/>
      <c r="X1786" s="230"/>
      <c r="Y1786" s="230"/>
      <c r="Z1786" s="230"/>
    </row>
    <row r="1787">
      <c r="O1787" s="230"/>
      <c r="S1787" s="230"/>
      <c r="T1787" s="230"/>
      <c r="U1787" s="230"/>
      <c r="V1787" s="230"/>
      <c r="W1787" s="230"/>
      <c r="X1787" s="230"/>
      <c r="Y1787" s="230"/>
      <c r="Z1787" s="230"/>
    </row>
    <row r="1788">
      <c r="O1788" s="230"/>
      <c r="S1788" s="230"/>
      <c r="T1788" s="230"/>
      <c r="U1788" s="230"/>
      <c r="V1788" s="230"/>
      <c r="W1788" s="230"/>
      <c r="X1788" s="230"/>
      <c r="Y1788" s="230"/>
      <c r="Z1788" s="230"/>
    </row>
    <row r="1789">
      <c r="O1789" s="230"/>
      <c r="S1789" s="230"/>
      <c r="T1789" s="230"/>
      <c r="U1789" s="230"/>
      <c r="V1789" s="230"/>
      <c r="W1789" s="230"/>
      <c r="X1789" s="230"/>
      <c r="Y1789" s="230"/>
      <c r="Z1789" s="230"/>
    </row>
    <row r="1790">
      <c r="O1790" s="230"/>
      <c r="S1790" s="230"/>
      <c r="T1790" s="230"/>
      <c r="U1790" s="230"/>
      <c r="V1790" s="230"/>
      <c r="W1790" s="230"/>
      <c r="X1790" s="230"/>
      <c r="Y1790" s="230"/>
      <c r="Z1790" s="230"/>
    </row>
    <row r="1791">
      <c r="O1791" s="230"/>
      <c r="S1791" s="230"/>
      <c r="T1791" s="230"/>
      <c r="U1791" s="230"/>
      <c r="V1791" s="230"/>
      <c r="W1791" s="230"/>
      <c r="X1791" s="230"/>
      <c r="Y1791" s="230"/>
      <c r="Z1791" s="230"/>
    </row>
    <row r="1792">
      <c r="O1792" s="230"/>
      <c r="S1792" s="230"/>
      <c r="T1792" s="230"/>
      <c r="U1792" s="230"/>
      <c r="V1792" s="230"/>
      <c r="W1792" s="230"/>
      <c r="X1792" s="230"/>
      <c r="Y1792" s="230"/>
      <c r="Z1792" s="230"/>
    </row>
    <row r="1793">
      <c r="O1793" s="230"/>
      <c r="S1793" s="230"/>
      <c r="T1793" s="230"/>
      <c r="U1793" s="230"/>
      <c r="V1793" s="230"/>
      <c r="W1793" s="230"/>
      <c r="X1793" s="230"/>
      <c r="Y1793" s="230"/>
      <c r="Z1793" s="230"/>
    </row>
    <row r="1794">
      <c r="O1794" s="230"/>
      <c r="S1794" s="230"/>
      <c r="T1794" s="230"/>
      <c r="U1794" s="230"/>
      <c r="V1794" s="230"/>
      <c r="W1794" s="230"/>
      <c r="X1794" s="230"/>
      <c r="Y1794" s="230"/>
      <c r="Z1794" s="230"/>
    </row>
    <row r="1795">
      <c r="O1795" s="230"/>
      <c r="S1795" s="230"/>
      <c r="T1795" s="230"/>
      <c r="U1795" s="230"/>
      <c r="V1795" s="230"/>
      <c r="W1795" s="230"/>
      <c r="X1795" s="230"/>
      <c r="Y1795" s="230"/>
      <c r="Z1795" s="230"/>
    </row>
    <row r="1796">
      <c r="O1796" s="230"/>
      <c r="S1796" s="230"/>
      <c r="T1796" s="230"/>
      <c r="U1796" s="230"/>
      <c r="V1796" s="230"/>
      <c r="W1796" s="230"/>
      <c r="X1796" s="230"/>
      <c r="Y1796" s="230"/>
      <c r="Z1796" s="230"/>
    </row>
    <row r="1797">
      <c r="O1797" s="230"/>
      <c r="S1797" s="230"/>
      <c r="T1797" s="230"/>
      <c r="U1797" s="230"/>
      <c r="V1797" s="230"/>
      <c r="W1797" s="230"/>
      <c r="X1797" s="230"/>
      <c r="Y1797" s="230"/>
      <c r="Z1797" s="230"/>
    </row>
    <row r="1798">
      <c r="O1798" s="230"/>
      <c r="S1798" s="230"/>
      <c r="T1798" s="230"/>
      <c r="U1798" s="230"/>
      <c r="V1798" s="230"/>
      <c r="W1798" s="230"/>
      <c r="X1798" s="230"/>
      <c r="Y1798" s="230"/>
      <c r="Z1798" s="230"/>
    </row>
    <row r="1799">
      <c r="O1799" s="230"/>
      <c r="S1799" s="230"/>
      <c r="T1799" s="230"/>
      <c r="U1799" s="230"/>
      <c r="V1799" s="230"/>
      <c r="W1799" s="230"/>
      <c r="X1799" s="230"/>
      <c r="Y1799" s="230"/>
      <c r="Z1799" s="230"/>
    </row>
    <row r="1800">
      <c r="O1800" s="230"/>
      <c r="S1800" s="230"/>
      <c r="T1800" s="230"/>
      <c r="U1800" s="230"/>
      <c r="V1800" s="230"/>
      <c r="W1800" s="230"/>
      <c r="X1800" s="230"/>
      <c r="Y1800" s="230"/>
      <c r="Z1800" s="230"/>
    </row>
    <row r="1801">
      <c r="O1801" s="230"/>
      <c r="S1801" s="230"/>
      <c r="T1801" s="230"/>
      <c r="U1801" s="230"/>
      <c r="V1801" s="230"/>
      <c r="W1801" s="230"/>
      <c r="X1801" s="230"/>
      <c r="Y1801" s="230"/>
      <c r="Z1801" s="230"/>
    </row>
    <row r="1802">
      <c r="O1802" s="230"/>
      <c r="S1802" s="230"/>
      <c r="T1802" s="230"/>
      <c r="U1802" s="230"/>
      <c r="V1802" s="230"/>
      <c r="W1802" s="230"/>
      <c r="X1802" s="230"/>
      <c r="Y1802" s="230"/>
      <c r="Z1802" s="230"/>
    </row>
    <row r="1803">
      <c r="O1803" s="230"/>
      <c r="S1803" s="230"/>
      <c r="T1803" s="230"/>
      <c r="U1803" s="230"/>
      <c r="V1803" s="230"/>
      <c r="W1803" s="230"/>
      <c r="X1803" s="230"/>
      <c r="Y1803" s="230"/>
      <c r="Z1803" s="230"/>
    </row>
    <row r="1804">
      <c r="O1804" s="230"/>
      <c r="S1804" s="230"/>
      <c r="T1804" s="230"/>
      <c r="U1804" s="230"/>
      <c r="V1804" s="230"/>
      <c r="W1804" s="230"/>
      <c r="X1804" s="230"/>
      <c r="Y1804" s="230"/>
      <c r="Z1804" s="230"/>
    </row>
    <row r="1805">
      <c r="O1805" s="230"/>
      <c r="S1805" s="230"/>
      <c r="T1805" s="230"/>
      <c r="U1805" s="230"/>
      <c r="V1805" s="230"/>
      <c r="W1805" s="230"/>
      <c r="X1805" s="230"/>
      <c r="Y1805" s="230"/>
      <c r="Z1805" s="230"/>
    </row>
    <row r="1806">
      <c r="O1806" s="230"/>
      <c r="S1806" s="230"/>
      <c r="T1806" s="230"/>
      <c r="U1806" s="230"/>
      <c r="V1806" s="230"/>
      <c r="W1806" s="230"/>
      <c r="X1806" s="230"/>
      <c r="Y1806" s="230"/>
      <c r="Z1806" s="230"/>
    </row>
    <row r="1807">
      <c r="O1807" s="230"/>
      <c r="S1807" s="230"/>
      <c r="T1807" s="230"/>
      <c r="U1807" s="230"/>
      <c r="V1807" s="230"/>
      <c r="W1807" s="230"/>
      <c r="X1807" s="230"/>
      <c r="Y1807" s="230"/>
      <c r="Z1807" s="230"/>
    </row>
    <row r="1808">
      <c r="O1808" s="230"/>
      <c r="S1808" s="230"/>
      <c r="T1808" s="230"/>
      <c r="U1808" s="230"/>
      <c r="V1808" s="230"/>
      <c r="W1808" s="230"/>
      <c r="X1808" s="230"/>
      <c r="Y1808" s="230"/>
      <c r="Z1808" s="230"/>
    </row>
    <row r="1809">
      <c r="O1809" s="230"/>
      <c r="S1809" s="230"/>
      <c r="T1809" s="230"/>
      <c r="U1809" s="230"/>
      <c r="V1809" s="230"/>
      <c r="W1809" s="230"/>
      <c r="X1809" s="230"/>
      <c r="Y1809" s="230"/>
      <c r="Z1809" s="230"/>
    </row>
    <row r="1810">
      <c r="O1810" s="230"/>
      <c r="S1810" s="230"/>
      <c r="T1810" s="230"/>
      <c r="U1810" s="230"/>
      <c r="V1810" s="230"/>
      <c r="W1810" s="230"/>
      <c r="X1810" s="230"/>
      <c r="Y1810" s="230"/>
      <c r="Z1810" s="230"/>
    </row>
    <row r="1811">
      <c r="O1811" s="230"/>
      <c r="S1811" s="230"/>
      <c r="T1811" s="230"/>
      <c r="U1811" s="230"/>
      <c r="V1811" s="230"/>
      <c r="W1811" s="230"/>
      <c r="X1811" s="230"/>
      <c r="Y1811" s="230"/>
      <c r="Z1811" s="230"/>
    </row>
    <row r="1812">
      <c r="O1812" s="230"/>
      <c r="S1812" s="230"/>
      <c r="T1812" s="230"/>
      <c r="U1812" s="230"/>
      <c r="V1812" s="230"/>
      <c r="W1812" s="230"/>
      <c r="X1812" s="230"/>
      <c r="Y1812" s="230"/>
      <c r="Z1812" s="230"/>
    </row>
    <row r="1813">
      <c r="O1813" s="230"/>
      <c r="S1813" s="230"/>
      <c r="T1813" s="230"/>
      <c r="U1813" s="230"/>
      <c r="V1813" s="230"/>
      <c r="W1813" s="230"/>
      <c r="X1813" s="230"/>
      <c r="Y1813" s="230"/>
      <c r="Z1813" s="230"/>
    </row>
    <row r="1814">
      <c r="O1814" s="230"/>
      <c r="S1814" s="230"/>
      <c r="T1814" s="230"/>
      <c r="U1814" s="230"/>
      <c r="V1814" s="230"/>
      <c r="W1814" s="230"/>
      <c r="X1814" s="230"/>
      <c r="Y1814" s="230"/>
      <c r="Z1814" s="230"/>
    </row>
    <row r="1815">
      <c r="O1815" s="230"/>
      <c r="S1815" s="230"/>
      <c r="T1815" s="230"/>
      <c r="U1815" s="230"/>
      <c r="V1815" s="230"/>
      <c r="W1815" s="230"/>
      <c r="X1815" s="230"/>
      <c r="Y1815" s="230"/>
      <c r="Z1815" s="230"/>
    </row>
    <row r="1816">
      <c r="O1816" s="230"/>
      <c r="S1816" s="230"/>
      <c r="T1816" s="230"/>
      <c r="U1816" s="230"/>
      <c r="V1816" s="230"/>
      <c r="W1816" s="230"/>
      <c r="X1816" s="230"/>
      <c r="Y1816" s="230"/>
      <c r="Z1816" s="230"/>
    </row>
    <row r="1817">
      <c r="O1817" s="230"/>
      <c r="S1817" s="230"/>
      <c r="T1817" s="230"/>
      <c r="U1817" s="230"/>
      <c r="V1817" s="230"/>
      <c r="W1817" s="230"/>
      <c r="X1817" s="230"/>
      <c r="Y1817" s="230"/>
      <c r="Z1817" s="230"/>
    </row>
    <row r="1818">
      <c r="O1818" s="230"/>
      <c r="S1818" s="230"/>
      <c r="T1818" s="230"/>
      <c r="U1818" s="230"/>
      <c r="V1818" s="230"/>
      <c r="W1818" s="230"/>
      <c r="X1818" s="230"/>
      <c r="Y1818" s="230"/>
      <c r="Z1818" s="230"/>
    </row>
    <row r="1819">
      <c r="O1819" s="230"/>
      <c r="S1819" s="230"/>
      <c r="T1819" s="230"/>
      <c r="U1819" s="230"/>
      <c r="V1819" s="230"/>
      <c r="W1819" s="230"/>
      <c r="X1819" s="230"/>
      <c r="Y1819" s="230"/>
      <c r="Z1819" s="230"/>
    </row>
    <row r="1820">
      <c r="O1820" s="230"/>
      <c r="S1820" s="230"/>
      <c r="T1820" s="230"/>
      <c r="U1820" s="230"/>
      <c r="V1820" s="230"/>
      <c r="W1820" s="230"/>
      <c r="X1820" s="230"/>
      <c r="Y1820" s="230"/>
      <c r="Z1820" s="230"/>
    </row>
    <row r="1821">
      <c r="O1821" s="230"/>
      <c r="S1821" s="230"/>
      <c r="T1821" s="230"/>
      <c r="U1821" s="230"/>
      <c r="V1821" s="230"/>
      <c r="W1821" s="230"/>
      <c r="X1821" s="230"/>
      <c r="Y1821" s="230"/>
      <c r="Z1821" s="230"/>
    </row>
    <row r="1822">
      <c r="O1822" s="230"/>
      <c r="S1822" s="230"/>
      <c r="T1822" s="230"/>
      <c r="U1822" s="230"/>
      <c r="V1822" s="230"/>
      <c r="W1822" s="230"/>
      <c r="X1822" s="230"/>
      <c r="Y1822" s="230"/>
      <c r="Z1822" s="230"/>
    </row>
    <row r="1823">
      <c r="O1823" s="230"/>
      <c r="S1823" s="230"/>
      <c r="T1823" s="230"/>
      <c r="U1823" s="230"/>
      <c r="V1823" s="230"/>
      <c r="W1823" s="230"/>
      <c r="X1823" s="230"/>
      <c r="Y1823" s="230"/>
      <c r="Z1823" s="230"/>
    </row>
    <row r="1824">
      <c r="O1824" s="230"/>
      <c r="S1824" s="230"/>
      <c r="T1824" s="230"/>
      <c r="U1824" s="230"/>
      <c r="V1824" s="230"/>
      <c r="W1824" s="230"/>
      <c r="X1824" s="230"/>
      <c r="Y1824" s="230"/>
      <c r="Z1824" s="230"/>
    </row>
    <row r="1825">
      <c r="O1825" s="230"/>
      <c r="S1825" s="230"/>
      <c r="T1825" s="230"/>
      <c r="U1825" s="230"/>
      <c r="V1825" s="230"/>
      <c r="W1825" s="230"/>
      <c r="X1825" s="230"/>
      <c r="Y1825" s="230"/>
      <c r="Z1825" s="230"/>
    </row>
    <row r="1826">
      <c r="O1826" s="230"/>
      <c r="S1826" s="230"/>
      <c r="T1826" s="230"/>
      <c r="U1826" s="230"/>
      <c r="V1826" s="230"/>
      <c r="W1826" s="230"/>
      <c r="X1826" s="230"/>
      <c r="Y1826" s="230"/>
      <c r="Z1826" s="230"/>
    </row>
    <row r="1827">
      <c r="O1827" s="230"/>
      <c r="S1827" s="230"/>
      <c r="T1827" s="230"/>
      <c r="U1827" s="230"/>
      <c r="V1827" s="230"/>
      <c r="W1827" s="230"/>
      <c r="X1827" s="230"/>
      <c r="Y1827" s="230"/>
      <c r="Z1827" s="230"/>
    </row>
    <row r="1828">
      <c r="O1828" s="230"/>
      <c r="S1828" s="230"/>
      <c r="T1828" s="230"/>
      <c r="U1828" s="230"/>
      <c r="V1828" s="230"/>
      <c r="W1828" s="230"/>
      <c r="X1828" s="230"/>
      <c r="Y1828" s="230"/>
      <c r="Z1828" s="230"/>
    </row>
    <row r="1829">
      <c r="O1829" s="230"/>
      <c r="S1829" s="230"/>
      <c r="T1829" s="230"/>
      <c r="U1829" s="230"/>
      <c r="V1829" s="230"/>
      <c r="W1829" s="230"/>
      <c r="X1829" s="230"/>
      <c r="Y1829" s="230"/>
      <c r="Z1829" s="230"/>
    </row>
    <row r="1830">
      <c r="O1830" s="230"/>
      <c r="S1830" s="230"/>
      <c r="T1830" s="230"/>
      <c r="U1830" s="230"/>
      <c r="V1830" s="230"/>
      <c r="W1830" s="230"/>
      <c r="X1830" s="230"/>
      <c r="Y1830" s="230"/>
      <c r="Z1830" s="230"/>
    </row>
    <row r="1831">
      <c r="O1831" s="230"/>
      <c r="S1831" s="230"/>
      <c r="T1831" s="230"/>
      <c r="U1831" s="230"/>
      <c r="V1831" s="230"/>
      <c r="W1831" s="230"/>
      <c r="X1831" s="230"/>
      <c r="Y1831" s="230"/>
      <c r="Z1831" s="230"/>
    </row>
    <row r="1832">
      <c r="O1832" s="230"/>
      <c r="S1832" s="230"/>
      <c r="T1832" s="230"/>
      <c r="U1832" s="230"/>
      <c r="V1832" s="230"/>
      <c r="W1832" s="230"/>
      <c r="X1832" s="230"/>
      <c r="Y1832" s="230"/>
      <c r="Z1832" s="230"/>
    </row>
    <row r="1833">
      <c r="O1833" s="230"/>
      <c r="S1833" s="230"/>
      <c r="T1833" s="230"/>
      <c r="U1833" s="230"/>
      <c r="V1833" s="230"/>
      <c r="W1833" s="230"/>
      <c r="X1833" s="230"/>
      <c r="Y1833" s="230"/>
      <c r="Z1833" s="230"/>
    </row>
    <row r="1834">
      <c r="O1834" s="230"/>
      <c r="S1834" s="230"/>
      <c r="T1834" s="230"/>
      <c r="U1834" s="230"/>
      <c r="V1834" s="230"/>
      <c r="W1834" s="230"/>
      <c r="X1834" s="230"/>
      <c r="Y1834" s="230"/>
      <c r="Z1834" s="230"/>
    </row>
    <row r="1835">
      <c r="O1835" s="230"/>
      <c r="S1835" s="230"/>
      <c r="T1835" s="230"/>
      <c r="U1835" s="230"/>
      <c r="V1835" s="230"/>
      <c r="W1835" s="230"/>
      <c r="X1835" s="230"/>
      <c r="Y1835" s="230"/>
      <c r="Z1835" s="230"/>
    </row>
    <row r="1836">
      <c r="O1836" s="230"/>
      <c r="S1836" s="230"/>
      <c r="T1836" s="230"/>
      <c r="U1836" s="230"/>
      <c r="V1836" s="230"/>
      <c r="W1836" s="230"/>
      <c r="X1836" s="230"/>
      <c r="Y1836" s="230"/>
      <c r="Z1836" s="230"/>
    </row>
    <row r="1837">
      <c r="O1837" s="230"/>
      <c r="S1837" s="230"/>
      <c r="T1837" s="230"/>
      <c r="U1837" s="230"/>
      <c r="V1837" s="230"/>
      <c r="W1837" s="230"/>
      <c r="X1837" s="230"/>
      <c r="Y1837" s="230"/>
      <c r="Z1837" s="230"/>
    </row>
    <row r="1838">
      <c r="O1838" s="230"/>
      <c r="S1838" s="230"/>
      <c r="T1838" s="230"/>
      <c r="U1838" s="230"/>
      <c r="V1838" s="230"/>
      <c r="W1838" s="230"/>
      <c r="X1838" s="230"/>
      <c r="Y1838" s="230"/>
      <c r="Z1838" s="230"/>
    </row>
    <row r="1839">
      <c r="O1839" s="230"/>
      <c r="S1839" s="230"/>
      <c r="T1839" s="230"/>
      <c r="U1839" s="230"/>
      <c r="V1839" s="230"/>
      <c r="W1839" s="230"/>
      <c r="X1839" s="230"/>
      <c r="Y1839" s="230"/>
      <c r="Z1839" s="230"/>
    </row>
    <row r="1840">
      <c r="O1840" s="230"/>
      <c r="S1840" s="230"/>
      <c r="T1840" s="230"/>
      <c r="U1840" s="230"/>
      <c r="V1840" s="230"/>
      <c r="W1840" s="230"/>
      <c r="X1840" s="230"/>
      <c r="Y1840" s="230"/>
      <c r="Z1840" s="230"/>
    </row>
    <row r="1841">
      <c r="O1841" s="230"/>
      <c r="S1841" s="230"/>
      <c r="T1841" s="230"/>
      <c r="U1841" s="230"/>
      <c r="V1841" s="230"/>
      <c r="W1841" s="230"/>
      <c r="X1841" s="230"/>
      <c r="Y1841" s="230"/>
      <c r="Z1841" s="230"/>
    </row>
    <row r="1842">
      <c r="O1842" s="230"/>
      <c r="S1842" s="230"/>
      <c r="T1842" s="230"/>
      <c r="U1842" s="230"/>
      <c r="V1842" s="230"/>
      <c r="W1842" s="230"/>
      <c r="X1842" s="230"/>
      <c r="Y1842" s="230"/>
      <c r="Z1842" s="230"/>
    </row>
    <row r="1843">
      <c r="O1843" s="230"/>
      <c r="S1843" s="230"/>
      <c r="T1843" s="230"/>
      <c r="U1843" s="230"/>
      <c r="V1843" s="230"/>
      <c r="W1843" s="230"/>
      <c r="X1843" s="230"/>
      <c r="Y1843" s="230"/>
      <c r="Z1843" s="230"/>
    </row>
    <row r="1844">
      <c r="O1844" s="230"/>
      <c r="S1844" s="230"/>
      <c r="T1844" s="230"/>
      <c r="U1844" s="230"/>
      <c r="V1844" s="230"/>
      <c r="W1844" s="230"/>
      <c r="X1844" s="230"/>
      <c r="Y1844" s="230"/>
      <c r="Z1844" s="230"/>
    </row>
    <row r="1845">
      <c r="O1845" s="230"/>
      <c r="S1845" s="230"/>
      <c r="T1845" s="230"/>
      <c r="U1845" s="230"/>
      <c r="V1845" s="230"/>
      <c r="W1845" s="230"/>
      <c r="X1845" s="230"/>
      <c r="Y1845" s="230"/>
      <c r="Z1845" s="230"/>
    </row>
    <row r="1846">
      <c r="O1846" s="230"/>
      <c r="S1846" s="230"/>
      <c r="T1846" s="230"/>
      <c r="U1846" s="230"/>
      <c r="V1846" s="230"/>
      <c r="W1846" s="230"/>
      <c r="X1846" s="230"/>
      <c r="Y1846" s="230"/>
      <c r="Z1846" s="230"/>
    </row>
    <row r="1847">
      <c r="O1847" s="230"/>
      <c r="S1847" s="230"/>
      <c r="T1847" s="230"/>
      <c r="U1847" s="230"/>
      <c r="V1847" s="230"/>
      <c r="W1847" s="230"/>
      <c r="X1847" s="230"/>
      <c r="Y1847" s="230"/>
      <c r="Z1847" s="230"/>
    </row>
    <row r="1848">
      <c r="O1848" s="230"/>
      <c r="S1848" s="230"/>
      <c r="T1848" s="230"/>
      <c r="U1848" s="230"/>
      <c r="V1848" s="230"/>
      <c r="W1848" s="230"/>
      <c r="X1848" s="230"/>
      <c r="Y1848" s="230"/>
      <c r="Z1848" s="230"/>
    </row>
    <row r="1849">
      <c r="O1849" s="230"/>
      <c r="S1849" s="230"/>
      <c r="T1849" s="230"/>
      <c r="U1849" s="230"/>
      <c r="V1849" s="230"/>
      <c r="W1849" s="230"/>
      <c r="X1849" s="230"/>
      <c r="Y1849" s="230"/>
      <c r="Z1849" s="230"/>
    </row>
    <row r="1850">
      <c r="O1850" s="230"/>
      <c r="S1850" s="230"/>
      <c r="T1850" s="230"/>
      <c r="U1850" s="230"/>
      <c r="V1850" s="230"/>
      <c r="W1850" s="230"/>
      <c r="X1850" s="230"/>
      <c r="Y1850" s="230"/>
      <c r="Z1850" s="230"/>
    </row>
    <row r="1851">
      <c r="O1851" s="230"/>
      <c r="S1851" s="230"/>
      <c r="T1851" s="230"/>
      <c r="U1851" s="230"/>
      <c r="V1851" s="230"/>
      <c r="W1851" s="230"/>
      <c r="X1851" s="230"/>
      <c r="Y1851" s="230"/>
      <c r="Z1851" s="230"/>
    </row>
    <row r="1852">
      <c r="O1852" s="230"/>
      <c r="S1852" s="230"/>
      <c r="T1852" s="230"/>
      <c r="U1852" s="230"/>
      <c r="V1852" s="230"/>
      <c r="W1852" s="230"/>
      <c r="X1852" s="230"/>
      <c r="Y1852" s="230"/>
      <c r="Z1852" s="230"/>
    </row>
    <row r="1853">
      <c r="O1853" s="230"/>
      <c r="S1853" s="230"/>
      <c r="T1853" s="230"/>
      <c r="U1853" s="230"/>
      <c r="V1853" s="230"/>
      <c r="W1853" s="230"/>
      <c r="X1853" s="230"/>
      <c r="Y1853" s="230"/>
      <c r="Z1853" s="230"/>
    </row>
    <row r="1854">
      <c r="O1854" s="230"/>
      <c r="S1854" s="230"/>
      <c r="T1854" s="230"/>
      <c r="U1854" s="230"/>
      <c r="V1854" s="230"/>
      <c r="W1854" s="230"/>
      <c r="X1854" s="230"/>
      <c r="Y1854" s="230"/>
      <c r="Z1854" s="230"/>
    </row>
    <row r="1855">
      <c r="O1855" s="230"/>
      <c r="S1855" s="230"/>
      <c r="T1855" s="230"/>
      <c r="U1855" s="230"/>
      <c r="V1855" s="230"/>
      <c r="W1855" s="230"/>
      <c r="X1855" s="230"/>
      <c r="Y1855" s="230"/>
      <c r="Z1855" s="230"/>
    </row>
    <row r="1856">
      <c r="O1856" s="230"/>
      <c r="S1856" s="230"/>
      <c r="T1856" s="230"/>
      <c r="U1856" s="230"/>
      <c r="V1856" s="230"/>
      <c r="W1856" s="230"/>
      <c r="X1856" s="230"/>
      <c r="Y1856" s="230"/>
      <c r="Z1856" s="230"/>
    </row>
    <row r="1857">
      <c r="O1857" s="230"/>
      <c r="S1857" s="230"/>
      <c r="T1857" s="230"/>
      <c r="U1857" s="230"/>
      <c r="V1857" s="230"/>
      <c r="W1857" s="230"/>
      <c r="X1857" s="230"/>
      <c r="Y1857" s="230"/>
      <c r="Z1857" s="230"/>
    </row>
    <row r="1858">
      <c r="O1858" s="230"/>
      <c r="S1858" s="230"/>
      <c r="T1858" s="230"/>
      <c r="U1858" s="230"/>
      <c r="V1858" s="230"/>
      <c r="W1858" s="230"/>
      <c r="X1858" s="230"/>
      <c r="Y1858" s="230"/>
      <c r="Z1858" s="230"/>
    </row>
    <row r="1859">
      <c r="O1859" s="230"/>
      <c r="S1859" s="230"/>
      <c r="T1859" s="230"/>
      <c r="U1859" s="230"/>
      <c r="V1859" s="230"/>
      <c r="W1859" s="230"/>
      <c r="X1859" s="230"/>
      <c r="Y1859" s="230"/>
      <c r="Z1859" s="230"/>
    </row>
    <row r="1860">
      <c r="O1860" s="230"/>
      <c r="S1860" s="230"/>
      <c r="T1860" s="230"/>
      <c r="U1860" s="230"/>
      <c r="V1860" s="230"/>
      <c r="W1860" s="230"/>
      <c r="X1860" s="230"/>
      <c r="Y1860" s="230"/>
      <c r="Z1860" s="230"/>
    </row>
    <row r="1861">
      <c r="O1861" s="230"/>
      <c r="S1861" s="230"/>
      <c r="T1861" s="230"/>
      <c r="U1861" s="230"/>
      <c r="V1861" s="230"/>
      <c r="W1861" s="230"/>
      <c r="X1861" s="230"/>
      <c r="Y1861" s="230"/>
      <c r="Z1861" s="230"/>
    </row>
    <row r="1862">
      <c r="O1862" s="230"/>
      <c r="S1862" s="230"/>
      <c r="T1862" s="230"/>
      <c r="U1862" s="230"/>
      <c r="V1862" s="230"/>
      <c r="W1862" s="230"/>
      <c r="X1862" s="230"/>
      <c r="Y1862" s="230"/>
      <c r="Z1862" s="230"/>
    </row>
    <row r="1863">
      <c r="O1863" s="230"/>
      <c r="S1863" s="230"/>
      <c r="T1863" s="230"/>
      <c r="U1863" s="230"/>
      <c r="V1863" s="230"/>
      <c r="W1863" s="230"/>
      <c r="X1863" s="230"/>
      <c r="Y1863" s="230"/>
      <c r="Z1863" s="230"/>
    </row>
    <row r="1864">
      <c r="O1864" s="230"/>
      <c r="S1864" s="230"/>
      <c r="T1864" s="230"/>
      <c r="U1864" s="230"/>
      <c r="V1864" s="230"/>
      <c r="W1864" s="230"/>
      <c r="X1864" s="230"/>
      <c r="Y1864" s="230"/>
      <c r="Z1864" s="230"/>
    </row>
    <row r="1865">
      <c r="O1865" s="230"/>
      <c r="S1865" s="230"/>
      <c r="T1865" s="230"/>
      <c r="U1865" s="230"/>
      <c r="V1865" s="230"/>
      <c r="W1865" s="230"/>
      <c r="X1865" s="230"/>
      <c r="Y1865" s="230"/>
      <c r="Z1865" s="230"/>
    </row>
    <row r="1866">
      <c r="O1866" s="230"/>
      <c r="S1866" s="230"/>
      <c r="T1866" s="230"/>
      <c r="U1866" s="230"/>
      <c r="V1866" s="230"/>
      <c r="W1866" s="230"/>
      <c r="X1866" s="230"/>
      <c r="Y1866" s="230"/>
      <c r="Z1866" s="230"/>
    </row>
    <row r="1867">
      <c r="O1867" s="230"/>
      <c r="S1867" s="230"/>
      <c r="T1867" s="230"/>
      <c r="U1867" s="230"/>
      <c r="V1867" s="230"/>
      <c r="W1867" s="230"/>
      <c r="X1867" s="230"/>
      <c r="Y1867" s="230"/>
      <c r="Z1867" s="230"/>
    </row>
    <row r="1868">
      <c r="O1868" s="230"/>
      <c r="S1868" s="230"/>
      <c r="T1868" s="230"/>
      <c r="U1868" s="230"/>
      <c r="V1868" s="230"/>
      <c r="W1868" s="230"/>
      <c r="X1868" s="230"/>
      <c r="Y1868" s="230"/>
      <c r="Z1868" s="230"/>
    </row>
    <row r="1869">
      <c r="O1869" s="230"/>
      <c r="S1869" s="230"/>
      <c r="T1869" s="230"/>
      <c r="U1869" s="230"/>
      <c r="V1869" s="230"/>
      <c r="W1869" s="230"/>
      <c r="X1869" s="230"/>
      <c r="Y1869" s="230"/>
      <c r="Z1869" s="230"/>
    </row>
    <row r="1870">
      <c r="O1870" s="230"/>
      <c r="S1870" s="230"/>
      <c r="T1870" s="230"/>
      <c r="U1870" s="230"/>
      <c r="V1870" s="230"/>
      <c r="W1870" s="230"/>
      <c r="X1870" s="230"/>
      <c r="Y1870" s="230"/>
      <c r="Z1870" s="230"/>
    </row>
    <row r="1871">
      <c r="O1871" s="230"/>
      <c r="S1871" s="230"/>
      <c r="T1871" s="230"/>
      <c r="U1871" s="230"/>
      <c r="V1871" s="230"/>
      <c r="W1871" s="230"/>
      <c r="X1871" s="230"/>
      <c r="Y1871" s="230"/>
      <c r="Z1871" s="230"/>
    </row>
    <row r="1872">
      <c r="O1872" s="230"/>
      <c r="S1872" s="230"/>
      <c r="T1872" s="230"/>
      <c r="U1872" s="230"/>
      <c r="V1872" s="230"/>
      <c r="W1872" s="230"/>
      <c r="X1872" s="230"/>
      <c r="Y1872" s="230"/>
      <c r="Z1872" s="230"/>
    </row>
    <row r="1873">
      <c r="O1873" s="230"/>
      <c r="S1873" s="230"/>
      <c r="T1873" s="230"/>
      <c r="U1873" s="230"/>
      <c r="V1873" s="230"/>
      <c r="W1873" s="230"/>
      <c r="X1873" s="230"/>
      <c r="Y1873" s="230"/>
      <c r="Z1873" s="230"/>
    </row>
    <row r="1874">
      <c r="O1874" s="230"/>
      <c r="S1874" s="230"/>
      <c r="T1874" s="230"/>
      <c r="U1874" s="230"/>
      <c r="V1874" s="230"/>
      <c r="W1874" s="230"/>
      <c r="X1874" s="230"/>
      <c r="Y1874" s="230"/>
      <c r="Z1874" s="230"/>
    </row>
    <row r="1875">
      <c r="O1875" s="230"/>
      <c r="S1875" s="230"/>
      <c r="T1875" s="230"/>
      <c r="U1875" s="230"/>
      <c r="V1875" s="230"/>
      <c r="W1875" s="230"/>
      <c r="X1875" s="230"/>
      <c r="Y1875" s="230"/>
      <c r="Z1875" s="230"/>
    </row>
    <row r="1876">
      <c r="O1876" s="230"/>
      <c r="S1876" s="230"/>
      <c r="T1876" s="230"/>
      <c r="U1876" s="230"/>
      <c r="V1876" s="230"/>
      <c r="W1876" s="230"/>
      <c r="X1876" s="230"/>
      <c r="Y1876" s="230"/>
      <c r="Z1876" s="230"/>
    </row>
    <row r="1877">
      <c r="O1877" s="230"/>
      <c r="S1877" s="230"/>
      <c r="T1877" s="230"/>
      <c r="U1877" s="230"/>
      <c r="V1877" s="230"/>
      <c r="W1877" s="230"/>
      <c r="X1877" s="230"/>
      <c r="Y1877" s="230"/>
      <c r="Z1877" s="230"/>
    </row>
    <row r="1878">
      <c r="O1878" s="230"/>
      <c r="S1878" s="230"/>
      <c r="T1878" s="230"/>
      <c r="U1878" s="230"/>
      <c r="V1878" s="230"/>
      <c r="W1878" s="230"/>
      <c r="X1878" s="230"/>
      <c r="Y1878" s="230"/>
      <c r="Z1878" s="230"/>
    </row>
    <row r="1879">
      <c r="O1879" s="230"/>
      <c r="S1879" s="230"/>
      <c r="T1879" s="230"/>
      <c r="U1879" s="230"/>
      <c r="V1879" s="230"/>
      <c r="W1879" s="230"/>
      <c r="X1879" s="230"/>
      <c r="Y1879" s="230"/>
      <c r="Z1879" s="230"/>
    </row>
    <row r="1880">
      <c r="O1880" s="230"/>
      <c r="S1880" s="230"/>
      <c r="T1880" s="230"/>
      <c r="U1880" s="230"/>
      <c r="V1880" s="230"/>
      <c r="W1880" s="230"/>
      <c r="X1880" s="230"/>
      <c r="Y1880" s="230"/>
      <c r="Z1880" s="230"/>
    </row>
    <row r="1881">
      <c r="O1881" s="230"/>
      <c r="S1881" s="230"/>
      <c r="T1881" s="230"/>
      <c r="U1881" s="230"/>
      <c r="V1881" s="230"/>
      <c r="W1881" s="230"/>
      <c r="X1881" s="230"/>
      <c r="Y1881" s="230"/>
      <c r="Z1881" s="230"/>
    </row>
    <row r="1882">
      <c r="O1882" s="230"/>
      <c r="S1882" s="230"/>
      <c r="T1882" s="230"/>
      <c r="U1882" s="230"/>
      <c r="V1882" s="230"/>
      <c r="W1882" s="230"/>
      <c r="X1882" s="230"/>
      <c r="Y1882" s="230"/>
      <c r="Z1882" s="230"/>
    </row>
    <row r="1883">
      <c r="O1883" s="230"/>
      <c r="S1883" s="230"/>
      <c r="T1883" s="230"/>
      <c r="U1883" s="230"/>
      <c r="V1883" s="230"/>
      <c r="W1883" s="230"/>
      <c r="X1883" s="230"/>
      <c r="Y1883" s="230"/>
      <c r="Z1883" s="230"/>
    </row>
    <row r="1884">
      <c r="O1884" s="230"/>
      <c r="S1884" s="230"/>
      <c r="T1884" s="230"/>
      <c r="U1884" s="230"/>
      <c r="V1884" s="230"/>
      <c r="W1884" s="230"/>
      <c r="X1884" s="230"/>
      <c r="Y1884" s="230"/>
      <c r="Z1884" s="230"/>
    </row>
    <row r="1885">
      <c r="O1885" s="230"/>
      <c r="S1885" s="230"/>
      <c r="T1885" s="230"/>
      <c r="U1885" s="230"/>
      <c r="V1885" s="230"/>
      <c r="W1885" s="230"/>
      <c r="X1885" s="230"/>
      <c r="Y1885" s="230"/>
      <c r="Z1885" s="230"/>
    </row>
    <row r="1886">
      <c r="O1886" s="230"/>
      <c r="S1886" s="230"/>
      <c r="T1886" s="230"/>
      <c r="U1886" s="230"/>
      <c r="V1886" s="230"/>
      <c r="W1886" s="230"/>
      <c r="X1886" s="230"/>
      <c r="Y1886" s="230"/>
      <c r="Z1886" s="230"/>
    </row>
    <row r="1887">
      <c r="O1887" s="230"/>
      <c r="S1887" s="230"/>
      <c r="T1887" s="230"/>
      <c r="U1887" s="230"/>
      <c r="V1887" s="230"/>
      <c r="W1887" s="230"/>
      <c r="X1887" s="230"/>
      <c r="Y1887" s="230"/>
      <c r="Z1887" s="230"/>
    </row>
    <row r="1888">
      <c r="O1888" s="230"/>
      <c r="S1888" s="230"/>
      <c r="T1888" s="230"/>
      <c r="U1888" s="230"/>
      <c r="V1888" s="230"/>
      <c r="W1888" s="230"/>
      <c r="X1888" s="230"/>
      <c r="Y1888" s="230"/>
      <c r="Z1888" s="230"/>
    </row>
    <row r="1889">
      <c r="O1889" s="230"/>
      <c r="S1889" s="230"/>
      <c r="T1889" s="230"/>
      <c r="U1889" s="230"/>
      <c r="V1889" s="230"/>
      <c r="W1889" s="230"/>
      <c r="X1889" s="230"/>
      <c r="Y1889" s="230"/>
      <c r="Z1889" s="230"/>
    </row>
    <row r="1890">
      <c r="O1890" s="230"/>
      <c r="S1890" s="230"/>
      <c r="T1890" s="230"/>
      <c r="U1890" s="230"/>
      <c r="V1890" s="230"/>
      <c r="W1890" s="230"/>
      <c r="X1890" s="230"/>
      <c r="Y1890" s="230"/>
      <c r="Z1890" s="230"/>
    </row>
    <row r="1891">
      <c r="O1891" s="230"/>
      <c r="S1891" s="230"/>
      <c r="T1891" s="230"/>
      <c r="U1891" s="230"/>
      <c r="V1891" s="230"/>
      <c r="W1891" s="230"/>
      <c r="X1891" s="230"/>
      <c r="Y1891" s="230"/>
      <c r="Z1891" s="230"/>
    </row>
    <row r="1892">
      <c r="O1892" s="230"/>
      <c r="S1892" s="230"/>
      <c r="T1892" s="230"/>
      <c r="U1892" s="230"/>
      <c r="V1892" s="230"/>
      <c r="W1892" s="230"/>
      <c r="X1892" s="230"/>
      <c r="Y1892" s="230"/>
      <c r="Z1892" s="230"/>
    </row>
    <row r="1893">
      <c r="O1893" s="230"/>
      <c r="S1893" s="230"/>
      <c r="T1893" s="230"/>
      <c r="U1893" s="230"/>
      <c r="V1893" s="230"/>
      <c r="W1893" s="230"/>
      <c r="X1893" s="230"/>
      <c r="Y1893" s="230"/>
      <c r="Z1893" s="230"/>
    </row>
    <row r="1894">
      <c r="O1894" s="230"/>
      <c r="S1894" s="230"/>
      <c r="T1894" s="230"/>
      <c r="U1894" s="230"/>
      <c r="V1894" s="230"/>
      <c r="W1894" s="230"/>
      <c r="X1894" s="230"/>
      <c r="Y1894" s="230"/>
      <c r="Z1894" s="230"/>
    </row>
    <row r="1895">
      <c r="O1895" s="230"/>
      <c r="S1895" s="230"/>
      <c r="T1895" s="230"/>
      <c r="U1895" s="230"/>
      <c r="V1895" s="230"/>
      <c r="W1895" s="230"/>
      <c r="X1895" s="230"/>
      <c r="Y1895" s="230"/>
      <c r="Z1895" s="230"/>
    </row>
    <row r="1896">
      <c r="O1896" s="230"/>
      <c r="S1896" s="230"/>
      <c r="T1896" s="230"/>
      <c r="U1896" s="230"/>
      <c r="V1896" s="230"/>
      <c r="W1896" s="230"/>
      <c r="X1896" s="230"/>
      <c r="Y1896" s="230"/>
      <c r="Z1896" s="230"/>
    </row>
    <row r="1897">
      <c r="O1897" s="230"/>
      <c r="S1897" s="230"/>
      <c r="T1897" s="230"/>
      <c r="U1897" s="230"/>
      <c r="V1897" s="230"/>
      <c r="W1897" s="230"/>
      <c r="X1897" s="230"/>
      <c r="Y1897" s="230"/>
      <c r="Z1897" s="230"/>
    </row>
    <row r="1898">
      <c r="O1898" s="230"/>
      <c r="S1898" s="230"/>
      <c r="T1898" s="230"/>
      <c r="U1898" s="230"/>
      <c r="V1898" s="230"/>
      <c r="W1898" s="230"/>
      <c r="X1898" s="230"/>
      <c r="Y1898" s="230"/>
      <c r="Z1898" s="230"/>
    </row>
    <row r="1899">
      <c r="O1899" s="230"/>
      <c r="S1899" s="230"/>
      <c r="T1899" s="230"/>
      <c r="U1899" s="230"/>
      <c r="V1899" s="230"/>
      <c r="W1899" s="230"/>
      <c r="X1899" s="230"/>
      <c r="Y1899" s="230"/>
      <c r="Z1899" s="230"/>
    </row>
    <row r="1900">
      <c r="O1900" s="230"/>
      <c r="S1900" s="230"/>
      <c r="T1900" s="230"/>
      <c r="U1900" s="230"/>
      <c r="V1900" s="230"/>
      <c r="W1900" s="230"/>
      <c r="X1900" s="230"/>
      <c r="Y1900" s="230"/>
      <c r="Z1900" s="230"/>
    </row>
    <row r="1901">
      <c r="O1901" s="230"/>
      <c r="S1901" s="230"/>
      <c r="T1901" s="230"/>
      <c r="U1901" s="230"/>
      <c r="V1901" s="230"/>
      <c r="W1901" s="230"/>
      <c r="X1901" s="230"/>
      <c r="Y1901" s="230"/>
      <c r="Z1901" s="230"/>
    </row>
    <row r="1902">
      <c r="O1902" s="230"/>
      <c r="S1902" s="230"/>
      <c r="T1902" s="230"/>
      <c r="U1902" s="230"/>
      <c r="V1902" s="230"/>
      <c r="W1902" s="230"/>
      <c r="X1902" s="230"/>
      <c r="Y1902" s="230"/>
      <c r="Z1902" s="230"/>
    </row>
    <row r="1903">
      <c r="O1903" s="230"/>
      <c r="S1903" s="230"/>
      <c r="T1903" s="230"/>
      <c r="U1903" s="230"/>
      <c r="V1903" s="230"/>
      <c r="W1903" s="230"/>
      <c r="X1903" s="230"/>
      <c r="Y1903" s="230"/>
      <c r="Z1903" s="230"/>
    </row>
    <row r="1904">
      <c r="O1904" s="230"/>
      <c r="S1904" s="230"/>
      <c r="T1904" s="230"/>
      <c r="U1904" s="230"/>
      <c r="V1904" s="230"/>
      <c r="W1904" s="230"/>
      <c r="X1904" s="230"/>
      <c r="Y1904" s="230"/>
      <c r="Z1904" s="230"/>
    </row>
    <row r="1905">
      <c r="O1905" s="230"/>
      <c r="S1905" s="230"/>
      <c r="T1905" s="230"/>
      <c r="U1905" s="230"/>
      <c r="V1905" s="230"/>
      <c r="W1905" s="230"/>
      <c r="X1905" s="230"/>
      <c r="Y1905" s="230"/>
      <c r="Z1905" s="230"/>
    </row>
    <row r="1906">
      <c r="O1906" s="230"/>
      <c r="S1906" s="230"/>
      <c r="T1906" s="230"/>
      <c r="U1906" s="230"/>
      <c r="V1906" s="230"/>
      <c r="W1906" s="230"/>
      <c r="X1906" s="230"/>
      <c r="Y1906" s="230"/>
      <c r="Z1906" s="230"/>
    </row>
    <row r="1907">
      <c r="O1907" s="230"/>
      <c r="S1907" s="230"/>
      <c r="T1907" s="230"/>
      <c r="U1907" s="230"/>
      <c r="V1907" s="230"/>
      <c r="W1907" s="230"/>
      <c r="X1907" s="230"/>
      <c r="Y1907" s="230"/>
      <c r="Z1907" s="230"/>
    </row>
    <row r="1908">
      <c r="O1908" s="230"/>
      <c r="S1908" s="230"/>
      <c r="T1908" s="230"/>
      <c r="U1908" s="230"/>
      <c r="V1908" s="230"/>
      <c r="W1908" s="230"/>
      <c r="X1908" s="230"/>
      <c r="Y1908" s="230"/>
      <c r="Z1908" s="230"/>
    </row>
    <row r="1909">
      <c r="O1909" s="230"/>
      <c r="S1909" s="230"/>
      <c r="T1909" s="230"/>
      <c r="U1909" s="230"/>
      <c r="V1909" s="230"/>
      <c r="W1909" s="230"/>
      <c r="X1909" s="230"/>
      <c r="Y1909" s="230"/>
      <c r="Z1909" s="230"/>
    </row>
    <row r="1910">
      <c r="O1910" s="230"/>
      <c r="S1910" s="230"/>
      <c r="T1910" s="230"/>
      <c r="U1910" s="230"/>
      <c r="V1910" s="230"/>
      <c r="W1910" s="230"/>
      <c r="X1910" s="230"/>
      <c r="Y1910" s="230"/>
      <c r="Z1910" s="230"/>
    </row>
    <row r="1911">
      <c r="O1911" s="230"/>
      <c r="S1911" s="230"/>
      <c r="T1911" s="230"/>
      <c r="U1911" s="230"/>
      <c r="V1911" s="230"/>
      <c r="W1911" s="230"/>
      <c r="X1911" s="230"/>
      <c r="Y1911" s="230"/>
      <c r="Z1911" s="230"/>
    </row>
    <row r="1912">
      <c r="O1912" s="230"/>
      <c r="S1912" s="230"/>
      <c r="T1912" s="230"/>
      <c r="U1912" s="230"/>
      <c r="V1912" s="230"/>
      <c r="W1912" s="230"/>
      <c r="X1912" s="230"/>
      <c r="Y1912" s="230"/>
      <c r="Z1912" s="230"/>
    </row>
    <row r="1913">
      <c r="O1913" s="230"/>
      <c r="S1913" s="230"/>
      <c r="T1913" s="230"/>
      <c r="U1913" s="230"/>
      <c r="V1913" s="230"/>
      <c r="W1913" s="230"/>
      <c r="X1913" s="230"/>
      <c r="Y1913" s="230"/>
      <c r="Z1913" s="230"/>
    </row>
    <row r="1914">
      <c r="O1914" s="230"/>
      <c r="S1914" s="230"/>
      <c r="T1914" s="230"/>
      <c r="U1914" s="230"/>
      <c r="V1914" s="230"/>
      <c r="W1914" s="230"/>
      <c r="X1914" s="230"/>
      <c r="Y1914" s="230"/>
      <c r="Z1914" s="230"/>
    </row>
    <row r="1915">
      <c r="O1915" s="230"/>
      <c r="S1915" s="230"/>
      <c r="T1915" s="230"/>
      <c r="U1915" s="230"/>
      <c r="V1915" s="230"/>
      <c r="W1915" s="230"/>
      <c r="X1915" s="230"/>
      <c r="Y1915" s="230"/>
      <c r="Z1915" s="230"/>
    </row>
    <row r="1916">
      <c r="O1916" s="230"/>
      <c r="S1916" s="230"/>
      <c r="T1916" s="230"/>
      <c r="U1916" s="230"/>
      <c r="V1916" s="230"/>
      <c r="W1916" s="230"/>
      <c r="X1916" s="230"/>
      <c r="Y1916" s="230"/>
      <c r="Z1916" s="230"/>
    </row>
    <row r="1917">
      <c r="O1917" s="230"/>
      <c r="S1917" s="230"/>
      <c r="T1917" s="230"/>
      <c r="U1917" s="230"/>
      <c r="V1917" s="230"/>
      <c r="W1917" s="230"/>
      <c r="X1917" s="230"/>
      <c r="Y1917" s="230"/>
      <c r="Z1917" s="230"/>
    </row>
    <row r="1918">
      <c r="O1918" s="230"/>
      <c r="S1918" s="230"/>
      <c r="T1918" s="230"/>
      <c r="U1918" s="230"/>
      <c r="V1918" s="230"/>
      <c r="W1918" s="230"/>
      <c r="X1918" s="230"/>
      <c r="Y1918" s="230"/>
      <c r="Z1918" s="230"/>
    </row>
    <row r="1919">
      <c r="O1919" s="230"/>
      <c r="S1919" s="230"/>
      <c r="T1919" s="230"/>
      <c r="U1919" s="230"/>
      <c r="V1919" s="230"/>
      <c r="W1919" s="230"/>
      <c r="X1919" s="230"/>
      <c r="Y1919" s="230"/>
      <c r="Z1919" s="230"/>
    </row>
    <row r="1920">
      <c r="O1920" s="230"/>
      <c r="S1920" s="230"/>
      <c r="T1920" s="230"/>
      <c r="U1920" s="230"/>
      <c r="V1920" s="230"/>
      <c r="W1920" s="230"/>
      <c r="X1920" s="230"/>
      <c r="Y1920" s="230"/>
      <c r="Z1920" s="230"/>
    </row>
    <row r="1921">
      <c r="O1921" s="230"/>
      <c r="S1921" s="230"/>
      <c r="T1921" s="230"/>
      <c r="U1921" s="230"/>
      <c r="V1921" s="230"/>
      <c r="W1921" s="230"/>
      <c r="X1921" s="230"/>
      <c r="Y1921" s="230"/>
      <c r="Z1921" s="230"/>
    </row>
    <row r="1922">
      <c r="O1922" s="230"/>
      <c r="S1922" s="230"/>
      <c r="T1922" s="230"/>
      <c r="U1922" s="230"/>
      <c r="V1922" s="230"/>
      <c r="W1922" s="230"/>
      <c r="X1922" s="230"/>
      <c r="Y1922" s="230"/>
      <c r="Z1922" s="230"/>
    </row>
    <row r="1923">
      <c r="O1923" s="230"/>
      <c r="S1923" s="230"/>
      <c r="T1923" s="230"/>
      <c r="U1923" s="230"/>
      <c r="V1923" s="230"/>
      <c r="W1923" s="230"/>
      <c r="X1923" s="230"/>
      <c r="Y1923" s="230"/>
      <c r="Z1923" s="230"/>
    </row>
    <row r="1924">
      <c r="O1924" s="230"/>
      <c r="S1924" s="230"/>
      <c r="T1924" s="230"/>
      <c r="U1924" s="230"/>
      <c r="V1924" s="230"/>
      <c r="W1924" s="230"/>
      <c r="X1924" s="230"/>
      <c r="Y1924" s="230"/>
      <c r="Z1924" s="230"/>
    </row>
    <row r="1925">
      <c r="O1925" s="230"/>
      <c r="S1925" s="230"/>
      <c r="T1925" s="230"/>
      <c r="U1925" s="230"/>
      <c r="V1925" s="230"/>
      <c r="W1925" s="230"/>
      <c r="X1925" s="230"/>
      <c r="Y1925" s="230"/>
      <c r="Z1925" s="230"/>
    </row>
    <row r="1926">
      <c r="O1926" s="230"/>
      <c r="S1926" s="230"/>
      <c r="T1926" s="230"/>
      <c r="U1926" s="230"/>
      <c r="V1926" s="230"/>
      <c r="W1926" s="230"/>
      <c r="X1926" s="230"/>
      <c r="Y1926" s="230"/>
      <c r="Z1926" s="230"/>
    </row>
    <row r="1927">
      <c r="O1927" s="230"/>
      <c r="S1927" s="230"/>
      <c r="T1927" s="230"/>
      <c r="U1927" s="230"/>
      <c r="V1927" s="230"/>
      <c r="W1927" s="230"/>
      <c r="X1927" s="230"/>
      <c r="Y1927" s="230"/>
      <c r="Z1927" s="230"/>
    </row>
    <row r="1928">
      <c r="O1928" s="230"/>
      <c r="S1928" s="230"/>
      <c r="T1928" s="230"/>
      <c r="U1928" s="230"/>
      <c r="V1928" s="230"/>
      <c r="W1928" s="230"/>
      <c r="X1928" s="230"/>
      <c r="Y1928" s="230"/>
      <c r="Z1928" s="230"/>
    </row>
    <row r="1929">
      <c r="O1929" s="230"/>
      <c r="S1929" s="230"/>
      <c r="T1929" s="230"/>
      <c r="U1929" s="230"/>
      <c r="V1929" s="230"/>
      <c r="W1929" s="230"/>
      <c r="X1929" s="230"/>
      <c r="Y1929" s="230"/>
      <c r="Z1929" s="230"/>
    </row>
    <row r="1930">
      <c r="O1930" s="230"/>
      <c r="S1930" s="230"/>
      <c r="T1930" s="230"/>
      <c r="U1930" s="230"/>
      <c r="V1930" s="230"/>
      <c r="W1930" s="230"/>
      <c r="X1930" s="230"/>
      <c r="Y1930" s="230"/>
      <c r="Z1930" s="230"/>
    </row>
    <row r="1931">
      <c r="O1931" s="230"/>
      <c r="S1931" s="230"/>
      <c r="T1931" s="230"/>
      <c r="U1931" s="230"/>
      <c r="V1931" s="230"/>
      <c r="W1931" s="230"/>
      <c r="X1931" s="230"/>
      <c r="Y1931" s="230"/>
      <c r="Z1931" s="230"/>
    </row>
    <row r="1932">
      <c r="O1932" s="230"/>
      <c r="S1932" s="230"/>
      <c r="T1932" s="230"/>
      <c r="U1932" s="230"/>
      <c r="V1932" s="230"/>
      <c r="W1932" s="230"/>
      <c r="X1932" s="230"/>
      <c r="Y1932" s="230"/>
      <c r="Z1932" s="230"/>
    </row>
    <row r="1933">
      <c r="O1933" s="230"/>
      <c r="S1933" s="230"/>
      <c r="T1933" s="230"/>
      <c r="U1933" s="230"/>
      <c r="V1933" s="230"/>
      <c r="W1933" s="230"/>
      <c r="X1933" s="230"/>
      <c r="Y1933" s="230"/>
      <c r="Z1933" s="230"/>
    </row>
    <row r="1934">
      <c r="O1934" s="230"/>
      <c r="S1934" s="230"/>
      <c r="T1934" s="230"/>
      <c r="U1934" s="230"/>
      <c r="V1934" s="230"/>
      <c r="W1934" s="230"/>
      <c r="X1934" s="230"/>
      <c r="Y1934" s="230"/>
      <c r="Z1934" s="230"/>
    </row>
    <row r="1935">
      <c r="O1935" s="230"/>
      <c r="S1935" s="230"/>
      <c r="T1935" s="230"/>
      <c r="U1935" s="230"/>
      <c r="V1935" s="230"/>
      <c r="W1935" s="230"/>
      <c r="X1935" s="230"/>
      <c r="Y1935" s="230"/>
      <c r="Z1935" s="230"/>
    </row>
    <row r="1936">
      <c r="O1936" s="230"/>
      <c r="S1936" s="230"/>
      <c r="T1936" s="230"/>
      <c r="U1936" s="230"/>
      <c r="V1936" s="230"/>
      <c r="W1936" s="230"/>
      <c r="X1936" s="230"/>
      <c r="Y1936" s="230"/>
      <c r="Z1936" s="230"/>
    </row>
    <row r="1937">
      <c r="O1937" s="230"/>
      <c r="S1937" s="230"/>
      <c r="T1937" s="230"/>
      <c r="U1937" s="230"/>
      <c r="V1937" s="230"/>
      <c r="W1937" s="230"/>
      <c r="X1937" s="230"/>
      <c r="Y1937" s="230"/>
      <c r="Z1937" s="230"/>
    </row>
    <row r="1938">
      <c r="O1938" s="230"/>
      <c r="S1938" s="230"/>
      <c r="T1938" s="230"/>
      <c r="U1938" s="230"/>
      <c r="V1938" s="230"/>
      <c r="W1938" s="230"/>
      <c r="X1938" s="230"/>
      <c r="Y1938" s="230"/>
      <c r="Z1938" s="230"/>
    </row>
    <row r="1939">
      <c r="O1939" s="230"/>
      <c r="S1939" s="230"/>
      <c r="T1939" s="230"/>
      <c r="U1939" s="230"/>
      <c r="V1939" s="230"/>
      <c r="W1939" s="230"/>
      <c r="X1939" s="230"/>
      <c r="Y1939" s="230"/>
      <c r="Z1939" s="230"/>
    </row>
    <row r="1940">
      <c r="O1940" s="230"/>
      <c r="S1940" s="230"/>
      <c r="T1940" s="230"/>
      <c r="U1940" s="230"/>
      <c r="V1940" s="230"/>
      <c r="W1940" s="230"/>
      <c r="X1940" s="230"/>
      <c r="Y1940" s="230"/>
      <c r="Z1940" s="230"/>
    </row>
    <row r="1941">
      <c r="O1941" s="230"/>
      <c r="S1941" s="230"/>
      <c r="T1941" s="230"/>
      <c r="U1941" s="230"/>
      <c r="V1941" s="230"/>
      <c r="W1941" s="230"/>
      <c r="X1941" s="230"/>
      <c r="Y1941" s="230"/>
      <c r="Z1941" s="230"/>
    </row>
    <row r="1942">
      <c r="O1942" s="230"/>
      <c r="S1942" s="230"/>
      <c r="T1942" s="230"/>
      <c r="U1942" s="230"/>
      <c r="V1942" s="230"/>
      <c r="W1942" s="230"/>
      <c r="X1942" s="230"/>
      <c r="Y1942" s="230"/>
      <c r="Z1942" s="230"/>
    </row>
    <row r="1943">
      <c r="O1943" s="230"/>
      <c r="S1943" s="230"/>
      <c r="T1943" s="230"/>
      <c r="U1943" s="230"/>
      <c r="V1943" s="230"/>
      <c r="W1943" s="230"/>
      <c r="X1943" s="230"/>
      <c r="Y1943" s="230"/>
      <c r="Z1943" s="230"/>
    </row>
    <row r="1944">
      <c r="O1944" s="230"/>
      <c r="S1944" s="230"/>
      <c r="T1944" s="230"/>
      <c r="U1944" s="230"/>
      <c r="V1944" s="230"/>
      <c r="W1944" s="230"/>
      <c r="X1944" s="230"/>
      <c r="Y1944" s="230"/>
      <c r="Z1944" s="230"/>
    </row>
    <row r="1945">
      <c r="O1945" s="230"/>
      <c r="S1945" s="230"/>
      <c r="T1945" s="230"/>
      <c r="U1945" s="230"/>
      <c r="V1945" s="230"/>
      <c r="W1945" s="230"/>
      <c r="X1945" s="230"/>
      <c r="Y1945" s="230"/>
      <c r="Z1945" s="230"/>
    </row>
    <row r="1946">
      <c r="O1946" s="230"/>
      <c r="S1946" s="230"/>
      <c r="T1946" s="230"/>
      <c r="U1946" s="230"/>
      <c r="V1946" s="230"/>
      <c r="W1946" s="230"/>
      <c r="X1946" s="230"/>
      <c r="Y1946" s="230"/>
      <c r="Z1946" s="230"/>
    </row>
    <row r="1947">
      <c r="O1947" s="230"/>
      <c r="S1947" s="230"/>
      <c r="T1947" s="230"/>
      <c r="U1947" s="230"/>
      <c r="V1947" s="230"/>
      <c r="W1947" s="230"/>
      <c r="X1947" s="230"/>
      <c r="Y1947" s="230"/>
      <c r="Z1947" s="230"/>
    </row>
    <row r="1948">
      <c r="O1948" s="230"/>
      <c r="S1948" s="230"/>
      <c r="T1948" s="230"/>
      <c r="U1948" s="230"/>
      <c r="V1948" s="230"/>
      <c r="W1948" s="230"/>
      <c r="X1948" s="230"/>
      <c r="Y1948" s="230"/>
      <c r="Z1948" s="230"/>
    </row>
    <row r="1949">
      <c r="O1949" s="230"/>
      <c r="S1949" s="230"/>
      <c r="T1949" s="230"/>
      <c r="U1949" s="230"/>
      <c r="V1949" s="230"/>
      <c r="W1949" s="230"/>
      <c r="X1949" s="230"/>
      <c r="Y1949" s="230"/>
      <c r="Z1949" s="230"/>
    </row>
    <row r="1950">
      <c r="O1950" s="230"/>
      <c r="S1950" s="230"/>
      <c r="T1950" s="230"/>
      <c r="U1950" s="230"/>
      <c r="V1950" s="230"/>
      <c r="W1950" s="230"/>
      <c r="X1950" s="230"/>
      <c r="Y1950" s="230"/>
      <c r="Z1950" s="230"/>
    </row>
    <row r="1951">
      <c r="O1951" s="230"/>
      <c r="S1951" s="230"/>
      <c r="T1951" s="230"/>
      <c r="U1951" s="230"/>
      <c r="V1951" s="230"/>
      <c r="W1951" s="230"/>
      <c r="X1951" s="230"/>
      <c r="Y1951" s="230"/>
      <c r="Z1951" s="230"/>
    </row>
    <row r="1952">
      <c r="O1952" s="230"/>
      <c r="S1952" s="230"/>
      <c r="T1952" s="230"/>
      <c r="U1952" s="230"/>
      <c r="V1952" s="230"/>
      <c r="W1952" s="230"/>
      <c r="X1952" s="230"/>
      <c r="Y1952" s="230"/>
      <c r="Z1952" s="230"/>
    </row>
    <row r="1953">
      <c r="O1953" s="230"/>
      <c r="S1953" s="230"/>
      <c r="T1953" s="230"/>
      <c r="U1953" s="230"/>
      <c r="V1953" s="230"/>
      <c r="W1953" s="230"/>
      <c r="X1953" s="230"/>
      <c r="Y1953" s="230"/>
      <c r="Z1953" s="230"/>
    </row>
    <row r="1954">
      <c r="O1954" s="230"/>
      <c r="S1954" s="230"/>
      <c r="T1954" s="230"/>
      <c r="U1954" s="230"/>
      <c r="V1954" s="230"/>
      <c r="W1954" s="230"/>
      <c r="X1954" s="230"/>
      <c r="Y1954" s="230"/>
      <c r="Z1954" s="230"/>
    </row>
    <row r="1955">
      <c r="O1955" s="230"/>
      <c r="S1955" s="230"/>
      <c r="T1955" s="230"/>
      <c r="U1955" s="230"/>
      <c r="V1955" s="230"/>
      <c r="W1955" s="230"/>
      <c r="X1955" s="230"/>
      <c r="Y1955" s="230"/>
      <c r="Z1955" s="230"/>
    </row>
    <row r="1956">
      <c r="O1956" s="230"/>
      <c r="S1956" s="230"/>
      <c r="T1956" s="230"/>
      <c r="U1956" s="230"/>
      <c r="V1956" s="230"/>
      <c r="W1956" s="230"/>
      <c r="X1956" s="230"/>
      <c r="Y1956" s="230"/>
      <c r="Z1956" s="230"/>
    </row>
    <row r="1957">
      <c r="O1957" s="230"/>
      <c r="S1957" s="230"/>
      <c r="T1957" s="230"/>
      <c r="U1957" s="230"/>
      <c r="V1957" s="230"/>
      <c r="W1957" s="230"/>
      <c r="X1957" s="230"/>
      <c r="Y1957" s="230"/>
      <c r="Z1957" s="230"/>
    </row>
    <row r="1958">
      <c r="O1958" s="230"/>
      <c r="S1958" s="230"/>
      <c r="T1958" s="230"/>
      <c r="U1958" s="230"/>
      <c r="V1958" s="230"/>
      <c r="W1958" s="230"/>
      <c r="X1958" s="230"/>
      <c r="Y1958" s="230"/>
      <c r="Z1958" s="230"/>
    </row>
    <row r="1959">
      <c r="O1959" s="230"/>
      <c r="S1959" s="230"/>
      <c r="T1959" s="230"/>
      <c r="U1959" s="230"/>
      <c r="V1959" s="230"/>
      <c r="W1959" s="230"/>
      <c r="X1959" s="230"/>
      <c r="Y1959" s="230"/>
      <c r="Z1959" s="230"/>
    </row>
    <row r="1960">
      <c r="O1960" s="230"/>
      <c r="S1960" s="230"/>
      <c r="T1960" s="230"/>
      <c r="U1960" s="230"/>
      <c r="V1960" s="230"/>
      <c r="W1960" s="230"/>
      <c r="X1960" s="230"/>
      <c r="Y1960" s="230"/>
      <c r="Z1960" s="230"/>
    </row>
    <row r="1961">
      <c r="O1961" s="230"/>
      <c r="S1961" s="230"/>
      <c r="T1961" s="230"/>
      <c r="U1961" s="230"/>
      <c r="V1961" s="230"/>
      <c r="W1961" s="230"/>
      <c r="X1961" s="230"/>
      <c r="Y1961" s="230"/>
      <c r="Z1961" s="230"/>
    </row>
    <row r="1962">
      <c r="O1962" s="230"/>
      <c r="S1962" s="230"/>
      <c r="T1962" s="230"/>
      <c r="U1962" s="230"/>
      <c r="V1962" s="230"/>
      <c r="W1962" s="230"/>
      <c r="X1962" s="230"/>
      <c r="Y1962" s="230"/>
      <c r="Z1962" s="230"/>
    </row>
    <row r="1963">
      <c r="O1963" s="230"/>
      <c r="S1963" s="230"/>
      <c r="T1963" s="230"/>
      <c r="U1963" s="230"/>
      <c r="V1963" s="230"/>
      <c r="W1963" s="230"/>
      <c r="X1963" s="230"/>
      <c r="Y1963" s="230"/>
      <c r="Z1963" s="230"/>
    </row>
    <row r="1964">
      <c r="O1964" s="230"/>
      <c r="S1964" s="230"/>
      <c r="T1964" s="230"/>
      <c r="U1964" s="230"/>
      <c r="V1964" s="230"/>
      <c r="W1964" s="230"/>
      <c r="X1964" s="230"/>
      <c r="Y1964" s="230"/>
      <c r="Z1964" s="230"/>
    </row>
    <row r="1965">
      <c r="O1965" s="230"/>
      <c r="S1965" s="230"/>
      <c r="T1965" s="230"/>
      <c r="U1965" s="230"/>
      <c r="V1965" s="230"/>
      <c r="W1965" s="230"/>
      <c r="X1965" s="230"/>
      <c r="Y1965" s="230"/>
      <c r="Z1965" s="230"/>
    </row>
    <row r="1966">
      <c r="O1966" s="230"/>
      <c r="S1966" s="230"/>
      <c r="T1966" s="230"/>
      <c r="U1966" s="230"/>
      <c r="V1966" s="230"/>
      <c r="W1966" s="230"/>
      <c r="X1966" s="230"/>
      <c r="Y1966" s="230"/>
      <c r="Z1966" s="230"/>
    </row>
    <row r="1967">
      <c r="O1967" s="230"/>
      <c r="S1967" s="230"/>
      <c r="T1967" s="230"/>
      <c r="U1967" s="230"/>
      <c r="V1967" s="230"/>
      <c r="W1967" s="230"/>
      <c r="X1967" s="230"/>
      <c r="Y1967" s="230"/>
      <c r="Z1967" s="230"/>
    </row>
    <row r="1968">
      <c r="O1968" s="230"/>
      <c r="S1968" s="230"/>
      <c r="T1968" s="230"/>
      <c r="U1968" s="230"/>
      <c r="V1968" s="230"/>
      <c r="W1968" s="230"/>
      <c r="X1968" s="230"/>
      <c r="Y1968" s="230"/>
      <c r="Z1968" s="230"/>
    </row>
    <row r="1969">
      <c r="O1969" s="230"/>
      <c r="S1969" s="230"/>
      <c r="T1969" s="230"/>
      <c r="U1969" s="230"/>
      <c r="V1969" s="230"/>
      <c r="W1969" s="230"/>
      <c r="X1969" s="230"/>
      <c r="Y1969" s="230"/>
      <c r="Z1969" s="230"/>
    </row>
    <row r="1970">
      <c r="O1970" s="230"/>
      <c r="S1970" s="230"/>
      <c r="T1970" s="230"/>
      <c r="U1970" s="230"/>
      <c r="V1970" s="230"/>
      <c r="W1970" s="230"/>
      <c r="X1970" s="230"/>
      <c r="Y1970" s="230"/>
      <c r="Z1970" s="230"/>
    </row>
    <row r="1971">
      <c r="O1971" s="230"/>
      <c r="S1971" s="230"/>
      <c r="T1971" s="230"/>
      <c r="U1971" s="230"/>
      <c r="V1971" s="230"/>
      <c r="W1971" s="230"/>
      <c r="X1971" s="230"/>
      <c r="Y1971" s="230"/>
      <c r="Z1971" s="230"/>
    </row>
    <row r="1972">
      <c r="O1972" s="230"/>
      <c r="S1972" s="230"/>
      <c r="T1972" s="230"/>
      <c r="U1972" s="230"/>
      <c r="V1972" s="230"/>
      <c r="W1972" s="230"/>
      <c r="X1972" s="230"/>
      <c r="Y1972" s="230"/>
      <c r="Z1972" s="230"/>
    </row>
    <row r="1973">
      <c r="O1973" s="230"/>
      <c r="S1973" s="230"/>
      <c r="T1973" s="230"/>
      <c r="U1973" s="230"/>
      <c r="V1973" s="230"/>
      <c r="W1973" s="230"/>
      <c r="X1973" s="230"/>
      <c r="Y1973" s="230"/>
      <c r="Z1973" s="230"/>
    </row>
    <row r="1974">
      <c r="O1974" s="230"/>
      <c r="S1974" s="230"/>
      <c r="T1974" s="230"/>
      <c r="U1974" s="230"/>
      <c r="V1974" s="230"/>
      <c r="W1974" s="230"/>
      <c r="X1974" s="230"/>
      <c r="Y1974" s="230"/>
      <c r="Z1974" s="230"/>
    </row>
    <row r="1975">
      <c r="O1975" s="230"/>
      <c r="S1975" s="230"/>
      <c r="T1975" s="230"/>
      <c r="U1975" s="230"/>
      <c r="V1975" s="230"/>
      <c r="W1975" s="230"/>
      <c r="X1975" s="230"/>
      <c r="Y1975" s="230"/>
      <c r="Z1975" s="230"/>
    </row>
    <row r="1976">
      <c r="O1976" s="230"/>
      <c r="S1976" s="230"/>
      <c r="T1976" s="230"/>
      <c r="U1976" s="230"/>
      <c r="V1976" s="230"/>
      <c r="W1976" s="230"/>
      <c r="X1976" s="230"/>
      <c r="Y1976" s="230"/>
      <c r="Z1976" s="230"/>
    </row>
    <row r="1977">
      <c r="O1977" s="230"/>
      <c r="S1977" s="230"/>
      <c r="T1977" s="230"/>
      <c r="U1977" s="230"/>
      <c r="V1977" s="230"/>
      <c r="W1977" s="230"/>
      <c r="X1977" s="230"/>
      <c r="Y1977" s="230"/>
      <c r="Z1977" s="230"/>
    </row>
    <row r="1978">
      <c r="O1978" s="230"/>
      <c r="S1978" s="230"/>
      <c r="T1978" s="230"/>
      <c r="U1978" s="230"/>
      <c r="V1978" s="230"/>
      <c r="W1978" s="230"/>
      <c r="X1978" s="230"/>
      <c r="Y1978" s="230"/>
      <c r="Z1978" s="230"/>
    </row>
    <row r="1979">
      <c r="O1979" s="230"/>
      <c r="S1979" s="230"/>
      <c r="T1979" s="230"/>
      <c r="U1979" s="230"/>
      <c r="V1979" s="230"/>
      <c r="W1979" s="230"/>
      <c r="X1979" s="230"/>
      <c r="Y1979" s="230"/>
      <c r="Z1979" s="230"/>
    </row>
    <row r="1980">
      <c r="O1980" s="230"/>
      <c r="S1980" s="230"/>
      <c r="T1980" s="230"/>
      <c r="U1980" s="230"/>
      <c r="V1980" s="230"/>
      <c r="W1980" s="230"/>
      <c r="X1980" s="230"/>
      <c r="Y1980" s="230"/>
      <c r="Z1980" s="230"/>
    </row>
    <row r="1981">
      <c r="O1981" s="230"/>
      <c r="S1981" s="230"/>
      <c r="T1981" s="230"/>
      <c r="U1981" s="230"/>
      <c r="V1981" s="230"/>
      <c r="W1981" s="230"/>
      <c r="X1981" s="230"/>
      <c r="Y1981" s="230"/>
      <c r="Z1981" s="230"/>
    </row>
    <row r="1982">
      <c r="O1982" s="230"/>
      <c r="S1982" s="230"/>
      <c r="T1982" s="230"/>
      <c r="U1982" s="230"/>
      <c r="V1982" s="230"/>
      <c r="W1982" s="230"/>
      <c r="X1982" s="230"/>
      <c r="Y1982" s="230"/>
      <c r="Z1982" s="230"/>
    </row>
    <row r="1983">
      <c r="O1983" s="230"/>
      <c r="S1983" s="230"/>
      <c r="T1983" s="230"/>
      <c r="U1983" s="230"/>
      <c r="V1983" s="230"/>
      <c r="W1983" s="230"/>
      <c r="X1983" s="230"/>
      <c r="Y1983" s="230"/>
      <c r="Z1983" s="230"/>
    </row>
    <row r="1984">
      <c r="O1984" s="230"/>
      <c r="S1984" s="230"/>
      <c r="T1984" s="230"/>
      <c r="U1984" s="230"/>
      <c r="V1984" s="230"/>
      <c r="W1984" s="230"/>
      <c r="X1984" s="230"/>
      <c r="Y1984" s="230"/>
      <c r="Z1984" s="230"/>
    </row>
    <row r="1985">
      <c r="O1985" s="230"/>
      <c r="S1985" s="230"/>
      <c r="T1985" s="230"/>
      <c r="U1985" s="230"/>
      <c r="V1985" s="230"/>
      <c r="W1985" s="230"/>
      <c r="X1985" s="230"/>
      <c r="Y1985" s="230"/>
      <c r="Z1985" s="230"/>
    </row>
    <row r="1986">
      <c r="O1986" s="230"/>
      <c r="S1986" s="230"/>
      <c r="T1986" s="230"/>
      <c r="U1986" s="230"/>
      <c r="V1986" s="230"/>
      <c r="W1986" s="230"/>
      <c r="X1986" s="230"/>
      <c r="Y1986" s="230"/>
      <c r="Z1986" s="230"/>
    </row>
    <row r="1987">
      <c r="O1987" s="230"/>
      <c r="S1987" s="230"/>
      <c r="T1987" s="230"/>
      <c r="U1987" s="230"/>
      <c r="V1987" s="230"/>
      <c r="W1987" s="230"/>
      <c r="X1987" s="230"/>
      <c r="Y1987" s="230"/>
      <c r="Z1987" s="230"/>
    </row>
    <row r="1988">
      <c r="O1988" s="230"/>
      <c r="S1988" s="230"/>
      <c r="T1988" s="230"/>
      <c r="U1988" s="230"/>
      <c r="V1988" s="230"/>
      <c r="W1988" s="230"/>
      <c r="X1988" s="230"/>
      <c r="Y1988" s="230"/>
      <c r="Z1988" s="230"/>
    </row>
    <row r="1989">
      <c r="O1989" s="230"/>
      <c r="S1989" s="230"/>
      <c r="T1989" s="230"/>
      <c r="U1989" s="230"/>
      <c r="V1989" s="230"/>
      <c r="W1989" s="230"/>
      <c r="X1989" s="230"/>
      <c r="Y1989" s="230"/>
      <c r="Z1989" s="230"/>
    </row>
    <row r="1990">
      <c r="O1990" s="230"/>
      <c r="S1990" s="230"/>
      <c r="T1990" s="230"/>
      <c r="U1990" s="230"/>
      <c r="V1990" s="230"/>
      <c r="W1990" s="230"/>
      <c r="X1990" s="230"/>
      <c r="Y1990" s="230"/>
      <c r="Z1990" s="230"/>
    </row>
    <row r="1991">
      <c r="O1991" s="230"/>
      <c r="S1991" s="230"/>
      <c r="T1991" s="230"/>
      <c r="U1991" s="230"/>
      <c r="V1991" s="230"/>
      <c r="W1991" s="230"/>
      <c r="X1991" s="230"/>
      <c r="Y1991" s="230"/>
      <c r="Z1991" s="230"/>
    </row>
    <row r="1992">
      <c r="O1992" s="230"/>
      <c r="S1992" s="230"/>
      <c r="T1992" s="230"/>
      <c r="U1992" s="230"/>
      <c r="V1992" s="230"/>
      <c r="W1992" s="230"/>
      <c r="X1992" s="230"/>
      <c r="Y1992" s="230"/>
      <c r="Z1992" s="230"/>
    </row>
    <row r="1993">
      <c r="O1993" s="230"/>
      <c r="S1993" s="230"/>
      <c r="T1993" s="230"/>
      <c r="U1993" s="230"/>
      <c r="V1993" s="230"/>
      <c r="W1993" s="230"/>
      <c r="X1993" s="230"/>
      <c r="Y1993" s="230"/>
      <c r="Z1993" s="230"/>
    </row>
    <row r="1994">
      <c r="O1994" s="230"/>
      <c r="S1994" s="230"/>
      <c r="T1994" s="230"/>
      <c r="U1994" s="230"/>
      <c r="V1994" s="230"/>
      <c r="W1994" s="230"/>
      <c r="X1994" s="230"/>
      <c r="Y1994" s="230"/>
      <c r="Z1994" s="230"/>
    </row>
    <row r="1995">
      <c r="O1995" s="230"/>
      <c r="S1995" s="230"/>
      <c r="T1995" s="230"/>
      <c r="U1995" s="230"/>
      <c r="V1995" s="230"/>
      <c r="W1995" s="230"/>
      <c r="X1995" s="230"/>
      <c r="Y1995" s="230"/>
      <c r="Z1995" s="230"/>
    </row>
    <row r="1996">
      <c r="O1996" s="230"/>
      <c r="S1996" s="230"/>
      <c r="T1996" s="230"/>
      <c r="U1996" s="230"/>
      <c r="V1996" s="230"/>
      <c r="W1996" s="230"/>
      <c r="X1996" s="230"/>
      <c r="Y1996" s="230"/>
      <c r="Z1996" s="230"/>
    </row>
    <row r="1997">
      <c r="O1997" s="230"/>
      <c r="S1997" s="230"/>
      <c r="T1997" s="230"/>
      <c r="U1997" s="230"/>
      <c r="V1997" s="230"/>
      <c r="W1997" s="230"/>
      <c r="X1997" s="230"/>
      <c r="Y1997" s="230"/>
      <c r="Z1997" s="230"/>
    </row>
    <row r="1998">
      <c r="O1998" s="230"/>
      <c r="S1998" s="230"/>
      <c r="T1998" s="230"/>
      <c r="U1998" s="230"/>
      <c r="V1998" s="230"/>
      <c r="W1998" s="230"/>
      <c r="X1998" s="230"/>
      <c r="Y1998" s="230"/>
      <c r="Z1998" s="230"/>
    </row>
    <row r="1999">
      <c r="O1999" s="230"/>
      <c r="S1999" s="230"/>
      <c r="T1999" s="230"/>
      <c r="U1999" s="230"/>
      <c r="V1999" s="230"/>
      <c r="W1999" s="230"/>
      <c r="X1999" s="230"/>
      <c r="Y1999" s="230"/>
      <c r="Z1999" s="230"/>
    </row>
    <row r="2000">
      <c r="O2000" s="230"/>
      <c r="S2000" s="230"/>
      <c r="T2000" s="230"/>
      <c r="U2000" s="230"/>
      <c r="V2000" s="230"/>
      <c r="W2000" s="230"/>
      <c r="X2000" s="230"/>
      <c r="Y2000" s="230"/>
      <c r="Z2000" s="230"/>
    </row>
    <row r="2001">
      <c r="O2001" s="230"/>
      <c r="S2001" s="230"/>
      <c r="T2001" s="230"/>
      <c r="U2001" s="230"/>
      <c r="V2001" s="230"/>
      <c r="W2001" s="230"/>
      <c r="X2001" s="230"/>
      <c r="Y2001" s="230"/>
      <c r="Z2001" s="230"/>
    </row>
    <row r="2002">
      <c r="O2002" s="230"/>
      <c r="S2002" s="230"/>
      <c r="T2002" s="230"/>
      <c r="U2002" s="230"/>
      <c r="V2002" s="230"/>
      <c r="W2002" s="230"/>
      <c r="X2002" s="230"/>
      <c r="Y2002" s="230"/>
      <c r="Z2002" s="230"/>
    </row>
    <row r="2003">
      <c r="O2003" s="230"/>
      <c r="S2003" s="230"/>
      <c r="T2003" s="230"/>
      <c r="U2003" s="230"/>
      <c r="V2003" s="230"/>
      <c r="W2003" s="230"/>
      <c r="X2003" s="230"/>
      <c r="Y2003" s="230"/>
      <c r="Z2003" s="230"/>
    </row>
    <row r="2004">
      <c r="O2004" s="230"/>
      <c r="S2004" s="230"/>
      <c r="T2004" s="230"/>
      <c r="U2004" s="230"/>
      <c r="V2004" s="230"/>
      <c r="W2004" s="230"/>
      <c r="X2004" s="230"/>
      <c r="Y2004" s="230"/>
      <c r="Z2004" s="230"/>
    </row>
  </sheetData>
  <autoFilter ref="$A$1:$BD$2004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109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12.0</v>
      </c>
      <c r="C3" s="219">
        <v>328.25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3.5</v>
      </c>
      <c r="D6" s="212"/>
      <c r="E6" s="212"/>
      <c r="F6" s="221" t="s">
        <v>5574</v>
      </c>
    </row>
    <row r="7" ht="22.5" customHeight="1">
      <c r="A7" s="218" t="s">
        <v>255</v>
      </c>
      <c r="B7" s="216">
        <f>SUM('Sprint 15'!O:O)</f>
        <v>238</v>
      </c>
      <c r="C7" s="212">
        <f>ROUND(SUM('Sprint 15'!T:T)/3600,2)</f>
        <v>119.5</v>
      </c>
      <c r="D7" s="216">
        <f>SUMIF('Sprint 15'!J:J, "Done", 'Sprint 15'!O:O)</f>
        <v>57</v>
      </c>
      <c r="E7" s="212">
        <f>ROUND(SUMIF('Sprint 15'!J:J, "Done", 'Sprint 15'!T:T)/3600,2)</f>
        <v>31.5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15'!T:T, ('Sprint 15'!Q:Q = ""mid-sprint"")))/3600,0),2)"),4.0)</f>
        <v>4</v>
      </c>
      <c r="D9" s="212">
        <f>IFERROR(__xludf.DUMMYFUNCTION("IFERROR(SUM(FILTER('Sprint 15'!O:O, (('Sprint 15'!J:J = ""Done"")) * ('Sprint 15'!Q:Q = ""mid-sprint""))),0)"),2.0)</f>
        <v>2</v>
      </c>
      <c r="E9" s="212">
        <f>IFERROR(__xludf.DUMMYFUNCTION("ROUND(IFERROR(SUM(FILTER('Sprint 15'!T:T, (('Sprint 15'!J:J = ""Done"")) * ('Sprint 15'!P:P = ""mid-sprint"")))/3600,0),2)"),0.0)</f>
        <v>0</v>
      </c>
      <c r="F9" s="225" t="s">
        <v>259</v>
      </c>
    </row>
    <row r="10" ht="22.5" customHeight="1">
      <c r="A10" s="218" t="s">
        <v>258</v>
      </c>
      <c r="B10" s="212">
        <f>IFERROR(__xludf.DUMMYFUNCTION("ROUND(IFERROR(SUM(FILTER('Sprint 15'!T:T, ('Sprint 15'!Q:Q = ""change-request"")))/3600,0),2)"),0.0)</f>
        <v>0</v>
      </c>
      <c r="D10" s="212">
        <f>IFERROR(__xludf.DUMMYFUNCTION("IFERROR(SUM(FILTER('Sprint 15'!O:O, (('Sprint 15'!J:J = ""Done"")) * ('Sprint 15'!Q:Q = ""change-request""))),0)"),0.0)</f>
        <v>0</v>
      </c>
      <c r="E10" s="212">
        <f>IFERROR(__xludf.DUMMYFUNCTION("ROUND(IFERROR(SUM(FILTER('Sprint 15'!T:T, (('Sprint 15'!J:J = ""Done"")) * ('Sprint 15'!Q:Q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15'!O:O, ('Sprint 15'!E:E = ""Aek:Atiphat Nanthachitvanich""))),0)"),4.0)</f>
        <v>4</v>
      </c>
      <c r="C12" s="223">
        <f>IFERROR(__xludf.DUMMYFUNCTION("ROUND(IFERROR(SUM(FILTER('Sprint 15'!T:T, ('Sprint 15'!E:E = ""Aek:Atiphat Nanthachitvanich"")))/3600,0),2)"),0.0)</f>
        <v>0</v>
      </c>
      <c r="D12" s="216">
        <f>IFERROR(__xludf.DUMMYFUNCTION("IFERROR(SUM(FILTER('Sprint 15'!O:O, (('Sprint 15'!J:J = ""Done"")) * ('Sprint 15'!E:E = ""Aek:Atiphat Nanthachitvanich""))),0)"),0.0)</f>
        <v>0</v>
      </c>
      <c r="E12" s="223">
        <f>IFERROR(__xludf.DUMMYFUNCTION("ROUND(IFERROR(SUM(FILTER('Sprint 15'!T:T, (('Sprint 15'!J:J = ""Done"")) * ('Sprint 15'!E:E = ""Aek:Atiphat Nanthachitvanich"")))/3600,0),2)"),0.0)</f>
        <v>0</v>
      </c>
      <c r="F12" s="224"/>
    </row>
    <row r="13" ht="22.5" customHeight="1">
      <c r="A13" s="218" t="s">
        <v>32</v>
      </c>
      <c r="B13" s="216">
        <f>IFERROR(__xludf.DUMMYFUNCTION("IFERROR(SUM(FILTER('Sprint 15'!O:O, ('Sprint 15'!E:E = ""A:Phongthorn""))),0)"),21.0)</f>
        <v>21</v>
      </c>
      <c r="C13" s="223">
        <f>IFERROR(__xludf.DUMMYFUNCTION("ROUND(IFERROR(SUM(FILTER('Sprint 15'!T:T, ('Sprint 15'!E:E = ""A:Phongthorn"")))/3600,0),2)"),15.0)</f>
        <v>15</v>
      </c>
      <c r="D13" s="216">
        <f>IFERROR(__xludf.DUMMYFUNCTION("IFERROR(SUM(FILTER('Sprint 15'!O:O, (('Sprint 15'!J:J = ""Done"")) * ('Sprint 15'!E:E = ""A:Phongthorn""))),0)"),8.0)</f>
        <v>8</v>
      </c>
      <c r="E13" s="223">
        <f>IFERROR(__xludf.DUMMYFUNCTION("ROUND(IFERROR(SUM(FILTER('Sprint 15'!T:T, (('Sprint 15'!J:J = ""Done"")) * ('Sprint 15'!E:E = ""A:Phongthorn"")))/3600,0),2)"),7.0)</f>
        <v>7</v>
      </c>
      <c r="F13" s="224"/>
    </row>
    <row r="14" ht="22.5" customHeight="1">
      <c r="A14" s="218" t="s">
        <v>72</v>
      </c>
      <c r="B14" s="216">
        <f>IFERROR(__xludf.DUMMYFUNCTION("IFERROR(SUM(FILTER('Sprint 15'!O:O, ('Sprint 15'!E:E = ""Aom: Pornsawan Polnyiem""))),0)"),32.0)</f>
        <v>32</v>
      </c>
      <c r="C14" s="223">
        <f>IFERROR(__xludf.DUMMYFUNCTION("ROUND(IFERROR(SUM(FILTER('Sprint 15'!T:T, ('Sprint 15'!E:E = ""Aom: Pornsawan Polnyiem"")))/3600,0),2)"),4.5)</f>
        <v>4.5</v>
      </c>
      <c r="D14" s="216">
        <f>IFERROR(__xludf.DUMMYFUNCTION("IFERROR(SUM(FILTER('Sprint 15'!O:O, (('Sprint 15'!J:J = ""Done"")) * ('Sprint 15'!E:E = ""Aom: Pornsawan Polnyiem""))),0)"),4.0)</f>
        <v>4</v>
      </c>
      <c r="E14" s="223">
        <f>IFERROR(__xludf.DUMMYFUNCTION("ROUND(IFERROR(SUM(FILTER('Sprint 15'!T:T, (('Sprint 15'!J:J = ""Done"")) * ('Sprint 15'!E:E = ""Aom: Pornsawan Polnyiem"")))/3600,0),2)"),4.5)</f>
        <v>4.5</v>
      </c>
      <c r="F14" s="224"/>
    </row>
    <row r="15" ht="22.5" customHeight="1">
      <c r="A15" s="218" t="s">
        <v>24</v>
      </c>
      <c r="B15" s="216">
        <f>IFERROR(__xludf.DUMMYFUNCTION("IFERROR(SUM(FILTER('Sprint 15'!O:O, ('Sprint 15'!E:E = ""Zan : Isarapong Bulan""))),0)"),29.0)</f>
        <v>29</v>
      </c>
      <c r="C15" s="223">
        <f>IFERROR(__xludf.DUMMYFUNCTION("ROUND(IFERROR(SUM(FILTER('Sprint 15'!T:T, ('Sprint 15'!E:E = ""Zan : Isarapong Bulan"")))/3600,0),2)"),0.0)</f>
        <v>0</v>
      </c>
      <c r="D15" s="216">
        <f>IFERROR(__xludf.DUMMYFUNCTION("IFERROR(SUM(FILTER('Sprint 15'!O:O, (('Sprint 15'!J:J = ""Done"")) * ('Sprint 15'!E:E = ""Zan : Isarapong Bulan""))),0)"),11.0)</f>
        <v>11</v>
      </c>
      <c r="E15" s="223">
        <f>IFERROR(__xludf.DUMMYFUNCTION("ROUND(IFERROR(SUM(FILTER('Sprint 15'!T:T, (('Sprint 15'!J:J = ""Done"")) * ('Sprint 15'!E:E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15'!O:O, ('Sprint 15'!E:E = ""Mai:Sateta Abvanawong""))),0)"),29.0)</f>
        <v>29</v>
      </c>
      <c r="C16" s="223">
        <f>IFERROR(__xludf.DUMMYFUNCTION("ROUND(IFERROR(SUM(FILTER('Sprint 15'!T:T, ('Sprint 15'!E:E = ""Mai:Sateta Abvanawong"")))/3600,0),2)"),0.0)</f>
        <v>0</v>
      </c>
      <c r="D16" s="216">
        <f>IFERROR(__xludf.DUMMYFUNCTION("IFERROR(SUM(FILTER('Sprint 15'!O:O, (('Sprint 15'!J:J = ""Done"")) * ('Sprint 15'!E:E = ""Mai:Sateta Abvanawong""))),0)"),2.0)</f>
        <v>2</v>
      </c>
      <c r="E16" s="223">
        <f>IFERROR(__xludf.DUMMYFUNCTION("ROUND(IFERROR(SUM(FILTER('Sprint 15'!T:T, (('Sprint 15'!J:J = ""Done"")) * ('Sprint 15'!E:E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15'!O:O, ('Sprint 15'!E:E = ""Mac: Jarupong Pawichpongkul""))),0)"),26.0)</f>
        <v>26</v>
      </c>
      <c r="C17" s="223">
        <f>IFERROR(__xludf.DUMMYFUNCTION("ROUND(IFERROR(SUM(FILTER('Sprint 15'!T:T, ('Sprint 15'!E:E = ""Mac: Jarupong Pawichpongkul"")))/3600,0),2)"),30.0)</f>
        <v>30</v>
      </c>
      <c r="D17" s="216">
        <f>IFERROR(__xludf.DUMMYFUNCTION("IFERROR(SUM(FILTER('Sprint 15'!O:O, (('Sprint 15'!J:J = ""Done"")) * ('Sprint 15'!E:E = ""Mac: Jarupong Pawichpongkul""))),0)"),5.0)</f>
        <v>5</v>
      </c>
      <c r="E17" s="223">
        <f>IFERROR(__xludf.DUMMYFUNCTION("ROUND(IFERROR(SUM(FILTER('Sprint 15'!T:T, (('Sprint 15'!J:J = ""Done"")) * ('Sprint 15'!E:E = ""Mac: 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15'!O:O, ('Sprint 15'!E:E = ""Moss : Kittapath Sangvikukit""))),0)"),33.0)</f>
        <v>33</v>
      </c>
      <c r="C18" s="223">
        <f>IFERROR(__xludf.DUMMYFUNCTION("ROUND(IFERROR(SUM(FILTER('Sprint 15'!T:T, ('Sprint 15'!E:E = ""Moss : Kittapath Sangvikukit"")))/3600,0),2)"),34.0)</f>
        <v>34</v>
      </c>
      <c r="D18" s="216">
        <f>IFERROR(__xludf.DUMMYFUNCTION("IFERROR(SUM(FILTER('Sprint 15'!O:O, (('Sprint 15'!J:J = ""Done"")) * ('Sprint 15'!E:E = ""Moss : Kittapath Sangvikukit""))),0)"),14.0)</f>
        <v>14</v>
      </c>
      <c r="E18" s="223">
        <f>IFERROR(__xludf.DUMMYFUNCTION("ROUND(IFERROR(SUM(FILTER('Sprint 15'!T:T, (('Sprint 15'!J:J = ""Done"")) * ('Sprint 15'!E:E = ""Moss : Kittapath Sangvikukit"")))/3600,0),2)"),8.0)</f>
        <v>8</v>
      </c>
      <c r="F18" s="224"/>
    </row>
    <row r="19" ht="22.5" customHeight="1">
      <c r="A19" s="218" t="s">
        <v>28</v>
      </c>
      <c r="B19" s="216">
        <f>IFERROR(__xludf.DUMMYFUNCTION("IFERROR(SUM(FILTER('Sprint 15'!O:O, ('Sprint 15'!E:E = ""Jack: Warin Kesorn""))),0)"),0.0)</f>
        <v>0</v>
      </c>
      <c r="C19" s="223">
        <f>IFERROR(__xludf.DUMMYFUNCTION("ROUND(IFERROR(SUM(FILTER('Sprint 15'!T:T, ('Sprint 15'!E:E = ""Jack: Warin Kesorn"")))/3600,0),2)"),0.0)</f>
        <v>0</v>
      </c>
      <c r="D19" s="216">
        <f>IFERROR(__xludf.DUMMYFUNCTION("IFERROR(SUM(FILTER('Sprint 15'!O:O, (('Sprint 15'!J:J = ""Done"")) * ('Sprint 15'!E:E = ""Jack: Warin Kesorn""))),0)"),0.0)</f>
        <v>0</v>
      </c>
      <c r="E19" s="223">
        <f>IFERROR(__xludf.DUMMYFUNCTION("ROUND(IFERROR(SUM(FILTER('Sprint 15'!T:T, (('Sprint 15'!J:J = ""Done"")) * ('Sprint 15'!E:E = ""Jack: Warin Kesorn"")))/3600,0),2)"),0.0)</f>
        <v>0</v>
      </c>
      <c r="F19" s="224"/>
    </row>
    <row r="20" ht="22.5" customHeight="1">
      <c r="A20" s="218" t="s">
        <v>3616</v>
      </c>
      <c r="B20" s="216">
        <f>IFERROR(__xludf.DUMMYFUNCTION("IFERROR(SUM(FILTER('Sprint 15'!O:O, ('Sprint 15'!E:E = ""Art: Narupontp""))),0)"),0.0)</f>
        <v>0</v>
      </c>
      <c r="C20" s="223">
        <f>IFERROR(__xludf.DUMMYFUNCTION("ROUND(IFERROR(SUM(FILTER('Sprint 15'!T:T, ('Sprint 15'!E:E = ""Art: Narupontp"")))/3600,0),2)"),0.0)</f>
        <v>0</v>
      </c>
      <c r="D20" s="216">
        <f>IFERROR(__xludf.DUMMYFUNCTION("IFERROR(SUM(FILTER('Sprint 15'!O:O, (('Sprint 15'!J:J = ""Done"")) * ('Sprint 15'!E:E = ""Art: Narupontp""))),0)"),0.0)</f>
        <v>0</v>
      </c>
      <c r="E20" s="223">
        <f>IFERROR(__xludf.DUMMYFUNCTION("ROUND(IFERROR(SUM(FILTER('Sprint 15'!T:T, (('Sprint 15'!J:J = ""Done"")) * ('Sprint 15'!E:E = ""Art: Narupontp"")))/3600,0),2)"),0.0)</f>
        <v>0</v>
      </c>
      <c r="F20" s="224"/>
    </row>
    <row r="21" ht="22.5" customHeight="1">
      <c r="A21" s="218" t="s">
        <v>3617</v>
      </c>
      <c r="B21" s="216">
        <f>IFERROR(__xludf.DUMMYFUNCTION("IFERROR(SUM(FILTER('Sprint 15'!O:O, ('Sprint 15'!E:E = ""Kae: Pimonrath Jaiyen""))),0)"),0.0)</f>
        <v>0</v>
      </c>
      <c r="C21" s="223">
        <f>IFERROR(__xludf.DUMMYFUNCTION("ROUND(IFERROR(SUM(FILTER('Sprint 15'!T:T, ('Sprint 15'!E:E = ""Kae: Pimonrath Jaiyen"")))/3600,0),2)"),0.0)</f>
        <v>0</v>
      </c>
      <c r="D21" s="216">
        <f>IFERROR(__xludf.DUMMYFUNCTION("IFERROR(SUM(FILTER('Sprint 15'!O:O, (('Sprint 15'!J:J = ""Done"")) * ('Sprint 15'!E:E = ""Kae: Pimonrath Jaiyen""))),0)"),0.0)</f>
        <v>0</v>
      </c>
      <c r="E21" s="223">
        <f>IFERROR(__xludf.DUMMYFUNCTION("ROUND(IFERROR(SUM(FILTER('Sprint 15'!T:T, (('Sprint 15'!J:J = ""Done"")) * ('Sprint 15'!E:E = ""Kae: Pimonrath Jaiyen"")))/3600,0),2)"),0.0)</f>
        <v>0</v>
      </c>
      <c r="F21" s="224"/>
    </row>
    <row r="22" ht="22.5" customHeight="1">
      <c r="A22" s="218" t="s">
        <v>76</v>
      </c>
      <c r="B22" s="216">
        <f>IFERROR(__xludf.DUMMYFUNCTION("IFERROR(SUM(FILTER('Sprint 15'!O:O, ('Sprint 15'!E:E = ""Nim : muthita munmueang""))),0)"),38.0)</f>
        <v>38</v>
      </c>
      <c r="C22" s="223">
        <f>IFERROR(__xludf.DUMMYFUNCTION("ROUND(IFERROR(SUM(FILTER('Sprint 15'!T:T, ('Sprint 15'!E:E = ""Nim : muthita munmueang"")))/3600,0),2)"),32.0)</f>
        <v>32</v>
      </c>
      <c r="D22" s="216">
        <f>IFERROR(__xludf.DUMMYFUNCTION("IFERROR(SUM(FILTER('Sprint 15'!O:O, (('Sprint 15'!J:J = ""Done"")) * ('Sprint 15'!E:E = ""Nim : muthita munmueang""))),0)"),6.0)</f>
        <v>6</v>
      </c>
      <c r="E22" s="223">
        <f>IFERROR(__xludf.DUMMYFUNCTION("ROUND(IFERROR(SUM(FILTER('Sprint 15'!T:T, (('Sprint 15'!J:J = ""Done"")) * ('Sprint 15'!E:E = ""Nim : muthita munmueang"")))/3600,0),2)"),8.0)</f>
        <v>8</v>
      </c>
      <c r="F22" s="224"/>
    </row>
    <row r="23" ht="22.5" customHeight="1">
      <c r="A23" s="221" t="s">
        <v>77</v>
      </c>
      <c r="B23" s="224">
        <f>IFERROR(__xludf.DUMMYFUNCTION("IFERROR(SUM(FILTER('Sprint 15'!O:O, ('Sprint 15'!E:E = ""Arm:Worawat Chotipongchoawalit""))),0)"),26.0)</f>
        <v>26</v>
      </c>
      <c r="C23" s="223">
        <f>IFERROR(__xludf.DUMMYFUNCTION("ROUND(IFERROR(SUM(FILTER('Sprint 15'!T:T, ('Sprint 15'!E:E = ""Arm:Worawat Chotipongchoawalit"")))/3600,0),2)"),4.0)</f>
        <v>4</v>
      </c>
      <c r="D23" s="216">
        <f>IFERROR(__xludf.DUMMYFUNCTION("IFERROR(SUM(FILTER('Sprint 15'!O:O, (('Sprint 15'!J:J = ""Done"")) * ('Sprint 15'!E:E = ""Arm:Worawat Chotipongchoawalit""))),0)"),7.0)</f>
        <v>7</v>
      </c>
      <c r="E23" s="223">
        <f>IFERROR(__xludf.DUMMYFUNCTION("ROUND(IFERROR(SUM(FILTER('Sprint 15'!T:T, (('Sprint 15'!J:J = ""Done"")) * ('Sprint 15'!E:E = ""Arm:Worawat Chotipongchoawalit"")))/3600,0),2)"),4.0)</f>
        <v>4</v>
      </c>
      <c r="F23" s="224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42" t="s">
        <v>3615</v>
      </c>
      <c r="J25" s="234"/>
      <c r="K25" s="234"/>
      <c r="L25" s="234"/>
      <c r="M25" s="235"/>
    </row>
    <row r="26" ht="20.25" customHeight="1">
      <c r="A26" s="239" t="s">
        <v>2214</v>
      </c>
      <c r="B26" s="243" t="s">
        <v>30</v>
      </c>
      <c r="C26" s="243" t="s">
        <v>24</v>
      </c>
      <c r="D26" s="243" t="s">
        <v>72</v>
      </c>
      <c r="E26" s="243" t="s">
        <v>28</v>
      </c>
      <c r="F26" s="243" t="s">
        <v>32</v>
      </c>
      <c r="G26" s="243" t="s">
        <v>3616</v>
      </c>
      <c r="H26" s="243" t="s">
        <v>73</v>
      </c>
      <c r="I26" s="243" t="s">
        <v>3617</v>
      </c>
      <c r="J26" s="243" t="s">
        <v>74</v>
      </c>
      <c r="K26" s="243" t="s">
        <v>76</v>
      </c>
      <c r="L26" s="243" t="s">
        <v>75</v>
      </c>
      <c r="M26" s="243" t="s">
        <v>77</v>
      </c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101" t="s">
        <v>4665</v>
      </c>
      <c r="B27" s="99">
        <f>IFERROR(__xludf.DUMMYFUNCTION("IFERROR(
  SUM(
    FILTER(
      'Sprint 15'!O:O,
      ('Sprint 15'!E:E = ""Aek:Atiphat Nanthachitvanich"") *
      (LEFT('Sprint 15'!B:B,7) = ""RDTHANA"")
    )
  ),
0)"),0.0)</f>
        <v>0</v>
      </c>
      <c r="C27" s="99">
        <f>IFERROR(__xludf.DUMMYFUNCTION("IFERROR(
  SUM(
    FILTER(
      'Sprint 15'!O:O,
      ('Sprint 15'!E:E = ""Zan : Isarapong Bulan"") *
      (LEFT('Sprint 15'!B:B,7) = ""RDTHANA"")
    )
  ),
0)"),0.0)</f>
        <v>0</v>
      </c>
      <c r="D27" s="99">
        <f>IFERROR(__xludf.DUMMYFUNCTION("IFERROR(
  SUM(
    FILTER(
      'Sprint 15'!O:O,
      ('Sprint 15'!E:E = ""Aom: Pornsawan Polnyiem"") *
      (LEFT('Sprint 15'!B:B,7) = ""RDTHANA"")
    )
  ),
0)"),0.0)</f>
        <v>0</v>
      </c>
      <c r="E27" s="99">
        <f>IFERROR(__xludf.DUMMYFUNCTION("IFERROR(
  SUM(
    FILTER(
      'Sprint 15'!O:O,
      ('Sprint 15'!E:E = ""Jack: Warin Kesorn"") *
      (LEFT('Sprint 15'!B:B,7) = ""RDTHANA"")
    )
  ),
0)"),0.0)</f>
        <v>0</v>
      </c>
      <c r="F27" s="99">
        <f>IFERROR(__xludf.DUMMYFUNCTION("IFERROR(
  SUM(
    FILTER(
      'Sprint 15'!O:O,
      ('Sprint 15'!E:E = ""A:Phongthorn"") *
      (LEFT('Sprint 15'!B:B,7) = ""RDTHANA"")
    )
  ),
0)"),6.0)</f>
        <v>6</v>
      </c>
      <c r="G27" s="99">
        <f>IFERROR(__xludf.DUMMYFUNCTION("IFERROR(
  SUM(
    FILTER(
      'Sprint 15'!O:O,
      ('Sprint 15'!E:E = ""Art: Narupontp"") *
      (LEFT('Sprint 15'!B:B,7) = ""RDTHANA"")
    )
  ),
0)"),0.0)</f>
        <v>0</v>
      </c>
      <c r="H27" s="99">
        <f>IFERROR(__xludf.DUMMYFUNCTION("IFERROR(
  SUM(
    FILTER(
      'Sprint 15'!O:O,
      ('Sprint 15'!E:E = ""Mai:Sateta Abvanawong"") *
      (LEFT('Sprint 15'!B:B,7) = ""RDTHANA"")
    )
  ),
0)"),4.0)</f>
        <v>4</v>
      </c>
      <c r="I27" s="99">
        <f>IFERROR(__xludf.DUMMYFUNCTION("IFERROR(
  SUM(
    FILTER(
      'Sprint 15'!O:O,
      ('Sprint 15'!E:E = ""Kae: Pimonrath Jaiyen"") *
      (LEFT('Sprint 15'!B:B,7) = ""RDTHANA"")
    )
  ),
0)"),0.0)</f>
        <v>0</v>
      </c>
      <c r="J27" s="99">
        <f>IFERROR(__xludf.DUMMYFUNCTION("IFERROR(
  SUM(
    FILTER(
      'Sprint 15'!O:O,
      ('Sprint 15'!E:E = ""Mac: Jarupong Pawichpongkul"") *
      (LEFT('Sprint 15'!B:B,7) = ""RDTHANA"")
    )
  ),
0)"),3.0)</f>
        <v>3</v>
      </c>
      <c r="K27" s="99">
        <f>IFERROR(__xludf.DUMMYFUNCTION("IFERROR(
  SUM(
    FILTER(
      'Sprint 15'!O:O,
      ('Sprint 15'!E:E = ""Nim : muthita munmueang"") *
      (LEFT('Sprint 15'!B:B,7) = ""RDTHANA"")
    )
  ),
0)"),5.0)</f>
        <v>5</v>
      </c>
      <c r="L27" s="99">
        <f>IFERROR(__xludf.DUMMYFUNCTION("IFERROR(
  SUM(
    FILTER(
      'Sprint 15'!O:O,
      ('Sprint 15'!E:E = ""Moss : Kittapath Sangvikukit"") *
      (LEFT('Sprint 15'!B:B,7) = ""RDTHANA"")
    )
  ),
0)"),0.0)</f>
        <v>0</v>
      </c>
      <c r="M27" s="99">
        <f>IFERROR(__xludf.DUMMYFUNCTION("IFERROR(
  SUM(
    FILTER(
      'Sprint 15'!O:O,
      ('Sprint 15'!E:E = ""Arm:Worawat Chotipongchoawalit"") *
      (LEFT('Sprint 15'!B:B,7) = ""RDTHANA"")
    )
  ),
0)"),0.0)</f>
        <v>0</v>
      </c>
    </row>
    <row r="28">
      <c r="A28" s="101" t="s">
        <v>4666</v>
      </c>
      <c r="B28" s="99">
        <f>IFERROR(__xludf.DUMMYFUNCTION("IFERROR(
  SUM(
    FILTER(
      'Sprint 15'!O:O,
      ('Sprint 15'!E:E = ""Aek:Atiphat Nanthachitvanich"") *
      (LEFT('Sprint 15'!B:B,9) = ""DEVRDECOM"")
    )
  ),
0)"),3.0)</f>
        <v>3</v>
      </c>
      <c r="C28" s="99">
        <f>IFERROR(__xludf.DUMMYFUNCTION("IFERROR(
  SUM(
    FILTER(
      'Sprint 15'!O:O,
      ('Sprint 15'!E:E = ""Zan : Isarapong Bulan"") *
      (LEFT('Sprint 15'!B:B,9) = ""DEVRDECOM"")
    )
  ),
0)"),0.0)</f>
        <v>0</v>
      </c>
      <c r="D28" s="99">
        <f>IFERROR(__xludf.DUMMYFUNCTION("IFERROR(
  SUM(
    FILTER(
      'Sprint 15'!O:O,
      ('Sprint 15'!E:E = ""Aom: Pornsawan Polnyiem"") *
      (LEFT('Sprint 15'!B:B,9) = ""DEVRDECOM"")
    )
  ),
0)"),0.0)</f>
        <v>0</v>
      </c>
      <c r="E28" s="99">
        <f>IFERROR(__xludf.DUMMYFUNCTION("IFERROR(
  SUM(
    FILTER(
      'Sprint 15'!O:O,
      ('Sprint 15'!E:E = ""Jack: Warin Kesorn"") *
      (LEFT('Sprint 15'!B:B,9) = ""DEVRDECOM"")
    )
  ),
0)"),0.0)</f>
        <v>0</v>
      </c>
      <c r="F28" s="99">
        <f>IFERROR(__xludf.DUMMYFUNCTION("IFERROR(
  SUM(
    FILTER(
      'Sprint 15'!O:O,
      ('Sprint 15'!E:E = ""A:Phongthorn"") *
      (LEFT('Sprint 15'!B:B,9) = ""DEVRDECOM"")
    )
  ),
0)"),0.0)</f>
        <v>0</v>
      </c>
      <c r="G28" s="99">
        <f>IFERROR(__xludf.DUMMYFUNCTION("IFERROR(
  SUM(
    FILTER(
      'Sprint 15'!O:O,
      ('Sprint 15'!E:E = ""Art: Narupontp"") *
      (LEFT('Sprint 15'!B:B,9) = ""DEVRDECOM"")
    )
  ),
0)"),0.0)</f>
        <v>0</v>
      </c>
      <c r="H28" s="99">
        <f>IFERROR(__xludf.DUMMYFUNCTION("IFERROR(
  SUM(
    FILTER(
      'Sprint 15'!O:O,
      ('Sprint 15'!E:E = ""Mai:Sateta Abvanawong"") *
      (LEFT('Sprint 15'!B:B,9) = ""DEVRDECOM"")
    )
  ),
0)"),5.0)</f>
        <v>5</v>
      </c>
      <c r="I28" s="99">
        <f>IFERROR(__xludf.DUMMYFUNCTION("IFERROR(
  SUM(
    FILTER(
      'Sprint 15'!O:O,
      ('Sprint 15'!E:E = ""Kae: Pimonrath Jaiyen"") *
      (LEFT('Sprint 15'!B:B,9) = ""DEVRDECOM"")
    )
  ),
0)"),0.0)</f>
        <v>0</v>
      </c>
      <c r="J28" s="99">
        <f>IFERROR(__xludf.DUMMYFUNCTION("IFERROR(
  SUM(
    FILTER(
      'Sprint 15'!O:O,
      ('Sprint 15'!E:E = ""Mac: Jarupong Pawichpongkul"") *
      (LEFT('Sprint 15'!B:B,9) = ""DEVRDECOM"")
    )
  ),
0)"),8.0)</f>
        <v>8</v>
      </c>
      <c r="K28" s="99">
        <f>IFERROR(__xludf.DUMMYFUNCTION("IFERROR(
  SUM(
    FILTER(
      'Sprint 15'!O:O,
      ('Sprint 15'!E:E = ""Nim : muthita munmueang"") *
      (LEFT('Sprint 15'!B:B,9) = ""DEVRDECOM"")
    )
  ),
0)"),8.0)</f>
        <v>8</v>
      </c>
      <c r="L28" s="99">
        <f>IFERROR(__xludf.DUMMYFUNCTION("IFERROR(
  SUM(
    FILTER(
      'Sprint 15'!O:O,
      ('Sprint 15'!E:E = ""Moss : Kittapath Sangvikukit"") *
      (LEFT('Sprint 15'!B:B,9) = ""DEVRDECOM"")
    )
  ),
0)"),11.0)</f>
        <v>11</v>
      </c>
      <c r="M28" s="99">
        <f>IFERROR(__xludf.DUMMYFUNCTION("IFERROR(
  SUM(
    FILTER(
      'Sprint 15'!O:O,
      ('Sprint 15'!E:E = ""Arm:Worawat Chotipongchoawalit"") *
      (LEFT('Sprint 15'!B:B,9) = ""DEVRDECOM"")
    )
  ),
0)"),14.0)</f>
        <v>14</v>
      </c>
    </row>
    <row r="29" ht="32.25" customHeight="1">
      <c r="A29" s="101" t="s">
        <v>4667</v>
      </c>
      <c r="B29" s="99">
        <f>IFERROR(__xludf.DUMMYFUNCTION("IFERROR(
  SUM(
    FILTER(
      'Sprint 15'!O:O,
      ('Sprint 15'!E:E = ""Aek:Atiphat Nanthachitvanich"") *
      (LEFT('Sprint 15'!B:B,7) = ""DEVRDCT"")
    )
  ),
0)"),0.0)</f>
        <v>0</v>
      </c>
      <c r="C29" s="99">
        <f>IFERROR(__xludf.DUMMYFUNCTION("IFERROR(
  SUM(
    FILTER(
      'Sprint 15'!O:O,
      ('Sprint 15'!E:E = ""Zan : Isarapong Bulan"") *
      (LEFT('Sprint 15'!B:B,7) = ""DEVRDCT"")
    )
  ),
0)"),0.0)</f>
        <v>0</v>
      </c>
      <c r="D29" s="99">
        <f>IFERROR(__xludf.DUMMYFUNCTION("IFERROR(
  SUM(
    FILTER(
      'Sprint 15'!O:O,
      ('Sprint 15'!E:E = ""Aom: Pornsawan Polnyiem"") *
      (LEFT('Sprint 15'!B:B,7) = ""DEVRDCT"")
    )
  ),
0)"),0.0)</f>
        <v>0</v>
      </c>
      <c r="E29" s="99">
        <f>IFERROR(__xludf.DUMMYFUNCTION("IFERROR(
  SUM(
    FILTER(
      'Sprint 15'!O:O,
      ('Sprint 15'!E:E = ""Jack: Warin Kesorn"") *
      (LEFT('Sprint 15'!B:B,7) = ""DEVRDCT"")
    )
  ),
0)"),0.0)</f>
        <v>0</v>
      </c>
      <c r="F29" s="99">
        <f>IFERROR(__xludf.DUMMYFUNCTION("IFERROR(
  SUM(
    FILTER(
      'Sprint 15'!O:O,
      ('Sprint 15'!E:E = ""A:Phongthorn"") *
      (LEFT('Sprint 15'!B:B,7) = ""DEVRDCT"")
    )
  ),
0)"),0.0)</f>
        <v>0</v>
      </c>
      <c r="G29" s="99">
        <f>IFERROR(__xludf.DUMMYFUNCTION("IFERROR(
  SUM(
    FILTER(
      'Sprint 15'!O:O,
      ('Sprint 15'!E:E = ""Art: Narupontp"") *
      (LEFT('Sprint 15'!B:B,7) = ""DEVRDCT"")
    )
  ),
0)"),0.0)</f>
        <v>0</v>
      </c>
      <c r="H29" s="99">
        <f>IFERROR(__xludf.DUMMYFUNCTION("IFERROR(
  SUM(
    FILTER(
      'Sprint 15'!O:O,
      ('Sprint 15'!E:E = ""Mai:Sateta Abvanawong"") *
      (LEFT('Sprint 15'!B:B,7) = ""DEVRDCT"")
    )
  ),
0)"),0.0)</f>
        <v>0</v>
      </c>
      <c r="I29" s="99">
        <f>IFERROR(__xludf.DUMMYFUNCTION("IFERROR(
  SUM(
    FILTER(
      'Sprint 15'!O:O,
      ('Sprint 15'!E:E = ""Moss : Kittapath Sangvikukit"") *
      (LEFT('Sprint 15'!B:B,7) = ""DEVRDCT"")
    )
  ),
0)"),2.0)</f>
        <v>2</v>
      </c>
      <c r="J29" s="99">
        <f>IFERROR(__xludf.DUMMYFUNCTION("IFERROR(
  SUM(
    FILTER(
      'Sprint 15'!O:O,
      ('Sprint 15'!E:E = ""Mac: Jarupong Pawichpongkul"") *
      (LEFT('Sprint 15'!B:B,7) = ""DEVRDCT"")
    )
  ),
0)"),0.0)</f>
        <v>0</v>
      </c>
      <c r="K29" s="99">
        <f>IFERROR(__xludf.DUMMYFUNCTION("IFERROR(
  SUM(
    FILTER(
      'Sprint 15'!O:O,
      ('Sprint 15'!E:E = ""Moss : Kittapath Sangvikukit"") *
      (LEFT('Sprint 15'!B:B,7) = ""DEVRDCT"")
    )
  ),
0)"),2.0)</f>
        <v>2</v>
      </c>
      <c r="L29" s="99">
        <f>IFERROR(__xludf.DUMMYFUNCTION("IFERROR(
  SUM(
    FILTER(
      'Sprint 15'!O:O,
      ('Sprint 15'!E:E = ""Moss : Kittapath Sangvikukit"") *
      (LEFT('Sprint 15'!B:B,7) = ""DEVRDCT"")
    )
  ),
0)"),2.0)</f>
        <v>2</v>
      </c>
      <c r="M29" s="99">
        <f>IFERROR(__xludf.DUMMYFUNCTION("IFERROR(
  SUM(
    FILTER(
      'Sprint 15'!O:O,
      ('Sprint 15'!E:E = ""Arm:Worawat Chotipongchoawalit"") *
      (LEFT('Sprint 15'!B:B,7) = ""DEVRDCT"")
    )
  ),
0)"),0.0)</f>
        <v>0</v>
      </c>
    </row>
    <row r="30" ht="22.5" customHeight="1">
      <c r="A30" s="101" t="s">
        <v>4668</v>
      </c>
      <c r="B30" s="99">
        <f>IFERROR(__xludf.DUMMYFUNCTION("IFERROR(
  SUM(
    FILTER(
      'Sprint 15'!O:O,
      ('Sprint 15'!E:E = ""Aek:Atiphat Nanthachitvanich"") *
      (LEFT('Sprint 15'!B:B,8) = ""DEVRDADJ"")
    )
  ),
0)"),0.0)</f>
        <v>0</v>
      </c>
      <c r="C30" s="99">
        <f>IFERROR(__xludf.DUMMYFUNCTION("IFERROR(
  SUM(
    FILTER(
      'Sprint 15'!O:O,
      ('Sprint 15'!E:E = ""Zan : Isarapong Bulan"") *
      (LEFT('Sprint 15'!B:B,8) = ""DEVRDADJ"")
    )
  ),
0)"),0.0)</f>
        <v>0</v>
      </c>
      <c r="D30" s="99">
        <f>IFERROR(__xludf.DUMMYFUNCTION("IFERROR(
  SUM(
    FILTER(
      'Sprint 15'!O:O,
      ('Sprint 15'!E:E = ""Aom: Pornsawan Polnyiem"") *
      (LEFT('Sprint 15'!B:B,8) = ""DEVRDADJ"")
    )
  ),
0)"),0.0)</f>
        <v>0</v>
      </c>
      <c r="E30" s="99">
        <f>IFERROR(__xludf.DUMMYFUNCTION("IFERROR(
  SUM(
    FILTER(
      'Sprint 15'!O:O,
      ('Sprint 15'!E:E = ""Jack: Warin Kesorn"") *
      (LEFT('Sprint 15'!B:B,8) = ""DEVRDADJ"")
    )
  ),
0)"),0.0)</f>
        <v>0</v>
      </c>
      <c r="F30" s="99">
        <f>IFERROR(__xludf.DUMMYFUNCTION("IFERROR(
  SUM(
    FILTER(
      'Sprint 15'!O:O,
      ('Sprint 15'!E:E = ""A:Phongthorn"") *
      (LEFT('Sprint 15'!B:B,8) = ""DEVRDADJ"")
    )
  ),
0)"),0.0)</f>
        <v>0</v>
      </c>
      <c r="G30" s="99">
        <f>IFERROR(__xludf.DUMMYFUNCTION("IFERROR(
  SUM(
    FILTER(
      'Sprint 15'!O:O,
      ('Sprint 15'!E:E = ""Art: Narupontp"") *
      (LEFT('Sprint 15'!B:B,8) = ""DEVRDADJ"")
    )
  ),
0)"),0.0)</f>
        <v>0</v>
      </c>
      <c r="H30" s="99">
        <f>IFERROR(__xludf.DUMMYFUNCTION("IFERROR(
  SUM(
    FILTER(
      'Sprint 15'!O:O,
      ('Sprint 15'!E:E = ""Mai:Sateta Abvanawong"") *
      (LEFT('Sprint 15'!B:B,8) = ""DEVRDADJ"")
    )
  ),
0)"),5.0)</f>
        <v>5</v>
      </c>
      <c r="I30" s="99">
        <f>IFERROR(__xludf.DUMMYFUNCTION("IFERROR(
  SUM(
    FILTER(
      'Sprint 15'!O:O,
      ('Sprint 15'!E:E = ""Kae: Pimonrath Jaiyen"") *
      (LEFT('Sprint 15'!B:B,8) = ""DEVRDADJ"")
    )
  ),
0)"),0.0)</f>
        <v>0</v>
      </c>
      <c r="J30" s="99">
        <f>IFERROR(__xludf.DUMMYFUNCTION("IFERROR(
  SUM(
    FILTER(
      'Sprint 15'!O:O,
      ('Sprint 15'!E:E = ""Mac: Jarupong Pawichpongkul"") *
      (LEFT('Sprint 15'!B:B,8) = ""DEVRDADJ"")
    )
  ),
0)"),0.0)</f>
        <v>0</v>
      </c>
      <c r="K30" s="99">
        <f>IFERROR(__xludf.DUMMYFUNCTION("IFERROR(
  SUM(
    FILTER(
      'Sprint 15'!O:O,
      ('Sprint 15'!E:E = ""Nim : muthita munmueang"") *
      (LEFT('Sprint 15'!B:B,8) = ""DEVRDADJ"")
    )
  ),
0)"),3.0)</f>
        <v>3</v>
      </c>
      <c r="L30" s="99">
        <f>IFERROR(__xludf.DUMMYFUNCTION("IFERROR(
  SUM(
    FILTER(
      'Sprint 15'!O:O,
      ('Sprint 15'!E:E = ""Moss : Kittapath Sangvikukit"") *
      (LEFT('Sprint 15'!B:B,8) = ""DEVRDADJ"")
    )
  ),
0)"),0.0)</f>
        <v>0</v>
      </c>
      <c r="M30" s="99">
        <f>IFERROR(__xludf.DUMMYFUNCTION("IFERROR(
  SUM(
    FILTER(
      'Sprint 15'!O:O,
      ('Sprint 15'!E:E = ""Arm:Worawat Chotipongchoawalit"") *
      (LEFT('Sprint 15'!B:B,8) = ""DEVRDADJ"")
    )
  ),
0)"),0.0)</f>
        <v>0</v>
      </c>
    </row>
    <row r="31">
      <c r="A31" s="101" t="s">
        <v>4669</v>
      </c>
      <c r="B31" s="101">
        <f>IFERROR(__xludf.DUMMYFUNCTION("IFERROR(
  SUM(
    FILTER(
      'Sprint 15'!O:O,
      ('Sprint 15'!E:E = ""Aek:Atiphat Nanthachitvanich"") *
      (LEFT('Sprint 15'!B:B,5) = ""RDAPS"")
    )
  ),
0)"),0.0)</f>
        <v>0</v>
      </c>
      <c r="C31" s="99">
        <f>IFERROR(__xludf.DUMMYFUNCTION("IFERROR(
  SUM(
    FILTER(
      'Sprint 15'!O:O,
      ('Sprint 15'!E:E = ""Zan : Isarapong Bulan"") *
      (LEFT('Sprint 15'!B:B,5) = ""RDAPS"")
    )
  ),
0)"),29.0)</f>
        <v>29</v>
      </c>
      <c r="D31" s="99">
        <f>IFERROR(__xludf.DUMMYFUNCTION("IFERROR(
  SUM(
    FILTER(
      'Sprint 15'!O:O,
      ('Sprint 15'!E:E = ""Aom: Pornsawan Polnyiem"") *
      (LEFT('Sprint 15'!B:B,5) = ""RDAPS"")
    )
  ),
0)"),28.0)</f>
        <v>28</v>
      </c>
      <c r="E31" s="99">
        <f>IFERROR(__xludf.DUMMYFUNCTION("IFERROR(
  SUM(
    FILTER(
      'Sprint 15'!O:O,
      ('Sprint 15'!E:E = ""Jack: Warin Kesorn"") *
      (LEFT('Sprint 15'!B:B,5) = ""RDAPS"")
    )
  ),
0)"),0.0)</f>
        <v>0</v>
      </c>
      <c r="F31" s="99">
        <f>IFERROR(__xludf.DUMMYFUNCTION("IFERROR(
  SUM(
    FILTER(
      'Sprint 15'!O:O,
      ('Sprint 15'!E:E = ""A:Phongthorn"") *
      (LEFT('Sprint 15'!B:B,5) = ""RDAPS"")
    )
  ),
0)"),0.0)</f>
        <v>0</v>
      </c>
      <c r="G31" s="99">
        <f>IFERROR(__xludf.DUMMYFUNCTION("IFERROR(
  SUM(
    FILTER(
      'Sprint 15'!O:O,
      ('Sprint 15'!E:E = ""Art: Narupontp"") *
      (LEFT('Sprint 15'!B:B,5) = ""RDAPS"")
    )
  ),
0)"),0.0)</f>
        <v>0</v>
      </c>
      <c r="H31" s="99">
        <f>IFERROR(__xludf.DUMMYFUNCTION("IFERROR(
  SUM(
    FILTER(
      'Sprint 15'!O:O,
      ('Sprint 15'!E:E = ""Mai:Sateta Abvanawong"") *
      (LEFT('Sprint 15'!B:B,5) = ""RDAPS"")
    )
  ),
0)"),10.0)</f>
        <v>10</v>
      </c>
      <c r="I31" s="99">
        <f>IFERROR(__xludf.DUMMYFUNCTION("IFERROR(
  SUM(
    FILTER(
      'Sprint 15'!O:O,
      ('Sprint 15'!E:E = ""Kae: Pimonrath Jaiyen"") *
      (LEFT('Sprint 15'!B:B,5) = ""RDAPS"")
    )
  ),
0)"),0.0)</f>
        <v>0</v>
      </c>
      <c r="J31" s="99">
        <f>IFERROR(__xludf.DUMMYFUNCTION("IFERROR(
  SUM(
    FILTER(
      'Sprint 15'!O:O,
      ('Sprint 15'!E:E = ""Mac: Jarupong Pawichpongkul"") *
      (LEFT('Sprint 15'!B:B,5) = ""RDAPS"")
    )
  ),
0)"),11.0)</f>
        <v>11</v>
      </c>
      <c r="K31" s="99">
        <f>IFERROR(__xludf.DUMMYFUNCTION("IFERROR(
  SUM(
    FILTER(
      'Sprint 15'!O:O,
      ('Sprint 15'!E:E = ""Moss : Kittapath Sangvikukitฃ"") *
      (LEFT('Sprint 15'!B:B,5) = ""RDAPS"")
    )
  ),
0)"),0.0)</f>
        <v>0</v>
      </c>
      <c r="L31" s="99">
        <f>IFERROR(__xludf.DUMMYFUNCTION("IFERROR(
  SUM(
    FILTER(
      'Sprint 15'!O:O,
      ('Sprint 15'!E:E = ""Moss : Kittapath Sangvikukit"") *
      (LEFT('Sprint 15'!B:B,5) = ""RDAPS"")
    )
  ),
0)"),20.0)</f>
        <v>20</v>
      </c>
      <c r="M31" s="99">
        <f>IFERROR(__xludf.DUMMYFUNCTION("IFERROR(
  SUM(
    FILTER(
      'Sprint 15'!O:O,
      ('Sprint 15'!E:E = ""Arm:Worawat Chotipongchoawalit"") *
      (LEFT('Sprint 15'!B:B,5) = ""RDAPS"")
    )
  ),
0)"),10.0)</f>
        <v>10</v>
      </c>
    </row>
    <row r="32" ht="21.0" customHeight="1">
      <c r="A32" s="101" t="s">
        <v>4670</v>
      </c>
      <c r="B32" s="101">
        <f>IFERROR(__xludf.DUMMYFUNCTION("IFERROR(
  SUM(
    FILTER(
      'Sprint 15'!O:O,
      ('Sprint 15'!E:E = ""Aek:Atiphat Nanthachitvanich"") *
      (LEFT('Sprint 15'!B:B,8) = ""DEVRDSUP"")
    )
  ),
0)"),1.0)</f>
        <v>1</v>
      </c>
      <c r="C32" s="99">
        <f>IFERROR(__xludf.DUMMYFUNCTION("IFERROR(
  SUM(
    FILTER(
      'Sprint 15'!O:O,
      ('Sprint 15'!E:E = ""Zan : Isarapong Bulan"") *
      (LEFT('Sprint 15'!B:B,8) = ""DEVRDSUP"")
    )
  ),
0)"),0.0)</f>
        <v>0</v>
      </c>
      <c r="D32" s="99">
        <f>IFERROR(__xludf.DUMMYFUNCTION("IFERROR(
  SUM(
    FILTER(
      'Sprint 15'!O:O,
      ('Sprint 15'!E:E = ""Aom: Pornsawan Polnyiem"") *
      (LEFT('Sprint 15'!B:B,8) = ""DEVRDSUP"")
    )
  ),
0)"),4.0)</f>
        <v>4</v>
      </c>
      <c r="E32" s="99">
        <f>IFERROR(__xludf.DUMMYFUNCTION("IFERROR(
  SUM(
    FILTER(
      'Sprint 15'!O:O,
      ('Sprint 15'!E:E = ""Jack: Warin Kesorn"") *
      (LEFT('Sprint 15'!B:B,8) = ""DEVRDSUP"")
    )
  ),
0)"),0.0)</f>
        <v>0</v>
      </c>
      <c r="F32" s="101">
        <f>IFERROR(__xludf.DUMMYFUNCTION("IFERROR(
  SUM(
    FILTER(
      'Sprint 15'!P:P,
      ('Sprint 15'!F:F = ""A:Phongthorn"") *
      (LEFT('Sprint 15'!C:C,8) = ""DEVRDSUP"")
    )
  ),
0)"),0.0)</f>
        <v>0</v>
      </c>
      <c r="G32" s="99">
        <f>IFERROR(__xludf.DUMMYFUNCTION("IFERROR(
  SUM(
    FILTER(
      'Sprint 15'!O:O,
      ('Sprint 15'!E:E = ""Art: Narupontp"") *
      (LEFT('Sprint 15'!B:B,8) = ""DEVRDSUP"")
    )
  ),
0)"),0.0)</f>
        <v>0</v>
      </c>
      <c r="H32" s="99">
        <f>IFERROR(__xludf.DUMMYFUNCTION("IFERROR(
  SUM(
    FILTER(
      'Sprint 15'!O:O,
      ('Sprint 15'!E:E = ""Mai:Sateta Abvanawong"") *
      (LEFT('Sprint 15'!B:B,8) = ""DEVRDSUP"")
    )
  ),
0)"),0.0)</f>
        <v>0</v>
      </c>
      <c r="I32" s="99">
        <f>IFERROR(__xludf.DUMMYFUNCTION("IFERROR(
  SUM(
    FILTER(
      'Sprint 15'!O:O,
      ('Sprint 15'!E:E = ""Kae: Pimonrath Jaiyen"") *
      (LEFT('Sprint 15'!B:B,8) = ""DEVRDSUP"")
    )
  ),
0)"),0.0)</f>
        <v>0</v>
      </c>
      <c r="J32" s="99">
        <f>IFERROR(__xludf.DUMMYFUNCTION("IFERROR(
  SUM(
    FILTER(
      'Sprint 15'!O:O,
      ('Sprint 15'!E:E = ""Mac: Jarupong Pawichpongkul"") *
      (LEFT('Sprint 15'!B:B,8) = ""DEVRDSUP"")
    )
  ),
0)"),4.0)</f>
        <v>4</v>
      </c>
      <c r="K32" s="99">
        <f>IFERROR(__xludf.DUMMYFUNCTION("IFERROR(
  SUM(
    FILTER(
      'Sprint 15'!O:O,
      ('Sprint 15'!E:E = ""Nim : muthita munmueang"") *
      (LEFT('Sprint 15'!B:B,8) = ""DEVRDSUP"")
    )
  ),
0)"),4.0)</f>
        <v>4</v>
      </c>
      <c r="L32" s="99">
        <f>IFERROR(__xludf.DUMMYFUNCTION("IFERROR(
  SUM(
    FILTER(
      'Sprint 15'!O:O,
      ('Sprint 15'!E:E = ""Moss : Kittapath Sangvikukit"") *
      (LEFT('Sprint 15'!B:B,8) = ""DEVRDSUP"")
    )
  ),
0)"),0.0)</f>
        <v>0</v>
      </c>
      <c r="M32" s="99">
        <f>IFERROR(__xludf.DUMMYFUNCTION("IFERROR(
  SUM(
    FILTER(
      'Sprint 15'!O:O,
      ('Sprint 15'!E:E = ""Arm:Worawat Chotipongchoawalit"") *
      (LEFT('Sprint 15'!B:B,8) = ""DEVRDSUP"")
    )
  ),
0)"),0.0)</f>
        <v>0</v>
      </c>
    </row>
    <row r="33">
      <c r="C33" s="125"/>
    </row>
    <row r="34">
      <c r="C34" s="125"/>
    </row>
    <row r="35" ht="24.75" customHeight="1">
      <c r="A35" s="232"/>
      <c r="B35" s="233" t="s">
        <v>2210</v>
      </c>
      <c r="C35" s="234"/>
      <c r="D35" s="234"/>
      <c r="E35" s="235"/>
      <c r="F35" s="236" t="s">
        <v>2211</v>
      </c>
      <c r="G35" s="234"/>
      <c r="H35" s="235"/>
      <c r="I35" s="242" t="s">
        <v>3615</v>
      </c>
      <c r="J35" s="234"/>
      <c r="K35" s="234"/>
      <c r="L35" s="234"/>
      <c r="M35" s="235"/>
    </row>
    <row r="36" ht="20.25" customHeight="1">
      <c r="A36" s="239" t="s">
        <v>3618</v>
      </c>
      <c r="B36" s="243" t="s">
        <v>30</v>
      </c>
      <c r="C36" s="243" t="s">
        <v>24</v>
      </c>
      <c r="D36" s="243" t="s">
        <v>72</v>
      </c>
      <c r="E36" s="243" t="s">
        <v>28</v>
      </c>
      <c r="F36" s="243" t="s">
        <v>32</v>
      </c>
      <c r="G36" s="243" t="s">
        <v>3616</v>
      </c>
      <c r="H36" s="243" t="s">
        <v>73</v>
      </c>
      <c r="I36" s="243" t="s">
        <v>3617</v>
      </c>
      <c r="J36" s="243" t="s">
        <v>74</v>
      </c>
      <c r="K36" s="243" t="s">
        <v>76</v>
      </c>
      <c r="L36" s="243" t="s">
        <v>75</v>
      </c>
      <c r="M36" s="243" t="s">
        <v>77</v>
      </c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101" t="s">
        <v>4665</v>
      </c>
      <c r="B37" s="99">
        <f>IFERROR(__xludf.DUMMYFUNCTION("ROUND(
  IFERROR(
    SUM(
      FILTER(
        'Sprint 15'!T:T,
        ('Sprint 15'!E:E = ""Aek:Atiphat Nanthachitvanich"") *
        (LEFT('Sprint 15'!B:B,7) = ""RDTHANA"")
      )
    ) / 3600,
    0
  ),
  2
)"),0.0)</f>
        <v>0</v>
      </c>
      <c r="C37" s="99">
        <f>IFERROR(__xludf.DUMMYFUNCTION("ROUND(
  IFERROR(
    SUM(
      FILTER(
        'Sprint 15'!T:T,
        ('Sprint 15'!E:E = ""Zan : Isarapong Bulan"") *
        (LEFT('Sprint 15'!B:B,7) = ""RDTHANA"")
      )
    ) / 3600,
    0
  ),
  2
)"),0.0)</f>
        <v>0</v>
      </c>
      <c r="D37" s="99">
        <f>IFERROR(__xludf.DUMMYFUNCTION("ROUND(
  IFERROR(
    SUM(
      FILTER(
        'Sprint 15'!T:T,
        ('Sprint 15'!E:E = ""Aom: Pornsawan Polnyiem"") *
        (LEFT('Sprint 15'!B:B,7) = ""RDTHANA"")
      )
    ) / 3600,
    0
  ),
  2
)"),0.0)</f>
        <v>0</v>
      </c>
      <c r="E37" s="99">
        <f>IFERROR(__xludf.DUMMYFUNCTION("ROUND(
  IFERROR(
    SUM(
      FILTER(
        'Sprint 15'!T:T,
        ('Sprint 15'!E:E = ""Jack: Warin Kesorn"") *
        (LEFT('Sprint 15'!B:B,7) = ""RDTHANA"")
      )
    ) / 3600,
    0
  ),
  2
)"),0.0)</f>
        <v>0</v>
      </c>
      <c r="F37" s="99">
        <f>IFERROR(__xludf.DUMMYFUNCTION("ROUND(
  IFERROR(
    SUM(
      FILTER(
        'Sprint 15'!T:T,
        ('Sprint 15'!E:E = ""A:Phongthorn"") *
        (LEFT('Sprint 15'!B:B,7) = ""RDTHANA"")
      )
    ) / 3600,
    0
  ),
  2
)"),0.0)</f>
        <v>0</v>
      </c>
      <c r="G37" s="99">
        <f>IFERROR(__xludf.DUMMYFUNCTION("ROUND(
  IFERROR(
    SUM(
      FILTER(
        'Sprint 15'!T:T,
        ('Sprint 15'!E:E = ""Art: Narupontp"") *
        (LEFT('Sprint 15'!B:B,7) = ""RDTHANA"")
      )
    ) / 3600,
    0
  ),
  2
)"),0.0)</f>
        <v>0</v>
      </c>
      <c r="H37" s="99">
        <f>IFERROR(__xludf.DUMMYFUNCTION("ROUND(
  IFERROR(
    SUM(
      FILTER(
        'Sprint 15'!T:T,
        ('Sprint 15'!E:E = ""Mai:Sateta Abvanawong"") *
        (LEFT('Sprint 15'!B:B,7) = ""RDTHANA"")
      )
    ) / 3600,
    0
  ),
  2
)"),0.0)</f>
        <v>0</v>
      </c>
      <c r="I37" s="99">
        <f>IFERROR(__xludf.DUMMYFUNCTION("ROUND(
  IFERROR(
    SUM(
      FILTER(
        'Sprint 15'!T:T,
        ('Sprint 15'!E:E = ""Kae: Pimonrath Jaiyen"") *
        (LEFT('Sprint 15'!B:B,7) = ""RDTHANA"")
      )
    ) / 3600,
    0
  ),
  2
)"),0.0)</f>
        <v>0</v>
      </c>
      <c r="J37" s="99">
        <f>IFERROR(__xludf.DUMMYFUNCTION("ROUND(
  IFERROR(
    SUM(
      FILTER(
        'Sprint 15'!T:T,
        ('Sprint 15'!E:E = ""Mac: Jarupong Pawichpongkul"") *
        (LEFT('Sprint 15'!B:B,7) = ""RDTHANA"")
      )
    ) / 3600,
    0
  ),
  2
)"),0.0)</f>
        <v>0</v>
      </c>
      <c r="K37" s="99">
        <f>IFERROR(__xludf.DUMMYFUNCTION("ROUND(
  IFERROR(
    SUM(
      FILTER(
        'Sprint 15'!T:T,
        ('Sprint 15'!E:E = ""Nim : muthita munmueang"") *
        (LEFT('Sprint 15'!B:B,7) = ""RDTHANA"")
      )
    ) / 3600,
    0
  ),
  2
)"),0.0)</f>
        <v>0</v>
      </c>
      <c r="L37" s="99">
        <f>IFERROR(__xludf.DUMMYFUNCTION("ROUND(
  IFERROR(
    SUM(
      FILTER(
        'Sprint 15'!T:T,
        ('Sprint 15'!E:E = ""Moss : Kittapath Sangvikukit"") *
        (LEFT('Sprint 15'!B:B,7) = ""RDTHANA"")
      )
    ) / 3600,
    0
  ),
  2
)"),0.0)</f>
        <v>0</v>
      </c>
      <c r="M37" s="99">
        <f>IFERROR(__xludf.DUMMYFUNCTION("ROUND(
  IFERROR(
    SUM(
      FILTER(
        'Sprint 15'!T:T,
        ('Sprint 15'!E:E = ""Arm:Worawat Chotipongchoawalit"") *
        (LEFT('Sprint 15'!B:B,7) = ""RDTHANA"")
      )
    ) / 3600,
    0
  ),
  2
)"),0.0)</f>
        <v>0</v>
      </c>
    </row>
    <row r="38">
      <c r="A38" s="101" t="s">
        <v>4666</v>
      </c>
      <c r="B38" s="99">
        <f>IFERROR(__xludf.DUMMYFUNCTION("ROUND(
  IFERROR(
    SUM(
      FILTER(
        'Sprint 15'!T:T,
        ('Sprint 15'!E:E = ""Aek:Atiphat Nanthachitvanich"") *
        (LEFT('Sprint 15'!B:B,9) = ""DEVRDECOM"")
      )
    ) / 3600,
    0
  ),
  2
)"),0.0)</f>
        <v>0</v>
      </c>
      <c r="C38" s="99">
        <f>IFERROR(__xludf.DUMMYFUNCTION("ROUND(
  IFERROR(
    SUM(
      FILTER(
        'Sprint 15'!T:T,
        ('Sprint 15'!E:E = ""Zan : Isarapong Bulan"") *
        (LEFT('Sprint 15'!B:B,9) = ""DEVRDECOM"")
      )
    ) / 3600,
    0
  ),
  2
)"),0.0)</f>
        <v>0</v>
      </c>
      <c r="D38" s="99">
        <f>IFERROR(__xludf.DUMMYFUNCTION("ROUND(
  IFERROR(
    SUM(
      FILTER(
        'Sprint 15'!T:T,
        ('Sprint 15'!E:E = ""Aom: Pornsawan Polnyiem"") *
        (LEFT('Sprint 15'!B:B,9) = ""DEVRDECOM"")
      )
    ) / 3600,
    0
  ),
  2
)"),0.0)</f>
        <v>0</v>
      </c>
      <c r="E38" s="99">
        <f>IFERROR(__xludf.DUMMYFUNCTION("ROUND(
  IFERROR(
    SUM(
      FILTER(
        'Sprint 15'!T:T,
        ('Sprint 15'!E:E = ""Jack: Warin Kesorn"") *
        (LEFT('Sprint 15'!B:B,9) = ""DEVRDECOM"")
      )
    ) / 3600,
    0
  ),
  2
)"),0.0)</f>
        <v>0</v>
      </c>
      <c r="F38" s="99">
        <f>IFERROR(__xludf.DUMMYFUNCTION("ROUND(
  IFERROR(
    SUM(
      FILTER(
        'Sprint 15'!T:T,
        ('Sprint 15'!E:E = ""A:Phongthorn"") *
        (LEFT('Sprint 15'!B:B,9) = ""DEVRDECOM"")
      )
    ) / 3600,
    0
  ),
  2
)"),0.0)</f>
        <v>0</v>
      </c>
      <c r="G38" s="99">
        <f>IFERROR(__xludf.DUMMYFUNCTION("ROUND(
  IFERROR(
    SUM(
      FILTER(
        'Sprint 15'!T:T,
        ('Sprint 15'!E:E = ""Art: Narupontp"") *
        (LEFT('Sprint 15'!B:B,9) = ""DEVRDECOM"")
      )
    ) / 3600,
    0
  ),
  2
)"),0.0)</f>
        <v>0</v>
      </c>
      <c r="H38" s="99">
        <f>IFERROR(__xludf.DUMMYFUNCTION("ROUND(
  IFERROR(
    SUM(
      FILTER(
        'Sprint 15'!T:T,
        ('Sprint 15'!E:E = ""Mai:Sateta Abvanawong"") *
        (LEFT('Sprint 15'!B:B,9) = ""DEVRDECOM"")
      )
    ) / 3600,
    0
  ),
  2
)"),0.0)</f>
        <v>0</v>
      </c>
      <c r="I38" s="99">
        <f>IFERROR(__xludf.DUMMYFUNCTION("ROUND(
  IFERROR(
    SUM(
      FILTER(
        'Sprint 15'!T:T,
        ('Sprint 15'!E:E = ""Kae: Pimonrath Jaiyen"") *
        (LEFT('Sprint 15'!B:B,9) = ""DEVRDECOM"")
      )
    ) / 3600,
    0
  ),
  2
)"),0.0)</f>
        <v>0</v>
      </c>
      <c r="J38" s="99">
        <f>IFERROR(__xludf.DUMMYFUNCTION("ROUND(
  IFERROR(
    SUM(
      FILTER(
        'Sprint 15'!T:T,
        ('Sprint 15'!E:E = ""Mac: Jarupong Pawichpongkul"") *
        (LEFT('Sprint 15'!B:B,9) = ""DEVRDECOM"")
      )
    ) / 3600,
    0
  ),
  2
)"),14.0)</f>
        <v>14</v>
      </c>
      <c r="K38" s="99">
        <f>IFERROR(__xludf.DUMMYFUNCTION("ROUND(
  IFERROR(
    SUM(
      FILTER(
        'Sprint 15'!T:T,
        ('Sprint 15'!E:E = ""Nim : muthita munmueang"") *
        (LEFT('Sprint 15'!B:B,9) = ""DEVRDECOM"")
      )
    ) / 3600,
    0
  ),
  2
)"),0.0)</f>
        <v>0</v>
      </c>
      <c r="L38" s="99">
        <f>IFERROR(__xludf.DUMMYFUNCTION("ROUND(
  IFERROR(
    SUM(
      FILTER(
        'Sprint 15'!T:T,
        ('Sprint 15'!E:E = ""Moss : Kittapath Sangvikukit"") *
        (LEFT('Sprint 15'!B:B,9) = ""DEVRDECOM"")
      )
    ) / 3600,
    0
  ),
  2
)"),24.0)</f>
        <v>24</v>
      </c>
      <c r="M38" s="99">
        <f>IFERROR(__xludf.DUMMYFUNCTION("ROUND(
  IFERROR(
    SUM(
      FILTER(
        'Sprint 15'!T:T,
        ('Sprint 15'!E:E = ""Arm:Worawat Chotipongchoawalit"") *
        (LEFT('Sprint 15'!B:B,9) = ""DEVRDECOM"")
      )
    ) / 3600,
    0
  ),
  2
)"),0.0)</f>
        <v>0</v>
      </c>
    </row>
    <row r="39" ht="32.25" customHeight="1">
      <c r="A39" s="101" t="s">
        <v>4667</v>
      </c>
      <c r="B39" s="99">
        <f>IFERROR(__xludf.DUMMYFUNCTION("ROUND(
  IFERROR(
    SUM(
      FILTER(
        'Sprint 15'!T:T,
        ('Sprint 15'!E:E = ""Aek:Atiphat Nanthachitvanich"") *
        (LEFT('Sprint 15'!B:B,7) = ""DEVRDCT"")
      )
    ) / 3600,
    0
  ),
  2
)"),0.0)</f>
        <v>0</v>
      </c>
      <c r="C39" s="99">
        <f>IFERROR(__xludf.DUMMYFUNCTION("ROUND(
  IFERROR(
    SUM(
      FILTER(
        'Sprint 15'!T:T,
        ('Sprint 15'!E:E = ""Zan : Isarapong Bulan"") *
        (LEFT('Sprint 15'!B:B,7) = ""DEVRDCT"")
      )
    ) / 3600,
    0
  ),
  2
)"),0.0)</f>
        <v>0</v>
      </c>
      <c r="D39" s="99">
        <f>IFERROR(__xludf.DUMMYFUNCTION("ROUND(
  IFERROR(
    SUM(
      FILTER(
        'Sprint 15'!T:T,
        ('Sprint 15'!E:E = ""Aom: Pornsawan Polnyiem"") *
        (LEFT('Sprint 15'!B:B,7) = ""DEVRDCT"")
      )
    ) / 3600,
    0
  ),
  2
)"),0.0)</f>
        <v>0</v>
      </c>
      <c r="E39" s="99">
        <f>IFERROR(__xludf.DUMMYFUNCTION("ROUND(
  IFERROR(
    SUM(
      FILTER(
        'Sprint 15'!T:T,
        ('Sprint 15'!E:E = ""Jack: Warin Kesorn"") *
        (LEFT('Sprint 15'!B:B,7) = ""DEVRDCT"")
      )
    ) / 3600,
    0
  ),
  2
)"),0.0)</f>
        <v>0</v>
      </c>
      <c r="F39" s="99">
        <f>IFERROR(__xludf.DUMMYFUNCTION("ROUND(
  IFERROR(
    SUM(
      FILTER(
        'Sprint 15'!T:T,
        ('Sprint 15'!E:E = ""A:Phongthorn"") *
        (LEFT('Sprint 15'!B:B,7) = ""DEVRDCT"")
      )
    ) / 3600,
    0
  ),
  2
)"),0.0)</f>
        <v>0</v>
      </c>
      <c r="G39" s="99">
        <f>IFERROR(__xludf.DUMMYFUNCTION("ROUND(
  IFERROR(
    SUM(
      FILTER(
        'Sprint 15'!T:T,
        ('Sprint 15'!E:E = ""Art: Narupontp"") *
        (LEFT('Sprint 15'!B:B,7) = ""DEVRDCT"")
      )
    ) / 3600,
    0
  ),
  2
)"),0.0)</f>
        <v>0</v>
      </c>
      <c r="H39" s="99">
        <f>IFERROR(__xludf.DUMMYFUNCTION("ROUND(
  IFERROR(
    SUM(
      FILTER(
        'Sprint 15'!T:T,
        ('Sprint 15'!E:E = ""Mai:Sateta Abvanawong"") *
        (LEFT('Sprint 15'!B:B,7) = ""DEVRDCT"")
      )
    ) / 3600,
    0
  ),
  2
)"),0.0)</f>
        <v>0</v>
      </c>
      <c r="I39" s="99">
        <f>IFERROR(__xludf.DUMMYFUNCTION("ROUND(
  IFERROR(
    SUM(
      FILTER(
        'Sprint 15'!T:T,
        ('Sprint 15'!E:E = ""Kae: Pimonrath Jaiyen"") *
        (LEFT('Sprint 15'!B:B,7) = ""DEVRDCT"")
      )
    ) / 3600,
    0
  ),
  2
)"),0.0)</f>
        <v>0</v>
      </c>
      <c r="J39" s="99">
        <f>IFERROR(__xludf.DUMMYFUNCTION("ROUND(
  IFERROR(
    SUM(
      FILTER(
        'Sprint 15'!T:T,
        ('Sprint 15'!E:E = ""Mac: Jarupong Pawichpongkul"") *
        (LEFT('Sprint 15'!B:B,7) = ""DEVRDCT"")
      )
    ) / 3600,
    0
  ),
  2
)"),0.0)</f>
        <v>0</v>
      </c>
      <c r="K39" s="99">
        <f>IFERROR(__xludf.DUMMYFUNCTION("ROUND(
  IFERROR(
    SUM(
      FILTER(
        'Sprint 15'!T:T,
        ('Sprint 15'!E:E = ""Nim : muthita munmueang"") *
        (LEFT('Sprint 15'!B:B,7) = ""DEVRDCT"")
      )
    ) / 3600,
    0
  ),
  2
)"),0.0)</f>
        <v>0</v>
      </c>
      <c r="L39" s="99">
        <f>IFERROR(__xludf.DUMMYFUNCTION("ROUND(
  IFERROR(
    SUM(
      FILTER(
        'Sprint 15'!T:T,
        ('Sprint 15'!E:E = ""Moss : Kittapath Sangvikukit"") *
        (LEFT('Sprint 15'!B:B,7) = ""DEVRDCT"")
      )
    ) / 3600,
    0
  ),
  2
)"),0.0)</f>
        <v>0</v>
      </c>
      <c r="M39" s="99">
        <f>IFERROR(__xludf.DUMMYFUNCTION("ROUND(
  IFERROR(
    SUM(
      FILTER(
        'Sprint 15'!T:T,
        ('Sprint 15'!E:E = ""Arm:Worawat Chotipongchoawalit"") *
        (LEFT('Sprint 15'!B:B,7) = ""DEVRDCT"")
      )
    ) / 3600,
    0
  ),
  2
)"),0.0)</f>
        <v>0</v>
      </c>
    </row>
    <row r="40" ht="22.5" customHeight="1">
      <c r="A40" s="101" t="s">
        <v>4668</v>
      </c>
      <c r="B40" s="99">
        <f>IFERROR(__xludf.DUMMYFUNCTION("ROUND(
  IFERROR(
    SUM(
      FILTER(
        'Sprint 15'!T:T,
        ('Sprint 15'!E:E = ""Aek:Atiphat Nanthachitvanich"") *
        (LEFT('Sprint 15'!B:B,8) = ""DEVRDADJ"")
      )
    ) / 3600,
    0
  ),
  2
)"),0.0)</f>
        <v>0</v>
      </c>
      <c r="C40" s="99">
        <f>IFERROR(__xludf.DUMMYFUNCTION("ROUND(
  IFERROR(
    SUM(
      FILTER(
        'Sprint 15'!T:T,
        ('Sprint 15'!E:E = ""Zan : Isarapong Bulan"") *
        (LEFT('Sprint 15'!B:B,8) = ""DEVRDADJ"")
      )
    ) / 3600,
    0
  ),
  2
)"),0.0)</f>
        <v>0</v>
      </c>
      <c r="D40" s="99">
        <f>IFERROR(__xludf.DUMMYFUNCTION("ROUND(
  IFERROR(
    SUM(
      FILTER(
        'Sprint 15'!T:T,
        ('Sprint 15'!E:E = ""Aom: Pornsawan Polnyiem"") *
        (LEFT('Sprint 15'!B:B,8) = ""DEVRDADJ"")
      )
    ) / 3600,
    0
  ),
  2
)"),0.0)</f>
        <v>0</v>
      </c>
      <c r="E40" s="99">
        <f>IFERROR(__xludf.DUMMYFUNCTION("ROUND(
  IFERROR(
    SUM(
      FILTER(
        'Sprint 15'!T:T,
        ('Sprint 15'!E:E = ""Jack: Warin Kesorn"") *
        (LEFT('Sprint 15'!B:B,8) = ""DEVRDADJ"")
      )
    ) / 3600,
    0
  ),
  2
)"),0.0)</f>
        <v>0</v>
      </c>
      <c r="F40" s="99">
        <f>IFERROR(__xludf.DUMMYFUNCTION("ROUND(
  IFERROR(
    SUM(
      FILTER(
        'Sprint 15'!T:T,
        ('Sprint 15'!E:E = ""A:Phongthorn"") *
        (LEFT('Sprint 15'!B:B,8) = ""DEVRDADJ"")
      )
    ) / 3600,
    0
  ),
  2
)"),0.0)</f>
        <v>0</v>
      </c>
      <c r="G40" s="99">
        <f>IFERROR(__xludf.DUMMYFUNCTION("ROUND(
  IFERROR(
    SUM(
      FILTER(
        'Sprint 15'!T:T,
        ('Sprint 15'!E:E = ""Aek:Atiphat Nanthachitvanich"") *
        (LEFT('Sprint 15'!B:B,8) = ""DEVRDADJ"")
      )
    ) / 3600,
    0
  ),
  2
)"),0.0)</f>
        <v>0</v>
      </c>
      <c r="H40" s="99">
        <f>IFERROR(__xludf.DUMMYFUNCTION("ROUND(
  IFERROR(
    SUM(
      FILTER(
        'Sprint 15'!T:T,
        ('Sprint 15'!E:E = ""Mai:Sateta Abvanawong"") *
        (LEFT('Sprint 15'!B:B,8) = ""DEVRDADJ"")
      )
    ) / 3600,
    0
  ),
  2
)"),0.0)</f>
        <v>0</v>
      </c>
      <c r="I40" s="99">
        <f>IFERROR(__xludf.DUMMYFUNCTION("ROUND(
  IFERROR(
    SUM(
      FILTER(
        'Sprint 15'!T:T,
        ('Sprint 15'!E:E = ""Kae: Pimonrath Jaiyen"") *
        (LEFT('Sprint 15'!B:B,8) = ""DEVRDADJ"")
      )
    ) / 3600,
    0
  ),
  2
)"),0.0)</f>
        <v>0</v>
      </c>
      <c r="J40" s="99">
        <f>IFERROR(__xludf.DUMMYFUNCTION("ROUND(
  IFERROR(
    SUM(
      FILTER(
        'Sprint 15'!T:T,
        ('Sprint 15'!E:E = ""Mac: Jarupong Pawichpongkul"") *
        (LEFT('Sprint 15'!B:B,8) = ""DEVRDADJ"")
      )
    ) / 3600,
    0
  ),
  2
)"),0.0)</f>
        <v>0</v>
      </c>
      <c r="K40" s="99">
        <f>IFERROR(__xludf.DUMMYFUNCTION("ROUND(
  IFERROR(
    SUM(
      FILTER(
        'Sprint 15'!T:T,
        ('Sprint 15'!E:E = ""Aek:Atiphat Nanthachitvanich"") *
        (LEFT('Sprint 15'!B:B,8) = ""DEVRDADJ"")
      )
    ) / 3600,
    0
  ),
  2
)"),0.0)</f>
        <v>0</v>
      </c>
      <c r="L40" s="99">
        <f>IFERROR(__xludf.DUMMYFUNCTION("ROUND(
  IFERROR(
    SUM(
      FILTER(
        'Sprint 15'!T:T,
        ('Sprint 15'!E:E = ""Moss : Kittapath Sangvikukit"") *
        (LEFT('Sprint 15'!B:B,8) = ""DEVRDADJ"")
      )
    ) / 3600,
    0
  ),
  2
)"),0.0)</f>
        <v>0</v>
      </c>
      <c r="M40" s="99">
        <f>IFERROR(__xludf.DUMMYFUNCTION("ROUND(
  IFERROR(
    SUM(
      FILTER(
        'Sprint 15'!T:T,
        ('Sprint 15'!E:E = ""Arm:Worawat Chotipongchoawalit"") *
        (LEFT('Sprint 15'!B:B,8) = ""DEVRDADJ"")
      )
    ) / 3600,
    0
  ),
  2
)"),0.0)</f>
        <v>0</v>
      </c>
    </row>
    <row r="41">
      <c r="A41" s="101" t="s">
        <v>4669</v>
      </c>
      <c r="B41" s="101">
        <f>IFERROR(__xludf.DUMMYFUNCTION("ROUND(
  IFERROR(
    SUM(
      FILTER(
        'Sprint 15'!T:T,
        ('Sprint 15'!E:E = ""Aek:Atiphat Nanthachitvanich"") *
        (LEFT('Sprint 15'!B:B,5) = ""RDAPS"")
      )
    ) / 3600,
    0
  ),
  2
)"),0.0)</f>
        <v>0</v>
      </c>
      <c r="C41" s="99">
        <f>IFERROR(__xludf.DUMMYFUNCTION("ROUND(
  IFERROR(
    SUM(
      FILTER(
        'Sprint 15'!T:T,
        ('Sprint 15'!E:E = ""Zan : Isarapong Bulan"") *
        (LEFT('Sprint 15'!B:B,5) = ""RDAPS"")
      )
    ) / 3600,
    0
  ),
  2
)"),0.0)</f>
        <v>0</v>
      </c>
      <c r="D41" s="99">
        <f>IFERROR(__xludf.DUMMYFUNCTION("ROUND(
  IFERROR(
    SUM(
      FILTER(
        'Sprint 15'!T:T,
        ('Sprint 15'!E:E = ""Aom: Pornsawan Polnyiem"") *
        (LEFT('Sprint 15'!B:B,5) = ""RDAPS"")
      )
    ) / 3600,
    0
  ),
  2
)"),0.0)</f>
        <v>0</v>
      </c>
      <c r="E41" s="99">
        <f>IFERROR(__xludf.DUMMYFUNCTION("ROUND(
  IFERROR(
    SUM(
      FILTER(
        'Sprint 15'!T:T,
        ('Sprint 15'!E:E = ""Jack: Warin Kesorn"") *
        (LEFT('Sprint 15'!B:B,5) = ""RDAPS"")
      )
    ) / 3600,
    0
  ),
  2
)"),0.0)</f>
        <v>0</v>
      </c>
      <c r="F41" s="99">
        <f>IFERROR(__xludf.DUMMYFUNCTION("ROUND(
  IFERROR(
    SUM(
      FILTER(
        'Sprint 15'!T:T,
        ('Sprint 15'!E:E = ""A:Phongthorn"") *
        (LEFT('Sprint 15'!B:B,5) = ""RDAPS"")
      )
    ) / 3600,
    0
  ),
  2
)"),0.0)</f>
        <v>0</v>
      </c>
      <c r="G41" s="99">
        <f>IFERROR(__xludf.DUMMYFUNCTION("ROUND(
  IFERROR(
    SUM(
      FILTER(
        'Sprint 15'!T:T,
        ('Sprint 15'!E:E = ""Art: Narupontp"") *
        (LEFT('Sprint 15'!B:B,5) = ""RDAPS"")
      )
    ) / 3600,
    0
  ),
  2
)"),0.0)</f>
        <v>0</v>
      </c>
      <c r="H41" s="99">
        <f>IFERROR(__xludf.DUMMYFUNCTION("ROUND(
  IFERROR(
    SUM(
      FILTER(
        'Sprint 15'!T:T,
        ('Sprint 15'!E:E = ""Mai:Sateta Abvanawong"") *
        (LEFT('Sprint 15'!B:B,5) = ""RDAPS"")
      )
    ) / 3600,
    0
  ),
  2
)"),0.0)</f>
        <v>0</v>
      </c>
      <c r="I41" s="99">
        <f>IFERROR(__xludf.DUMMYFUNCTION("ROUND(
  IFERROR(
    SUM(
      FILTER(
        'Sprint 15'!T:T,
        ('Sprint 15'!E:E = ""Kae: Pimonrath Jaiyen"") *
        (LEFT('Sprint 15'!B:B,5) = ""RDAPS"")
      )
    ) / 3600,
    0
  ),
  2
)"),0.0)</f>
        <v>0</v>
      </c>
      <c r="J41" s="99">
        <f>IFERROR(__xludf.DUMMYFUNCTION("ROUND(
  IFERROR(
    SUM(
      FILTER(
        'Sprint 15'!T:T,
        ('Sprint 15'!E:E = ""Mac: Jarupong Pawichpongkul"") *
        (LEFT('Sprint 15'!B:B,5) = ""RDAPS"")
      )
    ) / 3600,
    0
  ),
  2
)"),8.0)</f>
        <v>8</v>
      </c>
      <c r="K41" s="99">
        <f>IFERROR(__xludf.DUMMYFUNCTION("ROUND(
  IFERROR(
    SUM(
      FILTER(
        'Sprint 15'!T:T,
        ('Sprint 15'!E:E = ""Nim : muthita munmueang"") *
        (LEFT('Sprint 15'!B:B,5) = ""RDAPS"")
      )
    ) / 3600,
    0
  ),
  2
)"),16.0)</f>
        <v>16</v>
      </c>
      <c r="L41" s="99">
        <f>IFERROR(__xludf.DUMMYFUNCTION("ROUND(
  IFERROR(
    SUM(
      FILTER(
        'Sprint 15'!T:T,
        ('Sprint 15'!E:E = ""Moss : Kittapath Sangvikukit"") *
        (LEFT('Sprint 15'!B:B,5) = ""RDAPS"")
      )
    ) / 3600,
    0
  ),
  2
)"),10.0)</f>
        <v>10</v>
      </c>
      <c r="M41" s="99">
        <f>IFERROR(__xludf.DUMMYFUNCTION("ROUND(
  IFERROR(
    SUM(
      FILTER(
        'Sprint 15'!T:T,
        ('Sprint 15'!E:E = ""Arm:Worawat Chotipongchoawalit"") *
        (LEFT('Sprint 15'!B:B,5) = ""RDAPS"")
      )
    ) / 3600,
    0
  ),
  2
)"),0.0)</f>
        <v>0</v>
      </c>
    </row>
    <row r="42" ht="21.0" customHeight="1">
      <c r="A42" s="101" t="s">
        <v>4670</v>
      </c>
      <c r="B42" s="101">
        <f>IFERROR(__xludf.DUMMYFUNCTION("ROUND(
  IFERROR(
    SUM(
      FILTER(
        'Sprint 15'!T:T,
        ('Sprint 15'!E:E = ""Aek:Atiphat Nanthachitvanich"") *
        (LEFT('Sprint 15'!B:B,8) = ""DEVRDSUP"")
      )
    ) / 3600,
    0
  ),
  2
)"),0.0)</f>
        <v>0</v>
      </c>
      <c r="C42" s="99">
        <f>IFERROR(__xludf.DUMMYFUNCTION("ROUND(
  IFERROR(
    SUM(
      FILTER(
        'Sprint 15'!T:T,
        ('Sprint 15'!E:E = ""Zan : Isarapong Bulan"") *
        (LEFT('Sprint 15'!B:B,8) = ""DEVRDSUP"")
      )
    ) / 3600,
    0
  ),
  2
)"),0.0)</f>
        <v>0</v>
      </c>
      <c r="D42" s="99">
        <f>IFERROR(__xludf.DUMMYFUNCTION("ROUND(
  IFERROR(
    SUM(
      FILTER(
        'Sprint 15'!T:T,
        ('Sprint 15'!E:E = ""Aom: Pornsawan Polnyiem"") *
        (LEFT('Sprint 15'!B:B,8) = ""DEVRDSUP"")
      )
    ) / 3600,
    0
  ),
  2
)"),4.5)</f>
        <v>4.5</v>
      </c>
      <c r="E42" s="99">
        <f>IFERROR(__xludf.DUMMYFUNCTION("ROUND(
  IFERROR(
    SUM(
      FILTER(
        'Sprint 15'!T:T,
        ('Sprint 15'!E:E = ""Jack: Warin Kesorn"") *
        (LEFT('Sprint 15'!B:B,8) = ""DEVRDSUP"")
      )
    ) / 3600,
    0
  ),
  2
)"),0.0)</f>
        <v>0</v>
      </c>
      <c r="F42" s="101">
        <f>IFERROR(__xludf.DUMMYFUNCTION("ROUND(
  IFERROR(
    SUM(
      FILTER(
        'Sprint 15'!T:T,
        ('Sprint 15'!E:E = ""A:Phongthorn"") *
        (LEFT('Sprint 15'!B:B,8) = ""DEVRDSUP"")
      )
    ) / 3600,
    0
  ),
  2
)"),0.0)</f>
        <v>0</v>
      </c>
      <c r="G42" s="99">
        <f>IFERROR(__xludf.DUMMYFUNCTION("ROUND(
  IFERROR(
    SUM(
      FILTER(
        'Sprint 15'!T:T,
        ('Sprint 15'!E:E = ""Art: Narupontp"") *
        (LEFT('Sprint 15'!B:B,8) = ""DEVRDSUP"")
      )
    ) / 3600,
    0
  ),
  2
)"),0.0)</f>
        <v>0</v>
      </c>
      <c r="H42" s="99">
        <f>IFERROR(__xludf.DUMMYFUNCTION("ROUND(
  IFERROR(
    SUM(
      FILTER(
        'Sprint 15'!T:T,
        ('Sprint 15'!E:E = ""Mai:Sateta Abvanawong"") *
        (LEFT('Sprint 15'!B:B,8) = ""DEVRDSUP"")
      )
    ) / 3600,
    0
  ),
  2
)"),0.0)</f>
        <v>0</v>
      </c>
      <c r="I42" s="99">
        <f>IFERROR(__xludf.DUMMYFUNCTION("ROUND(
  IFERROR(
    SUM(
      FILTER(
        'Sprint 15'!T:T,
        ('Sprint 15'!E:E = ""Kae: Pimonrath Jaiyen"") *
        (LEFT('Sprint 15'!B:B,8) = ""DEVRDSUP"")
      )
    ) / 3600,
    0
  ),
  2
)"),0.0)</f>
        <v>0</v>
      </c>
      <c r="J42" s="99">
        <f>IFERROR(__xludf.DUMMYFUNCTION("ROUND(
  IFERROR(
    SUM(
      FILTER(
        'Sprint 15'!T:T,
        ('Sprint 15'!E:E = ""Mac: Jarupong Pawichpongkul"") *
        (LEFT('Sprint 15'!B:B,8) = ""DEVRDSUP"")
      )
    ) / 3600,
    0
  ),
  2
)"),8.0)</f>
        <v>8</v>
      </c>
      <c r="K42" s="99">
        <f>IFERROR(__xludf.DUMMYFUNCTION("ROUND(
  IFERROR(
    SUM(
      FILTER(
        'Sprint 15'!T:T,
        ('Sprint 15'!E:E = ""Nim : muthita munmueang"") *
        (LEFT('Sprint 15'!B:B,8) = ""DEVRDSUP"")
      )
    ) / 3600,
    0
  ),
  2
)"),8.0)</f>
        <v>8</v>
      </c>
      <c r="L42" s="99">
        <f>IFERROR(__xludf.DUMMYFUNCTION("ROUND(
  IFERROR(
    SUM(
      FILTER(
        'Sprint 15'!T:T,
        ('Sprint 15'!E:E = ""Moss : Kittapath Sangvikukit"") *
        (LEFT('Sprint 15'!B:B,8) = ""DEVRDSUP"")
      )
    ) / 3600,
    0
  ),
  2
)"),0.0)</f>
        <v>0</v>
      </c>
      <c r="M42" s="99">
        <f>IFERROR(__xludf.DUMMYFUNCTION("ROUND(
  IFERROR(
    SUM(
      FILTER(
        'Sprint 15'!T:T,
        ('Sprint 15'!E:E = ""Arm:Worawat Chotipongchoawalit"") *
        (LEFT('Sprint 15'!B:B,8) = ""DEVRDSUP"")
      )
    ) / 3600,
    0
  ),
  2
)"),0.0)</f>
        <v>0</v>
      </c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</sheetData>
  <mergeCells count="6">
    <mergeCell ref="B25:E25"/>
    <mergeCell ref="F25:H25"/>
    <mergeCell ref="I25:M25"/>
    <mergeCell ref="B35:E35"/>
    <mergeCell ref="F35:H35"/>
    <mergeCell ref="I35:M3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91.0"/>
    <col customWidth="1" min="15" max="15" width="18.13"/>
    <col customWidth="1" min="19" max="27" width="17.5"/>
    <col customWidth="1" min="28" max="28" width="21.38"/>
    <col customWidth="1" min="29" max="31" width="17.5"/>
    <col customWidth="1" min="32" max="32" width="21.25"/>
    <col customWidth="1" min="33" max="33" width="17.5"/>
    <col customWidth="1" min="34" max="34" width="21.25"/>
    <col customWidth="1" min="35" max="35" width="20.13"/>
    <col customWidth="1" min="36" max="36" width="21.25"/>
    <col customWidth="1" min="37" max="37" width="20.13"/>
    <col customWidth="1" min="38" max="38" width="21.25"/>
    <col customWidth="1" min="39" max="39" width="20.13"/>
    <col customWidth="1" min="41" max="41" width="17.5"/>
    <col customWidth="1" min="42" max="42" width="21.25"/>
    <col customWidth="1" min="43" max="43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274</v>
      </c>
      <c r="T1" s="102" t="s">
        <v>275</v>
      </c>
      <c r="U1" s="149" t="s">
        <v>3245</v>
      </c>
      <c r="V1" s="115" t="s">
        <v>5575</v>
      </c>
      <c r="W1" s="115" t="s">
        <v>6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102" t="s">
        <v>70</v>
      </c>
      <c r="AF1" s="102" t="s">
        <v>70</v>
      </c>
      <c r="AZ1" s="88"/>
      <c r="BA1" s="88"/>
    </row>
    <row r="2">
      <c r="A2" s="102" t="s">
        <v>310</v>
      </c>
      <c r="B2" s="102" t="s">
        <v>5338</v>
      </c>
      <c r="C2" s="229" t="s">
        <v>5339</v>
      </c>
      <c r="D2" s="102" t="s">
        <v>5340</v>
      </c>
      <c r="E2" s="102" t="s">
        <v>495</v>
      </c>
      <c r="F2" s="102" t="s">
        <v>496</v>
      </c>
      <c r="G2" s="102" t="s">
        <v>353</v>
      </c>
      <c r="H2" s="102" t="s">
        <v>354</v>
      </c>
      <c r="I2" s="102" t="s">
        <v>284</v>
      </c>
      <c r="J2" s="102" t="s">
        <v>678</v>
      </c>
      <c r="L2" s="229" t="s">
        <v>5341</v>
      </c>
      <c r="M2" s="229" t="s">
        <v>5576</v>
      </c>
      <c r="O2" s="230"/>
      <c r="T2" s="102">
        <v>7200.0</v>
      </c>
      <c r="U2" s="102" t="str">
        <f>IF(ISNUMBER(MATCH(B2, 'Sprint 14'!B:B, 0)), "มาจาก Sprint 14", "")</f>
        <v/>
      </c>
      <c r="V2" s="102" t="str">
        <f t="array" ref="V2">IF(ISNUMBER(MATCH(B2, 'Sprint 14'!B:B, 0)), INDEX('Sprint 14'!J:J, MATCH(B2, 'Sprint 14'!B:B, 0)), "")</f>
        <v/>
      </c>
      <c r="W2" s="102"/>
      <c r="X2" s="102" t="s">
        <v>2266</v>
      </c>
      <c r="Y2" s="102"/>
    </row>
    <row r="3">
      <c r="A3" s="102" t="s">
        <v>276</v>
      </c>
      <c r="B3" s="102" t="s">
        <v>5346</v>
      </c>
      <c r="C3" s="229" t="s">
        <v>5347</v>
      </c>
      <c r="D3" s="102" t="s">
        <v>347</v>
      </c>
      <c r="E3" s="102"/>
      <c r="F3" s="102"/>
      <c r="G3" s="102" t="s">
        <v>521</v>
      </c>
      <c r="H3" s="102" t="s">
        <v>522</v>
      </c>
      <c r="I3" s="102" t="s">
        <v>284</v>
      </c>
      <c r="J3" s="102" t="s">
        <v>63</v>
      </c>
      <c r="L3" s="229" t="s">
        <v>5349</v>
      </c>
      <c r="M3" s="229" t="s">
        <v>5349</v>
      </c>
      <c r="N3" s="102"/>
      <c r="O3" s="230"/>
      <c r="P3" s="102"/>
      <c r="Q3" s="102"/>
      <c r="R3" s="102"/>
      <c r="S3" s="102"/>
      <c r="T3" s="230"/>
      <c r="U3" s="102" t="str">
        <f>IF(ISNUMBER(MATCH(B3, 'Sprint 14'!B:B, 0)), "มาจาก Sprint 14", "")</f>
        <v/>
      </c>
      <c r="V3" s="102" t="str">
        <f t="array" ref="V3">IF(ISNUMBER(MATCH(B3, 'Sprint 14'!B:B, 0)), INDEX('Sprint 14'!J:J, MATCH(B3, 'Sprint 14'!B:B, 0)), "")</f>
        <v/>
      </c>
      <c r="W3" s="230"/>
      <c r="X3" s="102" t="s">
        <v>1369</v>
      </c>
      <c r="Y3" s="102"/>
    </row>
    <row r="4">
      <c r="A4" s="102" t="s">
        <v>276</v>
      </c>
      <c r="B4" s="102" t="s">
        <v>5577</v>
      </c>
      <c r="C4" s="229" t="s">
        <v>5578</v>
      </c>
      <c r="D4" s="102" t="s">
        <v>5579</v>
      </c>
      <c r="E4" s="102" t="s">
        <v>391</v>
      </c>
      <c r="F4" s="102" t="s">
        <v>392</v>
      </c>
      <c r="G4" s="102" t="s">
        <v>521</v>
      </c>
      <c r="H4" s="102" t="s">
        <v>522</v>
      </c>
      <c r="I4" s="102" t="s">
        <v>284</v>
      </c>
      <c r="J4" s="102" t="s">
        <v>34</v>
      </c>
      <c r="L4" s="229" t="s">
        <v>5580</v>
      </c>
      <c r="M4" s="229" t="s">
        <v>5581</v>
      </c>
      <c r="N4" s="102"/>
      <c r="O4" s="102"/>
      <c r="P4" s="102"/>
      <c r="Q4" s="102"/>
      <c r="R4" s="102"/>
      <c r="S4" s="102"/>
      <c r="T4" s="230"/>
      <c r="U4" s="102" t="str">
        <f>IF(ISNUMBER(MATCH(B4, 'Sprint 14'!B:B, 0)), "มาจาก Sprint 14", "")</f>
        <v/>
      </c>
      <c r="V4" s="102" t="str">
        <f t="array" ref="V4">IF(ISNUMBER(MATCH(B4, 'Sprint 14'!B:B, 0)), INDEX('Sprint 14'!J:J, MATCH(B4, 'Sprint 14'!B:B, 0)), "")</f>
        <v/>
      </c>
      <c r="W4" s="230"/>
      <c r="X4" s="102" t="s">
        <v>4657</v>
      </c>
      <c r="Y4" s="102" t="s">
        <v>2266</v>
      </c>
    </row>
    <row r="5">
      <c r="A5" s="102" t="s">
        <v>332</v>
      </c>
      <c r="B5" s="102" t="s">
        <v>5582</v>
      </c>
      <c r="C5" s="229" t="s">
        <v>5583</v>
      </c>
      <c r="D5" s="102" t="s">
        <v>5584</v>
      </c>
      <c r="E5" s="102" t="s">
        <v>328</v>
      </c>
      <c r="F5" s="102" t="s">
        <v>329</v>
      </c>
      <c r="G5" s="102" t="s">
        <v>316</v>
      </c>
      <c r="H5" s="102" t="s">
        <v>317</v>
      </c>
      <c r="I5" s="102" t="s">
        <v>515</v>
      </c>
      <c r="J5" s="102" t="s">
        <v>2415</v>
      </c>
      <c r="L5" s="229" t="s">
        <v>5585</v>
      </c>
      <c r="M5" s="229" t="s">
        <v>5586</v>
      </c>
      <c r="N5" s="229" t="s">
        <v>5587</v>
      </c>
      <c r="O5" s="102"/>
      <c r="P5" s="102" t="s">
        <v>4656</v>
      </c>
      <c r="Q5" s="102" t="s">
        <v>367</v>
      </c>
      <c r="R5" s="102" t="s">
        <v>504</v>
      </c>
      <c r="S5" s="102" t="s">
        <v>368</v>
      </c>
      <c r="T5" s="230"/>
      <c r="U5" s="102" t="str">
        <f>IF(ISNUMBER(MATCH(B5, 'Sprint 14'!B:B, 0)), "มาจาก Sprint 14", "")</f>
        <v/>
      </c>
      <c r="V5" s="102" t="str">
        <f t="array" ref="V5">IF(ISNUMBER(MATCH(B5, 'Sprint 14'!B:B, 0)), INDEX('Sprint 14'!J:J, MATCH(B5, 'Sprint 14'!B:B, 0)), "")</f>
        <v/>
      </c>
      <c r="W5" s="230"/>
      <c r="X5" s="102" t="s">
        <v>2266</v>
      </c>
    </row>
    <row r="6">
      <c r="A6" s="102" t="s">
        <v>310</v>
      </c>
      <c r="B6" s="102" t="s">
        <v>5356</v>
      </c>
      <c r="C6" s="229" t="s">
        <v>5357</v>
      </c>
      <c r="D6" s="102" t="s">
        <v>5358</v>
      </c>
      <c r="E6" s="102" t="s">
        <v>353</v>
      </c>
      <c r="F6" s="102" t="s">
        <v>354</v>
      </c>
      <c r="G6" s="102" t="s">
        <v>353</v>
      </c>
      <c r="H6" s="102" t="s">
        <v>354</v>
      </c>
      <c r="I6" s="102" t="s">
        <v>284</v>
      </c>
      <c r="J6" s="102" t="s">
        <v>34</v>
      </c>
      <c r="L6" s="229" t="s">
        <v>5359</v>
      </c>
      <c r="M6" s="229" t="s">
        <v>5588</v>
      </c>
      <c r="O6" s="102">
        <v>8.0</v>
      </c>
      <c r="T6" s="230"/>
      <c r="U6" s="102" t="str">
        <f>IF(ISNUMBER(MATCH(B6, 'Sprint 14'!B:B, 0)), "มาจาก Sprint 14", "")</f>
        <v/>
      </c>
      <c r="V6" s="102" t="str">
        <f t="array" ref="V6">IF(ISNUMBER(MATCH(B6, 'Sprint 14'!B:B, 0)), INDEX('Sprint 14'!J:J, MATCH(B6, 'Sprint 14'!B:B, 0)), "")</f>
        <v/>
      </c>
      <c r="W6" s="230"/>
      <c r="X6" s="102" t="s">
        <v>2266</v>
      </c>
    </row>
    <row r="7">
      <c r="A7" s="102" t="s">
        <v>276</v>
      </c>
      <c r="B7" s="102" t="s">
        <v>5589</v>
      </c>
      <c r="C7" s="229" t="s">
        <v>5590</v>
      </c>
      <c r="D7" s="102" t="s">
        <v>1567</v>
      </c>
      <c r="E7" s="102" t="s">
        <v>3288</v>
      </c>
      <c r="F7" s="102" t="s">
        <v>3289</v>
      </c>
      <c r="G7" s="102" t="s">
        <v>3288</v>
      </c>
      <c r="H7" s="102" t="s">
        <v>3289</v>
      </c>
      <c r="I7" s="102" t="s">
        <v>284</v>
      </c>
      <c r="J7" s="102" t="s">
        <v>26</v>
      </c>
      <c r="L7" s="229" t="s">
        <v>5591</v>
      </c>
      <c r="M7" s="229" t="s">
        <v>5592</v>
      </c>
      <c r="O7" s="230"/>
      <c r="T7" s="230"/>
      <c r="U7" s="102" t="str">
        <f>IF(ISNUMBER(MATCH(B7, 'Sprint 14'!B:B, 0)), "มาจาก Sprint 14", "")</f>
        <v/>
      </c>
      <c r="V7" s="102" t="str">
        <f t="array" ref="V7">IF(ISNUMBER(MATCH(B7, 'Sprint 14'!B:B, 0)), INDEX('Sprint 14'!J:J, MATCH(B7, 'Sprint 14'!B:B, 0)), "")</f>
        <v/>
      </c>
      <c r="W7" s="230"/>
      <c r="X7" s="102" t="s">
        <v>2266</v>
      </c>
    </row>
    <row r="8">
      <c r="A8" s="102" t="s">
        <v>276</v>
      </c>
      <c r="B8" s="102" t="s">
        <v>5361</v>
      </c>
      <c r="C8" s="229" t="s">
        <v>5362</v>
      </c>
      <c r="D8" s="102" t="s">
        <v>347</v>
      </c>
      <c r="E8" s="102" t="s">
        <v>280</v>
      </c>
      <c r="F8" s="102" t="s">
        <v>281</v>
      </c>
      <c r="G8" s="102" t="s">
        <v>280</v>
      </c>
      <c r="H8" s="102" t="s">
        <v>281</v>
      </c>
      <c r="I8" s="102" t="s">
        <v>284</v>
      </c>
      <c r="J8" s="102" t="s">
        <v>63</v>
      </c>
      <c r="L8" s="229" t="s">
        <v>5363</v>
      </c>
      <c r="M8" s="229" t="s">
        <v>5593</v>
      </c>
      <c r="O8" s="230"/>
      <c r="T8" s="230"/>
      <c r="U8" s="102" t="str">
        <f>IF(ISNUMBER(MATCH(B8, 'Sprint 14'!B:B, 0)), "มาจาก Sprint 14", "")</f>
        <v/>
      </c>
      <c r="V8" s="102" t="str">
        <f t="array" ref="V8">IF(ISNUMBER(MATCH(B8, 'Sprint 14'!B:B, 0)), INDEX('Sprint 14'!J:J, MATCH(B8, 'Sprint 14'!B:B, 0)), "")</f>
        <v/>
      </c>
      <c r="W8" s="230"/>
      <c r="X8" s="102" t="s">
        <v>1369</v>
      </c>
    </row>
    <row r="9">
      <c r="A9" s="102" t="s">
        <v>276</v>
      </c>
      <c r="B9" s="102" t="s">
        <v>5365</v>
      </c>
      <c r="C9" s="229" t="s">
        <v>5366</v>
      </c>
      <c r="D9" s="102" t="s">
        <v>2030</v>
      </c>
      <c r="E9" s="102" t="s">
        <v>280</v>
      </c>
      <c r="F9" s="102" t="s">
        <v>281</v>
      </c>
      <c r="G9" s="102" t="s">
        <v>280</v>
      </c>
      <c r="H9" s="102" t="s">
        <v>281</v>
      </c>
      <c r="I9" s="102" t="s">
        <v>284</v>
      </c>
      <c r="J9" s="102" t="s">
        <v>63</v>
      </c>
      <c r="L9" s="229" t="s">
        <v>5363</v>
      </c>
      <c r="M9" s="229" t="s">
        <v>5363</v>
      </c>
      <c r="O9" s="230"/>
      <c r="T9" s="230"/>
      <c r="U9" s="102" t="str">
        <f>IF(ISNUMBER(MATCH(B9, 'Sprint 14'!B:B, 0)), "มาจาก Sprint 14", "")</f>
        <v/>
      </c>
      <c r="V9" s="102" t="str">
        <f t="array" ref="V9">IF(ISNUMBER(MATCH(B9, 'Sprint 14'!B:B, 0)), INDEX('Sprint 14'!J:J, MATCH(B9, 'Sprint 14'!B:B, 0)), "")</f>
        <v/>
      </c>
      <c r="W9" s="230"/>
      <c r="X9" s="102" t="s">
        <v>1369</v>
      </c>
    </row>
    <row r="10">
      <c r="A10" s="102" t="s">
        <v>276</v>
      </c>
      <c r="B10" s="102" t="s">
        <v>5594</v>
      </c>
      <c r="C10" s="229" t="s">
        <v>5595</v>
      </c>
      <c r="D10" s="102" t="s">
        <v>347</v>
      </c>
      <c r="E10" s="102" t="s">
        <v>280</v>
      </c>
      <c r="F10" s="102" t="s">
        <v>281</v>
      </c>
      <c r="G10" s="102" t="s">
        <v>280</v>
      </c>
      <c r="H10" s="102" t="s">
        <v>281</v>
      </c>
      <c r="I10" s="102" t="s">
        <v>284</v>
      </c>
      <c r="J10" s="102" t="s">
        <v>63</v>
      </c>
      <c r="L10" s="229" t="s">
        <v>5363</v>
      </c>
      <c r="M10" s="229" t="s">
        <v>5363</v>
      </c>
      <c r="O10" s="230"/>
      <c r="T10" s="230"/>
      <c r="U10" s="102" t="str">
        <f>IF(ISNUMBER(MATCH(B10, 'Sprint 14'!B:B, 0)), "มาจาก Sprint 14", "")</f>
        <v/>
      </c>
      <c r="V10" s="102" t="str">
        <f t="array" ref="V10">IF(ISNUMBER(MATCH(B10, 'Sprint 14'!B:B, 0)), INDEX('Sprint 14'!J:J, MATCH(B10, 'Sprint 14'!B:B, 0)), "")</f>
        <v/>
      </c>
      <c r="W10" s="230"/>
      <c r="X10" s="102" t="s">
        <v>1369</v>
      </c>
    </row>
    <row r="11">
      <c r="A11" s="102" t="s">
        <v>276</v>
      </c>
      <c r="B11" s="102" t="s">
        <v>5596</v>
      </c>
      <c r="C11" s="229" t="s">
        <v>5597</v>
      </c>
      <c r="D11" s="102" t="s">
        <v>2030</v>
      </c>
      <c r="E11" s="102" t="s">
        <v>280</v>
      </c>
      <c r="F11" s="102" t="s">
        <v>281</v>
      </c>
      <c r="G11" s="102" t="s">
        <v>280</v>
      </c>
      <c r="H11" s="102" t="s">
        <v>281</v>
      </c>
      <c r="I11" s="102" t="s">
        <v>284</v>
      </c>
      <c r="J11" s="102" t="s">
        <v>63</v>
      </c>
      <c r="L11" s="229" t="s">
        <v>5363</v>
      </c>
      <c r="M11" s="229" t="s">
        <v>5363</v>
      </c>
      <c r="O11" s="230"/>
      <c r="T11" s="230"/>
      <c r="U11" s="102" t="str">
        <f>IF(ISNUMBER(MATCH(B11, 'Sprint 14'!B:B, 0)), "มาจาก Sprint 14", "")</f>
        <v/>
      </c>
      <c r="V11" s="102" t="str">
        <f t="array" ref="V11">IF(ISNUMBER(MATCH(B11, 'Sprint 14'!B:B, 0)), INDEX('Sprint 14'!J:J, MATCH(B11, 'Sprint 14'!B:B, 0)), "")</f>
        <v/>
      </c>
      <c r="W11" s="230"/>
      <c r="X11" s="102" t="s">
        <v>1369</v>
      </c>
    </row>
    <row r="12">
      <c r="A12" s="102" t="s">
        <v>276</v>
      </c>
      <c r="B12" s="102" t="s">
        <v>5367</v>
      </c>
      <c r="C12" s="229" t="s">
        <v>5368</v>
      </c>
      <c r="D12" s="102" t="s">
        <v>347</v>
      </c>
      <c r="E12" s="102" t="s">
        <v>280</v>
      </c>
      <c r="F12" s="102" t="s">
        <v>281</v>
      </c>
      <c r="G12" s="102" t="s">
        <v>280</v>
      </c>
      <c r="H12" s="102" t="s">
        <v>281</v>
      </c>
      <c r="I12" s="102" t="s">
        <v>284</v>
      </c>
      <c r="J12" s="102" t="s">
        <v>63</v>
      </c>
      <c r="L12" s="229" t="s">
        <v>5363</v>
      </c>
      <c r="M12" s="229" t="s">
        <v>5363</v>
      </c>
      <c r="O12" s="230"/>
      <c r="T12" s="230"/>
      <c r="U12" s="102" t="str">
        <f>IF(ISNUMBER(MATCH(B12, 'Sprint 14'!B:B, 0)), "มาจาก Sprint 14", "")</f>
        <v/>
      </c>
      <c r="V12" s="102" t="str">
        <f t="array" ref="V12">IF(ISNUMBER(MATCH(B12, 'Sprint 14'!B:B, 0)), INDEX('Sprint 14'!J:J, MATCH(B12, 'Sprint 14'!B:B, 0)), "")</f>
        <v/>
      </c>
      <c r="W12" s="230"/>
      <c r="X12" s="102" t="s">
        <v>1369</v>
      </c>
      <c r="Y12" s="102"/>
    </row>
    <row r="13">
      <c r="A13" s="102" t="s">
        <v>276</v>
      </c>
      <c r="B13" s="102" t="s">
        <v>5370</v>
      </c>
      <c r="C13" s="229" t="s">
        <v>5371</v>
      </c>
      <c r="D13" s="102" t="s">
        <v>2030</v>
      </c>
      <c r="E13" s="102" t="s">
        <v>280</v>
      </c>
      <c r="F13" s="102" t="s">
        <v>281</v>
      </c>
      <c r="G13" s="102" t="s">
        <v>280</v>
      </c>
      <c r="H13" s="102" t="s">
        <v>281</v>
      </c>
      <c r="I13" s="102" t="s">
        <v>284</v>
      </c>
      <c r="J13" s="102" t="s">
        <v>63</v>
      </c>
      <c r="L13" s="229" t="s">
        <v>5363</v>
      </c>
      <c r="M13" s="229" t="s">
        <v>5363</v>
      </c>
      <c r="O13" s="230"/>
      <c r="T13" s="230"/>
      <c r="U13" s="102" t="str">
        <f>IF(ISNUMBER(MATCH(B13, 'Sprint 14'!B:B, 0)), "มาจาก Sprint 14", "")</f>
        <v/>
      </c>
      <c r="V13" s="102" t="str">
        <f t="array" ref="V13">IF(ISNUMBER(MATCH(B13, 'Sprint 14'!B:B, 0)), INDEX('Sprint 14'!J:J, MATCH(B13, 'Sprint 14'!B:B, 0)), "")</f>
        <v/>
      </c>
      <c r="W13" s="230"/>
      <c r="X13" s="102" t="s">
        <v>1369</v>
      </c>
      <c r="Y13" s="102"/>
    </row>
    <row r="14">
      <c r="A14" s="102" t="s">
        <v>276</v>
      </c>
      <c r="B14" s="102" t="s">
        <v>5598</v>
      </c>
      <c r="C14" s="229" t="s">
        <v>5599</v>
      </c>
      <c r="D14" s="102" t="s">
        <v>347</v>
      </c>
      <c r="E14" s="102" t="s">
        <v>280</v>
      </c>
      <c r="F14" s="102" t="s">
        <v>281</v>
      </c>
      <c r="G14" s="102" t="s">
        <v>280</v>
      </c>
      <c r="H14" s="102" t="s">
        <v>281</v>
      </c>
      <c r="I14" s="102" t="s">
        <v>284</v>
      </c>
      <c r="J14" s="102" t="s">
        <v>355</v>
      </c>
      <c r="L14" s="229" t="s">
        <v>5600</v>
      </c>
      <c r="M14" s="229" t="s">
        <v>5601</v>
      </c>
      <c r="O14" s="230"/>
      <c r="T14" s="230"/>
      <c r="U14" s="102" t="str">
        <f>IF(ISNUMBER(MATCH(B14, 'Sprint 14'!B:B, 0)), "มาจาก Sprint 14", "")</f>
        <v/>
      </c>
      <c r="V14" s="102" t="str">
        <f t="array" ref="V14">IF(ISNUMBER(MATCH(B14, 'Sprint 14'!B:B, 0)), INDEX('Sprint 14'!J:J, MATCH(B14, 'Sprint 14'!B:B, 0)), "")</f>
        <v/>
      </c>
      <c r="W14" s="230"/>
      <c r="X14" s="102" t="s">
        <v>1368</v>
      </c>
      <c r="Y14" s="102" t="s">
        <v>1369</v>
      </c>
    </row>
    <row r="15">
      <c r="A15" s="102" t="s">
        <v>276</v>
      </c>
      <c r="B15" s="102" t="s">
        <v>5602</v>
      </c>
      <c r="C15" s="229" t="s">
        <v>5603</v>
      </c>
      <c r="D15" s="102" t="s">
        <v>2030</v>
      </c>
      <c r="E15" s="102" t="s">
        <v>280</v>
      </c>
      <c r="F15" s="102" t="s">
        <v>281</v>
      </c>
      <c r="G15" s="102" t="s">
        <v>280</v>
      </c>
      <c r="H15" s="102" t="s">
        <v>281</v>
      </c>
      <c r="I15" s="102" t="s">
        <v>284</v>
      </c>
      <c r="J15" s="102" t="s">
        <v>355</v>
      </c>
      <c r="L15" s="229" t="s">
        <v>5600</v>
      </c>
      <c r="M15" s="229" t="s">
        <v>5601</v>
      </c>
      <c r="O15" s="230"/>
      <c r="T15" s="230"/>
      <c r="U15" s="102" t="str">
        <f>IF(ISNUMBER(MATCH(B15, 'Sprint 14'!B:B, 0)), "มาจาก Sprint 14", "")</f>
        <v/>
      </c>
      <c r="V15" s="102" t="str">
        <f t="array" ref="V15">IF(ISNUMBER(MATCH(B15, 'Sprint 14'!B:B, 0)), INDEX('Sprint 14'!J:J, MATCH(B15, 'Sprint 14'!B:B, 0)), "")</f>
        <v/>
      </c>
      <c r="W15" s="230"/>
      <c r="X15" s="102" t="s">
        <v>1368</v>
      </c>
      <c r="Y15" s="102" t="s">
        <v>1369</v>
      </c>
    </row>
    <row r="16">
      <c r="A16" s="102" t="s">
        <v>276</v>
      </c>
      <c r="B16" s="102" t="s">
        <v>5604</v>
      </c>
      <c r="C16" s="229" t="s">
        <v>5605</v>
      </c>
      <c r="D16" s="102" t="s">
        <v>347</v>
      </c>
      <c r="E16" s="102" t="s">
        <v>280</v>
      </c>
      <c r="F16" s="102" t="s">
        <v>281</v>
      </c>
      <c r="G16" s="102" t="s">
        <v>280</v>
      </c>
      <c r="H16" s="102" t="s">
        <v>281</v>
      </c>
      <c r="I16" s="102" t="s">
        <v>284</v>
      </c>
      <c r="J16" s="102" t="s">
        <v>34</v>
      </c>
      <c r="L16" s="229" t="s">
        <v>5600</v>
      </c>
      <c r="M16" s="229" t="s">
        <v>5606</v>
      </c>
      <c r="O16" s="230"/>
      <c r="T16" s="230"/>
      <c r="U16" s="102" t="str">
        <f>IF(ISNUMBER(MATCH(B16, 'Sprint 14'!B:B, 0)), "มาจาก Sprint 14", "")</f>
        <v/>
      </c>
      <c r="V16" s="102" t="str">
        <f t="array" ref="V16">IF(ISNUMBER(MATCH(B16, 'Sprint 14'!B:B, 0)), INDEX('Sprint 14'!J:J, MATCH(B16, 'Sprint 14'!B:B, 0)), "")</f>
        <v/>
      </c>
      <c r="W16" s="230"/>
      <c r="X16" s="102" t="s">
        <v>1368</v>
      </c>
      <c r="Y16" s="102" t="s">
        <v>1369</v>
      </c>
    </row>
    <row r="17">
      <c r="A17" s="102" t="s">
        <v>276</v>
      </c>
      <c r="B17" s="102" t="s">
        <v>5607</v>
      </c>
      <c r="C17" s="229" t="s">
        <v>5608</v>
      </c>
      <c r="D17" s="102" t="s">
        <v>2030</v>
      </c>
      <c r="E17" s="102" t="s">
        <v>280</v>
      </c>
      <c r="F17" s="102" t="s">
        <v>281</v>
      </c>
      <c r="G17" s="102" t="s">
        <v>280</v>
      </c>
      <c r="H17" s="102" t="s">
        <v>281</v>
      </c>
      <c r="I17" s="102" t="s">
        <v>284</v>
      </c>
      <c r="J17" s="102" t="s">
        <v>34</v>
      </c>
      <c r="L17" s="229" t="s">
        <v>5600</v>
      </c>
      <c r="M17" s="229" t="s">
        <v>5606</v>
      </c>
      <c r="O17" s="230"/>
      <c r="T17" s="230"/>
      <c r="U17" s="102" t="str">
        <f>IF(ISNUMBER(MATCH(B17, 'Sprint 14'!B:B, 0)), "มาจาก Sprint 14", "")</f>
        <v/>
      </c>
      <c r="V17" s="102" t="str">
        <f t="array" ref="V17">IF(ISNUMBER(MATCH(B17, 'Sprint 14'!B:B, 0)), INDEX('Sprint 14'!J:J, MATCH(B17, 'Sprint 14'!B:B, 0)), "")</f>
        <v/>
      </c>
      <c r="W17" s="230"/>
      <c r="X17" s="102" t="s">
        <v>1368</v>
      </c>
      <c r="Y17" s="102" t="s">
        <v>1369</v>
      </c>
    </row>
    <row r="18">
      <c r="A18" s="102" t="s">
        <v>276</v>
      </c>
      <c r="B18" s="102" t="s">
        <v>5609</v>
      </c>
      <c r="C18" s="229" t="s">
        <v>5610</v>
      </c>
      <c r="D18" s="102" t="s">
        <v>347</v>
      </c>
      <c r="E18" s="102" t="s">
        <v>280</v>
      </c>
      <c r="F18" s="102" t="s">
        <v>281</v>
      </c>
      <c r="G18" s="102" t="s">
        <v>280</v>
      </c>
      <c r="H18" s="102" t="s">
        <v>281</v>
      </c>
      <c r="I18" s="102" t="s">
        <v>284</v>
      </c>
      <c r="J18" s="102" t="s">
        <v>355</v>
      </c>
      <c r="L18" s="229" t="s">
        <v>5611</v>
      </c>
      <c r="M18" s="229" t="s">
        <v>5612</v>
      </c>
      <c r="O18" s="230"/>
      <c r="T18" s="230"/>
      <c r="U18" s="102" t="str">
        <f>IF(ISNUMBER(MATCH(B18, 'Sprint 14'!B:B, 0)), "มาจาก Sprint 14", "")</f>
        <v/>
      </c>
      <c r="V18" s="102" t="str">
        <f t="array" ref="V18">IF(ISNUMBER(MATCH(B18, 'Sprint 14'!B:B, 0)), INDEX('Sprint 14'!J:J, MATCH(B18, 'Sprint 14'!B:B, 0)), "")</f>
        <v/>
      </c>
      <c r="W18" s="230"/>
      <c r="X18" s="102" t="s">
        <v>1368</v>
      </c>
      <c r="Y18" s="102" t="s">
        <v>1369</v>
      </c>
    </row>
    <row r="19">
      <c r="A19" s="102" t="s">
        <v>276</v>
      </c>
      <c r="B19" s="102" t="s">
        <v>5613</v>
      </c>
      <c r="C19" s="229" t="s">
        <v>5614</v>
      </c>
      <c r="D19" s="102" t="s">
        <v>2030</v>
      </c>
      <c r="E19" s="102" t="s">
        <v>280</v>
      </c>
      <c r="F19" s="102" t="s">
        <v>281</v>
      </c>
      <c r="G19" s="102" t="s">
        <v>280</v>
      </c>
      <c r="H19" s="102" t="s">
        <v>281</v>
      </c>
      <c r="I19" s="102" t="s">
        <v>284</v>
      </c>
      <c r="J19" s="102" t="s">
        <v>355</v>
      </c>
      <c r="L19" s="229" t="s">
        <v>5611</v>
      </c>
      <c r="M19" s="229" t="s">
        <v>5612</v>
      </c>
      <c r="O19" s="230"/>
      <c r="T19" s="230"/>
      <c r="U19" s="102" t="str">
        <f>IF(ISNUMBER(MATCH(B19, 'Sprint 14'!B:B, 0)), "มาจาก Sprint 14", "")</f>
        <v/>
      </c>
      <c r="V19" s="102" t="str">
        <f t="array" ref="V19">IF(ISNUMBER(MATCH(B19, 'Sprint 14'!B:B, 0)), INDEX('Sprint 14'!J:J, MATCH(B19, 'Sprint 14'!B:B, 0)), "")</f>
        <v/>
      </c>
      <c r="W19" s="230"/>
      <c r="X19" s="102" t="s">
        <v>1368</v>
      </c>
      <c r="Y19" s="102" t="s">
        <v>1369</v>
      </c>
    </row>
    <row r="20">
      <c r="A20" s="102" t="s">
        <v>276</v>
      </c>
      <c r="B20" s="102" t="s">
        <v>5615</v>
      </c>
      <c r="C20" s="229" t="s">
        <v>5616</v>
      </c>
      <c r="D20" s="102" t="s">
        <v>347</v>
      </c>
      <c r="E20" s="102" t="s">
        <v>280</v>
      </c>
      <c r="F20" s="102" t="s">
        <v>281</v>
      </c>
      <c r="G20" s="102" t="s">
        <v>280</v>
      </c>
      <c r="H20" s="102" t="s">
        <v>281</v>
      </c>
      <c r="I20" s="102" t="s">
        <v>284</v>
      </c>
      <c r="J20" s="102" t="s">
        <v>34</v>
      </c>
      <c r="L20" s="229" t="s">
        <v>5617</v>
      </c>
      <c r="M20" s="229" t="s">
        <v>5618</v>
      </c>
      <c r="O20" s="230"/>
      <c r="T20" s="230"/>
      <c r="U20" s="102" t="str">
        <f>IF(ISNUMBER(MATCH(B20, 'Sprint 14'!B:B, 0)), "มาจาก Sprint 14", "")</f>
        <v/>
      </c>
      <c r="V20" s="102" t="str">
        <f t="array" ref="V20">IF(ISNUMBER(MATCH(B20, 'Sprint 14'!B:B, 0)), INDEX('Sprint 14'!J:J, MATCH(B20, 'Sprint 14'!B:B, 0)), "")</f>
        <v/>
      </c>
      <c r="W20" s="230"/>
      <c r="X20" s="102" t="s">
        <v>1368</v>
      </c>
      <c r="Y20" s="102" t="s">
        <v>1369</v>
      </c>
    </row>
    <row r="21">
      <c r="A21" s="102" t="s">
        <v>276</v>
      </c>
      <c r="B21" s="102" t="s">
        <v>5619</v>
      </c>
      <c r="C21" s="229" t="s">
        <v>5620</v>
      </c>
      <c r="D21" s="102" t="s">
        <v>2030</v>
      </c>
      <c r="E21" s="102" t="s">
        <v>280</v>
      </c>
      <c r="F21" s="102" t="s">
        <v>281</v>
      </c>
      <c r="G21" s="102" t="s">
        <v>280</v>
      </c>
      <c r="H21" s="102" t="s">
        <v>281</v>
      </c>
      <c r="I21" s="102" t="s">
        <v>284</v>
      </c>
      <c r="J21" s="102" t="s">
        <v>355</v>
      </c>
      <c r="L21" s="229" t="s">
        <v>5617</v>
      </c>
      <c r="M21" s="229" t="s">
        <v>5618</v>
      </c>
      <c r="O21" s="230"/>
      <c r="T21" s="230"/>
      <c r="U21" s="102" t="str">
        <f>IF(ISNUMBER(MATCH(B21, 'Sprint 14'!B:B, 0)), "มาจาก Sprint 14", "")</f>
        <v/>
      </c>
      <c r="V21" s="102" t="str">
        <f t="array" ref="V21">IF(ISNUMBER(MATCH(B21, 'Sprint 14'!B:B, 0)), INDEX('Sprint 14'!J:J, MATCH(B21, 'Sprint 14'!B:B, 0)), "")</f>
        <v/>
      </c>
      <c r="W21" s="230"/>
      <c r="X21" s="102" t="s">
        <v>1368</v>
      </c>
      <c r="Y21" s="102" t="s">
        <v>1369</v>
      </c>
    </row>
    <row r="22">
      <c r="A22" s="102" t="s">
        <v>276</v>
      </c>
      <c r="B22" s="102" t="s">
        <v>5382</v>
      </c>
      <c r="C22" s="229" t="s">
        <v>5383</v>
      </c>
      <c r="D22" s="102" t="s">
        <v>4345</v>
      </c>
      <c r="E22" s="102" t="s">
        <v>3288</v>
      </c>
      <c r="F22" s="102" t="s">
        <v>3289</v>
      </c>
      <c r="G22" s="102" t="s">
        <v>3288</v>
      </c>
      <c r="H22" s="102" t="s">
        <v>3289</v>
      </c>
      <c r="I22" s="102" t="s">
        <v>284</v>
      </c>
      <c r="J22" s="102" t="s">
        <v>63</v>
      </c>
      <c r="L22" s="229" t="s">
        <v>5384</v>
      </c>
      <c r="M22" s="229" t="s">
        <v>5384</v>
      </c>
      <c r="O22" s="230"/>
      <c r="T22" s="230"/>
      <c r="U22" s="102" t="str">
        <f>IF(ISNUMBER(MATCH(B22, 'Sprint 14'!B:B, 0)), "มาจาก Sprint 14", "")</f>
        <v/>
      </c>
      <c r="V22" s="102" t="str">
        <f t="array" ref="V22">IF(ISNUMBER(MATCH(B22, 'Sprint 14'!B:B, 0)), INDEX('Sprint 14'!J:J, MATCH(B22, 'Sprint 14'!B:B, 0)), "")</f>
        <v/>
      </c>
      <c r="W22" s="230"/>
      <c r="X22" s="102" t="s">
        <v>1368</v>
      </c>
      <c r="Y22" s="102" t="s">
        <v>1369</v>
      </c>
    </row>
    <row r="23">
      <c r="A23" s="102" t="s">
        <v>276</v>
      </c>
      <c r="B23" s="102" t="s">
        <v>5385</v>
      </c>
      <c r="C23" s="229" t="s">
        <v>5386</v>
      </c>
      <c r="D23" s="102" t="s">
        <v>4345</v>
      </c>
      <c r="E23" s="102" t="s">
        <v>3288</v>
      </c>
      <c r="F23" s="102" t="s">
        <v>3289</v>
      </c>
      <c r="G23" s="102" t="s">
        <v>3288</v>
      </c>
      <c r="H23" s="102" t="s">
        <v>3289</v>
      </c>
      <c r="I23" s="102" t="s">
        <v>284</v>
      </c>
      <c r="J23" s="102" t="s">
        <v>34</v>
      </c>
      <c r="L23" s="229" t="s">
        <v>5384</v>
      </c>
      <c r="M23" s="229" t="s">
        <v>5621</v>
      </c>
      <c r="N23" s="102"/>
      <c r="O23" s="102"/>
      <c r="P23" s="102"/>
      <c r="Q23" s="102"/>
      <c r="T23" s="102"/>
      <c r="U23" s="102" t="str">
        <f>IF(ISNUMBER(MATCH(B23, 'Sprint 14'!B:B, 0)), "มาจาก Sprint 14", "")</f>
        <v/>
      </c>
      <c r="V23" s="102" t="str">
        <f t="array" ref="V23">IF(ISNUMBER(MATCH(B23, 'Sprint 14'!B:B, 0)), INDEX('Sprint 14'!J:J, MATCH(B23, 'Sprint 14'!B:B, 0)), "")</f>
        <v/>
      </c>
      <c r="W23" s="102"/>
      <c r="X23" s="102" t="s">
        <v>1368</v>
      </c>
      <c r="Y23" s="102" t="s">
        <v>1369</v>
      </c>
    </row>
    <row r="24">
      <c r="A24" s="102" t="s">
        <v>276</v>
      </c>
      <c r="B24" s="102" t="s">
        <v>5388</v>
      </c>
      <c r="C24" s="229" t="s">
        <v>5389</v>
      </c>
      <c r="D24" s="102" t="s">
        <v>4345</v>
      </c>
      <c r="E24" s="102" t="s">
        <v>3288</v>
      </c>
      <c r="F24" s="102" t="s">
        <v>3289</v>
      </c>
      <c r="G24" s="102" t="s">
        <v>3288</v>
      </c>
      <c r="H24" s="102" t="s">
        <v>3289</v>
      </c>
      <c r="I24" s="102" t="s">
        <v>284</v>
      </c>
      <c r="J24" s="102" t="s">
        <v>34</v>
      </c>
      <c r="L24" s="229" t="s">
        <v>5390</v>
      </c>
      <c r="M24" s="229" t="s">
        <v>5621</v>
      </c>
      <c r="N24" s="102"/>
      <c r="O24" s="102"/>
      <c r="P24" s="102"/>
      <c r="Q24" s="102"/>
      <c r="T24" s="102"/>
      <c r="U24" s="102" t="str">
        <f>IF(ISNUMBER(MATCH(B24, 'Sprint 14'!B:B, 0)), "มาจาก Sprint 14", "")</f>
        <v/>
      </c>
      <c r="V24" s="102" t="str">
        <f t="array" ref="V24">IF(ISNUMBER(MATCH(B24, 'Sprint 14'!B:B, 0)), INDEX('Sprint 14'!J:J, MATCH(B24, 'Sprint 14'!B:B, 0)), "")</f>
        <v/>
      </c>
      <c r="W24" s="102"/>
      <c r="X24" s="102" t="s">
        <v>1368</v>
      </c>
      <c r="Y24" s="102" t="s">
        <v>1369</v>
      </c>
    </row>
    <row r="25">
      <c r="A25" s="102" t="s">
        <v>4410</v>
      </c>
      <c r="B25" s="102" t="s">
        <v>5622</v>
      </c>
      <c r="C25" s="229" t="s">
        <v>5623</v>
      </c>
      <c r="D25" s="102" t="s">
        <v>5624</v>
      </c>
      <c r="E25" s="102" t="s">
        <v>513</v>
      </c>
      <c r="F25" s="102" t="s">
        <v>514</v>
      </c>
      <c r="G25" s="102" t="s">
        <v>513</v>
      </c>
      <c r="H25" s="102" t="s">
        <v>514</v>
      </c>
      <c r="I25" s="102" t="s">
        <v>284</v>
      </c>
      <c r="J25" s="102" t="s">
        <v>26</v>
      </c>
      <c r="L25" s="229" t="s">
        <v>5625</v>
      </c>
      <c r="M25" s="229" t="s">
        <v>5626</v>
      </c>
      <c r="N25" s="229" t="s">
        <v>5627</v>
      </c>
      <c r="O25" s="102">
        <v>1.0</v>
      </c>
      <c r="P25" s="102" t="s">
        <v>5628</v>
      </c>
      <c r="Q25" s="102" t="s">
        <v>593</v>
      </c>
      <c r="T25" s="102">
        <v>3600.0</v>
      </c>
      <c r="U25" s="102" t="str">
        <f>IF(ISNUMBER(MATCH(B25, 'Sprint 14'!B:B, 0)), "มาจาก Sprint 14", "")</f>
        <v/>
      </c>
      <c r="V25" s="102" t="str">
        <f t="array" ref="V25">IF(ISNUMBER(MATCH(B25, 'Sprint 14'!B:B, 0)), INDEX('Sprint 14'!J:J, MATCH(B25, 'Sprint 14'!B:B, 0)), "")</f>
        <v/>
      </c>
      <c r="W25" s="102"/>
      <c r="X25" s="102" t="s">
        <v>5629</v>
      </c>
    </row>
    <row r="26">
      <c r="A26" s="102" t="s">
        <v>310</v>
      </c>
      <c r="B26" s="102" t="s">
        <v>5397</v>
      </c>
      <c r="C26" s="229" t="s">
        <v>5398</v>
      </c>
      <c r="D26" s="102" t="s">
        <v>5399</v>
      </c>
      <c r="E26" s="102" t="s">
        <v>584</v>
      </c>
      <c r="F26" s="102" t="s">
        <v>585</v>
      </c>
      <c r="G26" s="102" t="s">
        <v>282</v>
      </c>
      <c r="H26" s="102" t="s">
        <v>283</v>
      </c>
      <c r="I26" s="102" t="s">
        <v>284</v>
      </c>
      <c r="J26" s="102" t="s">
        <v>678</v>
      </c>
      <c r="L26" s="229" t="s">
        <v>5400</v>
      </c>
      <c r="M26" s="229" t="s">
        <v>5630</v>
      </c>
      <c r="N26" s="102"/>
      <c r="O26" s="102">
        <v>3.0</v>
      </c>
      <c r="P26" s="102"/>
      <c r="Q26" s="102"/>
      <c r="R26" s="102"/>
      <c r="T26" s="102">
        <v>28800.0</v>
      </c>
      <c r="U26" s="102" t="str">
        <f>IF(ISNUMBER(MATCH(B26, 'Sprint 14'!B:B, 0)), "มาจาก Sprint 14", "")</f>
        <v/>
      </c>
      <c r="V26" s="102" t="str">
        <f t="array" ref="V26">IF(ISNUMBER(MATCH(B26, 'Sprint 14'!B:B, 0)), INDEX('Sprint 14'!J:J, MATCH(B26, 'Sprint 14'!B:B, 0)), "")</f>
        <v/>
      </c>
      <c r="W26" s="102"/>
      <c r="X26" s="102" t="s">
        <v>2266</v>
      </c>
    </row>
    <row r="27">
      <c r="A27" s="102" t="s">
        <v>332</v>
      </c>
      <c r="B27" s="102" t="s">
        <v>4893</v>
      </c>
      <c r="C27" s="229" t="s">
        <v>4894</v>
      </c>
      <c r="D27" s="102" t="s">
        <v>4895</v>
      </c>
      <c r="E27" s="102" t="s">
        <v>584</v>
      </c>
      <c r="F27" s="102" t="s">
        <v>585</v>
      </c>
      <c r="G27" s="102" t="s">
        <v>316</v>
      </c>
      <c r="H27" s="102" t="s">
        <v>317</v>
      </c>
      <c r="I27" s="102" t="s">
        <v>648</v>
      </c>
      <c r="J27" s="102" t="s">
        <v>2415</v>
      </c>
      <c r="L27" s="229" t="s">
        <v>4896</v>
      </c>
      <c r="M27" s="229" t="s">
        <v>5631</v>
      </c>
      <c r="N27" s="229" t="s">
        <v>4222</v>
      </c>
      <c r="O27" s="102">
        <v>1.0</v>
      </c>
      <c r="P27" s="102" t="s">
        <v>538</v>
      </c>
      <c r="Q27" s="102"/>
      <c r="R27" s="102"/>
      <c r="T27" s="230"/>
      <c r="U27" s="102" t="str">
        <f>IF(ISNUMBER(MATCH(B27, 'Sprint 14'!B:B, 0)), "มาจาก Sprint 14", "")</f>
        <v/>
      </c>
      <c r="V27" s="102" t="str">
        <f t="array" ref="V27">IF(ISNUMBER(MATCH(B27, 'Sprint 14'!B:B, 0)), INDEX('Sprint 14'!J:J, MATCH(B27, 'Sprint 14'!B:B, 0)), "")</f>
        <v/>
      </c>
      <c r="W27" s="230"/>
      <c r="X27" s="102" t="s">
        <v>2266</v>
      </c>
    </row>
    <row r="28">
      <c r="A28" s="102" t="s">
        <v>310</v>
      </c>
      <c r="B28" s="102" t="s">
        <v>5632</v>
      </c>
      <c r="C28" s="229" t="s">
        <v>5633</v>
      </c>
      <c r="D28" s="102" t="s">
        <v>5634</v>
      </c>
      <c r="E28" s="102" t="s">
        <v>513</v>
      </c>
      <c r="F28" s="102" t="s">
        <v>514</v>
      </c>
      <c r="G28" s="102" t="s">
        <v>316</v>
      </c>
      <c r="H28" s="102" t="s">
        <v>317</v>
      </c>
      <c r="I28" s="102" t="s">
        <v>284</v>
      </c>
      <c r="J28" s="102" t="s">
        <v>26</v>
      </c>
      <c r="L28" s="229" t="s">
        <v>5635</v>
      </c>
      <c r="M28" s="229" t="s">
        <v>5636</v>
      </c>
      <c r="N28" s="229" t="s">
        <v>5627</v>
      </c>
      <c r="O28" s="102">
        <v>1.0</v>
      </c>
      <c r="P28" s="102" t="s">
        <v>366</v>
      </c>
      <c r="Q28" s="102" t="s">
        <v>433</v>
      </c>
      <c r="R28" s="102" t="s">
        <v>368</v>
      </c>
      <c r="T28" s="230"/>
      <c r="U28" s="102" t="str">
        <f>IF(ISNUMBER(MATCH(B28, 'Sprint 14'!B:B, 0)), "มาจาก Sprint 14", "")</f>
        <v/>
      </c>
      <c r="V28" s="102" t="str">
        <f t="array" ref="V28">IF(ISNUMBER(MATCH(B28, 'Sprint 14'!B:B, 0)), INDEX('Sprint 14'!J:J, MATCH(B28, 'Sprint 14'!B:B, 0)), "")</f>
        <v/>
      </c>
      <c r="W28" s="230"/>
      <c r="X28" s="102" t="s">
        <v>2266</v>
      </c>
    </row>
    <row r="29">
      <c r="A29" s="102" t="s">
        <v>310</v>
      </c>
      <c r="B29" s="102" t="s">
        <v>5637</v>
      </c>
      <c r="C29" s="229" t="s">
        <v>5638</v>
      </c>
      <c r="D29" s="102" t="s">
        <v>5639</v>
      </c>
      <c r="E29" s="102" t="s">
        <v>353</v>
      </c>
      <c r="F29" s="102" t="s">
        <v>354</v>
      </c>
      <c r="G29" s="102" t="s">
        <v>353</v>
      </c>
      <c r="H29" s="102" t="s">
        <v>354</v>
      </c>
      <c r="I29" s="102" t="s">
        <v>284</v>
      </c>
      <c r="J29" s="102" t="s">
        <v>26</v>
      </c>
      <c r="L29" s="229" t="s">
        <v>5640</v>
      </c>
      <c r="M29" s="229" t="s">
        <v>5641</v>
      </c>
      <c r="N29" s="102"/>
      <c r="O29" s="102">
        <v>3.0</v>
      </c>
      <c r="P29" s="102"/>
      <c r="Q29" s="102"/>
      <c r="R29" s="102"/>
      <c r="S29" s="102"/>
      <c r="T29" s="230"/>
      <c r="U29" s="102" t="str">
        <f>IF(ISNUMBER(MATCH(B29, 'Sprint 14'!B:B, 0)), "มาจาก Sprint 14", "")</f>
        <v/>
      </c>
      <c r="V29" s="102" t="str">
        <f t="array" ref="V29">IF(ISNUMBER(MATCH(B29, 'Sprint 14'!B:B, 0)), INDEX('Sprint 14'!J:J, MATCH(B29, 'Sprint 14'!B:B, 0)), "")</f>
        <v/>
      </c>
      <c r="W29" s="230"/>
      <c r="X29" s="102" t="s">
        <v>2266</v>
      </c>
    </row>
    <row r="30">
      <c r="A30" s="102" t="s">
        <v>310</v>
      </c>
      <c r="B30" s="102" t="s">
        <v>4897</v>
      </c>
      <c r="C30" s="229" t="s">
        <v>4898</v>
      </c>
      <c r="D30" s="102" t="s">
        <v>4899</v>
      </c>
      <c r="E30" s="102" t="s">
        <v>328</v>
      </c>
      <c r="F30" s="102" t="s">
        <v>329</v>
      </c>
      <c r="G30" s="102" t="s">
        <v>282</v>
      </c>
      <c r="H30" s="102" t="s">
        <v>283</v>
      </c>
      <c r="I30" s="102" t="s">
        <v>515</v>
      </c>
      <c r="J30" s="102" t="s">
        <v>678</v>
      </c>
      <c r="L30" s="229" t="s">
        <v>4900</v>
      </c>
      <c r="M30" s="229" t="s">
        <v>5642</v>
      </c>
      <c r="N30" s="102"/>
      <c r="O30" s="102"/>
      <c r="P30" s="102"/>
      <c r="Q30" s="102"/>
      <c r="R30" s="102"/>
      <c r="S30" s="102"/>
      <c r="T30" s="230"/>
      <c r="U30" s="102" t="str">
        <f>IF(ISNUMBER(MATCH(B30, 'Sprint 14'!B:B, 0)), "มาจาก Sprint 14", "")</f>
        <v/>
      </c>
      <c r="V30" s="102" t="str">
        <f t="array" ref="V30">IF(ISNUMBER(MATCH(B30, 'Sprint 14'!B:B, 0)), INDEX('Sprint 14'!J:J, MATCH(B30, 'Sprint 14'!B:B, 0)), "")</f>
        <v/>
      </c>
      <c r="W30" s="230"/>
      <c r="X30" s="102" t="s">
        <v>2266</v>
      </c>
    </row>
    <row r="31">
      <c r="A31" s="102" t="s">
        <v>332</v>
      </c>
      <c r="B31" s="102" t="s">
        <v>5643</v>
      </c>
      <c r="C31" s="229" t="s">
        <v>5644</v>
      </c>
      <c r="D31" s="102" t="s">
        <v>5645</v>
      </c>
      <c r="E31" s="102" t="s">
        <v>314</v>
      </c>
      <c r="F31" s="102" t="s">
        <v>315</v>
      </c>
      <c r="G31" s="102" t="s">
        <v>316</v>
      </c>
      <c r="H31" s="102" t="s">
        <v>317</v>
      </c>
      <c r="I31" s="102" t="s">
        <v>648</v>
      </c>
      <c r="J31" s="102" t="s">
        <v>2318</v>
      </c>
      <c r="L31" s="229" t="s">
        <v>5646</v>
      </c>
      <c r="M31" s="229" t="s">
        <v>5647</v>
      </c>
      <c r="N31" s="229" t="s">
        <v>5152</v>
      </c>
      <c r="O31" s="102">
        <v>1.0</v>
      </c>
      <c r="P31" s="102" t="s">
        <v>366</v>
      </c>
      <c r="Q31" s="102" t="s">
        <v>4332</v>
      </c>
      <c r="R31" s="102" t="s">
        <v>4656</v>
      </c>
      <c r="S31" s="102" t="s">
        <v>367</v>
      </c>
      <c r="T31" s="230"/>
      <c r="U31" s="102" t="str">
        <f>IF(ISNUMBER(MATCH(B31, 'Sprint 14'!B:B, 0)), "มาจาก Sprint 14", "")</f>
        <v/>
      </c>
      <c r="V31" s="102" t="str">
        <f t="array" ref="V31">IF(ISNUMBER(MATCH(B31, 'Sprint 14'!B:B, 0)), INDEX('Sprint 14'!J:J, MATCH(B31, 'Sprint 14'!B:B, 0)), "")</f>
        <v/>
      </c>
      <c r="W31" s="230"/>
      <c r="X31" s="102" t="s">
        <v>2266</v>
      </c>
    </row>
    <row r="32">
      <c r="A32" s="102" t="s">
        <v>276</v>
      </c>
      <c r="B32" s="102" t="s">
        <v>5648</v>
      </c>
      <c r="C32" s="229" t="s">
        <v>5649</v>
      </c>
      <c r="D32" s="102" t="s">
        <v>5650</v>
      </c>
      <c r="E32" s="102" t="s">
        <v>3288</v>
      </c>
      <c r="F32" s="102" t="s">
        <v>3289</v>
      </c>
      <c r="G32" s="102" t="s">
        <v>3288</v>
      </c>
      <c r="H32" s="102" t="s">
        <v>3289</v>
      </c>
      <c r="I32" s="102" t="s">
        <v>284</v>
      </c>
      <c r="J32" s="102" t="s">
        <v>26</v>
      </c>
      <c r="L32" s="229" t="s">
        <v>5651</v>
      </c>
      <c r="M32" s="229" t="s">
        <v>5652</v>
      </c>
      <c r="N32" s="102"/>
      <c r="O32" s="102"/>
      <c r="P32" s="102"/>
      <c r="Q32" s="102"/>
      <c r="R32" s="102"/>
      <c r="T32" s="230"/>
      <c r="U32" s="102" t="str">
        <f>IF(ISNUMBER(MATCH(B32, 'Sprint 14'!B:B, 0)), "มาจาก Sprint 14", "")</f>
        <v/>
      </c>
      <c r="V32" s="102" t="str">
        <f t="array" ref="V32">IF(ISNUMBER(MATCH(B32, 'Sprint 14'!B:B, 0)), INDEX('Sprint 14'!J:J, MATCH(B32, 'Sprint 14'!B:B, 0)), "")</f>
        <v/>
      </c>
      <c r="W32" s="230"/>
      <c r="X32" s="102" t="s">
        <v>2266</v>
      </c>
    </row>
    <row r="33">
      <c r="A33" s="102" t="s">
        <v>276</v>
      </c>
      <c r="B33" s="102" t="s">
        <v>5653</v>
      </c>
      <c r="C33" s="229" t="s">
        <v>5654</v>
      </c>
      <c r="D33" s="102" t="s">
        <v>347</v>
      </c>
      <c r="E33" s="102" t="s">
        <v>5655</v>
      </c>
      <c r="F33" s="102" t="s">
        <v>5656</v>
      </c>
      <c r="G33" s="102" t="s">
        <v>280</v>
      </c>
      <c r="H33" s="102" t="s">
        <v>281</v>
      </c>
      <c r="I33" s="102" t="s">
        <v>284</v>
      </c>
      <c r="J33" s="102" t="s">
        <v>26</v>
      </c>
      <c r="L33" s="229" t="s">
        <v>5657</v>
      </c>
      <c r="M33" s="229" t="s">
        <v>5658</v>
      </c>
      <c r="N33" s="102"/>
      <c r="O33" s="102"/>
      <c r="P33" s="102"/>
      <c r="Q33" s="102"/>
      <c r="R33" s="102"/>
      <c r="T33" s="102"/>
      <c r="U33" s="102" t="str">
        <f>IF(ISNUMBER(MATCH(B33, 'Sprint 14'!B:B, 0)), "มาจาก Sprint 14", "")</f>
        <v/>
      </c>
      <c r="V33" s="102" t="str">
        <f t="array" ref="V33">IF(ISNUMBER(MATCH(B33, 'Sprint 14'!B:B, 0)), INDEX('Sprint 14'!J:J, MATCH(B33, 'Sprint 14'!B:B, 0)), "")</f>
        <v/>
      </c>
      <c r="W33" s="102"/>
      <c r="X33" s="102" t="s">
        <v>3051</v>
      </c>
    </row>
    <row r="34">
      <c r="A34" s="102" t="s">
        <v>332</v>
      </c>
      <c r="B34" s="102" t="s">
        <v>5659</v>
      </c>
      <c r="C34" s="229" t="s">
        <v>5660</v>
      </c>
      <c r="D34" s="102" t="s">
        <v>5661</v>
      </c>
      <c r="E34" s="102" t="s">
        <v>513</v>
      </c>
      <c r="F34" s="102" t="s">
        <v>514</v>
      </c>
      <c r="G34" s="102" t="s">
        <v>316</v>
      </c>
      <c r="H34" s="102" t="s">
        <v>317</v>
      </c>
      <c r="I34" s="102" t="s">
        <v>284</v>
      </c>
      <c r="J34" s="102" t="s">
        <v>922</v>
      </c>
      <c r="L34" s="229" t="s">
        <v>5662</v>
      </c>
      <c r="M34" s="229" t="s">
        <v>5663</v>
      </c>
      <c r="N34" s="229" t="s">
        <v>5664</v>
      </c>
      <c r="O34" s="102">
        <v>1.0</v>
      </c>
      <c r="P34" s="102" t="s">
        <v>481</v>
      </c>
      <c r="Q34" s="102" t="s">
        <v>1756</v>
      </c>
      <c r="R34" s="102" t="s">
        <v>367</v>
      </c>
      <c r="T34" s="102"/>
      <c r="U34" s="102" t="str">
        <f>IF(ISNUMBER(MATCH(B34, 'Sprint 14'!B:B, 0)), "มาจาก Sprint 14", "")</f>
        <v/>
      </c>
      <c r="V34" s="102" t="str">
        <f t="array" ref="V34">IF(ISNUMBER(MATCH(B34, 'Sprint 14'!B:B, 0)), INDEX('Sprint 14'!J:J, MATCH(B34, 'Sprint 14'!B:B, 0)), "")</f>
        <v/>
      </c>
      <c r="W34" s="102"/>
      <c r="X34" s="102" t="s">
        <v>2266</v>
      </c>
    </row>
    <row r="35">
      <c r="A35" s="102" t="s">
        <v>310</v>
      </c>
      <c r="B35" s="102" t="s">
        <v>5665</v>
      </c>
      <c r="C35" s="229" t="s">
        <v>5666</v>
      </c>
      <c r="D35" s="102" t="s">
        <v>5667</v>
      </c>
      <c r="E35" s="102" t="s">
        <v>513</v>
      </c>
      <c r="F35" s="102" t="s">
        <v>514</v>
      </c>
      <c r="G35" s="102" t="s">
        <v>513</v>
      </c>
      <c r="H35" s="102" t="s">
        <v>514</v>
      </c>
      <c r="I35" s="102" t="s">
        <v>284</v>
      </c>
      <c r="J35" s="102" t="s">
        <v>26</v>
      </c>
      <c r="L35" s="229" t="s">
        <v>5668</v>
      </c>
      <c r="M35" s="229" t="s">
        <v>5669</v>
      </c>
      <c r="N35" s="102"/>
      <c r="O35" s="102">
        <v>2.0</v>
      </c>
      <c r="P35" s="102" t="s">
        <v>593</v>
      </c>
      <c r="Q35" s="102"/>
      <c r="T35" s="102">
        <v>14400.0</v>
      </c>
      <c r="U35" s="102" t="str">
        <f>IF(ISNUMBER(MATCH(B35, 'Sprint 14'!B:B, 0)), "มาจาก Sprint 14", "")</f>
        <v/>
      </c>
      <c r="V35" s="102" t="str">
        <f t="array" ref="V35">IF(ISNUMBER(MATCH(B35, 'Sprint 14'!B:B, 0)), INDEX('Sprint 14'!J:J, MATCH(B35, 'Sprint 14'!B:B, 0)), "")</f>
        <v/>
      </c>
      <c r="W35" s="102"/>
      <c r="X35" s="102" t="s">
        <v>5629</v>
      </c>
      <c r="Y35" s="102"/>
    </row>
    <row r="36">
      <c r="A36" s="102" t="s">
        <v>310</v>
      </c>
      <c r="B36" s="102" t="s">
        <v>5670</v>
      </c>
      <c r="C36" s="229" t="s">
        <v>5671</v>
      </c>
      <c r="D36" s="102" t="s">
        <v>5672</v>
      </c>
      <c r="E36" s="102" t="s">
        <v>513</v>
      </c>
      <c r="F36" s="102" t="s">
        <v>514</v>
      </c>
      <c r="G36" s="102" t="s">
        <v>513</v>
      </c>
      <c r="H36" s="102" t="s">
        <v>514</v>
      </c>
      <c r="I36" s="102" t="s">
        <v>284</v>
      </c>
      <c r="J36" s="102" t="s">
        <v>26</v>
      </c>
      <c r="L36" s="229" t="s">
        <v>5673</v>
      </c>
      <c r="M36" s="229" t="s">
        <v>5674</v>
      </c>
      <c r="N36" s="229" t="s">
        <v>5675</v>
      </c>
      <c r="O36" s="102">
        <v>1.0</v>
      </c>
      <c r="P36" s="102" t="s">
        <v>593</v>
      </c>
      <c r="Q36" s="102" t="s">
        <v>473</v>
      </c>
      <c r="R36" s="102"/>
      <c r="T36" s="102">
        <v>7200.0</v>
      </c>
      <c r="U36" s="102" t="str">
        <f>IF(ISNUMBER(MATCH(B36, 'Sprint 14'!B:B, 0)), "มาจาก Sprint 14", "")</f>
        <v/>
      </c>
      <c r="V36" s="102" t="str">
        <f t="array" ref="V36">IF(ISNUMBER(MATCH(B36, 'Sprint 14'!B:B, 0)), INDEX('Sprint 14'!J:J, MATCH(B36, 'Sprint 14'!B:B, 0)), "")</f>
        <v/>
      </c>
      <c r="W36" s="102"/>
      <c r="X36" s="102" t="s">
        <v>5629</v>
      </c>
      <c r="Y36" s="102"/>
    </row>
    <row r="37">
      <c r="A37" s="102" t="s">
        <v>276</v>
      </c>
      <c r="B37" s="102" t="s">
        <v>5676</v>
      </c>
      <c r="C37" s="229" t="s">
        <v>5677</v>
      </c>
      <c r="D37" s="102" t="s">
        <v>5678</v>
      </c>
      <c r="E37" s="102" t="s">
        <v>521</v>
      </c>
      <c r="F37" s="102" t="s">
        <v>522</v>
      </c>
      <c r="G37" s="102" t="s">
        <v>521</v>
      </c>
      <c r="H37" s="102" t="s">
        <v>522</v>
      </c>
      <c r="I37" s="102" t="s">
        <v>284</v>
      </c>
      <c r="J37" s="102" t="s">
        <v>26</v>
      </c>
      <c r="L37" s="229" t="s">
        <v>5679</v>
      </c>
      <c r="M37" s="229" t="s">
        <v>5680</v>
      </c>
      <c r="N37" s="102"/>
      <c r="O37" s="102"/>
      <c r="P37" s="102"/>
      <c r="Q37" s="102"/>
      <c r="R37" s="102"/>
      <c r="T37" s="102"/>
      <c r="U37" s="102" t="str">
        <f>IF(ISNUMBER(MATCH(B37, 'Sprint 14'!B:B, 0)), "มาจาก Sprint 14", "")</f>
        <v>มาจาก Sprint 14</v>
      </c>
      <c r="V37" s="102" t="str">
        <f t="array" ref="V37">IF(ISNUMBER(MATCH(B37, 'Sprint 14'!B:B, 0)), INDEX('Sprint 14'!J:J, MATCH(B37, 'Sprint 14'!B:B, 0)), "")</f>
        <v>In Progress</v>
      </c>
      <c r="W37" s="102"/>
      <c r="X37" s="102" t="s">
        <v>4657</v>
      </c>
      <c r="Y37" s="102" t="s">
        <v>2266</v>
      </c>
    </row>
    <row r="38">
      <c r="A38" s="102" t="s">
        <v>310</v>
      </c>
      <c r="B38" s="102" t="s">
        <v>5681</v>
      </c>
      <c r="C38" s="229" t="s">
        <v>5682</v>
      </c>
      <c r="D38" s="102" t="s">
        <v>5683</v>
      </c>
      <c r="E38" s="102" t="s">
        <v>282</v>
      </c>
      <c r="F38" s="102" t="s">
        <v>283</v>
      </c>
      <c r="G38" s="102" t="s">
        <v>316</v>
      </c>
      <c r="H38" s="102" t="s">
        <v>317</v>
      </c>
      <c r="I38" s="102" t="s">
        <v>515</v>
      </c>
      <c r="J38" s="102" t="s">
        <v>26</v>
      </c>
      <c r="L38" s="229" t="s">
        <v>5684</v>
      </c>
      <c r="M38" s="229" t="s">
        <v>5685</v>
      </c>
      <c r="N38" s="229" t="s">
        <v>2575</v>
      </c>
      <c r="O38" s="102">
        <v>2.0</v>
      </c>
      <c r="P38" s="102" t="s">
        <v>433</v>
      </c>
      <c r="Q38" s="102" t="s">
        <v>4656</v>
      </c>
      <c r="R38" s="102" t="s">
        <v>474</v>
      </c>
      <c r="T38" s="102">
        <v>14400.0</v>
      </c>
      <c r="U38" s="102" t="str">
        <f>IF(ISNUMBER(MATCH(B38, 'Sprint 14'!B:B, 0)), "มาจาก Sprint 14", "")</f>
        <v/>
      </c>
      <c r="V38" s="102" t="str">
        <f t="array" ref="V38">IF(ISNUMBER(MATCH(B38, 'Sprint 14'!B:B, 0)), INDEX('Sprint 14'!J:J, MATCH(B38, 'Sprint 14'!B:B, 0)), "")</f>
        <v/>
      </c>
      <c r="W38" s="102"/>
      <c r="X38" s="102" t="s">
        <v>2266</v>
      </c>
    </row>
    <row r="39">
      <c r="A39" s="102" t="s">
        <v>310</v>
      </c>
      <c r="B39" s="102" t="s">
        <v>5686</v>
      </c>
      <c r="C39" s="229" t="s">
        <v>5687</v>
      </c>
      <c r="D39" s="102" t="s">
        <v>5688</v>
      </c>
      <c r="E39" s="102" t="s">
        <v>556</v>
      </c>
      <c r="F39" s="102" t="s">
        <v>557</v>
      </c>
      <c r="G39" s="102" t="s">
        <v>282</v>
      </c>
      <c r="H39" s="102" t="s">
        <v>283</v>
      </c>
      <c r="I39" s="102" t="s">
        <v>284</v>
      </c>
      <c r="J39" s="102" t="s">
        <v>26</v>
      </c>
      <c r="L39" s="229" t="s">
        <v>5689</v>
      </c>
      <c r="M39" s="229" t="s">
        <v>5690</v>
      </c>
      <c r="O39" s="102">
        <v>2.0</v>
      </c>
      <c r="P39" s="102" t="s">
        <v>504</v>
      </c>
      <c r="T39" s="102"/>
      <c r="U39" s="102" t="str">
        <f>IF(ISNUMBER(MATCH(B39, 'Sprint 14'!B:B, 0)), "มาจาก Sprint 14", "")</f>
        <v/>
      </c>
      <c r="V39" s="102" t="str">
        <f t="array" ref="V39">IF(ISNUMBER(MATCH(B39, 'Sprint 14'!B:B, 0)), INDEX('Sprint 14'!J:J, MATCH(B39, 'Sprint 14'!B:B, 0)), "")</f>
        <v/>
      </c>
      <c r="W39" s="102"/>
      <c r="X39" s="102" t="s">
        <v>3051</v>
      </c>
    </row>
    <row r="40">
      <c r="A40" s="102" t="s">
        <v>310</v>
      </c>
      <c r="B40" s="102" t="s">
        <v>5691</v>
      </c>
      <c r="C40" s="229" t="s">
        <v>5692</v>
      </c>
      <c r="D40" s="102" t="s">
        <v>5693</v>
      </c>
      <c r="E40" s="102" t="s">
        <v>282</v>
      </c>
      <c r="F40" s="102" t="s">
        <v>283</v>
      </c>
      <c r="G40" s="102" t="s">
        <v>316</v>
      </c>
      <c r="H40" s="102" t="s">
        <v>317</v>
      </c>
      <c r="I40" s="102" t="s">
        <v>284</v>
      </c>
      <c r="J40" s="102" t="s">
        <v>26</v>
      </c>
      <c r="L40" s="229" t="s">
        <v>5694</v>
      </c>
      <c r="M40" s="229" t="s">
        <v>5695</v>
      </c>
      <c r="O40" s="102">
        <v>1.0</v>
      </c>
      <c r="T40" s="102">
        <v>1800.0</v>
      </c>
      <c r="U40" s="102" t="str">
        <f>IF(ISNUMBER(MATCH(B40, 'Sprint 14'!B:B, 0)), "มาจาก Sprint 14", "")</f>
        <v/>
      </c>
      <c r="V40" s="102" t="str">
        <f t="array" ref="V40">IF(ISNUMBER(MATCH(B40, 'Sprint 14'!B:B, 0)), INDEX('Sprint 14'!J:J, MATCH(B40, 'Sprint 14'!B:B, 0)), "")</f>
        <v/>
      </c>
      <c r="W40" s="102"/>
      <c r="X40" s="102" t="s">
        <v>2266</v>
      </c>
    </row>
    <row r="41">
      <c r="A41" s="102" t="s">
        <v>310</v>
      </c>
      <c r="B41" s="102" t="s">
        <v>5696</v>
      </c>
      <c r="C41" s="229" t="s">
        <v>5697</v>
      </c>
      <c r="D41" s="102" t="s">
        <v>5698</v>
      </c>
      <c r="E41" s="102" t="s">
        <v>282</v>
      </c>
      <c r="F41" s="102" t="s">
        <v>283</v>
      </c>
      <c r="G41" s="102" t="s">
        <v>316</v>
      </c>
      <c r="H41" s="102" t="s">
        <v>317</v>
      </c>
      <c r="I41" s="102" t="s">
        <v>284</v>
      </c>
      <c r="J41" s="102" t="s">
        <v>26</v>
      </c>
      <c r="L41" s="229" t="s">
        <v>5699</v>
      </c>
      <c r="M41" s="229" t="s">
        <v>5700</v>
      </c>
      <c r="N41" s="102"/>
      <c r="O41" s="102">
        <v>1.0</v>
      </c>
      <c r="T41" s="102"/>
      <c r="U41" s="102" t="str">
        <f>IF(ISNUMBER(MATCH(B41, 'Sprint 14'!B:B, 0)), "มาจาก Sprint 14", "")</f>
        <v/>
      </c>
      <c r="V41" s="102" t="str">
        <f t="array" ref="V41">IF(ISNUMBER(MATCH(B41, 'Sprint 14'!B:B, 0)), INDEX('Sprint 14'!J:J, MATCH(B41, 'Sprint 14'!B:B, 0)), "")</f>
        <v/>
      </c>
      <c r="W41" s="102"/>
      <c r="X41" s="102" t="s">
        <v>2266</v>
      </c>
    </row>
    <row r="42">
      <c r="A42" s="102" t="s">
        <v>310</v>
      </c>
      <c r="B42" s="102" t="s">
        <v>5430</v>
      </c>
      <c r="C42" s="229" t="s">
        <v>5431</v>
      </c>
      <c r="D42" s="102" t="s">
        <v>5432</v>
      </c>
      <c r="E42" s="102" t="s">
        <v>495</v>
      </c>
      <c r="F42" s="102" t="s">
        <v>496</v>
      </c>
      <c r="G42" s="102" t="s">
        <v>314</v>
      </c>
      <c r="H42" s="102" t="s">
        <v>315</v>
      </c>
      <c r="I42" s="102" t="s">
        <v>284</v>
      </c>
      <c r="J42" s="102" t="s">
        <v>678</v>
      </c>
      <c r="L42" s="229" t="s">
        <v>5433</v>
      </c>
      <c r="M42" s="229" t="s">
        <v>5701</v>
      </c>
      <c r="N42" s="102"/>
      <c r="O42" s="102"/>
      <c r="T42" s="102">
        <v>28800.0</v>
      </c>
      <c r="U42" s="102" t="str">
        <f>IF(ISNUMBER(MATCH(B42, 'Sprint 14'!B:B, 0)), "มาจาก Sprint 14", "")</f>
        <v/>
      </c>
      <c r="V42" s="102" t="str">
        <f t="array" ref="V42">IF(ISNUMBER(MATCH(B42, 'Sprint 14'!B:B, 0)), INDEX('Sprint 14'!J:J, MATCH(B42, 'Sprint 14'!B:B, 0)), "")</f>
        <v/>
      </c>
      <c r="W42" s="102"/>
      <c r="X42" s="102" t="s">
        <v>1369</v>
      </c>
    </row>
    <row r="43">
      <c r="A43" s="102" t="s">
        <v>310</v>
      </c>
      <c r="B43" s="102" t="s">
        <v>5702</v>
      </c>
      <c r="C43" s="229" t="s">
        <v>5703</v>
      </c>
      <c r="D43" s="102" t="s">
        <v>5704</v>
      </c>
      <c r="E43" s="102" t="s">
        <v>584</v>
      </c>
      <c r="F43" s="102" t="s">
        <v>585</v>
      </c>
      <c r="G43" s="102" t="s">
        <v>353</v>
      </c>
      <c r="H43" s="102" t="s">
        <v>354</v>
      </c>
      <c r="I43" s="102" t="s">
        <v>284</v>
      </c>
      <c r="J43" s="102" t="s">
        <v>454</v>
      </c>
      <c r="L43" s="229" t="s">
        <v>5705</v>
      </c>
      <c r="M43" s="229" t="s">
        <v>5706</v>
      </c>
      <c r="N43" s="229" t="s">
        <v>2575</v>
      </c>
      <c r="O43" s="102">
        <v>3.0</v>
      </c>
      <c r="T43" s="102">
        <v>28800.0</v>
      </c>
      <c r="U43" s="102" t="str">
        <f>IF(ISNUMBER(MATCH(B43, 'Sprint 14'!B:B, 0)), "มาจาก Sprint 14", "")</f>
        <v/>
      </c>
      <c r="V43" s="102" t="str">
        <f t="array" ref="V43">IF(ISNUMBER(MATCH(B43, 'Sprint 14'!B:B, 0)), INDEX('Sprint 14'!J:J, MATCH(B43, 'Sprint 14'!B:B, 0)), "")</f>
        <v/>
      </c>
      <c r="W43" s="102"/>
      <c r="X43" s="102" t="s">
        <v>5707</v>
      </c>
    </row>
    <row r="44">
      <c r="A44" s="102" t="s">
        <v>310</v>
      </c>
      <c r="B44" s="102" t="s">
        <v>5435</v>
      </c>
      <c r="C44" s="229" t="s">
        <v>5436</v>
      </c>
      <c r="D44" s="102" t="s">
        <v>5437</v>
      </c>
      <c r="E44" s="102" t="s">
        <v>353</v>
      </c>
      <c r="F44" s="102" t="s">
        <v>354</v>
      </c>
      <c r="G44" s="102" t="s">
        <v>353</v>
      </c>
      <c r="H44" s="102" t="s">
        <v>354</v>
      </c>
      <c r="I44" s="102" t="s">
        <v>284</v>
      </c>
      <c r="J44" s="102" t="s">
        <v>34</v>
      </c>
      <c r="L44" s="229" t="s">
        <v>5438</v>
      </c>
      <c r="M44" s="229" t="s">
        <v>5708</v>
      </c>
      <c r="O44" s="102">
        <v>8.0</v>
      </c>
      <c r="T44" s="102"/>
      <c r="U44" s="102" t="str">
        <f>IF(ISNUMBER(MATCH(B44, 'Sprint 14'!B:B, 0)), "มาจาก Sprint 14", "")</f>
        <v/>
      </c>
      <c r="V44" s="102" t="str">
        <f t="array" ref="V44">IF(ISNUMBER(MATCH(B44, 'Sprint 14'!B:B, 0)), INDEX('Sprint 14'!J:J, MATCH(B44, 'Sprint 14'!B:B, 0)), "")</f>
        <v/>
      </c>
      <c r="W44" s="102"/>
      <c r="X44" s="102" t="s">
        <v>2266</v>
      </c>
    </row>
    <row r="45">
      <c r="A45" s="102" t="s">
        <v>310</v>
      </c>
      <c r="B45" s="102" t="s">
        <v>5439</v>
      </c>
      <c r="C45" s="229" t="s">
        <v>5440</v>
      </c>
      <c r="D45" s="102" t="s">
        <v>5441</v>
      </c>
      <c r="E45" s="102" t="s">
        <v>495</v>
      </c>
      <c r="F45" s="102" t="s">
        <v>496</v>
      </c>
      <c r="G45" s="102" t="s">
        <v>314</v>
      </c>
      <c r="H45" s="102" t="s">
        <v>315</v>
      </c>
      <c r="I45" s="102" t="s">
        <v>284</v>
      </c>
      <c r="J45" s="102" t="s">
        <v>454</v>
      </c>
      <c r="L45" s="229" t="s">
        <v>5442</v>
      </c>
      <c r="M45" s="229" t="s">
        <v>5709</v>
      </c>
      <c r="O45" s="102">
        <v>5.0</v>
      </c>
      <c r="T45" s="102">
        <v>57600.0</v>
      </c>
      <c r="U45" s="102" t="str">
        <f>IF(ISNUMBER(MATCH(B45, 'Sprint 14'!B:B, 0)), "มาจาก Sprint 14", "")</f>
        <v/>
      </c>
      <c r="V45" s="102" t="str">
        <f t="array" ref="V45">IF(ISNUMBER(MATCH(B45, 'Sprint 14'!B:B, 0)), INDEX('Sprint 14'!J:J, MATCH(B45, 'Sprint 14'!B:B, 0)), "")</f>
        <v/>
      </c>
      <c r="W45" s="102"/>
      <c r="X45" s="102" t="s">
        <v>1369</v>
      </c>
    </row>
    <row r="46">
      <c r="A46" s="102" t="s">
        <v>310</v>
      </c>
      <c r="B46" s="102" t="s">
        <v>5710</v>
      </c>
      <c r="C46" s="229" t="s">
        <v>5711</v>
      </c>
      <c r="D46" s="102" t="s">
        <v>5712</v>
      </c>
      <c r="E46" s="102" t="s">
        <v>584</v>
      </c>
      <c r="F46" s="102" t="s">
        <v>585</v>
      </c>
      <c r="G46" s="102" t="s">
        <v>353</v>
      </c>
      <c r="H46" s="102" t="s">
        <v>354</v>
      </c>
      <c r="I46" s="102" t="s">
        <v>284</v>
      </c>
      <c r="J46" s="102" t="s">
        <v>26</v>
      </c>
      <c r="L46" s="229" t="s">
        <v>5713</v>
      </c>
      <c r="M46" s="229" t="s">
        <v>5591</v>
      </c>
      <c r="O46" s="102">
        <v>3.0</v>
      </c>
      <c r="P46" s="102"/>
      <c r="T46" s="102">
        <v>28800.0</v>
      </c>
      <c r="U46" s="102" t="str">
        <f>IF(ISNUMBER(MATCH(B46, 'Sprint 14'!B:B, 0)), "มาจาก Sprint 14", "")</f>
        <v/>
      </c>
      <c r="V46" s="102" t="str">
        <f t="array" ref="V46">IF(ISNUMBER(MATCH(B46, 'Sprint 14'!B:B, 0)), INDEX('Sprint 14'!J:J, MATCH(B46, 'Sprint 14'!B:B, 0)), "")</f>
        <v/>
      </c>
      <c r="W46" s="102"/>
      <c r="X46" s="102" t="s">
        <v>2266</v>
      </c>
    </row>
    <row r="47">
      <c r="A47" s="102" t="s">
        <v>310</v>
      </c>
      <c r="B47" s="102" t="s">
        <v>5714</v>
      </c>
      <c r="C47" s="229" t="s">
        <v>5715</v>
      </c>
      <c r="D47" s="102" t="s">
        <v>5716</v>
      </c>
      <c r="E47" s="102" t="s">
        <v>495</v>
      </c>
      <c r="F47" s="102" t="s">
        <v>496</v>
      </c>
      <c r="G47" s="102" t="s">
        <v>353</v>
      </c>
      <c r="H47" s="102" t="s">
        <v>354</v>
      </c>
      <c r="I47" s="102" t="s">
        <v>284</v>
      </c>
      <c r="J47" s="102" t="s">
        <v>26</v>
      </c>
      <c r="L47" s="229" t="s">
        <v>5717</v>
      </c>
      <c r="M47" s="229" t="s">
        <v>5718</v>
      </c>
      <c r="N47" s="102"/>
      <c r="O47" s="102">
        <v>3.0</v>
      </c>
      <c r="P47" s="102"/>
      <c r="Q47" s="102"/>
      <c r="T47" s="102">
        <v>28800.0</v>
      </c>
      <c r="U47" s="102" t="str">
        <f>IF(ISNUMBER(MATCH(B47, 'Sprint 14'!B:B, 0)), "มาจาก Sprint 14", "")</f>
        <v/>
      </c>
      <c r="V47" s="102" t="str">
        <f t="array" ref="V47">IF(ISNUMBER(MATCH(B47, 'Sprint 14'!B:B, 0)), INDEX('Sprint 14'!J:J, MATCH(B47, 'Sprint 14'!B:B, 0)), "")</f>
        <v/>
      </c>
      <c r="W47" s="102"/>
      <c r="X47" s="102" t="s">
        <v>2266</v>
      </c>
    </row>
    <row r="48">
      <c r="A48" s="102" t="s">
        <v>310</v>
      </c>
      <c r="B48" s="102" t="s">
        <v>3046</v>
      </c>
      <c r="C48" s="229" t="s">
        <v>3047</v>
      </c>
      <c r="D48" s="102" t="s">
        <v>3048</v>
      </c>
      <c r="E48" s="102" t="s">
        <v>556</v>
      </c>
      <c r="F48" s="102" t="s">
        <v>557</v>
      </c>
      <c r="G48" s="102" t="s">
        <v>282</v>
      </c>
      <c r="H48" s="102" t="s">
        <v>283</v>
      </c>
      <c r="I48" s="102" t="s">
        <v>284</v>
      </c>
      <c r="J48" s="102" t="s">
        <v>454</v>
      </c>
      <c r="L48" s="229" t="s">
        <v>3049</v>
      </c>
      <c r="M48" s="229" t="s">
        <v>5719</v>
      </c>
      <c r="N48" s="102"/>
      <c r="O48" s="102">
        <v>3.0</v>
      </c>
      <c r="P48" s="102" t="s">
        <v>504</v>
      </c>
      <c r="Q48" s="102"/>
      <c r="T48" s="230"/>
      <c r="U48" s="102" t="str">
        <f>IF(ISNUMBER(MATCH(B48, 'Sprint 14'!B:B, 0)), "มาจาก Sprint 14", "")</f>
        <v/>
      </c>
      <c r="V48" s="102" t="str">
        <f t="array" ref="V48">IF(ISNUMBER(MATCH(B48, 'Sprint 14'!B:B, 0)), INDEX('Sprint 14'!J:J, MATCH(B48, 'Sprint 14'!B:B, 0)), "")</f>
        <v/>
      </c>
      <c r="W48" s="230"/>
      <c r="X48" s="102" t="s">
        <v>3051</v>
      </c>
    </row>
    <row r="49">
      <c r="A49" s="102" t="s">
        <v>332</v>
      </c>
      <c r="B49" s="102" t="s">
        <v>5720</v>
      </c>
      <c r="C49" s="229" t="s">
        <v>5721</v>
      </c>
      <c r="D49" s="102" t="s">
        <v>5722</v>
      </c>
      <c r="E49" s="102" t="s">
        <v>584</v>
      </c>
      <c r="F49" s="102" t="s">
        <v>585</v>
      </c>
      <c r="G49" s="102" t="s">
        <v>316</v>
      </c>
      <c r="H49" s="102" t="s">
        <v>317</v>
      </c>
      <c r="I49" s="102" t="s">
        <v>648</v>
      </c>
      <c r="J49" s="102" t="s">
        <v>922</v>
      </c>
      <c r="L49" s="229" t="s">
        <v>5723</v>
      </c>
      <c r="M49" s="229" t="s">
        <v>5724</v>
      </c>
      <c r="N49" s="229" t="s">
        <v>5290</v>
      </c>
      <c r="O49" s="102">
        <v>1.0</v>
      </c>
      <c r="P49" s="102" t="s">
        <v>4656</v>
      </c>
      <c r="Q49" s="102" t="s">
        <v>504</v>
      </c>
      <c r="T49" s="230"/>
      <c r="U49" s="102" t="str">
        <f>IF(ISNUMBER(MATCH(B49, 'Sprint 14'!B:B, 0)), "มาจาก Sprint 14", "")</f>
        <v/>
      </c>
      <c r="V49" s="102" t="str">
        <f t="array" ref="V49">IF(ISNUMBER(MATCH(B49, 'Sprint 14'!B:B, 0)), INDEX('Sprint 14'!J:J, MATCH(B49, 'Sprint 14'!B:B, 0)), "")</f>
        <v/>
      </c>
      <c r="W49" s="230"/>
      <c r="X49" s="102" t="s">
        <v>2266</v>
      </c>
    </row>
    <row r="50">
      <c r="A50" s="102" t="s">
        <v>310</v>
      </c>
      <c r="B50" s="102" t="s">
        <v>5725</v>
      </c>
      <c r="C50" s="229" t="s">
        <v>5726</v>
      </c>
      <c r="D50" s="102" t="s">
        <v>5727</v>
      </c>
      <c r="E50" s="102" t="s">
        <v>513</v>
      </c>
      <c r="F50" s="102" t="s">
        <v>514</v>
      </c>
      <c r="G50" s="102" t="s">
        <v>513</v>
      </c>
      <c r="H50" s="102" t="s">
        <v>514</v>
      </c>
      <c r="I50" s="102" t="s">
        <v>284</v>
      </c>
      <c r="J50" s="102" t="s">
        <v>26</v>
      </c>
      <c r="L50" s="229" t="s">
        <v>5728</v>
      </c>
      <c r="M50" s="229" t="s">
        <v>5674</v>
      </c>
      <c r="N50" s="102"/>
      <c r="O50" s="102">
        <v>3.0</v>
      </c>
      <c r="P50" s="102" t="s">
        <v>593</v>
      </c>
      <c r="T50" s="102"/>
      <c r="U50" s="102" t="str">
        <f>IF(ISNUMBER(MATCH(B50, 'Sprint 14'!B:B, 0)), "มาจาก Sprint 14", "")</f>
        <v/>
      </c>
      <c r="V50" s="102" t="str">
        <f t="array" ref="V50">IF(ISNUMBER(MATCH(B50, 'Sprint 14'!B:B, 0)), INDEX('Sprint 14'!J:J, MATCH(B50, 'Sprint 14'!B:B, 0)), "")</f>
        <v/>
      </c>
      <c r="W50" s="102"/>
      <c r="X50" s="102" t="s">
        <v>5629</v>
      </c>
    </row>
    <row r="51">
      <c r="A51" s="102" t="s">
        <v>310</v>
      </c>
      <c r="B51" s="102" t="s">
        <v>5729</v>
      </c>
      <c r="C51" s="229" t="s">
        <v>5730</v>
      </c>
      <c r="D51" s="102" t="s">
        <v>5731</v>
      </c>
      <c r="E51" s="102" t="s">
        <v>282</v>
      </c>
      <c r="F51" s="102" t="s">
        <v>283</v>
      </c>
      <c r="G51" s="102" t="s">
        <v>282</v>
      </c>
      <c r="H51" s="102" t="s">
        <v>283</v>
      </c>
      <c r="I51" s="102" t="s">
        <v>515</v>
      </c>
      <c r="J51" s="102" t="s">
        <v>63</v>
      </c>
      <c r="L51" s="229" t="s">
        <v>5732</v>
      </c>
      <c r="M51" s="229" t="s">
        <v>5733</v>
      </c>
      <c r="N51" s="229" t="s">
        <v>5664</v>
      </c>
      <c r="O51" s="102"/>
      <c r="T51" s="102"/>
      <c r="U51" s="102" t="str">
        <f>IF(ISNUMBER(MATCH(B51, 'Sprint 14'!B:B, 0)), "มาจาก Sprint 14", "")</f>
        <v/>
      </c>
      <c r="V51" s="102" t="str">
        <f t="array" ref="V51">IF(ISNUMBER(MATCH(B51, 'Sprint 14'!B:B, 0)), INDEX('Sprint 14'!J:J, MATCH(B51, 'Sprint 14'!B:B, 0)), "")</f>
        <v/>
      </c>
      <c r="W51" s="102"/>
      <c r="X51" s="102" t="s">
        <v>2266</v>
      </c>
      <c r="Y51" s="102"/>
    </row>
    <row r="52">
      <c r="A52" s="102" t="s">
        <v>310</v>
      </c>
      <c r="B52" s="102" t="s">
        <v>5734</v>
      </c>
      <c r="C52" s="229" t="s">
        <v>5735</v>
      </c>
      <c r="D52" s="102" t="s">
        <v>5736</v>
      </c>
      <c r="E52" s="102" t="s">
        <v>328</v>
      </c>
      <c r="F52" s="102" t="s">
        <v>329</v>
      </c>
      <c r="G52" s="102" t="s">
        <v>282</v>
      </c>
      <c r="H52" s="102" t="s">
        <v>283</v>
      </c>
      <c r="I52" s="102" t="s">
        <v>284</v>
      </c>
      <c r="J52" s="102" t="s">
        <v>26</v>
      </c>
      <c r="L52" s="229" t="s">
        <v>5737</v>
      </c>
      <c r="M52" s="229" t="s">
        <v>5738</v>
      </c>
      <c r="N52" s="229" t="s">
        <v>2575</v>
      </c>
      <c r="O52" s="102">
        <v>2.0</v>
      </c>
      <c r="T52" s="102">
        <v>14400.0</v>
      </c>
      <c r="U52" s="102" t="str">
        <f>IF(ISNUMBER(MATCH(B52, 'Sprint 14'!B:B, 0)), "มาจาก Sprint 14", "")</f>
        <v/>
      </c>
      <c r="V52" s="102" t="str">
        <f t="array" ref="V52">IF(ISNUMBER(MATCH(B52, 'Sprint 14'!B:B, 0)), INDEX('Sprint 14'!J:J, MATCH(B52, 'Sprint 14'!B:B, 0)), "")</f>
        <v/>
      </c>
      <c r="W52" s="102"/>
      <c r="X52" s="102" t="s">
        <v>3051</v>
      </c>
      <c r="Y52" s="102"/>
    </row>
    <row r="53">
      <c r="A53" s="102" t="s">
        <v>310</v>
      </c>
      <c r="B53" s="102" t="s">
        <v>5444</v>
      </c>
      <c r="C53" s="229" t="s">
        <v>5445</v>
      </c>
      <c r="D53" s="102" t="s">
        <v>5446</v>
      </c>
      <c r="E53" s="102" t="s">
        <v>328</v>
      </c>
      <c r="F53" s="102" t="s">
        <v>329</v>
      </c>
      <c r="G53" s="102" t="s">
        <v>314</v>
      </c>
      <c r="H53" s="102" t="s">
        <v>315</v>
      </c>
      <c r="I53" s="102" t="s">
        <v>284</v>
      </c>
      <c r="J53" s="102" t="s">
        <v>454</v>
      </c>
      <c r="L53" s="229" t="s">
        <v>5447</v>
      </c>
      <c r="M53" s="229" t="s">
        <v>5739</v>
      </c>
      <c r="N53" s="229" t="s">
        <v>5448</v>
      </c>
      <c r="O53" s="102">
        <v>1.0</v>
      </c>
      <c r="T53" s="102">
        <v>0.0</v>
      </c>
      <c r="U53" s="102" t="str">
        <f>IF(ISNUMBER(MATCH(B53, 'Sprint 14'!B:B, 0)), "มาจาก Sprint 14", "")</f>
        <v>มาจาก Sprint 14</v>
      </c>
      <c r="V53" s="102" t="str">
        <f t="array" ref="V53">IF(ISNUMBER(MATCH(B53, 'Sprint 14'!B:B, 0)), INDEX('Sprint 14'!J:J, MATCH(B53, 'Sprint 14'!B:B, 0)), "")</f>
        <v>Ready To Test</v>
      </c>
      <c r="W53" s="102">
        <v>7200.0</v>
      </c>
      <c r="X53" s="102" t="s">
        <v>1368</v>
      </c>
      <c r="Y53" s="102" t="s">
        <v>1369</v>
      </c>
    </row>
    <row r="54">
      <c r="A54" s="102" t="s">
        <v>310</v>
      </c>
      <c r="B54" s="102" t="s">
        <v>5449</v>
      </c>
      <c r="C54" s="229" t="s">
        <v>2572</v>
      </c>
      <c r="D54" s="102" t="s">
        <v>5450</v>
      </c>
      <c r="E54" s="102" t="s">
        <v>564</v>
      </c>
      <c r="F54" s="102" t="s">
        <v>565</v>
      </c>
      <c r="G54" s="102" t="s">
        <v>282</v>
      </c>
      <c r="H54" s="102" t="s">
        <v>283</v>
      </c>
      <c r="I54" s="102" t="s">
        <v>515</v>
      </c>
      <c r="J54" s="102" t="s">
        <v>678</v>
      </c>
      <c r="L54" s="229" t="s">
        <v>2574</v>
      </c>
      <c r="M54" s="229" t="s">
        <v>2566</v>
      </c>
      <c r="N54" s="229" t="s">
        <v>2575</v>
      </c>
      <c r="O54" s="102">
        <v>3.0</v>
      </c>
      <c r="P54" s="102"/>
      <c r="Q54" s="102"/>
      <c r="R54" s="102"/>
      <c r="S54" s="102"/>
      <c r="T54" s="102">
        <v>28800.0</v>
      </c>
      <c r="U54" s="102" t="str">
        <f>IF(ISNUMBER(MATCH(B54, 'Sprint 14'!B:B, 0)), "มาจาก Sprint 14", "")</f>
        <v/>
      </c>
      <c r="V54" s="102" t="str">
        <f t="array" ref="V54">IF(ISNUMBER(MATCH(B54, 'Sprint 14'!B:B, 0)), INDEX('Sprint 14'!J:J, MATCH(B54, 'Sprint 14'!B:B, 0)), "")</f>
        <v/>
      </c>
      <c r="W54" s="102"/>
      <c r="X54" s="102" t="s">
        <v>2266</v>
      </c>
      <c r="Y54" s="102"/>
    </row>
    <row r="55">
      <c r="A55" s="102" t="s">
        <v>310</v>
      </c>
      <c r="B55" s="102" t="s">
        <v>5452</v>
      </c>
      <c r="C55" s="229" t="s">
        <v>5453</v>
      </c>
      <c r="D55" s="102" t="s">
        <v>5454</v>
      </c>
      <c r="E55" s="102" t="s">
        <v>495</v>
      </c>
      <c r="F55" s="102" t="s">
        <v>496</v>
      </c>
      <c r="G55" s="102" t="s">
        <v>353</v>
      </c>
      <c r="H55" s="102" t="s">
        <v>354</v>
      </c>
      <c r="I55" s="102" t="s">
        <v>284</v>
      </c>
      <c r="J55" s="102" t="s">
        <v>454</v>
      </c>
      <c r="L55" s="229" t="s">
        <v>5455</v>
      </c>
      <c r="M55" s="229" t="s">
        <v>5740</v>
      </c>
      <c r="O55" s="102">
        <v>3.0</v>
      </c>
      <c r="T55" s="102">
        <v>0.0</v>
      </c>
      <c r="U55" s="102" t="str">
        <f>IF(ISNUMBER(MATCH(B55, 'Sprint 14'!B:B, 0)), "มาจาก Sprint 14", "")</f>
        <v>มาจาก Sprint 14</v>
      </c>
      <c r="V55" s="102" t="str">
        <f t="array" ref="V55">IF(ISNUMBER(MATCH(B55, 'Sprint 14'!B:B, 0)), INDEX('Sprint 14'!J:J, MATCH(B55, 'Sprint 14'!B:B, 0)), "")</f>
        <v>Ready To Test</v>
      </c>
      <c r="W55" s="102">
        <v>28800.0</v>
      </c>
      <c r="X55" s="102" t="s">
        <v>4657</v>
      </c>
      <c r="Y55" s="102" t="s">
        <v>2266</v>
      </c>
    </row>
    <row r="56">
      <c r="A56" s="102" t="s">
        <v>630</v>
      </c>
      <c r="B56" s="102" t="s">
        <v>2180</v>
      </c>
      <c r="C56" s="229" t="s">
        <v>2181</v>
      </c>
      <c r="D56" s="102" t="s">
        <v>2182</v>
      </c>
      <c r="E56" s="102"/>
      <c r="F56" s="102"/>
      <c r="G56" s="102" t="s">
        <v>304</v>
      </c>
      <c r="H56" s="102" t="s">
        <v>305</v>
      </c>
      <c r="I56" s="102" t="s">
        <v>284</v>
      </c>
      <c r="J56" s="102" t="s">
        <v>63</v>
      </c>
      <c r="L56" s="229" t="s">
        <v>2183</v>
      </c>
      <c r="M56" s="229" t="s">
        <v>5741</v>
      </c>
      <c r="O56" s="102"/>
      <c r="T56" s="102"/>
      <c r="U56" s="102" t="str">
        <f>IF(ISNUMBER(MATCH(B56, 'Sprint 14'!B:B, 0)), "มาจาก Sprint 14", "")</f>
        <v>มาจาก Sprint 14</v>
      </c>
      <c r="V56" s="102" t="str">
        <f t="array" ref="V56">IF(ISNUMBER(MATCH(B56, 'Sprint 14'!B:B, 0)), INDEX('Sprint 14'!J:J, MATCH(B56, 'Sprint 14'!B:B, 0)), "")</f>
        <v>To Do</v>
      </c>
      <c r="W56" s="102"/>
      <c r="X56" s="102" t="s">
        <v>2185</v>
      </c>
      <c r="Y56" s="102" t="s">
        <v>2186</v>
      </c>
    </row>
    <row r="57">
      <c r="A57" s="102" t="s">
        <v>332</v>
      </c>
      <c r="B57" s="102" t="s">
        <v>3053</v>
      </c>
      <c r="C57" s="229" t="s">
        <v>3054</v>
      </c>
      <c r="D57" s="102" t="s">
        <v>3055</v>
      </c>
      <c r="E57" s="102" t="s">
        <v>495</v>
      </c>
      <c r="F57" s="102" t="s">
        <v>496</v>
      </c>
      <c r="G57" s="102" t="s">
        <v>304</v>
      </c>
      <c r="H57" s="102" t="s">
        <v>305</v>
      </c>
      <c r="I57" s="102" t="s">
        <v>284</v>
      </c>
      <c r="J57" s="102" t="s">
        <v>922</v>
      </c>
      <c r="L57" s="229" t="s">
        <v>3056</v>
      </c>
      <c r="M57" s="229" t="s">
        <v>5741</v>
      </c>
      <c r="N57" s="102"/>
      <c r="O57" s="102">
        <v>2.0</v>
      </c>
      <c r="P57" s="102"/>
      <c r="Q57" s="102"/>
      <c r="R57" s="102"/>
      <c r="S57" s="102"/>
      <c r="T57" s="230"/>
      <c r="U57" s="102" t="str">
        <f>IF(ISNUMBER(MATCH(B57, 'Sprint 14'!B:B, 0)), "มาจาก Sprint 14", "")</f>
        <v>มาจาก Sprint 14</v>
      </c>
      <c r="V57" s="102" t="str">
        <f t="array" ref="V57">IF(ISNUMBER(MATCH(B57, 'Sprint 14'!B:B, 0)), INDEX('Sprint 14'!J:J, MATCH(B57, 'Sprint 14'!B:B, 0)), "")</f>
        <v>Resolved</v>
      </c>
      <c r="W57" s="230"/>
      <c r="X57" s="102" t="s">
        <v>2185</v>
      </c>
      <c r="Y57" s="102" t="s">
        <v>2186</v>
      </c>
    </row>
    <row r="58">
      <c r="A58" s="102" t="s">
        <v>332</v>
      </c>
      <c r="B58" s="102" t="s">
        <v>5742</v>
      </c>
      <c r="C58" s="229" t="s">
        <v>5743</v>
      </c>
      <c r="D58" s="102" t="s">
        <v>5744</v>
      </c>
      <c r="E58" s="102" t="s">
        <v>564</v>
      </c>
      <c r="F58" s="102" t="s">
        <v>565</v>
      </c>
      <c r="G58" s="102" t="s">
        <v>316</v>
      </c>
      <c r="H58" s="102" t="s">
        <v>317</v>
      </c>
      <c r="I58" s="102" t="s">
        <v>648</v>
      </c>
      <c r="J58" s="102" t="s">
        <v>336</v>
      </c>
      <c r="L58" s="229" t="s">
        <v>5745</v>
      </c>
      <c r="M58" s="229" t="s">
        <v>5690</v>
      </c>
      <c r="N58" s="229" t="s">
        <v>5746</v>
      </c>
      <c r="O58" s="102">
        <v>1.0</v>
      </c>
      <c r="P58" s="102" t="s">
        <v>4656</v>
      </c>
      <c r="Q58" s="102" t="s">
        <v>367</v>
      </c>
      <c r="R58" s="102" t="s">
        <v>783</v>
      </c>
      <c r="S58" s="102" t="s">
        <v>504</v>
      </c>
      <c r="T58" s="102"/>
      <c r="U58" s="102" t="str">
        <f>IF(ISNUMBER(MATCH(B58, 'Sprint 14'!B:B, 0)), "มาจาก Sprint 14", "")</f>
        <v>มาจาก Sprint 14</v>
      </c>
      <c r="V58" s="102" t="str">
        <f t="array" ref="V58">IF(ISNUMBER(MATCH(B58, 'Sprint 14'!B:B, 0)), INDEX('Sprint 14'!J:J, MATCH(B58, 'Sprint 14'!B:B, 0)), "")</f>
        <v>Resolved</v>
      </c>
      <c r="W58" s="102"/>
      <c r="X58" s="102" t="s">
        <v>4657</v>
      </c>
      <c r="Y58" s="102" t="s">
        <v>2266</v>
      </c>
    </row>
    <row r="59">
      <c r="A59" s="102" t="s">
        <v>310</v>
      </c>
      <c r="B59" s="102" t="s">
        <v>4902</v>
      </c>
      <c r="C59" s="229" t="s">
        <v>4903</v>
      </c>
      <c r="D59" s="102" t="s">
        <v>4904</v>
      </c>
      <c r="E59" s="102" t="s">
        <v>564</v>
      </c>
      <c r="F59" s="102" t="s">
        <v>565</v>
      </c>
      <c r="G59" s="102" t="s">
        <v>316</v>
      </c>
      <c r="H59" s="102" t="s">
        <v>317</v>
      </c>
      <c r="I59" s="102" t="s">
        <v>284</v>
      </c>
      <c r="J59" s="102" t="s">
        <v>678</v>
      </c>
      <c r="L59" s="229" t="s">
        <v>4905</v>
      </c>
      <c r="M59" s="229" t="s">
        <v>5747</v>
      </c>
      <c r="O59" s="102">
        <v>3.0</v>
      </c>
      <c r="T59" s="102">
        <v>28800.0</v>
      </c>
      <c r="U59" s="102" t="str">
        <f>IF(ISNUMBER(MATCH(B59, 'Sprint 14'!B:B, 0)), "มาจาก Sprint 14", "")</f>
        <v/>
      </c>
      <c r="V59" s="102" t="str">
        <f t="array" ref="V59">IF(ISNUMBER(MATCH(B59, 'Sprint 14'!B:B, 0)), INDEX('Sprint 14'!J:J, MATCH(B59, 'Sprint 14'!B:B, 0)), "")</f>
        <v/>
      </c>
      <c r="W59" s="102"/>
      <c r="X59" s="102" t="s">
        <v>2266</v>
      </c>
      <c r="Y59" s="102"/>
    </row>
    <row r="60">
      <c r="A60" s="102" t="s">
        <v>310</v>
      </c>
      <c r="B60" s="102" t="s">
        <v>5457</v>
      </c>
      <c r="C60" s="229" t="s">
        <v>5458</v>
      </c>
      <c r="D60" s="102" t="s">
        <v>5459</v>
      </c>
      <c r="E60" s="102" t="s">
        <v>495</v>
      </c>
      <c r="F60" s="102" t="s">
        <v>496</v>
      </c>
      <c r="G60" s="102" t="s">
        <v>353</v>
      </c>
      <c r="H60" s="102" t="s">
        <v>354</v>
      </c>
      <c r="I60" s="102" t="s">
        <v>284</v>
      </c>
      <c r="J60" s="102" t="s">
        <v>454</v>
      </c>
      <c r="L60" s="229" t="s">
        <v>5460</v>
      </c>
      <c r="M60" s="229" t="s">
        <v>5740</v>
      </c>
      <c r="O60" s="102">
        <v>3.0</v>
      </c>
      <c r="T60" s="102">
        <v>0.0</v>
      </c>
      <c r="U60" s="102" t="str">
        <f>IF(ISNUMBER(MATCH(B60, 'Sprint 14'!B:B, 0)), "มาจาก Sprint 14", "")</f>
        <v>มาจาก Sprint 14</v>
      </c>
      <c r="V60" s="102" t="str">
        <f t="array" ref="V60">IF(ISNUMBER(MATCH(B60, 'Sprint 14'!B:B, 0)), INDEX('Sprint 14'!J:J, MATCH(B60, 'Sprint 14'!B:B, 0)), "")</f>
        <v>Ready To Test</v>
      </c>
      <c r="W60" s="102">
        <v>28800.0</v>
      </c>
      <c r="X60" s="102" t="s">
        <v>4657</v>
      </c>
      <c r="Y60" s="102" t="s">
        <v>2266</v>
      </c>
    </row>
    <row r="61">
      <c r="A61" s="102" t="s">
        <v>1465</v>
      </c>
      <c r="B61" s="102" t="s">
        <v>5462</v>
      </c>
      <c r="C61" s="229" t="s">
        <v>5463</v>
      </c>
      <c r="D61" s="102" t="s">
        <v>5464</v>
      </c>
      <c r="E61" s="102"/>
      <c r="F61" s="102"/>
      <c r="G61" s="102" t="s">
        <v>3288</v>
      </c>
      <c r="H61" s="102" t="s">
        <v>3289</v>
      </c>
      <c r="I61" s="102" t="s">
        <v>284</v>
      </c>
      <c r="J61" s="102" t="s">
        <v>63</v>
      </c>
      <c r="L61" s="229" t="s">
        <v>5465</v>
      </c>
      <c r="M61" s="229" t="s">
        <v>5740</v>
      </c>
      <c r="O61" s="230"/>
      <c r="T61" s="230"/>
      <c r="U61" s="102" t="str">
        <f>IF(ISNUMBER(MATCH(B61, 'Sprint 14'!B:B, 0)), "มาจาก Sprint 14", "")</f>
        <v>มาจาก Sprint 14</v>
      </c>
      <c r="V61" s="102" t="str">
        <f t="array" ref="V61">IF(ISNUMBER(MATCH(B61, 'Sprint 14'!B:B, 0)), INDEX('Sprint 14'!J:J, MATCH(B61, 'Sprint 14'!B:B, 0)), "")</f>
        <v>To Do</v>
      </c>
      <c r="W61" s="230"/>
      <c r="X61" s="102" t="s">
        <v>4657</v>
      </c>
      <c r="Y61" s="102" t="s">
        <v>2266</v>
      </c>
    </row>
    <row r="62">
      <c r="A62" s="102" t="s">
        <v>276</v>
      </c>
      <c r="B62" s="102" t="s">
        <v>5467</v>
      </c>
      <c r="C62" s="229" t="s">
        <v>5468</v>
      </c>
      <c r="D62" s="102" t="s">
        <v>5469</v>
      </c>
      <c r="E62" s="102" t="s">
        <v>328</v>
      </c>
      <c r="F62" s="102" t="s">
        <v>329</v>
      </c>
      <c r="G62" s="102" t="s">
        <v>328</v>
      </c>
      <c r="H62" s="102" t="s">
        <v>329</v>
      </c>
      <c r="I62" s="102" t="s">
        <v>284</v>
      </c>
      <c r="J62" s="102" t="s">
        <v>26</v>
      </c>
      <c r="L62" s="229" t="s">
        <v>5470</v>
      </c>
      <c r="M62" s="229" t="s">
        <v>5471</v>
      </c>
      <c r="O62" s="230"/>
      <c r="T62" s="230"/>
      <c r="U62" s="102" t="str">
        <f>IF(ISNUMBER(MATCH(B62, 'Sprint 14'!B:B, 0)), "มาจาก Sprint 14", "")</f>
        <v>มาจาก Sprint 14</v>
      </c>
      <c r="V62" s="102" t="str">
        <f t="array" ref="V62">IF(ISNUMBER(MATCH(B62, 'Sprint 14'!B:B, 0)), INDEX('Sprint 14'!J:J, MATCH(B62, 'Sprint 14'!B:B, 0)), "")</f>
        <v>Done</v>
      </c>
      <c r="W62" s="230"/>
      <c r="X62" s="102" t="s">
        <v>1368</v>
      </c>
      <c r="Y62" s="102" t="s">
        <v>1369</v>
      </c>
    </row>
    <row r="63">
      <c r="A63" s="102" t="s">
        <v>276</v>
      </c>
      <c r="B63" s="102" t="s">
        <v>5472</v>
      </c>
      <c r="C63" s="229" t="s">
        <v>5473</v>
      </c>
      <c r="D63" s="102" t="s">
        <v>5474</v>
      </c>
      <c r="E63" s="102" t="s">
        <v>328</v>
      </c>
      <c r="F63" s="102" t="s">
        <v>329</v>
      </c>
      <c r="G63" s="102" t="s">
        <v>328</v>
      </c>
      <c r="H63" s="102" t="s">
        <v>329</v>
      </c>
      <c r="I63" s="102" t="s">
        <v>284</v>
      </c>
      <c r="J63" s="102" t="s">
        <v>26</v>
      </c>
      <c r="L63" s="229" t="s">
        <v>5470</v>
      </c>
      <c r="M63" s="229" t="s">
        <v>5471</v>
      </c>
      <c r="O63" s="230"/>
      <c r="T63" s="230"/>
      <c r="U63" s="102" t="str">
        <f>IF(ISNUMBER(MATCH(B63, 'Sprint 14'!B:B, 0)), "มาจาก Sprint 14", "")</f>
        <v>มาจาก Sprint 14</v>
      </c>
      <c r="V63" s="102" t="str">
        <f t="array" ref="V63">IF(ISNUMBER(MATCH(B63, 'Sprint 14'!B:B, 0)), INDEX('Sprint 14'!J:J, MATCH(B63, 'Sprint 14'!B:B, 0)), "")</f>
        <v>Done</v>
      </c>
      <c r="W63" s="230"/>
      <c r="X63" s="102" t="s">
        <v>1368</v>
      </c>
      <c r="Y63" s="102" t="s">
        <v>1369</v>
      </c>
    </row>
    <row r="64">
      <c r="A64" s="102" t="s">
        <v>276</v>
      </c>
      <c r="B64" s="102" t="s">
        <v>5475</v>
      </c>
      <c r="C64" s="229" t="s">
        <v>5476</v>
      </c>
      <c r="D64" s="102" t="s">
        <v>5477</v>
      </c>
      <c r="E64" s="102" t="s">
        <v>328</v>
      </c>
      <c r="F64" s="102" t="s">
        <v>329</v>
      </c>
      <c r="G64" s="102" t="s">
        <v>328</v>
      </c>
      <c r="H64" s="102" t="s">
        <v>329</v>
      </c>
      <c r="I64" s="102" t="s">
        <v>284</v>
      </c>
      <c r="J64" s="102" t="s">
        <v>26</v>
      </c>
      <c r="L64" s="229" t="s">
        <v>5478</v>
      </c>
      <c r="M64" s="229" t="s">
        <v>5479</v>
      </c>
      <c r="O64" s="230"/>
      <c r="T64" s="230"/>
      <c r="U64" s="102" t="str">
        <f>IF(ISNUMBER(MATCH(B64, 'Sprint 14'!B:B, 0)), "มาจาก Sprint 14", "")</f>
        <v>มาจาก Sprint 14</v>
      </c>
      <c r="V64" s="102" t="str">
        <f t="array" ref="V64">IF(ISNUMBER(MATCH(B64, 'Sprint 14'!B:B, 0)), INDEX('Sprint 14'!J:J, MATCH(B64, 'Sprint 14'!B:B, 0)), "")</f>
        <v>Done</v>
      </c>
      <c r="W64" s="230"/>
      <c r="X64" s="102" t="s">
        <v>1368</v>
      </c>
      <c r="Y64" s="102" t="s">
        <v>1369</v>
      </c>
      <c r="Z64" s="102"/>
    </row>
    <row r="65">
      <c r="A65" s="102" t="s">
        <v>276</v>
      </c>
      <c r="B65" s="102" t="s">
        <v>5480</v>
      </c>
      <c r="C65" s="229" t="s">
        <v>5481</v>
      </c>
      <c r="D65" s="102" t="s">
        <v>5482</v>
      </c>
      <c r="E65" s="102" t="s">
        <v>328</v>
      </c>
      <c r="F65" s="102" t="s">
        <v>329</v>
      </c>
      <c r="G65" s="102" t="s">
        <v>328</v>
      </c>
      <c r="H65" s="102" t="s">
        <v>329</v>
      </c>
      <c r="I65" s="102" t="s">
        <v>284</v>
      </c>
      <c r="J65" s="102" t="s">
        <v>26</v>
      </c>
      <c r="L65" s="229" t="s">
        <v>5478</v>
      </c>
      <c r="M65" s="229" t="s">
        <v>5471</v>
      </c>
      <c r="O65" s="230"/>
      <c r="T65" s="230"/>
      <c r="U65" s="102" t="str">
        <f>IF(ISNUMBER(MATCH(B65, 'Sprint 14'!B:B, 0)), "มาจาก Sprint 14", "")</f>
        <v>มาจาก Sprint 14</v>
      </c>
      <c r="V65" s="102" t="str">
        <f t="array" ref="V65">IF(ISNUMBER(MATCH(B65, 'Sprint 14'!B:B, 0)), INDEX('Sprint 14'!J:J, MATCH(B65, 'Sprint 14'!B:B, 0)), "")</f>
        <v>Done</v>
      </c>
      <c r="W65" s="230"/>
      <c r="X65" s="102" t="s">
        <v>1368</v>
      </c>
      <c r="Y65" s="102" t="s">
        <v>1369</v>
      </c>
      <c r="Z65" s="102"/>
    </row>
    <row r="66">
      <c r="A66" s="102" t="s">
        <v>276</v>
      </c>
      <c r="B66" s="102" t="s">
        <v>5483</v>
      </c>
      <c r="C66" s="229" t="s">
        <v>5484</v>
      </c>
      <c r="D66" s="102" t="s">
        <v>5485</v>
      </c>
      <c r="E66" s="102" t="s">
        <v>328</v>
      </c>
      <c r="F66" s="102" t="s">
        <v>329</v>
      </c>
      <c r="G66" s="102" t="s">
        <v>328</v>
      </c>
      <c r="H66" s="102" t="s">
        <v>329</v>
      </c>
      <c r="I66" s="102" t="s">
        <v>284</v>
      </c>
      <c r="J66" s="102" t="s">
        <v>26</v>
      </c>
      <c r="L66" s="229" t="s">
        <v>5478</v>
      </c>
      <c r="M66" s="229" t="s">
        <v>5471</v>
      </c>
      <c r="O66" s="230"/>
      <c r="T66" s="230"/>
      <c r="U66" s="102" t="str">
        <f>IF(ISNUMBER(MATCH(B66, 'Sprint 14'!B:B, 0)), "มาจาก Sprint 14", "")</f>
        <v>มาจาก Sprint 14</v>
      </c>
      <c r="V66" s="102" t="str">
        <f t="array" ref="V66">IF(ISNUMBER(MATCH(B66, 'Sprint 14'!B:B, 0)), INDEX('Sprint 14'!J:J, MATCH(B66, 'Sprint 14'!B:B, 0)), "")</f>
        <v>Done</v>
      </c>
      <c r="W66" s="230"/>
      <c r="X66" s="102" t="s">
        <v>1368</v>
      </c>
      <c r="Y66" s="102" t="s">
        <v>1369</v>
      </c>
      <c r="Z66" s="102"/>
    </row>
    <row r="67">
      <c r="A67" s="102" t="s">
        <v>276</v>
      </c>
      <c r="B67" s="102" t="s">
        <v>5486</v>
      </c>
      <c r="C67" s="229" t="s">
        <v>5487</v>
      </c>
      <c r="D67" s="102" t="s">
        <v>5488</v>
      </c>
      <c r="E67" s="102" t="s">
        <v>328</v>
      </c>
      <c r="F67" s="102" t="s">
        <v>329</v>
      </c>
      <c r="G67" s="102" t="s">
        <v>328</v>
      </c>
      <c r="H67" s="102" t="s">
        <v>329</v>
      </c>
      <c r="I67" s="102" t="s">
        <v>284</v>
      </c>
      <c r="J67" s="102" t="s">
        <v>26</v>
      </c>
      <c r="L67" s="229" t="s">
        <v>5478</v>
      </c>
      <c r="M67" s="229" t="s">
        <v>5479</v>
      </c>
      <c r="O67" s="230"/>
      <c r="T67" s="230"/>
      <c r="U67" s="102" t="str">
        <f>IF(ISNUMBER(MATCH(B67, 'Sprint 14'!B:B, 0)), "มาจาก Sprint 14", "")</f>
        <v>มาจาก Sprint 14</v>
      </c>
      <c r="V67" s="102" t="str">
        <f t="array" ref="V67">IF(ISNUMBER(MATCH(B67, 'Sprint 14'!B:B, 0)), INDEX('Sprint 14'!J:J, MATCH(B67, 'Sprint 14'!B:B, 0)), "")</f>
        <v>Done</v>
      </c>
      <c r="W67" s="230"/>
      <c r="X67" s="102" t="s">
        <v>1368</v>
      </c>
      <c r="Y67" s="102" t="s">
        <v>1369</v>
      </c>
      <c r="Z67" s="102"/>
    </row>
    <row r="68">
      <c r="A68" s="102" t="s">
        <v>276</v>
      </c>
      <c r="B68" s="102" t="s">
        <v>5748</v>
      </c>
      <c r="C68" s="229" t="s">
        <v>5749</v>
      </c>
      <c r="D68" s="102" t="s">
        <v>1567</v>
      </c>
      <c r="E68" s="102" t="s">
        <v>3288</v>
      </c>
      <c r="F68" s="102" t="s">
        <v>3289</v>
      </c>
      <c r="G68" s="102" t="s">
        <v>3288</v>
      </c>
      <c r="H68" s="102" t="s">
        <v>3289</v>
      </c>
      <c r="I68" s="102" t="s">
        <v>284</v>
      </c>
      <c r="J68" s="102" t="s">
        <v>26</v>
      </c>
      <c r="L68" s="229" t="s">
        <v>5750</v>
      </c>
      <c r="M68" s="229" t="s">
        <v>5751</v>
      </c>
      <c r="O68" s="230"/>
      <c r="T68" s="230"/>
      <c r="U68" s="102" t="str">
        <f>IF(ISNUMBER(MATCH(B68, 'Sprint 14'!B:B, 0)), "มาจาก Sprint 14", "")</f>
        <v>มาจาก Sprint 14</v>
      </c>
      <c r="V68" s="102" t="str">
        <f t="array" ref="V68">IF(ISNUMBER(MATCH(B68, 'Sprint 14'!B:B, 0)), INDEX('Sprint 14'!J:J, MATCH(B68, 'Sprint 14'!B:B, 0)), "")</f>
        <v>To Do</v>
      </c>
      <c r="W68" s="230"/>
      <c r="X68" s="102" t="s">
        <v>4919</v>
      </c>
      <c r="Y68" s="102" t="s">
        <v>4657</v>
      </c>
      <c r="Z68" s="102" t="s">
        <v>2266</v>
      </c>
    </row>
    <row r="69">
      <c r="A69" s="102" t="s">
        <v>276</v>
      </c>
      <c r="B69" s="102" t="s">
        <v>5752</v>
      </c>
      <c r="C69" s="229" t="s">
        <v>5753</v>
      </c>
      <c r="D69" s="102" t="s">
        <v>4345</v>
      </c>
      <c r="E69" s="102" t="s">
        <v>3288</v>
      </c>
      <c r="F69" s="102" t="s">
        <v>3289</v>
      </c>
      <c r="G69" s="102" t="s">
        <v>3288</v>
      </c>
      <c r="H69" s="102" t="s">
        <v>3289</v>
      </c>
      <c r="I69" s="102" t="s">
        <v>284</v>
      </c>
      <c r="J69" s="102" t="s">
        <v>26</v>
      </c>
      <c r="L69" s="229" t="s">
        <v>5750</v>
      </c>
      <c r="M69" s="229" t="s">
        <v>5754</v>
      </c>
      <c r="O69" s="230"/>
      <c r="T69" s="230"/>
      <c r="U69" s="102" t="str">
        <f>IF(ISNUMBER(MATCH(B69, 'Sprint 14'!B:B, 0)), "มาจาก Sprint 14", "")</f>
        <v>มาจาก Sprint 14</v>
      </c>
      <c r="V69" s="102" t="str">
        <f t="array" ref="V69">IF(ISNUMBER(MATCH(B69, 'Sprint 14'!B:B, 0)), INDEX('Sprint 14'!J:J, MATCH(B69, 'Sprint 14'!B:B, 0)), "")</f>
        <v>To Do</v>
      </c>
      <c r="W69" s="230"/>
      <c r="X69" s="102" t="s">
        <v>4919</v>
      </c>
      <c r="Y69" s="102" t="s">
        <v>4657</v>
      </c>
      <c r="Z69" s="102" t="s">
        <v>2266</v>
      </c>
    </row>
    <row r="70">
      <c r="A70" s="102" t="s">
        <v>276</v>
      </c>
      <c r="B70" s="102" t="s">
        <v>5755</v>
      </c>
      <c r="C70" s="229" t="s">
        <v>5756</v>
      </c>
      <c r="D70" s="102" t="s">
        <v>1567</v>
      </c>
      <c r="E70" s="102" t="s">
        <v>3288</v>
      </c>
      <c r="F70" s="102" t="s">
        <v>3289</v>
      </c>
      <c r="G70" s="102" t="s">
        <v>3288</v>
      </c>
      <c r="H70" s="102" t="s">
        <v>3289</v>
      </c>
      <c r="I70" s="102" t="s">
        <v>284</v>
      </c>
      <c r="J70" s="102" t="s">
        <v>26</v>
      </c>
      <c r="L70" s="229" t="s">
        <v>5757</v>
      </c>
      <c r="M70" s="229" t="s">
        <v>5758</v>
      </c>
      <c r="N70" s="102"/>
      <c r="O70" s="102"/>
      <c r="T70" s="102"/>
      <c r="U70" s="102" t="str">
        <f>IF(ISNUMBER(MATCH(B70, 'Sprint 14'!B:B, 0)), "มาจาก Sprint 14", "")</f>
        <v>มาจาก Sprint 14</v>
      </c>
      <c r="V70" s="102" t="str">
        <f t="array" ref="V70">IF(ISNUMBER(MATCH(B70, 'Sprint 14'!B:B, 0)), INDEX('Sprint 14'!J:J, MATCH(B70, 'Sprint 14'!B:B, 0)), "")</f>
        <v>To Do</v>
      </c>
      <c r="W70" s="102"/>
      <c r="X70" s="102" t="s">
        <v>4919</v>
      </c>
      <c r="Y70" s="102" t="s">
        <v>4657</v>
      </c>
      <c r="Z70" s="102" t="s">
        <v>2266</v>
      </c>
    </row>
    <row r="71">
      <c r="A71" s="102" t="s">
        <v>276</v>
      </c>
      <c r="B71" s="102" t="s">
        <v>5759</v>
      </c>
      <c r="C71" s="229" t="s">
        <v>5760</v>
      </c>
      <c r="D71" s="102" t="s">
        <v>4345</v>
      </c>
      <c r="E71" s="102" t="s">
        <v>3288</v>
      </c>
      <c r="F71" s="102" t="s">
        <v>3289</v>
      </c>
      <c r="G71" s="102" t="s">
        <v>3288</v>
      </c>
      <c r="H71" s="102" t="s">
        <v>3289</v>
      </c>
      <c r="I71" s="102" t="s">
        <v>284</v>
      </c>
      <c r="J71" s="102" t="s">
        <v>26</v>
      </c>
      <c r="L71" s="229" t="s">
        <v>5757</v>
      </c>
      <c r="M71" s="229" t="s">
        <v>5754</v>
      </c>
      <c r="O71" s="102"/>
      <c r="T71" s="102"/>
      <c r="U71" s="102" t="str">
        <f>IF(ISNUMBER(MATCH(B71, 'Sprint 14'!B:B, 0)), "มาจาก Sprint 14", "")</f>
        <v>มาจาก Sprint 14</v>
      </c>
      <c r="V71" s="102" t="str">
        <f t="array" ref="V71">IF(ISNUMBER(MATCH(B71, 'Sprint 14'!B:B, 0)), INDEX('Sprint 14'!J:J, MATCH(B71, 'Sprint 14'!B:B, 0)), "")</f>
        <v>To Do</v>
      </c>
      <c r="W71" s="102"/>
      <c r="X71" s="102" t="s">
        <v>4919</v>
      </c>
      <c r="Y71" s="102" t="s">
        <v>4657</v>
      </c>
      <c r="Z71" s="102" t="s">
        <v>2266</v>
      </c>
    </row>
    <row r="72">
      <c r="A72" s="102" t="s">
        <v>276</v>
      </c>
      <c r="B72" s="102" t="s">
        <v>5761</v>
      </c>
      <c r="C72" s="229" t="s">
        <v>5762</v>
      </c>
      <c r="D72" s="102" t="s">
        <v>1567</v>
      </c>
      <c r="E72" s="102" t="s">
        <v>3288</v>
      </c>
      <c r="F72" s="102" t="s">
        <v>3289</v>
      </c>
      <c r="G72" s="102" t="s">
        <v>3288</v>
      </c>
      <c r="H72" s="102" t="s">
        <v>3289</v>
      </c>
      <c r="I72" s="102" t="s">
        <v>284</v>
      </c>
      <c r="J72" s="102" t="s">
        <v>26</v>
      </c>
      <c r="L72" s="229" t="s">
        <v>5757</v>
      </c>
      <c r="M72" s="229" t="s">
        <v>5763</v>
      </c>
      <c r="O72" s="102"/>
      <c r="P72" s="102"/>
      <c r="Q72" s="102"/>
      <c r="T72" s="102"/>
      <c r="U72" s="102" t="str">
        <f>IF(ISNUMBER(MATCH(B72, 'Sprint 14'!B:B, 0)), "มาจาก Sprint 14", "")</f>
        <v>มาจาก Sprint 14</v>
      </c>
      <c r="V72" s="102" t="str">
        <f t="array" ref="V72">IF(ISNUMBER(MATCH(B72, 'Sprint 14'!B:B, 0)), INDEX('Sprint 14'!J:J, MATCH(B72, 'Sprint 14'!B:B, 0)), "")</f>
        <v>To Do</v>
      </c>
      <c r="W72" s="102"/>
      <c r="X72" s="102" t="s">
        <v>4919</v>
      </c>
      <c r="Y72" s="102" t="s">
        <v>4657</v>
      </c>
      <c r="Z72" s="102" t="s">
        <v>2266</v>
      </c>
    </row>
    <row r="73">
      <c r="A73" s="102" t="s">
        <v>276</v>
      </c>
      <c r="B73" s="102" t="s">
        <v>5764</v>
      </c>
      <c r="C73" s="229" t="s">
        <v>5765</v>
      </c>
      <c r="D73" s="102" t="s">
        <v>1567</v>
      </c>
      <c r="E73" s="102" t="s">
        <v>3288</v>
      </c>
      <c r="F73" s="102" t="s">
        <v>3289</v>
      </c>
      <c r="G73" s="102" t="s">
        <v>3288</v>
      </c>
      <c r="H73" s="102" t="s">
        <v>3289</v>
      </c>
      <c r="I73" s="102" t="s">
        <v>284</v>
      </c>
      <c r="J73" s="102" t="s">
        <v>26</v>
      </c>
      <c r="L73" s="229" t="s">
        <v>5766</v>
      </c>
      <c r="M73" s="229" t="s">
        <v>5767</v>
      </c>
      <c r="N73" s="102"/>
      <c r="O73" s="102"/>
      <c r="T73" s="102"/>
      <c r="U73" s="102" t="str">
        <f>IF(ISNUMBER(MATCH(B73, 'Sprint 14'!B:B, 0)), "มาจาก Sprint 14", "")</f>
        <v>มาจาก Sprint 14</v>
      </c>
      <c r="V73" s="102" t="str">
        <f t="array" ref="V73">IF(ISNUMBER(MATCH(B73, 'Sprint 14'!B:B, 0)), INDEX('Sprint 14'!J:J, MATCH(B73, 'Sprint 14'!B:B, 0)), "")</f>
        <v>In Progress</v>
      </c>
      <c r="W73" s="102"/>
      <c r="X73" s="102" t="s">
        <v>4919</v>
      </c>
      <c r="Y73" s="102" t="s">
        <v>4657</v>
      </c>
      <c r="Z73" s="102" t="s">
        <v>2266</v>
      </c>
    </row>
    <row r="74">
      <c r="A74" s="102" t="s">
        <v>310</v>
      </c>
      <c r="B74" s="102" t="s">
        <v>5489</v>
      </c>
      <c r="C74" s="229" t="s">
        <v>5490</v>
      </c>
      <c r="D74" s="102" t="s">
        <v>5491</v>
      </c>
      <c r="E74" s="102" t="s">
        <v>328</v>
      </c>
      <c r="F74" s="102" t="s">
        <v>329</v>
      </c>
      <c r="G74" s="102" t="s">
        <v>314</v>
      </c>
      <c r="H74" s="102" t="s">
        <v>315</v>
      </c>
      <c r="I74" s="102" t="s">
        <v>284</v>
      </c>
      <c r="J74" s="102" t="s">
        <v>454</v>
      </c>
      <c r="L74" s="229" t="s">
        <v>5492</v>
      </c>
      <c r="M74" s="229" t="s">
        <v>5740</v>
      </c>
      <c r="N74" s="229" t="s">
        <v>5494</v>
      </c>
      <c r="O74" s="102">
        <v>2.0</v>
      </c>
      <c r="T74" s="102">
        <v>0.0</v>
      </c>
      <c r="U74" s="102" t="str">
        <f>IF(ISNUMBER(MATCH(B74, 'Sprint 14'!B:B, 0)), "มาจาก Sprint 14", "")</f>
        <v>มาจาก Sprint 14</v>
      </c>
      <c r="V74" s="102" t="str">
        <f t="array" ref="V74">IF(ISNUMBER(MATCH(B74, 'Sprint 14'!B:B, 0)), INDEX('Sprint 14'!J:J, MATCH(B74, 'Sprint 14'!B:B, 0)), "")</f>
        <v>Ready To Test</v>
      </c>
      <c r="W74" s="102">
        <v>115200.0</v>
      </c>
      <c r="X74" s="102" t="s">
        <v>4657</v>
      </c>
      <c r="Y74" s="102" t="s">
        <v>2266</v>
      </c>
    </row>
    <row r="75">
      <c r="A75" s="102" t="s">
        <v>310</v>
      </c>
      <c r="B75" s="102" t="s">
        <v>5495</v>
      </c>
      <c r="C75" s="229" t="s">
        <v>5496</v>
      </c>
      <c r="D75" s="102" t="s">
        <v>5497</v>
      </c>
      <c r="E75" s="102" t="s">
        <v>495</v>
      </c>
      <c r="F75" s="102" t="s">
        <v>496</v>
      </c>
      <c r="G75" s="102" t="s">
        <v>314</v>
      </c>
      <c r="H75" s="102" t="s">
        <v>315</v>
      </c>
      <c r="I75" s="102" t="s">
        <v>284</v>
      </c>
      <c r="J75" s="102" t="s">
        <v>454</v>
      </c>
      <c r="L75" s="229" t="s">
        <v>5498</v>
      </c>
      <c r="M75" s="229" t="s">
        <v>5768</v>
      </c>
      <c r="N75" s="102"/>
      <c r="O75" s="102">
        <v>3.0</v>
      </c>
      <c r="P75" s="102"/>
      <c r="Q75" s="102"/>
      <c r="T75" s="102">
        <v>0.0</v>
      </c>
      <c r="U75" s="102" t="str">
        <f>IF(ISNUMBER(MATCH(B75, 'Sprint 14'!B:B, 0)), "มาจาก Sprint 14", "")</f>
        <v>มาจาก Sprint 14</v>
      </c>
      <c r="V75" s="102" t="str">
        <f t="array" ref="V75">IF(ISNUMBER(MATCH(B75, 'Sprint 14'!B:B, 0)), INDEX('Sprint 14'!J:J, MATCH(B75, 'Sprint 14'!B:B, 0)), "")</f>
        <v>Ready To Test</v>
      </c>
      <c r="W75" s="102">
        <v>43200.0</v>
      </c>
      <c r="X75" s="102" t="s">
        <v>1368</v>
      </c>
      <c r="Y75" s="102" t="s">
        <v>1369</v>
      </c>
    </row>
    <row r="76">
      <c r="A76" s="102" t="s">
        <v>310</v>
      </c>
      <c r="B76" s="102" t="s">
        <v>5769</v>
      </c>
      <c r="C76" s="229" t="s">
        <v>5770</v>
      </c>
      <c r="D76" s="102" t="s">
        <v>5771</v>
      </c>
      <c r="E76" s="102" t="s">
        <v>584</v>
      </c>
      <c r="F76" s="102" t="s">
        <v>585</v>
      </c>
      <c r="G76" s="102" t="s">
        <v>316</v>
      </c>
      <c r="H76" s="102" t="s">
        <v>317</v>
      </c>
      <c r="I76" s="102" t="s">
        <v>284</v>
      </c>
      <c r="J76" s="102" t="s">
        <v>678</v>
      </c>
      <c r="L76" s="229" t="s">
        <v>5772</v>
      </c>
      <c r="M76" s="229" t="s">
        <v>5724</v>
      </c>
      <c r="O76" s="102">
        <v>2.0</v>
      </c>
      <c r="P76" s="102" t="s">
        <v>433</v>
      </c>
      <c r="Q76" s="102" t="s">
        <v>5773</v>
      </c>
      <c r="T76" s="102">
        <v>28800.0</v>
      </c>
      <c r="U76" s="102" t="str">
        <f>IF(ISNUMBER(MATCH(B76, 'Sprint 14'!B:B, 0)), "มาจาก Sprint 14", "")</f>
        <v/>
      </c>
      <c r="V76" s="102" t="str">
        <f t="array" ref="V76">IF(ISNUMBER(MATCH(B76, 'Sprint 14'!B:B, 0)), INDEX('Sprint 14'!J:J, MATCH(B76, 'Sprint 14'!B:B, 0)), "")</f>
        <v/>
      </c>
      <c r="W76" s="102"/>
      <c r="X76" s="102" t="s">
        <v>2266</v>
      </c>
      <c r="Y76" s="102"/>
    </row>
    <row r="77">
      <c r="A77" s="102" t="s">
        <v>310</v>
      </c>
      <c r="B77" s="102" t="s">
        <v>5499</v>
      </c>
      <c r="C77" s="229" t="s">
        <v>5500</v>
      </c>
      <c r="D77" s="102" t="s">
        <v>5501</v>
      </c>
      <c r="E77" s="102" t="s">
        <v>584</v>
      </c>
      <c r="F77" s="102" t="s">
        <v>585</v>
      </c>
      <c r="G77" s="102" t="s">
        <v>282</v>
      </c>
      <c r="H77" s="102" t="s">
        <v>283</v>
      </c>
      <c r="I77" s="102" t="s">
        <v>284</v>
      </c>
      <c r="J77" s="102" t="s">
        <v>454</v>
      </c>
      <c r="L77" s="229" t="s">
        <v>5502</v>
      </c>
      <c r="M77" s="229" t="s">
        <v>5400</v>
      </c>
      <c r="O77" s="102">
        <v>3.0</v>
      </c>
      <c r="T77" s="102">
        <v>0.0</v>
      </c>
      <c r="U77" s="102" t="str">
        <f>IF(ISNUMBER(MATCH(B77, 'Sprint 14'!B:B, 0)), "มาจาก Sprint 14", "")</f>
        <v>มาจาก Sprint 14</v>
      </c>
      <c r="V77" s="102" t="str">
        <f t="array" ref="V77">IF(ISNUMBER(MATCH(B77, 'Sprint 14'!B:B, 0)), INDEX('Sprint 14'!J:J, MATCH(B77, 'Sprint 14'!B:B, 0)), "")</f>
        <v>Ready To Test</v>
      </c>
      <c r="W77" s="102">
        <v>28800.0</v>
      </c>
      <c r="X77" s="102" t="s">
        <v>4657</v>
      </c>
      <c r="Y77" s="102" t="s">
        <v>2266</v>
      </c>
    </row>
    <row r="78">
      <c r="A78" s="102" t="s">
        <v>310</v>
      </c>
      <c r="B78" s="102" t="s">
        <v>5503</v>
      </c>
      <c r="C78" s="229" t="s">
        <v>5504</v>
      </c>
      <c r="D78" s="102" t="s">
        <v>5505</v>
      </c>
      <c r="E78" s="102" t="s">
        <v>584</v>
      </c>
      <c r="F78" s="102" t="s">
        <v>585</v>
      </c>
      <c r="G78" s="102" t="s">
        <v>282</v>
      </c>
      <c r="H78" s="102" t="s">
        <v>283</v>
      </c>
      <c r="I78" s="102" t="s">
        <v>284</v>
      </c>
      <c r="J78" s="102" t="s">
        <v>454</v>
      </c>
      <c r="L78" s="229" t="s">
        <v>5502</v>
      </c>
      <c r="M78" s="229" t="s">
        <v>5740</v>
      </c>
      <c r="N78" s="102"/>
      <c r="O78" s="102">
        <v>3.0</v>
      </c>
      <c r="T78" s="102">
        <v>0.0</v>
      </c>
      <c r="U78" s="102" t="str">
        <f>IF(ISNUMBER(MATCH(B78, 'Sprint 14'!B:B, 0)), "มาจาก Sprint 14", "")</f>
        <v>มาจาก Sprint 14</v>
      </c>
      <c r="V78" s="102" t="str">
        <f t="array" ref="V78">IF(ISNUMBER(MATCH(B78, 'Sprint 14'!B:B, 0)), INDEX('Sprint 14'!J:J, MATCH(B78, 'Sprint 14'!B:B, 0)), "")</f>
        <v>Ready To Test</v>
      </c>
      <c r="W78" s="102">
        <v>28800.0</v>
      </c>
      <c r="X78" s="102" t="s">
        <v>4657</v>
      </c>
      <c r="Y78" s="102" t="s">
        <v>2266</v>
      </c>
    </row>
    <row r="79">
      <c r="A79" s="102" t="s">
        <v>310</v>
      </c>
      <c r="B79" s="102" t="s">
        <v>5774</v>
      </c>
      <c r="C79" s="229" t="s">
        <v>5775</v>
      </c>
      <c r="D79" s="102" t="s">
        <v>5776</v>
      </c>
      <c r="E79" s="102" t="s">
        <v>564</v>
      </c>
      <c r="F79" s="102" t="s">
        <v>565</v>
      </c>
      <c r="G79" s="102" t="s">
        <v>314</v>
      </c>
      <c r="H79" s="102" t="s">
        <v>315</v>
      </c>
      <c r="I79" s="102" t="s">
        <v>284</v>
      </c>
      <c r="J79" s="102" t="s">
        <v>678</v>
      </c>
      <c r="L79" s="229" t="s">
        <v>5777</v>
      </c>
      <c r="M79" s="229" t="s">
        <v>5778</v>
      </c>
      <c r="N79" s="229" t="s">
        <v>5664</v>
      </c>
      <c r="O79" s="102">
        <v>5.0</v>
      </c>
      <c r="T79" s="102">
        <v>50400.0</v>
      </c>
      <c r="U79" s="102" t="str">
        <f>IF(ISNUMBER(MATCH(B79, 'Sprint 14'!B:B, 0)), "มาจาก Sprint 14", "")</f>
        <v/>
      </c>
      <c r="V79" s="102" t="str">
        <f t="array" ref="V79">IF(ISNUMBER(MATCH(B79, 'Sprint 14'!B:B, 0)), INDEX('Sprint 14'!J:J, MATCH(B79, 'Sprint 14'!B:B, 0)), "")</f>
        <v/>
      </c>
      <c r="W79" s="102"/>
      <c r="X79" s="102" t="s">
        <v>1369</v>
      </c>
      <c r="Y79" s="102"/>
    </row>
    <row r="80">
      <c r="A80" s="102" t="s">
        <v>310</v>
      </c>
      <c r="B80" s="102" t="s">
        <v>5506</v>
      </c>
      <c r="C80" s="229" t="s">
        <v>5507</v>
      </c>
      <c r="D80" s="102" t="s">
        <v>5508</v>
      </c>
      <c r="E80" s="102" t="s">
        <v>328</v>
      </c>
      <c r="F80" s="102" t="s">
        <v>329</v>
      </c>
      <c r="G80" s="102" t="s">
        <v>314</v>
      </c>
      <c r="H80" s="102" t="s">
        <v>315</v>
      </c>
      <c r="I80" s="102" t="s">
        <v>284</v>
      </c>
      <c r="J80" s="102" t="s">
        <v>678</v>
      </c>
      <c r="L80" s="229" t="s">
        <v>5509</v>
      </c>
      <c r="M80" s="229" t="s">
        <v>5739</v>
      </c>
      <c r="O80" s="102">
        <v>5.0</v>
      </c>
      <c r="T80" s="102"/>
      <c r="U80" s="102" t="str">
        <f>IF(ISNUMBER(MATCH(B80, 'Sprint 14'!B:B, 0)), "มาจาก Sprint 14", "")</f>
        <v/>
      </c>
      <c r="V80" s="102" t="str">
        <f t="array" ref="V80">IF(ISNUMBER(MATCH(B80, 'Sprint 14'!B:B, 0)), INDEX('Sprint 14'!J:J, MATCH(B80, 'Sprint 14'!B:B, 0)), "")</f>
        <v/>
      </c>
      <c r="W80" s="102"/>
      <c r="X80" s="102" t="s">
        <v>1369</v>
      </c>
      <c r="Y80" s="102"/>
    </row>
    <row r="81">
      <c r="A81" s="102" t="s">
        <v>310</v>
      </c>
      <c r="B81" s="102" t="s">
        <v>5779</v>
      </c>
      <c r="C81" s="229" t="s">
        <v>5780</v>
      </c>
      <c r="D81" s="102" t="s">
        <v>5781</v>
      </c>
      <c r="E81" s="102" t="s">
        <v>495</v>
      </c>
      <c r="F81" s="102" t="s">
        <v>496</v>
      </c>
      <c r="G81" s="102" t="s">
        <v>314</v>
      </c>
      <c r="H81" s="102" t="s">
        <v>315</v>
      </c>
      <c r="I81" s="102" t="s">
        <v>284</v>
      </c>
      <c r="J81" s="102" t="s">
        <v>454</v>
      </c>
      <c r="L81" s="229" t="s">
        <v>5782</v>
      </c>
      <c r="M81" s="229" t="s">
        <v>5739</v>
      </c>
      <c r="N81" s="102"/>
      <c r="O81" s="102">
        <v>3.0</v>
      </c>
      <c r="T81" s="102">
        <v>0.0</v>
      </c>
      <c r="U81" s="102" t="str">
        <f>IF(ISNUMBER(MATCH(B81, 'Sprint 14'!B:B, 0)), "มาจาก Sprint 14", "")</f>
        <v>มาจาก Sprint 14</v>
      </c>
      <c r="V81" s="102" t="str">
        <f t="array" ref="V81">IF(ISNUMBER(MATCH(B81, 'Sprint 14'!B:B, 0)), INDEX('Sprint 14'!J:J, MATCH(B81, 'Sprint 14'!B:B, 0)), "")</f>
        <v>Ready To Test</v>
      </c>
      <c r="W81" s="102">
        <v>28800.0</v>
      </c>
      <c r="X81" s="102" t="s">
        <v>1368</v>
      </c>
      <c r="Y81" s="102" t="s">
        <v>1369</v>
      </c>
    </row>
    <row r="82">
      <c r="A82" s="102" t="s">
        <v>310</v>
      </c>
      <c r="B82" s="102" t="s">
        <v>5783</v>
      </c>
      <c r="C82" s="229" t="s">
        <v>5784</v>
      </c>
      <c r="D82" s="102" t="s">
        <v>5785</v>
      </c>
      <c r="E82" s="102" t="s">
        <v>556</v>
      </c>
      <c r="F82" s="102" t="s">
        <v>557</v>
      </c>
      <c r="G82" s="102" t="s">
        <v>353</v>
      </c>
      <c r="H82" s="102" t="s">
        <v>354</v>
      </c>
      <c r="I82" s="102" t="s">
        <v>284</v>
      </c>
      <c r="J82" s="102" t="s">
        <v>454</v>
      </c>
      <c r="L82" s="229" t="s">
        <v>5786</v>
      </c>
      <c r="M82" s="229" t="s">
        <v>5787</v>
      </c>
      <c r="N82" s="229" t="s">
        <v>5788</v>
      </c>
      <c r="O82" s="102">
        <v>5.0</v>
      </c>
      <c r="T82" s="102">
        <v>0.0</v>
      </c>
      <c r="U82" s="102" t="str">
        <f>IF(ISNUMBER(MATCH(B82, 'Sprint 14'!B:B, 0)), "มาจาก Sprint 14", "")</f>
        <v>มาจาก Sprint 14</v>
      </c>
      <c r="V82" s="102" t="str">
        <f t="array" ref="V82">IF(ISNUMBER(MATCH(B82, 'Sprint 14'!B:B, 0)), INDEX('Sprint 14'!J:J, MATCH(B82, 'Sprint 14'!B:B, 0)), "")</f>
        <v>Ready To Test</v>
      </c>
      <c r="W82" s="102">
        <v>57600.0</v>
      </c>
      <c r="X82" s="102" t="s">
        <v>5789</v>
      </c>
      <c r="Y82" s="102" t="s">
        <v>5707</v>
      </c>
    </row>
    <row r="83">
      <c r="A83" s="102" t="s">
        <v>310</v>
      </c>
      <c r="B83" s="102" t="s">
        <v>5790</v>
      </c>
      <c r="C83" s="229" t="s">
        <v>5791</v>
      </c>
      <c r="D83" s="102" t="s">
        <v>5792</v>
      </c>
      <c r="E83" s="102" t="s">
        <v>328</v>
      </c>
      <c r="F83" s="102" t="s">
        <v>329</v>
      </c>
      <c r="G83" s="102" t="s">
        <v>314</v>
      </c>
      <c r="H83" s="102" t="s">
        <v>315</v>
      </c>
      <c r="I83" s="102" t="s">
        <v>284</v>
      </c>
      <c r="J83" s="102" t="s">
        <v>454</v>
      </c>
      <c r="L83" s="229" t="s">
        <v>5793</v>
      </c>
      <c r="M83" s="229" t="s">
        <v>5739</v>
      </c>
      <c r="N83" s="229" t="s">
        <v>4655</v>
      </c>
      <c r="O83" s="102">
        <v>3.0</v>
      </c>
      <c r="T83" s="102">
        <v>0.0</v>
      </c>
      <c r="U83" s="102" t="str">
        <f>IF(ISNUMBER(MATCH(B83, 'Sprint 14'!B:B, 0)), "มาจาก Sprint 14", "")</f>
        <v>มาจาก Sprint 14</v>
      </c>
      <c r="V83" s="102" t="str">
        <f t="array" ref="V83">IF(ISNUMBER(MATCH(B83, 'Sprint 14'!B:B, 0)), INDEX('Sprint 14'!J:J, MATCH(B83, 'Sprint 14'!B:B, 0)), "")</f>
        <v>Ready To Test</v>
      </c>
      <c r="W83" s="102">
        <v>57600.0</v>
      </c>
      <c r="X83" s="102" t="s">
        <v>1368</v>
      </c>
      <c r="Y83" s="102" t="s">
        <v>1369</v>
      </c>
    </row>
    <row r="84">
      <c r="A84" s="102" t="s">
        <v>310</v>
      </c>
      <c r="B84" s="102" t="s">
        <v>5794</v>
      </c>
      <c r="C84" s="229" t="s">
        <v>5795</v>
      </c>
      <c r="D84" s="102" t="s">
        <v>5796</v>
      </c>
      <c r="E84" s="102" t="s">
        <v>584</v>
      </c>
      <c r="F84" s="102" t="s">
        <v>585</v>
      </c>
      <c r="G84" s="102" t="s">
        <v>314</v>
      </c>
      <c r="H84" s="102" t="s">
        <v>315</v>
      </c>
      <c r="I84" s="102" t="s">
        <v>284</v>
      </c>
      <c r="J84" s="102" t="s">
        <v>454</v>
      </c>
      <c r="L84" s="229" t="s">
        <v>5797</v>
      </c>
      <c r="M84" s="229" t="s">
        <v>5606</v>
      </c>
      <c r="N84" s="102"/>
      <c r="O84" s="102">
        <v>3.0</v>
      </c>
      <c r="T84" s="102">
        <v>0.0</v>
      </c>
      <c r="U84" s="102" t="str">
        <f>IF(ISNUMBER(MATCH(B84, 'Sprint 14'!B:B, 0)), "มาจาก Sprint 14", "")</f>
        <v>มาจาก Sprint 14</v>
      </c>
      <c r="V84" s="102" t="str">
        <f t="array" ref="V84">IF(ISNUMBER(MATCH(B84, 'Sprint 14'!B:B, 0)), INDEX('Sprint 14'!J:J, MATCH(B84, 'Sprint 14'!B:B, 0)), "")</f>
        <v>Ready To Test</v>
      </c>
      <c r="W84" s="102">
        <v>28800.0</v>
      </c>
      <c r="X84" s="102" t="s">
        <v>1368</v>
      </c>
      <c r="Y84" s="102" t="s">
        <v>1369</v>
      </c>
    </row>
    <row r="85">
      <c r="A85" s="102" t="s">
        <v>310</v>
      </c>
      <c r="B85" s="102" t="s">
        <v>5798</v>
      </c>
      <c r="C85" s="229" t="s">
        <v>5799</v>
      </c>
      <c r="D85" s="102" t="s">
        <v>5800</v>
      </c>
      <c r="E85" s="102" t="s">
        <v>564</v>
      </c>
      <c r="F85" s="102" t="s">
        <v>565</v>
      </c>
      <c r="G85" s="102" t="s">
        <v>314</v>
      </c>
      <c r="H85" s="102" t="s">
        <v>315</v>
      </c>
      <c r="I85" s="102" t="s">
        <v>284</v>
      </c>
      <c r="J85" s="102" t="s">
        <v>34</v>
      </c>
      <c r="L85" s="229" t="s">
        <v>5801</v>
      </c>
      <c r="M85" s="229" t="s">
        <v>5802</v>
      </c>
      <c r="N85" s="229" t="s">
        <v>5448</v>
      </c>
      <c r="O85" s="102">
        <v>3.0</v>
      </c>
      <c r="T85" s="102">
        <v>0.0</v>
      </c>
      <c r="U85" s="102" t="str">
        <f>IF(ISNUMBER(MATCH(B85, 'Sprint 14'!B:B, 0)), "มาจาก Sprint 14", "")</f>
        <v>มาจาก Sprint 14</v>
      </c>
      <c r="V85" s="102" t="str">
        <f t="array" ref="V85">IF(ISNUMBER(MATCH(B85, 'Sprint 14'!B:B, 0)), INDEX('Sprint 14'!J:J, MATCH(B85, 'Sprint 14'!B:B, 0)), "")</f>
        <v>Ready To Test</v>
      </c>
      <c r="W85" s="102">
        <v>28800.0</v>
      </c>
      <c r="X85" s="102" t="s">
        <v>1368</v>
      </c>
      <c r="Y85" s="102" t="s">
        <v>1369</v>
      </c>
    </row>
    <row r="86">
      <c r="A86" s="102" t="s">
        <v>310</v>
      </c>
      <c r="B86" s="102" t="s">
        <v>5510</v>
      </c>
      <c r="C86" s="229" t="s">
        <v>5511</v>
      </c>
      <c r="D86" s="102" t="s">
        <v>5512</v>
      </c>
      <c r="E86" s="102" t="s">
        <v>584</v>
      </c>
      <c r="F86" s="102" t="s">
        <v>585</v>
      </c>
      <c r="G86" s="102" t="s">
        <v>314</v>
      </c>
      <c r="H86" s="102" t="s">
        <v>315</v>
      </c>
      <c r="I86" s="102" t="s">
        <v>284</v>
      </c>
      <c r="J86" s="102" t="s">
        <v>454</v>
      </c>
      <c r="L86" s="229" t="s">
        <v>5513</v>
      </c>
      <c r="M86" s="229" t="s">
        <v>5739</v>
      </c>
      <c r="N86" s="102"/>
      <c r="O86" s="102">
        <v>5.0</v>
      </c>
      <c r="T86" s="102">
        <v>0.0</v>
      </c>
      <c r="U86" s="102" t="str">
        <f>IF(ISNUMBER(MATCH(B86, 'Sprint 14'!B:B, 0)), "มาจาก Sprint 14", "")</f>
        <v>มาจาก Sprint 14</v>
      </c>
      <c r="V86" s="102" t="str">
        <f t="array" ref="V86">IF(ISNUMBER(MATCH(B86, 'Sprint 14'!B:B, 0)), INDEX('Sprint 14'!J:J, MATCH(B86, 'Sprint 14'!B:B, 0)), "")</f>
        <v>Ready To Test</v>
      </c>
      <c r="W86" s="102">
        <v>57600.0</v>
      </c>
      <c r="X86" s="102" t="s">
        <v>1368</v>
      </c>
      <c r="Y86" s="102" t="s">
        <v>1369</v>
      </c>
    </row>
    <row r="87">
      <c r="A87" s="102" t="s">
        <v>310</v>
      </c>
      <c r="B87" s="102" t="s">
        <v>5514</v>
      </c>
      <c r="C87" s="229" t="s">
        <v>5515</v>
      </c>
      <c r="D87" s="102" t="s">
        <v>5516</v>
      </c>
      <c r="E87" s="102" t="s">
        <v>556</v>
      </c>
      <c r="F87" s="102" t="s">
        <v>557</v>
      </c>
      <c r="G87" s="102" t="s">
        <v>314</v>
      </c>
      <c r="H87" s="102" t="s">
        <v>315</v>
      </c>
      <c r="I87" s="102" t="s">
        <v>284</v>
      </c>
      <c r="J87" s="102" t="s">
        <v>454</v>
      </c>
      <c r="L87" s="229" t="s">
        <v>5517</v>
      </c>
      <c r="M87" s="229" t="s">
        <v>5739</v>
      </c>
      <c r="N87" s="102"/>
      <c r="O87" s="102">
        <v>5.0</v>
      </c>
      <c r="T87" s="102">
        <v>0.0</v>
      </c>
      <c r="U87" s="102" t="str">
        <f>IF(ISNUMBER(MATCH(B87, 'Sprint 14'!B:B, 0)), "มาจาก Sprint 14", "")</f>
        <v>มาจาก Sprint 14</v>
      </c>
      <c r="V87" s="102" t="str">
        <f t="array" ref="V87">IF(ISNUMBER(MATCH(B87, 'Sprint 14'!B:B, 0)), INDEX('Sprint 14'!J:J, MATCH(B87, 'Sprint 14'!B:B, 0)), "")</f>
        <v>Ready To Test</v>
      </c>
      <c r="W87" s="102">
        <v>57600.0</v>
      </c>
      <c r="X87" s="102" t="s">
        <v>1368</v>
      </c>
      <c r="Y87" s="102" t="s">
        <v>1369</v>
      </c>
    </row>
    <row r="88">
      <c r="A88" s="102" t="s">
        <v>310</v>
      </c>
      <c r="B88" s="102" t="s">
        <v>5518</v>
      </c>
      <c r="C88" s="229" t="s">
        <v>5519</v>
      </c>
      <c r="D88" s="102" t="s">
        <v>5520</v>
      </c>
      <c r="E88" s="102" t="s">
        <v>328</v>
      </c>
      <c r="F88" s="102" t="s">
        <v>329</v>
      </c>
      <c r="G88" s="102" t="s">
        <v>314</v>
      </c>
      <c r="H88" s="102" t="s">
        <v>315</v>
      </c>
      <c r="I88" s="102" t="s">
        <v>284</v>
      </c>
      <c r="J88" s="102" t="s">
        <v>454</v>
      </c>
      <c r="L88" s="229" t="s">
        <v>5521</v>
      </c>
      <c r="M88" s="229" t="s">
        <v>5739</v>
      </c>
      <c r="N88" s="229" t="s">
        <v>5522</v>
      </c>
      <c r="O88" s="102">
        <v>5.0</v>
      </c>
      <c r="P88" s="102"/>
      <c r="T88" s="102">
        <v>0.0</v>
      </c>
      <c r="U88" s="102" t="str">
        <f>IF(ISNUMBER(MATCH(B88, 'Sprint 14'!B:B, 0)), "มาจาก Sprint 14", "")</f>
        <v>มาจาก Sprint 14</v>
      </c>
      <c r="V88" s="102" t="str">
        <f t="array" ref="V88">IF(ISNUMBER(MATCH(B88, 'Sprint 14'!B:B, 0)), INDEX('Sprint 14'!J:J, MATCH(B88, 'Sprint 14'!B:B, 0)), "")</f>
        <v>Ready To Test</v>
      </c>
      <c r="W88" s="102">
        <v>57600.0</v>
      </c>
      <c r="X88" s="102" t="s">
        <v>1368</v>
      </c>
      <c r="Y88" s="102" t="s">
        <v>1369</v>
      </c>
    </row>
    <row r="89">
      <c r="A89" s="102" t="s">
        <v>310</v>
      </c>
      <c r="B89" s="102" t="s">
        <v>5523</v>
      </c>
      <c r="C89" s="229" t="s">
        <v>5524</v>
      </c>
      <c r="D89" s="102" t="s">
        <v>5525</v>
      </c>
      <c r="E89" s="102" t="s">
        <v>328</v>
      </c>
      <c r="F89" s="102" t="s">
        <v>329</v>
      </c>
      <c r="G89" s="102" t="s">
        <v>353</v>
      </c>
      <c r="H89" s="102" t="s">
        <v>354</v>
      </c>
      <c r="I89" s="102" t="s">
        <v>284</v>
      </c>
      <c r="J89" s="102" t="s">
        <v>454</v>
      </c>
      <c r="L89" s="229" t="s">
        <v>5526</v>
      </c>
      <c r="M89" s="229" t="s">
        <v>5740</v>
      </c>
      <c r="N89" s="229" t="s">
        <v>5528</v>
      </c>
      <c r="O89" s="102">
        <v>3.0</v>
      </c>
      <c r="T89" s="102">
        <v>0.0</v>
      </c>
      <c r="U89" s="102" t="str">
        <f>IF(ISNUMBER(MATCH(B89, 'Sprint 14'!B:B, 0)), "มาจาก Sprint 14", "")</f>
        <v>มาจาก Sprint 14</v>
      </c>
      <c r="V89" s="102" t="str">
        <f t="array" ref="V89">IF(ISNUMBER(MATCH(B89, 'Sprint 14'!B:B, 0)), INDEX('Sprint 14'!J:J, MATCH(B89, 'Sprint 14'!B:B, 0)), "")</f>
        <v>Ready To Test</v>
      </c>
      <c r="W89" s="102">
        <v>28800.0</v>
      </c>
      <c r="X89" s="102" t="s">
        <v>4657</v>
      </c>
      <c r="Y89" s="102" t="s">
        <v>2266</v>
      </c>
      <c r="Z89" s="102"/>
    </row>
    <row r="90">
      <c r="A90" s="102" t="s">
        <v>310</v>
      </c>
      <c r="B90" s="102" t="s">
        <v>5530</v>
      </c>
      <c r="C90" s="229" t="s">
        <v>5531</v>
      </c>
      <c r="D90" s="102" t="s">
        <v>5532</v>
      </c>
      <c r="E90" s="102" t="s">
        <v>556</v>
      </c>
      <c r="F90" s="102" t="s">
        <v>557</v>
      </c>
      <c r="G90" s="102" t="s">
        <v>353</v>
      </c>
      <c r="H90" s="102" t="s">
        <v>354</v>
      </c>
      <c r="I90" s="102" t="s">
        <v>284</v>
      </c>
      <c r="J90" s="102" t="s">
        <v>454</v>
      </c>
      <c r="L90" s="229" t="s">
        <v>5533</v>
      </c>
      <c r="M90" s="229" t="s">
        <v>5740</v>
      </c>
      <c r="N90" s="229" t="s">
        <v>5494</v>
      </c>
      <c r="O90" s="102">
        <v>3.0</v>
      </c>
      <c r="P90" s="102"/>
      <c r="T90" s="102">
        <v>0.0</v>
      </c>
      <c r="U90" s="102" t="str">
        <f>IF(ISNUMBER(MATCH(B90, 'Sprint 14'!B:B, 0)), "มาจาก Sprint 14", "")</f>
        <v>มาจาก Sprint 14</v>
      </c>
      <c r="V90" s="102" t="str">
        <f t="array" ref="V90">IF(ISNUMBER(MATCH(B90, 'Sprint 14'!B:B, 0)), INDEX('Sprint 14'!J:J, MATCH(B90, 'Sprint 14'!B:B, 0)), "")</f>
        <v>Ready To Test</v>
      </c>
      <c r="W90" s="102">
        <v>28800.0</v>
      </c>
      <c r="X90" s="102" t="s">
        <v>4657</v>
      </c>
      <c r="Y90" s="102" t="s">
        <v>2266</v>
      </c>
    </row>
    <row r="91">
      <c r="A91" s="102" t="s">
        <v>310</v>
      </c>
      <c r="B91" s="102" t="s">
        <v>5534</v>
      </c>
      <c r="C91" s="229" t="s">
        <v>5535</v>
      </c>
      <c r="D91" s="102" t="s">
        <v>5536</v>
      </c>
      <c r="E91" s="102" t="s">
        <v>584</v>
      </c>
      <c r="F91" s="102" t="s">
        <v>585</v>
      </c>
      <c r="G91" s="102" t="s">
        <v>353</v>
      </c>
      <c r="H91" s="102" t="s">
        <v>354</v>
      </c>
      <c r="I91" s="102" t="s">
        <v>284</v>
      </c>
      <c r="J91" s="102" t="s">
        <v>454</v>
      </c>
      <c r="L91" s="229" t="s">
        <v>5533</v>
      </c>
      <c r="M91" s="229" t="s">
        <v>5740</v>
      </c>
      <c r="N91" s="102"/>
      <c r="O91" s="102">
        <v>3.0</v>
      </c>
      <c r="P91" s="102"/>
      <c r="T91" s="102">
        <v>0.0</v>
      </c>
      <c r="U91" s="102" t="str">
        <f>IF(ISNUMBER(MATCH(B91, 'Sprint 14'!B:B, 0)), "มาจาก Sprint 14", "")</f>
        <v>มาจาก Sprint 14</v>
      </c>
      <c r="V91" s="102" t="str">
        <f t="array" ref="V91">IF(ISNUMBER(MATCH(B91, 'Sprint 14'!B:B, 0)), INDEX('Sprint 14'!J:J, MATCH(B91, 'Sprint 14'!B:B, 0)), "")</f>
        <v>Ready To Test</v>
      </c>
      <c r="W91" s="102">
        <v>28800.0</v>
      </c>
      <c r="X91" s="102" t="s">
        <v>4657</v>
      </c>
      <c r="Y91" s="102" t="s">
        <v>2266</v>
      </c>
      <c r="Z91" s="102"/>
    </row>
    <row r="92">
      <c r="A92" s="102" t="s">
        <v>310</v>
      </c>
      <c r="B92" s="102" t="s">
        <v>5803</v>
      </c>
      <c r="C92" s="229" t="s">
        <v>5804</v>
      </c>
      <c r="D92" s="102" t="s">
        <v>5805</v>
      </c>
      <c r="E92" s="102" t="s">
        <v>564</v>
      </c>
      <c r="F92" s="102" t="s">
        <v>565</v>
      </c>
      <c r="G92" s="102" t="s">
        <v>282</v>
      </c>
      <c r="H92" s="102" t="s">
        <v>283</v>
      </c>
      <c r="I92" s="102" t="s">
        <v>284</v>
      </c>
      <c r="J92" s="102" t="s">
        <v>26</v>
      </c>
      <c r="L92" s="229" t="s">
        <v>5806</v>
      </c>
      <c r="M92" s="229" t="s">
        <v>5807</v>
      </c>
      <c r="N92" s="229" t="s">
        <v>5528</v>
      </c>
      <c r="O92" s="102">
        <v>5.0</v>
      </c>
      <c r="P92" s="102" t="s">
        <v>1808</v>
      </c>
      <c r="T92" s="102">
        <v>0.0</v>
      </c>
      <c r="U92" s="102" t="str">
        <f>IF(ISNUMBER(MATCH(B92, 'Sprint 14'!B:B, 0)), "มาจาก Sprint 14", "")</f>
        <v>มาจาก Sprint 14</v>
      </c>
      <c r="V92" s="102" t="str">
        <f t="array" ref="V92">IF(ISNUMBER(MATCH(B92, 'Sprint 14'!B:B, 0)), INDEX('Sprint 14'!J:J, MATCH(B92, 'Sprint 14'!B:B, 0)), "")</f>
        <v>Ready To Test</v>
      </c>
      <c r="W92" s="102">
        <v>43200.0</v>
      </c>
      <c r="X92" s="102" t="s">
        <v>4657</v>
      </c>
      <c r="Y92" s="102" t="s">
        <v>2266</v>
      </c>
      <c r="Z92" s="102"/>
    </row>
    <row r="93">
      <c r="A93" s="102" t="s">
        <v>310</v>
      </c>
      <c r="B93" s="102" t="s">
        <v>5808</v>
      </c>
      <c r="C93" s="229" t="s">
        <v>5809</v>
      </c>
      <c r="D93" s="102" t="s">
        <v>5810</v>
      </c>
      <c r="E93" s="102" t="s">
        <v>282</v>
      </c>
      <c r="F93" s="102" t="s">
        <v>283</v>
      </c>
      <c r="G93" s="102" t="s">
        <v>282</v>
      </c>
      <c r="H93" s="102" t="s">
        <v>283</v>
      </c>
      <c r="I93" s="102" t="s">
        <v>284</v>
      </c>
      <c r="J93" s="102" t="s">
        <v>454</v>
      </c>
      <c r="L93" s="229" t="s">
        <v>5811</v>
      </c>
      <c r="M93" s="229" t="s">
        <v>5690</v>
      </c>
      <c r="N93" s="102"/>
      <c r="O93" s="102">
        <v>13.0</v>
      </c>
      <c r="P93" s="102"/>
      <c r="T93" s="102">
        <v>0.0</v>
      </c>
      <c r="U93" s="102" t="str">
        <f>IF(ISNUMBER(MATCH(B93, 'Sprint 14'!B:B, 0)), "มาจาก Sprint 14", "")</f>
        <v>มาจาก Sprint 14</v>
      </c>
      <c r="V93" s="102" t="str">
        <f t="array" ref="V93">IF(ISNUMBER(MATCH(B93, 'Sprint 14'!B:B, 0)), INDEX('Sprint 14'!J:J, MATCH(B93, 'Sprint 14'!B:B, 0)), "")</f>
        <v>Ready To Test</v>
      </c>
      <c r="W93" s="102">
        <v>115200.0</v>
      </c>
      <c r="X93" s="102" t="s">
        <v>4919</v>
      </c>
      <c r="Y93" s="102" t="s">
        <v>4657</v>
      </c>
      <c r="Z93" s="102" t="s">
        <v>2266</v>
      </c>
    </row>
    <row r="94">
      <c r="A94" s="102" t="s">
        <v>310</v>
      </c>
      <c r="B94" s="102" t="s">
        <v>5812</v>
      </c>
      <c r="C94" s="229" t="s">
        <v>5813</v>
      </c>
      <c r="D94" s="102" t="s">
        <v>5814</v>
      </c>
      <c r="E94" s="102" t="s">
        <v>328</v>
      </c>
      <c r="F94" s="102" t="s">
        <v>329</v>
      </c>
      <c r="G94" s="102" t="s">
        <v>282</v>
      </c>
      <c r="H94" s="102" t="s">
        <v>283</v>
      </c>
      <c r="I94" s="102" t="s">
        <v>284</v>
      </c>
      <c r="J94" s="102" t="s">
        <v>26</v>
      </c>
      <c r="L94" s="229" t="s">
        <v>5815</v>
      </c>
      <c r="M94" s="229" t="s">
        <v>5690</v>
      </c>
      <c r="N94" s="229" t="s">
        <v>5816</v>
      </c>
      <c r="O94" s="102">
        <v>2.0</v>
      </c>
      <c r="P94" s="102" t="s">
        <v>504</v>
      </c>
      <c r="Q94" s="102"/>
      <c r="R94" s="102"/>
      <c r="S94" s="102"/>
      <c r="T94" s="102">
        <v>0.0</v>
      </c>
      <c r="U94" s="102" t="str">
        <f>IF(ISNUMBER(MATCH(B94, 'Sprint 14'!B:B, 0)), "มาจาก Sprint 14", "")</f>
        <v>มาจาก Sprint 14</v>
      </c>
      <c r="V94" s="102" t="str">
        <f t="array" ref="V94">IF(ISNUMBER(MATCH(B94, 'Sprint 14'!B:B, 0)), INDEX('Sprint 14'!J:J, MATCH(B94, 'Sprint 14'!B:B, 0)), "")</f>
        <v>Ready To Test</v>
      </c>
      <c r="W94" s="102">
        <v>14400.0</v>
      </c>
      <c r="X94" s="102" t="s">
        <v>4657</v>
      </c>
      <c r="Y94" s="102" t="s">
        <v>2266</v>
      </c>
      <c r="Z94" s="102"/>
    </row>
    <row r="95">
      <c r="A95" s="102" t="s">
        <v>1465</v>
      </c>
      <c r="B95" s="102" t="s">
        <v>3241</v>
      </c>
      <c r="C95" s="229" t="s">
        <v>3242</v>
      </c>
      <c r="D95" s="102" t="s">
        <v>3243</v>
      </c>
      <c r="E95" s="102"/>
      <c r="F95" s="102"/>
      <c r="G95" s="102" t="s">
        <v>521</v>
      </c>
      <c r="H95" s="102" t="s">
        <v>522</v>
      </c>
      <c r="I95" s="102" t="s">
        <v>284</v>
      </c>
      <c r="J95" s="102" t="s">
        <v>63</v>
      </c>
      <c r="L95" s="229" t="s">
        <v>3244</v>
      </c>
      <c r="M95" s="229" t="s">
        <v>5741</v>
      </c>
      <c r="O95" s="102"/>
      <c r="T95" s="102"/>
      <c r="U95" s="102" t="str">
        <f>IF(ISNUMBER(MATCH(B95, 'Sprint 14'!B:B, 0)), "มาจาก Sprint 14", "")</f>
        <v>มาจาก Sprint 14</v>
      </c>
      <c r="V95" s="102" t="str">
        <f t="array" ref="V95">IF(ISNUMBER(MATCH(B95, 'Sprint 14'!B:B, 0)), INDEX('Sprint 14'!J:J, MATCH(B95, 'Sprint 14'!B:B, 0)), "")</f>
        <v>To Do</v>
      </c>
      <c r="W95" s="102"/>
      <c r="X95" s="102" t="s">
        <v>2196</v>
      </c>
      <c r="Y95" s="102" t="s">
        <v>2185</v>
      </c>
      <c r="Z95" s="102" t="s">
        <v>2186</v>
      </c>
    </row>
    <row r="96">
      <c r="A96" s="102" t="s">
        <v>310</v>
      </c>
      <c r="B96" s="102" t="s">
        <v>5817</v>
      </c>
      <c r="C96" s="229" t="s">
        <v>5818</v>
      </c>
      <c r="D96" s="102" t="s">
        <v>5819</v>
      </c>
      <c r="E96" s="102" t="s">
        <v>495</v>
      </c>
      <c r="F96" s="102" t="s">
        <v>496</v>
      </c>
      <c r="G96" s="102" t="s">
        <v>353</v>
      </c>
      <c r="H96" s="102" t="s">
        <v>354</v>
      </c>
      <c r="I96" s="102" t="s">
        <v>284</v>
      </c>
      <c r="J96" s="102" t="s">
        <v>26</v>
      </c>
      <c r="L96" s="229" t="s">
        <v>5820</v>
      </c>
      <c r="M96" s="229" t="s">
        <v>5751</v>
      </c>
      <c r="O96" s="102">
        <v>3.0</v>
      </c>
      <c r="T96" s="102">
        <v>0.0</v>
      </c>
      <c r="U96" s="102" t="str">
        <f>IF(ISNUMBER(MATCH(B96, 'Sprint 14'!B:B, 0)), "มาจาก Sprint 14", "")</f>
        <v>มาจาก Sprint 14</v>
      </c>
      <c r="V96" s="102" t="str">
        <f t="array" ref="V96">IF(ISNUMBER(MATCH(B96, 'Sprint 14'!B:B, 0)), INDEX('Sprint 14'!J:J, MATCH(B96, 'Sprint 14'!B:B, 0)), "")</f>
        <v>Ready To Test</v>
      </c>
      <c r="W96" s="102">
        <v>28800.0</v>
      </c>
      <c r="X96" s="102" t="s">
        <v>4919</v>
      </c>
      <c r="Y96" s="102" t="s">
        <v>4657</v>
      </c>
      <c r="Z96" s="102" t="s">
        <v>2266</v>
      </c>
    </row>
    <row r="97">
      <c r="A97" s="102" t="s">
        <v>276</v>
      </c>
      <c r="B97" s="102" t="s">
        <v>5821</v>
      </c>
      <c r="C97" s="229" t="s">
        <v>5822</v>
      </c>
      <c r="D97" s="102" t="s">
        <v>5823</v>
      </c>
      <c r="E97" s="102"/>
      <c r="F97" s="102"/>
      <c r="G97" s="102" t="s">
        <v>353</v>
      </c>
      <c r="H97" s="102" t="s">
        <v>354</v>
      </c>
      <c r="I97" s="102" t="s">
        <v>284</v>
      </c>
      <c r="J97" s="102" t="s">
        <v>63</v>
      </c>
      <c r="L97" s="229" t="s">
        <v>5824</v>
      </c>
      <c r="M97" s="229" t="s">
        <v>5824</v>
      </c>
      <c r="N97" s="102"/>
      <c r="O97" s="102"/>
      <c r="T97" s="102"/>
      <c r="U97" s="102" t="str">
        <f>IF(ISNUMBER(MATCH(B97, 'Sprint 14'!B:B, 0)), "มาจาก Sprint 14", "")</f>
        <v>มาจาก Sprint 14</v>
      </c>
      <c r="V97" s="102" t="str">
        <f t="array" ref="V97">IF(ISNUMBER(MATCH(B97, 'Sprint 14'!B:B, 0)), INDEX('Sprint 14'!J:J, MATCH(B97, 'Sprint 14'!B:B, 0)), "")</f>
        <v>To Do</v>
      </c>
      <c r="W97" s="102"/>
      <c r="X97" s="102" t="s">
        <v>4919</v>
      </c>
      <c r="Y97" s="102" t="s">
        <v>4657</v>
      </c>
      <c r="Z97" s="102" t="s">
        <v>2266</v>
      </c>
    </row>
    <row r="98">
      <c r="A98" s="102" t="s">
        <v>310</v>
      </c>
      <c r="B98" s="102" t="s">
        <v>5825</v>
      </c>
      <c r="C98" s="229" t="s">
        <v>5826</v>
      </c>
      <c r="D98" s="102" t="s">
        <v>5827</v>
      </c>
      <c r="E98" s="102" t="s">
        <v>495</v>
      </c>
      <c r="F98" s="102" t="s">
        <v>496</v>
      </c>
      <c r="G98" s="102" t="s">
        <v>353</v>
      </c>
      <c r="H98" s="102" t="s">
        <v>354</v>
      </c>
      <c r="I98" s="102" t="s">
        <v>284</v>
      </c>
      <c r="J98" s="102" t="s">
        <v>26</v>
      </c>
      <c r="L98" s="229" t="s">
        <v>5828</v>
      </c>
      <c r="M98" s="229" t="s">
        <v>5829</v>
      </c>
      <c r="N98" s="229" t="s">
        <v>4948</v>
      </c>
      <c r="O98" s="102">
        <v>3.0</v>
      </c>
      <c r="P98" s="102"/>
      <c r="Q98" s="102"/>
      <c r="R98" s="102"/>
      <c r="S98" s="102"/>
      <c r="T98" s="102">
        <v>0.0</v>
      </c>
      <c r="U98" s="102" t="str">
        <f>IF(ISNUMBER(MATCH(B98, 'Sprint 14'!B:B, 0)), "มาจาก Sprint 14", "")</f>
        <v>มาจาก Sprint 14</v>
      </c>
      <c r="V98" s="102" t="str">
        <f t="array" ref="V98">IF(ISNUMBER(MATCH(B98, 'Sprint 14'!B:B, 0)), INDEX('Sprint 14'!J:J, MATCH(B98, 'Sprint 14'!B:B, 0)), "")</f>
        <v>Ready To Test</v>
      </c>
      <c r="W98" s="102">
        <v>28800.0</v>
      </c>
      <c r="X98" s="102" t="s">
        <v>4919</v>
      </c>
      <c r="Y98" s="102" t="s">
        <v>4657</v>
      </c>
      <c r="Z98" s="102" t="s">
        <v>2266</v>
      </c>
    </row>
    <row r="99">
      <c r="A99" s="102" t="s">
        <v>332</v>
      </c>
      <c r="B99" s="102" t="s">
        <v>4658</v>
      </c>
      <c r="C99" s="229" t="s">
        <v>4659</v>
      </c>
      <c r="D99" s="102" t="s">
        <v>4660</v>
      </c>
      <c r="E99" s="102" t="s">
        <v>564</v>
      </c>
      <c r="F99" s="102" t="s">
        <v>565</v>
      </c>
      <c r="G99" s="102" t="s">
        <v>316</v>
      </c>
      <c r="H99" s="102" t="s">
        <v>317</v>
      </c>
      <c r="I99" s="102" t="s">
        <v>648</v>
      </c>
      <c r="J99" s="102" t="s">
        <v>922</v>
      </c>
      <c r="L99" s="229" t="s">
        <v>4661</v>
      </c>
      <c r="M99" s="229" t="s">
        <v>5830</v>
      </c>
      <c r="N99" s="229" t="s">
        <v>4663</v>
      </c>
      <c r="O99" s="102"/>
      <c r="P99" s="102" t="s">
        <v>481</v>
      </c>
      <c r="Q99" s="102" t="s">
        <v>4656</v>
      </c>
      <c r="R99" s="102" t="s">
        <v>367</v>
      </c>
      <c r="S99" s="102" t="s">
        <v>368</v>
      </c>
      <c r="T99" s="230"/>
      <c r="U99" s="102" t="str">
        <f>IF(ISNUMBER(MATCH(B99, 'Sprint 14'!B:B, 0)), "มาจาก Sprint 14", "")</f>
        <v>มาจาก Sprint 14</v>
      </c>
      <c r="V99" s="102" t="str">
        <f t="array" ref="V99">IF(ISNUMBER(MATCH(B99, 'Sprint 14'!B:B, 0)), INDEX('Sprint 14'!J:J, MATCH(B99, 'Sprint 14'!B:B, 0)), "")</f>
        <v>Resolved</v>
      </c>
      <c r="W99" s="230"/>
      <c r="X99" s="102" t="s">
        <v>4657</v>
      </c>
      <c r="Y99" s="102" t="s">
        <v>2266</v>
      </c>
      <c r="Z99" s="102"/>
    </row>
    <row r="100">
      <c r="A100" s="102" t="s">
        <v>310</v>
      </c>
      <c r="B100" s="102" t="s">
        <v>5537</v>
      </c>
      <c r="C100" s="229" t="s">
        <v>5538</v>
      </c>
      <c r="D100" s="102" t="s">
        <v>5539</v>
      </c>
      <c r="E100" s="102" t="s">
        <v>556</v>
      </c>
      <c r="F100" s="102" t="s">
        <v>557</v>
      </c>
      <c r="G100" s="102" t="s">
        <v>353</v>
      </c>
      <c r="H100" s="102" t="s">
        <v>354</v>
      </c>
      <c r="I100" s="102" t="s">
        <v>284</v>
      </c>
      <c r="J100" s="102" t="s">
        <v>454</v>
      </c>
      <c r="L100" s="229" t="s">
        <v>5540</v>
      </c>
      <c r="M100" s="229" t="s">
        <v>5831</v>
      </c>
      <c r="O100" s="102">
        <v>2.0</v>
      </c>
      <c r="T100" s="230"/>
      <c r="U100" s="102" t="str">
        <f>IF(ISNUMBER(MATCH(B100, 'Sprint 14'!B:B, 0)), "มาจาก Sprint 14", "")</f>
        <v/>
      </c>
      <c r="V100" s="102" t="str">
        <f t="array" ref="V100">IF(ISNUMBER(MATCH(B100, 'Sprint 14'!B:B, 0)), INDEX('Sprint 14'!J:J, MATCH(B100, 'Sprint 14'!B:B, 0)), "")</f>
        <v/>
      </c>
      <c r="W100" s="230"/>
      <c r="X100" s="102" t="s">
        <v>2266</v>
      </c>
      <c r="Y100" s="102"/>
      <c r="Z100" s="102"/>
    </row>
    <row r="101">
      <c r="A101" s="102" t="s">
        <v>332</v>
      </c>
      <c r="B101" s="102" t="s">
        <v>5832</v>
      </c>
      <c r="C101" s="229" t="s">
        <v>5833</v>
      </c>
      <c r="D101" s="102" t="s">
        <v>5834</v>
      </c>
      <c r="E101" s="102" t="s">
        <v>353</v>
      </c>
      <c r="F101" s="102" t="s">
        <v>354</v>
      </c>
      <c r="G101" s="102" t="s">
        <v>391</v>
      </c>
      <c r="H101" s="102" t="s">
        <v>392</v>
      </c>
      <c r="I101" s="102" t="s">
        <v>284</v>
      </c>
      <c r="J101" s="102" t="s">
        <v>922</v>
      </c>
      <c r="L101" s="229" t="s">
        <v>5835</v>
      </c>
      <c r="M101" s="229" t="s">
        <v>5836</v>
      </c>
      <c r="O101" s="102"/>
      <c r="T101" s="230"/>
      <c r="U101" s="102" t="str">
        <f>IF(ISNUMBER(MATCH(B101, 'Sprint 14'!B:B, 0)), "มาจาก Sprint 14", "")</f>
        <v>มาจาก Sprint 14</v>
      </c>
      <c r="V101" s="102" t="str">
        <f t="array" ref="V101">IF(ISNUMBER(MATCH(B101, 'Sprint 14'!B:B, 0)), INDEX('Sprint 14'!J:J, MATCH(B101, 'Sprint 14'!B:B, 0)), "")</f>
        <v>Resolved</v>
      </c>
      <c r="W101" s="230"/>
      <c r="X101" s="102" t="s">
        <v>5837</v>
      </c>
      <c r="Y101" s="102" t="s">
        <v>5838</v>
      </c>
      <c r="Z101" s="102" t="s">
        <v>5839</v>
      </c>
    </row>
    <row r="102">
      <c r="A102" s="102" t="s">
        <v>332</v>
      </c>
      <c r="B102" s="102" t="s">
        <v>4915</v>
      </c>
      <c r="C102" s="229" t="s">
        <v>4916</v>
      </c>
      <c r="D102" s="102" t="s">
        <v>4917</v>
      </c>
      <c r="E102" s="102" t="s">
        <v>282</v>
      </c>
      <c r="F102" s="102" t="s">
        <v>283</v>
      </c>
      <c r="G102" s="102" t="s">
        <v>282</v>
      </c>
      <c r="H102" s="102" t="s">
        <v>283</v>
      </c>
      <c r="I102" s="102" t="s">
        <v>284</v>
      </c>
      <c r="J102" s="102" t="s">
        <v>1738</v>
      </c>
      <c r="L102" s="229" t="s">
        <v>4918</v>
      </c>
      <c r="M102" s="229" t="s">
        <v>5840</v>
      </c>
      <c r="O102" s="102">
        <v>2.0</v>
      </c>
      <c r="T102" s="230"/>
      <c r="U102" s="102" t="str">
        <f>IF(ISNUMBER(MATCH(B102, 'Sprint 14'!B:B, 0)), "มาจาก Sprint 14", "")</f>
        <v>มาจาก Sprint 14</v>
      </c>
      <c r="V102" s="102" t="str">
        <f t="array" ref="V102">IF(ISNUMBER(MATCH(B102, 'Sprint 14'!B:B, 0)), INDEX('Sprint 14'!J:J, MATCH(B102, 'Sprint 14'!B:B, 0)), "")</f>
        <v>Fixing</v>
      </c>
      <c r="W102" s="230"/>
      <c r="X102" s="102" t="s">
        <v>4919</v>
      </c>
      <c r="Y102" s="102" t="s">
        <v>4657</v>
      </c>
      <c r="Z102" s="102" t="s">
        <v>2266</v>
      </c>
    </row>
    <row r="103">
      <c r="A103" s="102" t="s">
        <v>332</v>
      </c>
      <c r="B103" s="102" t="s">
        <v>5841</v>
      </c>
      <c r="C103" s="229" t="s">
        <v>5842</v>
      </c>
      <c r="D103" s="102" t="s">
        <v>5843</v>
      </c>
      <c r="E103" s="102" t="s">
        <v>353</v>
      </c>
      <c r="F103" s="102" t="s">
        <v>354</v>
      </c>
      <c r="G103" s="102" t="s">
        <v>5844</v>
      </c>
      <c r="H103" s="102" t="s">
        <v>5845</v>
      </c>
      <c r="I103" s="102" t="s">
        <v>284</v>
      </c>
      <c r="J103" s="102" t="s">
        <v>336</v>
      </c>
      <c r="L103" s="229" t="s">
        <v>5846</v>
      </c>
      <c r="M103" s="229" t="s">
        <v>5847</v>
      </c>
      <c r="N103" s="102"/>
      <c r="O103" s="102"/>
      <c r="T103" s="102"/>
      <c r="U103" s="102" t="str">
        <f>IF(ISNUMBER(MATCH(B103, 'Sprint 14'!B:B, 0)), "มาจาก Sprint 14", "")</f>
        <v>มาจาก Sprint 14</v>
      </c>
      <c r="V103" s="102" t="str">
        <f t="array" ref="V103">IF(ISNUMBER(MATCH(B103, 'Sprint 14'!B:B, 0)), INDEX('Sprint 14'!J:J, MATCH(B103, 'Sprint 14'!B:B, 0)), "")</f>
        <v>Resolved</v>
      </c>
      <c r="W103" s="102"/>
      <c r="X103" s="102" t="s">
        <v>2196</v>
      </c>
      <c r="Y103" s="102" t="s">
        <v>2185</v>
      </c>
      <c r="Z103" s="102" t="s">
        <v>2186</v>
      </c>
    </row>
    <row r="104">
      <c r="A104" s="102" t="s">
        <v>276</v>
      </c>
      <c r="B104" s="102" t="s">
        <v>5848</v>
      </c>
      <c r="C104" s="229" t="s">
        <v>5849</v>
      </c>
      <c r="D104" s="102" t="s">
        <v>5850</v>
      </c>
      <c r="E104" s="102" t="s">
        <v>3288</v>
      </c>
      <c r="F104" s="102" t="s">
        <v>3289</v>
      </c>
      <c r="G104" s="102" t="s">
        <v>3288</v>
      </c>
      <c r="H104" s="102" t="s">
        <v>3289</v>
      </c>
      <c r="I104" s="102" t="s">
        <v>284</v>
      </c>
      <c r="J104" s="102" t="s">
        <v>26</v>
      </c>
      <c r="L104" s="229" t="s">
        <v>5851</v>
      </c>
      <c r="M104" s="229" t="s">
        <v>5754</v>
      </c>
      <c r="N104" s="102"/>
      <c r="O104" s="102"/>
      <c r="P104" s="102"/>
      <c r="Q104" s="102"/>
      <c r="T104" s="102"/>
      <c r="U104" s="102" t="str">
        <f>IF(ISNUMBER(MATCH(B104, 'Sprint 14'!B:B, 0)), "มาจาก Sprint 14", "")</f>
        <v>มาจาก Sprint 14</v>
      </c>
      <c r="V104" s="102" t="str">
        <f t="array" ref="V104">IF(ISNUMBER(MATCH(B104, 'Sprint 14'!B:B, 0)), INDEX('Sprint 14'!J:J, MATCH(B104, 'Sprint 14'!B:B, 0)), "")</f>
        <v>To Do</v>
      </c>
      <c r="W104" s="102"/>
      <c r="X104" s="102" t="s">
        <v>4919</v>
      </c>
      <c r="Y104" s="102" t="s">
        <v>4657</v>
      </c>
      <c r="Z104" s="102" t="s">
        <v>2266</v>
      </c>
    </row>
    <row r="105">
      <c r="A105" s="102" t="s">
        <v>276</v>
      </c>
      <c r="B105" s="102" t="s">
        <v>5852</v>
      </c>
      <c r="C105" s="229" t="s">
        <v>5853</v>
      </c>
      <c r="D105" s="102" t="s">
        <v>5850</v>
      </c>
      <c r="E105" s="102" t="s">
        <v>3288</v>
      </c>
      <c r="F105" s="102" t="s">
        <v>3289</v>
      </c>
      <c r="G105" s="102" t="s">
        <v>3288</v>
      </c>
      <c r="H105" s="102" t="s">
        <v>3289</v>
      </c>
      <c r="I105" s="102" t="s">
        <v>284</v>
      </c>
      <c r="J105" s="102" t="s">
        <v>26</v>
      </c>
      <c r="L105" s="229" t="s">
        <v>5854</v>
      </c>
      <c r="M105" s="229" t="s">
        <v>5754</v>
      </c>
      <c r="N105" s="102"/>
      <c r="O105" s="102"/>
      <c r="P105" s="102"/>
      <c r="T105" s="102"/>
      <c r="U105" s="102" t="str">
        <f>IF(ISNUMBER(MATCH(B105, 'Sprint 14'!B:B, 0)), "มาจาก Sprint 14", "")</f>
        <v>มาจาก Sprint 14</v>
      </c>
      <c r="V105" s="102" t="str">
        <f t="array" ref="V105">IF(ISNUMBER(MATCH(B105, 'Sprint 14'!B:B, 0)), INDEX('Sprint 14'!J:J, MATCH(B105, 'Sprint 14'!B:B, 0)), "")</f>
        <v>To Do</v>
      </c>
      <c r="W105" s="102"/>
      <c r="X105" s="102" t="s">
        <v>4919</v>
      </c>
      <c r="Y105" s="102" t="s">
        <v>4657</v>
      </c>
      <c r="Z105" s="102" t="s">
        <v>2266</v>
      </c>
    </row>
    <row r="106">
      <c r="A106" s="102" t="s">
        <v>276</v>
      </c>
      <c r="B106" s="102" t="s">
        <v>5855</v>
      </c>
      <c r="C106" s="229" t="s">
        <v>5856</v>
      </c>
      <c r="D106" s="102" t="s">
        <v>5850</v>
      </c>
      <c r="E106" s="102" t="s">
        <v>3288</v>
      </c>
      <c r="F106" s="102" t="s">
        <v>3289</v>
      </c>
      <c r="G106" s="102" t="s">
        <v>3288</v>
      </c>
      <c r="H106" s="102" t="s">
        <v>3289</v>
      </c>
      <c r="I106" s="102" t="s">
        <v>284</v>
      </c>
      <c r="J106" s="102" t="s">
        <v>26</v>
      </c>
      <c r="L106" s="229" t="s">
        <v>5857</v>
      </c>
      <c r="M106" s="229" t="s">
        <v>5858</v>
      </c>
      <c r="O106" s="102"/>
      <c r="T106" s="230"/>
      <c r="U106" s="102" t="str">
        <f>IF(ISNUMBER(MATCH(B106, 'Sprint 14'!B:B, 0)), "มาจาก Sprint 14", "")</f>
        <v>มาจาก Sprint 14</v>
      </c>
      <c r="V106" s="102" t="str">
        <f t="array" ref="V106">IF(ISNUMBER(MATCH(B106, 'Sprint 14'!B:B, 0)), INDEX('Sprint 14'!J:J, MATCH(B106, 'Sprint 14'!B:B, 0)), "")</f>
        <v>Done</v>
      </c>
      <c r="W106" s="230"/>
      <c r="X106" s="102" t="s">
        <v>4919</v>
      </c>
      <c r="Y106" s="102" t="s">
        <v>4657</v>
      </c>
      <c r="Z106" s="102" t="s">
        <v>2266</v>
      </c>
    </row>
    <row r="107">
      <c r="A107" s="102" t="s">
        <v>310</v>
      </c>
      <c r="B107" s="102" t="s">
        <v>5543</v>
      </c>
      <c r="C107" s="229" t="s">
        <v>5544</v>
      </c>
      <c r="D107" s="102" t="s">
        <v>5545</v>
      </c>
      <c r="E107" s="102" t="s">
        <v>556</v>
      </c>
      <c r="F107" s="102" t="s">
        <v>557</v>
      </c>
      <c r="G107" s="102" t="s">
        <v>353</v>
      </c>
      <c r="H107" s="102" t="s">
        <v>354</v>
      </c>
      <c r="I107" s="102" t="s">
        <v>284</v>
      </c>
      <c r="J107" s="102" t="s">
        <v>454</v>
      </c>
      <c r="L107" s="229" t="s">
        <v>5546</v>
      </c>
      <c r="M107" s="229" t="s">
        <v>5859</v>
      </c>
      <c r="O107" s="102">
        <v>2.0</v>
      </c>
      <c r="P107" s="102"/>
      <c r="T107" s="102"/>
      <c r="U107" s="102" t="str">
        <f>IF(ISNUMBER(MATCH(B107, 'Sprint 14'!B:B, 0)), "มาจาก Sprint 14", "")</f>
        <v/>
      </c>
      <c r="V107" s="102" t="str">
        <f t="array" ref="V107">IF(ISNUMBER(MATCH(B107, 'Sprint 14'!B:B, 0)), INDEX('Sprint 14'!J:J, MATCH(B107, 'Sprint 14'!B:B, 0)), "")</f>
        <v/>
      </c>
      <c r="W107" s="102"/>
      <c r="X107" s="102" t="s">
        <v>4919</v>
      </c>
      <c r="Y107" s="102" t="s">
        <v>2266</v>
      </c>
      <c r="Z107" s="102"/>
    </row>
    <row r="108">
      <c r="A108" s="102" t="s">
        <v>310</v>
      </c>
      <c r="B108" s="102" t="s">
        <v>5860</v>
      </c>
      <c r="C108" s="229" t="s">
        <v>5861</v>
      </c>
      <c r="D108" s="102" t="s">
        <v>5862</v>
      </c>
      <c r="E108" s="102" t="s">
        <v>353</v>
      </c>
      <c r="F108" s="102" t="s">
        <v>354</v>
      </c>
      <c r="G108" s="102" t="s">
        <v>353</v>
      </c>
      <c r="H108" s="102" t="s">
        <v>354</v>
      </c>
      <c r="I108" s="102" t="s">
        <v>284</v>
      </c>
      <c r="J108" s="102" t="s">
        <v>26</v>
      </c>
      <c r="L108" s="229" t="s">
        <v>5863</v>
      </c>
      <c r="M108" s="229" t="s">
        <v>5864</v>
      </c>
      <c r="N108" s="102"/>
      <c r="O108" s="102">
        <v>8.0</v>
      </c>
      <c r="P108" s="102"/>
      <c r="T108" s="102"/>
      <c r="U108" s="102" t="str">
        <f>IF(ISNUMBER(MATCH(B108, 'Sprint 14'!B:B, 0)), "มาจาก Sprint 14", "")</f>
        <v>มาจาก Sprint 14</v>
      </c>
      <c r="V108" s="102" t="str">
        <f t="array" ref="V108">IF(ISNUMBER(MATCH(B108, 'Sprint 14'!B:B, 0)), INDEX('Sprint 14'!J:J, MATCH(B108, 'Sprint 14'!B:B, 0)), "")</f>
        <v>In Progress</v>
      </c>
      <c r="W108" s="102"/>
      <c r="X108" s="102" t="s">
        <v>4919</v>
      </c>
      <c r="Y108" s="102" t="s">
        <v>4657</v>
      </c>
      <c r="Z108" s="102" t="s">
        <v>2266</v>
      </c>
      <c r="AA108" s="102"/>
    </row>
    <row r="109">
      <c r="A109" s="102" t="s">
        <v>630</v>
      </c>
      <c r="B109" s="102" t="s">
        <v>2192</v>
      </c>
      <c r="C109" s="229" t="s">
        <v>2193</v>
      </c>
      <c r="D109" s="102" t="s">
        <v>2194</v>
      </c>
      <c r="E109" s="102"/>
      <c r="F109" s="102"/>
      <c r="G109" s="102" t="s">
        <v>304</v>
      </c>
      <c r="H109" s="102" t="s">
        <v>305</v>
      </c>
      <c r="I109" s="102" t="s">
        <v>284</v>
      </c>
      <c r="J109" s="102" t="s">
        <v>63</v>
      </c>
      <c r="L109" s="229" t="s">
        <v>2195</v>
      </c>
      <c r="M109" s="229" t="s">
        <v>5741</v>
      </c>
      <c r="O109" s="102"/>
      <c r="P109" s="102"/>
      <c r="T109" s="102"/>
      <c r="U109" s="102" t="str">
        <f>IF(ISNUMBER(MATCH(B109, 'Sprint 14'!B:B, 0)), "มาจาก Sprint 14", "")</f>
        <v>มาจาก Sprint 14</v>
      </c>
      <c r="V109" s="102" t="str">
        <f t="array" ref="V109">IF(ISNUMBER(MATCH(B109, 'Sprint 14'!B:B, 0)), INDEX('Sprint 14'!J:J, MATCH(B109, 'Sprint 14'!B:B, 0)), "")</f>
        <v>To Do</v>
      </c>
      <c r="W109" s="102"/>
      <c r="X109" s="102" t="s">
        <v>2196</v>
      </c>
      <c r="Y109" s="102" t="s">
        <v>2185</v>
      </c>
      <c r="Z109" s="102" t="s">
        <v>2186</v>
      </c>
      <c r="AA109" s="102"/>
    </row>
    <row r="110">
      <c r="A110" s="102" t="s">
        <v>630</v>
      </c>
      <c r="B110" s="102" t="s">
        <v>2197</v>
      </c>
      <c r="C110" s="229" t="s">
        <v>2198</v>
      </c>
      <c r="D110" s="102" t="s">
        <v>2199</v>
      </c>
      <c r="E110" s="102"/>
      <c r="F110" s="102"/>
      <c r="G110" s="102" t="s">
        <v>304</v>
      </c>
      <c r="H110" s="102" t="s">
        <v>305</v>
      </c>
      <c r="I110" s="102" t="s">
        <v>284</v>
      </c>
      <c r="J110" s="102" t="s">
        <v>63</v>
      </c>
      <c r="L110" s="229" t="s">
        <v>2200</v>
      </c>
      <c r="M110" s="229" t="s">
        <v>5741</v>
      </c>
      <c r="N110" s="102"/>
      <c r="O110" s="102"/>
      <c r="P110" s="102"/>
      <c r="T110" s="102"/>
      <c r="U110" s="102" t="str">
        <f>IF(ISNUMBER(MATCH(B110, 'Sprint 14'!B:B, 0)), "มาจาก Sprint 14", "")</f>
        <v>มาจาก Sprint 14</v>
      </c>
      <c r="V110" s="102" t="str">
        <f t="array" ref="V110">IF(ISNUMBER(MATCH(B110, 'Sprint 14'!B:B, 0)), INDEX('Sprint 14'!J:J, MATCH(B110, 'Sprint 14'!B:B, 0)), "")</f>
        <v>To Do</v>
      </c>
      <c r="W110" s="102"/>
      <c r="X110" s="102" t="s">
        <v>2196</v>
      </c>
      <c r="Y110" s="102" t="s">
        <v>2185</v>
      </c>
      <c r="Z110" s="102" t="s">
        <v>2186</v>
      </c>
      <c r="AA110" s="102"/>
      <c r="AB110" s="102"/>
    </row>
    <row r="111">
      <c r="A111" s="102" t="s">
        <v>310</v>
      </c>
      <c r="B111" s="102" t="s">
        <v>5865</v>
      </c>
      <c r="C111" s="229" t="s">
        <v>5866</v>
      </c>
      <c r="D111" s="102" t="s">
        <v>5867</v>
      </c>
      <c r="E111" s="102" t="s">
        <v>328</v>
      </c>
      <c r="F111" s="102" t="s">
        <v>329</v>
      </c>
      <c r="G111" s="102" t="s">
        <v>353</v>
      </c>
      <c r="H111" s="102" t="s">
        <v>354</v>
      </c>
      <c r="I111" s="102" t="s">
        <v>284</v>
      </c>
      <c r="J111" s="102" t="s">
        <v>26</v>
      </c>
      <c r="L111" s="229" t="s">
        <v>5868</v>
      </c>
      <c r="M111" s="229" t="s">
        <v>5763</v>
      </c>
      <c r="N111" s="229" t="s">
        <v>5869</v>
      </c>
      <c r="O111" s="102">
        <v>3.0</v>
      </c>
      <c r="P111" s="102"/>
      <c r="Q111" s="102"/>
      <c r="T111" s="102">
        <v>0.0</v>
      </c>
      <c r="U111" s="102" t="str">
        <f>IF(ISNUMBER(MATCH(B111, 'Sprint 14'!B:B, 0)), "มาจาก Sprint 14", "")</f>
        <v>มาจาก Sprint 14</v>
      </c>
      <c r="V111" s="102" t="str">
        <f t="array" ref="V111">IF(ISNUMBER(MATCH(B111, 'Sprint 14'!B:B, 0)), INDEX('Sprint 14'!J:J, MATCH(B111, 'Sprint 14'!B:B, 0)), "")</f>
        <v>Ready To Test</v>
      </c>
      <c r="W111" s="102">
        <v>28800.0</v>
      </c>
      <c r="X111" s="102" t="s">
        <v>4919</v>
      </c>
      <c r="Y111" s="102" t="s">
        <v>4657</v>
      </c>
      <c r="Z111" s="102" t="s">
        <v>2266</v>
      </c>
      <c r="AA111" s="102"/>
      <c r="AB111" s="102"/>
    </row>
    <row r="112">
      <c r="A112" s="102" t="s">
        <v>310</v>
      </c>
      <c r="B112" s="102" t="s">
        <v>5870</v>
      </c>
      <c r="C112" s="229" t="s">
        <v>5871</v>
      </c>
      <c r="D112" s="102" t="s">
        <v>5872</v>
      </c>
      <c r="E112" s="102" t="s">
        <v>584</v>
      </c>
      <c r="F112" s="102" t="s">
        <v>585</v>
      </c>
      <c r="G112" s="102" t="s">
        <v>353</v>
      </c>
      <c r="H112" s="102" t="s">
        <v>354</v>
      </c>
      <c r="I112" s="102" t="s">
        <v>284</v>
      </c>
      <c r="J112" s="102" t="s">
        <v>26</v>
      </c>
      <c r="L112" s="229" t="s">
        <v>5873</v>
      </c>
      <c r="M112" s="229" t="s">
        <v>5874</v>
      </c>
      <c r="N112" s="229" t="s">
        <v>5875</v>
      </c>
      <c r="O112" s="102">
        <v>3.0</v>
      </c>
      <c r="P112" s="102" t="s">
        <v>538</v>
      </c>
      <c r="Q112" s="102" t="s">
        <v>593</v>
      </c>
      <c r="T112" s="102">
        <v>0.0</v>
      </c>
      <c r="U112" s="102" t="str">
        <f>IF(ISNUMBER(MATCH(B112, 'Sprint 14'!B:B, 0)), "มาจาก Sprint 14", "")</f>
        <v>มาจาก Sprint 14</v>
      </c>
      <c r="V112" s="102" t="str">
        <f t="array" ref="V112">IF(ISNUMBER(MATCH(B112, 'Sprint 14'!B:B, 0)), INDEX('Sprint 14'!J:J, MATCH(B112, 'Sprint 14'!B:B, 0)), "")</f>
        <v>Ready To Test</v>
      </c>
      <c r="W112" s="102">
        <v>57600.0</v>
      </c>
      <c r="X112" s="102" t="s">
        <v>4919</v>
      </c>
      <c r="Y112" s="102" t="s">
        <v>4657</v>
      </c>
      <c r="Z112" s="102" t="s">
        <v>2266</v>
      </c>
      <c r="AA112" s="102"/>
      <c r="AB112" s="102"/>
    </row>
    <row r="113">
      <c r="A113" s="102" t="s">
        <v>310</v>
      </c>
      <c r="B113" s="102" t="s">
        <v>5876</v>
      </c>
      <c r="C113" s="229" t="s">
        <v>5877</v>
      </c>
      <c r="D113" s="102" t="s">
        <v>5878</v>
      </c>
      <c r="E113" s="102" t="s">
        <v>495</v>
      </c>
      <c r="F113" s="102" t="s">
        <v>496</v>
      </c>
      <c r="G113" s="102" t="s">
        <v>353</v>
      </c>
      <c r="H113" s="102" t="s">
        <v>354</v>
      </c>
      <c r="I113" s="102" t="s">
        <v>284</v>
      </c>
      <c r="J113" s="102" t="s">
        <v>26</v>
      </c>
      <c r="L113" s="229" t="s">
        <v>5879</v>
      </c>
      <c r="M113" s="229" t="s">
        <v>5880</v>
      </c>
      <c r="N113" s="229" t="s">
        <v>5881</v>
      </c>
      <c r="O113" s="102">
        <v>5.0</v>
      </c>
      <c r="P113" s="102" t="s">
        <v>538</v>
      </c>
      <c r="T113" s="102">
        <v>0.0</v>
      </c>
      <c r="U113" s="102" t="str">
        <f>IF(ISNUMBER(MATCH(B113, 'Sprint 14'!B:B, 0)), "มาจาก Sprint 14", "")</f>
        <v>มาจาก Sprint 14</v>
      </c>
      <c r="V113" s="102" t="str">
        <f t="array" ref="V113">IF(ISNUMBER(MATCH(B113, 'Sprint 14'!B:B, 0)), INDEX('Sprint 14'!J:J, MATCH(B113, 'Sprint 14'!B:B, 0)), "")</f>
        <v>Ready To Test</v>
      </c>
      <c r="W113" s="102">
        <v>43200.0</v>
      </c>
      <c r="X113" s="102" t="s">
        <v>4919</v>
      </c>
      <c r="Y113" s="102" t="s">
        <v>4657</v>
      </c>
      <c r="Z113" s="102" t="s">
        <v>2266</v>
      </c>
      <c r="AA113" s="102"/>
      <c r="AB113" s="102"/>
      <c r="AC113" s="102"/>
    </row>
    <row r="114">
      <c r="A114" s="102" t="s">
        <v>310</v>
      </c>
      <c r="B114" s="102" t="s">
        <v>5882</v>
      </c>
      <c r="C114" s="229" t="s">
        <v>5883</v>
      </c>
      <c r="D114" s="102" t="s">
        <v>5884</v>
      </c>
      <c r="E114" s="102" t="s">
        <v>513</v>
      </c>
      <c r="F114" s="102" t="s">
        <v>514</v>
      </c>
      <c r="G114" s="102" t="s">
        <v>513</v>
      </c>
      <c r="H114" s="102" t="s">
        <v>514</v>
      </c>
      <c r="I114" s="102" t="s">
        <v>284</v>
      </c>
      <c r="J114" s="102" t="s">
        <v>34</v>
      </c>
      <c r="L114" s="229" t="s">
        <v>5885</v>
      </c>
      <c r="M114" s="229" t="s">
        <v>5886</v>
      </c>
      <c r="N114" s="102"/>
      <c r="O114" s="102">
        <v>3.0</v>
      </c>
      <c r="P114" s="102"/>
      <c r="T114" s="102"/>
      <c r="U114" s="102" t="str">
        <f>IF(ISNUMBER(MATCH(B114, 'Sprint 14'!B:B, 0)), "มาจาก Sprint 14", "")</f>
        <v/>
      </c>
      <c r="V114" s="102" t="str">
        <f t="array" ref="V114">IF(ISNUMBER(MATCH(B114, 'Sprint 14'!B:B, 0)), INDEX('Sprint 14'!J:J, MATCH(B114, 'Sprint 14'!B:B, 0)), "")</f>
        <v/>
      </c>
      <c r="W114" s="102"/>
      <c r="X114" s="102" t="s">
        <v>5629</v>
      </c>
      <c r="Y114" s="102"/>
      <c r="Z114" s="102"/>
      <c r="AA114" s="102"/>
      <c r="AB114" s="102"/>
      <c r="AC114" s="102"/>
    </row>
    <row r="115">
      <c r="A115" s="102" t="s">
        <v>310</v>
      </c>
      <c r="B115" s="102" t="s">
        <v>5887</v>
      </c>
      <c r="C115" s="229" t="s">
        <v>5888</v>
      </c>
      <c r="D115" s="102" t="s">
        <v>5889</v>
      </c>
      <c r="E115" s="102" t="s">
        <v>513</v>
      </c>
      <c r="F115" s="102" t="s">
        <v>514</v>
      </c>
      <c r="G115" s="102" t="s">
        <v>513</v>
      </c>
      <c r="H115" s="102" t="s">
        <v>514</v>
      </c>
      <c r="I115" s="102" t="s">
        <v>284</v>
      </c>
      <c r="J115" s="102" t="s">
        <v>63</v>
      </c>
      <c r="L115" s="229" t="s">
        <v>5885</v>
      </c>
      <c r="M115" s="229" t="s">
        <v>5890</v>
      </c>
      <c r="N115" s="102"/>
      <c r="O115" s="102">
        <v>3.0</v>
      </c>
      <c r="P115" s="102" t="s">
        <v>593</v>
      </c>
      <c r="T115" s="102">
        <v>28800.0</v>
      </c>
      <c r="U115" s="102" t="str">
        <f>IF(ISNUMBER(MATCH(B115, 'Sprint 14'!B:B, 0)), "มาจาก Sprint 14", "")</f>
        <v/>
      </c>
      <c r="V115" s="102" t="str">
        <f t="array" ref="V115">IF(ISNUMBER(MATCH(B115, 'Sprint 14'!B:B, 0)), INDEX('Sprint 14'!J:J, MATCH(B115, 'Sprint 14'!B:B, 0)), "")</f>
        <v/>
      </c>
      <c r="W115" s="102"/>
      <c r="X115" s="102" t="s">
        <v>5629</v>
      </c>
      <c r="Y115" s="102"/>
      <c r="Z115" s="102"/>
      <c r="AA115" s="102"/>
      <c r="AB115" s="102"/>
      <c r="AC115" s="102"/>
      <c r="AD115" s="102"/>
      <c r="AE115" s="102"/>
    </row>
    <row r="116">
      <c r="A116" s="102" t="s">
        <v>630</v>
      </c>
      <c r="B116" s="102" t="s">
        <v>2201</v>
      </c>
      <c r="C116" s="229" t="s">
        <v>2202</v>
      </c>
      <c r="D116" s="102" t="s">
        <v>2203</v>
      </c>
      <c r="G116" s="102" t="s">
        <v>304</v>
      </c>
      <c r="H116" s="102" t="s">
        <v>305</v>
      </c>
      <c r="I116" s="102" t="s">
        <v>284</v>
      </c>
      <c r="J116" s="102" t="s">
        <v>63</v>
      </c>
      <c r="L116" s="229" t="s">
        <v>2204</v>
      </c>
      <c r="M116" s="229" t="s">
        <v>5741</v>
      </c>
      <c r="O116" s="230"/>
      <c r="P116" s="102"/>
      <c r="T116" s="230"/>
      <c r="U116" s="102" t="str">
        <f>IF(ISNUMBER(MATCH(B116, 'Sprint 14'!B:B, 0)), "มาจาก Sprint 14", "")</f>
        <v>มาจาก Sprint 14</v>
      </c>
      <c r="V116" s="102" t="str">
        <f t="array" ref="V116">IF(ISNUMBER(MATCH(B116, 'Sprint 14'!B:B, 0)), INDEX('Sprint 14'!J:J, MATCH(B116, 'Sprint 14'!B:B, 0)), "")</f>
        <v>To Do</v>
      </c>
      <c r="W116" s="230"/>
      <c r="X116" s="102" t="s">
        <v>2205</v>
      </c>
      <c r="Y116" s="102" t="s">
        <v>2196</v>
      </c>
      <c r="Z116" s="102" t="s">
        <v>2185</v>
      </c>
      <c r="AA116" s="102" t="s">
        <v>2186</v>
      </c>
      <c r="AB116" s="102"/>
      <c r="AC116" s="102"/>
      <c r="AD116" s="102"/>
      <c r="AE116" s="102"/>
    </row>
    <row r="117">
      <c r="A117" s="102" t="s">
        <v>630</v>
      </c>
      <c r="B117" s="102" t="s">
        <v>2206</v>
      </c>
      <c r="C117" s="229" t="s">
        <v>2207</v>
      </c>
      <c r="D117" s="102" t="s">
        <v>2208</v>
      </c>
      <c r="E117" s="102"/>
      <c r="F117" s="102"/>
      <c r="G117" s="102" t="s">
        <v>304</v>
      </c>
      <c r="H117" s="102" t="s">
        <v>305</v>
      </c>
      <c r="I117" s="102" t="s">
        <v>284</v>
      </c>
      <c r="J117" s="102" t="s">
        <v>63</v>
      </c>
      <c r="L117" s="229" t="s">
        <v>2209</v>
      </c>
      <c r="M117" s="229" t="s">
        <v>5741</v>
      </c>
      <c r="N117" s="102"/>
      <c r="O117" s="102"/>
      <c r="P117" s="102" t="s">
        <v>1808</v>
      </c>
      <c r="T117" s="102"/>
      <c r="U117" s="102" t="str">
        <f>IF(ISNUMBER(MATCH(B117, 'Sprint 14'!B:B, 0)), "มาจาก Sprint 14", "")</f>
        <v>มาจาก Sprint 14</v>
      </c>
      <c r="V117" s="102" t="str">
        <f t="array" ref="V117">IF(ISNUMBER(MATCH(B117, 'Sprint 14'!B:B, 0)), INDEX('Sprint 14'!J:J, MATCH(B117, 'Sprint 14'!B:B, 0)), "")</f>
        <v>To Do</v>
      </c>
      <c r="W117" s="102"/>
      <c r="X117" s="102" t="s">
        <v>2205</v>
      </c>
      <c r="Y117" s="102" t="s">
        <v>2196</v>
      </c>
      <c r="Z117" s="102" t="s">
        <v>2185</v>
      </c>
      <c r="AA117" s="102" t="s">
        <v>2186</v>
      </c>
      <c r="AB117" s="102"/>
      <c r="AC117" s="102"/>
      <c r="AD117" s="102"/>
      <c r="AE117" s="102"/>
    </row>
    <row r="118">
      <c r="A118" s="102" t="s">
        <v>310</v>
      </c>
      <c r="B118" s="102" t="s">
        <v>5891</v>
      </c>
      <c r="C118" s="229" t="s">
        <v>5892</v>
      </c>
      <c r="D118" s="102" t="s">
        <v>5893</v>
      </c>
      <c r="E118" s="102" t="s">
        <v>513</v>
      </c>
      <c r="F118" s="102" t="s">
        <v>514</v>
      </c>
      <c r="G118" s="102" t="s">
        <v>353</v>
      </c>
      <c r="H118" s="102" t="s">
        <v>354</v>
      </c>
      <c r="I118" s="102" t="s">
        <v>515</v>
      </c>
      <c r="J118" s="102" t="s">
        <v>454</v>
      </c>
      <c r="L118" s="229" t="s">
        <v>5894</v>
      </c>
      <c r="M118" s="229" t="s">
        <v>5836</v>
      </c>
      <c r="N118" s="229" t="s">
        <v>5895</v>
      </c>
      <c r="O118" s="102">
        <v>3.0</v>
      </c>
      <c r="P118" s="102" t="s">
        <v>593</v>
      </c>
      <c r="T118" s="102">
        <v>0.0</v>
      </c>
      <c r="U118" s="102" t="str">
        <f>IF(ISNUMBER(MATCH(B118, 'Sprint 14'!B:B, 0)), "มาจาก Sprint 14", "")</f>
        <v>มาจาก Sprint 14</v>
      </c>
      <c r="V118" s="102" t="str">
        <f t="array" ref="V118">IF(ISNUMBER(MATCH(B118, 'Sprint 14'!B:B, 0)), INDEX('Sprint 14'!J:J, MATCH(B118, 'Sprint 14'!B:B, 0)), "")</f>
        <v>Ready To Test</v>
      </c>
      <c r="W118" s="102">
        <v>28800.0</v>
      </c>
      <c r="X118" s="102" t="s">
        <v>5896</v>
      </c>
      <c r="Y118" s="102" t="s">
        <v>5837</v>
      </c>
      <c r="Z118" s="102" t="s">
        <v>5838</v>
      </c>
      <c r="AA118" s="102" t="s">
        <v>5839</v>
      </c>
      <c r="AB118" s="102"/>
      <c r="AC118" s="102"/>
      <c r="AD118" s="102"/>
      <c r="AE118" s="102"/>
    </row>
    <row r="119">
      <c r="A119" s="102" t="s">
        <v>310</v>
      </c>
      <c r="B119" s="102" t="s">
        <v>5550</v>
      </c>
      <c r="C119" s="229" t="s">
        <v>5551</v>
      </c>
      <c r="D119" s="102" t="s">
        <v>5552</v>
      </c>
      <c r="E119" s="102" t="s">
        <v>314</v>
      </c>
      <c r="F119" s="102" t="s">
        <v>315</v>
      </c>
      <c r="G119" s="102" t="s">
        <v>314</v>
      </c>
      <c r="H119" s="102" t="s">
        <v>315</v>
      </c>
      <c r="I119" s="102" t="s">
        <v>648</v>
      </c>
      <c r="J119" s="102" t="s">
        <v>355</v>
      </c>
      <c r="L119" s="229" t="s">
        <v>5553</v>
      </c>
      <c r="M119" s="229" t="s">
        <v>5768</v>
      </c>
      <c r="N119" s="102"/>
      <c r="O119" s="102">
        <v>3.0</v>
      </c>
      <c r="P119" s="102" t="s">
        <v>593</v>
      </c>
      <c r="T119" s="102">
        <v>0.0</v>
      </c>
      <c r="U119" s="102" t="str">
        <f>IF(ISNUMBER(MATCH(B119, 'Sprint 14'!B:B, 0)), "มาจาก Sprint 14", "")</f>
        <v>มาจาก Sprint 14</v>
      </c>
      <c r="V119" s="102" t="str">
        <f t="array" ref="V119">IF(ISNUMBER(MATCH(B119, 'Sprint 14'!B:B, 0)), INDEX('Sprint 14'!J:J, MATCH(B119, 'Sprint 14'!B:B, 0)), "")</f>
        <v>In Review</v>
      </c>
      <c r="W119" s="102">
        <v>28800.0</v>
      </c>
      <c r="X119" s="102" t="s">
        <v>1366</v>
      </c>
      <c r="Y119" s="102" t="s">
        <v>1367</v>
      </c>
      <c r="Z119" s="102" t="s">
        <v>1368</v>
      </c>
      <c r="AA119" s="102" t="s">
        <v>1369</v>
      </c>
      <c r="AB119" s="102"/>
      <c r="AC119" s="102"/>
      <c r="AD119" s="102"/>
      <c r="AE119" s="102"/>
    </row>
    <row r="120">
      <c r="A120" s="102" t="s">
        <v>332</v>
      </c>
      <c r="B120" s="102" t="s">
        <v>4949</v>
      </c>
      <c r="C120" s="229" t="s">
        <v>4950</v>
      </c>
      <c r="D120" s="102" t="s">
        <v>4951</v>
      </c>
      <c r="E120" s="102" t="s">
        <v>353</v>
      </c>
      <c r="F120" s="102" t="s">
        <v>354</v>
      </c>
      <c r="G120" s="102" t="s">
        <v>353</v>
      </c>
      <c r="H120" s="102" t="s">
        <v>354</v>
      </c>
      <c r="I120" s="102" t="s">
        <v>284</v>
      </c>
      <c r="J120" s="102" t="s">
        <v>1738</v>
      </c>
      <c r="L120" s="229" t="s">
        <v>4952</v>
      </c>
      <c r="M120" s="229" t="s">
        <v>5740</v>
      </c>
      <c r="O120" s="102">
        <v>2.0</v>
      </c>
      <c r="P120" s="102" t="s">
        <v>593</v>
      </c>
      <c r="T120" s="230"/>
      <c r="U120" s="102" t="str">
        <f>IF(ISNUMBER(MATCH(B120, 'Sprint 14'!B:B, 0)), "มาจาก Sprint 14", "")</f>
        <v>มาจาก Sprint 14</v>
      </c>
      <c r="V120" s="102" t="str">
        <f t="array" ref="V120">IF(ISNUMBER(MATCH(B120, 'Sprint 14'!B:B, 0)), INDEX('Sprint 14'!J:J, MATCH(B120, 'Sprint 14'!B:B, 0)), "")</f>
        <v>Pass : Waiting for deployment</v>
      </c>
      <c r="W120" s="230"/>
      <c r="X120" s="102" t="s">
        <v>4953</v>
      </c>
      <c r="Y120" s="102" t="s">
        <v>4954</v>
      </c>
      <c r="Z120" s="102" t="s">
        <v>4919</v>
      </c>
      <c r="AA120" s="102" t="s">
        <v>4657</v>
      </c>
      <c r="AB120" s="102" t="s">
        <v>2266</v>
      </c>
    </row>
    <row r="121">
      <c r="A121" s="102" t="s">
        <v>332</v>
      </c>
      <c r="B121" s="102" t="s">
        <v>5897</v>
      </c>
      <c r="C121" s="229" t="s">
        <v>5898</v>
      </c>
      <c r="D121" s="102" t="s">
        <v>5899</v>
      </c>
      <c r="E121" s="102" t="s">
        <v>556</v>
      </c>
      <c r="F121" s="102" t="s">
        <v>557</v>
      </c>
      <c r="G121" s="102" t="s">
        <v>391</v>
      </c>
      <c r="H121" s="102" t="s">
        <v>392</v>
      </c>
      <c r="I121" s="102" t="s">
        <v>284</v>
      </c>
      <c r="J121" s="102" t="s">
        <v>922</v>
      </c>
      <c r="L121" s="229" t="s">
        <v>5900</v>
      </c>
      <c r="M121" s="229" t="s">
        <v>5836</v>
      </c>
      <c r="N121" s="102"/>
      <c r="O121" s="102"/>
      <c r="P121" s="102"/>
      <c r="T121" s="102"/>
      <c r="U121" s="102" t="str">
        <f>IF(ISNUMBER(MATCH(B121, 'Sprint 14'!B:B, 0)), "มาจาก Sprint 14", "")</f>
        <v>มาจาก Sprint 14</v>
      </c>
      <c r="V121" s="102" t="str">
        <f t="array" ref="V121">IF(ISNUMBER(MATCH(B121, 'Sprint 14'!B:B, 0)), INDEX('Sprint 14'!J:J, MATCH(B121, 'Sprint 14'!B:B, 0)), "")</f>
        <v>Resolved</v>
      </c>
      <c r="W121" s="102"/>
      <c r="X121" s="102" t="s">
        <v>5901</v>
      </c>
      <c r="Y121" s="102" t="s">
        <v>5896</v>
      </c>
      <c r="Z121" s="102" t="s">
        <v>5837</v>
      </c>
      <c r="AA121" s="102" t="s">
        <v>5838</v>
      </c>
      <c r="AB121" s="102" t="s">
        <v>5839</v>
      </c>
      <c r="AC121" s="102"/>
      <c r="AD121" s="102"/>
      <c r="AE121" s="102"/>
      <c r="AF121" s="102"/>
    </row>
    <row r="122">
      <c r="A122" s="102" t="s">
        <v>310</v>
      </c>
      <c r="B122" s="102" t="s">
        <v>5902</v>
      </c>
      <c r="C122" s="229" t="s">
        <v>5903</v>
      </c>
      <c r="D122" s="102" t="s">
        <v>5904</v>
      </c>
      <c r="E122" s="102" t="s">
        <v>564</v>
      </c>
      <c r="F122" s="102" t="s">
        <v>565</v>
      </c>
      <c r="G122" s="102" t="s">
        <v>282</v>
      </c>
      <c r="H122" s="102" t="s">
        <v>283</v>
      </c>
      <c r="I122" s="102" t="s">
        <v>284</v>
      </c>
      <c r="J122" s="102" t="s">
        <v>454</v>
      </c>
      <c r="L122" s="229" t="s">
        <v>5905</v>
      </c>
      <c r="M122" s="229" t="s">
        <v>5740</v>
      </c>
      <c r="N122" s="229" t="s">
        <v>5906</v>
      </c>
      <c r="O122" s="102">
        <v>3.0</v>
      </c>
      <c r="P122" s="102" t="s">
        <v>5907</v>
      </c>
      <c r="T122" s="102">
        <v>0.0</v>
      </c>
      <c r="U122" s="102" t="str">
        <f>IF(ISNUMBER(MATCH(B122, 'Sprint 14'!B:B, 0)), "มาจาก Sprint 14", "")</f>
        <v>มาจาก Sprint 14</v>
      </c>
      <c r="V122" s="102" t="str">
        <f t="array" ref="V122">IF(ISNUMBER(MATCH(B122, 'Sprint 14'!B:B, 0)), INDEX('Sprint 14'!J:J, MATCH(B122, 'Sprint 14'!B:B, 0)), "")</f>
        <v>Ready To Test</v>
      </c>
      <c r="W122" s="102">
        <v>21600.0</v>
      </c>
      <c r="X122" s="102" t="s">
        <v>4953</v>
      </c>
      <c r="Y122" s="102" t="s">
        <v>4954</v>
      </c>
      <c r="Z122" s="102" t="s">
        <v>4919</v>
      </c>
      <c r="AA122" s="102" t="s">
        <v>4657</v>
      </c>
      <c r="AB122" s="102" t="s">
        <v>2266</v>
      </c>
      <c r="AC122" s="102"/>
      <c r="AD122" s="102"/>
      <c r="AE122" s="102"/>
      <c r="AF122" s="102"/>
    </row>
    <row r="123">
      <c r="A123" s="102" t="s">
        <v>310</v>
      </c>
      <c r="B123" s="102" t="s">
        <v>5908</v>
      </c>
      <c r="C123" s="229" t="s">
        <v>5909</v>
      </c>
      <c r="D123" s="102" t="s">
        <v>5910</v>
      </c>
      <c r="E123" s="102" t="s">
        <v>584</v>
      </c>
      <c r="F123" s="102" t="s">
        <v>585</v>
      </c>
      <c r="G123" s="102" t="s">
        <v>282</v>
      </c>
      <c r="H123" s="102" t="s">
        <v>283</v>
      </c>
      <c r="I123" s="102" t="s">
        <v>284</v>
      </c>
      <c r="J123" s="102" t="s">
        <v>454</v>
      </c>
      <c r="L123" s="229" t="s">
        <v>5911</v>
      </c>
      <c r="M123" s="229" t="s">
        <v>5836</v>
      </c>
      <c r="N123" s="102"/>
      <c r="O123" s="102">
        <v>2.0</v>
      </c>
      <c r="P123" s="102" t="s">
        <v>5912</v>
      </c>
      <c r="T123" s="102"/>
      <c r="U123" s="102" t="str">
        <f>IF(ISNUMBER(MATCH(B123, 'Sprint 14'!B:B, 0)), "มาจาก Sprint 14", "")</f>
        <v>มาจาก Sprint 14</v>
      </c>
      <c r="V123" s="102" t="str">
        <f t="array" ref="V123">IF(ISNUMBER(MATCH(B123, 'Sprint 14'!B:B, 0)), INDEX('Sprint 14'!J:J, MATCH(B123, 'Sprint 14'!B:B, 0)), "")</f>
        <v>Ready To Test</v>
      </c>
      <c r="W123" s="102"/>
      <c r="X123" s="102" t="s">
        <v>5913</v>
      </c>
      <c r="Y123" s="102" t="s">
        <v>5901</v>
      </c>
      <c r="Z123" s="102" t="s">
        <v>5896</v>
      </c>
      <c r="AA123" s="102" t="s">
        <v>5837</v>
      </c>
      <c r="AB123" s="102" t="s">
        <v>5838</v>
      </c>
      <c r="AC123" s="102" t="s">
        <v>5839</v>
      </c>
    </row>
    <row r="124">
      <c r="A124" s="102" t="s">
        <v>310</v>
      </c>
      <c r="B124" s="102" t="s">
        <v>5562</v>
      </c>
      <c r="C124" s="229" t="s">
        <v>5563</v>
      </c>
      <c r="D124" s="102" t="s">
        <v>5564</v>
      </c>
      <c r="E124" s="102" t="s">
        <v>556</v>
      </c>
      <c r="F124" s="102" t="s">
        <v>557</v>
      </c>
      <c r="G124" s="102" t="s">
        <v>282</v>
      </c>
      <c r="H124" s="102" t="s">
        <v>283</v>
      </c>
      <c r="I124" s="102" t="s">
        <v>284</v>
      </c>
      <c r="J124" s="102" t="s">
        <v>2509</v>
      </c>
      <c r="L124" s="229" t="s">
        <v>5565</v>
      </c>
      <c r="M124" s="229" t="s">
        <v>5740</v>
      </c>
      <c r="N124" s="229" t="s">
        <v>5567</v>
      </c>
      <c r="O124" s="102">
        <v>2.0</v>
      </c>
      <c r="P124" s="102" t="s">
        <v>5547</v>
      </c>
      <c r="T124" s="102">
        <v>0.0</v>
      </c>
      <c r="U124" s="102" t="str">
        <f>IF(ISNUMBER(MATCH(B124, 'Sprint 14'!B:B, 0)), "มาจาก Sprint 14", "")</f>
        <v>มาจาก Sprint 14</v>
      </c>
      <c r="V124" s="102" t="str">
        <f t="array" ref="V124">IF(ISNUMBER(MATCH(B124, 'Sprint 14'!B:B, 0)), INDEX('Sprint 14'!J:J, MATCH(B124, 'Sprint 14'!B:B, 0)), "")</f>
        <v>Blocked</v>
      </c>
      <c r="W124" s="102">
        <v>14400.0</v>
      </c>
      <c r="X124" s="102" t="s">
        <v>4961</v>
      </c>
      <c r="Y124" s="102" t="s">
        <v>4953</v>
      </c>
      <c r="Z124" s="102" t="s">
        <v>4954</v>
      </c>
      <c r="AA124" s="102" t="s">
        <v>4919</v>
      </c>
      <c r="AB124" s="102" t="s">
        <v>4657</v>
      </c>
      <c r="AC124" s="102" t="s">
        <v>2266</v>
      </c>
      <c r="AD124" s="102"/>
      <c r="AE124" s="102"/>
    </row>
    <row r="125">
      <c r="A125" s="102" t="s">
        <v>310</v>
      </c>
      <c r="B125" s="102" t="s">
        <v>5914</v>
      </c>
      <c r="C125" s="229" t="s">
        <v>5915</v>
      </c>
      <c r="D125" s="102" t="s">
        <v>5916</v>
      </c>
      <c r="E125" s="102" t="s">
        <v>584</v>
      </c>
      <c r="F125" s="102" t="s">
        <v>585</v>
      </c>
      <c r="G125" s="102" t="s">
        <v>353</v>
      </c>
      <c r="H125" s="102" t="s">
        <v>354</v>
      </c>
      <c r="I125" s="102" t="s">
        <v>284</v>
      </c>
      <c r="J125" s="102" t="s">
        <v>454</v>
      </c>
      <c r="L125" s="229" t="s">
        <v>5917</v>
      </c>
      <c r="M125" s="229" t="s">
        <v>5836</v>
      </c>
      <c r="N125" s="229" t="s">
        <v>5918</v>
      </c>
      <c r="O125" s="102">
        <v>3.0</v>
      </c>
      <c r="T125" s="102">
        <v>0.0</v>
      </c>
      <c r="U125" s="102" t="str">
        <f>IF(ISNUMBER(MATCH(B125, 'Sprint 14'!B:B, 0)), "มาจาก Sprint 14", "")</f>
        <v>มาจาก Sprint 14</v>
      </c>
      <c r="V125" s="102" t="str">
        <f t="array" ref="V125">IF(ISNUMBER(MATCH(B125, 'Sprint 14'!B:B, 0)), INDEX('Sprint 14'!J:J, MATCH(B125, 'Sprint 14'!B:B, 0)), "")</f>
        <v>Ready To Test</v>
      </c>
      <c r="W125" s="102">
        <v>21600.0</v>
      </c>
      <c r="X125" s="102" t="s">
        <v>5919</v>
      </c>
      <c r="Y125" s="102" t="s">
        <v>5920</v>
      </c>
      <c r="Z125" s="102" t="s">
        <v>5913</v>
      </c>
      <c r="AA125" s="102" t="s">
        <v>5901</v>
      </c>
      <c r="AB125" s="102" t="s">
        <v>5896</v>
      </c>
      <c r="AC125" s="102" t="s">
        <v>5837</v>
      </c>
      <c r="AD125" s="102" t="s">
        <v>5838</v>
      </c>
      <c r="AE125" s="102" t="s">
        <v>5839</v>
      </c>
    </row>
    <row r="126">
      <c r="A126" s="102" t="s">
        <v>630</v>
      </c>
      <c r="B126" s="102" t="s">
        <v>1357</v>
      </c>
      <c r="C126" s="229" t="s">
        <v>1358</v>
      </c>
      <c r="D126" s="102" t="s">
        <v>1359</v>
      </c>
      <c r="E126" s="102"/>
      <c r="F126" s="102"/>
      <c r="G126" s="102" t="s">
        <v>314</v>
      </c>
      <c r="H126" s="102" t="s">
        <v>315</v>
      </c>
      <c r="I126" s="102" t="s">
        <v>284</v>
      </c>
      <c r="J126" s="102" t="s">
        <v>63</v>
      </c>
      <c r="L126" s="229" t="s">
        <v>1360</v>
      </c>
      <c r="M126" s="229" t="s">
        <v>5768</v>
      </c>
      <c r="N126" s="102"/>
      <c r="O126" s="102"/>
      <c r="T126" s="230"/>
      <c r="U126" s="102" t="str">
        <f>IF(ISNUMBER(MATCH(B126, 'Sprint 14'!B:B, 0)), "มาจาก Sprint 14", "")</f>
        <v>มาจาก Sprint 14</v>
      </c>
      <c r="V126" s="102" t="str">
        <f t="array" ref="V126">IF(ISNUMBER(MATCH(B126, 'Sprint 14'!B:B, 0)), INDEX('Sprint 14'!J:J, MATCH(B126, 'Sprint 14'!B:B, 0)), "")</f>
        <v>To Do</v>
      </c>
      <c r="W126" s="230"/>
      <c r="X126" s="102" t="s">
        <v>1362</v>
      </c>
      <c r="Y126" s="102" t="s">
        <v>1363</v>
      </c>
      <c r="Z126" s="102" t="s">
        <v>1364</v>
      </c>
      <c r="AA126" s="102" t="s">
        <v>1365</v>
      </c>
      <c r="AB126" s="102" t="s">
        <v>1366</v>
      </c>
      <c r="AC126" s="102" t="s">
        <v>1367</v>
      </c>
      <c r="AD126" s="102" t="s">
        <v>1368</v>
      </c>
      <c r="AE126" s="102" t="s">
        <v>1369</v>
      </c>
    </row>
    <row r="127">
      <c r="A127" s="102" t="s">
        <v>310</v>
      </c>
      <c r="B127" s="102" t="s">
        <v>5921</v>
      </c>
      <c r="C127" s="229" t="s">
        <v>5922</v>
      </c>
      <c r="D127" s="102" t="s">
        <v>5923</v>
      </c>
      <c r="E127" s="102" t="s">
        <v>556</v>
      </c>
      <c r="F127" s="102" t="s">
        <v>557</v>
      </c>
      <c r="G127" s="102" t="s">
        <v>353</v>
      </c>
      <c r="H127" s="102" t="s">
        <v>354</v>
      </c>
      <c r="I127" s="102" t="s">
        <v>284</v>
      </c>
      <c r="J127" s="102" t="s">
        <v>454</v>
      </c>
      <c r="L127" s="229" t="s">
        <v>5924</v>
      </c>
      <c r="M127" s="229" t="s">
        <v>5836</v>
      </c>
      <c r="N127" s="229" t="s">
        <v>5925</v>
      </c>
      <c r="O127" s="102">
        <v>1.0</v>
      </c>
      <c r="T127" s="102"/>
      <c r="U127" s="102" t="str">
        <f>IF(ISNUMBER(MATCH(B127, 'Sprint 14'!B:B, 0)), "มาจาก Sprint 14", "")</f>
        <v>มาจาก Sprint 14</v>
      </c>
      <c r="V127" s="102" t="str">
        <f t="array" ref="V127">IF(ISNUMBER(MATCH(B127, 'Sprint 14'!B:B, 0)), INDEX('Sprint 14'!J:J, MATCH(B127, 'Sprint 14'!B:B, 0)), "")</f>
        <v>Ready To Test</v>
      </c>
      <c r="W127" s="102"/>
      <c r="X127" s="102" t="s">
        <v>5919</v>
      </c>
      <c r="Y127" s="102" t="s">
        <v>5920</v>
      </c>
      <c r="Z127" s="102" t="s">
        <v>5913</v>
      </c>
      <c r="AA127" s="102" t="s">
        <v>5901</v>
      </c>
      <c r="AB127" s="102" t="s">
        <v>5896</v>
      </c>
      <c r="AC127" s="102" t="s">
        <v>5837</v>
      </c>
      <c r="AD127" s="102" t="s">
        <v>5838</v>
      </c>
      <c r="AE127" s="102" t="s">
        <v>5839</v>
      </c>
    </row>
    <row r="128">
      <c r="A128" s="102" t="s">
        <v>310</v>
      </c>
      <c r="B128" s="102" t="s">
        <v>5926</v>
      </c>
      <c r="C128" s="229" t="s">
        <v>5927</v>
      </c>
      <c r="D128" s="102" t="s">
        <v>5928</v>
      </c>
      <c r="E128" s="102" t="s">
        <v>564</v>
      </c>
      <c r="F128" s="102" t="s">
        <v>565</v>
      </c>
      <c r="G128" s="102" t="s">
        <v>353</v>
      </c>
      <c r="H128" s="102" t="s">
        <v>354</v>
      </c>
      <c r="I128" s="102" t="s">
        <v>515</v>
      </c>
      <c r="J128" s="102" t="s">
        <v>454</v>
      </c>
      <c r="L128" s="229" t="s">
        <v>5929</v>
      </c>
      <c r="M128" s="229" t="s">
        <v>5836</v>
      </c>
      <c r="N128" s="229" t="s">
        <v>5925</v>
      </c>
      <c r="O128" s="102">
        <v>3.0</v>
      </c>
      <c r="P128" s="102"/>
      <c r="T128" s="102">
        <v>0.0</v>
      </c>
      <c r="U128" s="102" t="str">
        <f>IF(ISNUMBER(MATCH(B128, 'Sprint 14'!B:B, 0)), "มาจาก Sprint 14", "")</f>
        <v>มาจาก Sprint 14</v>
      </c>
      <c r="V128" s="102" t="str">
        <f t="array" ref="V128">IF(ISNUMBER(MATCH(B128, 'Sprint 14'!B:B, 0)), INDEX('Sprint 14'!J:J, MATCH(B128, 'Sprint 14'!B:B, 0)), "")</f>
        <v>Ready To Test</v>
      </c>
      <c r="W128" s="102">
        <v>28800.0</v>
      </c>
      <c r="X128" s="102" t="s">
        <v>5919</v>
      </c>
      <c r="Y128" s="102" t="s">
        <v>5920</v>
      </c>
      <c r="Z128" s="102" t="s">
        <v>5913</v>
      </c>
      <c r="AA128" s="102" t="s">
        <v>5901</v>
      </c>
      <c r="AB128" s="102" t="s">
        <v>5896</v>
      </c>
      <c r="AC128" s="102" t="s">
        <v>5837</v>
      </c>
      <c r="AD128" s="102" t="s">
        <v>5838</v>
      </c>
      <c r="AE128" s="102" t="s">
        <v>5839</v>
      </c>
    </row>
    <row r="129">
      <c r="A129" s="102" t="s">
        <v>310</v>
      </c>
      <c r="B129" s="102" t="s">
        <v>5930</v>
      </c>
      <c r="C129" s="229" t="s">
        <v>5931</v>
      </c>
      <c r="D129" s="102" t="s">
        <v>5932</v>
      </c>
      <c r="E129" s="102" t="s">
        <v>556</v>
      </c>
      <c r="F129" s="102" t="s">
        <v>557</v>
      </c>
      <c r="G129" s="102" t="s">
        <v>353</v>
      </c>
      <c r="H129" s="102" t="s">
        <v>354</v>
      </c>
      <c r="I129" s="102" t="s">
        <v>318</v>
      </c>
      <c r="J129" s="102" t="s">
        <v>454</v>
      </c>
      <c r="L129" s="229" t="s">
        <v>5933</v>
      </c>
      <c r="M129" s="229" t="s">
        <v>5836</v>
      </c>
      <c r="N129" s="229" t="s">
        <v>5934</v>
      </c>
      <c r="O129" s="102">
        <v>3.0</v>
      </c>
      <c r="P129" s="102" t="s">
        <v>5912</v>
      </c>
      <c r="T129" s="102">
        <v>0.0</v>
      </c>
      <c r="U129" s="102" t="str">
        <f>IF(ISNUMBER(MATCH(B129, 'Sprint 14'!B:B, 0)), "มาจาก Sprint 14", "")</f>
        <v>มาจาก Sprint 14</v>
      </c>
      <c r="V129" s="102" t="str">
        <f t="array" ref="V129">IF(ISNUMBER(MATCH(B129, 'Sprint 14'!B:B, 0)), INDEX('Sprint 14'!J:J, MATCH(B129, 'Sprint 14'!B:B, 0)), "")</f>
        <v>Ready To Test</v>
      </c>
      <c r="W129" s="102">
        <v>28800.0</v>
      </c>
      <c r="X129" s="102" t="s">
        <v>5919</v>
      </c>
      <c r="Y129" s="102" t="s">
        <v>5920</v>
      </c>
      <c r="Z129" s="102" t="s">
        <v>5913</v>
      </c>
      <c r="AA129" s="102" t="s">
        <v>5901</v>
      </c>
      <c r="AB129" s="102" t="s">
        <v>5896</v>
      </c>
      <c r="AC129" s="102" t="s">
        <v>5837</v>
      </c>
      <c r="AD129" s="102" t="s">
        <v>5838</v>
      </c>
      <c r="AE129" s="102" t="s">
        <v>5839</v>
      </c>
    </row>
    <row r="130">
      <c r="A130" s="102" t="s">
        <v>310</v>
      </c>
      <c r="B130" s="102" t="s">
        <v>5935</v>
      </c>
      <c r="C130" s="229" t="s">
        <v>5936</v>
      </c>
      <c r="D130" s="102" t="s">
        <v>5937</v>
      </c>
      <c r="E130" s="102" t="s">
        <v>282</v>
      </c>
      <c r="F130" s="102" t="s">
        <v>283</v>
      </c>
      <c r="G130" s="102" t="s">
        <v>282</v>
      </c>
      <c r="H130" s="102" t="s">
        <v>283</v>
      </c>
      <c r="I130" s="102" t="s">
        <v>318</v>
      </c>
      <c r="J130" s="102" t="s">
        <v>454</v>
      </c>
      <c r="L130" s="229" t="s">
        <v>5938</v>
      </c>
      <c r="M130" s="229" t="s">
        <v>5939</v>
      </c>
      <c r="N130" s="102"/>
      <c r="O130" s="102">
        <v>13.0</v>
      </c>
      <c r="P130" s="102" t="s">
        <v>5547</v>
      </c>
      <c r="T130" s="102"/>
      <c r="U130" s="102" t="str">
        <f>IF(ISNUMBER(MATCH(B130, 'Sprint 14'!B:B, 0)), "มาจาก Sprint 14", "")</f>
        <v>มาจาก Sprint 14</v>
      </c>
      <c r="V130" s="102" t="str">
        <f t="array" ref="V130">IF(ISNUMBER(MATCH(B130, 'Sprint 14'!B:B, 0)), INDEX('Sprint 14'!J:J, MATCH(B130, 'Sprint 14'!B:B, 0)), "")</f>
        <v>In Progress</v>
      </c>
      <c r="W130" s="102"/>
      <c r="X130" s="102" t="s">
        <v>4657</v>
      </c>
      <c r="Y130" s="102" t="s">
        <v>2266</v>
      </c>
      <c r="Z130" s="102"/>
      <c r="AA130" s="102"/>
      <c r="AB130" s="102"/>
      <c r="AC130" s="102"/>
      <c r="AD130" s="102"/>
      <c r="AE130" s="102"/>
      <c r="AF130" s="102"/>
    </row>
    <row r="131">
      <c r="A131" s="102" t="s">
        <v>310</v>
      </c>
      <c r="B131" s="102" t="s">
        <v>4962</v>
      </c>
      <c r="C131" s="229" t="s">
        <v>4963</v>
      </c>
      <c r="D131" s="102" t="s">
        <v>4964</v>
      </c>
      <c r="E131" s="102" t="s">
        <v>556</v>
      </c>
      <c r="F131" s="102" t="s">
        <v>557</v>
      </c>
      <c r="G131" s="102" t="s">
        <v>353</v>
      </c>
      <c r="H131" s="102" t="s">
        <v>354</v>
      </c>
      <c r="I131" s="102" t="s">
        <v>284</v>
      </c>
      <c r="J131" s="102" t="s">
        <v>454</v>
      </c>
      <c r="L131" s="229" t="s">
        <v>4965</v>
      </c>
      <c r="M131" s="229" t="s">
        <v>5740</v>
      </c>
      <c r="N131" s="229" t="s">
        <v>4966</v>
      </c>
      <c r="O131" s="102">
        <v>1.0</v>
      </c>
      <c r="T131" s="102">
        <v>0.0</v>
      </c>
      <c r="U131" s="102" t="str">
        <f>IF(ISNUMBER(MATCH(B131, 'Sprint 14'!B:B, 0)), "มาจาก Sprint 14", "")</f>
        <v>มาจาก Sprint 14</v>
      </c>
      <c r="V131" s="102" t="str">
        <f t="array" ref="V131">IF(ISNUMBER(MATCH(B131, 'Sprint 14'!B:B, 0)), INDEX('Sprint 14'!J:J, MATCH(B131, 'Sprint 14'!B:B, 0)), "")</f>
        <v>Ready To Test</v>
      </c>
      <c r="W131" s="102">
        <v>7200.0</v>
      </c>
      <c r="X131" s="102" t="s">
        <v>4967</v>
      </c>
      <c r="Y131" s="102" t="s">
        <v>4968</v>
      </c>
      <c r="Z131" s="102" t="s">
        <v>4960</v>
      </c>
      <c r="AA131" s="102" t="s">
        <v>4961</v>
      </c>
      <c r="AB131" s="102" t="s">
        <v>4953</v>
      </c>
      <c r="AC131" s="102" t="s">
        <v>4954</v>
      </c>
      <c r="AD131" s="102" t="s">
        <v>4919</v>
      </c>
      <c r="AE131" s="102" t="s">
        <v>4657</v>
      </c>
      <c r="AF131" s="102" t="s">
        <v>2266</v>
      </c>
    </row>
    <row r="132">
      <c r="A132" s="102" t="s">
        <v>310</v>
      </c>
      <c r="B132" s="102" t="s">
        <v>5940</v>
      </c>
      <c r="C132" s="229" t="s">
        <v>5941</v>
      </c>
      <c r="D132" s="102" t="s">
        <v>5942</v>
      </c>
      <c r="E132" s="102" t="s">
        <v>513</v>
      </c>
      <c r="F132" s="102" t="s">
        <v>514</v>
      </c>
      <c r="G132" s="102" t="s">
        <v>282</v>
      </c>
      <c r="H132" s="102" t="s">
        <v>283</v>
      </c>
      <c r="I132" s="102" t="s">
        <v>284</v>
      </c>
      <c r="J132" s="102" t="s">
        <v>454</v>
      </c>
      <c r="L132" s="229" t="s">
        <v>5943</v>
      </c>
      <c r="M132" s="229" t="s">
        <v>5836</v>
      </c>
      <c r="O132" s="102">
        <v>3.0</v>
      </c>
      <c r="T132" s="102">
        <v>0.0</v>
      </c>
      <c r="U132" s="102" t="str">
        <f>IF(ISNUMBER(MATCH(B132, 'Sprint 14'!B:B, 0)), "มาจาก Sprint 14", "")</f>
        <v>มาจาก Sprint 14</v>
      </c>
      <c r="V132" s="102" t="str">
        <f t="array" ref="V132">IF(ISNUMBER(MATCH(B132, 'Sprint 14'!B:B, 0)), INDEX('Sprint 14'!J:J, MATCH(B132, 'Sprint 14'!B:B, 0)), "")</f>
        <v>Ready To Test</v>
      </c>
      <c r="W132" s="102">
        <v>28800.0</v>
      </c>
      <c r="X132" s="102" t="s">
        <v>5944</v>
      </c>
      <c r="Y132" s="102" t="s">
        <v>5919</v>
      </c>
      <c r="Z132" s="102" t="s">
        <v>5920</v>
      </c>
      <c r="AA132" s="102" t="s">
        <v>5913</v>
      </c>
      <c r="AB132" s="102" t="s">
        <v>5901</v>
      </c>
      <c r="AC132" s="102" t="s">
        <v>5896</v>
      </c>
      <c r="AD132" s="102" t="s">
        <v>5837</v>
      </c>
      <c r="AE132" s="102" t="s">
        <v>5838</v>
      </c>
      <c r="AF132" s="102" t="s">
        <v>5839</v>
      </c>
    </row>
    <row r="133">
      <c r="O133" s="230"/>
      <c r="T133" s="230"/>
      <c r="U133" s="230"/>
      <c r="V133" s="230"/>
      <c r="W133" s="230"/>
    </row>
    <row r="134">
      <c r="O134" s="230"/>
      <c r="T134" s="230"/>
      <c r="U134" s="230"/>
      <c r="V134" s="230"/>
      <c r="W134" s="230"/>
    </row>
    <row r="135">
      <c r="O135" s="230"/>
      <c r="T135" s="230"/>
      <c r="U135" s="230"/>
      <c r="V135" s="230"/>
      <c r="W135" s="230"/>
    </row>
    <row r="136">
      <c r="O136" s="230"/>
      <c r="T136" s="230"/>
      <c r="U136" s="230"/>
      <c r="V136" s="230"/>
      <c r="W136" s="230"/>
    </row>
    <row r="137">
      <c r="O137" s="230"/>
      <c r="T137" s="230"/>
      <c r="U137" s="230"/>
      <c r="V137" s="230"/>
      <c r="W137" s="230"/>
    </row>
    <row r="138">
      <c r="O138" s="230"/>
      <c r="T138" s="230"/>
      <c r="U138" s="230"/>
      <c r="V138" s="230"/>
      <c r="W138" s="230"/>
    </row>
    <row r="139">
      <c r="O139" s="230"/>
      <c r="T139" s="230"/>
      <c r="U139" s="230"/>
      <c r="V139" s="230"/>
      <c r="W139" s="230"/>
    </row>
    <row r="140">
      <c r="O140" s="230"/>
      <c r="T140" s="230"/>
      <c r="U140" s="230"/>
      <c r="V140" s="230"/>
      <c r="W140" s="230"/>
    </row>
    <row r="141">
      <c r="O141" s="230"/>
      <c r="T141" s="230"/>
      <c r="U141" s="230"/>
      <c r="V141" s="230"/>
      <c r="W141" s="230"/>
    </row>
    <row r="142">
      <c r="O142" s="230"/>
      <c r="T142" s="230"/>
      <c r="U142" s="230"/>
      <c r="V142" s="230"/>
      <c r="W142" s="230"/>
    </row>
    <row r="143">
      <c r="O143" s="230"/>
      <c r="T143" s="230"/>
      <c r="U143" s="230"/>
      <c r="V143" s="230"/>
      <c r="W143" s="230"/>
    </row>
    <row r="144">
      <c r="O144" s="230"/>
      <c r="T144" s="230"/>
      <c r="U144" s="230"/>
      <c r="V144" s="230"/>
      <c r="W144" s="230"/>
    </row>
    <row r="145">
      <c r="O145" s="230"/>
      <c r="T145" s="230"/>
      <c r="U145" s="230"/>
      <c r="V145" s="230"/>
      <c r="W145" s="230"/>
    </row>
    <row r="146">
      <c r="O146" s="230"/>
      <c r="T146" s="230"/>
      <c r="U146" s="230"/>
      <c r="V146" s="230"/>
      <c r="W146" s="230"/>
    </row>
    <row r="147">
      <c r="O147" s="230"/>
      <c r="T147" s="230"/>
      <c r="U147" s="230"/>
      <c r="V147" s="230"/>
      <c r="W147" s="230"/>
    </row>
    <row r="148">
      <c r="O148" s="230"/>
      <c r="T148" s="230"/>
      <c r="U148" s="230"/>
      <c r="V148" s="230"/>
      <c r="W148" s="230"/>
    </row>
    <row r="149">
      <c r="O149" s="230"/>
      <c r="T149" s="230"/>
      <c r="U149" s="230"/>
      <c r="V149" s="230"/>
      <c r="W149" s="230"/>
    </row>
    <row r="150">
      <c r="O150" s="230"/>
      <c r="T150" s="230"/>
      <c r="U150" s="230"/>
      <c r="V150" s="230"/>
      <c r="W150" s="230"/>
    </row>
    <row r="151">
      <c r="O151" s="230"/>
      <c r="T151" s="230"/>
      <c r="U151" s="230"/>
      <c r="V151" s="230"/>
      <c r="W151" s="230"/>
    </row>
    <row r="152">
      <c r="O152" s="230"/>
      <c r="T152" s="230"/>
      <c r="U152" s="230"/>
      <c r="V152" s="230"/>
      <c r="W152" s="230"/>
    </row>
    <row r="153">
      <c r="O153" s="230"/>
      <c r="T153" s="230"/>
      <c r="U153" s="230"/>
      <c r="V153" s="230"/>
      <c r="W153" s="230"/>
    </row>
    <row r="154">
      <c r="O154" s="230"/>
      <c r="T154" s="230"/>
      <c r="U154" s="230"/>
      <c r="V154" s="230"/>
      <c r="W154" s="230"/>
    </row>
    <row r="155">
      <c r="O155" s="230"/>
      <c r="T155" s="230"/>
      <c r="U155" s="230"/>
      <c r="V155" s="230"/>
      <c r="W155" s="230"/>
    </row>
    <row r="156">
      <c r="O156" s="230"/>
      <c r="T156" s="230"/>
      <c r="U156" s="230"/>
      <c r="V156" s="230"/>
      <c r="W156" s="230"/>
    </row>
    <row r="157">
      <c r="O157" s="230"/>
      <c r="T157" s="230"/>
      <c r="U157" s="230"/>
      <c r="V157" s="230"/>
      <c r="W157" s="230"/>
    </row>
    <row r="158">
      <c r="O158" s="230"/>
      <c r="T158" s="230"/>
      <c r="U158" s="230"/>
      <c r="V158" s="230"/>
      <c r="W158" s="230"/>
    </row>
    <row r="159">
      <c r="O159" s="230"/>
      <c r="T159" s="230"/>
      <c r="U159" s="230"/>
      <c r="V159" s="230"/>
      <c r="W159" s="230"/>
    </row>
    <row r="160">
      <c r="O160" s="230"/>
      <c r="T160" s="230"/>
      <c r="U160" s="230"/>
      <c r="V160" s="230"/>
      <c r="W160" s="230"/>
    </row>
    <row r="161">
      <c r="O161" s="230"/>
      <c r="T161" s="230"/>
      <c r="U161" s="230"/>
      <c r="V161" s="230"/>
      <c r="W161" s="230"/>
    </row>
    <row r="162">
      <c r="O162" s="230"/>
      <c r="T162" s="230"/>
      <c r="U162" s="230"/>
      <c r="V162" s="230"/>
      <c r="W162" s="230"/>
    </row>
    <row r="163">
      <c r="O163" s="230"/>
      <c r="T163" s="230"/>
      <c r="U163" s="230"/>
      <c r="V163" s="230"/>
      <c r="W163" s="230"/>
    </row>
    <row r="164">
      <c r="O164" s="230"/>
      <c r="T164" s="230"/>
      <c r="U164" s="230"/>
      <c r="V164" s="230"/>
      <c r="W164" s="230"/>
    </row>
    <row r="165">
      <c r="O165" s="230"/>
      <c r="T165" s="230"/>
      <c r="U165" s="230"/>
      <c r="V165" s="230"/>
      <c r="W165" s="230"/>
    </row>
    <row r="166">
      <c r="O166" s="230"/>
      <c r="T166" s="230"/>
      <c r="U166" s="230"/>
      <c r="V166" s="230"/>
      <c r="W166" s="230"/>
    </row>
    <row r="167">
      <c r="O167" s="230"/>
      <c r="T167" s="230"/>
      <c r="U167" s="230"/>
      <c r="V167" s="230"/>
      <c r="W167" s="230"/>
    </row>
    <row r="168">
      <c r="O168" s="230"/>
      <c r="T168" s="230"/>
      <c r="U168" s="230"/>
      <c r="V168" s="230"/>
      <c r="W168" s="230"/>
    </row>
    <row r="169">
      <c r="O169" s="230"/>
      <c r="T169" s="230"/>
      <c r="U169" s="230"/>
      <c r="V169" s="230"/>
      <c r="W169" s="230"/>
    </row>
    <row r="170">
      <c r="O170" s="230"/>
      <c r="T170" s="230"/>
      <c r="U170" s="230"/>
      <c r="V170" s="230"/>
      <c r="W170" s="230"/>
    </row>
    <row r="171">
      <c r="O171" s="230"/>
      <c r="T171" s="230"/>
      <c r="U171" s="230"/>
      <c r="V171" s="230"/>
      <c r="W171" s="230"/>
    </row>
    <row r="172">
      <c r="O172" s="230"/>
      <c r="T172" s="230"/>
      <c r="U172" s="230"/>
      <c r="V172" s="230"/>
      <c r="W172" s="230"/>
    </row>
    <row r="173">
      <c r="O173" s="230"/>
      <c r="T173" s="230"/>
      <c r="U173" s="230"/>
      <c r="V173" s="230"/>
      <c r="W173" s="230"/>
    </row>
    <row r="174">
      <c r="O174" s="230"/>
      <c r="T174" s="230"/>
      <c r="U174" s="230"/>
      <c r="V174" s="230"/>
      <c r="W174" s="230"/>
    </row>
    <row r="175">
      <c r="O175" s="230"/>
      <c r="T175" s="230"/>
      <c r="U175" s="230"/>
      <c r="V175" s="230"/>
      <c r="W175" s="230"/>
    </row>
    <row r="176">
      <c r="O176" s="230"/>
      <c r="T176" s="230"/>
      <c r="U176" s="230"/>
      <c r="V176" s="230"/>
      <c r="W176" s="230"/>
    </row>
    <row r="177">
      <c r="O177" s="230"/>
      <c r="T177" s="230"/>
      <c r="U177" s="230"/>
      <c r="V177" s="230"/>
      <c r="W177" s="230"/>
    </row>
    <row r="178">
      <c r="O178" s="230"/>
      <c r="T178" s="230"/>
      <c r="U178" s="230"/>
      <c r="V178" s="230"/>
      <c r="W178" s="230"/>
    </row>
    <row r="179">
      <c r="O179" s="230"/>
      <c r="T179" s="230"/>
      <c r="U179" s="230"/>
      <c r="V179" s="230"/>
      <c r="W179" s="230"/>
    </row>
    <row r="180">
      <c r="O180" s="230"/>
      <c r="T180" s="230"/>
      <c r="U180" s="230"/>
      <c r="V180" s="230"/>
      <c r="W180" s="230"/>
    </row>
    <row r="181">
      <c r="O181" s="230"/>
      <c r="T181" s="230"/>
      <c r="U181" s="230"/>
      <c r="V181" s="230"/>
      <c r="W181" s="230"/>
    </row>
    <row r="182">
      <c r="O182" s="230"/>
      <c r="T182" s="230"/>
      <c r="U182" s="230"/>
      <c r="V182" s="230"/>
      <c r="W182" s="230"/>
    </row>
    <row r="183">
      <c r="O183" s="230"/>
      <c r="T183" s="230"/>
      <c r="U183" s="230"/>
      <c r="V183" s="230"/>
      <c r="W183" s="230"/>
    </row>
    <row r="184">
      <c r="O184" s="230"/>
      <c r="T184" s="230"/>
      <c r="U184" s="230"/>
      <c r="V184" s="230"/>
      <c r="W184" s="230"/>
    </row>
    <row r="185">
      <c r="O185" s="230"/>
      <c r="T185" s="230"/>
      <c r="U185" s="230"/>
      <c r="V185" s="230"/>
      <c r="W185" s="230"/>
    </row>
    <row r="186">
      <c r="O186" s="230"/>
      <c r="T186" s="230"/>
      <c r="U186" s="230"/>
      <c r="V186" s="230"/>
      <c r="W186" s="230"/>
    </row>
    <row r="187">
      <c r="O187" s="230"/>
      <c r="T187" s="230"/>
      <c r="U187" s="230"/>
      <c r="V187" s="230"/>
      <c r="W187" s="230"/>
    </row>
    <row r="188">
      <c r="O188" s="230"/>
      <c r="T188" s="230"/>
      <c r="U188" s="230"/>
      <c r="V188" s="230"/>
      <c r="W188" s="230"/>
    </row>
    <row r="189">
      <c r="O189" s="230"/>
      <c r="T189" s="230"/>
      <c r="U189" s="230"/>
      <c r="V189" s="230"/>
      <c r="W189" s="230"/>
    </row>
    <row r="190">
      <c r="O190" s="230"/>
      <c r="T190" s="230"/>
      <c r="U190" s="230"/>
      <c r="V190" s="230"/>
      <c r="W190" s="230"/>
    </row>
    <row r="191">
      <c r="O191" s="230"/>
      <c r="T191" s="230"/>
      <c r="U191" s="230"/>
      <c r="V191" s="230"/>
      <c r="W191" s="230"/>
    </row>
    <row r="192">
      <c r="O192" s="230"/>
      <c r="T192" s="230"/>
      <c r="U192" s="230"/>
      <c r="V192" s="230"/>
      <c r="W192" s="230"/>
    </row>
    <row r="193">
      <c r="O193" s="230"/>
      <c r="T193" s="230"/>
      <c r="U193" s="230"/>
      <c r="V193" s="230"/>
      <c r="W193" s="230"/>
    </row>
    <row r="194">
      <c r="O194" s="230"/>
      <c r="T194" s="230"/>
      <c r="U194" s="230"/>
      <c r="V194" s="230"/>
      <c r="W194" s="230"/>
    </row>
    <row r="195">
      <c r="O195" s="230"/>
      <c r="T195" s="230"/>
      <c r="U195" s="230"/>
      <c r="V195" s="230"/>
      <c r="W195" s="230"/>
    </row>
    <row r="196">
      <c r="O196" s="230"/>
      <c r="T196" s="230"/>
      <c r="U196" s="230"/>
      <c r="V196" s="230"/>
      <c r="W196" s="230"/>
    </row>
    <row r="197">
      <c r="O197" s="230"/>
      <c r="T197" s="230"/>
      <c r="U197" s="230"/>
      <c r="V197" s="230"/>
      <c r="W197" s="230"/>
    </row>
    <row r="198">
      <c r="O198" s="230"/>
      <c r="T198" s="230"/>
      <c r="U198" s="230"/>
      <c r="V198" s="230"/>
      <c r="W198" s="230"/>
    </row>
    <row r="199">
      <c r="O199" s="230"/>
      <c r="T199" s="230"/>
      <c r="U199" s="230"/>
      <c r="V199" s="230"/>
      <c r="W199" s="230"/>
    </row>
    <row r="200">
      <c r="O200" s="230"/>
      <c r="T200" s="230"/>
      <c r="U200" s="230"/>
      <c r="V200" s="230"/>
      <c r="W200" s="230"/>
    </row>
    <row r="201">
      <c r="O201" s="230"/>
      <c r="T201" s="230"/>
      <c r="U201" s="230"/>
      <c r="V201" s="230"/>
      <c r="W201" s="230"/>
    </row>
    <row r="202">
      <c r="O202" s="230"/>
      <c r="T202" s="230"/>
      <c r="U202" s="230"/>
      <c r="V202" s="230"/>
      <c r="W202" s="230"/>
    </row>
    <row r="203">
      <c r="O203" s="230"/>
      <c r="T203" s="230"/>
      <c r="U203" s="230"/>
      <c r="V203" s="230"/>
      <c r="W203" s="230"/>
    </row>
    <row r="204">
      <c r="O204" s="230"/>
      <c r="T204" s="230"/>
      <c r="U204" s="230"/>
      <c r="V204" s="230"/>
      <c r="W204" s="230"/>
    </row>
    <row r="205">
      <c r="O205" s="230"/>
      <c r="T205" s="230"/>
      <c r="U205" s="230"/>
      <c r="V205" s="230"/>
      <c r="W205" s="230"/>
    </row>
    <row r="206">
      <c r="O206" s="230"/>
      <c r="T206" s="230"/>
      <c r="U206" s="230"/>
      <c r="V206" s="230"/>
      <c r="W206" s="230"/>
    </row>
    <row r="207">
      <c r="O207" s="230"/>
      <c r="T207" s="230"/>
      <c r="U207" s="230"/>
      <c r="V207" s="230"/>
      <c r="W207" s="230"/>
    </row>
    <row r="208">
      <c r="O208" s="230"/>
      <c r="T208" s="230"/>
      <c r="U208" s="230"/>
      <c r="V208" s="230"/>
      <c r="W208" s="230"/>
    </row>
    <row r="209">
      <c r="O209" s="230"/>
      <c r="T209" s="230"/>
      <c r="U209" s="230"/>
      <c r="V209" s="230"/>
      <c r="W209" s="230"/>
    </row>
    <row r="210">
      <c r="O210" s="230"/>
      <c r="T210" s="230"/>
      <c r="U210" s="230"/>
      <c r="V210" s="230"/>
      <c r="W210" s="230"/>
    </row>
    <row r="211">
      <c r="O211" s="230"/>
      <c r="T211" s="230"/>
      <c r="U211" s="230"/>
      <c r="V211" s="230"/>
      <c r="W211" s="230"/>
    </row>
    <row r="212">
      <c r="O212" s="230"/>
      <c r="T212" s="230"/>
      <c r="U212" s="230"/>
      <c r="V212" s="230"/>
      <c r="W212" s="230"/>
    </row>
    <row r="213">
      <c r="O213" s="230"/>
      <c r="T213" s="230"/>
      <c r="U213" s="230"/>
      <c r="V213" s="230"/>
      <c r="W213" s="230"/>
    </row>
    <row r="214">
      <c r="O214" s="230"/>
      <c r="T214" s="230"/>
      <c r="U214" s="230"/>
      <c r="V214" s="230"/>
      <c r="W214" s="230"/>
    </row>
    <row r="215">
      <c r="O215" s="230"/>
      <c r="T215" s="230"/>
      <c r="U215" s="230"/>
      <c r="V215" s="230"/>
      <c r="W215" s="230"/>
    </row>
    <row r="216">
      <c r="O216" s="230"/>
      <c r="T216" s="230"/>
      <c r="U216" s="230"/>
      <c r="V216" s="230"/>
      <c r="W216" s="230"/>
    </row>
    <row r="217">
      <c r="O217" s="230"/>
      <c r="T217" s="230"/>
      <c r="U217" s="230"/>
      <c r="V217" s="230"/>
      <c r="W217" s="230"/>
    </row>
    <row r="218">
      <c r="O218" s="230"/>
      <c r="T218" s="230"/>
      <c r="U218" s="230"/>
      <c r="V218" s="230"/>
      <c r="W218" s="230"/>
    </row>
    <row r="219">
      <c r="O219" s="230"/>
      <c r="T219" s="230"/>
      <c r="U219" s="230"/>
      <c r="V219" s="230"/>
      <c r="W219" s="230"/>
    </row>
    <row r="220">
      <c r="O220" s="230"/>
      <c r="T220" s="230"/>
      <c r="U220" s="230"/>
      <c r="V220" s="230"/>
      <c r="W220" s="230"/>
    </row>
    <row r="221">
      <c r="O221" s="230"/>
      <c r="T221" s="230"/>
      <c r="U221" s="230"/>
      <c r="V221" s="230"/>
      <c r="W221" s="230"/>
    </row>
    <row r="222">
      <c r="O222" s="230"/>
      <c r="T222" s="230"/>
      <c r="U222" s="230"/>
      <c r="V222" s="230"/>
      <c r="W222" s="230"/>
    </row>
    <row r="223">
      <c r="O223" s="230"/>
      <c r="T223" s="230"/>
      <c r="U223" s="230"/>
      <c r="V223" s="230"/>
      <c r="W223" s="230"/>
    </row>
    <row r="224">
      <c r="O224" s="230"/>
      <c r="T224" s="230"/>
      <c r="U224" s="230"/>
      <c r="V224" s="230"/>
      <c r="W224" s="230"/>
    </row>
    <row r="225">
      <c r="O225" s="230"/>
      <c r="T225" s="230"/>
      <c r="U225" s="230"/>
      <c r="V225" s="230"/>
      <c r="W225" s="230"/>
    </row>
    <row r="226">
      <c r="O226" s="230"/>
      <c r="T226" s="230"/>
      <c r="U226" s="230"/>
      <c r="V226" s="230"/>
      <c r="W226" s="230"/>
    </row>
    <row r="227">
      <c r="O227" s="230"/>
      <c r="T227" s="230"/>
      <c r="U227" s="230"/>
      <c r="V227" s="230"/>
      <c r="W227" s="230"/>
    </row>
    <row r="228">
      <c r="O228" s="230"/>
      <c r="T228" s="230"/>
      <c r="U228" s="230"/>
      <c r="V228" s="230"/>
      <c r="W228" s="230"/>
    </row>
    <row r="229">
      <c r="O229" s="230"/>
      <c r="T229" s="230"/>
      <c r="U229" s="230"/>
      <c r="V229" s="230"/>
      <c r="W229" s="230"/>
    </row>
    <row r="230">
      <c r="O230" s="230"/>
      <c r="T230" s="230"/>
      <c r="U230" s="230"/>
      <c r="V230" s="230"/>
      <c r="W230" s="230"/>
    </row>
    <row r="231">
      <c r="O231" s="230"/>
      <c r="T231" s="230"/>
      <c r="U231" s="230"/>
      <c r="V231" s="230"/>
      <c r="W231" s="230"/>
    </row>
    <row r="232">
      <c r="O232" s="230"/>
      <c r="T232" s="230"/>
      <c r="U232" s="230"/>
      <c r="V232" s="230"/>
      <c r="W232" s="230"/>
    </row>
    <row r="233">
      <c r="O233" s="230"/>
      <c r="T233" s="230"/>
      <c r="U233" s="230"/>
      <c r="V233" s="230"/>
      <c r="W233" s="230"/>
    </row>
    <row r="234">
      <c r="O234" s="230"/>
      <c r="T234" s="230"/>
      <c r="U234" s="230"/>
      <c r="V234" s="230"/>
      <c r="W234" s="230"/>
    </row>
    <row r="235">
      <c r="O235" s="230"/>
      <c r="T235" s="230"/>
      <c r="U235" s="230"/>
      <c r="V235" s="230"/>
      <c r="W235" s="230"/>
    </row>
    <row r="236">
      <c r="O236" s="230"/>
      <c r="T236" s="230"/>
      <c r="U236" s="230"/>
      <c r="V236" s="230"/>
      <c r="W236" s="230"/>
    </row>
    <row r="237">
      <c r="O237" s="230"/>
      <c r="T237" s="230"/>
      <c r="U237" s="230"/>
      <c r="V237" s="230"/>
      <c r="W237" s="230"/>
    </row>
    <row r="238">
      <c r="O238" s="230"/>
      <c r="T238" s="230"/>
      <c r="U238" s="230"/>
      <c r="V238" s="230"/>
      <c r="W238" s="230"/>
    </row>
    <row r="239">
      <c r="O239" s="230"/>
      <c r="T239" s="230"/>
      <c r="U239" s="230"/>
      <c r="V239" s="230"/>
      <c r="W239" s="230"/>
    </row>
    <row r="240">
      <c r="O240" s="230"/>
      <c r="T240" s="230"/>
      <c r="U240" s="230"/>
      <c r="V240" s="230"/>
      <c r="W240" s="230"/>
    </row>
    <row r="241">
      <c r="O241" s="230"/>
      <c r="T241" s="230"/>
      <c r="U241" s="230"/>
      <c r="V241" s="230"/>
      <c r="W241" s="230"/>
    </row>
    <row r="242">
      <c r="O242" s="230"/>
      <c r="T242" s="230"/>
      <c r="U242" s="230"/>
      <c r="V242" s="230"/>
      <c r="W242" s="230"/>
    </row>
    <row r="243">
      <c r="O243" s="230"/>
      <c r="T243" s="230"/>
      <c r="U243" s="230"/>
      <c r="V243" s="230"/>
      <c r="W243" s="230"/>
    </row>
    <row r="244">
      <c r="O244" s="230"/>
      <c r="T244" s="230"/>
      <c r="U244" s="230"/>
      <c r="V244" s="230"/>
      <c r="W244" s="230"/>
    </row>
    <row r="245">
      <c r="O245" s="230"/>
      <c r="T245" s="230"/>
      <c r="U245" s="230"/>
      <c r="V245" s="230"/>
      <c r="W245" s="230"/>
    </row>
    <row r="246">
      <c r="O246" s="230"/>
      <c r="T246" s="230"/>
      <c r="U246" s="230"/>
      <c r="V246" s="230"/>
      <c r="W246" s="230"/>
    </row>
    <row r="247">
      <c r="O247" s="230"/>
      <c r="T247" s="230"/>
      <c r="U247" s="230"/>
      <c r="V247" s="230"/>
      <c r="W247" s="230"/>
    </row>
    <row r="248">
      <c r="O248" s="230"/>
      <c r="T248" s="230"/>
      <c r="U248" s="230"/>
      <c r="V248" s="230"/>
      <c r="W248" s="230"/>
    </row>
    <row r="249">
      <c r="O249" s="230"/>
      <c r="T249" s="230"/>
      <c r="U249" s="230"/>
      <c r="V249" s="230"/>
      <c r="W249" s="230"/>
    </row>
    <row r="250">
      <c r="O250" s="230"/>
      <c r="T250" s="230"/>
      <c r="U250" s="230"/>
      <c r="V250" s="230"/>
      <c r="W250" s="230"/>
    </row>
    <row r="251">
      <c r="O251" s="230"/>
      <c r="T251" s="230"/>
      <c r="U251" s="230"/>
      <c r="V251" s="230"/>
      <c r="W251" s="230"/>
    </row>
    <row r="252">
      <c r="O252" s="230"/>
      <c r="T252" s="230"/>
      <c r="U252" s="230"/>
      <c r="V252" s="230"/>
      <c r="W252" s="230"/>
    </row>
    <row r="253">
      <c r="O253" s="230"/>
      <c r="T253" s="230"/>
      <c r="U253" s="230"/>
      <c r="V253" s="230"/>
      <c r="W253" s="230"/>
    </row>
    <row r="254">
      <c r="O254" s="230"/>
      <c r="T254" s="230"/>
      <c r="U254" s="230"/>
      <c r="V254" s="230"/>
      <c r="W254" s="230"/>
    </row>
    <row r="255">
      <c r="O255" s="230"/>
      <c r="T255" s="230"/>
      <c r="U255" s="230"/>
      <c r="V255" s="230"/>
      <c r="W255" s="230"/>
    </row>
    <row r="256">
      <c r="O256" s="230"/>
      <c r="T256" s="230"/>
      <c r="U256" s="230"/>
      <c r="V256" s="230"/>
      <c r="W256" s="230"/>
    </row>
    <row r="257">
      <c r="O257" s="230"/>
      <c r="T257" s="230"/>
      <c r="U257" s="230"/>
      <c r="V257" s="230"/>
      <c r="W257" s="230"/>
    </row>
    <row r="258">
      <c r="O258" s="230"/>
      <c r="T258" s="230"/>
      <c r="U258" s="230"/>
      <c r="V258" s="230"/>
      <c r="W258" s="230"/>
    </row>
    <row r="259">
      <c r="O259" s="230"/>
      <c r="T259" s="230"/>
      <c r="U259" s="230"/>
      <c r="V259" s="230"/>
      <c r="W259" s="230"/>
    </row>
    <row r="260">
      <c r="O260" s="230"/>
      <c r="T260" s="230"/>
      <c r="U260" s="230"/>
      <c r="V260" s="230"/>
      <c r="W260" s="230"/>
    </row>
    <row r="261">
      <c r="O261" s="230"/>
      <c r="T261" s="230"/>
      <c r="U261" s="230"/>
      <c r="V261" s="230"/>
      <c r="W261" s="230"/>
    </row>
    <row r="262">
      <c r="O262" s="230"/>
      <c r="T262" s="230"/>
      <c r="U262" s="230"/>
      <c r="V262" s="230"/>
      <c r="W262" s="230"/>
    </row>
    <row r="263">
      <c r="O263" s="230"/>
      <c r="T263" s="230"/>
      <c r="U263" s="230"/>
      <c r="V263" s="230"/>
      <c r="W263" s="230"/>
    </row>
    <row r="264">
      <c r="O264" s="230"/>
      <c r="T264" s="230"/>
      <c r="U264" s="230"/>
      <c r="V264" s="230"/>
      <c r="W264" s="230"/>
    </row>
    <row r="265">
      <c r="O265" s="230"/>
      <c r="T265" s="230"/>
      <c r="U265" s="230"/>
      <c r="V265" s="230"/>
      <c r="W265" s="230"/>
    </row>
    <row r="266">
      <c r="O266" s="230"/>
      <c r="T266" s="230"/>
      <c r="U266" s="230"/>
      <c r="V266" s="230"/>
      <c r="W266" s="230"/>
    </row>
    <row r="267">
      <c r="O267" s="230"/>
      <c r="T267" s="230"/>
      <c r="U267" s="230"/>
      <c r="V267" s="230"/>
      <c r="W267" s="230"/>
    </row>
    <row r="268">
      <c r="O268" s="230"/>
      <c r="T268" s="230"/>
      <c r="U268" s="230"/>
      <c r="V268" s="230"/>
      <c r="W268" s="230"/>
    </row>
    <row r="269">
      <c r="O269" s="230"/>
      <c r="T269" s="230"/>
      <c r="U269" s="230"/>
      <c r="V269" s="230"/>
      <c r="W269" s="230"/>
    </row>
    <row r="270">
      <c r="O270" s="230"/>
      <c r="T270" s="230"/>
      <c r="U270" s="230"/>
      <c r="V270" s="230"/>
      <c r="W270" s="230"/>
    </row>
    <row r="271">
      <c r="O271" s="230"/>
      <c r="T271" s="230"/>
      <c r="U271" s="230"/>
      <c r="V271" s="230"/>
      <c r="W271" s="230"/>
    </row>
    <row r="272">
      <c r="O272" s="230"/>
      <c r="T272" s="230"/>
      <c r="U272" s="230"/>
      <c r="V272" s="230"/>
      <c r="W272" s="230"/>
    </row>
    <row r="273">
      <c r="O273" s="230"/>
      <c r="T273" s="230"/>
      <c r="U273" s="230"/>
      <c r="V273" s="230"/>
      <c r="W273" s="230"/>
    </row>
    <row r="274">
      <c r="O274" s="230"/>
      <c r="T274" s="230"/>
      <c r="U274" s="230"/>
      <c r="V274" s="230"/>
      <c r="W274" s="230"/>
    </row>
    <row r="275">
      <c r="O275" s="230"/>
      <c r="T275" s="230"/>
      <c r="U275" s="230"/>
      <c r="V275" s="230"/>
      <c r="W275" s="230"/>
    </row>
    <row r="276">
      <c r="O276" s="230"/>
      <c r="T276" s="230"/>
      <c r="U276" s="230"/>
      <c r="V276" s="230"/>
      <c r="W276" s="230"/>
    </row>
    <row r="277">
      <c r="O277" s="230"/>
      <c r="T277" s="230"/>
      <c r="U277" s="230"/>
      <c r="V277" s="230"/>
      <c r="W277" s="230"/>
    </row>
    <row r="278">
      <c r="O278" s="230"/>
      <c r="T278" s="230"/>
      <c r="U278" s="230"/>
      <c r="V278" s="230"/>
      <c r="W278" s="230"/>
    </row>
    <row r="279">
      <c r="O279" s="230"/>
      <c r="T279" s="230"/>
      <c r="U279" s="230"/>
      <c r="V279" s="230"/>
      <c r="W279" s="230"/>
    </row>
    <row r="280">
      <c r="O280" s="230"/>
      <c r="T280" s="230"/>
      <c r="U280" s="230"/>
      <c r="V280" s="230"/>
      <c r="W280" s="230"/>
    </row>
    <row r="281">
      <c r="O281" s="230"/>
      <c r="T281" s="230"/>
      <c r="U281" s="230"/>
      <c r="V281" s="230"/>
      <c r="W281" s="230"/>
    </row>
    <row r="282">
      <c r="O282" s="230"/>
      <c r="T282" s="230"/>
      <c r="U282" s="230"/>
      <c r="V282" s="230"/>
      <c r="W282" s="230"/>
    </row>
    <row r="283">
      <c r="O283" s="230"/>
      <c r="T283" s="230"/>
      <c r="U283" s="230"/>
      <c r="V283" s="230"/>
      <c r="W283" s="230"/>
    </row>
    <row r="284">
      <c r="O284" s="230"/>
      <c r="T284" s="230"/>
      <c r="U284" s="230"/>
      <c r="V284" s="230"/>
      <c r="W284" s="230"/>
    </row>
    <row r="285">
      <c r="O285" s="230"/>
      <c r="T285" s="230"/>
      <c r="U285" s="230"/>
      <c r="V285" s="230"/>
      <c r="W285" s="230"/>
    </row>
    <row r="286">
      <c r="O286" s="230"/>
      <c r="T286" s="230"/>
      <c r="U286" s="230"/>
      <c r="V286" s="230"/>
      <c r="W286" s="230"/>
    </row>
    <row r="287">
      <c r="O287" s="230"/>
      <c r="T287" s="230"/>
      <c r="U287" s="230"/>
      <c r="V287" s="230"/>
      <c r="W287" s="230"/>
    </row>
    <row r="288">
      <c r="O288" s="230"/>
      <c r="T288" s="230"/>
      <c r="U288" s="230"/>
      <c r="V288" s="230"/>
      <c r="W288" s="230"/>
    </row>
    <row r="289">
      <c r="O289" s="230"/>
      <c r="T289" s="230"/>
      <c r="U289" s="230"/>
      <c r="V289" s="230"/>
      <c r="W289" s="230"/>
    </row>
    <row r="290">
      <c r="O290" s="230"/>
      <c r="T290" s="230"/>
      <c r="U290" s="230"/>
      <c r="V290" s="230"/>
      <c r="W290" s="230"/>
    </row>
    <row r="291">
      <c r="O291" s="230"/>
      <c r="T291" s="230"/>
      <c r="U291" s="230"/>
      <c r="V291" s="230"/>
      <c r="W291" s="230"/>
    </row>
    <row r="292">
      <c r="O292" s="230"/>
      <c r="T292" s="230"/>
      <c r="U292" s="230"/>
      <c r="V292" s="230"/>
      <c r="W292" s="230"/>
    </row>
    <row r="293">
      <c r="O293" s="230"/>
      <c r="T293" s="230"/>
      <c r="U293" s="230"/>
      <c r="V293" s="230"/>
      <c r="W293" s="230"/>
    </row>
    <row r="294">
      <c r="O294" s="230"/>
      <c r="T294" s="230"/>
      <c r="U294" s="230"/>
      <c r="V294" s="230"/>
      <c r="W294" s="230"/>
    </row>
    <row r="295">
      <c r="O295" s="230"/>
      <c r="T295" s="230"/>
      <c r="U295" s="230"/>
      <c r="V295" s="230"/>
      <c r="W295" s="230"/>
    </row>
    <row r="296">
      <c r="O296" s="230"/>
      <c r="T296" s="230"/>
      <c r="U296" s="230"/>
      <c r="V296" s="230"/>
      <c r="W296" s="230"/>
    </row>
    <row r="297">
      <c r="O297" s="230"/>
      <c r="T297" s="230"/>
      <c r="U297" s="230"/>
      <c r="V297" s="230"/>
      <c r="W297" s="230"/>
    </row>
    <row r="298">
      <c r="O298" s="230"/>
      <c r="T298" s="230"/>
      <c r="U298" s="230"/>
      <c r="V298" s="230"/>
      <c r="W298" s="230"/>
    </row>
    <row r="299">
      <c r="O299" s="230"/>
      <c r="T299" s="230"/>
      <c r="U299" s="230"/>
      <c r="V299" s="230"/>
      <c r="W299" s="230"/>
    </row>
    <row r="300">
      <c r="O300" s="230"/>
      <c r="T300" s="230"/>
      <c r="U300" s="230"/>
      <c r="V300" s="230"/>
      <c r="W300" s="230"/>
    </row>
    <row r="301">
      <c r="O301" s="230"/>
      <c r="T301" s="230"/>
      <c r="U301" s="230"/>
      <c r="V301" s="230"/>
      <c r="W301" s="230"/>
    </row>
    <row r="302">
      <c r="O302" s="230"/>
      <c r="T302" s="230"/>
      <c r="U302" s="230"/>
      <c r="V302" s="230"/>
      <c r="W302" s="230"/>
    </row>
    <row r="303">
      <c r="O303" s="230"/>
      <c r="T303" s="230"/>
      <c r="U303" s="230"/>
      <c r="V303" s="230"/>
      <c r="W303" s="230"/>
    </row>
    <row r="304">
      <c r="O304" s="230"/>
      <c r="T304" s="230"/>
      <c r="U304" s="230"/>
      <c r="V304" s="230"/>
      <c r="W304" s="230"/>
    </row>
    <row r="305">
      <c r="O305" s="230"/>
      <c r="T305" s="230"/>
      <c r="U305" s="230"/>
      <c r="V305" s="230"/>
      <c r="W305" s="230"/>
    </row>
    <row r="306">
      <c r="O306" s="230"/>
      <c r="T306" s="230"/>
      <c r="U306" s="230"/>
      <c r="V306" s="230"/>
      <c r="W306" s="230"/>
    </row>
    <row r="307">
      <c r="O307" s="230"/>
      <c r="T307" s="230"/>
      <c r="U307" s="230"/>
      <c r="V307" s="230"/>
      <c r="W307" s="230"/>
    </row>
    <row r="308">
      <c r="O308" s="230"/>
      <c r="T308" s="230"/>
      <c r="U308" s="230"/>
      <c r="V308" s="230"/>
      <c r="W308" s="230"/>
    </row>
    <row r="309">
      <c r="O309" s="230"/>
      <c r="T309" s="230"/>
      <c r="U309" s="230"/>
      <c r="V309" s="230"/>
      <c r="W309" s="230"/>
    </row>
    <row r="310">
      <c r="O310" s="230"/>
      <c r="T310" s="230"/>
      <c r="U310" s="230"/>
      <c r="V310" s="230"/>
      <c r="W310" s="230"/>
    </row>
    <row r="311">
      <c r="O311" s="230"/>
      <c r="T311" s="230"/>
      <c r="U311" s="230"/>
      <c r="V311" s="230"/>
      <c r="W311" s="230"/>
    </row>
    <row r="312">
      <c r="O312" s="230"/>
      <c r="T312" s="230"/>
      <c r="U312" s="230"/>
      <c r="V312" s="230"/>
      <c r="W312" s="230"/>
    </row>
    <row r="313">
      <c r="O313" s="230"/>
      <c r="T313" s="230"/>
      <c r="U313" s="230"/>
      <c r="V313" s="230"/>
      <c r="W313" s="230"/>
    </row>
    <row r="314">
      <c r="O314" s="230"/>
      <c r="T314" s="230"/>
      <c r="U314" s="230"/>
      <c r="V314" s="230"/>
      <c r="W314" s="230"/>
    </row>
    <row r="315">
      <c r="O315" s="230"/>
      <c r="T315" s="230"/>
      <c r="U315" s="230"/>
      <c r="V315" s="230"/>
      <c r="W315" s="230"/>
    </row>
    <row r="316">
      <c r="O316" s="230"/>
      <c r="T316" s="230"/>
      <c r="U316" s="230"/>
      <c r="V316" s="230"/>
      <c r="W316" s="230"/>
    </row>
    <row r="317">
      <c r="O317" s="230"/>
      <c r="T317" s="230"/>
      <c r="U317" s="230"/>
      <c r="V317" s="230"/>
      <c r="W317" s="230"/>
    </row>
    <row r="318">
      <c r="O318" s="230"/>
      <c r="T318" s="230"/>
      <c r="U318" s="230"/>
      <c r="V318" s="230"/>
      <c r="W318" s="230"/>
    </row>
    <row r="319">
      <c r="O319" s="230"/>
      <c r="T319" s="230"/>
      <c r="U319" s="230"/>
      <c r="V319" s="230"/>
      <c r="W319" s="230"/>
    </row>
    <row r="320">
      <c r="O320" s="230"/>
      <c r="T320" s="230"/>
      <c r="U320" s="230"/>
      <c r="V320" s="230"/>
      <c r="W320" s="230"/>
    </row>
    <row r="321">
      <c r="O321" s="230"/>
      <c r="T321" s="230"/>
      <c r="U321" s="230"/>
      <c r="V321" s="230"/>
      <c r="W321" s="230"/>
    </row>
    <row r="322">
      <c r="O322" s="230"/>
      <c r="T322" s="230"/>
      <c r="U322" s="230"/>
      <c r="V322" s="230"/>
      <c r="W322" s="230"/>
    </row>
    <row r="323">
      <c r="O323" s="230"/>
      <c r="T323" s="230"/>
      <c r="U323" s="230"/>
      <c r="V323" s="230"/>
      <c r="W323" s="230"/>
    </row>
    <row r="324">
      <c r="O324" s="230"/>
      <c r="T324" s="230"/>
      <c r="U324" s="230"/>
      <c r="V324" s="230"/>
      <c r="W324" s="230"/>
    </row>
    <row r="325">
      <c r="O325" s="230"/>
      <c r="T325" s="230"/>
      <c r="U325" s="230"/>
      <c r="V325" s="230"/>
      <c r="W325" s="230"/>
    </row>
    <row r="326">
      <c r="O326" s="230"/>
      <c r="T326" s="230"/>
      <c r="U326" s="230"/>
      <c r="V326" s="230"/>
      <c r="W326" s="230"/>
    </row>
    <row r="327">
      <c r="O327" s="230"/>
      <c r="T327" s="230"/>
      <c r="U327" s="230"/>
      <c r="V327" s="230"/>
      <c r="W327" s="230"/>
    </row>
    <row r="328">
      <c r="O328" s="230"/>
      <c r="T328" s="230"/>
      <c r="U328" s="230"/>
      <c r="V328" s="230"/>
      <c r="W328" s="230"/>
    </row>
    <row r="329">
      <c r="O329" s="230"/>
      <c r="T329" s="230"/>
      <c r="U329" s="230"/>
      <c r="V329" s="230"/>
      <c r="W329" s="230"/>
    </row>
    <row r="330">
      <c r="O330" s="230"/>
      <c r="T330" s="230"/>
      <c r="U330" s="230"/>
      <c r="V330" s="230"/>
      <c r="W330" s="230"/>
    </row>
    <row r="331">
      <c r="O331" s="230"/>
      <c r="T331" s="230"/>
      <c r="U331" s="230"/>
      <c r="V331" s="230"/>
      <c r="W331" s="230"/>
    </row>
    <row r="332">
      <c r="O332" s="230"/>
      <c r="T332" s="230"/>
      <c r="U332" s="230"/>
      <c r="V332" s="230"/>
      <c r="W332" s="230"/>
    </row>
    <row r="333">
      <c r="O333" s="230"/>
      <c r="T333" s="230"/>
      <c r="U333" s="230"/>
      <c r="V333" s="230"/>
      <c r="W333" s="230"/>
    </row>
    <row r="334">
      <c r="O334" s="230"/>
      <c r="T334" s="230"/>
      <c r="U334" s="230"/>
      <c r="V334" s="230"/>
      <c r="W334" s="230"/>
    </row>
    <row r="335">
      <c r="O335" s="230"/>
      <c r="T335" s="230"/>
      <c r="U335" s="230"/>
      <c r="V335" s="230"/>
      <c r="W335" s="230"/>
    </row>
    <row r="336">
      <c r="O336" s="230"/>
      <c r="T336" s="230"/>
      <c r="U336" s="230"/>
      <c r="V336" s="230"/>
      <c r="W336" s="230"/>
    </row>
    <row r="337">
      <c r="O337" s="230"/>
      <c r="T337" s="230"/>
      <c r="U337" s="230"/>
      <c r="V337" s="230"/>
      <c r="W337" s="230"/>
    </row>
    <row r="338">
      <c r="O338" s="230"/>
      <c r="T338" s="230"/>
      <c r="U338" s="230"/>
      <c r="V338" s="230"/>
      <c r="W338" s="230"/>
    </row>
    <row r="339">
      <c r="O339" s="230"/>
      <c r="T339" s="230"/>
      <c r="U339" s="230"/>
      <c r="V339" s="230"/>
      <c r="W339" s="230"/>
    </row>
    <row r="340">
      <c r="O340" s="230"/>
      <c r="T340" s="230"/>
      <c r="U340" s="230"/>
      <c r="V340" s="230"/>
      <c r="W340" s="230"/>
    </row>
    <row r="341">
      <c r="O341" s="230"/>
      <c r="T341" s="230"/>
      <c r="U341" s="230"/>
      <c r="V341" s="230"/>
      <c r="W341" s="230"/>
    </row>
    <row r="342">
      <c r="O342" s="230"/>
      <c r="T342" s="230"/>
      <c r="U342" s="230"/>
      <c r="V342" s="230"/>
      <c r="W342" s="230"/>
    </row>
    <row r="343">
      <c r="O343" s="230"/>
      <c r="T343" s="230"/>
      <c r="U343" s="230"/>
      <c r="V343" s="230"/>
      <c r="W343" s="230"/>
    </row>
    <row r="344">
      <c r="O344" s="230"/>
      <c r="T344" s="230"/>
      <c r="U344" s="230"/>
      <c r="V344" s="230"/>
      <c r="W344" s="230"/>
    </row>
    <row r="345">
      <c r="O345" s="230"/>
      <c r="T345" s="230"/>
      <c r="U345" s="230"/>
      <c r="V345" s="230"/>
      <c r="W345" s="230"/>
    </row>
    <row r="346">
      <c r="O346" s="230"/>
      <c r="T346" s="230"/>
      <c r="U346" s="230"/>
      <c r="V346" s="230"/>
      <c r="W346" s="230"/>
    </row>
    <row r="347">
      <c r="O347" s="230"/>
      <c r="T347" s="230"/>
      <c r="U347" s="230"/>
      <c r="V347" s="230"/>
      <c r="W347" s="230"/>
    </row>
    <row r="348">
      <c r="O348" s="230"/>
      <c r="T348" s="230"/>
      <c r="U348" s="230"/>
      <c r="V348" s="230"/>
      <c r="W348" s="230"/>
    </row>
    <row r="349">
      <c r="O349" s="230"/>
      <c r="T349" s="230"/>
      <c r="U349" s="230"/>
      <c r="V349" s="230"/>
      <c r="W349" s="230"/>
    </row>
    <row r="350">
      <c r="O350" s="230"/>
      <c r="T350" s="230"/>
      <c r="U350" s="230"/>
      <c r="V350" s="230"/>
      <c r="W350" s="230"/>
    </row>
    <row r="351">
      <c r="O351" s="230"/>
      <c r="T351" s="230"/>
      <c r="U351" s="230"/>
      <c r="V351" s="230"/>
      <c r="W351" s="230"/>
    </row>
    <row r="352">
      <c r="O352" s="230"/>
      <c r="T352" s="230"/>
      <c r="U352" s="230"/>
      <c r="V352" s="230"/>
      <c r="W352" s="230"/>
    </row>
    <row r="353">
      <c r="O353" s="230"/>
      <c r="T353" s="230"/>
      <c r="U353" s="230"/>
      <c r="V353" s="230"/>
      <c r="W353" s="230"/>
    </row>
    <row r="354">
      <c r="O354" s="230"/>
      <c r="T354" s="230"/>
      <c r="U354" s="230"/>
      <c r="V354" s="230"/>
      <c r="W354" s="230"/>
    </row>
    <row r="355">
      <c r="O355" s="230"/>
      <c r="T355" s="230"/>
      <c r="U355" s="230"/>
      <c r="V355" s="230"/>
      <c r="W355" s="230"/>
    </row>
    <row r="356">
      <c r="O356" s="230"/>
      <c r="T356" s="230"/>
      <c r="U356" s="230"/>
      <c r="V356" s="230"/>
      <c r="W356" s="230"/>
    </row>
    <row r="357">
      <c r="O357" s="230"/>
      <c r="T357" s="230"/>
      <c r="U357" s="230"/>
      <c r="V357" s="230"/>
      <c r="W357" s="230"/>
    </row>
    <row r="358">
      <c r="O358" s="230"/>
      <c r="T358" s="230"/>
      <c r="U358" s="230"/>
      <c r="V358" s="230"/>
      <c r="W358" s="230"/>
    </row>
    <row r="359">
      <c r="O359" s="230"/>
      <c r="T359" s="230"/>
      <c r="U359" s="230"/>
      <c r="V359" s="230"/>
      <c r="W359" s="230"/>
    </row>
    <row r="360">
      <c r="O360" s="230"/>
      <c r="T360" s="230"/>
      <c r="U360" s="230"/>
      <c r="V360" s="230"/>
      <c r="W360" s="230"/>
    </row>
    <row r="361">
      <c r="O361" s="230"/>
      <c r="T361" s="230"/>
      <c r="U361" s="230"/>
      <c r="V361" s="230"/>
      <c r="W361" s="230"/>
    </row>
    <row r="362">
      <c r="O362" s="230"/>
      <c r="T362" s="230"/>
      <c r="U362" s="230"/>
      <c r="V362" s="230"/>
      <c r="W362" s="230"/>
    </row>
    <row r="363">
      <c r="O363" s="230"/>
      <c r="T363" s="230"/>
      <c r="U363" s="230"/>
      <c r="V363" s="230"/>
      <c r="W363" s="230"/>
    </row>
    <row r="364">
      <c r="O364" s="230"/>
      <c r="T364" s="230"/>
      <c r="U364" s="230"/>
      <c r="V364" s="230"/>
      <c r="W364" s="230"/>
    </row>
    <row r="365">
      <c r="O365" s="230"/>
      <c r="T365" s="230"/>
      <c r="U365" s="230"/>
      <c r="V365" s="230"/>
      <c r="W365" s="230"/>
    </row>
    <row r="366">
      <c r="O366" s="230"/>
      <c r="T366" s="230"/>
      <c r="U366" s="230"/>
      <c r="V366" s="230"/>
      <c r="W366" s="230"/>
    </row>
    <row r="367">
      <c r="O367" s="230"/>
      <c r="T367" s="230"/>
      <c r="U367" s="230"/>
      <c r="V367" s="230"/>
      <c r="W367" s="230"/>
    </row>
    <row r="368">
      <c r="O368" s="230"/>
      <c r="T368" s="230"/>
      <c r="U368" s="230"/>
      <c r="V368" s="230"/>
      <c r="W368" s="230"/>
    </row>
    <row r="369">
      <c r="O369" s="230"/>
      <c r="T369" s="230"/>
      <c r="U369" s="230"/>
      <c r="V369" s="230"/>
      <c r="W369" s="230"/>
    </row>
    <row r="370">
      <c r="O370" s="230"/>
      <c r="T370" s="230"/>
      <c r="U370" s="230"/>
      <c r="V370" s="230"/>
      <c r="W370" s="230"/>
    </row>
    <row r="371">
      <c r="O371" s="230"/>
      <c r="T371" s="230"/>
      <c r="U371" s="230"/>
      <c r="V371" s="230"/>
      <c r="W371" s="230"/>
    </row>
    <row r="372">
      <c r="O372" s="230"/>
      <c r="T372" s="230"/>
      <c r="U372" s="230"/>
      <c r="V372" s="230"/>
      <c r="W372" s="230"/>
    </row>
    <row r="373">
      <c r="O373" s="230"/>
      <c r="T373" s="230"/>
      <c r="U373" s="230"/>
      <c r="V373" s="230"/>
      <c r="W373" s="230"/>
    </row>
    <row r="374">
      <c r="O374" s="230"/>
      <c r="T374" s="230"/>
      <c r="U374" s="230"/>
      <c r="V374" s="230"/>
      <c r="W374" s="230"/>
    </row>
    <row r="375">
      <c r="O375" s="230"/>
      <c r="T375" s="230"/>
      <c r="U375" s="230"/>
      <c r="V375" s="230"/>
      <c r="W375" s="230"/>
    </row>
    <row r="376">
      <c r="O376" s="230"/>
      <c r="T376" s="230"/>
      <c r="U376" s="230"/>
      <c r="V376" s="230"/>
      <c r="W376" s="230"/>
    </row>
    <row r="377">
      <c r="O377" s="230"/>
      <c r="T377" s="230"/>
      <c r="U377" s="230"/>
      <c r="V377" s="230"/>
      <c r="W377" s="230"/>
    </row>
    <row r="378">
      <c r="O378" s="230"/>
      <c r="T378" s="230"/>
      <c r="U378" s="230"/>
      <c r="V378" s="230"/>
      <c r="W378" s="230"/>
    </row>
    <row r="379">
      <c r="O379" s="230"/>
      <c r="T379" s="230"/>
      <c r="U379" s="230"/>
      <c r="V379" s="230"/>
      <c r="W379" s="230"/>
    </row>
    <row r="380">
      <c r="O380" s="230"/>
      <c r="T380" s="230"/>
      <c r="U380" s="230"/>
      <c r="V380" s="230"/>
      <c r="W380" s="230"/>
    </row>
    <row r="381">
      <c r="O381" s="230"/>
      <c r="T381" s="230"/>
      <c r="U381" s="230"/>
      <c r="V381" s="230"/>
      <c r="W381" s="230"/>
    </row>
    <row r="382">
      <c r="O382" s="230"/>
      <c r="T382" s="230"/>
      <c r="U382" s="230"/>
      <c r="V382" s="230"/>
      <c r="W382" s="230"/>
    </row>
    <row r="383">
      <c r="O383" s="230"/>
      <c r="T383" s="230"/>
      <c r="U383" s="230"/>
      <c r="V383" s="230"/>
      <c r="W383" s="230"/>
    </row>
    <row r="384">
      <c r="O384" s="230"/>
      <c r="T384" s="230"/>
      <c r="U384" s="230"/>
      <c r="V384" s="230"/>
      <c r="W384" s="230"/>
    </row>
    <row r="385">
      <c r="O385" s="230"/>
      <c r="T385" s="230"/>
      <c r="U385" s="230"/>
      <c r="V385" s="230"/>
      <c r="W385" s="230"/>
    </row>
    <row r="386">
      <c r="O386" s="230"/>
      <c r="T386" s="230"/>
      <c r="U386" s="230"/>
      <c r="V386" s="230"/>
      <c r="W386" s="230"/>
    </row>
    <row r="387">
      <c r="O387" s="230"/>
      <c r="T387" s="230"/>
      <c r="U387" s="230"/>
      <c r="V387" s="230"/>
      <c r="W387" s="230"/>
    </row>
    <row r="388">
      <c r="O388" s="230"/>
      <c r="T388" s="230"/>
      <c r="U388" s="230"/>
      <c r="V388" s="230"/>
      <c r="W388" s="230"/>
    </row>
    <row r="389">
      <c r="O389" s="230"/>
      <c r="T389" s="230"/>
      <c r="U389" s="230"/>
      <c r="V389" s="230"/>
      <c r="W389" s="230"/>
    </row>
    <row r="390">
      <c r="O390" s="230"/>
      <c r="T390" s="230"/>
      <c r="U390" s="230"/>
      <c r="V390" s="230"/>
      <c r="W390" s="230"/>
    </row>
    <row r="391">
      <c r="O391" s="230"/>
      <c r="T391" s="230"/>
      <c r="U391" s="230"/>
      <c r="V391" s="230"/>
      <c r="W391" s="230"/>
    </row>
    <row r="392">
      <c r="O392" s="230"/>
      <c r="T392" s="230"/>
      <c r="U392" s="230"/>
      <c r="V392" s="230"/>
      <c r="W392" s="230"/>
    </row>
    <row r="393">
      <c r="O393" s="230"/>
      <c r="T393" s="230"/>
      <c r="U393" s="230"/>
      <c r="V393" s="230"/>
      <c r="W393" s="230"/>
    </row>
    <row r="394">
      <c r="O394" s="230"/>
      <c r="T394" s="230"/>
      <c r="U394" s="230"/>
      <c r="V394" s="230"/>
      <c r="W394" s="230"/>
    </row>
    <row r="395">
      <c r="O395" s="230"/>
      <c r="T395" s="230"/>
      <c r="U395" s="230"/>
      <c r="V395" s="230"/>
      <c r="W395" s="230"/>
    </row>
    <row r="396">
      <c r="O396" s="230"/>
      <c r="T396" s="230"/>
      <c r="U396" s="230"/>
      <c r="V396" s="230"/>
      <c r="W396" s="230"/>
    </row>
    <row r="397">
      <c r="O397" s="230"/>
      <c r="T397" s="230"/>
      <c r="U397" s="230"/>
      <c r="V397" s="230"/>
      <c r="W397" s="230"/>
    </row>
    <row r="398">
      <c r="O398" s="230"/>
      <c r="T398" s="230"/>
      <c r="U398" s="230"/>
      <c r="V398" s="230"/>
      <c r="W398" s="230"/>
    </row>
    <row r="399">
      <c r="O399" s="230"/>
      <c r="T399" s="230"/>
      <c r="U399" s="230"/>
      <c r="V399" s="230"/>
      <c r="W399" s="230"/>
    </row>
    <row r="400">
      <c r="O400" s="230"/>
      <c r="T400" s="230"/>
      <c r="U400" s="230"/>
      <c r="V400" s="230"/>
      <c r="W400" s="230"/>
    </row>
    <row r="401">
      <c r="O401" s="230"/>
      <c r="T401" s="230"/>
      <c r="U401" s="230"/>
      <c r="V401" s="230"/>
      <c r="W401" s="230"/>
    </row>
    <row r="402">
      <c r="O402" s="230"/>
      <c r="T402" s="230"/>
      <c r="U402" s="230"/>
      <c r="V402" s="230"/>
      <c r="W402" s="230"/>
    </row>
    <row r="403">
      <c r="O403" s="230"/>
      <c r="T403" s="230"/>
      <c r="U403" s="230"/>
      <c r="V403" s="230"/>
      <c r="W403" s="230"/>
    </row>
    <row r="404">
      <c r="O404" s="230"/>
      <c r="T404" s="230"/>
      <c r="U404" s="230"/>
      <c r="V404" s="230"/>
      <c r="W404" s="230"/>
    </row>
    <row r="405">
      <c r="O405" s="230"/>
      <c r="T405" s="230"/>
      <c r="U405" s="230"/>
      <c r="V405" s="230"/>
      <c r="W405" s="230"/>
    </row>
    <row r="406">
      <c r="O406" s="230"/>
      <c r="T406" s="230"/>
      <c r="U406" s="230"/>
      <c r="V406" s="230"/>
      <c r="W406" s="230"/>
    </row>
    <row r="407">
      <c r="O407" s="230"/>
      <c r="T407" s="230"/>
      <c r="U407" s="230"/>
      <c r="V407" s="230"/>
      <c r="W407" s="230"/>
    </row>
    <row r="408">
      <c r="O408" s="230"/>
      <c r="T408" s="230"/>
      <c r="U408" s="230"/>
      <c r="V408" s="230"/>
      <c r="W408" s="230"/>
    </row>
    <row r="409">
      <c r="O409" s="230"/>
      <c r="T409" s="230"/>
      <c r="U409" s="230"/>
      <c r="V409" s="230"/>
      <c r="W409" s="230"/>
    </row>
    <row r="410">
      <c r="O410" s="230"/>
      <c r="T410" s="230"/>
      <c r="U410" s="230"/>
      <c r="V410" s="230"/>
      <c r="W410" s="230"/>
    </row>
    <row r="411">
      <c r="O411" s="230"/>
      <c r="T411" s="230"/>
      <c r="U411" s="230"/>
      <c r="V411" s="230"/>
      <c r="W411" s="230"/>
    </row>
    <row r="412">
      <c r="O412" s="230"/>
      <c r="T412" s="230"/>
      <c r="U412" s="230"/>
      <c r="V412" s="230"/>
      <c r="W412" s="230"/>
    </row>
    <row r="413">
      <c r="O413" s="230"/>
      <c r="T413" s="230"/>
      <c r="U413" s="230"/>
      <c r="V413" s="230"/>
      <c r="W413" s="230"/>
    </row>
    <row r="414">
      <c r="O414" s="230"/>
      <c r="T414" s="230"/>
      <c r="U414" s="230"/>
      <c r="V414" s="230"/>
      <c r="W414" s="230"/>
    </row>
    <row r="415">
      <c r="O415" s="230"/>
      <c r="T415" s="230"/>
      <c r="U415" s="230"/>
      <c r="V415" s="230"/>
      <c r="W415" s="230"/>
    </row>
    <row r="416">
      <c r="O416" s="230"/>
      <c r="T416" s="230"/>
      <c r="U416" s="230"/>
      <c r="V416" s="230"/>
      <c r="W416" s="230"/>
    </row>
    <row r="417">
      <c r="O417" s="230"/>
      <c r="T417" s="230"/>
      <c r="U417" s="230"/>
      <c r="V417" s="230"/>
      <c r="W417" s="230"/>
    </row>
    <row r="418">
      <c r="O418" s="230"/>
      <c r="T418" s="230"/>
      <c r="U418" s="230"/>
      <c r="V418" s="230"/>
      <c r="W418" s="230"/>
    </row>
    <row r="419">
      <c r="O419" s="230"/>
      <c r="T419" s="230"/>
      <c r="U419" s="230"/>
      <c r="V419" s="230"/>
      <c r="W419" s="230"/>
    </row>
    <row r="420">
      <c r="O420" s="230"/>
      <c r="T420" s="230"/>
      <c r="U420" s="230"/>
      <c r="V420" s="230"/>
      <c r="W420" s="230"/>
    </row>
    <row r="421">
      <c r="O421" s="230"/>
      <c r="T421" s="230"/>
      <c r="U421" s="230"/>
      <c r="V421" s="230"/>
      <c r="W421" s="230"/>
    </row>
    <row r="422">
      <c r="O422" s="230"/>
      <c r="T422" s="230"/>
      <c r="U422" s="230"/>
      <c r="V422" s="230"/>
      <c r="W422" s="230"/>
    </row>
    <row r="423">
      <c r="O423" s="230"/>
      <c r="T423" s="230"/>
      <c r="U423" s="230"/>
      <c r="V423" s="230"/>
      <c r="W423" s="230"/>
    </row>
    <row r="424">
      <c r="O424" s="230"/>
      <c r="T424" s="230"/>
      <c r="U424" s="230"/>
      <c r="V424" s="230"/>
      <c r="W424" s="230"/>
    </row>
    <row r="425">
      <c r="O425" s="230"/>
      <c r="T425" s="230"/>
      <c r="U425" s="230"/>
      <c r="V425" s="230"/>
      <c r="W425" s="230"/>
    </row>
    <row r="426">
      <c r="O426" s="230"/>
      <c r="T426" s="230"/>
      <c r="U426" s="230"/>
      <c r="V426" s="230"/>
      <c r="W426" s="230"/>
    </row>
    <row r="427">
      <c r="O427" s="230"/>
      <c r="T427" s="230"/>
      <c r="U427" s="230"/>
      <c r="V427" s="230"/>
      <c r="W427" s="230"/>
    </row>
    <row r="428">
      <c r="O428" s="230"/>
      <c r="T428" s="230"/>
      <c r="U428" s="230"/>
      <c r="V428" s="230"/>
      <c r="W428" s="230"/>
    </row>
    <row r="429">
      <c r="O429" s="230"/>
      <c r="T429" s="230"/>
      <c r="U429" s="230"/>
      <c r="V429" s="230"/>
      <c r="W429" s="230"/>
    </row>
    <row r="430">
      <c r="O430" s="230"/>
      <c r="T430" s="230"/>
      <c r="U430" s="230"/>
      <c r="V430" s="230"/>
      <c r="W430" s="230"/>
    </row>
    <row r="431">
      <c r="O431" s="230"/>
      <c r="T431" s="230"/>
      <c r="U431" s="230"/>
      <c r="V431" s="230"/>
      <c r="W431" s="230"/>
    </row>
    <row r="432">
      <c r="O432" s="230"/>
      <c r="T432" s="230"/>
      <c r="U432" s="230"/>
      <c r="V432" s="230"/>
      <c r="W432" s="230"/>
    </row>
    <row r="433">
      <c r="O433" s="230"/>
      <c r="T433" s="230"/>
      <c r="U433" s="230"/>
      <c r="V433" s="230"/>
      <c r="W433" s="230"/>
    </row>
    <row r="434">
      <c r="O434" s="230"/>
      <c r="T434" s="230"/>
      <c r="U434" s="230"/>
      <c r="V434" s="230"/>
      <c r="W434" s="230"/>
    </row>
    <row r="435">
      <c r="O435" s="230"/>
      <c r="T435" s="230"/>
      <c r="U435" s="230"/>
      <c r="V435" s="230"/>
      <c r="W435" s="230"/>
    </row>
    <row r="436">
      <c r="O436" s="230"/>
      <c r="T436" s="230"/>
      <c r="U436" s="230"/>
      <c r="V436" s="230"/>
      <c r="W436" s="230"/>
    </row>
    <row r="437">
      <c r="O437" s="230"/>
      <c r="T437" s="230"/>
      <c r="U437" s="230"/>
      <c r="V437" s="230"/>
      <c r="W437" s="230"/>
    </row>
    <row r="438">
      <c r="O438" s="230"/>
      <c r="T438" s="230"/>
      <c r="U438" s="230"/>
      <c r="V438" s="230"/>
      <c r="W438" s="230"/>
    </row>
    <row r="439">
      <c r="O439" s="230"/>
      <c r="T439" s="230"/>
      <c r="U439" s="230"/>
      <c r="V439" s="230"/>
      <c r="W439" s="230"/>
    </row>
    <row r="440">
      <c r="O440" s="230"/>
      <c r="T440" s="230"/>
      <c r="U440" s="230"/>
      <c r="V440" s="230"/>
      <c r="W440" s="230"/>
    </row>
    <row r="441">
      <c r="O441" s="230"/>
      <c r="T441" s="230"/>
      <c r="U441" s="230"/>
      <c r="V441" s="230"/>
      <c r="W441" s="230"/>
    </row>
    <row r="442">
      <c r="O442" s="230"/>
      <c r="T442" s="230"/>
      <c r="U442" s="230"/>
      <c r="V442" s="230"/>
      <c r="W442" s="230"/>
    </row>
    <row r="443">
      <c r="O443" s="230"/>
      <c r="T443" s="230"/>
      <c r="U443" s="230"/>
      <c r="V443" s="230"/>
      <c r="W443" s="230"/>
    </row>
    <row r="444">
      <c r="O444" s="230"/>
      <c r="T444" s="230"/>
      <c r="U444" s="230"/>
      <c r="V444" s="230"/>
      <c r="W444" s="230"/>
    </row>
    <row r="445">
      <c r="O445" s="230"/>
      <c r="T445" s="230"/>
      <c r="U445" s="230"/>
      <c r="V445" s="230"/>
      <c r="W445" s="230"/>
    </row>
    <row r="446">
      <c r="O446" s="230"/>
      <c r="T446" s="230"/>
      <c r="U446" s="230"/>
      <c r="V446" s="230"/>
      <c r="W446" s="230"/>
    </row>
    <row r="447">
      <c r="O447" s="230"/>
      <c r="T447" s="230"/>
      <c r="U447" s="230"/>
      <c r="V447" s="230"/>
      <c r="W447" s="230"/>
    </row>
    <row r="448">
      <c r="O448" s="230"/>
      <c r="T448" s="230"/>
      <c r="U448" s="230"/>
      <c r="V448" s="230"/>
      <c r="W448" s="230"/>
    </row>
    <row r="449">
      <c r="O449" s="230"/>
      <c r="T449" s="230"/>
      <c r="U449" s="230"/>
      <c r="V449" s="230"/>
      <c r="W449" s="230"/>
    </row>
    <row r="450">
      <c r="O450" s="230"/>
      <c r="T450" s="230"/>
      <c r="U450" s="230"/>
      <c r="V450" s="230"/>
      <c r="W450" s="230"/>
    </row>
    <row r="451">
      <c r="O451" s="230"/>
      <c r="T451" s="230"/>
      <c r="U451" s="230"/>
      <c r="V451" s="230"/>
      <c r="W451" s="230"/>
    </row>
    <row r="452">
      <c r="O452" s="230"/>
      <c r="T452" s="230"/>
      <c r="U452" s="230"/>
      <c r="V452" s="230"/>
      <c r="W452" s="230"/>
    </row>
    <row r="453">
      <c r="O453" s="230"/>
      <c r="T453" s="230"/>
      <c r="U453" s="230"/>
      <c r="V453" s="230"/>
      <c r="W453" s="230"/>
    </row>
    <row r="454">
      <c r="O454" s="230"/>
      <c r="T454" s="230"/>
      <c r="U454" s="230"/>
      <c r="V454" s="230"/>
      <c r="W454" s="230"/>
    </row>
    <row r="455">
      <c r="O455" s="230"/>
      <c r="T455" s="230"/>
      <c r="U455" s="230"/>
      <c r="V455" s="230"/>
      <c r="W455" s="230"/>
    </row>
    <row r="456">
      <c r="O456" s="230"/>
      <c r="T456" s="230"/>
      <c r="U456" s="230"/>
      <c r="V456" s="230"/>
      <c r="W456" s="230"/>
    </row>
    <row r="457">
      <c r="O457" s="230"/>
      <c r="T457" s="230"/>
      <c r="U457" s="230"/>
      <c r="V457" s="230"/>
      <c r="W457" s="230"/>
    </row>
    <row r="458">
      <c r="O458" s="230"/>
      <c r="T458" s="230"/>
      <c r="U458" s="230"/>
      <c r="V458" s="230"/>
      <c r="W458" s="230"/>
    </row>
    <row r="459">
      <c r="O459" s="230"/>
      <c r="T459" s="230"/>
      <c r="U459" s="230"/>
      <c r="V459" s="230"/>
      <c r="W459" s="230"/>
    </row>
    <row r="460">
      <c r="O460" s="230"/>
      <c r="T460" s="230"/>
      <c r="U460" s="230"/>
      <c r="V460" s="230"/>
      <c r="W460" s="230"/>
    </row>
    <row r="461">
      <c r="O461" s="230"/>
      <c r="T461" s="230"/>
      <c r="U461" s="230"/>
      <c r="V461" s="230"/>
      <c r="W461" s="230"/>
    </row>
    <row r="462">
      <c r="O462" s="230"/>
      <c r="T462" s="230"/>
      <c r="U462" s="230"/>
      <c r="V462" s="230"/>
      <c r="W462" s="230"/>
    </row>
    <row r="463">
      <c r="O463" s="230"/>
      <c r="T463" s="230"/>
      <c r="U463" s="230"/>
      <c r="V463" s="230"/>
      <c r="W463" s="230"/>
    </row>
    <row r="464">
      <c r="O464" s="230"/>
      <c r="T464" s="230"/>
      <c r="U464" s="230"/>
      <c r="V464" s="230"/>
      <c r="W464" s="230"/>
    </row>
    <row r="465">
      <c r="O465" s="230"/>
      <c r="T465" s="230"/>
      <c r="U465" s="230"/>
      <c r="V465" s="230"/>
      <c r="W465" s="230"/>
    </row>
    <row r="466">
      <c r="O466" s="230"/>
      <c r="T466" s="230"/>
      <c r="U466" s="230"/>
      <c r="V466" s="230"/>
      <c r="W466" s="230"/>
    </row>
    <row r="467">
      <c r="O467" s="230"/>
      <c r="T467" s="230"/>
      <c r="U467" s="230"/>
      <c r="V467" s="230"/>
      <c r="W467" s="230"/>
    </row>
    <row r="468">
      <c r="O468" s="230"/>
      <c r="T468" s="230"/>
      <c r="U468" s="230"/>
      <c r="V468" s="230"/>
      <c r="W468" s="230"/>
    </row>
    <row r="469">
      <c r="O469" s="230"/>
      <c r="T469" s="230"/>
      <c r="U469" s="230"/>
      <c r="V469" s="230"/>
      <c r="W469" s="230"/>
    </row>
    <row r="470">
      <c r="O470" s="230"/>
      <c r="T470" s="230"/>
      <c r="U470" s="230"/>
      <c r="V470" s="230"/>
      <c r="W470" s="230"/>
    </row>
    <row r="471">
      <c r="O471" s="230"/>
      <c r="T471" s="230"/>
      <c r="U471" s="230"/>
      <c r="V471" s="230"/>
      <c r="W471" s="230"/>
    </row>
    <row r="472">
      <c r="O472" s="230"/>
      <c r="T472" s="230"/>
      <c r="U472" s="230"/>
      <c r="V472" s="230"/>
      <c r="W472" s="230"/>
    </row>
    <row r="473">
      <c r="O473" s="230"/>
      <c r="T473" s="230"/>
      <c r="U473" s="230"/>
      <c r="V473" s="230"/>
      <c r="W473" s="230"/>
    </row>
    <row r="474">
      <c r="O474" s="230"/>
      <c r="T474" s="230"/>
      <c r="U474" s="230"/>
      <c r="V474" s="230"/>
      <c r="W474" s="230"/>
    </row>
    <row r="475">
      <c r="O475" s="230"/>
      <c r="T475" s="230"/>
      <c r="U475" s="230"/>
      <c r="V475" s="230"/>
      <c r="W475" s="230"/>
    </row>
    <row r="476">
      <c r="O476" s="230"/>
      <c r="T476" s="230"/>
      <c r="U476" s="230"/>
      <c r="V476" s="230"/>
      <c r="W476" s="230"/>
    </row>
    <row r="477">
      <c r="O477" s="230"/>
      <c r="T477" s="230"/>
      <c r="U477" s="230"/>
      <c r="V477" s="230"/>
      <c r="W477" s="230"/>
    </row>
    <row r="478">
      <c r="O478" s="230"/>
      <c r="T478" s="230"/>
      <c r="U478" s="230"/>
      <c r="V478" s="230"/>
      <c r="W478" s="230"/>
    </row>
    <row r="479">
      <c r="O479" s="230"/>
      <c r="T479" s="230"/>
      <c r="U479" s="230"/>
      <c r="V479" s="230"/>
      <c r="W479" s="230"/>
    </row>
    <row r="480">
      <c r="O480" s="230"/>
      <c r="T480" s="230"/>
      <c r="U480" s="230"/>
      <c r="V480" s="230"/>
      <c r="W480" s="230"/>
    </row>
    <row r="481">
      <c r="O481" s="230"/>
      <c r="T481" s="230"/>
      <c r="U481" s="230"/>
      <c r="V481" s="230"/>
      <c r="W481" s="230"/>
    </row>
    <row r="482">
      <c r="O482" s="230"/>
      <c r="T482" s="230"/>
      <c r="U482" s="230"/>
      <c r="V482" s="230"/>
      <c r="W482" s="230"/>
    </row>
    <row r="483">
      <c r="O483" s="230"/>
      <c r="T483" s="230"/>
      <c r="U483" s="230"/>
      <c r="V483" s="230"/>
      <c r="W483" s="230"/>
    </row>
    <row r="484">
      <c r="O484" s="230"/>
      <c r="T484" s="230"/>
      <c r="U484" s="230"/>
      <c r="V484" s="230"/>
      <c r="W484" s="230"/>
    </row>
    <row r="485">
      <c r="O485" s="230"/>
      <c r="T485" s="230"/>
      <c r="U485" s="230"/>
      <c r="V485" s="230"/>
      <c r="W485" s="230"/>
    </row>
    <row r="486">
      <c r="O486" s="230"/>
      <c r="T486" s="230"/>
      <c r="U486" s="230"/>
      <c r="V486" s="230"/>
      <c r="W486" s="230"/>
    </row>
    <row r="487">
      <c r="O487" s="230"/>
      <c r="T487" s="230"/>
      <c r="U487" s="230"/>
      <c r="V487" s="230"/>
      <c r="W487" s="230"/>
    </row>
    <row r="488">
      <c r="O488" s="230"/>
      <c r="T488" s="230"/>
      <c r="U488" s="230"/>
      <c r="V488" s="230"/>
      <c r="W488" s="230"/>
    </row>
    <row r="489">
      <c r="O489" s="230"/>
      <c r="T489" s="230"/>
      <c r="U489" s="230"/>
      <c r="V489" s="230"/>
      <c r="W489" s="230"/>
    </row>
    <row r="490">
      <c r="O490" s="230"/>
      <c r="T490" s="230"/>
      <c r="U490" s="230"/>
      <c r="V490" s="230"/>
      <c r="W490" s="230"/>
    </row>
    <row r="491">
      <c r="O491" s="230"/>
      <c r="T491" s="230"/>
      <c r="U491" s="230"/>
      <c r="V491" s="230"/>
      <c r="W491" s="230"/>
    </row>
    <row r="492">
      <c r="O492" s="230"/>
      <c r="T492" s="230"/>
      <c r="U492" s="230"/>
      <c r="V492" s="230"/>
      <c r="W492" s="230"/>
    </row>
    <row r="493">
      <c r="O493" s="230"/>
      <c r="T493" s="230"/>
      <c r="U493" s="230"/>
      <c r="V493" s="230"/>
      <c r="W493" s="230"/>
    </row>
    <row r="494">
      <c r="O494" s="230"/>
      <c r="T494" s="230"/>
      <c r="U494" s="230"/>
      <c r="V494" s="230"/>
      <c r="W494" s="230"/>
    </row>
    <row r="495">
      <c r="O495" s="230"/>
      <c r="T495" s="230"/>
      <c r="U495" s="230"/>
      <c r="V495" s="230"/>
      <c r="W495" s="230"/>
    </row>
    <row r="496">
      <c r="O496" s="230"/>
      <c r="T496" s="230"/>
      <c r="U496" s="230"/>
      <c r="V496" s="230"/>
      <c r="W496" s="230"/>
    </row>
    <row r="497">
      <c r="O497" s="230"/>
      <c r="T497" s="230"/>
      <c r="U497" s="230"/>
      <c r="V497" s="230"/>
      <c r="W497" s="230"/>
    </row>
    <row r="498">
      <c r="O498" s="230"/>
      <c r="T498" s="230"/>
      <c r="U498" s="230"/>
      <c r="V498" s="230"/>
      <c r="W498" s="230"/>
    </row>
    <row r="499">
      <c r="O499" s="230"/>
      <c r="T499" s="230"/>
      <c r="U499" s="230"/>
      <c r="V499" s="230"/>
      <c r="W499" s="230"/>
    </row>
    <row r="500">
      <c r="O500" s="230"/>
      <c r="T500" s="230"/>
      <c r="U500" s="230"/>
      <c r="V500" s="230"/>
      <c r="W500" s="230"/>
    </row>
    <row r="501">
      <c r="O501" s="230"/>
      <c r="T501" s="230"/>
      <c r="U501" s="230"/>
      <c r="V501" s="230"/>
      <c r="W501" s="230"/>
    </row>
    <row r="502">
      <c r="O502" s="230"/>
      <c r="T502" s="230"/>
      <c r="U502" s="230"/>
      <c r="V502" s="230"/>
      <c r="W502" s="230"/>
    </row>
    <row r="503">
      <c r="O503" s="230"/>
      <c r="T503" s="230"/>
      <c r="U503" s="230"/>
      <c r="V503" s="230"/>
      <c r="W503" s="230"/>
    </row>
    <row r="504">
      <c r="O504" s="230"/>
      <c r="T504" s="230"/>
      <c r="U504" s="230"/>
      <c r="V504" s="230"/>
      <c r="W504" s="230"/>
    </row>
    <row r="505">
      <c r="O505" s="230"/>
      <c r="T505" s="230"/>
      <c r="U505" s="230"/>
      <c r="V505" s="230"/>
      <c r="W505" s="230"/>
    </row>
    <row r="506">
      <c r="O506" s="230"/>
      <c r="T506" s="230"/>
      <c r="U506" s="230"/>
      <c r="V506" s="230"/>
      <c r="W506" s="230"/>
    </row>
    <row r="507">
      <c r="O507" s="230"/>
      <c r="T507" s="230"/>
      <c r="U507" s="230"/>
      <c r="V507" s="230"/>
      <c r="W507" s="230"/>
    </row>
    <row r="508">
      <c r="O508" s="230"/>
      <c r="T508" s="230"/>
      <c r="U508" s="230"/>
      <c r="V508" s="230"/>
      <c r="W508" s="230"/>
    </row>
    <row r="509">
      <c r="O509" s="230"/>
      <c r="T509" s="230"/>
      <c r="U509" s="230"/>
      <c r="V509" s="230"/>
      <c r="W509" s="230"/>
    </row>
    <row r="510">
      <c r="O510" s="230"/>
      <c r="T510" s="230"/>
      <c r="U510" s="230"/>
      <c r="V510" s="230"/>
      <c r="W510" s="230"/>
    </row>
    <row r="511">
      <c r="O511" s="230"/>
      <c r="T511" s="230"/>
      <c r="U511" s="230"/>
      <c r="V511" s="230"/>
      <c r="W511" s="230"/>
    </row>
    <row r="512">
      <c r="O512" s="230"/>
      <c r="T512" s="230"/>
      <c r="U512" s="230"/>
      <c r="V512" s="230"/>
      <c r="W512" s="230"/>
    </row>
    <row r="513">
      <c r="O513" s="230"/>
      <c r="T513" s="230"/>
      <c r="U513" s="230"/>
      <c r="V513" s="230"/>
      <c r="W513" s="230"/>
    </row>
    <row r="514">
      <c r="O514" s="230"/>
      <c r="T514" s="230"/>
      <c r="U514" s="230"/>
      <c r="V514" s="230"/>
      <c r="W514" s="230"/>
    </row>
    <row r="515">
      <c r="O515" s="230"/>
      <c r="T515" s="230"/>
      <c r="U515" s="230"/>
      <c r="V515" s="230"/>
      <c r="W515" s="230"/>
    </row>
    <row r="516">
      <c r="O516" s="230"/>
      <c r="T516" s="230"/>
      <c r="U516" s="230"/>
      <c r="V516" s="230"/>
      <c r="W516" s="230"/>
    </row>
    <row r="517">
      <c r="O517" s="230"/>
      <c r="T517" s="230"/>
      <c r="U517" s="230"/>
      <c r="V517" s="230"/>
      <c r="W517" s="230"/>
    </row>
    <row r="518">
      <c r="O518" s="230"/>
      <c r="T518" s="230"/>
      <c r="U518" s="230"/>
      <c r="V518" s="230"/>
      <c r="W518" s="230"/>
    </row>
    <row r="519">
      <c r="O519" s="230"/>
      <c r="T519" s="230"/>
      <c r="U519" s="230"/>
      <c r="V519" s="230"/>
      <c r="W519" s="230"/>
    </row>
    <row r="520">
      <c r="O520" s="230"/>
      <c r="T520" s="230"/>
      <c r="U520" s="230"/>
      <c r="V520" s="230"/>
      <c r="W520" s="230"/>
    </row>
    <row r="521">
      <c r="O521" s="230"/>
      <c r="T521" s="230"/>
      <c r="U521" s="230"/>
      <c r="V521" s="230"/>
      <c r="W521" s="230"/>
    </row>
    <row r="522">
      <c r="O522" s="230"/>
      <c r="T522" s="230"/>
      <c r="U522" s="230"/>
      <c r="V522" s="230"/>
      <c r="W522" s="230"/>
    </row>
    <row r="523">
      <c r="O523" s="230"/>
      <c r="T523" s="230"/>
      <c r="U523" s="230"/>
      <c r="V523" s="230"/>
      <c r="W523" s="230"/>
    </row>
    <row r="524">
      <c r="O524" s="230"/>
      <c r="T524" s="230"/>
      <c r="U524" s="230"/>
      <c r="V524" s="230"/>
      <c r="W524" s="230"/>
    </row>
    <row r="525">
      <c r="O525" s="230"/>
      <c r="T525" s="230"/>
      <c r="U525" s="230"/>
      <c r="V525" s="230"/>
      <c r="W525" s="230"/>
    </row>
    <row r="526">
      <c r="O526" s="230"/>
      <c r="T526" s="230"/>
      <c r="U526" s="230"/>
      <c r="V526" s="230"/>
      <c r="W526" s="230"/>
    </row>
    <row r="527">
      <c r="O527" s="230"/>
      <c r="T527" s="230"/>
      <c r="U527" s="230"/>
      <c r="V527" s="230"/>
      <c r="W527" s="230"/>
    </row>
    <row r="528">
      <c r="O528" s="230"/>
      <c r="T528" s="230"/>
      <c r="U528" s="230"/>
      <c r="V528" s="230"/>
      <c r="W528" s="230"/>
    </row>
    <row r="529">
      <c r="O529" s="230"/>
      <c r="T529" s="230"/>
      <c r="U529" s="230"/>
      <c r="V529" s="230"/>
      <c r="W529" s="230"/>
    </row>
    <row r="530">
      <c r="O530" s="230"/>
      <c r="T530" s="230"/>
      <c r="U530" s="230"/>
      <c r="V530" s="230"/>
      <c r="W530" s="230"/>
    </row>
    <row r="531">
      <c r="O531" s="230"/>
      <c r="T531" s="230"/>
      <c r="U531" s="230"/>
      <c r="V531" s="230"/>
      <c r="W531" s="230"/>
    </row>
    <row r="532">
      <c r="O532" s="230"/>
      <c r="T532" s="230"/>
      <c r="U532" s="230"/>
      <c r="V532" s="230"/>
      <c r="W532" s="230"/>
    </row>
    <row r="533">
      <c r="O533" s="230"/>
      <c r="T533" s="230"/>
      <c r="U533" s="230"/>
      <c r="V533" s="230"/>
      <c r="W533" s="230"/>
    </row>
    <row r="534">
      <c r="O534" s="230"/>
      <c r="T534" s="230"/>
      <c r="U534" s="230"/>
      <c r="V534" s="230"/>
      <c r="W534" s="230"/>
    </row>
    <row r="535">
      <c r="O535" s="230"/>
      <c r="T535" s="230"/>
      <c r="U535" s="230"/>
      <c r="V535" s="230"/>
      <c r="W535" s="230"/>
    </row>
    <row r="536">
      <c r="O536" s="230"/>
      <c r="T536" s="230"/>
      <c r="U536" s="230"/>
      <c r="V536" s="230"/>
      <c r="W536" s="230"/>
    </row>
    <row r="537">
      <c r="O537" s="230"/>
      <c r="T537" s="230"/>
      <c r="U537" s="230"/>
      <c r="V537" s="230"/>
      <c r="W537" s="230"/>
    </row>
    <row r="538">
      <c r="O538" s="230"/>
      <c r="T538" s="230"/>
      <c r="U538" s="230"/>
      <c r="V538" s="230"/>
      <c r="W538" s="230"/>
    </row>
    <row r="539">
      <c r="O539" s="230"/>
      <c r="T539" s="230"/>
      <c r="U539" s="230"/>
      <c r="V539" s="230"/>
      <c r="W539" s="230"/>
    </row>
    <row r="540">
      <c r="O540" s="230"/>
      <c r="T540" s="230"/>
      <c r="U540" s="230"/>
      <c r="V540" s="230"/>
      <c r="W540" s="230"/>
    </row>
    <row r="541">
      <c r="O541" s="230"/>
      <c r="T541" s="230"/>
      <c r="U541" s="230"/>
      <c r="V541" s="230"/>
      <c r="W541" s="230"/>
    </row>
    <row r="542">
      <c r="O542" s="230"/>
      <c r="T542" s="230"/>
      <c r="U542" s="230"/>
      <c r="V542" s="230"/>
      <c r="W542" s="230"/>
    </row>
    <row r="543">
      <c r="O543" s="230"/>
      <c r="T543" s="230"/>
      <c r="U543" s="230"/>
      <c r="V543" s="230"/>
      <c r="W543" s="230"/>
    </row>
    <row r="544">
      <c r="O544" s="230"/>
      <c r="T544" s="230"/>
      <c r="U544" s="230"/>
      <c r="V544" s="230"/>
      <c r="W544" s="230"/>
    </row>
    <row r="545">
      <c r="O545" s="230"/>
      <c r="T545" s="230"/>
      <c r="U545" s="230"/>
      <c r="V545" s="230"/>
      <c r="W545" s="230"/>
    </row>
    <row r="546">
      <c r="O546" s="230"/>
      <c r="T546" s="230"/>
      <c r="U546" s="230"/>
      <c r="V546" s="230"/>
      <c r="W546" s="230"/>
    </row>
    <row r="547">
      <c r="O547" s="230"/>
      <c r="T547" s="230"/>
      <c r="U547" s="230"/>
      <c r="V547" s="230"/>
      <c r="W547" s="230"/>
    </row>
    <row r="548">
      <c r="O548" s="230"/>
      <c r="T548" s="230"/>
      <c r="U548" s="230"/>
      <c r="V548" s="230"/>
      <c r="W548" s="230"/>
    </row>
    <row r="549">
      <c r="O549" s="230"/>
      <c r="T549" s="230"/>
      <c r="U549" s="230"/>
      <c r="V549" s="230"/>
      <c r="W549" s="230"/>
    </row>
    <row r="550">
      <c r="O550" s="230"/>
      <c r="T550" s="230"/>
      <c r="U550" s="230"/>
      <c r="V550" s="230"/>
      <c r="W550" s="230"/>
    </row>
    <row r="551">
      <c r="O551" s="230"/>
      <c r="T551" s="230"/>
      <c r="U551" s="230"/>
      <c r="V551" s="230"/>
      <c r="W551" s="230"/>
    </row>
    <row r="552">
      <c r="O552" s="230"/>
      <c r="T552" s="230"/>
      <c r="U552" s="230"/>
      <c r="V552" s="230"/>
      <c r="W552" s="230"/>
    </row>
    <row r="553">
      <c r="O553" s="230"/>
      <c r="T553" s="230"/>
      <c r="U553" s="230"/>
      <c r="V553" s="230"/>
      <c r="W553" s="230"/>
    </row>
    <row r="554">
      <c r="O554" s="230"/>
      <c r="T554" s="230"/>
      <c r="U554" s="230"/>
      <c r="V554" s="230"/>
      <c r="W554" s="230"/>
    </row>
    <row r="555">
      <c r="O555" s="230"/>
      <c r="T555" s="230"/>
      <c r="U555" s="230"/>
      <c r="V555" s="230"/>
      <c r="W555" s="230"/>
    </row>
    <row r="556">
      <c r="O556" s="230"/>
      <c r="T556" s="230"/>
      <c r="U556" s="230"/>
      <c r="V556" s="230"/>
      <c r="W556" s="230"/>
    </row>
    <row r="557">
      <c r="O557" s="230"/>
      <c r="T557" s="230"/>
      <c r="U557" s="230"/>
      <c r="V557" s="230"/>
      <c r="W557" s="230"/>
    </row>
    <row r="558">
      <c r="O558" s="230"/>
      <c r="T558" s="230"/>
      <c r="U558" s="230"/>
      <c r="V558" s="230"/>
      <c r="W558" s="230"/>
    </row>
    <row r="559">
      <c r="O559" s="230"/>
      <c r="T559" s="230"/>
      <c r="U559" s="230"/>
      <c r="V559" s="230"/>
      <c r="W559" s="230"/>
    </row>
    <row r="560">
      <c r="O560" s="230"/>
      <c r="T560" s="230"/>
      <c r="U560" s="230"/>
      <c r="V560" s="230"/>
      <c r="W560" s="230"/>
    </row>
    <row r="561">
      <c r="O561" s="230"/>
      <c r="T561" s="230"/>
      <c r="U561" s="230"/>
      <c r="V561" s="230"/>
      <c r="W561" s="230"/>
    </row>
    <row r="562">
      <c r="O562" s="230"/>
      <c r="T562" s="230"/>
      <c r="U562" s="230"/>
      <c r="V562" s="230"/>
      <c r="W562" s="230"/>
    </row>
    <row r="563">
      <c r="O563" s="230"/>
      <c r="T563" s="230"/>
      <c r="U563" s="230"/>
      <c r="V563" s="230"/>
      <c r="W563" s="230"/>
    </row>
    <row r="564">
      <c r="O564" s="230"/>
      <c r="T564" s="230"/>
      <c r="U564" s="230"/>
      <c r="V564" s="230"/>
      <c r="W564" s="230"/>
    </row>
    <row r="565">
      <c r="O565" s="230"/>
      <c r="T565" s="230"/>
      <c r="U565" s="230"/>
      <c r="V565" s="230"/>
      <c r="W565" s="230"/>
    </row>
    <row r="566">
      <c r="O566" s="230"/>
      <c r="T566" s="230"/>
      <c r="U566" s="230"/>
      <c r="V566" s="230"/>
      <c r="W566" s="230"/>
    </row>
    <row r="567">
      <c r="O567" s="230"/>
      <c r="T567" s="230"/>
      <c r="U567" s="230"/>
      <c r="V567" s="230"/>
      <c r="W567" s="230"/>
    </row>
    <row r="568">
      <c r="O568" s="230"/>
      <c r="T568" s="230"/>
      <c r="U568" s="230"/>
      <c r="V568" s="230"/>
      <c r="W568" s="230"/>
    </row>
    <row r="569">
      <c r="O569" s="230"/>
      <c r="T569" s="230"/>
      <c r="U569" s="230"/>
      <c r="V569" s="230"/>
      <c r="W569" s="230"/>
    </row>
    <row r="570">
      <c r="O570" s="230"/>
      <c r="T570" s="230"/>
      <c r="U570" s="230"/>
      <c r="V570" s="230"/>
      <c r="W570" s="230"/>
    </row>
    <row r="571">
      <c r="O571" s="230"/>
      <c r="T571" s="230"/>
      <c r="U571" s="230"/>
      <c r="V571" s="230"/>
      <c r="W571" s="230"/>
    </row>
    <row r="572">
      <c r="O572" s="230"/>
      <c r="T572" s="230"/>
      <c r="U572" s="230"/>
      <c r="V572" s="230"/>
      <c r="W572" s="230"/>
    </row>
    <row r="573">
      <c r="O573" s="230"/>
      <c r="T573" s="230"/>
      <c r="U573" s="230"/>
      <c r="V573" s="230"/>
      <c r="W573" s="230"/>
    </row>
    <row r="574">
      <c r="O574" s="230"/>
      <c r="T574" s="230"/>
      <c r="U574" s="230"/>
      <c r="V574" s="230"/>
      <c r="W574" s="230"/>
    </row>
    <row r="575">
      <c r="O575" s="230"/>
      <c r="T575" s="230"/>
      <c r="U575" s="230"/>
      <c r="V575" s="230"/>
      <c r="W575" s="230"/>
    </row>
    <row r="576">
      <c r="O576" s="230"/>
      <c r="T576" s="230"/>
      <c r="U576" s="230"/>
      <c r="V576" s="230"/>
      <c r="W576" s="230"/>
    </row>
    <row r="577">
      <c r="O577" s="230"/>
      <c r="T577" s="230"/>
      <c r="U577" s="230"/>
      <c r="V577" s="230"/>
      <c r="W577" s="230"/>
    </row>
    <row r="578">
      <c r="O578" s="230"/>
      <c r="T578" s="230"/>
      <c r="U578" s="230"/>
      <c r="V578" s="230"/>
      <c r="W578" s="230"/>
    </row>
    <row r="579">
      <c r="O579" s="230"/>
      <c r="T579" s="230"/>
      <c r="U579" s="230"/>
      <c r="V579" s="230"/>
      <c r="W579" s="230"/>
    </row>
    <row r="580">
      <c r="O580" s="230"/>
      <c r="T580" s="230"/>
      <c r="U580" s="230"/>
      <c r="V580" s="230"/>
      <c r="W580" s="230"/>
    </row>
    <row r="581">
      <c r="O581" s="230"/>
      <c r="T581" s="230"/>
      <c r="U581" s="230"/>
      <c r="V581" s="230"/>
      <c r="W581" s="230"/>
    </row>
    <row r="582">
      <c r="O582" s="230"/>
      <c r="T582" s="230"/>
      <c r="U582" s="230"/>
      <c r="V582" s="230"/>
      <c r="W582" s="230"/>
    </row>
    <row r="583">
      <c r="O583" s="230"/>
      <c r="T583" s="230"/>
      <c r="U583" s="230"/>
      <c r="V583" s="230"/>
      <c r="W583" s="230"/>
    </row>
    <row r="584">
      <c r="O584" s="230"/>
      <c r="T584" s="230"/>
      <c r="U584" s="230"/>
      <c r="V584" s="230"/>
      <c r="W584" s="230"/>
    </row>
    <row r="585">
      <c r="O585" s="230"/>
      <c r="T585" s="230"/>
      <c r="U585" s="230"/>
      <c r="V585" s="230"/>
      <c r="W585" s="230"/>
    </row>
    <row r="586">
      <c r="O586" s="230"/>
      <c r="T586" s="230"/>
      <c r="U586" s="230"/>
      <c r="V586" s="230"/>
      <c r="W586" s="230"/>
    </row>
    <row r="587">
      <c r="O587" s="230"/>
      <c r="T587" s="230"/>
      <c r="U587" s="230"/>
      <c r="V587" s="230"/>
      <c r="W587" s="230"/>
    </row>
    <row r="588">
      <c r="O588" s="230"/>
      <c r="T588" s="230"/>
      <c r="U588" s="230"/>
      <c r="V588" s="230"/>
      <c r="W588" s="230"/>
    </row>
    <row r="589">
      <c r="O589" s="230"/>
      <c r="T589" s="230"/>
      <c r="U589" s="230"/>
      <c r="V589" s="230"/>
      <c r="W589" s="230"/>
    </row>
    <row r="590">
      <c r="O590" s="230"/>
      <c r="T590" s="230"/>
      <c r="U590" s="230"/>
      <c r="V590" s="230"/>
      <c r="W590" s="230"/>
    </row>
    <row r="591">
      <c r="O591" s="230"/>
      <c r="T591" s="230"/>
      <c r="U591" s="230"/>
      <c r="V591" s="230"/>
      <c r="W591" s="230"/>
    </row>
    <row r="592">
      <c r="O592" s="230"/>
      <c r="T592" s="230"/>
      <c r="U592" s="230"/>
      <c r="V592" s="230"/>
      <c r="W592" s="230"/>
    </row>
    <row r="593">
      <c r="O593" s="230"/>
      <c r="T593" s="230"/>
      <c r="U593" s="230"/>
      <c r="V593" s="230"/>
      <c r="W593" s="230"/>
    </row>
    <row r="594">
      <c r="O594" s="230"/>
      <c r="T594" s="230"/>
      <c r="U594" s="230"/>
      <c r="V594" s="230"/>
      <c r="W594" s="230"/>
    </row>
    <row r="595">
      <c r="O595" s="230"/>
      <c r="T595" s="230"/>
      <c r="U595" s="230"/>
      <c r="V595" s="230"/>
      <c r="W595" s="230"/>
    </row>
    <row r="596">
      <c r="O596" s="230"/>
      <c r="T596" s="230"/>
      <c r="U596" s="230"/>
      <c r="V596" s="230"/>
      <c r="W596" s="230"/>
    </row>
    <row r="597">
      <c r="O597" s="230"/>
      <c r="T597" s="230"/>
      <c r="U597" s="230"/>
      <c r="V597" s="230"/>
      <c r="W597" s="230"/>
    </row>
    <row r="598">
      <c r="O598" s="230"/>
      <c r="T598" s="230"/>
      <c r="U598" s="230"/>
      <c r="V598" s="230"/>
      <c r="W598" s="230"/>
    </row>
    <row r="599">
      <c r="O599" s="230"/>
      <c r="T599" s="230"/>
      <c r="U599" s="230"/>
      <c r="V599" s="230"/>
      <c r="W599" s="230"/>
    </row>
    <row r="600">
      <c r="O600" s="230"/>
      <c r="T600" s="230"/>
      <c r="U600" s="230"/>
      <c r="V600" s="230"/>
      <c r="W600" s="230"/>
    </row>
    <row r="601">
      <c r="O601" s="230"/>
      <c r="T601" s="230"/>
      <c r="U601" s="230"/>
      <c r="V601" s="230"/>
      <c r="W601" s="230"/>
    </row>
    <row r="602">
      <c r="O602" s="230"/>
      <c r="T602" s="230"/>
      <c r="U602" s="230"/>
      <c r="V602" s="230"/>
      <c r="W602" s="230"/>
    </row>
    <row r="603">
      <c r="O603" s="230"/>
      <c r="T603" s="230"/>
      <c r="U603" s="230"/>
      <c r="V603" s="230"/>
      <c r="W603" s="230"/>
    </row>
    <row r="604">
      <c r="O604" s="230"/>
      <c r="T604" s="230"/>
      <c r="U604" s="230"/>
      <c r="V604" s="230"/>
      <c r="W604" s="230"/>
    </row>
    <row r="605">
      <c r="O605" s="230"/>
      <c r="T605" s="230"/>
      <c r="U605" s="230"/>
      <c r="V605" s="230"/>
      <c r="W605" s="230"/>
    </row>
    <row r="606">
      <c r="O606" s="230"/>
      <c r="T606" s="230"/>
      <c r="U606" s="230"/>
      <c r="V606" s="230"/>
      <c r="W606" s="230"/>
    </row>
    <row r="607">
      <c r="O607" s="230"/>
      <c r="T607" s="230"/>
      <c r="U607" s="230"/>
      <c r="V607" s="230"/>
      <c r="W607" s="230"/>
    </row>
    <row r="608">
      <c r="O608" s="230"/>
      <c r="T608" s="230"/>
      <c r="U608" s="230"/>
      <c r="V608" s="230"/>
      <c r="W608" s="230"/>
    </row>
    <row r="609">
      <c r="O609" s="230"/>
      <c r="T609" s="230"/>
      <c r="U609" s="230"/>
      <c r="V609" s="230"/>
      <c r="W609" s="230"/>
    </row>
    <row r="610">
      <c r="O610" s="230"/>
      <c r="T610" s="230"/>
      <c r="U610" s="230"/>
      <c r="V610" s="230"/>
      <c r="W610" s="230"/>
    </row>
    <row r="611">
      <c r="O611" s="230"/>
      <c r="T611" s="230"/>
      <c r="U611" s="230"/>
      <c r="V611" s="230"/>
      <c r="W611" s="230"/>
    </row>
    <row r="612">
      <c r="O612" s="230"/>
      <c r="T612" s="230"/>
      <c r="U612" s="230"/>
      <c r="V612" s="230"/>
      <c r="W612" s="230"/>
    </row>
    <row r="613">
      <c r="O613" s="230"/>
      <c r="T613" s="230"/>
      <c r="U613" s="230"/>
      <c r="V613" s="230"/>
      <c r="W613" s="230"/>
    </row>
    <row r="614">
      <c r="O614" s="230"/>
      <c r="T614" s="230"/>
      <c r="U614" s="230"/>
      <c r="V614" s="230"/>
      <c r="W614" s="230"/>
    </row>
    <row r="615">
      <c r="O615" s="230"/>
      <c r="T615" s="230"/>
      <c r="U615" s="230"/>
      <c r="V615" s="230"/>
      <c r="W615" s="230"/>
    </row>
    <row r="616">
      <c r="O616" s="230"/>
      <c r="T616" s="230"/>
      <c r="U616" s="230"/>
      <c r="V616" s="230"/>
      <c r="W616" s="230"/>
    </row>
    <row r="617">
      <c r="O617" s="230"/>
      <c r="T617" s="230"/>
      <c r="U617" s="230"/>
      <c r="V617" s="230"/>
      <c r="W617" s="230"/>
    </row>
    <row r="618">
      <c r="O618" s="230"/>
      <c r="T618" s="230"/>
      <c r="U618" s="230"/>
      <c r="V618" s="230"/>
      <c r="W618" s="230"/>
    </row>
    <row r="619">
      <c r="O619" s="230"/>
      <c r="T619" s="230"/>
      <c r="U619" s="230"/>
      <c r="V619" s="230"/>
      <c r="W619" s="230"/>
    </row>
    <row r="620">
      <c r="O620" s="230"/>
      <c r="T620" s="230"/>
      <c r="U620" s="230"/>
      <c r="V620" s="230"/>
      <c r="W620" s="230"/>
    </row>
    <row r="621">
      <c r="O621" s="230"/>
      <c r="T621" s="230"/>
      <c r="U621" s="230"/>
      <c r="V621" s="230"/>
      <c r="W621" s="230"/>
    </row>
    <row r="622">
      <c r="O622" s="230"/>
      <c r="T622" s="230"/>
      <c r="U622" s="230"/>
      <c r="V622" s="230"/>
      <c r="W622" s="230"/>
    </row>
    <row r="623">
      <c r="O623" s="230"/>
      <c r="T623" s="230"/>
      <c r="U623" s="230"/>
      <c r="V623" s="230"/>
      <c r="W623" s="230"/>
    </row>
    <row r="624">
      <c r="O624" s="230"/>
      <c r="T624" s="230"/>
      <c r="U624" s="230"/>
      <c r="V624" s="230"/>
      <c r="W624" s="230"/>
    </row>
    <row r="625">
      <c r="O625" s="230"/>
      <c r="T625" s="230"/>
      <c r="U625" s="230"/>
      <c r="V625" s="230"/>
      <c r="W625" s="230"/>
    </row>
    <row r="626">
      <c r="O626" s="230"/>
      <c r="T626" s="230"/>
      <c r="U626" s="230"/>
      <c r="V626" s="230"/>
      <c r="W626" s="230"/>
    </row>
    <row r="627">
      <c r="O627" s="230"/>
      <c r="T627" s="230"/>
      <c r="U627" s="230"/>
      <c r="V627" s="230"/>
      <c r="W627" s="230"/>
    </row>
    <row r="628">
      <c r="O628" s="230"/>
      <c r="T628" s="230"/>
      <c r="U628" s="230"/>
      <c r="V628" s="230"/>
      <c r="W628" s="230"/>
    </row>
    <row r="629">
      <c r="O629" s="230"/>
      <c r="T629" s="230"/>
      <c r="U629" s="230"/>
      <c r="V629" s="230"/>
      <c r="W629" s="230"/>
    </row>
    <row r="630">
      <c r="O630" s="230"/>
      <c r="T630" s="230"/>
      <c r="U630" s="230"/>
      <c r="V630" s="230"/>
      <c r="W630" s="230"/>
    </row>
    <row r="631">
      <c r="O631" s="230"/>
      <c r="T631" s="230"/>
      <c r="U631" s="230"/>
      <c r="V631" s="230"/>
      <c r="W631" s="230"/>
    </row>
    <row r="632">
      <c r="O632" s="230"/>
      <c r="T632" s="230"/>
      <c r="U632" s="230"/>
      <c r="V632" s="230"/>
      <c r="W632" s="230"/>
    </row>
    <row r="633">
      <c r="O633" s="230"/>
      <c r="T633" s="230"/>
      <c r="U633" s="230"/>
      <c r="V633" s="230"/>
      <c r="W633" s="230"/>
    </row>
    <row r="634">
      <c r="O634" s="230"/>
      <c r="T634" s="230"/>
      <c r="U634" s="230"/>
      <c r="V634" s="230"/>
      <c r="W634" s="230"/>
    </row>
    <row r="635">
      <c r="O635" s="230"/>
      <c r="T635" s="230"/>
      <c r="U635" s="230"/>
      <c r="V635" s="230"/>
      <c r="W635" s="230"/>
    </row>
    <row r="636">
      <c r="O636" s="230"/>
      <c r="T636" s="230"/>
      <c r="U636" s="230"/>
      <c r="V636" s="230"/>
      <c r="W636" s="230"/>
    </row>
    <row r="637">
      <c r="O637" s="230"/>
      <c r="T637" s="230"/>
      <c r="U637" s="230"/>
      <c r="V637" s="230"/>
      <c r="W637" s="230"/>
    </row>
    <row r="638">
      <c r="O638" s="230"/>
      <c r="T638" s="230"/>
      <c r="U638" s="230"/>
      <c r="V638" s="230"/>
      <c r="W638" s="230"/>
    </row>
    <row r="639">
      <c r="O639" s="230"/>
      <c r="T639" s="230"/>
      <c r="U639" s="230"/>
      <c r="V639" s="230"/>
      <c r="W639" s="230"/>
    </row>
    <row r="640">
      <c r="O640" s="230"/>
      <c r="T640" s="230"/>
      <c r="U640" s="230"/>
      <c r="V640" s="230"/>
      <c r="W640" s="230"/>
    </row>
    <row r="641">
      <c r="O641" s="230"/>
      <c r="T641" s="230"/>
      <c r="U641" s="230"/>
      <c r="V641" s="230"/>
      <c r="W641" s="230"/>
    </row>
    <row r="642">
      <c r="O642" s="230"/>
      <c r="T642" s="230"/>
      <c r="U642" s="230"/>
      <c r="V642" s="230"/>
      <c r="W642" s="230"/>
    </row>
    <row r="643">
      <c r="O643" s="230"/>
      <c r="T643" s="230"/>
      <c r="U643" s="230"/>
      <c r="V643" s="230"/>
      <c r="W643" s="230"/>
    </row>
    <row r="644">
      <c r="O644" s="230"/>
      <c r="T644" s="230"/>
      <c r="U644" s="230"/>
      <c r="V644" s="230"/>
      <c r="W644" s="230"/>
    </row>
    <row r="645">
      <c r="O645" s="230"/>
      <c r="T645" s="230"/>
      <c r="U645" s="230"/>
      <c r="V645" s="230"/>
      <c r="W645" s="230"/>
    </row>
    <row r="646">
      <c r="O646" s="230"/>
      <c r="T646" s="230"/>
      <c r="U646" s="230"/>
      <c r="V646" s="230"/>
      <c r="W646" s="230"/>
    </row>
    <row r="647">
      <c r="O647" s="230"/>
      <c r="T647" s="230"/>
      <c r="U647" s="230"/>
      <c r="V647" s="230"/>
      <c r="W647" s="230"/>
    </row>
    <row r="648">
      <c r="O648" s="230"/>
      <c r="T648" s="230"/>
      <c r="U648" s="230"/>
      <c r="V648" s="230"/>
      <c r="W648" s="230"/>
    </row>
    <row r="649">
      <c r="O649" s="230"/>
      <c r="T649" s="230"/>
      <c r="U649" s="230"/>
      <c r="V649" s="230"/>
      <c r="W649" s="230"/>
    </row>
    <row r="650">
      <c r="O650" s="230"/>
      <c r="T650" s="230"/>
      <c r="U650" s="230"/>
      <c r="V650" s="230"/>
      <c r="W650" s="230"/>
    </row>
    <row r="651">
      <c r="O651" s="230"/>
      <c r="T651" s="230"/>
      <c r="U651" s="230"/>
      <c r="V651" s="230"/>
      <c r="W651" s="230"/>
    </row>
    <row r="652">
      <c r="O652" s="230"/>
      <c r="T652" s="230"/>
      <c r="U652" s="230"/>
      <c r="V652" s="230"/>
      <c r="W652" s="230"/>
    </row>
    <row r="653">
      <c r="O653" s="230"/>
      <c r="T653" s="230"/>
      <c r="U653" s="230"/>
      <c r="V653" s="230"/>
      <c r="W653" s="230"/>
    </row>
    <row r="654">
      <c r="O654" s="230"/>
      <c r="T654" s="230"/>
      <c r="U654" s="230"/>
      <c r="V654" s="230"/>
      <c r="W654" s="230"/>
    </row>
    <row r="655">
      <c r="O655" s="230"/>
      <c r="T655" s="230"/>
      <c r="U655" s="230"/>
      <c r="V655" s="230"/>
      <c r="W655" s="230"/>
    </row>
    <row r="656">
      <c r="O656" s="230"/>
      <c r="T656" s="230"/>
      <c r="U656" s="230"/>
      <c r="V656" s="230"/>
      <c r="W656" s="230"/>
    </row>
    <row r="657">
      <c r="O657" s="230"/>
      <c r="T657" s="230"/>
      <c r="U657" s="230"/>
      <c r="V657" s="230"/>
      <c r="W657" s="230"/>
    </row>
    <row r="658">
      <c r="O658" s="230"/>
      <c r="T658" s="230"/>
      <c r="U658" s="230"/>
      <c r="V658" s="230"/>
      <c r="W658" s="230"/>
    </row>
    <row r="659">
      <c r="O659" s="230"/>
      <c r="T659" s="230"/>
      <c r="U659" s="230"/>
      <c r="V659" s="230"/>
      <c r="W659" s="230"/>
    </row>
    <row r="660">
      <c r="O660" s="230"/>
      <c r="T660" s="230"/>
      <c r="U660" s="230"/>
      <c r="V660" s="230"/>
      <c r="W660" s="230"/>
    </row>
    <row r="661">
      <c r="O661" s="230"/>
      <c r="T661" s="230"/>
      <c r="U661" s="230"/>
      <c r="V661" s="230"/>
      <c r="W661" s="230"/>
    </row>
    <row r="662">
      <c r="O662" s="230"/>
      <c r="T662" s="230"/>
      <c r="U662" s="230"/>
      <c r="V662" s="230"/>
      <c r="W662" s="230"/>
    </row>
    <row r="663">
      <c r="O663" s="230"/>
      <c r="T663" s="230"/>
      <c r="U663" s="230"/>
      <c r="V663" s="230"/>
      <c r="W663" s="230"/>
    </row>
    <row r="664">
      <c r="O664" s="230"/>
      <c r="T664" s="230"/>
      <c r="U664" s="230"/>
      <c r="V664" s="230"/>
      <c r="W664" s="230"/>
    </row>
    <row r="665">
      <c r="O665" s="230"/>
      <c r="T665" s="230"/>
      <c r="U665" s="230"/>
      <c r="V665" s="230"/>
      <c r="W665" s="230"/>
    </row>
    <row r="666">
      <c r="O666" s="230"/>
      <c r="T666" s="230"/>
      <c r="U666" s="230"/>
      <c r="V666" s="230"/>
      <c r="W666" s="230"/>
    </row>
    <row r="667">
      <c r="O667" s="230"/>
      <c r="T667" s="230"/>
      <c r="U667" s="230"/>
      <c r="V667" s="230"/>
      <c r="W667" s="230"/>
    </row>
    <row r="668">
      <c r="O668" s="230"/>
      <c r="T668" s="230"/>
      <c r="U668" s="230"/>
      <c r="V668" s="230"/>
      <c r="W668" s="230"/>
    </row>
    <row r="669">
      <c r="O669" s="230"/>
      <c r="T669" s="230"/>
      <c r="U669" s="230"/>
      <c r="V669" s="230"/>
      <c r="W669" s="230"/>
    </row>
    <row r="670">
      <c r="O670" s="230"/>
      <c r="T670" s="230"/>
      <c r="U670" s="230"/>
      <c r="V670" s="230"/>
      <c r="W670" s="230"/>
    </row>
    <row r="671">
      <c r="O671" s="230"/>
      <c r="T671" s="230"/>
      <c r="U671" s="230"/>
      <c r="V671" s="230"/>
      <c r="W671" s="230"/>
    </row>
    <row r="672">
      <c r="O672" s="230"/>
      <c r="T672" s="230"/>
      <c r="U672" s="230"/>
      <c r="V672" s="230"/>
      <c r="W672" s="230"/>
    </row>
    <row r="673">
      <c r="O673" s="230"/>
      <c r="T673" s="230"/>
      <c r="U673" s="230"/>
      <c r="V673" s="230"/>
      <c r="W673" s="230"/>
    </row>
    <row r="674">
      <c r="O674" s="230"/>
      <c r="T674" s="230"/>
      <c r="U674" s="230"/>
      <c r="V674" s="230"/>
      <c r="W674" s="230"/>
    </row>
    <row r="675">
      <c r="O675" s="230"/>
      <c r="T675" s="230"/>
      <c r="U675" s="230"/>
      <c r="V675" s="230"/>
      <c r="W675" s="230"/>
    </row>
    <row r="676">
      <c r="O676" s="230"/>
      <c r="T676" s="230"/>
      <c r="U676" s="230"/>
      <c r="V676" s="230"/>
      <c r="W676" s="230"/>
    </row>
    <row r="677">
      <c r="O677" s="230"/>
      <c r="T677" s="230"/>
      <c r="U677" s="230"/>
      <c r="V677" s="230"/>
      <c r="W677" s="230"/>
    </row>
    <row r="678">
      <c r="O678" s="230"/>
      <c r="T678" s="230"/>
      <c r="U678" s="230"/>
      <c r="V678" s="230"/>
      <c r="W678" s="230"/>
    </row>
    <row r="679">
      <c r="O679" s="230"/>
      <c r="T679" s="230"/>
      <c r="U679" s="230"/>
      <c r="V679" s="230"/>
      <c r="W679" s="230"/>
    </row>
    <row r="680">
      <c r="O680" s="230"/>
      <c r="T680" s="230"/>
      <c r="U680" s="230"/>
      <c r="V680" s="230"/>
      <c r="W680" s="230"/>
    </row>
    <row r="681">
      <c r="O681" s="230"/>
      <c r="T681" s="230"/>
      <c r="U681" s="230"/>
      <c r="V681" s="230"/>
      <c r="W681" s="230"/>
    </row>
    <row r="682">
      <c r="O682" s="230"/>
      <c r="T682" s="230"/>
      <c r="U682" s="230"/>
      <c r="V682" s="230"/>
      <c r="W682" s="230"/>
    </row>
    <row r="683">
      <c r="O683" s="230"/>
      <c r="T683" s="230"/>
      <c r="U683" s="230"/>
      <c r="V683" s="230"/>
      <c r="W683" s="230"/>
    </row>
    <row r="684">
      <c r="O684" s="230"/>
      <c r="T684" s="230"/>
      <c r="U684" s="230"/>
      <c r="V684" s="230"/>
      <c r="W684" s="230"/>
    </row>
    <row r="685">
      <c r="O685" s="230"/>
      <c r="T685" s="230"/>
      <c r="U685" s="230"/>
      <c r="V685" s="230"/>
      <c r="W685" s="230"/>
    </row>
    <row r="686">
      <c r="O686" s="230"/>
      <c r="T686" s="230"/>
      <c r="U686" s="230"/>
      <c r="V686" s="230"/>
      <c r="W686" s="230"/>
    </row>
    <row r="687">
      <c r="O687" s="230"/>
      <c r="T687" s="230"/>
      <c r="U687" s="230"/>
      <c r="V687" s="230"/>
      <c r="W687" s="230"/>
    </row>
    <row r="688">
      <c r="O688" s="230"/>
      <c r="T688" s="230"/>
      <c r="U688" s="230"/>
      <c r="V688" s="230"/>
      <c r="W688" s="230"/>
    </row>
    <row r="689">
      <c r="O689" s="230"/>
      <c r="T689" s="230"/>
      <c r="U689" s="230"/>
      <c r="V689" s="230"/>
      <c r="W689" s="230"/>
    </row>
    <row r="690">
      <c r="O690" s="230"/>
      <c r="T690" s="230"/>
      <c r="U690" s="230"/>
      <c r="V690" s="230"/>
      <c r="W690" s="230"/>
    </row>
    <row r="691">
      <c r="O691" s="230"/>
      <c r="T691" s="230"/>
      <c r="U691" s="230"/>
      <c r="V691" s="230"/>
      <c r="W691" s="230"/>
    </row>
    <row r="692">
      <c r="O692" s="230"/>
      <c r="T692" s="230"/>
      <c r="U692" s="230"/>
      <c r="V692" s="230"/>
      <c r="W692" s="230"/>
    </row>
    <row r="693">
      <c r="O693" s="230"/>
      <c r="T693" s="230"/>
      <c r="U693" s="230"/>
      <c r="V693" s="230"/>
      <c r="W693" s="230"/>
    </row>
    <row r="694">
      <c r="O694" s="230"/>
      <c r="T694" s="230"/>
      <c r="U694" s="230"/>
      <c r="V694" s="230"/>
      <c r="W694" s="230"/>
    </row>
    <row r="695">
      <c r="O695" s="230"/>
      <c r="T695" s="230"/>
      <c r="U695" s="230"/>
      <c r="V695" s="230"/>
      <c r="W695" s="230"/>
    </row>
    <row r="696">
      <c r="O696" s="230"/>
      <c r="T696" s="230"/>
      <c r="U696" s="230"/>
      <c r="V696" s="230"/>
      <c r="W696" s="230"/>
    </row>
    <row r="697">
      <c r="O697" s="230"/>
      <c r="T697" s="230"/>
      <c r="U697" s="230"/>
      <c r="V697" s="230"/>
      <c r="W697" s="230"/>
    </row>
    <row r="698">
      <c r="O698" s="230"/>
      <c r="T698" s="230"/>
      <c r="U698" s="230"/>
      <c r="V698" s="230"/>
      <c r="W698" s="230"/>
    </row>
    <row r="699">
      <c r="O699" s="230"/>
      <c r="T699" s="230"/>
      <c r="U699" s="230"/>
      <c r="V699" s="230"/>
      <c r="W699" s="230"/>
    </row>
    <row r="700">
      <c r="O700" s="230"/>
      <c r="T700" s="230"/>
      <c r="U700" s="230"/>
      <c r="V700" s="230"/>
      <c r="W700" s="230"/>
    </row>
    <row r="701">
      <c r="O701" s="230"/>
      <c r="T701" s="230"/>
      <c r="U701" s="230"/>
      <c r="V701" s="230"/>
      <c r="W701" s="230"/>
    </row>
    <row r="702">
      <c r="O702" s="230"/>
      <c r="T702" s="230"/>
      <c r="U702" s="230"/>
      <c r="V702" s="230"/>
      <c r="W702" s="230"/>
    </row>
    <row r="703">
      <c r="O703" s="230"/>
      <c r="T703" s="230"/>
      <c r="U703" s="230"/>
      <c r="V703" s="230"/>
      <c r="W703" s="230"/>
    </row>
    <row r="704">
      <c r="O704" s="230"/>
      <c r="T704" s="230"/>
      <c r="U704" s="230"/>
      <c r="V704" s="230"/>
      <c r="W704" s="230"/>
    </row>
    <row r="705">
      <c r="O705" s="230"/>
      <c r="T705" s="230"/>
      <c r="U705" s="230"/>
      <c r="V705" s="230"/>
      <c r="W705" s="230"/>
    </row>
    <row r="706">
      <c r="O706" s="230"/>
      <c r="T706" s="230"/>
      <c r="U706" s="230"/>
      <c r="V706" s="230"/>
      <c r="W706" s="230"/>
    </row>
    <row r="707">
      <c r="O707" s="230"/>
      <c r="T707" s="230"/>
      <c r="U707" s="230"/>
      <c r="V707" s="230"/>
      <c r="W707" s="230"/>
    </row>
    <row r="708">
      <c r="O708" s="230"/>
      <c r="T708" s="230"/>
      <c r="U708" s="230"/>
      <c r="V708" s="230"/>
      <c r="W708" s="230"/>
    </row>
    <row r="709">
      <c r="O709" s="230"/>
      <c r="T709" s="230"/>
      <c r="U709" s="230"/>
      <c r="V709" s="230"/>
      <c r="W709" s="230"/>
    </row>
    <row r="710">
      <c r="O710" s="230"/>
      <c r="T710" s="230"/>
      <c r="U710" s="230"/>
      <c r="V710" s="230"/>
      <c r="W710" s="230"/>
    </row>
    <row r="711">
      <c r="O711" s="230"/>
      <c r="T711" s="230"/>
      <c r="U711" s="230"/>
      <c r="V711" s="230"/>
      <c r="W711" s="230"/>
    </row>
    <row r="712">
      <c r="O712" s="230"/>
      <c r="T712" s="230"/>
      <c r="U712" s="230"/>
      <c r="V712" s="230"/>
      <c r="W712" s="230"/>
    </row>
    <row r="713">
      <c r="O713" s="230"/>
      <c r="T713" s="230"/>
      <c r="U713" s="230"/>
      <c r="V713" s="230"/>
      <c r="W713" s="230"/>
    </row>
    <row r="714">
      <c r="O714" s="230"/>
      <c r="T714" s="230"/>
      <c r="U714" s="230"/>
      <c r="V714" s="230"/>
      <c r="W714" s="230"/>
    </row>
    <row r="715">
      <c r="O715" s="230"/>
      <c r="T715" s="230"/>
      <c r="U715" s="230"/>
      <c r="V715" s="230"/>
      <c r="W715" s="230"/>
    </row>
    <row r="716">
      <c r="O716" s="230"/>
      <c r="T716" s="230"/>
      <c r="U716" s="230"/>
      <c r="V716" s="230"/>
      <c r="W716" s="230"/>
    </row>
    <row r="717">
      <c r="O717" s="230"/>
      <c r="T717" s="230"/>
      <c r="U717" s="230"/>
      <c r="V717" s="230"/>
      <c r="W717" s="230"/>
    </row>
    <row r="718">
      <c r="O718" s="230"/>
      <c r="T718" s="230"/>
      <c r="U718" s="230"/>
      <c r="V718" s="230"/>
      <c r="W718" s="230"/>
    </row>
    <row r="719">
      <c r="O719" s="230"/>
      <c r="T719" s="230"/>
      <c r="U719" s="230"/>
      <c r="V719" s="230"/>
      <c r="W719" s="230"/>
    </row>
    <row r="720">
      <c r="O720" s="230"/>
      <c r="T720" s="230"/>
      <c r="U720" s="230"/>
      <c r="V720" s="230"/>
      <c r="W720" s="230"/>
    </row>
    <row r="721">
      <c r="O721" s="230"/>
      <c r="T721" s="230"/>
      <c r="U721" s="230"/>
      <c r="V721" s="230"/>
      <c r="W721" s="230"/>
    </row>
    <row r="722">
      <c r="O722" s="230"/>
      <c r="T722" s="230"/>
      <c r="U722" s="230"/>
      <c r="V722" s="230"/>
      <c r="W722" s="230"/>
    </row>
    <row r="723">
      <c r="O723" s="230"/>
      <c r="T723" s="230"/>
      <c r="U723" s="230"/>
      <c r="V723" s="230"/>
      <c r="W723" s="230"/>
    </row>
    <row r="724">
      <c r="O724" s="230"/>
      <c r="T724" s="230"/>
      <c r="U724" s="230"/>
      <c r="V724" s="230"/>
      <c r="W724" s="230"/>
    </row>
    <row r="725">
      <c r="O725" s="230"/>
      <c r="T725" s="230"/>
      <c r="U725" s="230"/>
      <c r="V725" s="230"/>
      <c r="W725" s="230"/>
    </row>
    <row r="726">
      <c r="O726" s="230"/>
      <c r="T726" s="230"/>
      <c r="U726" s="230"/>
      <c r="V726" s="230"/>
      <c r="W726" s="230"/>
    </row>
    <row r="727">
      <c r="O727" s="230"/>
      <c r="T727" s="230"/>
      <c r="U727" s="230"/>
      <c r="V727" s="230"/>
      <c r="W727" s="230"/>
    </row>
    <row r="728">
      <c r="O728" s="230"/>
      <c r="T728" s="230"/>
      <c r="U728" s="230"/>
      <c r="V728" s="230"/>
      <c r="W728" s="230"/>
    </row>
    <row r="729">
      <c r="O729" s="230"/>
      <c r="T729" s="230"/>
      <c r="U729" s="230"/>
      <c r="V729" s="230"/>
      <c r="W729" s="230"/>
    </row>
    <row r="730">
      <c r="O730" s="230"/>
      <c r="T730" s="230"/>
      <c r="U730" s="230"/>
      <c r="V730" s="230"/>
      <c r="W730" s="230"/>
    </row>
    <row r="731">
      <c r="O731" s="230"/>
      <c r="T731" s="230"/>
      <c r="U731" s="230"/>
      <c r="V731" s="230"/>
      <c r="W731" s="230"/>
    </row>
    <row r="732">
      <c r="O732" s="230"/>
      <c r="T732" s="230"/>
      <c r="U732" s="230"/>
      <c r="V732" s="230"/>
      <c r="W732" s="230"/>
    </row>
    <row r="733">
      <c r="O733" s="230"/>
      <c r="T733" s="230"/>
      <c r="U733" s="230"/>
      <c r="V733" s="230"/>
      <c r="W733" s="230"/>
    </row>
    <row r="734">
      <c r="O734" s="230"/>
      <c r="T734" s="230"/>
      <c r="U734" s="230"/>
      <c r="V734" s="230"/>
      <c r="W734" s="230"/>
    </row>
    <row r="735">
      <c r="O735" s="230"/>
      <c r="T735" s="230"/>
      <c r="U735" s="230"/>
      <c r="V735" s="230"/>
      <c r="W735" s="230"/>
    </row>
    <row r="736">
      <c r="O736" s="230"/>
      <c r="T736" s="230"/>
      <c r="U736" s="230"/>
      <c r="V736" s="230"/>
      <c r="W736" s="230"/>
    </row>
    <row r="737">
      <c r="O737" s="230"/>
      <c r="T737" s="230"/>
      <c r="U737" s="230"/>
      <c r="V737" s="230"/>
      <c r="W737" s="230"/>
    </row>
    <row r="738">
      <c r="O738" s="230"/>
      <c r="T738" s="230"/>
      <c r="U738" s="230"/>
      <c r="V738" s="230"/>
      <c r="W738" s="230"/>
    </row>
    <row r="739">
      <c r="O739" s="230"/>
      <c r="T739" s="230"/>
      <c r="U739" s="230"/>
      <c r="V739" s="230"/>
      <c r="W739" s="230"/>
    </row>
    <row r="740">
      <c r="O740" s="230"/>
      <c r="T740" s="230"/>
      <c r="U740" s="230"/>
      <c r="V740" s="230"/>
      <c r="W740" s="230"/>
    </row>
    <row r="741">
      <c r="O741" s="230"/>
      <c r="T741" s="230"/>
      <c r="U741" s="230"/>
      <c r="V741" s="230"/>
      <c r="W741" s="230"/>
    </row>
    <row r="742">
      <c r="O742" s="230"/>
      <c r="T742" s="230"/>
      <c r="U742" s="230"/>
      <c r="V742" s="230"/>
      <c r="W742" s="230"/>
    </row>
    <row r="743">
      <c r="O743" s="230"/>
      <c r="T743" s="230"/>
      <c r="U743" s="230"/>
      <c r="V743" s="230"/>
      <c r="W743" s="230"/>
    </row>
    <row r="744">
      <c r="O744" s="230"/>
      <c r="T744" s="230"/>
      <c r="U744" s="230"/>
      <c r="V744" s="230"/>
      <c r="W744" s="230"/>
    </row>
    <row r="745">
      <c r="O745" s="230"/>
      <c r="T745" s="230"/>
      <c r="U745" s="230"/>
      <c r="V745" s="230"/>
      <c r="W745" s="230"/>
    </row>
    <row r="746">
      <c r="O746" s="230"/>
      <c r="T746" s="230"/>
      <c r="U746" s="230"/>
      <c r="V746" s="230"/>
      <c r="W746" s="230"/>
    </row>
    <row r="747">
      <c r="O747" s="230"/>
      <c r="T747" s="230"/>
      <c r="U747" s="230"/>
      <c r="V747" s="230"/>
      <c r="W747" s="230"/>
    </row>
    <row r="748">
      <c r="O748" s="230"/>
      <c r="T748" s="230"/>
      <c r="U748" s="230"/>
      <c r="V748" s="230"/>
      <c r="W748" s="230"/>
    </row>
    <row r="749">
      <c r="O749" s="230"/>
      <c r="T749" s="230"/>
      <c r="U749" s="230"/>
      <c r="V749" s="230"/>
      <c r="W749" s="230"/>
    </row>
    <row r="750">
      <c r="O750" s="230"/>
      <c r="T750" s="230"/>
      <c r="U750" s="230"/>
      <c r="V750" s="230"/>
      <c r="W750" s="230"/>
    </row>
    <row r="751">
      <c r="O751" s="230"/>
      <c r="T751" s="230"/>
      <c r="U751" s="230"/>
      <c r="V751" s="230"/>
      <c r="W751" s="230"/>
    </row>
    <row r="752">
      <c r="O752" s="230"/>
      <c r="T752" s="230"/>
      <c r="U752" s="230"/>
      <c r="V752" s="230"/>
      <c r="W752" s="230"/>
    </row>
    <row r="753">
      <c r="O753" s="230"/>
      <c r="T753" s="230"/>
      <c r="U753" s="230"/>
      <c r="V753" s="230"/>
      <c r="W753" s="230"/>
    </row>
    <row r="754">
      <c r="O754" s="230"/>
      <c r="T754" s="230"/>
      <c r="U754" s="230"/>
      <c r="V754" s="230"/>
      <c r="W754" s="230"/>
    </row>
    <row r="755">
      <c r="O755" s="230"/>
      <c r="T755" s="230"/>
      <c r="U755" s="230"/>
      <c r="V755" s="230"/>
      <c r="W755" s="230"/>
    </row>
    <row r="756">
      <c r="O756" s="230"/>
      <c r="T756" s="230"/>
      <c r="U756" s="230"/>
      <c r="V756" s="230"/>
      <c r="W756" s="230"/>
    </row>
    <row r="757">
      <c r="O757" s="230"/>
      <c r="T757" s="230"/>
      <c r="U757" s="230"/>
      <c r="V757" s="230"/>
      <c r="W757" s="230"/>
    </row>
    <row r="758">
      <c r="O758" s="230"/>
      <c r="T758" s="230"/>
      <c r="U758" s="230"/>
      <c r="V758" s="230"/>
      <c r="W758" s="230"/>
    </row>
    <row r="759">
      <c r="O759" s="230"/>
      <c r="T759" s="230"/>
      <c r="U759" s="230"/>
      <c r="V759" s="230"/>
      <c r="W759" s="230"/>
    </row>
    <row r="760">
      <c r="O760" s="230"/>
      <c r="T760" s="230"/>
      <c r="U760" s="230"/>
      <c r="V760" s="230"/>
      <c r="W760" s="230"/>
    </row>
    <row r="761">
      <c r="O761" s="230"/>
      <c r="T761" s="230"/>
      <c r="U761" s="230"/>
      <c r="V761" s="230"/>
      <c r="W761" s="230"/>
    </row>
    <row r="762">
      <c r="O762" s="230"/>
      <c r="T762" s="230"/>
      <c r="U762" s="230"/>
      <c r="V762" s="230"/>
      <c r="W762" s="230"/>
    </row>
    <row r="763">
      <c r="O763" s="230"/>
      <c r="T763" s="230"/>
      <c r="U763" s="230"/>
      <c r="V763" s="230"/>
      <c r="W763" s="230"/>
    </row>
    <row r="764">
      <c r="O764" s="230"/>
      <c r="T764" s="230"/>
      <c r="U764" s="230"/>
      <c r="V764" s="230"/>
      <c r="W764" s="230"/>
    </row>
    <row r="765">
      <c r="O765" s="230"/>
      <c r="T765" s="230"/>
      <c r="U765" s="230"/>
      <c r="V765" s="230"/>
      <c r="W765" s="230"/>
    </row>
    <row r="766">
      <c r="O766" s="230"/>
      <c r="T766" s="230"/>
      <c r="U766" s="230"/>
      <c r="V766" s="230"/>
      <c r="W766" s="230"/>
    </row>
    <row r="767">
      <c r="O767" s="230"/>
      <c r="T767" s="230"/>
      <c r="U767" s="230"/>
      <c r="V767" s="230"/>
      <c r="W767" s="230"/>
    </row>
    <row r="768">
      <c r="O768" s="230"/>
      <c r="T768" s="230"/>
      <c r="U768" s="230"/>
      <c r="V768" s="230"/>
      <c r="W768" s="230"/>
    </row>
    <row r="769">
      <c r="O769" s="230"/>
      <c r="T769" s="230"/>
      <c r="U769" s="230"/>
      <c r="V769" s="230"/>
      <c r="W769" s="230"/>
    </row>
    <row r="770">
      <c r="O770" s="230"/>
      <c r="T770" s="230"/>
      <c r="U770" s="230"/>
      <c r="V770" s="230"/>
      <c r="W770" s="230"/>
    </row>
    <row r="771">
      <c r="O771" s="230"/>
      <c r="T771" s="230"/>
      <c r="U771" s="230"/>
      <c r="V771" s="230"/>
      <c r="W771" s="230"/>
    </row>
    <row r="772">
      <c r="O772" s="230"/>
      <c r="T772" s="230"/>
      <c r="U772" s="230"/>
      <c r="V772" s="230"/>
      <c r="W772" s="230"/>
    </row>
    <row r="773">
      <c r="O773" s="230"/>
      <c r="T773" s="230"/>
      <c r="U773" s="230"/>
      <c r="V773" s="230"/>
      <c r="W773" s="230"/>
    </row>
    <row r="774">
      <c r="O774" s="230"/>
      <c r="T774" s="230"/>
      <c r="U774" s="230"/>
      <c r="V774" s="230"/>
      <c r="W774" s="230"/>
    </row>
    <row r="775">
      <c r="O775" s="230"/>
      <c r="T775" s="230"/>
      <c r="U775" s="230"/>
      <c r="V775" s="230"/>
      <c r="W775" s="230"/>
    </row>
    <row r="776">
      <c r="O776" s="230"/>
      <c r="T776" s="230"/>
      <c r="U776" s="230"/>
      <c r="V776" s="230"/>
      <c r="W776" s="230"/>
    </row>
    <row r="777">
      <c r="O777" s="230"/>
      <c r="T777" s="230"/>
      <c r="U777" s="230"/>
      <c r="V777" s="230"/>
      <c r="W777" s="230"/>
    </row>
    <row r="778">
      <c r="O778" s="230"/>
      <c r="T778" s="230"/>
      <c r="U778" s="230"/>
      <c r="V778" s="230"/>
      <c r="W778" s="230"/>
    </row>
    <row r="779">
      <c r="O779" s="230"/>
      <c r="T779" s="230"/>
      <c r="U779" s="230"/>
      <c r="V779" s="230"/>
      <c r="W779" s="230"/>
    </row>
    <row r="780">
      <c r="O780" s="230"/>
      <c r="T780" s="230"/>
      <c r="U780" s="230"/>
      <c r="V780" s="230"/>
      <c r="W780" s="230"/>
    </row>
    <row r="781">
      <c r="O781" s="230"/>
      <c r="T781" s="230"/>
      <c r="U781" s="230"/>
      <c r="V781" s="230"/>
      <c r="W781" s="230"/>
    </row>
    <row r="782">
      <c r="O782" s="230"/>
      <c r="T782" s="230"/>
      <c r="U782" s="230"/>
      <c r="V782" s="230"/>
      <c r="W782" s="230"/>
    </row>
    <row r="783">
      <c r="O783" s="230"/>
      <c r="T783" s="230"/>
      <c r="U783" s="230"/>
      <c r="V783" s="230"/>
      <c r="W783" s="230"/>
    </row>
    <row r="784">
      <c r="O784" s="230"/>
      <c r="T784" s="230"/>
      <c r="U784" s="230"/>
      <c r="V784" s="230"/>
      <c r="W784" s="230"/>
    </row>
    <row r="785">
      <c r="O785" s="230"/>
      <c r="T785" s="230"/>
      <c r="U785" s="230"/>
      <c r="V785" s="230"/>
      <c r="W785" s="230"/>
    </row>
    <row r="786">
      <c r="O786" s="230"/>
      <c r="T786" s="230"/>
      <c r="U786" s="230"/>
      <c r="V786" s="230"/>
      <c r="W786" s="230"/>
    </row>
    <row r="787">
      <c r="O787" s="230"/>
      <c r="T787" s="230"/>
      <c r="U787" s="230"/>
      <c r="V787" s="230"/>
      <c r="W787" s="230"/>
    </row>
    <row r="788">
      <c r="O788" s="230"/>
      <c r="T788" s="230"/>
      <c r="U788" s="230"/>
      <c r="V788" s="230"/>
      <c r="W788" s="230"/>
    </row>
    <row r="789">
      <c r="O789" s="230"/>
      <c r="T789" s="230"/>
      <c r="U789" s="230"/>
      <c r="V789" s="230"/>
      <c r="W789" s="230"/>
    </row>
    <row r="790">
      <c r="O790" s="230"/>
      <c r="T790" s="230"/>
      <c r="U790" s="230"/>
      <c r="V790" s="230"/>
      <c r="W790" s="230"/>
    </row>
    <row r="791">
      <c r="O791" s="230"/>
      <c r="T791" s="230"/>
      <c r="U791" s="230"/>
      <c r="V791" s="230"/>
      <c r="W791" s="230"/>
    </row>
    <row r="792">
      <c r="O792" s="230"/>
      <c r="T792" s="230"/>
      <c r="U792" s="230"/>
      <c r="V792" s="230"/>
      <c r="W792" s="230"/>
    </row>
    <row r="793">
      <c r="O793" s="230"/>
      <c r="T793" s="230"/>
      <c r="U793" s="230"/>
      <c r="V793" s="230"/>
      <c r="W793" s="230"/>
    </row>
    <row r="794">
      <c r="O794" s="230"/>
      <c r="T794" s="230"/>
      <c r="U794" s="230"/>
      <c r="V794" s="230"/>
      <c r="W794" s="230"/>
    </row>
    <row r="795">
      <c r="O795" s="230"/>
      <c r="T795" s="230"/>
      <c r="U795" s="230"/>
      <c r="V795" s="230"/>
      <c r="W795" s="230"/>
    </row>
    <row r="796">
      <c r="O796" s="230"/>
      <c r="T796" s="230"/>
      <c r="U796" s="230"/>
      <c r="V796" s="230"/>
      <c r="W796" s="230"/>
    </row>
    <row r="797">
      <c r="O797" s="230"/>
      <c r="T797" s="230"/>
      <c r="U797" s="230"/>
      <c r="V797" s="230"/>
      <c r="W797" s="230"/>
    </row>
    <row r="798">
      <c r="O798" s="230"/>
      <c r="T798" s="230"/>
      <c r="U798" s="230"/>
      <c r="V798" s="230"/>
      <c r="W798" s="230"/>
    </row>
    <row r="799">
      <c r="O799" s="230"/>
      <c r="T799" s="230"/>
      <c r="U799" s="230"/>
      <c r="V799" s="230"/>
      <c r="W799" s="230"/>
    </row>
    <row r="800">
      <c r="O800" s="230"/>
      <c r="T800" s="230"/>
      <c r="U800" s="230"/>
      <c r="V800" s="230"/>
      <c r="W800" s="230"/>
    </row>
    <row r="801">
      <c r="O801" s="230"/>
      <c r="T801" s="230"/>
      <c r="U801" s="230"/>
      <c r="V801" s="230"/>
      <c r="W801" s="230"/>
    </row>
    <row r="802">
      <c r="O802" s="230"/>
      <c r="T802" s="230"/>
      <c r="U802" s="230"/>
      <c r="V802" s="230"/>
      <c r="W802" s="230"/>
    </row>
    <row r="803">
      <c r="O803" s="230"/>
      <c r="T803" s="230"/>
      <c r="U803" s="230"/>
      <c r="V803" s="230"/>
      <c r="W803" s="230"/>
    </row>
    <row r="804">
      <c r="O804" s="230"/>
      <c r="T804" s="230"/>
      <c r="U804" s="230"/>
      <c r="V804" s="230"/>
      <c r="W804" s="230"/>
    </row>
    <row r="805">
      <c r="O805" s="230"/>
      <c r="T805" s="230"/>
      <c r="U805" s="230"/>
      <c r="V805" s="230"/>
      <c r="W805" s="230"/>
    </row>
    <row r="806">
      <c r="O806" s="230"/>
      <c r="T806" s="230"/>
      <c r="U806" s="230"/>
      <c r="V806" s="230"/>
      <c r="W806" s="230"/>
    </row>
    <row r="807">
      <c r="O807" s="230"/>
      <c r="T807" s="230"/>
      <c r="U807" s="230"/>
      <c r="V807" s="230"/>
      <c r="W807" s="230"/>
    </row>
    <row r="808">
      <c r="O808" s="230"/>
      <c r="T808" s="230"/>
      <c r="U808" s="230"/>
      <c r="V808" s="230"/>
      <c r="W808" s="230"/>
    </row>
    <row r="809">
      <c r="O809" s="230"/>
      <c r="T809" s="230"/>
      <c r="U809" s="230"/>
      <c r="V809" s="230"/>
      <c r="W809" s="230"/>
    </row>
    <row r="810">
      <c r="O810" s="230"/>
      <c r="T810" s="230"/>
      <c r="U810" s="230"/>
      <c r="V810" s="230"/>
      <c r="W810" s="230"/>
    </row>
    <row r="811">
      <c r="O811" s="230"/>
      <c r="T811" s="230"/>
      <c r="U811" s="230"/>
      <c r="V811" s="230"/>
      <c r="W811" s="230"/>
    </row>
    <row r="812">
      <c r="O812" s="230"/>
      <c r="T812" s="230"/>
      <c r="U812" s="230"/>
      <c r="V812" s="230"/>
      <c r="W812" s="230"/>
    </row>
    <row r="813">
      <c r="O813" s="230"/>
      <c r="T813" s="230"/>
      <c r="U813" s="230"/>
      <c r="V813" s="230"/>
      <c r="W813" s="230"/>
    </row>
    <row r="814">
      <c r="O814" s="230"/>
      <c r="T814" s="230"/>
      <c r="U814" s="230"/>
      <c r="V814" s="230"/>
      <c r="W814" s="230"/>
    </row>
    <row r="815">
      <c r="O815" s="230"/>
      <c r="T815" s="230"/>
      <c r="U815" s="230"/>
      <c r="V815" s="230"/>
      <c r="W815" s="230"/>
    </row>
    <row r="816">
      <c r="O816" s="230"/>
      <c r="T816" s="230"/>
      <c r="U816" s="230"/>
      <c r="V816" s="230"/>
      <c r="W816" s="230"/>
    </row>
    <row r="817">
      <c r="O817" s="230"/>
      <c r="T817" s="230"/>
      <c r="U817" s="230"/>
      <c r="V817" s="230"/>
      <c r="W817" s="230"/>
    </row>
    <row r="818">
      <c r="O818" s="230"/>
      <c r="T818" s="230"/>
      <c r="U818" s="230"/>
      <c r="V818" s="230"/>
      <c r="W818" s="230"/>
    </row>
    <row r="819">
      <c r="O819" s="230"/>
      <c r="T819" s="230"/>
      <c r="U819" s="230"/>
      <c r="V819" s="230"/>
      <c r="W819" s="230"/>
    </row>
    <row r="820">
      <c r="O820" s="230"/>
      <c r="T820" s="230"/>
      <c r="U820" s="230"/>
      <c r="V820" s="230"/>
      <c r="W820" s="230"/>
    </row>
    <row r="821">
      <c r="O821" s="230"/>
      <c r="T821" s="230"/>
      <c r="U821" s="230"/>
      <c r="V821" s="230"/>
      <c r="W821" s="230"/>
    </row>
    <row r="822">
      <c r="O822" s="230"/>
      <c r="T822" s="230"/>
      <c r="U822" s="230"/>
      <c r="V822" s="230"/>
      <c r="W822" s="230"/>
    </row>
    <row r="823">
      <c r="O823" s="230"/>
      <c r="T823" s="230"/>
      <c r="U823" s="230"/>
      <c r="V823" s="230"/>
      <c r="W823" s="230"/>
    </row>
    <row r="824">
      <c r="O824" s="230"/>
      <c r="T824" s="230"/>
      <c r="U824" s="230"/>
      <c r="V824" s="230"/>
      <c r="W824" s="230"/>
    </row>
    <row r="825">
      <c r="O825" s="230"/>
      <c r="T825" s="230"/>
      <c r="U825" s="230"/>
      <c r="V825" s="230"/>
      <c r="W825" s="230"/>
    </row>
    <row r="826">
      <c r="O826" s="230"/>
      <c r="T826" s="230"/>
      <c r="U826" s="230"/>
      <c r="V826" s="230"/>
      <c r="W826" s="230"/>
    </row>
    <row r="827">
      <c r="O827" s="230"/>
      <c r="T827" s="230"/>
      <c r="U827" s="230"/>
      <c r="V827" s="230"/>
      <c r="W827" s="230"/>
    </row>
    <row r="828">
      <c r="O828" s="230"/>
      <c r="T828" s="230"/>
      <c r="U828" s="230"/>
      <c r="V828" s="230"/>
      <c r="W828" s="230"/>
    </row>
    <row r="829">
      <c r="O829" s="230"/>
      <c r="T829" s="230"/>
      <c r="U829" s="230"/>
      <c r="V829" s="230"/>
      <c r="W829" s="230"/>
    </row>
    <row r="830">
      <c r="O830" s="230"/>
      <c r="T830" s="230"/>
      <c r="U830" s="230"/>
      <c r="V830" s="230"/>
      <c r="W830" s="230"/>
    </row>
    <row r="831">
      <c r="O831" s="230"/>
      <c r="T831" s="230"/>
      <c r="U831" s="230"/>
      <c r="V831" s="230"/>
      <c r="W831" s="230"/>
    </row>
    <row r="832">
      <c r="O832" s="230"/>
      <c r="T832" s="230"/>
      <c r="U832" s="230"/>
      <c r="V832" s="230"/>
      <c r="W832" s="230"/>
    </row>
    <row r="833">
      <c r="O833" s="230"/>
      <c r="T833" s="230"/>
      <c r="U833" s="230"/>
      <c r="V833" s="230"/>
      <c r="W833" s="230"/>
    </row>
    <row r="834">
      <c r="O834" s="230"/>
      <c r="T834" s="230"/>
      <c r="U834" s="230"/>
      <c r="V834" s="230"/>
      <c r="W834" s="230"/>
    </row>
    <row r="835">
      <c r="O835" s="230"/>
      <c r="T835" s="230"/>
      <c r="U835" s="230"/>
      <c r="V835" s="230"/>
      <c r="W835" s="230"/>
    </row>
    <row r="836">
      <c r="O836" s="230"/>
      <c r="T836" s="230"/>
      <c r="U836" s="230"/>
      <c r="V836" s="230"/>
      <c r="W836" s="230"/>
    </row>
    <row r="837">
      <c r="O837" s="230"/>
      <c r="T837" s="230"/>
      <c r="U837" s="230"/>
      <c r="V837" s="230"/>
      <c r="W837" s="230"/>
    </row>
    <row r="838">
      <c r="O838" s="230"/>
      <c r="T838" s="230"/>
      <c r="U838" s="230"/>
      <c r="V838" s="230"/>
      <c r="W838" s="230"/>
    </row>
    <row r="839">
      <c r="O839" s="230"/>
      <c r="T839" s="230"/>
      <c r="U839" s="230"/>
      <c r="V839" s="230"/>
      <c r="W839" s="230"/>
    </row>
    <row r="840">
      <c r="O840" s="230"/>
      <c r="T840" s="230"/>
      <c r="U840" s="230"/>
      <c r="V840" s="230"/>
      <c r="W840" s="230"/>
    </row>
    <row r="841">
      <c r="O841" s="230"/>
      <c r="T841" s="230"/>
      <c r="U841" s="230"/>
      <c r="V841" s="230"/>
      <c r="W841" s="230"/>
    </row>
    <row r="842">
      <c r="O842" s="230"/>
      <c r="T842" s="230"/>
      <c r="U842" s="230"/>
      <c r="V842" s="230"/>
      <c r="W842" s="230"/>
    </row>
    <row r="843">
      <c r="O843" s="230"/>
      <c r="T843" s="230"/>
      <c r="U843" s="230"/>
      <c r="V843" s="230"/>
      <c r="W843" s="230"/>
    </row>
    <row r="844">
      <c r="O844" s="230"/>
      <c r="T844" s="230"/>
      <c r="U844" s="230"/>
      <c r="V844" s="230"/>
      <c r="W844" s="230"/>
    </row>
    <row r="845">
      <c r="O845" s="230"/>
      <c r="T845" s="230"/>
      <c r="U845" s="230"/>
      <c r="V845" s="230"/>
      <c r="W845" s="230"/>
    </row>
    <row r="846">
      <c r="O846" s="230"/>
      <c r="T846" s="230"/>
      <c r="U846" s="230"/>
      <c r="V846" s="230"/>
      <c r="W846" s="230"/>
    </row>
    <row r="847">
      <c r="O847" s="230"/>
      <c r="T847" s="230"/>
      <c r="U847" s="230"/>
      <c r="V847" s="230"/>
      <c r="W847" s="230"/>
    </row>
    <row r="848">
      <c r="O848" s="230"/>
      <c r="T848" s="230"/>
      <c r="U848" s="230"/>
      <c r="V848" s="230"/>
      <c r="W848" s="230"/>
    </row>
    <row r="849">
      <c r="O849" s="230"/>
      <c r="T849" s="230"/>
      <c r="U849" s="230"/>
      <c r="V849" s="230"/>
      <c r="W849" s="230"/>
    </row>
    <row r="850">
      <c r="O850" s="230"/>
      <c r="T850" s="230"/>
      <c r="U850" s="230"/>
      <c r="V850" s="230"/>
      <c r="W850" s="230"/>
    </row>
    <row r="851">
      <c r="O851" s="230"/>
      <c r="T851" s="230"/>
      <c r="U851" s="230"/>
      <c r="V851" s="230"/>
      <c r="W851" s="230"/>
    </row>
    <row r="852">
      <c r="O852" s="230"/>
      <c r="T852" s="230"/>
      <c r="U852" s="230"/>
      <c r="V852" s="230"/>
      <c r="W852" s="230"/>
    </row>
    <row r="853">
      <c r="O853" s="230"/>
      <c r="T853" s="230"/>
      <c r="U853" s="230"/>
      <c r="V853" s="230"/>
      <c r="W853" s="230"/>
    </row>
    <row r="854">
      <c r="O854" s="230"/>
      <c r="T854" s="230"/>
      <c r="U854" s="230"/>
      <c r="V854" s="230"/>
      <c r="W854" s="230"/>
    </row>
    <row r="855">
      <c r="O855" s="230"/>
      <c r="T855" s="230"/>
      <c r="U855" s="230"/>
      <c r="V855" s="230"/>
      <c r="W855" s="230"/>
    </row>
    <row r="856">
      <c r="O856" s="230"/>
      <c r="T856" s="230"/>
      <c r="U856" s="230"/>
      <c r="V856" s="230"/>
      <c r="W856" s="230"/>
    </row>
    <row r="857">
      <c r="O857" s="230"/>
      <c r="T857" s="230"/>
      <c r="U857" s="230"/>
      <c r="V857" s="230"/>
      <c r="W857" s="230"/>
    </row>
    <row r="858">
      <c r="O858" s="230"/>
      <c r="T858" s="230"/>
      <c r="U858" s="230"/>
      <c r="V858" s="230"/>
      <c r="W858" s="230"/>
    </row>
    <row r="859">
      <c r="O859" s="230"/>
      <c r="T859" s="230"/>
      <c r="U859" s="230"/>
      <c r="V859" s="230"/>
      <c r="W859" s="230"/>
    </row>
    <row r="860">
      <c r="O860" s="230"/>
      <c r="T860" s="230"/>
      <c r="U860" s="230"/>
      <c r="V860" s="230"/>
      <c r="W860" s="230"/>
    </row>
    <row r="861">
      <c r="O861" s="230"/>
      <c r="T861" s="230"/>
      <c r="U861" s="230"/>
      <c r="V861" s="230"/>
      <c r="W861" s="230"/>
    </row>
    <row r="862">
      <c r="O862" s="230"/>
      <c r="T862" s="230"/>
      <c r="U862" s="230"/>
      <c r="V862" s="230"/>
      <c r="W862" s="230"/>
    </row>
    <row r="863">
      <c r="O863" s="230"/>
      <c r="T863" s="230"/>
      <c r="U863" s="230"/>
      <c r="V863" s="230"/>
      <c r="W863" s="230"/>
    </row>
    <row r="864">
      <c r="O864" s="230"/>
      <c r="T864" s="230"/>
      <c r="U864" s="230"/>
      <c r="V864" s="230"/>
      <c r="W864" s="230"/>
    </row>
    <row r="865">
      <c r="O865" s="230"/>
      <c r="T865" s="230"/>
      <c r="U865" s="230"/>
      <c r="V865" s="230"/>
      <c r="W865" s="230"/>
    </row>
    <row r="866">
      <c r="O866" s="230"/>
      <c r="T866" s="230"/>
      <c r="U866" s="230"/>
      <c r="V866" s="230"/>
      <c r="W866" s="230"/>
    </row>
    <row r="867">
      <c r="O867" s="230"/>
      <c r="T867" s="230"/>
      <c r="U867" s="230"/>
      <c r="V867" s="230"/>
      <c r="W867" s="230"/>
    </row>
    <row r="868">
      <c r="O868" s="230"/>
      <c r="T868" s="230"/>
      <c r="U868" s="230"/>
      <c r="V868" s="230"/>
      <c r="W868" s="230"/>
    </row>
    <row r="869">
      <c r="O869" s="230"/>
      <c r="T869" s="230"/>
      <c r="U869" s="230"/>
      <c r="V869" s="230"/>
      <c r="W869" s="230"/>
    </row>
    <row r="870">
      <c r="O870" s="230"/>
      <c r="T870" s="230"/>
      <c r="U870" s="230"/>
      <c r="V870" s="230"/>
      <c r="W870" s="230"/>
    </row>
    <row r="871">
      <c r="O871" s="230"/>
      <c r="T871" s="230"/>
      <c r="U871" s="230"/>
      <c r="V871" s="230"/>
      <c r="W871" s="230"/>
    </row>
    <row r="872">
      <c r="O872" s="230"/>
      <c r="T872" s="230"/>
      <c r="U872" s="230"/>
      <c r="V872" s="230"/>
      <c r="W872" s="230"/>
    </row>
    <row r="873">
      <c r="O873" s="230"/>
      <c r="T873" s="230"/>
      <c r="U873" s="230"/>
      <c r="V873" s="230"/>
      <c r="W873" s="230"/>
    </row>
    <row r="874">
      <c r="O874" s="230"/>
      <c r="T874" s="230"/>
      <c r="U874" s="230"/>
      <c r="V874" s="230"/>
      <c r="W874" s="230"/>
    </row>
    <row r="875">
      <c r="O875" s="230"/>
      <c r="T875" s="230"/>
      <c r="U875" s="230"/>
      <c r="V875" s="230"/>
      <c r="W875" s="230"/>
    </row>
    <row r="876">
      <c r="O876" s="230"/>
      <c r="T876" s="230"/>
      <c r="U876" s="230"/>
      <c r="V876" s="230"/>
      <c r="W876" s="230"/>
    </row>
    <row r="877">
      <c r="O877" s="230"/>
      <c r="T877" s="230"/>
      <c r="U877" s="230"/>
      <c r="V877" s="230"/>
      <c r="W877" s="230"/>
    </row>
    <row r="878">
      <c r="O878" s="230"/>
      <c r="T878" s="230"/>
      <c r="U878" s="230"/>
      <c r="V878" s="230"/>
      <c r="W878" s="230"/>
    </row>
    <row r="879">
      <c r="O879" s="230"/>
      <c r="T879" s="230"/>
      <c r="U879" s="230"/>
      <c r="V879" s="230"/>
      <c r="W879" s="230"/>
    </row>
    <row r="880">
      <c r="O880" s="230"/>
      <c r="T880" s="230"/>
      <c r="U880" s="230"/>
      <c r="V880" s="230"/>
      <c r="W880" s="230"/>
    </row>
    <row r="881">
      <c r="O881" s="230"/>
      <c r="T881" s="230"/>
      <c r="U881" s="230"/>
      <c r="V881" s="230"/>
      <c r="W881" s="230"/>
    </row>
    <row r="882">
      <c r="O882" s="230"/>
      <c r="T882" s="230"/>
      <c r="U882" s="230"/>
      <c r="V882" s="230"/>
      <c r="W882" s="230"/>
    </row>
    <row r="883">
      <c r="O883" s="230"/>
      <c r="T883" s="230"/>
      <c r="U883" s="230"/>
      <c r="V883" s="230"/>
      <c r="W883" s="230"/>
    </row>
    <row r="884">
      <c r="O884" s="230"/>
      <c r="T884" s="230"/>
      <c r="U884" s="230"/>
      <c r="V884" s="230"/>
      <c r="W884" s="230"/>
    </row>
    <row r="885">
      <c r="O885" s="230"/>
      <c r="T885" s="230"/>
      <c r="U885" s="230"/>
      <c r="V885" s="230"/>
      <c r="W885" s="230"/>
    </row>
    <row r="886">
      <c r="O886" s="230"/>
      <c r="T886" s="230"/>
      <c r="U886" s="230"/>
      <c r="V886" s="230"/>
      <c r="W886" s="230"/>
    </row>
    <row r="887">
      <c r="O887" s="230"/>
      <c r="T887" s="230"/>
      <c r="U887" s="230"/>
      <c r="V887" s="230"/>
      <c r="W887" s="230"/>
    </row>
    <row r="888">
      <c r="O888" s="230"/>
      <c r="T888" s="230"/>
      <c r="U888" s="230"/>
      <c r="V888" s="230"/>
      <c r="W888" s="230"/>
    </row>
    <row r="889">
      <c r="O889" s="230"/>
      <c r="T889" s="230"/>
      <c r="U889" s="230"/>
      <c r="V889" s="230"/>
      <c r="W889" s="230"/>
    </row>
    <row r="890">
      <c r="O890" s="230"/>
      <c r="T890" s="230"/>
      <c r="U890" s="230"/>
      <c r="V890" s="230"/>
      <c r="W890" s="230"/>
    </row>
    <row r="891">
      <c r="O891" s="230"/>
      <c r="T891" s="230"/>
      <c r="U891" s="230"/>
      <c r="V891" s="230"/>
      <c r="W891" s="230"/>
    </row>
    <row r="892">
      <c r="O892" s="230"/>
      <c r="T892" s="230"/>
      <c r="U892" s="230"/>
      <c r="V892" s="230"/>
      <c r="W892" s="230"/>
    </row>
    <row r="893">
      <c r="O893" s="230"/>
      <c r="T893" s="230"/>
      <c r="U893" s="230"/>
      <c r="V893" s="230"/>
      <c r="W893" s="230"/>
    </row>
    <row r="894">
      <c r="O894" s="230"/>
      <c r="T894" s="230"/>
      <c r="U894" s="230"/>
      <c r="V894" s="230"/>
      <c r="W894" s="230"/>
    </row>
    <row r="895">
      <c r="O895" s="230"/>
      <c r="T895" s="230"/>
      <c r="U895" s="230"/>
      <c r="V895" s="230"/>
      <c r="W895" s="230"/>
    </row>
    <row r="896">
      <c r="O896" s="230"/>
      <c r="T896" s="230"/>
      <c r="U896" s="230"/>
      <c r="V896" s="230"/>
      <c r="W896" s="230"/>
    </row>
    <row r="897">
      <c r="O897" s="230"/>
      <c r="T897" s="230"/>
      <c r="U897" s="230"/>
      <c r="V897" s="230"/>
      <c r="W897" s="230"/>
    </row>
    <row r="898">
      <c r="O898" s="230"/>
      <c r="T898" s="230"/>
      <c r="U898" s="230"/>
      <c r="V898" s="230"/>
      <c r="W898" s="230"/>
    </row>
    <row r="899">
      <c r="O899" s="230"/>
      <c r="T899" s="230"/>
      <c r="U899" s="230"/>
      <c r="V899" s="230"/>
      <c r="W899" s="230"/>
    </row>
    <row r="900">
      <c r="O900" s="230"/>
      <c r="T900" s="230"/>
      <c r="U900" s="230"/>
      <c r="V900" s="230"/>
      <c r="W900" s="230"/>
    </row>
    <row r="901">
      <c r="O901" s="230"/>
      <c r="T901" s="230"/>
      <c r="U901" s="230"/>
      <c r="V901" s="230"/>
      <c r="W901" s="230"/>
    </row>
    <row r="902">
      <c r="O902" s="230"/>
      <c r="T902" s="230"/>
      <c r="U902" s="230"/>
      <c r="V902" s="230"/>
      <c r="W902" s="230"/>
    </row>
    <row r="903">
      <c r="O903" s="230"/>
      <c r="T903" s="230"/>
      <c r="U903" s="230"/>
      <c r="V903" s="230"/>
      <c r="W903" s="230"/>
    </row>
    <row r="904">
      <c r="O904" s="230"/>
      <c r="T904" s="230"/>
      <c r="U904" s="230"/>
      <c r="V904" s="230"/>
      <c r="W904" s="230"/>
    </row>
    <row r="905">
      <c r="O905" s="230"/>
      <c r="T905" s="230"/>
      <c r="U905" s="230"/>
      <c r="V905" s="230"/>
      <c r="W905" s="230"/>
    </row>
    <row r="906">
      <c r="O906" s="230"/>
      <c r="T906" s="230"/>
      <c r="U906" s="230"/>
      <c r="V906" s="230"/>
      <c r="W906" s="230"/>
    </row>
    <row r="907">
      <c r="O907" s="230"/>
      <c r="T907" s="230"/>
      <c r="U907" s="230"/>
      <c r="V907" s="230"/>
      <c r="W907" s="230"/>
    </row>
    <row r="908">
      <c r="O908" s="230"/>
      <c r="T908" s="230"/>
      <c r="U908" s="230"/>
      <c r="V908" s="230"/>
      <c r="W908" s="230"/>
    </row>
    <row r="909">
      <c r="O909" s="230"/>
      <c r="T909" s="230"/>
      <c r="U909" s="230"/>
      <c r="V909" s="230"/>
      <c r="W909" s="230"/>
    </row>
    <row r="910">
      <c r="O910" s="230"/>
      <c r="T910" s="230"/>
      <c r="U910" s="230"/>
      <c r="V910" s="230"/>
      <c r="W910" s="230"/>
    </row>
    <row r="911">
      <c r="O911" s="230"/>
      <c r="T911" s="230"/>
      <c r="U911" s="230"/>
      <c r="V911" s="230"/>
      <c r="W911" s="230"/>
    </row>
    <row r="912">
      <c r="O912" s="230"/>
      <c r="T912" s="230"/>
      <c r="U912" s="230"/>
      <c r="V912" s="230"/>
      <c r="W912" s="230"/>
    </row>
    <row r="913">
      <c r="O913" s="230"/>
      <c r="T913" s="230"/>
      <c r="U913" s="230"/>
      <c r="V913" s="230"/>
      <c r="W913" s="230"/>
    </row>
    <row r="914">
      <c r="O914" s="230"/>
      <c r="T914" s="230"/>
      <c r="U914" s="230"/>
      <c r="V914" s="230"/>
      <c r="W914" s="230"/>
    </row>
    <row r="915">
      <c r="O915" s="230"/>
      <c r="T915" s="230"/>
      <c r="U915" s="230"/>
      <c r="V915" s="230"/>
      <c r="W915" s="230"/>
    </row>
    <row r="916">
      <c r="O916" s="230"/>
      <c r="T916" s="230"/>
      <c r="U916" s="230"/>
      <c r="V916" s="230"/>
      <c r="W916" s="230"/>
    </row>
    <row r="917">
      <c r="O917" s="230"/>
      <c r="T917" s="230"/>
      <c r="U917" s="230"/>
      <c r="V917" s="230"/>
      <c r="W917" s="230"/>
    </row>
    <row r="918">
      <c r="O918" s="230"/>
      <c r="T918" s="230"/>
      <c r="U918" s="230"/>
      <c r="V918" s="230"/>
      <c r="W918" s="230"/>
    </row>
    <row r="919">
      <c r="O919" s="230"/>
      <c r="T919" s="230"/>
      <c r="U919" s="230"/>
      <c r="V919" s="230"/>
      <c r="W919" s="230"/>
    </row>
    <row r="920">
      <c r="O920" s="230"/>
      <c r="T920" s="230"/>
      <c r="U920" s="230"/>
      <c r="V920" s="230"/>
      <c r="W920" s="230"/>
    </row>
    <row r="921">
      <c r="O921" s="230"/>
      <c r="T921" s="230"/>
      <c r="U921" s="230"/>
      <c r="V921" s="230"/>
      <c r="W921" s="230"/>
    </row>
    <row r="922">
      <c r="O922" s="230"/>
      <c r="T922" s="230"/>
      <c r="U922" s="230"/>
      <c r="V922" s="230"/>
      <c r="W922" s="230"/>
    </row>
    <row r="923">
      <c r="O923" s="230"/>
      <c r="T923" s="230"/>
      <c r="U923" s="230"/>
      <c r="V923" s="230"/>
      <c r="W923" s="230"/>
    </row>
    <row r="924">
      <c r="O924" s="230"/>
      <c r="T924" s="230"/>
      <c r="U924" s="230"/>
      <c r="V924" s="230"/>
      <c r="W924" s="230"/>
    </row>
    <row r="925">
      <c r="O925" s="230"/>
      <c r="T925" s="230"/>
      <c r="U925" s="230"/>
      <c r="V925" s="230"/>
      <c r="W925" s="230"/>
    </row>
    <row r="926">
      <c r="O926" s="230"/>
      <c r="T926" s="230"/>
      <c r="U926" s="230"/>
      <c r="V926" s="230"/>
      <c r="W926" s="230"/>
    </row>
    <row r="927">
      <c r="O927" s="230"/>
      <c r="T927" s="230"/>
      <c r="U927" s="230"/>
      <c r="V927" s="230"/>
      <c r="W927" s="230"/>
    </row>
    <row r="928">
      <c r="O928" s="230"/>
      <c r="T928" s="230"/>
      <c r="U928" s="230"/>
      <c r="V928" s="230"/>
      <c r="W928" s="230"/>
    </row>
    <row r="929">
      <c r="O929" s="230"/>
      <c r="T929" s="230"/>
      <c r="U929" s="230"/>
      <c r="V929" s="230"/>
      <c r="W929" s="230"/>
    </row>
    <row r="930">
      <c r="O930" s="230"/>
      <c r="T930" s="230"/>
      <c r="U930" s="230"/>
      <c r="V930" s="230"/>
      <c r="W930" s="230"/>
    </row>
    <row r="931">
      <c r="O931" s="230"/>
      <c r="T931" s="230"/>
      <c r="U931" s="230"/>
      <c r="V931" s="230"/>
      <c r="W931" s="230"/>
    </row>
    <row r="932">
      <c r="O932" s="230"/>
      <c r="T932" s="230"/>
      <c r="U932" s="230"/>
      <c r="V932" s="230"/>
      <c r="W932" s="230"/>
    </row>
    <row r="933">
      <c r="O933" s="230"/>
      <c r="T933" s="230"/>
      <c r="U933" s="230"/>
      <c r="V933" s="230"/>
      <c r="W933" s="230"/>
    </row>
    <row r="934">
      <c r="O934" s="230"/>
      <c r="T934" s="230"/>
      <c r="U934" s="230"/>
      <c r="V934" s="230"/>
      <c r="W934" s="230"/>
    </row>
    <row r="935">
      <c r="O935" s="230"/>
      <c r="T935" s="230"/>
      <c r="U935" s="230"/>
      <c r="V935" s="230"/>
      <c r="W935" s="230"/>
    </row>
    <row r="936">
      <c r="O936" s="230"/>
      <c r="T936" s="230"/>
      <c r="U936" s="230"/>
      <c r="V936" s="230"/>
      <c r="W936" s="230"/>
    </row>
    <row r="937">
      <c r="O937" s="230"/>
      <c r="T937" s="230"/>
      <c r="U937" s="230"/>
      <c r="V937" s="230"/>
      <c r="W937" s="230"/>
    </row>
    <row r="938">
      <c r="O938" s="230"/>
      <c r="T938" s="230"/>
      <c r="U938" s="230"/>
      <c r="V938" s="230"/>
      <c r="W938" s="230"/>
    </row>
    <row r="939">
      <c r="O939" s="230"/>
      <c r="T939" s="230"/>
      <c r="U939" s="230"/>
      <c r="V939" s="230"/>
      <c r="W939" s="230"/>
    </row>
    <row r="940">
      <c r="O940" s="230"/>
      <c r="T940" s="230"/>
      <c r="U940" s="230"/>
      <c r="V940" s="230"/>
      <c r="W940" s="230"/>
    </row>
    <row r="941">
      <c r="O941" s="230"/>
      <c r="T941" s="230"/>
      <c r="U941" s="230"/>
      <c r="V941" s="230"/>
      <c r="W941" s="230"/>
    </row>
    <row r="942">
      <c r="O942" s="230"/>
      <c r="T942" s="230"/>
      <c r="U942" s="230"/>
      <c r="V942" s="230"/>
      <c r="W942" s="230"/>
    </row>
    <row r="943">
      <c r="O943" s="230"/>
      <c r="T943" s="230"/>
      <c r="U943" s="230"/>
      <c r="V943" s="230"/>
      <c r="W943" s="230"/>
    </row>
    <row r="944">
      <c r="O944" s="230"/>
      <c r="T944" s="230"/>
      <c r="U944" s="230"/>
      <c r="V944" s="230"/>
      <c r="W944" s="230"/>
    </row>
    <row r="945">
      <c r="O945" s="230"/>
      <c r="T945" s="230"/>
      <c r="U945" s="230"/>
      <c r="V945" s="230"/>
      <c r="W945" s="230"/>
    </row>
    <row r="946">
      <c r="O946" s="230"/>
      <c r="T946" s="230"/>
      <c r="U946" s="230"/>
      <c r="V946" s="230"/>
      <c r="W946" s="230"/>
    </row>
    <row r="947">
      <c r="O947" s="230"/>
      <c r="T947" s="230"/>
      <c r="U947" s="230"/>
      <c r="V947" s="230"/>
      <c r="W947" s="230"/>
    </row>
    <row r="948">
      <c r="O948" s="230"/>
      <c r="T948" s="230"/>
      <c r="U948" s="230"/>
      <c r="V948" s="230"/>
      <c r="W948" s="230"/>
    </row>
    <row r="949">
      <c r="O949" s="230"/>
      <c r="T949" s="230"/>
      <c r="U949" s="230"/>
      <c r="V949" s="230"/>
      <c r="W949" s="230"/>
    </row>
    <row r="950">
      <c r="O950" s="230"/>
      <c r="T950" s="230"/>
      <c r="U950" s="230"/>
      <c r="V950" s="230"/>
      <c r="W950" s="230"/>
    </row>
    <row r="951">
      <c r="O951" s="230"/>
      <c r="T951" s="230"/>
      <c r="U951" s="230"/>
      <c r="V951" s="230"/>
      <c r="W951" s="230"/>
    </row>
    <row r="952">
      <c r="O952" s="230"/>
      <c r="T952" s="230"/>
      <c r="U952" s="230"/>
      <c r="V952" s="230"/>
      <c r="W952" s="230"/>
    </row>
    <row r="953">
      <c r="O953" s="230"/>
      <c r="T953" s="230"/>
      <c r="U953" s="230"/>
      <c r="V953" s="230"/>
      <c r="W953" s="230"/>
    </row>
    <row r="954">
      <c r="O954" s="230"/>
      <c r="T954" s="230"/>
      <c r="U954" s="230"/>
      <c r="V954" s="230"/>
      <c r="W954" s="230"/>
    </row>
    <row r="955">
      <c r="O955" s="230"/>
      <c r="T955" s="230"/>
      <c r="U955" s="230"/>
      <c r="V955" s="230"/>
      <c r="W955" s="230"/>
    </row>
    <row r="956">
      <c r="O956" s="230"/>
      <c r="T956" s="230"/>
      <c r="U956" s="230"/>
      <c r="V956" s="230"/>
      <c r="W956" s="230"/>
    </row>
    <row r="957">
      <c r="O957" s="230"/>
      <c r="T957" s="230"/>
      <c r="U957" s="230"/>
      <c r="V957" s="230"/>
      <c r="W957" s="230"/>
    </row>
    <row r="958">
      <c r="O958" s="230"/>
      <c r="T958" s="230"/>
      <c r="U958" s="230"/>
      <c r="V958" s="230"/>
      <c r="W958" s="230"/>
    </row>
    <row r="959">
      <c r="O959" s="230"/>
      <c r="T959" s="230"/>
      <c r="U959" s="230"/>
      <c r="V959" s="230"/>
      <c r="W959" s="230"/>
    </row>
    <row r="960">
      <c r="O960" s="230"/>
      <c r="T960" s="230"/>
      <c r="U960" s="230"/>
      <c r="V960" s="230"/>
      <c r="W960" s="230"/>
    </row>
    <row r="961">
      <c r="O961" s="230"/>
      <c r="T961" s="230"/>
      <c r="U961" s="230"/>
      <c r="V961" s="230"/>
      <c r="W961" s="230"/>
    </row>
    <row r="962">
      <c r="O962" s="230"/>
      <c r="T962" s="230"/>
      <c r="U962" s="230"/>
      <c r="V962" s="230"/>
      <c r="W962" s="230"/>
    </row>
    <row r="963">
      <c r="O963" s="230"/>
      <c r="T963" s="230"/>
      <c r="U963" s="230"/>
      <c r="V963" s="230"/>
      <c r="W963" s="230"/>
    </row>
    <row r="964">
      <c r="O964" s="230"/>
      <c r="T964" s="230"/>
      <c r="U964" s="230"/>
      <c r="V964" s="230"/>
      <c r="W964" s="230"/>
    </row>
    <row r="965">
      <c r="O965" s="230"/>
      <c r="T965" s="230"/>
      <c r="U965" s="230"/>
      <c r="V965" s="230"/>
      <c r="W965" s="230"/>
    </row>
    <row r="966">
      <c r="O966" s="230"/>
      <c r="T966" s="230"/>
      <c r="U966" s="230"/>
      <c r="V966" s="230"/>
      <c r="W966" s="230"/>
    </row>
    <row r="967">
      <c r="O967" s="230"/>
      <c r="T967" s="230"/>
      <c r="U967" s="230"/>
      <c r="V967" s="230"/>
      <c r="W967" s="230"/>
    </row>
    <row r="968">
      <c r="O968" s="230"/>
      <c r="T968" s="230"/>
      <c r="U968" s="230"/>
      <c r="V968" s="230"/>
      <c r="W968" s="230"/>
    </row>
    <row r="969">
      <c r="O969" s="230"/>
      <c r="T969" s="230"/>
      <c r="U969" s="230"/>
      <c r="V969" s="230"/>
      <c r="W969" s="230"/>
    </row>
    <row r="970">
      <c r="O970" s="230"/>
      <c r="T970" s="230"/>
      <c r="U970" s="230"/>
      <c r="V970" s="230"/>
      <c r="W970" s="230"/>
    </row>
    <row r="971">
      <c r="O971" s="230"/>
      <c r="T971" s="230"/>
      <c r="U971" s="230"/>
      <c r="V971" s="230"/>
      <c r="W971" s="230"/>
    </row>
    <row r="972">
      <c r="O972" s="230"/>
      <c r="T972" s="230"/>
      <c r="U972" s="230"/>
      <c r="V972" s="230"/>
      <c r="W972" s="230"/>
    </row>
    <row r="973">
      <c r="O973" s="230"/>
      <c r="T973" s="230"/>
      <c r="U973" s="230"/>
      <c r="V973" s="230"/>
      <c r="W973" s="230"/>
    </row>
    <row r="974">
      <c r="O974" s="230"/>
      <c r="T974" s="230"/>
      <c r="U974" s="230"/>
      <c r="V974" s="230"/>
      <c r="W974" s="230"/>
    </row>
    <row r="975">
      <c r="O975" s="230"/>
      <c r="T975" s="230"/>
      <c r="U975" s="230"/>
      <c r="V975" s="230"/>
      <c r="W975" s="230"/>
    </row>
    <row r="976">
      <c r="O976" s="230"/>
      <c r="T976" s="230"/>
      <c r="U976" s="230"/>
      <c r="V976" s="230"/>
      <c r="W976" s="230"/>
    </row>
    <row r="977">
      <c r="O977" s="230"/>
      <c r="T977" s="230"/>
      <c r="U977" s="230"/>
      <c r="V977" s="230"/>
      <c r="W977" s="230"/>
    </row>
    <row r="978">
      <c r="O978" s="230"/>
      <c r="T978" s="230"/>
      <c r="U978" s="230"/>
      <c r="V978" s="230"/>
      <c r="W978" s="230"/>
    </row>
    <row r="979">
      <c r="O979" s="230"/>
      <c r="T979" s="230"/>
      <c r="U979" s="230"/>
      <c r="V979" s="230"/>
      <c r="W979" s="230"/>
    </row>
    <row r="980">
      <c r="O980" s="230"/>
      <c r="T980" s="230"/>
      <c r="U980" s="230"/>
      <c r="V980" s="230"/>
      <c r="W980" s="230"/>
    </row>
    <row r="981">
      <c r="O981" s="230"/>
      <c r="T981" s="230"/>
      <c r="U981" s="230"/>
      <c r="V981" s="230"/>
      <c r="W981" s="230"/>
    </row>
    <row r="982">
      <c r="O982" s="230"/>
      <c r="T982" s="230"/>
      <c r="U982" s="230"/>
      <c r="V982" s="230"/>
      <c r="W982" s="230"/>
    </row>
    <row r="983">
      <c r="O983" s="230"/>
      <c r="T983" s="230"/>
      <c r="U983" s="230"/>
      <c r="V983" s="230"/>
      <c r="W983" s="230"/>
    </row>
    <row r="984">
      <c r="O984" s="230"/>
      <c r="T984" s="230"/>
      <c r="U984" s="230"/>
      <c r="V984" s="230"/>
      <c r="W984" s="230"/>
    </row>
    <row r="985">
      <c r="O985" s="230"/>
      <c r="T985" s="230"/>
      <c r="U985" s="230"/>
      <c r="V985" s="230"/>
      <c r="W985" s="230"/>
    </row>
    <row r="986">
      <c r="O986" s="230"/>
      <c r="T986" s="230"/>
      <c r="U986" s="230"/>
      <c r="V986" s="230"/>
      <c r="W986" s="230"/>
    </row>
    <row r="987">
      <c r="O987" s="230"/>
      <c r="T987" s="230"/>
      <c r="U987" s="230"/>
      <c r="V987" s="230"/>
      <c r="W987" s="230"/>
    </row>
    <row r="988">
      <c r="O988" s="230"/>
      <c r="T988" s="230"/>
      <c r="U988" s="230"/>
      <c r="V988" s="230"/>
      <c r="W988" s="230"/>
    </row>
    <row r="989">
      <c r="O989" s="230"/>
      <c r="T989" s="230"/>
      <c r="U989" s="230"/>
      <c r="V989" s="230"/>
      <c r="W989" s="230"/>
    </row>
    <row r="990">
      <c r="O990" s="230"/>
      <c r="T990" s="230"/>
      <c r="U990" s="230"/>
      <c r="V990" s="230"/>
      <c r="W990" s="230"/>
    </row>
    <row r="991">
      <c r="O991" s="230"/>
      <c r="T991" s="230"/>
      <c r="U991" s="230"/>
      <c r="V991" s="230"/>
      <c r="W991" s="230"/>
    </row>
    <row r="992">
      <c r="O992" s="230"/>
      <c r="T992" s="230"/>
      <c r="U992" s="230"/>
      <c r="V992" s="230"/>
      <c r="W992" s="230"/>
    </row>
    <row r="993">
      <c r="O993" s="230"/>
      <c r="T993" s="230"/>
      <c r="U993" s="230"/>
      <c r="V993" s="230"/>
      <c r="W993" s="230"/>
    </row>
    <row r="994">
      <c r="O994" s="230"/>
      <c r="T994" s="230"/>
      <c r="U994" s="230"/>
      <c r="V994" s="230"/>
      <c r="W994" s="230"/>
    </row>
    <row r="995">
      <c r="O995" s="230"/>
      <c r="T995" s="230"/>
      <c r="U995" s="230"/>
      <c r="V995" s="230"/>
      <c r="W995" s="230"/>
    </row>
    <row r="996">
      <c r="O996" s="230"/>
      <c r="T996" s="230"/>
      <c r="U996" s="230"/>
      <c r="V996" s="230"/>
      <c r="W996" s="230"/>
    </row>
    <row r="997">
      <c r="O997" s="230"/>
      <c r="T997" s="230"/>
      <c r="U997" s="230"/>
      <c r="V997" s="230"/>
      <c r="W997" s="230"/>
    </row>
    <row r="998">
      <c r="O998" s="230"/>
      <c r="T998" s="230"/>
      <c r="U998" s="230"/>
      <c r="V998" s="230"/>
      <c r="W998" s="230"/>
    </row>
    <row r="999">
      <c r="O999" s="230"/>
      <c r="T999" s="230"/>
      <c r="U999" s="230"/>
      <c r="V999" s="230"/>
      <c r="W999" s="230"/>
    </row>
    <row r="1000">
      <c r="O1000" s="230"/>
      <c r="T1000" s="230"/>
      <c r="U1000" s="230"/>
      <c r="V1000" s="230"/>
      <c r="W1000" s="230"/>
    </row>
    <row r="1001">
      <c r="O1001" s="230"/>
      <c r="T1001" s="230"/>
      <c r="U1001" s="230"/>
      <c r="V1001" s="230"/>
      <c r="W1001" s="230"/>
    </row>
    <row r="1002">
      <c r="O1002" s="230"/>
      <c r="T1002" s="230"/>
      <c r="U1002" s="230"/>
      <c r="V1002" s="230"/>
      <c r="W1002" s="230"/>
    </row>
    <row r="1003">
      <c r="O1003" s="230"/>
      <c r="T1003" s="230"/>
      <c r="U1003" s="230"/>
      <c r="V1003" s="230"/>
      <c r="W1003" s="230"/>
    </row>
    <row r="1004">
      <c r="O1004" s="230"/>
      <c r="T1004" s="230"/>
      <c r="U1004" s="230"/>
      <c r="V1004" s="230"/>
      <c r="W1004" s="230"/>
    </row>
    <row r="1005">
      <c r="O1005" s="230"/>
      <c r="T1005" s="230"/>
      <c r="U1005" s="230"/>
      <c r="V1005" s="230"/>
      <c r="W1005" s="230"/>
    </row>
    <row r="1006">
      <c r="O1006" s="230"/>
      <c r="T1006" s="230"/>
      <c r="U1006" s="230"/>
      <c r="V1006" s="230"/>
      <c r="W1006" s="230"/>
    </row>
    <row r="1007">
      <c r="O1007" s="230"/>
      <c r="T1007" s="230"/>
      <c r="U1007" s="230"/>
      <c r="V1007" s="230"/>
      <c r="W1007" s="230"/>
    </row>
    <row r="1008">
      <c r="O1008" s="230"/>
      <c r="T1008" s="230"/>
      <c r="U1008" s="230"/>
      <c r="V1008" s="230"/>
      <c r="W1008" s="230"/>
    </row>
    <row r="1009">
      <c r="O1009" s="230"/>
      <c r="T1009" s="230"/>
      <c r="U1009" s="230"/>
      <c r="V1009" s="230"/>
      <c r="W1009" s="230"/>
    </row>
    <row r="1010">
      <c r="O1010" s="230"/>
      <c r="T1010" s="230"/>
      <c r="U1010" s="230"/>
      <c r="V1010" s="230"/>
      <c r="W1010" s="230"/>
    </row>
    <row r="1011">
      <c r="O1011" s="230"/>
      <c r="T1011" s="230"/>
      <c r="U1011" s="230"/>
      <c r="V1011" s="230"/>
      <c r="W1011" s="230"/>
    </row>
    <row r="1012">
      <c r="O1012" s="230"/>
      <c r="T1012" s="230"/>
      <c r="U1012" s="230"/>
      <c r="V1012" s="230"/>
      <c r="W1012" s="230"/>
    </row>
    <row r="1013">
      <c r="O1013" s="230"/>
      <c r="T1013" s="230"/>
      <c r="U1013" s="230"/>
      <c r="V1013" s="230"/>
      <c r="W1013" s="230"/>
    </row>
    <row r="1014">
      <c r="O1014" s="230"/>
      <c r="T1014" s="230"/>
      <c r="U1014" s="230"/>
      <c r="V1014" s="230"/>
      <c r="W1014" s="230"/>
    </row>
    <row r="1015">
      <c r="O1015" s="230"/>
      <c r="T1015" s="230"/>
      <c r="U1015" s="230"/>
      <c r="V1015" s="230"/>
      <c r="W1015" s="230"/>
    </row>
    <row r="1016">
      <c r="O1016" s="230"/>
      <c r="T1016" s="230"/>
      <c r="U1016" s="230"/>
      <c r="V1016" s="230"/>
      <c r="W1016" s="230"/>
    </row>
    <row r="1017">
      <c r="O1017" s="230"/>
      <c r="T1017" s="230"/>
      <c r="U1017" s="230"/>
      <c r="V1017" s="230"/>
      <c r="W1017" s="230"/>
    </row>
    <row r="1018">
      <c r="O1018" s="230"/>
      <c r="T1018" s="230"/>
      <c r="U1018" s="230"/>
      <c r="V1018" s="230"/>
      <c r="W1018" s="230"/>
    </row>
    <row r="1019">
      <c r="O1019" s="230"/>
      <c r="T1019" s="230"/>
      <c r="U1019" s="230"/>
      <c r="V1019" s="230"/>
      <c r="W1019" s="230"/>
    </row>
    <row r="1020">
      <c r="O1020" s="230"/>
      <c r="T1020" s="230"/>
      <c r="U1020" s="230"/>
      <c r="V1020" s="230"/>
      <c r="W1020" s="230"/>
    </row>
    <row r="1021">
      <c r="O1021" s="230"/>
      <c r="T1021" s="230"/>
      <c r="U1021" s="230"/>
      <c r="V1021" s="230"/>
      <c r="W1021" s="230"/>
    </row>
    <row r="1022">
      <c r="O1022" s="230"/>
      <c r="T1022" s="230"/>
      <c r="U1022" s="230"/>
      <c r="V1022" s="230"/>
      <c r="W1022" s="230"/>
    </row>
    <row r="1023">
      <c r="O1023" s="230"/>
      <c r="T1023" s="230"/>
      <c r="U1023" s="230"/>
      <c r="V1023" s="230"/>
      <c r="W1023" s="230"/>
    </row>
    <row r="1024">
      <c r="O1024" s="230"/>
      <c r="T1024" s="230"/>
      <c r="U1024" s="230"/>
      <c r="V1024" s="230"/>
      <c r="W1024" s="230"/>
    </row>
    <row r="1025">
      <c r="O1025" s="230"/>
      <c r="T1025" s="230"/>
      <c r="U1025" s="230"/>
      <c r="V1025" s="230"/>
      <c r="W1025" s="230"/>
    </row>
    <row r="1026">
      <c r="O1026" s="230"/>
      <c r="T1026" s="230"/>
      <c r="U1026" s="230"/>
      <c r="V1026" s="230"/>
      <c r="W1026" s="230"/>
    </row>
    <row r="1027">
      <c r="O1027" s="230"/>
      <c r="T1027" s="230"/>
      <c r="U1027" s="230"/>
      <c r="V1027" s="230"/>
      <c r="W1027" s="230"/>
    </row>
    <row r="1028">
      <c r="O1028" s="230"/>
      <c r="T1028" s="230"/>
      <c r="U1028" s="230"/>
      <c r="V1028" s="230"/>
      <c r="W1028" s="230"/>
    </row>
    <row r="1029">
      <c r="O1029" s="230"/>
      <c r="T1029" s="230"/>
      <c r="U1029" s="230"/>
      <c r="V1029" s="230"/>
      <c r="W1029" s="230"/>
    </row>
    <row r="1030">
      <c r="O1030" s="230"/>
      <c r="T1030" s="230"/>
      <c r="U1030" s="230"/>
      <c r="V1030" s="230"/>
      <c r="W1030" s="230"/>
    </row>
    <row r="1031">
      <c r="O1031" s="230"/>
      <c r="T1031" s="230"/>
      <c r="U1031" s="230"/>
      <c r="V1031" s="230"/>
      <c r="W1031" s="230"/>
    </row>
    <row r="1032">
      <c r="O1032" s="230"/>
      <c r="T1032" s="230"/>
      <c r="U1032" s="230"/>
      <c r="V1032" s="230"/>
      <c r="W1032" s="230"/>
    </row>
    <row r="1033">
      <c r="O1033" s="230"/>
      <c r="T1033" s="230"/>
      <c r="U1033" s="230"/>
      <c r="V1033" s="230"/>
      <c r="W1033" s="230"/>
    </row>
    <row r="1034">
      <c r="O1034" s="230"/>
      <c r="T1034" s="230"/>
      <c r="U1034" s="230"/>
      <c r="V1034" s="230"/>
      <c r="W1034" s="230"/>
    </row>
    <row r="1035">
      <c r="O1035" s="230"/>
      <c r="T1035" s="230"/>
      <c r="U1035" s="230"/>
      <c r="V1035" s="230"/>
      <c r="W1035" s="230"/>
    </row>
    <row r="1036">
      <c r="O1036" s="230"/>
      <c r="T1036" s="230"/>
      <c r="U1036" s="230"/>
      <c r="V1036" s="230"/>
      <c r="W1036" s="230"/>
    </row>
    <row r="1037">
      <c r="O1037" s="230"/>
      <c r="T1037" s="230"/>
      <c r="U1037" s="230"/>
      <c r="V1037" s="230"/>
      <c r="W1037" s="230"/>
    </row>
    <row r="1038">
      <c r="O1038" s="230"/>
      <c r="T1038" s="230"/>
      <c r="U1038" s="230"/>
      <c r="V1038" s="230"/>
      <c r="W1038" s="230"/>
    </row>
    <row r="1039">
      <c r="O1039" s="230"/>
      <c r="T1039" s="230"/>
      <c r="U1039" s="230"/>
      <c r="V1039" s="230"/>
      <c r="W1039" s="230"/>
    </row>
    <row r="1040">
      <c r="O1040" s="230"/>
      <c r="T1040" s="230"/>
      <c r="U1040" s="230"/>
      <c r="V1040" s="230"/>
      <c r="W1040" s="230"/>
    </row>
    <row r="1041">
      <c r="O1041" s="230"/>
      <c r="T1041" s="230"/>
      <c r="U1041" s="230"/>
      <c r="V1041" s="230"/>
      <c r="W1041" s="230"/>
    </row>
    <row r="1042">
      <c r="O1042" s="230"/>
      <c r="T1042" s="230"/>
      <c r="U1042" s="230"/>
      <c r="V1042" s="230"/>
      <c r="W1042" s="230"/>
    </row>
    <row r="1043">
      <c r="O1043" s="230"/>
      <c r="T1043" s="230"/>
      <c r="U1043" s="230"/>
      <c r="V1043" s="230"/>
      <c r="W1043" s="230"/>
    </row>
    <row r="1044">
      <c r="O1044" s="230"/>
      <c r="T1044" s="230"/>
      <c r="U1044" s="230"/>
      <c r="V1044" s="230"/>
      <c r="W1044" s="230"/>
    </row>
    <row r="1045">
      <c r="O1045" s="230"/>
      <c r="T1045" s="230"/>
      <c r="U1045" s="230"/>
      <c r="V1045" s="230"/>
      <c r="W1045" s="230"/>
    </row>
    <row r="1046">
      <c r="O1046" s="230"/>
      <c r="T1046" s="230"/>
      <c r="U1046" s="230"/>
      <c r="V1046" s="230"/>
      <c r="W1046" s="230"/>
    </row>
    <row r="1047">
      <c r="O1047" s="230"/>
      <c r="T1047" s="230"/>
      <c r="U1047" s="230"/>
      <c r="V1047" s="230"/>
      <c r="W1047" s="230"/>
    </row>
    <row r="1048">
      <c r="O1048" s="230"/>
      <c r="T1048" s="230"/>
      <c r="U1048" s="230"/>
      <c r="V1048" s="230"/>
      <c r="W1048" s="230"/>
    </row>
    <row r="1049">
      <c r="O1049" s="230"/>
      <c r="T1049" s="230"/>
      <c r="U1049" s="230"/>
      <c r="V1049" s="230"/>
      <c r="W1049" s="230"/>
    </row>
    <row r="1050">
      <c r="O1050" s="230"/>
      <c r="T1050" s="230"/>
      <c r="U1050" s="230"/>
      <c r="V1050" s="230"/>
      <c r="W1050" s="230"/>
    </row>
    <row r="1051">
      <c r="O1051" s="230"/>
      <c r="T1051" s="230"/>
      <c r="U1051" s="230"/>
      <c r="V1051" s="230"/>
      <c r="W1051" s="230"/>
    </row>
    <row r="1052">
      <c r="O1052" s="230"/>
      <c r="T1052" s="230"/>
      <c r="U1052" s="230"/>
      <c r="V1052" s="230"/>
      <c r="W1052" s="230"/>
    </row>
    <row r="1053">
      <c r="O1053" s="230"/>
      <c r="T1053" s="230"/>
      <c r="U1053" s="230"/>
      <c r="V1053" s="230"/>
      <c r="W1053" s="230"/>
    </row>
    <row r="1054">
      <c r="O1054" s="230"/>
      <c r="T1054" s="230"/>
      <c r="U1054" s="230"/>
      <c r="V1054" s="230"/>
      <c r="W1054" s="230"/>
    </row>
    <row r="1055">
      <c r="O1055" s="230"/>
      <c r="T1055" s="230"/>
      <c r="U1055" s="230"/>
      <c r="V1055" s="230"/>
      <c r="W1055" s="230"/>
    </row>
    <row r="1056">
      <c r="O1056" s="230"/>
      <c r="T1056" s="230"/>
      <c r="U1056" s="230"/>
      <c r="V1056" s="230"/>
      <c r="W1056" s="230"/>
    </row>
    <row r="1057">
      <c r="O1057" s="230"/>
      <c r="T1057" s="230"/>
      <c r="U1057" s="230"/>
      <c r="V1057" s="230"/>
      <c r="W1057" s="230"/>
    </row>
    <row r="1058">
      <c r="O1058" s="230"/>
      <c r="T1058" s="230"/>
      <c r="U1058" s="230"/>
      <c r="V1058" s="230"/>
      <c r="W1058" s="230"/>
    </row>
    <row r="1059">
      <c r="O1059" s="230"/>
      <c r="T1059" s="230"/>
      <c r="U1059" s="230"/>
      <c r="V1059" s="230"/>
      <c r="W1059" s="230"/>
    </row>
    <row r="1060">
      <c r="O1060" s="230"/>
      <c r="T1060" s="230"/>
      <c r="U1060" s="230"/>
      <c r="V1060" s="230"/>
      <c r="W1060" s="230"/>
    </row>
    <row r="1061">
      <c r="O1061" s="230"/>
      <c r="T1061" s="230"/>
      <c r="U1061" s="230"/>
      <c r="V1061" s="230"/>
      <c r="W1061" s="230"/>
    </row>
    <row r="1062">
      <c r="O1062" s="230"/>
      <c r="T1062" s="230"/>
      <c r="U1062" s="230"/>
      <c r="V1062" s="230"/>
      <c r="W1062" s="230"/>
    </row>
    <row r="1063">
      <c r="O1063" s="230"/>
      <c r="T1063" s="230"/>
      <c r="U1063" s="230"/>
      <c r="V1063" s="230"/>
      <c r="W1063" s="230"/>
    </row>
    <row r="1064">
      <c r="O1064" s="230"/>
      <c r="T1064" s="230"/>
      <c r="U1064" s="230"/>
      <c r="V1064" s="230"/>
      <c r="W1064" s="230"/>
    </row>
    <row r="1065">
      <c r="O1065" s="230"/>
      <c r="T1065" s="230"/>
      <c r="U1065" s="230"/>
      <c r="V1065" s="230"/>
      <c r="W1065" s="230"/>
    </row>
    <row r="1066">
      <c r="O1066" s="230"/>
      <c r="T1066" s="230"/>
      <c r="U1066" s="230"/>
      <c r="V1066" s="230"/>
      <c r="W1066" s="230"/>
    </row>
    <row r="1067">
      <c r="O1067" s="230"/>
      <c r="T1067" s="230"/>
      <c r="U1067" s="230"/>
      <c r="V1067" s="230"/>
      <c r="W1067" s="230"/>
    </row>
    <row r="1068">
      <c r="O1068" s="230"/>
      <c r="T1068" s="230"/>
      <c r="U1068" s="230"/>
      <c r="V1068" s="230"/>
      <c r="W1068" s="230"/>
    </row>
    <row r="1069">
      <c r="O1069" s="230"/>
      <c r="T1069" s="230"/>
      <c r="U1069" s="230"/>
      <c r="V1069" s="230"/>
      <c r="W1069" s="230"/>
    </row>
    <row r="1070">
      <c r="O1070" s="230"/>
      <c r="T1070" s="230"/>
      <c r="U1070" s="230"/>
      <c r="V1070" s="230"/>
      <c r="W1070" s="230"/>
    </row>
    <row r="1071">
      <c r="O1071" s="230"/>
      <c r="T1071" s="230"/>
      <c r="U1071" s="230"/>
      <c r="V1071" s="230"/>
      <c r="W1071" s="230"/>
    </row>
    <row r="1072">
      <c r="O1072" s="230"/>
      <c r="T1072" s="230"/>
      <c r="U1072" s="230"/>
      <c r="V1072" s="230"/>
      <c r="W1072" s="230"/>
    </row>
    <row r="1073">
      <c r="O1073" s="230"/>
      <c r="T1073" s="230"/>
      <c r="U1073" s="230"/>
      <c r="V1073" s="230"/>
      <c r="W1073" s="230"/>
    </row>
    <row r="1074">
      <c r="O1074" s="230"/>
      <c r="T1074" s="230"/>
      <c r="U1074" s="230"/>
      <c r="V1074" s="230"/>
      <c r="W1074" s="230"/>
    </row>
    <row r="1075">
      <c r="O1075" s="230"/>
      <c r="T1075" s="230"/>
      <c r="U1075" s="230"/>
      <c r="V1075" s="230"/>
      <c r="W1075" s="230"/>
    </row>
    <row r="1076">
      <c r="O1076" s="230"/>
      <c r="T1076" s="230"/>
      <c r="U1076" s="230"/>
      <c r="V1076" s="230"/>
      <c r="W1076" s="230"/>
    </row>
    <row r="1077">
      <c r="O1077" s="230"/>
      <c r="T1077" s="230"/>
      <c r="U1077" s="230"/>
      <c r="V1077" s="230"/>
      <c r="W1077" s="230"/>
    </row>
    <row r="1078">
      <c r="O1078" s="230"/>
      <c r="T1078" s="230"/>
      <c r="U1078" s="230"/>
      <c r="V1078" s="230"/>
      <c r="W1078" s="230"/>
    </row>
    <row r="1079">
      <c r="O1079" s="230"/>
      <c r="T1079" s="230"/>
      <c r="U1079" s="230"/>
      <c r="V1079" s="230"/>
      <c r="W1079" s="230"/>
    </row>
    <row r="1080">
      <c r="O1080" s="230"/>
      <c r="T1080" s="230"/>
      <c r="U1080" s="230"/>
      <c r="V1080" s="230"/>
      <c r="W1080" s="230"/>
    </row>
    <row r="1081">
      <c r="O1081" s="230"/>
      <c r="T1081" s="230"/>
      <c r="U1081" s="230"/>
      <c r="V1081" s="230"/>
      <c r="W1081" s="230"/>
    </row>
    <row r="1082">
      <c r="O1082" s="230"/>
      <c r="T1082" s="230"/>
      <c r="U1082" s="230"/>
      <c r="V1082" s="230"/>
      <c r="W1082" s="230"/>
    </row>
    <row r="1083">
      <c r="O1083" s="230"/>
      <c r="T1083" s="230"/>
      <c r="U1083" s="230"/>
      <c r="V1083" s="230"/>
      <c r="W1083" s="230"/>
    </row>
    <row r="1084">
      <c r="O1084" s="230"/>
      <c r="T1084" s="230"/>
      <c r="U1084" s="230"/>
      <c r="V1084" s="230"/>
      <c r="W1084" s="230"/>
    </row>
    <row r="1085">
      <c r="O1085" s="230"/>
      <c r="T1085" s="230"/>
      <c r="U1085" s="230"/>
      <c r="V1085" s="230"/>
      <c r="W1085" s="230"/>
    </row>
    <row r="1086">
      <c r="O1086" s="230"/>
      <c r="T1086" s="230"/>
      <c r="U1086" s="230"/>
      <c r="V1086" s="230"/>
      <c r="W1086" s="230"/>
    </row>
    <row r="1087">
      <c r="O1087" s="230"/>
      <c r="T1087" s="230"/>
      <c r="U1087" s="230"/>
      <c r="V1087" s="230"/>
      <c r="W1087" s="230"/>
    </row>
    <row r="1088">
      <c r="O1088" s="230"/>
      <c r="T1088" s="230"/>
      <c r="U1088" s="230"/>
      <c r="V1088" s="230"/>
      <c r="W1088" s="230"/>
    </row>
    <row r="1089">
      <c r="O1089" s="230"/>
      <c r="T1089" s="230"/>
      <c r="U1089" s="230"/>
      <c r="V1089" s="230"/>
      <c r="W1089" s="230"/>
    </row>
    <row r="1090">
      <c r="O1090" s="230"/>
      <c r="T1090" s="230"/>
      <c r="U1090" s="230"/>
      <c r="V1090" s="230"/>
      <c r="W1090" s="230"/>
    </row>
    <row r="1091">
      <c r="O1091" s="230"/>
      <c r="T1091" s="230"/>
      <c r="U1091" s="230"/>
      <c r="V1091" s="230"/>
      <c r="W1091" s="230"/>
    </row>
    <row r="1092">
      <c r="O1092" s="230"/>
      <c r="T1092" s="230"/>
      <c r="U1092" s="230"/>
      <c r="V1092" s="230"/>
      <c r="W1092" s="230"/>
    </row>
    <row r="1093">
      <c r="O1093" s="230"/>
      <c r="T1093" s="230"/>
      <c r="U1093" s="230"/>
      <c r="V1093" s="230"/>
      <c r="W1093" s="230"/>
    </row>
    <row r="1094">
      <c r="O1094" s="230"/>
      <c r="T1094" s="230"/>
      <c r="U1094" s="230"/>
      <c r="V1094" s="230"/>
      <c r="W1094" s="230"/>
    </row>
    <row r="1095">
      <c r="O1095" s="230"/>
      <c r="T1095" s="230"/>
      <c r="U1095" s="230"/>
      <c r="V1095" s="230"/>
      <c r="W1095" s="230"/>
    </row>
    <row r="1096">
      <c r="O1096" s="230"/>
      <c r="T1096" s="230"/>
      <c r="U1096" s="230"/>
      <c r="V1096" s="230"/>
      <c r="W1096" s="230"/>
    </row>
    <row r="1097">
      <c r="O1097" s="230"/>
      <c r="T1097" s="230"/>
      <c r="U1097" s="230"/>
      <c r="V1097" s="230"/>
      <c r="W1097" s="230"/>
    </row>
    <row r="1098">
      <c r="O1098" s="230"/>
      <c r="T1098" s="230"/>
      <c r="U1098" s="230"/>
      <c r="V1098" s="230"/>
      <c r="W1098" s="230"/>
    </row>
    <row r="1099">
      <c r="O1099" s="230"/>
      <c r="T1099" s="230"/>
      <c r="U1099" s="230"/>
      <c r="V1099" s="230"/>
      <c r="W1099" s="230"/>
    </row>
    <row r="1100">
      <c r="O1100" s="230"/>
      <c r="T1100" s="230"/>
      <c r="U1100" s="230"/>
      <c r="V1100" s="230"/>
      <c r="W1100" s="230"/>
    </row>
    <row r="1101">
      <c r="O1101" s="230"/>
      <c r="T1101" s="230"/>
      <c r="U1101" s="230"/>
      <c r="V1101" s="230"/>
      <c r="W1101" s="230"/>
    </row>
    <row r="1102">
      <c r="O1102" s="230"/>
      <c r="T1102" s="230"/>
      <c r="U1102" s="230"/>
      <c r="V1102" s="230"/>
      <c r="W1102" s="230"/>
    </row>
    <row r="1103">
      <c r="O1103" s="230"/>
      <c r="T1103" s="230"/>
      <c r="U1103" s="230"/>
      <c r="V1103" s="230"/>
      <c r="W1103" s="230"/>
    </row>
    <row r="1104">
      <c r="O1104" s="230"/>
      <c r="T1104" s="230"/>
      <c r="U1104" s="230"/>
      <c r="V1104" s="230"/>
      <c r="W1104" s="230"/>
    </row>
    <row r="1105">
      <c r="O1105" s="230"/>
      <c r="T1105" s="230"/>
      <c r="U1105" s="230"/>
      <c r="V1105" s="230"/>
      <c r="W1105" s="230"/>
    </row>
    <row r="1106">
      <c r="O1106" s="230"/>
      <c r="T1106" s="230"/>
      <c r="U1106" s="230"/>
      <c r="V1106" s="230"/>
      <c r="W1106" s="230"/>
    </row>
    <row r="1107">
      <c r="O1107" s="230"/>
      <c r="T1107" s="230"/>
      <c r="U1107" s="230"/>
      <c r="V1107" s="230"/>
      <c r="W1107" s="230"/>
    </row>
    <row r="1108">
      <c r="O1108" s="230"/>
      <c r="T1108" s="230"/>
      <c r="U1108" s="230"/>
      <c r="V1108" s="230"/>
      <c r="W1108" s="230"/>
    </row>
    <row r="1109">
      <c r="O1109" s="230"/>
      <c r="T1109" s="230"/>
      <c r="U1109" s="230"/>
      <c r="V1109" s="230"/>
      <c r="W1109" s="230"/>
    </row>
    <row r="1110">
      <c r="O1110" s="230"/>
      <c r="T1110" s="230"/>
      <c r="U1110" s="230"/>
      <c r="V1110" s="230"/>
      <c r="W1110" s="230"/>
    </row>
    <row r="1111">
      <c r="O1111" s="230"/>
      <c r="T1111" s="230"/>
      <c r="U1111" s="230"/>
      <c r="V1111" s="230"/>
      <c r="W1111" s="230"/>
    </row>
    <row r="1112">
      <c r="O1112" s="230"/>
      <c r="T1112" s="230"/>
      <c r="U1112" s="230"/>
      <c r="V1112" s="230"/>
      <c r="W1112" s="230"/>
    </row>
    <row r="1113">
      <c r="O1113" s="230"/>
      <c r="T1113" s="230"/>
      <c r="U1113" s="230"/>
      <c r="V1113" s="230"/>
      <c r="W1113" s="230"/>
    </row>
    <row r="1114">
      <c r="O1114" s="230"/>
      <c r="T1114" s="230"/>
      <c r="U1114" s="230"/>
      <c r="V1114" s="230"/>
      <c r="W1114" s="230"/>
    </row>
    <row r="1115">
      <c r="O1115" s="230"/>
      <c r="T1115" s="230"/>
      <c r="U1115" s="230"/>
      <c r="V1115" s="230"/>
      <c r="W1115" s="230"/>
    </row>
    <row r="1116">
      <c r="O1116" s="230"/>
      <c r="T1116" s="230"/>
      <c r="U1116" s="230"/>
      <c r="V1116" s="230"/>
      <c r="W1116" s="230"/>
    </row>
    <row r="1117">
      <c r="O1117" s="230"/>
      <c r="T1117" s="230"/>
      <c r="U1117" s="230"/>
      <c r="V1117" s="230"/>
      <c r="W1117" s="230"/>
    </row>
    <row r="1118">
      <c r="O1118" s="230"/>
      <c r="T1118" s="230"/>
      <c r="U1118" s="230"/>
      <c r="V1118" s="230"/>
      <c r="W1118" s="230"/>
    </row>
    <row r="1119">
      <c r="O1119" s="230"/>
      <c r="T1119" s="230"/>
      <c r="U1119" s="230"/>
      <c r="V1119" s="230"/>
      <c r="W1119" s="230"/>
    </row>
    <row r="1120">
      <c r="O1120" s="230"/>
      <c r="T1120" s="230"/>
      <c r="U1120" s="230"/>
      <c r="V1120" s="230"/>
      <c r="W1120" s="230"/>
    </row>
    <row r="1121">
      <c r="O1121" s="230"/>
      <c r="T1121" s="230"/>
      <c r="U1121" s="230"/>
      <c r="V1121" s="230"/>
      <c r="W1121" s="230"/>
    </row>
    <row r="1122">
      <c r="O1122" s="230"/>
      <c r="T1122" s="230"/>
      <c r="U1122" s="230"/>
      <c r="V1122" s="230"/>
      <c r="W1122" s="230"/>
    </row>
    <row r="1123">
      <c r="O1123" s="230"/>
      <c r="T1123" s="230"/>
      <c r="U1123" s="230"/>
      <c r="V1123" s="230"/>
      <c r="W1123" s="230"/>
    </row>
    <row r="1124">
      <c r="O1124" s="230"/>
      <c r="T1124" s="230"/>
      <c r="U1124" s="230"/>
      <c r="V1124" s="230"/>
      <c r="W1124" s="230"/>
    </row>
    <row r="1125">
      <c r="O1125" s="230"/>
      <c r="T1125" s="230"/>
      <c r="U1125" s="230"/>
      <c r="V1125" s="230"/>
      <c r="W1125" s="230"/>
    </row>
    <row r="1126">
      <c r="O1126" s="230"/>
      <c r="T1126" s="230"/>
      <c r="U1126" s="230"/>
      <c r="V1126" s="230"/>
      <c r="W1126" s="230"/>
    </row>
    <row r="1127">
      <c r="O1127" s="230"/>
      <c r="T1127" s="230"/>
      <c r="U1127" s="230"/>
      <c r="V1127" s="230"/>
      <c r="W1127" s="230"/>
    </row>
    <row r="1128">
      <c r="O1128" s="230"/>
      <c r="T1128" s="230"/>
      <c r="U1128" s="230"/>
      <c r="V1128" s="230"/>
      <c r="W1128" s="230"/>
    </row>
    <row r="1129">
      <c r="O1129" s="230"/>
      <c r="T1129" s="230"/>
      <c r="U1129" s="230"/>
      <c r="V1129" s="230"/>
      <c r="W1129" s="230"/>
    </row>
    <row r="1130">
      <c r="O1130" s="230"/>
      <c r="T1130" s="230"/>
      <c r="U1130" s="230"/>
      <c r="V1130" s="230"/>
      <c r="W1130" s="230"/>
    </row>
    <row r="1131">
      <c r="O1131" s="230"/>
      <c r="T1131" s="230"/>
      <c r="U1131" s="230"/>
      <c r="V1131" s="230"/>
      <c r="W1131" s="230"/>
    </row>
    <row r="1132">
      <c r="O1132" s="230"/>
      <c r="T1132" s="230"/>
      <c r="U1132" s="230"/>
      <c r="V1132" s="230"/>
      <c r="W1132" s="230"/>
    </row>
    <row r="1133">
      <c r="O1133" s="230"/>
      <c r="T1133" s="230"/>
      <c r="U1133" s="230"/>
      <c r="V1133" s="230"/>
      <c r="W1133" s="230"/>
    </row>
    <row r="1134">
      <c r="O1134" s="230"/>
      <c r="T1134" s="230"/>
      <c r="U1134" s="230"/>
      <c r="V1134" s="230"/>
      <c r="W1134" s="230"/>
    </row>
    <row r="1135">
      <c r="O1135" s="230"/>
      <c r="T1135" s="230"/>
      <c r="U1135" s="230"/>
      <c r="V1135" s="230"/>
      <c r="W1135" s="230"/>
    </row>
    <row r="1136">
      <c r="O1136" s="230"/>
      <c r="T1136" s="230"/>
      <c r="U1136" s="230"/>
      <c r="V1136" s="230"/>
      <c r="W1136" s="230"/>
    </row>
    <row r="1137">
      <c r="O1137" s="230"/>
      <c r="T1137" s="230"/>
      <c r="U1137" s="230"/>
      <c r="V1137" s="230"/>
      <c r="W1137" s="230"/>
    </row>
    <row r="1138">
      <c r="O1138" s="230"/>
      <c r="T1138" s="230"/>
      <c r="U1138" s="230"/>
      <c r="V1138" s="230"/>
      <c r="W1138" s="230"/>
    </row>
    <row r="1139">
      <c r="O1139" s="230"/>
      <c r="T1139" s="230"/>
      <c r="U1139" s="230"/>
      <c r="V1139" s="230"/>
      <c r="W1139" s="230"/>
    </row>
    <row r="1140">
      <c r="O1140" s="230"/>
      <c r="T1140" s="230"/>
      <c r="U1140" s="230"/>
      <c r="V1140" s="230"/>
      <c r="W1140" s="230"/>
    </row>
    <row r="1141">
      <c r="O1141" s="230"/>
      <c r="T1141" s="230"/>
      <c r="U1141" s="230"/>
      <c r="V1141" s="230"/>
      <c r="W1141" s="230"/>
    </row>
    <row r="1142">
      <c r="O1142" s="230"/>
      <c r="T1142" s="230"/>
      <c r="U1142" s="230"/>
      <c r="V1142" s="230"/>
      <c r="W1142" s="230"/>
    </row>
    <row r="1143">
      <c r="O1143" s="230"/>
      <c r="T1143" s="230"/>
      <c r="U1143" s="230"/>
      <c r="V1143" s="230"/>
      <c r="W1143" s="230"/>
    </row>
    <row r="1144">
      <c r="O1144" s="230"/>
      <c r="T1144" s="230"/>
      <c r="U1144" s="230"/>
      <c r="V1144" s="230"/>
      <c r="W1144" s="230"/>
    </row>
    <row r="1145">
      <c r="O1145" s="230"/>
      <c r="T1145" s="230"/>
      <c r="U1145" s="230"/>
      <c r="V1145" s="230"/>
      <c r="W1145" s="230"/>
    </row>
    <row r="1146">
      <c r="O1146" s="230"/>
      <c r="T1146" s="230"/>
      <c r="U1146" s="230"/>
      <c r="V1146" s="230"/>
      <c r="W1146" s="230"/>
    </row>
    <row r="1147">
      <c r="O1147" s="230"/>
      <c r="T1147" s="230"/>
      <c r="U1147" s="230"/>
      <c r="V1147" s="230"/>
      <c r="W1147" s="230"/>
    </row>
    <row r="1148">
      <c r="O1148" s="230"/>
      <c r="T1148" s="230"/>
      <c r="U1148" s="230"/>
      <c r="V1148" s="230"/>
      <c r="W1148" s="230"/>
    </row>
    <row r="1149">
      <c r="O1149" s="230"/>
      <c r="T1149" s="230"/>
      <c r="U1149" s="230"/>
      <c r="V1149" s="230"/>
      <c r="W1149" s="230"/>
    </row>
    <row r="1150">
      <c r="O1150" s="230"/>
      <c r="T1150" s="230"/>
      <c r="U1150" s="230"/>
      <c r="V1150" s="230"/>
      <c r="W1150" s="230"/>
    </row>
    <row r="1151">
      <c r="O1151" s="230"/>
      <c r="T1151" s="230"/>
      <c r="U1151" s="230"/>
      <c r="V1151" s="230"/>
      <c r="W1151" s="230"/>
    </row>
    <row r="1152">
      <c r="O1152" s="230"/>
      <c r="T1152" s="230"/>
      <c r="U1152" s="230"/>
      <c r="V1152" s="230"/>
      <c r="W1152" s="230"/>
    </row>
    <row r="1153">
      <c r="O1153" s="230"/>
      <c r="T1153" s="230"/>
      <c r="U1153" s="230"/>
      <c r="V1153" s="230"/>
      <c r="W1153" s="230"/>
    </row>
    <row r="1154">
      <c r="O1154" s="230"/>
      <c r="T1154" s="230"/>
      <c r="U1154" s="230"/>
      <c r="V1154" s="230"/>
      <c r="W1154" s="230"/>
    </row>
    <row r="1155">
      <c r="O1155" s="230"/>
      <c r="T1155" s="230"/>
      <c r="U1155" s="230"/>
      <c r="V1155" s="230"/>
      <c r="W1155" s="230"/>
    </row>
    <row r="1156">
      <c r="O1156" s="230"/>
      <c r="T1156" s="230"/>
      <c r="U1156" s="230"/>
      <c r="V1156" s="230"/>
      <c r="W1156" s="230"/>
    </row>
    <row r="1157">
      <c r="O1157" s="230"/>
      <c r="T1157" s="230"/>
      <c r="U1157" s="230"/>
      <c r="V1157" s="230"/>
      <c r="W1157" s="230"/>
    </row>
    <row r="1158">
      <c r="O1158" s="230"/>
      <c r="T1158" s="230"/>
      <c r="U1158" s="230"/>
      <c r="V1158" s="230"/>
      <c r="W1158" s="230"/>
    </row>
    <row r="1159">
      <c r="O1159" s="230"/>
      <c r="T1159" s="230"/>
      <c r="U1159" s="230"/>
      <c r="V1159" s="230"/>
      <c r="W1159" s="230"/>
    </row>
    <row r="1160">
      <c r="O1160" s="230"/>
      <c r="T1160" s="230"/>
      <c r="U1160" s="230"/>
      <c r="V1160" s="230"/>
      <c r="W1160" s="230"/>
    </row>
    <row r="1161">
      <c r="O1161" s="230"/>
      <c r="T1161" s="230"/>
      <c r="U1161" s="230"/>
      <c r="V1161" s="230"/>
      <c r="W1161" s="230"/>
    </row>
    <row r="1162">
      <c r="O1162" s="230"/>
      <c r="T1162" s="230"/>
      <c r="U1162" s="230"/>
      <c r="V1162" s="230"/>
      <c r="W1162" s="230"/>
    </row>
    <row r="1163">
      <c r="O1163" s="230"/>
      <c r="T1163" s="230"/>
      <c r="U1163" s="230"/>
      <c r="V1163" s="230"/>
      <c r="W1163" s="230"/>
    </row>
    <row r="1164">
      <c r="O1164" s="230"/>
      <c r="T1164" s="230"/>
      <c r="U1164" s="230"/>
      <c r="V1164" s="230"/>
      <c r="W1164" s="230"/>
    </row>
    <row r="1165">
      <c r="O1165" s="230"/>
      <c r="T1165" s="230"/>
      <c r="U1165" s="230"/>
      <c r="V1165" s="230"/>
      <c r="W1165" s="230"/>
    </row>
    <row r="1166">
      <c r="O1166" s="230"/>
      <c r="T1166" s="230"/>
      <c r="U1166" s="230"/>
      <c r="V1166" s="230"/>
      <c r="W1166" s="230"/>
    </row>
    <row r="1167">
      <c r="O1167" s="230"/>
      <c r="T1167" s="230"/>
      <c r="U1167" s="230"/>
      <c r="V1167" s="230"/>
      <c r="W1167" s="230"/>
    </row>
    <row r="1168">
      <c r="O1168" s="230"/>
      <c r="T1168" s="230"/>
      <c r="U1168" s="230"/>
      <c r="V1168" s="230"/>
      <c r="W1168" s="230"/>
    </row>
    <row r="1169">
      <c r="O1169" s="230"/>
      <c r="T1169" s="230"/>
      <c r="U1169" s="230"/>
      <c r="V1169" s="230"/>
      <c r="W1169" s="230"/>
    </row>
    <row r="1170">
      <c r="O1170" s="230"/>
      <c r="T1170" s="230"/>
      <c r="U1170" s="230"/>
      <c r="V1170" s="230"/>
      <c r="W1170" s="230"/>
    </row>
    <row r="1171">
      <c r="O1171" s="230"/>
      <c r="T1171" s="230"/>
      <c r="U1171" s="230"/>
      <c r="V1171" s="230"/>
      <c r="W1171" s="230"/>
    </row>
    <row r="1172">
      <c r="O1172" s="230"/>
      <c r="T1172" s="230"/>
      <c r="U1172" s="230"/>
      <c r="V1172" s="230"/>
      <c r="W1172" s="230"/>
    </row>
    <row r="1173">
      <c r="O1173" s="230"/>
      <c r="T1173" s="230"/>
      <c r="U1173" s="230"/>
      <c r="V1173" s="230"/>
      <c r="W1173" s="230"/>
    </row>
    <row r="1174">
      <c r="O1174" s="230"/>
      <c r="T1174" s="230"/>
      <c r="U1174" s="230"/>
      <c r="V1174" s="230"/>
      <c r="W1174" s="230"/>
    </row>
    <row r="1175">
      <c r="O1175" s="230"/>
      <c r="T1175" s="230"/>
      <c r="U1175" s="230"/>
      <c r="V1175" s="230"/>
      <c r="W1175" s="230"/>
    </row>
    <row r="1176">
      <c r="O1176" s="230"/>
      <c r="T1176" s="230"/>
      <c r="U1176" s="230"/>
      <c r="V1176" s="230"/>
      <c r="W1176" s="230"/>
    </row>
    <row r="1177">
      <c r="O1177" s="230"/>
      <c r="T1177" s="230"/>
      <c r="U1177" s="230"/>
      <c r="V1177" s="230"/>
      <c r="W1177" s="230"/>
    </row>
    <row r="1178">
      <c r="O1178" s="230"/>
      <c r="T1178" s="230"/>
      <c r="U1178" s="230"/>
      <c r="V1178" s="230"/>
      <c r="W1178" s="230"/>
    </row>
    <row r="1179">
      <c r="O1179" s="230"/>
      <c r="T1179" s="230"/>
      <c r="U1179" s="230"/>
      <c r="V1179" s="230"/>
      <c r="W1179" s="230"/>
    </row>
    <row r="1180">
      <c r="O1180" s="230"/>
      <c r="T1180" s="230"/>
      <c r="U1180" s="230"/>
      <c r="V1180" s="230"/>
      <c r="W1180" s="230"/>
    </row>
    <row r="1181">
      <c r="O1181" s="230"/>
      <c r="T1181" s="230"/>
      <c r="U1181" s="230"/>
      <c r="V1181" s="230"/>
      <c r="W1181" s="230"/>
    </row>
    <row r="1182">
      <c r="O1182" s="230"/>
      <c r="T1182" s="230"/>
      <c r="U1182" s="230"/>
      <c r="V1182" s="230"/>
      <c r="W1182" s="230"/>
    </row>
    <row r="1183">
      <c r="O1183" s="230"/>
      <c r="T1183" s="230"/>
      <c r="U1183" s="230"/>
      <c r="V1183" s="230"/>
      <c r="W1183" s="230"/>
    </row>
    <row r="1184">
      <c r="O1184" s="230"/>
      <c r="T1184" s="230"/>
      <c r="U1184" s="230"/>
      <c r="V1184" s="230"/>
      <c r="W1184" s="230"/>
    </row>
    <row r="1185">
      <c r="O1185" s="230"/>
      <c r="T1185" s="230"/>
      <c r="U1185" s="230"/>
      <c r="V1185" s="230"/>
      <c r="W1185" s="230"/>
    </row>
    <row r="1186">
      <c r="O1186" s="230"/>
      <c r="T1186" s="230"/>
      <c r="U1186" s="230"/>
      <c r="V1186" s="230"/>
      <c r="W1186" s="230"/>
    </row>
    <row r="1187">
      <c r="O1187" s="230"/>
      <c r="T1187" s="230"/>
      <c r="U1187" s="230"/>
      <c r="V1187" s="230"/>
      <c r="W1187" s="230"/>
    </row>
    <row r="1188">
      <c r="O1188" s="230"/>
      <c r="T1188" s="230"/>
      <c r="U1188" s="230"/>
      <c r="V1188" s="230"/>
      <c r="W1188" s="230"/>
    </row>
    <row r="1189">
      <c r="O1189" s="230"/>
      <c r="T1189" s="230"/>
      <c r="U1189" s="230"/>
      <c r="V1189" s="230"/>
      <c r="W1189" s="230"/>
    </row>
    <row r="1190">
      <c r="O1190" s="230"/>
      <c r="T1190" s="230"/>
      <c r="U1190" s="230"/>
      <c r="V1190" s="230"/>
      <c r="W1190" s="230"/>
    </row>
    <row r="1191">
      <c r="O1191" s="230"/>
      <c r="T1191" s="230"/>
      <c r="U1191" s="230"/>
      <c r="V1191" s="230"/>
      <c r="W1191" s="230"/>
    </row>
    <row r="1192">
      <c r="O1192" s="230"/>
      <c r="T1192" s="230"/>
      <c r="U1192" s="230"/>
      <c r="V1192" s="230"/>
      <c r="W1192" s="230"/>
    </row>
    <row r="1193">
      <c r="O1193" s="230"/>
      <c r="T1193" s="230"/>
      <c r="U1193" s="230"/>
      <c r="V1193" s="230"/>
      <c r="W1193" s="230"/>
    </row>
    <row r="1194">
      <c r="O1194" s="230"/>
      <c r="T1194" s="230"/>
      <c r="U1194" s="230"/>
      <c r="V1194" s="230"/>
      <c r="W1194" s="230"/>
    </row>
    <row r="1195">
      <c r="O1195" s="230"/>
      <c r="T1195" s="230"/>
      <c r="U1195" s="230"/>
      <c r="V1195" s="230"/>
      <c r="W1195" s="230"/>
    </row>
    <row r="1196">
      <c r="O1196" s="230"/>
      <c r="T1196" s="230"/>
      <c r="U1196" s="230"/>
      <c r="V1196" s="230"/>
      <c r="W1196" s="230"/>
    </row>
    <row r="1197">
      <c r="O1197" s="230"/>
      <c r="T1197" s="230"/>
      <c r="U1197" s="230"/>
      <c r="V1197" s="230"/>
      <c r="W1197" s="230"/>
    </row>
    <row r="1198">
      <c r="O1198" s="230"/>
      <c r="T1198" s="230"/>
      <c r="U1198" s="230"/>
      <c r="V1198" s="230"/>
      <c r="W1198" s="230"/>
    </row>
    <row r="1199">
      <c r="O1199" s="230"/>
      <c r="T1199" s="230"/>
      <c r="U1199" s="230"/>
      <c r="V1199" s="230"/>
      <c r="W1199" s="230"/>
    </row>
    <row r="1200">
      <c r="O1200" s="230"/>
      <c r="T1200" s="230"/>
      <c r="U1200" s="230"/>
      <c r="V1200" s="230"/>
      <c r="W1200" s="230"/>
    </row>
    <row r="1201">
      <c r="O1201" s="230"/>
      <c r="T1201" s="230"/>
      <c r="U1201" s="230"/>
      <c r="V1201" s="230"/>
      <c r="W1201" s="230"/>
    </row>
    <row r="1202">
      <c r="O1202" s="230"/>
      <c r="T1202" s="230"/>
      <c r="U1202" s="230"/>
      <c r="V1202" s="230"/>
      <c r="W1202" s="230"/>
    </row>
    <row r="1203">
      <c r="O1203" s="230"/>
      <c r="T1203" s="230"/>
      <c r="U1203" s="230"/>
      <c r="V1203" s="230"/>
      <c r="W1203" s="230"/>
    </row>
    <row r="1204">
      <c r="O1204" s="230"/>
      <c r="T1204" s="230"/>
      <c r="U1204" s="230"/>
      <c r="V1204" s="230"/>
      <c r="W1204" s="230"/>
    </row>
    <row r="1205">
      <c r="O1205" s="230"/>
      <c r="T1205" s="230"/>
      <c r="U1205" s="230"/>
      <c r="V1205" s="230"/>
      <c r="W1205" s="230"/>
    </row>
    <row r="1206">
      <c r="O1206" s="230"/>
      <c r="T1206" s="230"/>
      <c r="U1206" s="230"/>
      <c r="V1206" s="230"/>
      <c r="W1206" s="230"/>
    </row>
    <row r="1207">
      <c r="O1207" s="230"/>
      <c r="T1207" s="230"/>
      <c r="U1207" s="230"/>
      <c r="V1207" s="230"/>
      <c r="W1207" s="230"/>
    </row>
    <row r="1208">
      <c r="O1208" s="230"/>
      <c r="T1208" s="230"/>
      <c r="U1208" s="230"/>
      <c r="V1208" s="230"/>
      <c r="W1208" s="230"/>
    </row>
    <row r="1209">
      <c r="O1209" s="230"/>
      <c r="T1209" s="230"/>
      <c r="U1209" s="230"/>
      <c r="V1209" s="230"/>
      <c r="W1209" s="230"/>
    </row>
    <row r="1210">
      <c r="O1210" s="230"/>
      <c r="T1210" s="230"/>
      <c r="U1210" s="230"/>
      <c r="V1210" s="230"/>
      <c r="W1210" s="230"/>
    </row>
    <row r="1211">
      <c r="O1211" s="230"/>
      <c r="T1211" s="230"/>
      <c r="U1211" s="230"/>
      <c r="V1211" s="230"/>
      <c r="W1211" s="230"/>
    </row>
    <row r="1212">
      <c r="O1212" s="230"/>
      <c r="T1212" s="230"/>
      <c r="U1212" s="230"/>
      <c r="V1212" s="230"/>
      <c r="W1212" s="230"/>
    </row>
    <row r="1213">
      <c r="O1213" s="230"/>
      <c r="T1213" s="230"/>
      <c r="U1213" s="230"/>
      <c r="V1213" s="230"/>
      <c r="W1213" s="230"/>
    </row>
    <row r="1214">
      <c r="O1214" s="230"/>
      <c r="T1214" s="230"/>
      <c r="U1214" s="230"/>
      <c r="V1214" s="230"/>
      <c r="W1214" s="230"/>
    </row>
    <row r="1215">
      <c r="O1215" s="230"/>
      <c r="T1215" s="230"/>
      <c r="U1215" s="230"/>
      <c r="V1215" s="230"/>
      <c r="W1215" s="230"/>
    </row>
    <row r="1216">
      <c r="O1216" s="230"/>
      <c r="T1216" s="230"/>
      <c r="U1216" s="230"/>
      <c r="V1216" s="230"/>
      <c r="W1216" s="230"/>
    </row>
    <row r="1217">
      <c r="O1217" s="230"/>
      <c r="T1217" s="230"/>
      <c r="U1217" s="230"/>
      <c r="V1217" s="230"/>
      <c r="W1217" s="230"/>
    </row>
    <row r="1218">
      <c r="O1218" s="230"/>
      <c r="T1218" s="230"/>
      <c r="U1218" s="230"/>
      <c r="V1218" s="230"/>
      <c r="W1218" s="230"/>
    </row>
    <row r="1219">
      <c r="O1219" s="230"/>
      <c r="T1219" s="230"/>
      <c r="U1219" s="230"/>
      <c r="V1219" s="230"/>
      <c r="W1219" s="230"/>
    </row>
    <row r="1220">
      <c r="O1220" s="230"/>
      <c r="T1220" s="230"/>
      <c r="U1220" s="230"/>
      <c r="V1220" s="230"/>
      <c r="W1220" s="230"/>
    </row>
    <row r="1221">
      <c r="O1221" s="230"/>
      <c r="T1221" s="230"/>
      <c r="U1221" s="230"/>
      <c r="V1221" s="230"/>
      <c r="W1221" s="230"/>
    </row>
    <row r="1222">
      <c r="O1222" s="230"/>
      <c r="T1222" s="230"/>
      <c r="U1222" s="230"/>
      <c r="V1222" s="230"/>
      <c r="W1222" s="230"/>
    </row>
    <row r="1223">
      <c r="O1223" s="230"/>
      <c r="T1223" s="230"/>
      <c r="U1223" s="230"/>
      <c r="V1223" s="230"/>
      <c r="W1223" s="230"/>
    </row>
    <row r="1224">
      <c r="O1224" s="230"/>
      <c r="T1224" s="230"/>
      <c r="U1224" s="230"/>
      <c r="V1224" s="230"/>
      <c r="W1224" s="230"/>
    </row>
    <row r="1225">
      <c r="O1225" s="230"/>
      <c r="T1225" s="230"/>
      <c r="U1225" s="230"/>
      <c r="V1225" s="230"/>
      <c r="W1225" s="230"/>
    </row>
    <row r="1226">
      <c r="O1226" s="230"/>
      <c r="T1226" s="230"/>
      <c r="U1226" s="230"/>
      <c r="V1226" s="230"/>
      <c r="W1226" s="230"/>
    </row>
    <row r="1227">
      <c r="O1227" s="230"/>
      <c r="T1227" s="230"/>
      <c r="U1227" s="230"/>
      <c r="V1227" s="230"/>
      <c r="W1227" s="230"/>
    </row>
    <row r="1228">
      <c r="O1228" s="230"/>
      <c r="T1228" s="230"/>
      <c r="U1228" s="230"/>
      <c r="V1228" s="230"/>
      <c r="W1228" s="230"/>
    </row>
    <row r="1229">
      <c r="O1229" s="230"/>
      <c r="T1229" s="230"/>
      <c r="U1229" s="230"/>
      <c r="V1229" s="230"/>
      <c r="W1229" s="230"/>
    </row>
    <row r="1230">
      <c r="O1230" s="230"/>
      <c r="T1230" s="230"/>
      <c r="U1230" s="230"/>
      <c r="V1230" s="230"/>
      <c r="W1230" s="230"/>
    </row>
    <row r="1231">
      <c r="O1231" s="230"/>
      <c r="T1231" s="230"/>
      <c r="U1231" s="230"/>
      <c r="V1231" s="230"/>
      <c r="W1231" s="230"/>
    </row>
    <row r="1232">
      <c r="O1232" s="230"/>
      <c r="T1232" s="230"/>
      <c r="U1232" s="230"/>
      <c r="V1232" s="230"/>
      <c r="W1232" s="230"/>
    </row>
    <row r="1233">
      <c r="O1233" s="230"/>
      <c r="T1233" s="230"/>
      <c r="U1233" s="230"/>
      <c r="V1233" s="230"/>
      <c r="W1233" s="230"/>
    </row>
    <row r="1234">
      <c r="O1234" s="230"/>
      <c r="T1234" s="230"/>
      <c r="U1234" s="230"/>
      <c r="V1234" s="230"/>
      <c r="W1234" s="230"/>
    </row>
    <row r="1235">
      <c r="O1235" s="230"/>
      <c r="T1235" s="230"/>
      <c r="U1235" s="230"/>
      <c r="V1235" s="230"/>
      <c r="W1235" s="230"/>
    </row>
    <row r="1236">
      <c r="O1236" s="230"/>
      <c r="T1236" s="230"/>
      <c r="U1236" s="230"/>
      <c r="V1236" s="230"/>
      <c r="W1236" s="230"/>
    </row>
    <row r="1237">
      <c r="O1237" s="230"/>
      <c r="T1237" s="230"/>
      <c r="U1237" s="230"/>
      <c r="V1237" s="230"/>
      <c r="W1237" s="230"/>
    </row>
    <row r="1238">
      <c r="O1238" s="230"/>
      <c r="T1238" s="230"/>
      <c r="U1238" s="230"/>
      <c r="V1238" s="230"/>
      <c r="W1238" s="230"/>
    </row>
    <row r="1239">
      <c r="O1239" s="230"/>
      <c r="T1239" s="230"/>
      <c r="U1239" s="230"/>
      <c r="V1239" s="230"/>
      <c r="W1239" s="230"/>
    </row>
    <row r="1240">
      <c r="O1240" s="230"/>
      <c r="T1240" s="230"/>
      <c r="U1240" s="230"/>
      <c r="V1240" s="230"/>
      <c r="W1240" s="230"/>
    </row>
    <row r="1241">
      <c r="O1241" s="230"/>
      <c r="T1241" s="230"/>
      <c r="U1241" s="230"/>
      <c r="V1241" s="230"/>
      <c r="W1241" s="230"/>
    </row>
    <row r="1242">
      <c r="O1242" s="230"/>
      <c r="T1242" s="230"/>
      <c r="U1242" s="230"/>
      <c r="V1242" s="230"/>
      <c r="W1242" s="230"/>
    </row>
    <row r="1243">
      <c r="O1243" s="230"/>
      <c r="T1243" s="230"/>
      <c r="U1243" s="230"/>
      <c r="V1243" s="230"/>
      <c r="W1243" s="230"/>
    </row>
    <row r="1244">
      <c r="O1244" s="230"/>
      <c r="T1244" s="230"/>
      <c r="U1244" s="230"/>
      <c r="V1244" s="230"/>
      <c r="W1244" s="230"/>
    </row>
    <row r="1245">
      <c r="O1245" s="230"/>
      <c r="T1245" s="230"/>
      <c r="U1245" s="230"/>
      <c r="V1245" s="230"/>
      <c r="W1245" s="230"/>
    </row>
    <row r="1246">
      <c r="O1246" s="230"/>
      <c r="T1246" s="230"/>
      <c r="U1246" s="230"/>
      <c r="V1246" s="230"/>
      <c r="W1246" s="230"/>
    </row>
    <row r="1247">
      <c r="O1247" s="230"/>
      <c r="T1247" s="230"/>
      <c r="U1247" s="230"/>
      <c r="V1247" s="230"/>
      <c r="W1247" s="230"/>
    </row>
    <row r="1248">
      <c r="O1248" s="230"/>
      <c r="T1248" s="230"/>
      <c r="U1248" s="230"/>
      <c r="V1248" s="230"/>
      <c r="W1248" s="230"/>
    </row>
    <row r="1249">
      <c r="O1249" s="230"/>
      <c r="T1249" s="230"/>
      <c r="U1249" s="230"/>
      <c r="V1249" s="230"/>
      <c r="W1249" s="230"/>
    </row>
    <row r="1250">
      <c r="O1250" s="230"/>
      <c r="T1250" s="230"/>
      <c r="U1250" s="230"/>
      <c r="V1250" s="230"/>
      <c r="W1250" s="230"/>
    </row>
    <row r="1251">
      <c r="O1251" s="230"/>
      <c r="T1251" s="230"/>
      <c r="U1251" s="230"/>
      <c r="V1251" s="230"/>
      <c r="W1251" s="230"/>
    </row>
    <row r="1252">
      <c r="O1252" s="230"/>
      <c r="T1252" s="230"/>
      <c r="U1252" s="230"/>
      <c r="V1252" s="230"/>
      <c r="W1252" s="230"/>
    </row>
    <row r="1253">
      <c r="O1253" s="230"/>
      <c r="T1253" s="230"/>
      <c r="U1253" s="230"/>
      <c r="V1253" s="230"/>
      <c r="W1253" s="230"/>
    </row>
    <row r="1254">
      <c r="O1254" s="230"/>
      <c r="T1254" s="230"/>
      <c r="U1254" s="230"/>
      <c r="V1254" s="230"/>
      <c r="W1254" s="230"/>
    </row>
    <row r="1255">
      <c r="O1255" s="230"/>
      <c r="T1255" s="230"/>
      <c r="U1255" s="230"/>
      <c r="V1255" s="230"/>
      <c r="W1255" s="230"/>
    </row>
    <row r="1256">
      <c r="O1256" s="230"/>
      <c r="T1256" s="230"/>
      <c r="U1256" s="230"/>
      <c r="V1256" s="230"/>
      <c r="W1256" s="230"/>
    </row>
    <row r="1257">
      <c r="O1257" s="230"/>
      <c r="T1257" s="230"/>
      <c r="U1257" s="230"/>
      <c r="V1257" s="230"/>
      <c r="W1257" s="230"/>
    </row>
    <row r="1258">
      <c r="O1258" s="230"/>
      <c r="T1258" s="230"/>
      <c r="U1258" s="230"/>
      <c r="V1258" s="230"/>
      <c r="W1258" s="230"/>
    </row>
    <row r="1259">
      <c r="O1259" s="230"/>
      <c r="T1259" s="230"/>
      <c r="U1259" s="230"/>
      <c r="V1259" s="230"/>
      <c r="W1259" s="230"/>
    </row>
    <row r="1260">
      <c r="O1260" s="230"/>
      <c r="T1260" s="230"/>
      <c r="U1260" s="230"/>
      <c r="V1260" s="230"/>
      <c r="W1260" s="230"/>
    </row>
    <row r="1261">
      <c r="O1261" s="230"/>
      <c r="T1261" s="230"/>
      <c r="U1261" s="230"/>
      <c r="V1261" s="230"/>
      <c r="W1261" s="230"/>
    </row>
    <row r="1262">
      <c r="O1262" s="230"/>
      <c r="T1262" s="230"/>
      <c r="U1262" s="230"/>
      <c r="V1262" s="230"/>
      <c r="W1262" s="230"/>
    </row>
    <row r="1263">
      <c r="O1263" s="230"/>
      <c r="T1263" s="230"/>
      <c r="U1263" s="230"/>
      <c r="V1263" s="230"/>
      <c r="W1263" s="230"/>
    </row>
    <row r="1264">
      <c r="O1264" s="230"/>
      <c r="T1264" s="230"/>
      <c r="U1264" s="230"/>
      <c r="V1264" s="230"/>
      <c r="W1264" s="230"/>
    </row>
    <row r="1265">
      <c r="O1265" s="230"/>
      <c r="T1265" s="230"/>
      <c r="U1265" s="230"/>
      <c r="V1265" s="230"/>
      <c r="W1265" s="230"/>
    </row>
    <row r="1266">
      <c r="O1266" s="230"/>
      <c r="T1266" s="230"/>
      <c r="U1266" s="230"/>
      <c r="V1266" s="230"/>
      <c r="W1266" s="230"/>
    </row>
    <row r="1267">
      <c r="O1267" s="230"/>
      <c r="T1267" s="230"/>
      <c r="U1267" s="230"/>
      <c r="V1267" s="230"/>
      <c r="W1267" s="230"/>
    </row>
    <row r="1268">
      <c r="O1268" s="230"/>
      <c r="T1268" s="230"/>
      <c r="U1268" s="230"/>
      <c r="V1268" s="230"/>
      <c r="W1268" s="230"/>
    </row>
    <row r="1269">
      <c r="O1269" s="230"/>
      <c r="T1269" s="230"/>
      <c r="U1269" s="230"/>
      <c r="V1269" s="230"/>
      <c r="W1269" s="230"/>
    </row>
    <row r="1270">
      <c r="O1270" s="230"/>
      <c r="T1270" s="230"/>
      <c r="U1270" s="230"/>
      <c r="V1270" s="230"/>
      <c r="W1270" s="230"/>
    </row>
    <row r="1271">
      <c r="O1271" s="230"/>
      <c r="T1271" s="230"/>
      <c r="U1271" s="230"/>
      <c r="V1271" s="230"/>
      <c r="W1271" s="230"/>
    </row>
    <row r="1272">
      <c r="O1272" s="230"/>
      <c r="T1272" s="230"/>
      <c r="U1272" s="230"/>
      <c r="V1272" s="230"/>
      <c r="W1272" s="230"/>
    </row>
    <row r="1273">
      <c r="O1273" s="230"/>
      <c r="T1273" s="230"/>
      <c r="U1273" s="230"/>
      <c r="V1273" s="230"/>
      <c r="W1273" s="230"/>
    </row>
    <row r="1274">
      <c r="O1274" s="230"/>
      <c r="T1274" s="230"/>
      <c r="U1274" s="230"/>
      <c r="V1274" s="230"/>
      <c r="W1274" s="230"/>
    </row>
    <row r="1275">
      <c r="O1275" s="230"/>
      <c r="T1275" s="230"/>
      <c r="U1275" s="230"/>
      <c r="V1275" s="230"/>
      <c r="W1275" s="230"/>
    </row>
    <row r="1276">
      <c r="O1276" s="230"/>
      <c r="T1276" s="230"/>
      <c r="U1276" s="230"/>
      <c r="V1276" s="230"/>
      <c r="W1276" s="230"/>
    </row>
    <row r="1277">
      <c r="O1277" s="230"/>
      <c r="T1277" s="230"/>
      <c r="U1277" s="230"/>
      <c r="V1277" s="230"/>
      <c r="W1277" s="230"/>
    </row>
    <row r="1278">
      <c r="O1278" s="230"/>
      <c r="T1278" s="230"/>
      <c r="U1278" s="230"/>
      <c r="V1278" s="230"/>
      <c r="W1278" s="230"/>
    </row>
    <row r="1279">
      <c r="O1279" s="230"/>
      <c r="T1279" s="230"/>
      <c r="U1279" s="230"/>
      <c r="V1279" s="230"/>
      <c r="W1279" s="230"/>
    </row>
    <row r="1280">
      <c r="O1280" s="230"/>
      <c r="T1280" s="230"/>
      <c r="U1280" s="230"/>
      <c r="V1280" s="230"/>
      <c r="W1280" s="230"/>
    </row>
    <row r="1281">
      <c r="O1281" s="230"/>
      <c r="T1281" s="230"/>
      <c r="U1281" s="230"/>
      <c r="V1281" s="230"/>
      <c r="W1281" s="230"/>
    </row>
    <row r="1282">
      <c r="O1282" s="230"/>
      <c r="T1282" s="230"/>
      <c r="U1282" s="230"/>
      <c r="V1282" s="230"/>
      <c r="W1282" s="230"/>
    </row>
    <row r="1283">
      <c r="O1283" s="230"/>
      <c r="T1283" s="230"/>
      <c r="U1283" s="230"/>
      <c r="V1283" s="230"/>
      <c r="W1283" s="230"/>
    </row>
    <row r="1284">
      <c r="O1284" s="230"/>
      <c r="T1284" s="230"/>
      <c r="U1284" s="230"/>
      <c r="V1284" s="230"/>
      <c r="W1284" s="230"/>
    </row>
    <row r="1285">
      <c r="O1285" s="230"/>
      <c r="T1285" s="230"/>
      <c r="U1285" s="230"/>
      <c r="V1285" s="230"/>
      <c r="W1285" s="230"/>
    </row>
    <row r="1286">
      <c r="O1286" s="230"/>
      <c r="T1286" s="230"/>
      <c r="U1286" s="230"/>
      <c r="V1286" s="230"/>
      <c r="W1286" s="230"/>
    </row>
    <row r="1287">
      <c r="O1287" s="230"/>
      <c r="T1287" s="230"/>
      <c r="U1287" s="230"/>
      <c r="V1287" s="230"/>
      <c r="W1287" s="230"/>
    </row>
    <row r="1288">
      <c r="O1288" s="230"/>
      <c r="T1288" s="230"/>
      <c r="U1288" s="230"/>
      <c r="V1288" s="230"/>
      <c r="W1288" s="230"/>
    </row>
    <row r="1289">
      <c r="O1289" s="230"/>
      <c r="T1289" s="230"/>
      <c r="U1289" s="230"/>
      <c r="V1289" s="230"/>
      <c r="W1289" s="230"/>
    </row>
    <row r="1290">
      <c r="O1290" s="230"/>
      <c r="T1290" s="230"/>
      <c r="U1290" s="230"/>
      <c r="V1290" s="230"/>
      <c r="W1290" s="230"/>
    </row>
    <row r="1291">
      <c r="O1291" s="230"/>
      <c r="T1291" s="230"/>
      <c r="U1291" s="230"/>
      <c r="V1291" s="230"/>
      <c r="W1291" s="230"/>
    </row>
    <row r="1292">
      <c r="O1292" s="230"/>
      <c r="T1292" s="230"/>
      <c r="U1292" s="230"/>
      <c r="V1292" s="230"/>
      <c r="W1292" s="230"/>
    </row>
    <row r="1293">
      <c r="O1293" s="230"/>
      <c r="T1293" s="230"/>
      <c r="U1293" s="230"/>
      <c r="V1293" s="230"/>
      <c r="W1293" s="230"/>
    </row>
    <row r="1294">
      <c r="O1294" s="230"/>
      <c r="T1294" s="230"/>
      <c r="U1294" s="230"/>
      <c r="V1294" s="230"/>
      <c r="W1294" s="230"/>
    </row>
    <row r="1295">
      <c r="O1295" s="230"/>
      <c r="T1295" s="230"/>
      <c r="U1295" s="230"/>
      <c r="V1295" s="230"/>
      <c r="W1295" s="230"/>
    </row>
    <row r="1296">
      <c r="O1296" s="230"/>
      <c r="T1296" s="230"/>
      <c r="U1296" s="230"/>
      <c r="V1296" s="230"/>
      <c r="W1296" s="230"/>
    </row>
    <row r="1297">
      <c r="O1297" s="230"/>
      <c r="T1297" s="230"/>
      <c r="U1297" s="230"/>
      <c r="V1297" s="230"/>
      <c r="W1297" s="230"/>
    </row>
    <row r="1298">
      <c r="O1298" s="230"/>
      <c r="T1298" s="230"/>
      <c r="U1298" s="230"/>
      <c r="V1298" s="230"/>
      <c r="W1298" s="230"/>
    </row>
    <row r="1299">
      <c r="O1299" s="230"/>
      <c r="T1299" s="230"/>
      <c r="U1299" s="230"/>
      <c r="V1299" s="230"/>
      <c r="W1299" s="230"/>
    </row>
    <row r="1300">
      <c r="O1300" s="230"/>
      <c r="T1300" s="230"/>
      <c r="U1300" s="230"/>
      <c r="V1300" s="230"/>
      <c r="W1300" s="230"/>
    </row>
    <row r="1301">
      <c r="O1301" s="230"/>
      <c r="T1301" s="230"/>
      <c r="U1301" s="230"/>
      <c r="V1301" s="230"/>
      <c r="W1301" s="230"/>
    </row>
    <row r="1302">
      <c r="O1302" s="230"/>
      <c r="T1302" s="230"/>
      <c r="U1302" s="230"/>
      <c r="V1302" s="230"/>
      <c r="W1302" s="230"/>
    </row>
    <row r="1303">
      <c r="O1303" s="230"/>
      <c r="T1303" s="230"/>
      <c r="U1303" s="230"/>
      <c r="V1303" s="230"/>
      <c r="W1303" s="230"/>
    </row>
    <row r="1304">
      <c r="O1304" s="230"/>
      <c r="T1304" s="230"/>
      <c r="U1304" s="230"/>
      <c r="V1304" s="230"/>
      <c r="W1304" s="230"/>
    </row>
    <row r="1305">
      <c r="O1305" s="230"/>
      <c r="T1305" s="230"/>
      <c r="U1305" s="230"/>
      <c r="V1305" s="230"/>
      <c r="W1305" s="230"/>
    </row>
    <row r="1306">
      <c r="O1306" s="230"/>
      <c r="T1306" s="230"/>
      <c r="U1306" s="230"/>
      <c r="V1306" s="230"/>
      <c r="W1306" s="230"/>
    </row>
    <row r="1307">
      <c r="O1307" s="230"/>
      <c r="T1307" s="230"/>
      <c r="U1307" s="230"/>
      <c r="V1307" s="230"/>
      <c r="W1307" s="230"/>
    </row>
    <row r="1308">
      <c r="O1308" s="230"/>
      <c r="T1308" s="230"/>
      <c r="U1308" s="230"/>
      <c r="V1308" s="230"/>
      <c r="W1308" s="230"/>
    </row>
    <row r="1309">
      <c r="O1309" s="230"/>
      <c r="T1309" s="230"/>
      <c r="U1309" s="230"/>
      <c r="V1309" s="230"/>
      <c r="W1309" s="230"/>
    </row>
    <row r="1310">
      <c r="O1310" s="230"/>
      <c r="T1310" s="230"/>
      <c r="U1310" s="230"/>
      <c r="V1310" s="230"/>
      <c r="W1310" s="230"/>
    </row>
    <row r="1311">
      <c r="O1311" s="230"/>
      <c r="T1311" s="230"/>
      <c r="U1311" s="230"/>
      <c r="V1311" s="230"/>
      <c r="W1311" s="230"/>
    </row>
    <row r="1312">
      <c r="O1312" s="230"/>
      <c r="T1312" s="230"/>
      <c r="U1312" s="230"/>
      <c r="V1312" s="230"/>
      <c r="W1312" s="230"/>
    </row>
    <row r="1313">
      <c r="O1313" s="230"/>
      <c r="T1313" s="230"/>
      <c r="U1313" s="230"/>
      <c r="V1313" s="230"/>
      <c r="W1313" s="230"/>
    </row>
    <row r="1314">
      <c r="O1314" s="230"/>
      <c r="T1314" s="230"/>
      <c r="U1314" s="230"/>
      <c r="V1314" s="230"/>
      <c r="W1314" s="230"/>
    </row>
    <row r="1315">
      <c r="O1315" s="230"/>
      <c r="T1315" s="230"/>
      <c r="U1315" s="230"/>
      <c r="V1315" s="230"/>
      <c r="W1315" s="230"/>
    </row>
    <row r="1316">
      <c r="O1316" s="230"/>
      <c r="T1316" s="230"/>
      <c r="U1316" s="230"/>
      <c r="V1316" s="230"/>
      <c r="W1316" s="230"/>
    </row>
    <row r="1317">
      <c r="O1317" s="230"/>
      <c r="T1317" s="230"/>
      <c r="U1317" s="230"/>
      <c r="V1317" s="230"/>
      <c r="W1317" s="230"/>
    </row>
    <row r="1318">
      <c r="O1318" s="230"/>
      <c r="T1318" s="230"/>
      <c r="U1318" s="230"/>
      <c r="V1318" s="230"/>
      <c r="W1318" s="230"/>
    </row>
    <row r="1319">
      <c r="O1319" s="230"/>
      <c r="T1319" s="230"/>
      <c r="U1319" s="230"/>
      <c r="V1319" s="230"/>
      <c r="W1319" s="230"/>
    </row>
    <row r="1320">
      <c r="O1320" s="230"/>
      <c r="T1320" s="230"/>
      <c r="U1320" s="230"/>
      <c r="V1320" s="230"/>
      <c r="W1320" s="230"/>
    </row>
    <row r="1321">
      <c r="O1321" s="230"/>
      <c r="T1321" s="230"/>
      <c r="U1321" s="230"/>
      <c r="V1321" s="230"/>
      <c r="W1321" s="230"/>
    </row>
    <row r="1322">
      <c r="O1322" s="230"/>
      <c r="T1322" s="230"/>
      <c r="U1322" s="230"/>
      <c r="V1322" s="230"/>
      <c r="W1322" s="230"/>
    </row>
    <row r="1323">
      <c r="O1323" s="230"/>
      <c r="T1323" s="230"/>
      <c r="U1323" s="230"/>
      <c r="V1323" s="230"/>
      <c r="W1323" s="230"/>
    </row>
    <row r="1324">
      <c r="O1324" s="230"/>
      <c r="T1324" s="230"/>
      <c r="U1324" s="230"/>
      <c r="V1324" s="230"/>
      <c r="W1324" s="230"/>
    </row>
    <row r="1325">
      <c r="O1325" s="230"/>
      <c r="T1325" s="230"/>
      <c r="U1325" s="230"/>
      <c r="V1325" s="230"/>
      <c r="W1325" s="230"/>
    </row>
    <row r="1326">
      <c r="O1326" s="230"/>
      <c r="T1326" s="230"/>
      <c r="U1326" s="230"/>
      <c r="V1326" s="230"/>
      <c r="W1326" s="230"/>
    </row>
    <row r="1327">
      <c r="O1327" s="230"/>
      <c r="T1327" s="230"/>
      <c r="U1327" s="230"/>
      <c r="V1327" s="230"/>
      <c r="W1327" s="230"/>
    </row>
    <row r="1328">
      <c r="O1328" s="230"/>
      <c r="T1328" s="230"/>
      <c r="U1328" s="230"/>
      <c r="V1328" s="230"/>
      <c r="W1328" s="230"/>
    </row>
    <row r="1329">
      <c r="O1329" s="230"/>
      <c r="T1329" s="230"/>
      <c r="U1329" s="230"/>
      <c r="V1329" s="230"/>
      <c r="W1329" s="230"/>
    </row>
    <row r="1330">
      <c r="O1330" s="230"/>
      <c r="T1330" s="230"/>
      <c r="U1330" s="230"/>
      <c r="V1330" s="230"/>
      <c r="W1330" s="230"/>
    </row>
    <row r="1331">
      <c r="O1331" s="230"/>
      <c r="T1331" s="230"/>
      <c r="U1331" s="230"/>
      <c r="V1331" s="230"/>
      <c r="W1331" s="230"/>
    </row>
    <row r="1332">
      <c r="O1332" s="230"/>
      <c r="T1332" s="230"/>
      <c r="U1332" s="230"/>
      <c r="V1332" s="230"/>
      <c r="W1332" s="230"/>
    </row>
    <row r="1333">
      <c r="O1333" s="230"/>
      <c r="T1333" s="230"/>
      <c r="U1333" s="230"/>
      <c r="V1333" s="230"/>
      <c r="W1333" s="230"/>
    </row>
    <row r="1334">
      <c r="O1334" s="230"/>
      <c r="T1334" s="230"/>
      <c r="U1334" s="230"/>
      <c r="V1334" s="230"/>
      <c r="W1334" s="230"/>
    </row>
    <row r="1335">
      <c r="O1335" s="230"/>
      <c r="T1335" s="230"/>
      <c r="U1335" s="230"/>
      <c r="V1335" s="230"/>
      <c r="W1335" s="230"/>
    </row>
    <row r="1336">
      <c r="O1336" s="230"/>
      <c r="T1336" s="230"/>
      <c r="U1336" s="230"/>
      <c r="V1336" s="230"/>
      <c r="W1336" s="230"/>
    </row>
    <row r="1337">
      <c r="O1337" s="230"/>
      <c r="T1337" s="230"/>
      <c r="U1337" s="230"/>
      <c r="V1337" s="230"/>
      <c r="W1337" s="230"/>
    </row>
    <row r="1338">
      <c r="O1338" s="230"/>
      <c r="T1338" s="230"/>
      <c r="U1338" s="230"/>
      <c r="V1338" s="230"/>
      <c r="W1338" s="230"/>
    </row>
    <row r="1339">
      <c r="O1339" s="230"/>
      <c r="T1339" s="230"/>
      <c r="U1339" s="230"/>
      <c r="V1339" s="230"/>
      <c r="W1339" s="230"/>
    </row>
    <row r="1340">
      <c r="O1340" s="230"/>
      <c r="T1340" s="230"/>
      <c r="U1340" s="230"/>
      <c r="V1340" s="230"/>
      <c r="W1340" s="230"/>
    </row>
    <row r="1341">
      <c r="O1341" s="230"/>
      <c r="T1341" s="230"/>
      <c r="U1341" s="230"/>
      <c r="V1341" s="230"/>
      <c r="W1341" s="230"/>
    </row>
    <row r="1342">
      <c r="O1342" s="230"/>
      <c r="T1342" s="230"/>
      <c r="U1342" s="230"/>
      <c r="V1342" s="230"/>
      <c r="W1342" s="230"/>
    </row>
    <row r="1343">
      <c r="O1343" s="230"/>
      <c r="T1343" s="230"/>
      <c r="U1343" s="230"/>
      <c r="V1343" s="230"/>
      <c r="W1343" s="230"/>
    </row>
    <row r="1344">
      <c r="O1344" s="230"/>
      <c r="T1344" s="230"/>
      <c r="U1344" s="230"/>
      <c r="V1344" s="230"/>
      <c r="W1344" s="230"/>
    </row>
    <row r="1345">
      <c r="O1345" s="230"/>
      <c r="T1345" s="230"/>
      <c r="U1345" s="230"/>
      <c r="V1345" s="230"/>
      <c r="W1345" s="230"/>
    </row>
    <row r="1346">
      <c r="O1346" s="230"/>
      <c r="T1346" s="230"/>
      <c r="U1346" s="230"/>
      <c r="V1346" s="230"/>
      <c r="W1346" s="230"/>
    </row>
    <row r="1347">
      <c r="O1347" s="230"/>
      <c r="T1347" s="230"/>
      <c r="U1347" s="230"/>
      <c r="V1347" s="230"/>
      <c r="W1347" s="230"/>
    </row>
    <row r="1348">
      <c r="O1348" s="230"/>
      <c r="T1348" s="230"/>
      <c r="U1348" s="230"/>
      <c r="V1348" s="230"/>
      <c r="W1348" s="230"/>
    </row>
    <row r="1349">
      <c r="O1349" s="230"/>
      <c r="T1349" s="230"/>
      <c r="U1349" s="230"/>
      <c r="V1349" s="230"/>
      <c r="W1349" s="230"/>
    </row>
    <row r="1350">
      <c r="O1350" s="230"/>
      <c r="T1350" s="230"/>
      <c r="U1350" s="230"/>
      <c r="V1350" s="230"/>
      <c r="W1350" s="230"/>
    </row>
    <row r="1351">
      <c r="O1351" s="230"/>
      <c r="T1351" s="230"/>
      <c r="U1351" s="230"/>
      <c r="V1351" s="230"/>
      <c r="W1351" s="230"/>
    </row>
    <row r="1352">
      <c r="O1352" s="230"/>
      <c r="T1352" s="230"/>
      <c r="U1352" s="230"/>
      <c r="V1352" s="230"/>
      <c r="W1352" s="230"/>
    </row>
    <row r="1353">
      <c r="O1353" s="230"/>
      <c r="T1353" s="230"/>
      <c r="U1353" s="230"/>
      <c r="V1353" s="230"/>
      <c r="W1353" s="230"/>
    </row>
    <row r="1354">
      <c r="O1354" s="230"/>
      <c r="T1354" s="230"/>
      <c r="U1354" s="230"/>
      <c r="V1354" s="230"/>
      <c r="W1354" s="230"/>
    </row>
    <row r="1355">
      <c r="O1355" s="230"/>
      <c r="T1355" s="230"/>
      <c r="U1355" s="230"/>
      <c r="V1355" s="230"/>
      <c r="W1355" s="230"/>
    </row>
    <row r="1356">
      <c r="O1356" s="230"/>
      <c r="T1356" s="230"/>
      <c r="U1356" s="230"/>
      <c r="V1356" s="230"/>
      <c r="W1356" s="230"/>
    </row>
    <row r="1357">
      <c r="O1357" s="230"/>
      <c r="T1357" s="230"/>
      <c r="U1357" s="230"/>
      <c r="V1357" s="230"/>
      <c r="W1357" s="230"/>
    </row>
    <row r="1358">
      <c r="O1358" s="230"/>
      <c r="T1358" s="230"/>
      <c r="U1358" s="230"/>
      <c r="V1358" s="230"/>
      <c r="W1358" s="230"/>
    </row>
    <row r="1359">
      <c r="O1359" s="230"/>
      <c r="T1359" s="230"/>
      <c r="U1359" s="230"/>
      <c r="V1359" s="230"/>
      <c r="W1359" s="230"/>
    </row>
    <row r="1360">
      <c r="O1360" s="230"/>
      <c r="T1360" s="230"/>
      <c r="U1360" s="230"/>
      <c r="V1360" s="230"/>
      <c r="W1360" s="230"/>
    </row>
    <row r="1361">
      <c r="O1361" s="230"/>
      <c r="T1361" s="230"/>
      <c r="U1361" s="230"/>
      <c r="V1361" s="230"/>
      <c r="W1361" s="230"/>
    </row>
    <row r="1362">
      <c r="O1362" s="230"/>
      <c r="T1362" s="230"/>
      <c r="U1362" s="230"/>
      <c r="V1362" s="230"/>
      <c r="W1362" s="230"/>
    </row>
    <row r="1363">
      <c r="O1363" s="230"/>
      <c r="T1363" s="230"/>
      <c r="U1363" s="230"/>
      <c r="V1363" s="230"/>
      <c r="W1363" s="230"/>
    </row>
    <row r="1364">
      <c r="O1364" s="230"/>
      <c r="T1364" s="230"/>
      <c r="U1364" s="230"/>
      <c r="V1364" s="230"/>
      <c r="W1364" s="230"/>
    </row>
    <row r="1365">
      <c r="O1365" s="230"/>
      <c r="T1365" s="230"/>
      <c r="U1365" s="230"/>
      <c r="V1365" s="230"/>
      <c r="W1365" s="230"/>
    </row>
    <row r="1366">
      <c r="O1366" s="230"/>
      <c r="T1366" s="230"/>
      <c r="U1366" s="230"/>
      <c r="V1366" s="230"/>
      <c r="W1366" s="230"/>
    </row>
    <row r="1367">
      <c r="O1367" s="230"/>
      <c r="T1367" s="230"/>
      <c r="U1367" s="230"/>
      <c r="V1367" s="230"/>
      <c r="W1367" s="230"/>
    </row>
    <row r="1368">
      <c r="O1368" s="230"/>
      <c r="T1368" s="230"/>
      <c r="U1368" s="230"/>
      <c r="V1368" s="230"/>
      <c r="W1368" s="230"/>
    </row>
    <row r="1369">
      <c r="O1369" s="230"/>
      <c r="T1369" s="230"/>
      <c r="U1369" s="230"/>
      <c r="V1369" s="230"/>
      <c r="W1369" s="230"/>
    </row>
    <row r="1370">
      <c r="O1370" s="230"/>
      <c r="T1370" s="230"/>
      <c r="U1370" s="230"/>
      <c r="V1370" s="230"/>
      <c r="W1370" s="230"/>
    </row>
    <row r="1371">
      <c r="O1371" s="230"/>
      <c r="T1371" s="230"/>
      <c r="U1371" s="230"/>
      <c r="V1371" s="230"/>
      <c r="W1371" s="230"/>
    </row>
    <row r="1372">
      <c r="O1372" s="230"/>
      <c r="T1372" s="230"/>
      <c r="U1372" s="230"/>
      <c r="V1372" s="230"/>
      <c r="W1372" s="230"/>
    </row>
    <row r="1373">
      <c r="O1373" s="230"/>
      <c r="T1373" s="230"/>
      <c r="U1373" s="230"/>
      <c r="V1373" s="230"/>
      <c r="W1373" s="230"/>
    </row>
    <row r="1374">
      <c r="O1374" s="230"/>
      <c r="T1374" s="230"/>
      <c r="U1374" s="230"/>
      <c r="V1374" s="230"/>
      <c r="W1374" s="230"/>
    </row>
    <row r="1375">
      <c r="O1375" s="230"/>
      <c r="T1375" s="230"/>
      <c r="U1375" s="230"/>
      <c r="V1375" s="230"/>
      <c r="W1375" s="230"/>
    </row>
    <row r="1376">
      <c r="O1376" s="230"/>
      <c r="T1376" s="230"/>
      <c r="U1376" s="230"/>
      <c r="V1376" s="230"/>
      <c r="W1376" s="230"/>
    </row>
    <row r="1377">
      <c r="O1377" s="230"/>
      <c r="T1377" s="230"/>
      <c r="U1377" s="230"/>
      <c r="V1377" s="230"/>
      <c r="W1377" s="230"/>
    </row>
    <row r="1378">
      <c r="O1378" s="230"/>
      <c r="T1378" s="230"/>
      <c r="U1378" s="230"/>
      <c r="V1378" s="230"/>
      <c r="W1378" s="230"/>
    </row>
    <row r="1379">
      <c r="O1379" s="230"/>
      <c r="T1379" s="230"/>
      <c r="U1379" s="230"/>
      <c r="V1379" s="230"/>
      <c r="W1379" s="230"/>
    </row>
    <row r="1380">
      <c r="O1380" s="230"/>
      <c r="T1380" s="230"/>
      <c r="U1380" s="230"/>
      <c r="V1380" s="230"/>
      <c r="W1380" s="230"/>
    </row>
    <row r="1381">
      <c r="O1381" s="230"/>
      <c r="T1381" s="230"/>
      <c r="U1381" s="230"/>
      <c r="V1381" s="230"/>
      <c r="W1381" s="230"/>
    </row>
    <row r="1382">
      <c r="O1382" s="230"/>
      <c r="T1382" s="230"/>
      <c r="U1382" s="230"/>
      <c r="V1382" s="230"/>
      <c r="W1382" s="230"/>
    </row>
    <row r="1383">
      <c r="O1383" s="230"/>
      <c r="T1383" s="230"/>
      <c r="U1383" s="230"/>
      <c r="V1383" s="230"/>
      <c r="W1383" s="230"/>
    </row>
    <row r="1384">
      <c r="O1384" s="230"/>
      <c r="T1384" s="230"/>
      <c r="U1384" s="230"/>
      <c r="V1384" s="230"/>
      <c r="W1384" s="230"/>
    </row>
    <row r="1385">
      <c r="O1385" s="230"/>
      <c r="T1385" s="230"/>
      <c r="U1385" s="230"/>
      <c r="V1385" s="230"/>
      <c r="W1385" s="230"/>
    </row>
    <row r="1386">
      <c r="O1386" s="230"/>
      <c r="T1386" s="230"/>
      <c r="U1386" s="230"/>
      <c r="V1386" s="230"/>
      <c r="W1386" s="230"/>
    </row>
    <row r="1387">
      <c r="O1387" s="230"/>
      <c r="T1387" s="230"/>
      <c r="U1387" s="230"/>
      <c r="V1387" s="230"/>
      <c r="W1387" s="230"/>
    </row>
    <row r="1388">
      <c r="O1388" s="230"/>
      <c r="T1388" s="230"/>
      <c r="U1388" s="230"/>
      <c r="V1388" s="230"/>
      <c r="W1388" s="230"/>
    </row>
    <row r="1389">
      <c r="O1389" s="230"/>
      <c r="T1389" s="230"/>
      <c r="U1389" s="230"/>
      <c r="V1389" s="230"/>
      <c r="W1389" s="230"/>
    </row>
    <row r="1390">
      <c r="O1390" s="230"/>
      <c r="T1390" s="230"/>
      <c r="U1390" s="230"/>
      <c r="V1390" s="230"/>
      <c r="W1390" s="230"/>
    </row>
    <row r="1391">
      <c r="O1391" s="230"/>
      <c r="T1391" s="230"/>
      <c r="U1391" s="230"/>
      <c r="V1391" s="230"/>
      <c r="W1391" s="230"/>
    </row>
    <row r="1392">
      <c r="O1392" s="230"/>
      <c r="T1392" s="230"/>
      <c r="U1392" s="230"/>
      <c r="V1392" s="230"/>
      <c r="W1392" s="230"/>
    </row>
    <row r="1393">
      <c r="O1393" s="230"/>
      <c r="T1393" s="230"/>
      <c r="U1393" s="230"/>
      <c r="V1393" s="230"/>
      <c r="W1393" s="230"/>
    </row>
    <row r="1394">
      <c r="O1394" s="230"/>
      <c r="T1394" s="230"/>
      <c r="U1394" s="230"/>
      <c r="V1394" s="230"/>
      <c r="W1394" s="230"/>
    </row>
    <row r="1395">
      <c r="O1395" s="230"/>
      <c r="T1395" s="230"/>
      <c r="U1395" s="230"/>
      <c r="V1395" s="230"/>
      <c r="W1395" s="230"/>
    </row>
    <row r="1396">
      <c r="O1396" s="230"/>
      <c r="T1396" s="230"/>
      <c r="U1396" s="230"/>
      <c r="V1396" s="230"/>
      <c r="W1396" s="230"/>
    </row>
    <row r="1397">
      <c r="O1397" s="230"/>
      <c r="T1397" s="230"/>
      <c r="U1397" s="230"/>
      <c r="V1397" s="230"/>
      <c r="W1397" s="230"/>
    </row>
    <row r="1398">
      <c r="O1398" s="230"/>
      <c r="T1398" s="230"/>
      <c r="U1398" s="230"/>
      <c r="V1398" s="230"/>
      <c r="W1398" s="230"/>
    </row>
    <row r="1399">
      <c r="O1399" s="230"/>
      <c r="T1399" s="230"/>
      <c r="U1399" s="230"/>
      <c r="V1399" s="230"/>
      <c r="W1399" s="230"/>
    </row>
    <row r="1400">
      <c r="O1400" s="230"/>
      <c r="T1400" s="230"/>
      <c r="U1400" s="230"/>
      <c r="V1400" s="230"/>
      <c r="W1400" s="230"/>
    </row>
    <row r="1401">
      <c r="O1401" s="230"/>
      <c r="T1401" s="230"/>
      <c r="U1401" s="230"/>
      <c r="V1401" s="230"/>
      <c r="W1401" s="230"/>
    </row>
    <row r="1402">
      <c r="O1402" s="230"/>
      <c r="T1402" s="230"/>
      <c r="U1402" s="230"/>
      <c r="V1402" s="230"/>
      <c r="W1402" s="230"/>
    </row>
    <row r="1403">
      <c r="O1403" s="230"/>
      <c r="T1403" s="230"/>
      <c r="U1403" s="230"/>
      <c r="V1403" s="230"/>
      <c r="W1403" s="230"/>
    </row>
    <row r="1404">
      <c r="O1404" s="230"/>
      <c r="T1404" s="230"/>
      <c r="U1404" s="230"/>
      <c r="V1404" s="230"/>
      <c r="W1404" s="230"/>
    </row>
    <row r="1405">
      <c r="O1405" s="230"/>
      <c r="T1405" s="230"/>
      <c r="U1405" s="230"/>
      <c r="V1405" s="230"/>
      <c r="W1405" s="230"/>
    </row>
    <row r="1406">
      <c r="O1406" s="230"/>
      <c r="T1406" s="230"/>
      <c r="U1406" s="230"/>
      <c r="V1406" s="230"/>
      <c r="W1406" s="230"/>
    </row>
    <row r="1407">
      <c r="O1407" s="230"/>
      <c r="T1407" s="230"/>
      <c r="U1407" s="230"/>
      <c r="V1407" s="230"/>
      <c r="W1407" s="230"/>
    </row>
    <row r="1408">
      <c r="O1408" s="230"/>
      <c r="T1408" s="230"/>
      <c r="U1408" s="230"/>
      <c r="V1408" s="230"/>
      <c r="W1408" s="230"/>
    </row>
    <row r="1409">
      <c r="O1409" s="230"/>
      <c r="T1409" s="230"/>
      <c r="U1409" s="230"/>
      <c r="V1409" s="230"/>
      <c r="W1409" s="230"/>
    </row>
    <row r="1410">
      <c r="O1410" s="230"/>
      <c r="T1410" s="230"/>
      <c r="U1410" s="230"/>
      <c r="V1410" s="230"/>
      <c r="W1410" s="230"/>
    </row>
    <row r="1411">
      <c r="O1411" s="230"/>
      <c r="T1411" s="230"/>
      <c r="U1411" s="230"/>
      <c r="V1411" s="230"/>
      <c r="W1411" s="230"/>
    </row>
    <row r="1412">
      <c r="O1412" s="230"/>
      <c r="T1412" s="230"/>
      <c r="U1412" s="230"/>
      <c r="V1412" s="230"/>
      <c r="W1412" s="230"/>
    </row>
    <row r="1413">
      <c r="O1413" s="230"/>
      <c r="T1413" s="230"/>
      <c r="U1413" s="230"/>
      <c r="V1413" s="230"/>
      <c r="W1413" s="230"/>
    </row>
    <row r="1414">
      <c r="O1414" s="230"/>
      <c r="T1414" s="230"/>
      <c r="U1414" s="230"/>
      <c r="V1414" s="230"/>
      <c r="W1414" s="230"/>
    </row>
    <row r="1415">
      <c r="O1415" s="230"/>
      <c r="T1415" s="230"/>
      <c r="U1415" s="230"/>
      <c r="V1415" s="230"/>
      <c r="W1415" s="230"/>
    </row>
    <row r="1416">
      <c r="O1416" s="230"/>
      <c r="T1416" s="230"/>
      <c r="U1416" s="230"/>
      <c r="V1416" s="230"/>
      <c r="W1416" s="230"/>
    </row>
    <row r="1417">
      <c r="O1417" s="230"/>
      <c r="T1417" s="230"/>
      <c r="U1417" s="230"/>
      <c r="V1417" s="230"/>
      <c r="W1417" s="230"/>
    </row>
    <row r="1418">
      <c r="O1418" s="230"/>
      <c r="T1418" s="230"/>
      <c r="U1418" s="230"/>
      <c r="V1418" s="230"/>
      <c r="W1418" s="230"/>
    </row>
    <row r="1419">
      <c r="O1419" s="230"/>
      <c r="T1419" s="230"/>
      <c r="U1419" s="230"/>
      <c r="V1419" s="230"/>
      <c r="W1419" s="230"/>
    </row>
    <row r="1420">
      <c r="O1420" s="230"/>
      <c r="T1420" s="230"/>
      <c r="U1420" s="230"/>
      <c r="V1420" s="230"/>
      <c r="W1420" s="230"/>
    </row>
    <row r="1421">
      <c r="O1421" s="230"/>
      <c r="T1421" s="230"/>
      <c r="U1421" s="230"/>
      <c r="V1421" s="230"/>
      <c r="W1421" s="230"/>
    </row>
    <row r="1422">
      <c r="O1422" s="230"/>
      <c r="T1422" s="230"/>
      <c r="U1422" s="230"/>
      <c r="V1422" s="230"/>
      <c r="W1422" s="230"/>
    </row>
    <row r="1423">
      <c r="O1423" s="230"/>
      <c r="T1423" s="230"/>
      <c r="U1423" s="230"/>
      <c r="V1423" s="230"/>
      <c r="W1423" s="230"/>
    </row>
    <row r="1424">
      <c r="O1424" s="230"/>
      <c r="T1424" s="230"/>
      <c r="U1424" s="230"/>
      <c r="V1424" s="230"/>
      <c r="W1424" s="230"/>
    </row>
    <row r="1425">
      <c r="O1425" s="230"/>
      <c r="T1425" s="230"/>
      <c r="U1425" s="230"/>
      <c r="V1425" s="230"/>
      <c r="W1425" s="230"/>
    </row>
    <row r="1426">
      <c r="O1426" s="230"/>
      <c r="T1426" s="230"/>
      <c r="U1426" s="230"/>
      <c r="V1426" s="230"/>
      <c r="W1426" s="230"/>
    </row>
    <row r="1427">
      <c r="O1427" s="230"/>
      <c r="T1427" s="230"/>
      <c r="U1427" s="230"/>
      <c r="V1427" s="230"/>
      <c r="W1427" s="230"/>
    </row>
    <row r="1428">
      <c r="O1428" s="230"/>
      <c r="T1428" s="230"/>
      <c r="U1428" s="230"/>
      <c r="V1428" s="230"/>
      <c r="W1428" s="230"/>
    </row>
    <row r="1429">
      <c r="O1429" s="230"/>
      <c r="T1429" s="230"/>
      <c r="U1429" s="230"/>
      <c r="V1429" s="230"/>
      <c r="W1429" s="230"/>
    </row>
    <row r="1430">
      <c r="O1430" s="230"/>
      <c r="T1430" s="230"/>
      <c r="U1430" s="230"/>
      <c r="V1430" s="230"/>
      <c r="W1430" s="230"/>
    </row>
    <row r="1431">
      <c r="O1431" s="230"/>
      <c r="T1431" s="230"/>
      <c r="U1431" s="230"/>
      <c r="V1431" s="230"/>
      <c r="W1431" s="230"/>
    </row>
    <row r="1432">
      <c r="O1432" s="230"/>
      <c r="T1432" s="230"/>
      <c r="U1432" s="230"/>
      <c r="V1432" s="230"/>
      <c r="W1432" s="230"/>
    </row>
    <row r="1433">
      <c r="O1433" s="230"/>
      <c r="T1433" s="230"/>
      <c r="U1433" s="230"/>
      <c r="V1433" s="230"/>
      <c r="W1433" s="230"/>
    </row>
    <row r="1434">
      <c r="O1434" s="230"/>
      <c r="T1434" s="230"/>
      <c r="U1434" s="230"/>
      <c r="V1434" s="230"/>
      <c r="W1434" s="230"/>
    </row>
    <row r="1435">
      <c r="O1435" s="230"/>
      <c r="T1435" s="230"/>
      <c r="U1435" s="230"/>
      <c r="V1435" s="230"/>
      <c r="W1435" s="230"/>
    </row>
    <row r="1436">
      <c r="O1436" s="230"/>
      <c r="T1436" s="230"/>
      <c r="U1436" s="230"/>
      <c r="V1436" s="230"/>
      <c r="W1436" s="230"/>
    </row>
    <row r="1437">
      <c r="O1437" s="230"/>
      <c r="T1437" s="230"/>
      <c r="U1437" s="230"/>
      <c r="V1437" s="230"/>
      <c r="W1437" s="230"/>
    </row>
    <row r="1438">
      <c r="O1438" s="230"/>
      <c r="T1438" s="230"/>
      <c r="U1438" s="230"/>
      <c r="V1438" s="230"/>
      <c r="W1438" s="230"/>
    </row>
    <row r="1439">
      <c r="O1439" s="230"/>
      <c r="T1439" s="230"/>
      <c r="U1439" s="230"/>
      <c r="V1439" s="230"/>
      <c r="W1439" s="230"/>
    </row>
    <row r="1440">
      <c r="O1440" s="230"/>
      <c r="T1440" s="230"/>
      <c r="U1440" s="230"/>
      <c r="V1440" s="230"/>
      <c r="W1440" s="230"/>
    </row>
    <row r="1441">
      <c r="O1441" s="230"/>
      <c r="T1441" s="230"/>
      <c r="U1441" s="230"/>
      <c r="V1441" s="230"/>
      <c r="W1441" s="230"/>
    </row>
    <row r="1442">
      <c r="O1442" s="230"/>
      <c r="T1442" s="230"/>
      <c r="U1442" s="230"/>
      <c r="V1442" s="230"/>
      <c r="W1442" s="230"/>
    </row>
    <row r="1443">
      <c r="O1443" s="230"/>
      <c r="T1443" s="230"/>
      <c r="U1443" s="230"/>
      <c r="V1443" s="230"/>
      <c r="W1443" s="230"/>
    </row>
    <row r="1444">
      <c r="O1444" s="230"/>
      <c r="T1444" s="230"/>
      <c r="U1444" s="230"/>
      <c r="V1444" s="230"/>
      <c r="W1444" s="230"/>
    </row>
    <row r="1445">
      <c r="O1445" s="230"/>
      <c r="T1445" s="230"/>
      <c r="U1445" s="230"/>
      <c r="V1445" s="230"/>
      <c r="W1445" s="230"/>
    </row>
    <row r="1446">
      <c r="O1446" s="230"/>
      <c r="T1446" s="230"/>
      <c r="U1446" s="230"/>
      <c r="V1446" s="230"/>
      <c r="W1446" s="230"/>
    </row>
    <row r="1447">
      <c r="O1447" s="230"/>
      <c r="T1447" s="230"/>
      <c r="U1447" s="230"/>
      <c r="V1447" s="230"/>
      <c r="W1447" s="230"/>
    </row>
    <row r="1448">
      <c r="O1448" s="230"/>
      <c r="T1448" s="230"/>
      <c r="U1448" s="230"/>
      <c r="V1448" s="230"/>
      <c r="W1448" s="230"/>
    </row>
    <row r="1449">
      <c r="O1449" s="230"/>
      <c r="T1449" s="230"/>
      <c r="U1449" s="230"/>
      <c r="V1449" s="230"/>
      <c r="W1449" s="230"/>
    </row>
    <row r="1450">
      <c r="O1450" s="230"/>
      <c r="T1450" s="230"/>
      <c r="U1450" s="230"/>
      <c r="V1450" s="230"/>
      <c r="W1450" s="230"/>
    </row>
    <row r="1451">
      <c r="O1451" s="230"/>
      <c r="T1451" s="230"/>
      <c r="U1451" s="230"/>
      <c r="V1451" s="230"/>
      <c r="W1451" s="230"/>
    </row>
    <row r="1452">
      <c r="O1452" s="230"/>
      <c r="T1452" s="230"/>
      <c r="U1452" s="230"/>
      <c r="V1452" s="230"/>
      <c r="W1452" s="230"/>
    </row>
    <row r="1453">
      <c r="O1453" s="230"/>
      <c r="T1453" s="230"/>
      <c r="U1453" s="230"/>
      <c r="V1453" s="230"/>
      <c r="W1453" s="230"/>
    </row>
    <row r="1454">
      <c r="O1454" s="230"/>
      <c r="T1454" s="230"/>
      <c r="U1454" s="230"/>
      <c r="V1454" s="230"/>
      <c r="W1454" s="230"/>
    </row>
    <row r="1455">
      <c r="O1455" s="230"/>
      <c r="T1455" s="230"/>
      <c r="U1455" s="230"/>
      <c r="V1455" s="230"/>
      <c r="W1455" s="230"/>
    </row>
    <row r="1456">
      <c r="O1456" s="230"/>
      <c r="T1456" s="230"/>
      <c r="U1456" s="230"/>
      <c r="V1456" s="230"/>
      <c r="W1456" s="230"/>
    </row>
    <row r="1457">
      <c r="O1457" s="230"/>
      <c r="T1457" s="230"/>
      <c r="U1457" s="230"/>
      <c r="V1457" s="230"/>
      <c r="W1457" s="230"/>
    </row>
    <row r="1458">
      <c r="O1458" s="230"/>
      <c r="T1458" s="230"/>
      <c r="U1458" s="230"/>
      <c r="V1458" s="230"/>
      <c r="W1458" s="230"/>
    </row>
    <row r="1459">
      <c r="O1459" s="230"/>
      <c r="T1459" s="230"/>
      <c r="U1459" s="230"/>
      <c r="V1459" s="230"/>
      <c r="W1459" s="230"/>
    </row>
    <row r="1460">
      <c r="O1460" s="230"/>
      <c r="T1460" s="230"/>
      <c r="U1460" s="230"/>
      <c r="V1460" s="230"/>
      <c r="W1460" s="230"/>
    </row>
    <row r="1461">
      <c r="O1461" s="230"/>
      <c r="T1461" s="230"/>
      <c r="U1461" s="230"/>
      <c r="V1461" s="230"/>
      <c r="W1461" s="230"/>
    </row>
    <row r="1462">
      <c r="O1462" s="230"/>
      <c r="T1462" s="230"/>
      <c r="U1462" s="230"/>
      <c r="V1462" s="230"/>
      <c r="W1462" s="230"/>
    </row>
    <row r="1463">
      <c r="O1463" s="230"/>
      <c r="T1463" s="230"/>
      <c r="U1463" s="230"/>
      <c r="V1463" s="230"/>
      <c r="W1463" s="230"/>
    </row>
    <row r="1464">
      <c r="O1464" s="230"/>
      <c r="T1464" s="230"/>
      <c r="U1464" s="230"/>
      <c r="V1464" s="230"/>
      <c r="W1464" s="230"/>
    </row>
    <row r="1465">
      <c r="O1465" s="230"/>
      <c r="T1465" s="230"/>
      <c r="U1465" s="230"/>
      <c r="V1465" s="230"/>
      <c r="W1465" s="230"/>
    </row>
    <row r="1466">
      <c r="O1466" s="230"/>
      <c r="T1466" s="230"/>
      <c r="U1466" s="230"/>
      <c r="V1466" s="230"/>
      <c r="W1466" s="230"/>
    </row>
    <row r="1467">
      <c r="O1467" s="230"/>
      <c r="T1467" s="230"/>
      <c r="U1467" s="230"/>
      <c r="V1467" s="230"/>
      <c r="W1467" s="230"/>
    </row>
    <row r="1468">
      <c r="O1468" s="230"/>
      <c r="T1468" s="230"/>
      <c r="U1468" s="230"/>
      <c r="V1468" s="230"/>
      <c r="W1468" s="230"/>
    </row>
    <row r="1469">
      <c r="O1469" s="230"/>
      <c r="T1469" s="230"/>
      <c r="U1469" s="230"/>
      <c r="V1469" s="230"/>
      <c r="W1469" s="230"/>
    </row>
    <row r="1470">
      <c r="O1470" s="230"/>
      <c r="T1470" s="230"/>
      <c r="U1470" s="230"/>
      <c r="V1470" s="230"/>
      <c r="W1470" s="230"/>
    </row>
    <row r="1471">
      <c r="O1471" s="230"/>
      <c r="T1471" s="230"/>
      <c r="U1471" s="230"/>
      <c r="V1471" s="230"/>
      <c r="W1471" s="230"/>
    </row>
    <row r="1472">
      <c r="O1472" s="230"/>
      <c r="T1472" s="230"/>
      <c r="U1472" s="230"/>
      <c r="V1472" s="230"/>
      <c r="W1472" s="230"/>
    </row>
    <row r="1473">
      <c r="O1473" s="230"/>
      <c r="T1473" s="230"/>
      <c r="U1473" s="230"/>
      <c r="V1473" s="230"/>
      <c r="W1473" s="230"/>
    </row>
    <row r="1474">
      <c r="O1474" s="230"/>
      <c r="T1474" s="230"/>
      <c r="U1474" s="230"/>
      <c r="V1474" s="230"/>
      <c r="W1474" s="230"/>
    </row>
    <row r="1475">
      <c r="O1475" s="230"/>
      <c r="T1475" s="230"/>
      <c r="U1475" s="230"/>
      <c r="V1475" s="230"/>
      <c r="W1475" s="230"/>
    </row>
    <row r="1476">
      <c r="O1476" s="230"/>
      <c r="T1476" s="230"/>
      <c r="U1476" s="230"/>
      <c r="V1476" s="230"/>
      <c r="W1476" s="230"/>
    </row>
    <row r="1477">
      <c r="O1477" s="230"/>
      <c r="T1477" s="230"/>
      <c r="U1477" s="230"/>
      <c r="V1477" s="230"/>
      <c r="W1477" s="230"/>
    </row>
    <row r="1478">
      <c r="O1478" s="230"/>
      <c r="T1478" s="230"/>
      <c r="U1478" s="230"/>
      <c r="V1478" s="230"/>
      <c r="W1478" s="230"/>
    </row>
    <row r="1479">
      <c r="O1479" s="230"/>
      <c r="T1479" s="230"/>
      <c r="U1479" s="230"/>
      <c r="V1479" s="230"/>
      <c r="W1479" s="230"/>
    </row>
    <row r="1480">
      <c r="O1480" s="230"/>
      <c r="T1480" s="230"/>
      <c r="U1480" s="230"/>
      <c r="V1480" s="230"/>
      <c r="W1480" s="230"/>
    </row>
    <row r="1481">
      <c r="O1481" s="230"/>
      <c r="T1481" s="230"/>
      <c r="U1481" s="230"/>
      <c r="V1481" s="230"/>
      <c r="W1481" s="230"/>
    </row>
    <row r="1482">
      <c r="O1482" s="230"/>
      <c r="T1482" s="230"/>
      <c r="U1482" s="230"/>
      <c r="V1482" s="230"/>
      <c r="W1482" s="230"/>
    </row>
    <row r="1483">
      <c r="O1483" s="230"/>
      <c r="T1483" s="230"/>
      <c r="U1483" s="230"/>
      <c r="V1483" s="230"/>
      <c r="W1483" s="230"/>
    </row>
    <row r="1484">
      <c r="O1484" s="230"/>
      <c r="T1484" s="230"/>
      <c r="U1484" s="230"/>
      <c r="V1484" s="230"/>
      <c r="W1484" s="230"/>
    </row>
    <row r="1485">
      <c r="O1485" s="230"/>
      <c r="T1485" s="230"/>
      <c r="U1485" s="230"/>
      <c r="V1485" s="230"/>
      <c r="W1485" s="230"/>
    </row>
    <row r="1486">
      <c r="O1486" s="230"/>
      <c r="T1486" s="230"/>
      <c r="U1486" s="230"/>
      <c r="V1486" s="230"/>
      <c r="W1486" s="230"/>
    </row>
    <row r="1487">
      <c r="O1487" s="230"/>
      <c r="T1487" s="230"/>
      <c r="U1487" s="230"/>
      <c r="V1487" s="230"/>
      <c r="W1487" s="230"/>
    </row>
    <row r="1488">
      <c r="O1488" s="230"/>
      <c r="T1488" s="230"/>
      <c r="U1488" s="230"/>
      <c r="V1488" s="230"/>
      <c r="W1488" s="230"/>
    </row>
    <row r="1489">
      <c r="O1489" s="230"/>
      <c r="T1489" s="230"/>
      <c r="U1489" s="230"/>
      <c r="V1489" s="230"/>
      <c r="W1489" s="230"/>
    </row>
    <row r="1490">
      <c r="O1490" s="230"/>
      <c r="T1490" s="230"/>
      <c r="U1490" s="230"/>
      <c r="V1490" s="230"/>
      <c r="W1490" s="230"/>
    </row>
    <row r="1491">
      <c r="O1491" s="230"/>
      <c r="T1491" s="230"/>
      <c r="U1491" s="230"/>
      <c r="V1491" s="230"/>
      <c r="W1491" s="230"/>
    </row>
    <row r="1492">
      <c r="O1492" s="230"/>
      <c r="T1492" s="230"/>
      <c r="U1492" s="230"/>
      <c r="V1492" s="230"/>
      <c r="W1492" s="230"/>
    </row>
    <row r="1493">
      <c r="O1493" s="230"/>
      <c r="T1493" s="230"/>
      <c r="U1493" s="230"/>
      <c r="V1493" s="230"/>
      <c r="W1493" s="230"/>
    </row>
    <row r="1494">
      <c r="O1494" s="230"/>
      <c r="T1494" s="230"/>
      <c r="U1494" s="230"/>
      <c r="V1494" s="230"/>
      <c r="W1494" s="230"/>
    </row>
    <row r="1495">
      <c r="O1495" s="230"/>
      <c r="T1495" s="230"/>
      <c r="U1495" s="230"/>
      <c r="V1495" s="230"/>
      <c r="W1495" s="230"/>
    </row>
    <row r="1496">
      <c r="O1496" s="230"/>
      <c r="T1496" s="230"/>
      <c r="U1496" s="230"/>
      <c r="V1496" s="230"/>
      <c r="W1496" s="230"/>
    </row>
    <row r="1497">
      <c r="O1497" s="230"/>
      <c r="T1497" s="230"/>
      <c r="U1497" s="230"/>
      <c r="V1497" s="230"/>
      <c r="W1497" s="230"/>
    </row>
    <row r="1498">
      <c r="O1498" s="230"/>
      <c r="T1498" s="230"/>
      <c r="U1498" s="230"/>
      <c r="V1498" s="230"/>
      <c r="W1498" s="230"/>
    </row>
    <row r="1499">
      <c r="O1499" s="230"/>
      <c r="T1499" s="230"/>
      <c r="U1499" s="230"/>
      <c r="V1499" s="230"/>
      <c r="W1499" s="230"/>
    </row>
    <row r="1500">
      <c r="O1500" s="230"/>
      <c r="T1500" s="230"/>
      <c r="U1500" s="230"/>
      <c r="V1500" s="230"/>
      <c r="W1500" s="230"/>
    </row>
    <row r="1501">
      <c r="O1501" s="230"/>
      <c r="T1501" s="230"/>
      <c r="U1501" s="230"/>
      <c r="V1501" s="230"/>
      <c r="W1501" s="230"/>
    </row>
    <row r="1502">
      <c r="O1502" s="230"/>
      <c r="T1502" s="230"/>
      <c r="U1502" s="230"/>
      <c r="V1502" s="230"/>
      <c r="W1502" s="230"/>
    </row>
    <row r="1503">
      <c r="O1503" s="230"/>
      <c r="T1503" s="230"/>
      <c r="U1503" s="230"/>
      <c r="V1503" s="230"/>
      <c r="W1503" s="230"/>
    </row>
    <row r="1504">
      <c r="O1504" s="230"/>
      <c r="T1504" s="230"/>
      <c r="U1504" s="230"/>
      <c r="V1504" s="230"/>
      <c r="W1504" s="230"/>
    </row>
    <row r="1505">
      <c r="O1505" s="230"/>
      <c r="T1505" s="230"/>
      <c r="U1505" s="230"/>
      <c r="V1505" s="230"/>
      <c r="W1505" s="230"/>
    </row>
    <row r="1506">
      <c r="O1506" s="230"/>
      <c r="T1506" s="230"/>
      <c r="U1506" s="230"/>
      <c r="V1506" s="230"/>
      <c r="W1506" s="230"/>
    </row>
    <row r="1507">
      <c r="O1507" s="230"/>
      <c r="T1507" s="230"/>
      <c r="U1507" s="230"/>
      <c r="V1507" s="230"/>
      <c r="W1507" s="230"/>
    </row>
    <row r="1508">
      <c r="O1508" s="230"/>
      <c r="T1508" s="230"/>
      <c r="U1508" s="230"/>
      <c r="V1508" s="230"/>
      <c r="W1508" s="230"/>
    </row>
    <row r="1509">
      <c r="O1509" s="230"/>
      <c r="T1509" s="230"/>
      <c r="U1509" s="230"/>
      <c r="V1509" s="230"/>
      <c r="W1509" s="230"/>
    </row>
    <row r="1510">
      <c r="O1510" s="230"/>
      <c r="T1510" s="230"/>
      <c r="U1510" s="230"/>
      <c r="V1510" s="230"/>
      <c r="W1510" s="230"/>
    </row>
    <row r="1511">
      <c r="O1511" s="230"/>
      <c r="T1511" s="230"/>
      <c r="U1511" s="230"/>
      <c r="V1511" s="230"/>
      <c r="W1511" s="230"/>
    </row>
    <row r="1512">
      <c r="O1512" s="230"/>
      <c r="T1512" s="230"/>
      <c r="U1512" s="230"/>
      <c r="V1512" s="230"/>
      <c r="W1512" s="230"/>
    </row>
    <row r="1513">
      <c r="O1513" s="230"/>
      <c r="T1513" s="230"/>
      <c r="U1513" s="230"/>
      <c r="V1513" s="230"/>
      <c r="W1513" s="230"/>
    </row>
    <row r="1514">
      <c r="O1514" s="230"/>
      <c r="T1514" s="230"/>
      <c r="U1514" s="230"/>
      <c r="V1514" s="230"/>
      <c r="W1514" s="230"/>
    </row>
    <row r="1515">
      <c r="O1515" s="230"/>
      <c r="T1515" s="230"/>
      <c r="U1515" s="230"/>
      <c r="V1515" s="230"/>
      <c r="W1515" s="230"/>
    </row>
    <row r="1516">
      <c r="O1516" s="230"/>
      <c r="T1516" s="230"/>
      <c r="U1516" s="230"/>
      <c r="V1516" s="230"/>
      <c r="W1516" s="230"/>
    </row>
    <row r="1517">
      <c r="O1517" s="230"/>
      <c r="T1517" s="230"/>
      <c r="U1517" s="230"/>
      <c r="V1517" s="230"/>
      <c r="W1517" s="230"/>
    </row>
    <row r="1518">
      <c r="O1518" s="230"/>
      <c r="T1518" s="230"/>
      <c r="U1518" s="230"/>
      <c r="V1518" s="230"/>
      <c r="W1518" s="230"/>
    </row>
    <row r="1519">
      <c r="O1519" s="230"/>
      <c r="T1519" s="230"/>
      <c r="U1519" s="230"/>
      <c r="V1519" s="230"/>
      <c r="W1519" s="230"/>
    </row>
    <row r="1520">
      <c r="O1520" s="230"/>
      <c r="T1520" s="230"/>
      <c r="U1520" s="230"/>
      <c r="V1520" s="230"/>
      <c r="W1520" s="230"/>
    </row>
    <row r="1521">
      <c r="O1521" s="230"/>
      <c r="T1521" s="230"/>
      <c r="U1521" s="230"/>
      <c r="V1521" s="230"/>
      <c r="W1521" s="230"/>
    </row>
    <row r="1522">
      <c r="O1522" s="230"/>
      <c r="T1522" s="230"/>
      <c r="U1522" s="230"/>
      <c r="V1522" s="230"/>
      <c r="W1522" s="230"/>
    </row>
    <row r="1523">
      <c r="O1523" s="230"/>
      <c r="T1523" s="230"/>
      <c r="U1523" s="230"/>
      <c r="V1523" s="230"/>
      <c r="W1523" s="230"/>
    </row>
    <row r="1524">
      <c r="O1524" s="230"/>
      <c r="T1524" s="230"/>
      <c r="U1524" s="230"/>
      <c r="V1524" s="230"/>
      <c r="W1524" s="230"/>
    </row>
    <row r="1525">
      <c r="O1525" s="230"/>
      <c r="T1525" s="230"/>
      <c r="U1525" s="230"/>
      <c r="V1525" s="230"/>
      <c r="W1525" s="230"/>
    </row>
    <row r="1526">
      <c r="O1526" s="230"/>
      <c r="T1526" s="230"/>
      <c r="U1526" s="230"/>
      <c r="V1526" s="230"/>
      <c r="W1526" s="230"/>
    </row>
    <row r="1527">
      <c r="O1527" s="230"/>
      <c r="T1527" s="230"/>
      <c r="U1527" s="230"/>
      <c r="V1527" s="230"/>
      <c r="W1527" s="230"/>
    </row>
    <row r="1528">
      <c r="O1528" s="230"/>
      <c r="T1528" s="230"/>
      <c r="U1528" s="230"/>
      <c r="V1528" s="230"/>
      <c r="W1528" s="230"/>
    </row>
    <row r="1529">
      <c r="O1529" s="230"/>
      <c r="T1529" s="230"/>
      <c r="U1529" s="230"/>
      <c r="V1529" s="230"/>
      <c r="W1529" s="230"/>
    </row>
    <row r="1530">
      <c r="O1530" s="230"/>
      <c r="T1530" s="230"/>
      <c r="U1530" s="230"/>
      <c r="V1530" s="230"/>
      <c r="W1530" s="230"/>
    </row>
    <row r="1531">
      <c r="O1531" s="230"/>
      <c r="T1531" s="230"/>
      <c r="U1531" s="230"/>
      <c r="V1531" s="230"/>
      <c r="W1531" s="230"/>
    </row>
    <row r="1532">
      <c r="O1532" s="230"/>
      <c r="T1532" s="230"/>
      <c r="U1532" s="230"/>
      <c r="V1532" s="230"/>
      <c r="W1532" s="230"/>
    </row>
    <row r="1533">
      <c r="O1533" s="230"/>
      <c r="T1533" s="230"/>
      <c r="U1533" s="230"/>
      <c r="V1533" s="230"/>
      <c r="W1533" s="230"/>
    </row>
    <row r="1534">
      <c r="O1534" s="230"/>
      <c r="T1534" s="230"/>
      <c r="U1534" s="230"/>
      <c r="V1534" s="230"/>
      <c r="W1534" s="230"/>
    </row>
    <row r="1535">
      <c r="O1535" s="230"/>
      <c r="T1535" s="230"/>
      <c r="U1535" s="230"/>
      <c r="V1535" s="230"/>
      <c r="W1535" s="230"/>
    </row>
    <row r="1536">
      <c r="O1536" s="230"/>
      <c r="T1536" s="230"/>
      <c r="U1536" s="230"/>
      <c r="V1536" s="230"/>
      <c r="W1536" s="230"/>
    </row>
    <row r="1537">
      <c r="O1537" s="230"/>
      <c r="T1537" s="230"/>
      <c r="U1537" s="230"/>
      <c r="V1537" s="230"/>
      <c r="W1537" s="230"/>
    </row>
    <row r="1538">
      <c r="O1538" s="230"/>
      <c r="T1538" s="230"/>
      <c r="U1538" s="230"/>
      <c r="V1538" s="230"/>
      <c r="W1538" s="230"/>
    </row>
    <row r="1539">
      <c r="O1539" s="230"/>
      <c r="T1539" s="230"/>
      <c r="U1539" s="230"/>
      <c r="V1539" s="230"/>
      <c r="W1539" s="230"/>
    </row>
    <row r="1540">
      <c r="O1540" s="230"/>
      <c r="T1540" s="230"/>
      <c r="U1540" s="230"/>
      <c r="V1540" s="230"/>
      <c r="W1540" s="230"/>
    </row>
    <row r="1541">
      <c r="O1541" s="230"/>
      <c r="T1541" s="230"/>
      <c r="U1541" s="230"/>
      <c r="V1541" s="230"/>
      <c r="W1541" s="230"/>
    </row>
    <row r="1542">
      <c r="O1542" s="230"/>
      <c r="T1542" s="230"/>
      <c r="U1542" s="230"/>
      <c r="V1542" s="230"/>
      <c r="W1542" s="230"/>
    </row>
    <row r="1543">
      <c r="O1543" s="230"/>
      <c r="T1543" s="230"/>
      <c r="U1543" s="230"/>
      <c r="V1543" s="230"/>
      <c r="W1543" s="230"/>
    </row>
    <row r="1544">
      <c r="O1544" s="230"/>
      <c r="T1544" s="230"/>
      <c r="U1544" s="230"/>
      <c r="V1544" s="230"/>
      <c r="W1544" s="230"/>
    </row>
    <row r="1545">
      <c r="O1545" s="230"/>
      <c r="T1545" s="230"/>
      <c r="U1545" s="230"/>
      <c r="V1545" s="230"/>
      <c r="W1545" s="230"/>
    </row>
    <row r="1546">
      <c r="O1546" s="230"/>
      <c r="T1546" s="230"/>
      <c r="U1546" s="230"/>
      <c r="V1546" s="230"/>
      <c r="W1546" s="230"/>
    </row>
    <row r="1547">
      <c r="O1547" s="230"/>
      <c r="T1547" s="230"/>
      <c r="U1547" s="230"/>
      <c r="V1547" s="230"/>
      <c r="W1547" s="230"/>
    </row>
    <row r="1548">
      <c r="O1548" s="230"/>
      <c r="T1548" s="230"/>
      <c r="U1548" s="230"/>
      <c r="V1548" s="230"/>
      <c r="W1548" s="230"/>
    </row>
    <row r="1549">
      <c r="O1549" s="230"/>
      <c r="T1549" s="230"/>
      <c r="U1549" s="230"/>
      <c r="V1549" s="230"/>
      <c r="W1549" s="230"/>
    </row>
    <row r="1550">
      <c r="O1550" s="230"/>
      <c r="T1550" s="230"/>
      <c r="U1550" s="230"/>
      <c r="V1550" s="230"/>
      <c r="W1550" s="230"/>
    </row>
    <row r="1551">
      <c r="O1551" s="230"/>
      <c r="T1551" s="230"/>
      <c r="U1551" s="230"/>
      <c r="V1551" s="230"/>
      <c r="W1551" s="230"/>
    </row>
    <row r="1552">
      <c r="O1552" s="230"/>
      <c r="T1552" s="230"/>
      <c r="U1552" s="230"/>
      <c r="V1552" s="230"/>
      <c r="W1552" s="230"/>
    </row>
    <row r="1553">
      <c r="O1553" s="230"/>
      <c r="T1553" s="230"/>
      <c r="U1553" s="230"/>
      <c r="V1553" s="230"/>
      <c r="W1553" s="230"/>
    </row>
    <row r="1554">
      <c r="O1554" s="230"/>
      <c r="T1554" s="230"/>
      <c r="U1554" s="230"/>
      <c r="V1554" s="230"/>
      <c r="W1554" s="230"/>
    </row>
    <row r="1555">
      <c r="O1555" s="230"/>
      <c r="T1555" s="230"/>
      <c r="U1555" s="230"/>
      <c r="V1555" s="230"/>
      <c r="W1555" s="230"/>
    </row>
    <row r="1556">
      <c r="O1556" s="230"/>
      <c r="T1556" s="230"/>
      <c r="U1556" s="230"/>
      <c r="V1556" s="230"/>
      <c r="W1556" s="230"/>
    </row>
    <row r="1557">
      <c r="O1557" s="230"/>
      <c r="T1557" s="230"/>
      <c r="U1557" s="230"/>
      <c r="V1557" s="230"/>
      <c r="W1557" s="230"/>
    </row>
    <row r="1558">
      <c r="O1558" s="230"/>
      <c r="T1558" s="230"/>
      <c r="U1558" s="230"/>
      <c r="V1558" s="230"/>
      <c r="W1558" s="230"/>
    </row>
    <row r="1559">
      <c r="O1559" s="230"/>
      <c r="T1559" s="230"/>
      <c r="U1559" s="230"/>
      <c r="V1559" s="230"/>
      <c r="W1559" s="230"/>
    </row>
    <row r="1560">
      <c r="O1560" s="230"/>
      <c r="T1560" s="230"/>
      <c r="U1560" s="230"/>
      <c r="V1560" s="230"/>
      <c r="W1560" s="230"/>
    </row>
    <row r="1561">
      <c r="O1561" s="230"/>
      <c r="T1561" s="230"/>
      <c r="U1561" s="230"/>
      <c r="V1561" s="230"/>
      <c r="W1561" s="230"/>
    </row>
    <row r="1562">
      <c r="O1562" s="230"/>
      <c r="T1562" s="230"/>
      <c r="U1562" s="230"/>
      <c r="V1562" s="230"/>
      <c r="W1562" s="230"/>
    </row>
    <row r="1563">
      <c r="O1563" s="230"/>
      <c r="T1563" s="230"/>
      <c r="U1563" s="230"/>
      <c r="V1563" s="230"/>
      <c r="W1563" s="230"/>
    </row>
    <row r="1564">
      <c r="O1564" s="230"/>
      <c r="T1564" s="230"/>
      <c r="U1564" s="230"/>
      <c r="V1564" s="230"/>
      <c r="W1564" s="230"/>
    </row>
    <row r="1565">
      <c r="O1565" s="230"/>
      <c r="T1565" s="230"/>
      <c r="U1565" s="230"/>
      <c r="V1565" s="230"/>
      <c r="W1565" s="230"/>
    </row>
    <row r="1566">
      <c r="O1566" s="230"/>
      <c r="T1566" s="230"/>
      <c r="U1566" s="230"/>
      <c r="V1566" s="230"/>
      <c r="W1566" s="230"/>
    </row>
    <row r="1567">
      <c r="O1567" s="230"/>
      <c r="T1567" s="230"/>
      <c r="U1567" s="230"/>
      <c r="V1567" s="230"/>
      <c r="W1567" s="230"/>
    </row>
    <row r="1568">
      <c r="O1568" s="230"/>
      <c r="T1568" s="230"/>
      <c r="U1568" s="230"/>
      <c r="V1568" s="230"/>
      <c r="W1568" s="230"/>
    </row>
    <row r="1569">
      <c r="O1569" s="230"/>
      <c r="T1569" s="230"/>
      <c r="U1569" s="230"/>
      <c r="V1569" s="230"/>
      <c r="W1569" s="230"/>
    </row>
    <row r="1570">
      <c r="O1570" s="230"/>
      <c r="T1570" s="230"/>
      <c r="U1570" s="230"/>
      <c r="V1570" s="230"/>
      <c r="W1570" s="230"/>
    </row>
    <row r="1571">
      <c r="O1571" s="230"/>
      <c r="T1571" s="230"/>
      <c r="U1571" s="230"/>
      <c r="V1571" s="230"/>
      <c r="W1571" s="230"/>
    </row>
    <row r="1572">
      <c r="O1572" s="230"/>
      <c r="T1572" s="230"/>
      <c r="U1572" s="230"/>
      <c r="V1572" s="230"/>
      <c r="W1572" s="230"/>
    </row>
    <row r="1573">
      <c r="O1573" s="230"/>
      <c r="T1573" s="230"/>
      <c r="U1573" s="230"/>
      <c r="V1573" s="230"/>
      <c r="W1573" s="230"/>
    </row>
    <row r="1574">
      <c r="O1574" s="230"/>
      <c r="T1574" s="230"/>
      <c r="U1574" s="230"/>
      <c r="V1574" s="230"/>
      <c r="W1574" s="230"/>
    </row>
    <row r="1575">
      <c r="O1575" s="230"/>
      <c r="T1575" s="230"/>
      <c r="U1575" s="230"/>
      <c r="V1575" s="230"/>
      <c r="W1575" s="230"/>
    </row>
    <row r="1576">
      <c r="O1576" s="230"/>
      <c r="T1576" s="230"/>
      <c r="U1576" s="230"/>
      <c r="V1576" s="230"/>
      <c r="W1576" s="230"/>
    </row>
    <row r="1577">
      <c r="O1577" s="230"/>
      <c r="T1577" s="230"/>
      <c r="U1577" s="230"/>
      <c r="V1577" s="230"/>
      <c r="W1577" s="230"/>
    </row>
    <row r="1578">
      <c r="O1578" s="230"/>
      <c r="T1578" s="230"/>
      <c r="U1578" s="230"/>
      <c r="V1578" s="230"/>
      <c r="W1578" s="230"/>
    </row>
    <row r="1579">
      <c r="O1579" s="230"/>
      <c r="T1579" s="230"/>
      <c r="U1579" s="230"/>
      <c r="V1579" s="230"/>
      <c r="W1579" s="230"/>
    </row>
    <row r="1580">
      <c r="O1580" s="230"/>
      <c r="T1580" s="230"/>
      <c r="U1580" s="230"/>
      <c r="V1580" s="230"/>
      <c r="W1580" s="230"/>
    </row>
    <row r="1581">
      <c r="O1581" s="230"/>
      <c r="T1581" s="230"/>
      <c r="U1581" s="230"/>
      <c r="V1581" s="230"/>
      <c r="W1581" s="230"/>
    </row>
    <row r="1582">
      <c r="O1582" s="230"/>
      <c r="T1582" s="230"/>
      <c r="U1582" s="230"/>
      <c r="V1582" s="230"/>
      <c r="W1582" s="230"/>
    </row>
    <row r="1583">
      <c r="O1583" s="230"/>
      <c r="T1583" s="230"/>
      <c r="U1583" s="230"/>
      <c r="V1583" s="230"/>
      <c r="W1583" s="230"/>
    </row>
    <row r="1584">
      <c r="O1584" s="230"/>
      <c r="T1584" s="230"/>
      <c r="U1584" s="230"/>
      <c r="V1584" s="230"/>
      <c r="W1584" s="230"/>
    </row>
    <row r="1585">
      <c r="O1585" s="230"/>
      <c r="T1585" s="230"/>
      <c r="U1585" s="230"/>
      <c r="V1585" s="230"/>
      <c r="W1585" s="230"/>
    </row>
    <row r="1586">
      <c r="O1586" s="230"/>
      <c r="T1586" s="230"/>
      <c r="U1586" s="230"/>
      <c r="V1586" s="230"/>
      <c r="W1586" s="230"/>
    </row>
    <row r="1587">
      <c r="O1587" s="230"/>
      <c r="T1587" s="230"/>
      <c r="U1587" s="230"/>
      <c r="V1587" s="230"/>
      <c r="W1587" s="230"/>
    </row>
    <row r="1588">
      <c r="O1588" s="230"/>
      <c r="T1588" s="230"/>
      <c r="U1588" s="230"/>
      <c r="V1588" s="230"/>
      <c r="W1588" s="230"/>
    </row>
    <row r="1589">
      <c r="O1589" s="230"/>
      <c r="T1589" s="230"/>
      <c r="U1589" s="230"/>
      <c r="V1589" s="230"/>
      <c r="W1589" s="230"/>
    </row>
    <row r="1590">
      <c r="O1590" s="230"/>
      <c r="T1590" s="230"/>
      <c r="U1590" s="230"/>
      <c r="V1590" s="230"/>
      <c r="W1590" s="230"/>
    </row>
    <row r="1591">
      <c r="O1591" s="230"/>
      <c r="T1591" s="230"/>
      <c r="U1591" s="230"/>
      <c r="V1591" s="230"/>
      <c r="W1591" s="230"/>
    </row>
    <row r="1592">
      <c r="O1592" s="230"/>
      <c r="T1592" s="230"/>
      <c r="U1592" s="230"/>
      <c r="V1592" s="230"/>
      <c r="W1592" s="230"/>
    </row>
    <row r="1593">
      <c r="O1593" s="230"/>
      <c r="T1593" s="230"/>
      <c r="U1593" s="230"/>
      <c r="V1593" s="230"/>
      <c r="W1593" s="230"/>
    </row>
    <row r="1594">
      <c r="O1594" s="230"/>
      <c r="T1594" s="230"/>
      <c r="U1594" s="230"/>
      <c r="V1594" s="230"/>
      <c r="W1594" s="230"/>
    </row>
    <row r="1595">
      <c r="O1595" s="230"/>
      <c r="T1595" s="230"/>
      <c r="U1595" s="230"/>
      <c r="V1595" s="230"/>
      <c r="W1595" s="230"/>
    </row>
    <row r="1596">
      <c r="O1596" s="230"/>
      <c r="T1596" s="230"/>
      <c r="U1596" s="230"/>
      <c r="V1596" s="230"/>
      <c r="W1596" s="230"/>
    </row>
    <row r="1597">
      <c r="O1597" s="230"/>
      <c r="T1597" s="230"/>
      <c r="U1597" s="230"/>
      <c r="V1597" s="230"/>
      <c r="W1597" s="230"/>
    </row>
    <row r="1598">
      <c r="O1598" s="230"/>
      <c r="T1598" s="230"/>
      <c r="U1598" s="230"/>
      <c r="V1598" s="230"/>
      <c r="W1598" s="230"/>
    </row>
    <row r="1599">
      <c r="O1599" s="230"/>
      <c r="T1599" s="230"/>
      <c r="U1599" s="230"/>
      <c r="V1599" s="230"/>
      <c r="W1599" s="230"/>
    </row>
    <row r="1600">
      <c r="O1600" s="230"/>
      <c r="T1600" s="230"/>
      <c r="U1600" s="230"/>
      <c r="V1600" s="230"/>
      <c r="W1600" s="230"/>
    </row>
    <row r="1601">
      <c r="O1601" s="230"/>
      <c r="T1601" s="230"/>
      <c r="U1601" s="230"/>
      <c r="V1601" s="230"/>
      <c r="W1601" s="230"/>
    </row>
    <row r="1602">
      <c r="O1602" s="230"/>
      <c r="T1602" s="230"/>
      <c r="U1602" s="230"/>
      <c r="V1602" s="230"/>
      <c r="W1602" s="230"/>
    </row>
    <row r="1603">
      <c r="O1603" s="230"/>
      <c r="T1603" s="230"/>
      <c r="U1603" s="230"/>
      <c r="V1603" s="230"/>
      <c r="W1603" s="230"/>
    </row>
    <row r="1604">
      <c r="O1604" s="230"/>
      <c r="T1604" s="230"/>
      <c r="U1604" s="230"/>
      <c r="V1604" s="230"/>
      <c r="W1604" s="230"/>
    </row>
    <row r="1605">
      <c r="O1605" s="230"/>
      <c r="T1605" s="230"/>
      <c r="U1605" s="230"/>
      <c r="V1605" s="230"/>
      <c r="W1605" s="230"/>
    </row>
    <row r="1606">
      <c r="O1606" s="230"/>
      <c r="T1606" s="230"/>
      <c r="U1606" s="230"/>
      <c r="V1606" s="230"/>
      <c r="W1606" s="230"/>
    </row>
    <row r="1607">
      <c r="O1607" s="230"/>
      <c r="T1607" s="230"/>
      <c r="U1607" s="230"/>
      <c r="V1607" s="230"/>
      <c r="W1607" s="230"/>
    </row>
    <row r="1608">
      <c r="O1608" s="230"/>
      <c r="T1608" s="230"/>
      <c r="U1608" s="230"/>
      <c r="V1608" s="230"/>
      <c r="W1608" s="230"/>
    </row>
    <row r="1609">
      <c r="O1609" s="230"/>
      <c r="T1609" s="230"/>
      <c r="U1609" s="230"/>
      <c r="V1609" s="230"/>
      <c r="W1609" s="230"/>
    </row>
    <row r="1610">
      <c r="O1610" s="230"/>
      <c r="T1610" s="230"/>
      <c r="U1610" s="230"/>
      <c r="V1610" s="230"/>
      <c r="W1610" s="230"/>
    </row>
    <row r="1611">
      <c r="O1611" s="230"/>
      <c r="T1611" s="230"/>
      <c r="U1611" s="230"/>
      <c r="V1611" s="230"/>
      <c r="W1611" s="230"/>
    </row>
    <row r="1612">
      <c r="O1612" s="230"/>
      <c r="T1612" s="230"/>
      <c r="U1612" s="230"/>
      <c r="V1612" s="230"/>
      <c r="W1612" s="230"/>
    </row>
    <row r="1613">
      <c r="O1613" s="230"/>
      <c r="T1613" s="230"/>
      <c r="U1613" s="230"/>
      <c r="V1613" s="230"/>
      <c r="W1613" s="230"/>
    </row>
    <row r="1614">
      <c r="O1614" s="230"/>
      <c r="T1614" s="230"/>
      <c r="U1614" s="230"/>
      <c r="V1614" s="230"/>
      <c r="W1614" s="230"/>
    </row>
    <row r="1615">
      <c r="O1615" s="230"/>
      <c r="T1615" s="230"/>
      <c r="U1615" s="230"/>
      <c r="V1615" s="230"/>
      <c r="W1615" s="230"/>
    </row>
    <row r="1616">
      <c r="O1616" s="230"/>
      <c r="T1616" s="230"/>
      <c r="U1616" s="230"/>
      <c r="V1616" s="230"/>
      <c r="W1616" s="230"/>
    </row>
    <row r="1617">
      <c r="O1617" s="230"/>
      <c r="T1617" s="230"/>
      <c r="U1617" s="230"/>
      <c r="V1617" s="230"/>
      <c r="W1617" s="230"/>
    </row>
    <row r="1618">
      <c r="O1618" s="230"/>
      <c r="T1618" s="230"/>
      <c r="U1618" s="230"/>
      <c r="V1618" s="230"/>
      <c r="W1618" s="230"/>
    </row>
    <row r="1619">
      <c r="O1619" s="230"/>
      <c r="T1619" s="230"/>
      <c r="U1619" s="230"/>
      <c r="V1619" s="230"/>
      <c r="W1619" s="230"/>
    </row>
    <row r="1620">
      <c r="O1620" s="230"/>
      <c r="T1620" s="230"/>
      <c r="U1620" s="230"/>
      <c r="V1620" s="230"/>
      <c r="W1620" s="230"/>
    </row>
    <row r="1621">
      <c r="O1621" s="230"/>
      <c r="T1621" s="230"/>
      <c r="U1621" s="230"/>
      <c r="V1621" s="230"/>
      <c r="W1621" s="230"/>
    </row>
    <row r="1622">
      <c r="O1622" s="230"/>
      <c r="T1622" s="230"/>
      <c r="U1622" s="230"/>
      <c r="V1622" s="230"/>
      <c r="W1622" s="230"/>
    </row>
    <row r="1623">
      <c r="O1623" s="230"/>
      <c r="T1623" s="230"/>
      <c r="U1623" s="230"/>
      <c r="V1623" s="230"/>
      <c r="W1623" s="230"/>
    </row>
    <row r="1624">
      <c r="O1624" s="230"/>
      <c r="T1624" s="230"/>
      <c r="U1624" s="230"/>
      <c r="V1624" s="230"/>
      <c r="W1624" s="230"/>
    </row>
    <row r="1625">
      <c r="O1625" s="230"/>
      <c r="T1625" s="230"/>
      <c r="U1625" s="230"/>
      <c r="V1625" s="230"/>
      <c r="W1625" s="230"/>
    </row>
    <row r="1626">
      <c r="O1626" s="230"/>
      <c r="T1626" s="230"/>
      <c r="U1626" s="230"/>
      <c r="V1626" s="230"/>
      <c r="W1626" s="230"/>
    </row>
    <row r="1627">
      <c r="O1627" s="230"/>
      <c r="T1627" s="230"/>
      <c r="U1627" s="230"/>
      <c r="V1627" s="230"/>
      <c r="W1627" s="230"/>
    </row>
    <row r="1628">
      <c r="O1628" s="230"/>
      <c r="T1628" s="230"/>
      <c r="U1628" s="230"/>
      <c r="V1628" s="230"/>
      <c r="W1628" s="230"/>
    </row>
    <row r="1629">
      <c r="O1629" s="230"/>
      <c r="T1629" s="230"/>
      <c r="U1629" s="230"/>
      <c r="V1629" s="230"/>
      <c r="W1629" s="230"/>
    </row>
    <row r="1630">
      <c r="O1630" s="230"/>
      <c r="T1630" s="230"/>
      <c r="U1630" s="230"/>
      <c r="V1630" s="230"/>
      <c r="W1630" s="230"/>
    </row>
    <row r="1631">
      <c r="O1631" s="230"/>
      <c r="T1631" s="230"/>
      <c r="U1631" s="230"/>
      <c r="V1631" s="230"/>
      <c r="W1631" s="230"/>
    </row>
    <row r="1632">
      <c r="O1632" s="230"/>
      <c r="T1632" s="230"/>
      <c r="U1632" s="230"/>
      <c r="V1632" s="230"/>
      <c r="W1632" s="230"/>
    </row>
    <row r="1633">
      <c r="O1633" s="230"/>
      <c r="T1633" s="230"/>
      <c r="U1633" s="230"/>
      <c r="V1633" s="230"/>
      <c r="W1633" s="230"/>
    </row>
    <row r="1634">
      <c r="O1634" s="230"/>
      <c r="T1634" s="230"/>
      <c r="U1634" s="230"/>
      <c r="V1634" s="230"/>
      <c r="W1634" s="230"/>
    </row>
    <row r="1635">
      <c r="O1635" s="230"/>
      <c r="T1635" s="230"/>
      <c r="U1635" s="230"/>
      <c r="V1635" s="230"/>
      <c r="W1635" s="230"/>
    </row>
    <row r="1636">
      <c r="O1636" s="230"/>
      <c r="T1636" s="230"/>
      <c r="U1636" s="230"/>
      <c r="V1636" s="230"/>
      <c r="W1636" s="230"/>
    </row>
    <row r="1637">
      <c r="O1637" s="230"/>
      <c r="T1637" s="230"/>
      <c r="U1637" s="230"/>
      <c r="V1637" s="230"/>
      <c r="W1637" s="230"/>
    </row>
    <row r="1638">
      <c r="O1638" s="230"/>
      <c r="T1638" s="230"/>
      <c r="U1638" s="230"/>
      <c r="V1638" s="230"/>
      <c r="W1638" s="230"/>
    </row>
    <row r="1639">
      <c r="O1639" s="230"/>
      <c r="T1639" s="230"/>
      <c r="U1639" s="230"/>
      <c r="V1639" s="230"/>
      <c r="W1639" s="230"/>
    </row>
    <row r="1640">
      <c r="O1640" s="230"/>
      <c r="T1640" s="230"/>
      <c r="U1640" s="230"/>
      <c r="V1640" s="230"/>
      <c r="W1640" s="230"/>
    </row>
    <row r="1641">
      <c r="O1641" s="230"/>
      <c r="T1641" s="230"/>
      <c r="U1641" s="230"/>
      <c r="V1641" s="230"/>
      <c r="W1641" s="230"/>
    </row>
    <row r="1642">
      <c r="O1642" s="230"/>
      <c r="T1642" s="230"/>
      <c r="U1642" s="230"/>
      <c r="V1642" s="230"/>
      <c r="W1642" s="230"/>
    </row>
    <row r="1643">
      <c r="O1643" s="230"/>
      <c r="T1643" s="230"/>
      <c r="U1643" s="230"/>
      <c r="V1643" s="230"/>
      <c r="W1643" s="230"/>
    </row>
    <row r="1644">
      <c r="O1644" s="230"/>
      <c r="T1644" s="230"/>
      <c r="U1644" s="230"/>
      <c r="V1644" s="230"/>
      <c r="W1644" s="230"/>
    </row>
    <row r="1645">
      <c r="O1645" s="230"/>
      <c r="T1645" s="230"/>
      <c r="U1645" s="230"/>
      <c r="V1645" s="230"/>
      <c r="W1645" s="230"/>
    </row>
    <row r="1646">
      <c r="O1646" s="230"/>
      <c r="T1646" s="230"/>
      <c r="U1646" s="230"/>
      <c r="V1646" s="230"/>
      <c r="W1646" s="230"/>
    </row>
    <row r="1647">
      <c r="O1647" s="230"/>
      <c r="T1647" s="230"/>
      <c r="U1647" s="230"/>
      <c r="V1647" s="230"/>
      <c r="W1647" s="230"/>
    </row>
    <row r="1648">
      <c r="O1648" s="230"/>
      <c r="T1648" s="230"/>
      <c r="U1648" s="230"/>
      <c r="V1648" s="230"/>
      <c r="W1648" s="230"/>
    </row>
    <row r="1649">
      <c r="O1649" s="230"/>
      <c r="T1649" s="230"/>
      <c r="U1649" s="230"/>
      <c r="V1649" s="230"/>
      <c r="W1649" s="230"/>
    </row>
    <row r="1650">
      <c r="O1650" s="230"/>
      <c r="T1650" s="230"/>
      <c r="U1650" s="230"/>
      <c r="V1650" s="230"/>
      <c r="W1650" s="230"/>
    </row>
    <row r="1651">
      <c r="O1651" s="230"/>
      <c r="T1651" s="230"/>
      <c r="U1651" s="230"/>
      <c r="V1651" s="230"/>
      <c r="W1651" s="230"/>
    </row>
    <row r="1652">
      <c r="O1652" s="230"/>
      <c r="T1652" s="230"/>
      <c r="U1652" s="230"/>
      <c r="V1652" s="230"/>
      <c r="W1652" s="230"/>
    </row>
    <row r="1653">
      <c r="O1653" s="230"/>
      <c r="T1653" s="230"/>
      <c r="U1653" s="230"/>
      <c r="V1653" s="230"/>
      <c r="W1653" s="230"/>
    </row>
    <row r="1654">
      <c r="O1654" s="230"/>
      <c r="T1654" s="230"/>
      <c r="U1654" s="230"/>
      <c r="V1654" s="230"/>
      <c r="W1654" s="230"/>
    </row>
    <row r="1655">
      <c r="O1655" s="230"/>
      <c r="T1655" s="230"/>
      <c r="U1655" s="230"/>
      <c r="V1655" s="230"/>
      <c r="W1655" s="230"/>
    </row>
    <row r="1656">
      <c r="O1656" s="230"/>
      <c r="T1656" s="230"/>
      <c r="U1656" s="230"/>
      <c r="V1656" s="230"/>
      <c r="W1656" s="230"/>
    </row>
    <row r="1657">
      <c r="O1657" s="230"/>
      <c r="T1657" s="230"/>
      <c r="U1657" s="230"/>
      <c r="V1657" s="230"/>
      <c r="W1657" s="230"/>
    </row>
    <row r="1658">
      <c r="O1658" s="230"/>
      <c r="T1658" s="230"/>
      <c r="U1658" s="230"/>
      <c r="V1658" s="230"/>
      <c r="W1658" s="230"/>
    </row>
    <row r="1659">
      <c r="O1659" s="230"/>
      <c r="T1659" s="230"/>
      <c r="U1659" s="230"/>
      <c r="V1659" s="230"/>
      <c r="W1659" s="230"/>
    </row>
    <row r="1660">
      <c r="O1660" s="230"/>
      <c r="T1660" s="230"/>
      <c r="U1660" s="230"/>
      <c r="V1660" s="230"/>
      <c r="W1660" s="230"/>
    </row>
    <row r="1661">
      <c r="O1661" s="230"/>
      <c r="T1661" s="230"/>
      <c r="U1661" s="230"/>
      <c r="V1661" s="230"/>
      <c r="W1661" s="230"/>
    </row>
    <row r="1662">
      <c r="O1662" s="230"/>
      <c r="T1662" s="230"/>
      <c r="U1662" s="230"/>
      <c r="V1662" s="230"/>
      <c r="W1662" s="230"/>
    </row>
    <row r="1663">
      <c r="O1663" s="230"/>
      <c r="T1663" s="230"/>
      <c r="U1663" s="230"/>
      <c r="V1663" s="230"/>
      <c r="W1663" s="230"/>
    </row>
    <row r="1664">
      <c r="O1664" s="230"/>
      <c r="T1664" s="230"/>
      <c r="U1664" s="230"/>
      <c r="V1664" s="230"/>
      <c r="W1664" s="230"/>
    </row>
    <row r="1665">
      <c r="O1665" s="230"/>
      <c r="T1665" s="230"/>
      <c r="U1665" s="230"/>
      <c r="V1665" s="230"/>
      <c r="W1665" s="230"/>
    </row>
    <row r="1666">
      <c r="O1666" s="230"/>
      <c r="T1666" s="230"/>
      <c r="U1666" s="230"/>
      <c r="V1666" s="230"/>
      <c r="W1666" s="230"/>
    </row>
    <row r="1667">
      <c r="O1667" s="230"/>
      <c r="T1667" s="230"/>
      <c r="U1667" s="230"/>
      <c r="V1667" s="230"/>
      <c r="W1667" s="230"/>
    </row>
    <row r="1668">
      <c r="O1668" s="230"/>
      <c r="T1668" s="230"/>
      <c r="U1668" s="230"/>
      <c r="V1668" s="230"/>
      <c r="W1668" s="230"/>
    </row>
    <row r="1669">
      <c r="O1669" s="230"/>
      <c r="T1669" s="230"/>
      <c r="U1669" s="230"/>
      <c r="V1669" s="230"/>
      <c r="W1669" s="230"/>
    </row>
    <row r="1670">
      <c r="O1670" s="230"/>
      <c r="T1670" s="230"/>
      <c r="U1670" s="230"/>
      <c r="V1670" s="230"/>
      <c r="W1670" s="230"/>
    </row>
    <row r="1671">
      <c r="O1671" s="230"/>
      <c r="T1671" s="230"/>
      <c r="U1671" s="230"/>
      <c r="V1671" s="230"/>
      <c r="W1671" s="230"/>
    </row>
    <row r="1672">
      <c r="O1672" s="230"/>
      <c r="T1672" s="230"/>
      <c r="U1672" s="230"/>
      <c r="V1672" s="230"/>
      <c r="W1672" s="230"/>
    </row>
    <row r="1673">
      <c r="O1673" s="230"/>
      <c r="T1673" s="230"/>
      <c r="U1673" s="230"/>
      <c r="V1673" s="230"/>
      <c r="W1673" s="230"/>
    </row>
    <row r="1674">
      <c r="O1674" s="230"/>
      <c r="T1674" s="230"/>
      <c r="U1674" s="230"/>
      <c r="V1674" s="230"/>
      <c r="W1674" s="230"/>
    </row>
    <row r="1675">
      <c r="O1675" s="230"/>
      <c r="T1675" s="230"/>
      <c r="U1675" s="230"/>
      <c r="V1675" s="230"/>
      <c r="W1675" s="230"/>
    </row>
    <row r="1676">
      <c r="O1676" s="230"/>
      <c r="T1676" s="230"/>
      <c r="U1676" s="230"/>
      <c r="V1676" s="230"/>
      <c r="W1676" s="230"/>
    </row>
    <row r="1677">
      <c r="O1677" s="230"/>
      <c r="T1677" s="230"/>
      <c r="U1677" s="230"/>
      <c r="V1677" s="230"/>
      <c r="W1677" s="230"/>
    </row>
    <row r="1678">
      <c r="O1678" s="230"/>
      <c r="T1678" s="230"/>
      <c r="U1678" s="230"/>
      <c r="V1678" s="230"/>
      <c r="W1678" s="230"/>
    </row>
    <row r="1679">
      <c r="O1679" s="230"/>
      <c r="T1679" s="230"/>
      <c r="U1679" s="230"/>
      <c r="V1679" s="230"/>
      <c r="W1679" s="230"/>
    </row>
    <row r="1680">
      <c r="O1680" s="230"/>
      <c r="T1680" s="230"/>
      <c r="U1680" s="230"/>
      <c r="V1680" s="230"/>
      <c r="W1680" s="230"/>
    </row>
    <row r="1681">
      <c r="O1681" s="230"/>
      <c r="T1681" s="230"/>
      <c r="U1681" s="230"/>
      <c r="V1681" s="230"/>
      <c r="W1681" s="230"/>
    </row>
    <row r="1682">
      <c r="O1682" s="230"/>
      <c r="T1682" s="230"/>
      <c r="U1682" s="230"/>
      <c r="V1682" s="230"/>
      <c r="W1682" s="230"/>
    </row>
    <row r="1683">
      <c r="O1683" s="230"/>
      <c r="T1683" s="230"/>
      <c r="U1683" s="230"/>
      <c r="V1683" s="230"/>
      <c r="W1683" s="230"/>
    </row>
    <row r="1684">
      <c r="O1684" s="230"/>
      <c r="T1684" s="230"/>
      <c r="U1684" s="230"/>
      <c r="V1684" s="230"/>
      <c r="W1684" s="230"/>
    </row>
    <row r="1685">
      <c r="O1685" s="230"/>
      <c r="T1685" s="230"/>
      <c r="U1685" s="230"/>
      <c r="V1685" s="230"/>
      <c r="W1685" s="230"/>
    </row>
    <row r="1686">
      <c r="O1686" s="230"/>
      <c r="T1686" s="230"/>
      <c r="U1686" s="230"/>
      <c r="V1686" s="230"/>
      <c r="W1686" s="230"/>
    </row>
    <row r="1687">
      <c r="O1687" s="230"/>
      <c r="T1687" s="230"/>
      <c r="U1687" s="230"/>
      <c r="V1687" s="230"/>
      <c r="W1687" s="230"/>
    </row>
    <row r="1688">
      <c r="O1688" s="230"/>
      <c r="T1688" s="230"/>
      <c r="U1688" s="230"/>
      <c r="V1688" s="230"/>
      <c r="W1688" s="230"/>
    </row>
    <row r="1689">
      <c r="O1689" s="230"/>
      <c r="T1689" s="230"/>
      <c r="U1689" s="230"/>
      <c r="V1689" s="230"/>
      <c r="W1689" s="230"/>
    </row>
    <row r="1690">
      <c r="O1690" s="230"/>
      <c r="T1690" s="230"/>
      <c r="U1690" s="230"/>
      <c r="V1690" s="230"/>
      <c r="W1690" s="230"/>
    </row>
    <row r="1691">
      <c r="O1691" s="230"/>
      <c r="T1691" s="230"/>
      <c r="U1691" s="230"/>
      <c r="V1691" s="230"/>
      <c r="W1691" s="230"/>
    </row>
    <row r="1692">
      <c r="O1692" s="230"/>
      <c r="T1692" s="230"/>
      <c r="U1692" s="230"/>
      <c r="V1692" s="230"/>
      <c r="W1692" s="230"/>
    </row>
    <row r="1693">
      <c r="O1693" s="230"/>
      <c r="T1693" s="230"/>
      <c r="U1693" s="230"/>
      <c r="V1693" s="230"/>
      <c r="W1693" s="230"/>
    </row>
    <row r="1694">
      <c r="O1694" s="230"/>
      <c r="T1694" s="230"/>
      <c r="U1694" s="230"/>
      <c r="V1694" s="230"/>
      <c r="W1694" s="230"/>
    </row>
    <row r="1695">
      <c r="O1695" s="230"/>
      <c r="T1695" s="230"/>
      <c r="U1695" s="230"/>
      <c r="V1695" s="230"/>
      <c r="W1695" s="230"/>
    </row>
    <row r="1696">
      <c r="O1696" s="230"/>
      <c r="T1696" s="230"/>
      <c r="U1696" s="230"/>
      <c r="V1696" s="230"/>
      <c r="W1696" s="230"/>
    </row>
    <row r="1697">
      <c r="O1697" s="230"/>
      <c r="T1697" s="230"/>
      <c r="U1697" s="230"/>
      <c r="V1697" s="230"/>
      <c r="W1697" s="230"/>
    </row>
    <row r="1698">
      <c r="O1698" s="230"/>
      <c r="T1698" s="230"/>
      <c r="U1698" s="230"/>
      <c r="V1698" s="230"/>
      <c r="W1698" s="230"/>
    </row>
    <row r="1699">
      <c r="O1699" s="230"/>
      <c r="T1699" s="230"/>
      <c r="U1699" s="230"/>
      <c r="V1699" s="230"/>
      <c r="W1699" s="230"/>
    </row>
    <row r="1700">
      <c r="O1700" s="230"/>
      <c r="T1700" s="230"/>
      <c r="U1700" s="230"/>
      <c r="V1700" s="230"/>
      <c r="W1700" s="230"/>
    </row>
    <row r="1701">
      <c r="O1701" s="230"/>
      <c r="T1701" s="230"/>
      <c r="U1701" s="230"/>
      <c r="V1701" s="230"/>
      <c r="W1701" s="230"/>
    </row>
    <row r="1702">
      <c r="O1702" s="230"/>
      <c r="T1702" s="230"/>
      <c r="U1702" s="230"/>
      <c r="V1702" s="230"/>
      <c r="W1702" s="230"/>
    </row>
    <row r="1703">
      <c r="O1703" s="230"/>
      <c r="T1703" s="230"/>
      <c r="U1703" s="230"/>
      <c r="V1703" s="230"/>
      <c r="W1703" s="230"/>
    </row>
    <row r="1704">
      <c r="O1704" s="230"/>
      <c r="T1704" s="230"/>
      <c r="U1704" s="230"/>
      <c r="V1704" s="230"/>
      <c r="W1704" s="230"/>
    </row>
    <row r="1705">
      <c r="O1705" s="230"/>
      <c r="T1705" s="230"/>
      <c r="U1705" s="230"/>
      <c r="V1705" s="230"/>
      <c r="W1705" s="230"/>
    </row>
    <row r="1706">
      <c r="O1706" s="230"/>
      <c r="T1706" s="230"/>
      <c r="U1706" s="230"/>
      <c r="V1706" s="230"/>
      <c r="W1706" s="230"/>
    </row>
    <row r="1707">
      <c r="O1707" s="230"/>
      <c r="T1707" s="230"/>
      <c r="U1707" s="230"/>
      <c r="V1707" s="230"/>
      <c r="W1707" s="230"/>
    </row>
    <row r="1708">
      <c r="O1708" s="230"/>
      <c r="T1708" s="230"/>
      <c r="U1708" s="230"/>
      <c r="V1708" s="230"/>
      <c r="W1708" s="230"/>
    </row>
    <row r="1709">
      <c r="O1709" s="230"/>
      <c r="T1709" s="230"/>
      <c r="U1709" s="230"/>
      <c r="V1709" s="230"/>
      <c r="W1709" s="230"/>
    </row>
    <row r="1710">
      <c r="O1710" s="230"/>
      <c r="T1710" s="230"/>
      <c r="U1710" s="230"/>
      <c r="V1710" s="230"/>
      <c r="W1710" s="230"/>
    </row>
    <row r="1711">
      <c r="O1711" s="230"/>
      <c r="T1711" s="230"/>
      <c r="U1711" s="230"/>
      <c r="V1711" s="230"/>
      <c r="W1711" s="230"/>
    </row>
    <row r="1712">
      <c r="O1712" s="230"/>
      <c r="T1712" s="230"/>
      <c r="U1712" s="230"/>
      <c r="V1712" s="230"/>
      <c r="W1712" s="230"/>
    </row>
    <row r="1713">
      <c r="O1713" s="230"/>
      <c r="T1713" s="230"/>
      <c r="U1713" s="230"/>
      <c r="V1713" s="230"/>
      <c r="W1713" s="230"/>
    </row>
    <row r="1714">
      <c r="O1714" s="230"/>
      <c r="T1714" s="230"/>
      <c r="U1714" s="230"/>
      <c r="V1714" s="230"/>
      <c r="W1714" s="230"/>
    </row>
    <row r="1715">
      <c r="O1715" s="230"/>
      <c r="T1715" s="230"/>
      <c r="U1715" s="230"/>
      <c r="V1715" s="230"/>
      <c r="W1715" s="230"/>
    </row>
    <row r="1716">
      <c r="O1716" s="230"/>
      <c r="T1716" s="230"/>
      <c r="U1716" s="230"/>
      <c r="V1716" s="230"/>
      <c r="W1716" s="230"/>
    </row>
    <row r="1717">
      <c r="O1717" s="230"/>
      <c r="T1717" s="230"/>
      <c r="U1717" s="230"/>
      <c r="V1717" s="230"/>
      <c r="W1717" s="230"/>
    </row>
    <row r="1718">
      <c r="O1718" s="230"/>
      <c r="T1718" s="230"/>
      <c r="U1718" s="230"/>
      <c r="V1718" s="230"/>
      <c r="W1718" s="230"/>
    </row>
    <row r="1719">
      <c r="O1719" s="230"/>
      <c r="T1719" s="230"/>
      <c r="U1719" s="230"/>
      <c r="V1719" s="230"/>
      <c r="W1719" s="230"/>
    </row>
    <row r="1720">
      <c r="O1720" s="230"/>
      <c r="T1720" s="230"/>
      <c r="U1720" s="230"/>
      <c r="V1720" s="230"/>
      <c r="W1720" s="230"/>
    </row>
    <row r="1721">
      <c r="O1721" s="230"/>
      <c r="T1721" s="230"/>
      <c r="U1721" s="230"/>
      <c r="V1721" s="230"/>
      <c r="W1721" s="230"/>
    </row>
    <row r="1722">
      <c r="O1722" s="230"/>
      <c r="T1722" s="230"/>
      <c r="U1722" s="230"/>
      <c r="V1722" s="230"/>
      <c r="W1722" s="230"/>
    </row>
    <row r="1723">
      <c r="O1723" s="230"/>
      <c r="T1723" s="230"/>
      <c r="U1723" s="230"/>
      <c r="V1723" s="230"/>
      <c r="W1723" s="230"/>
    </row>
    <row r="1724">
      <c r="O1724" s="230"/>
      <c r="T1724" s="230"/>
      <c r="U1724" s="230"/>
      <c r="V1724" s="230"/>
      <c r="W1724" s="230"/>
    </row>
    <row r="1725">
      <c r="O1725" s="230"/>
      <c r="T1725" s="230"/>
      <c r="U1725" s="230"/>
      <c r="V1725" s="230"/>
      <c r="W1725" s="230"/>
    </row>
    <row r="1726">
      <c r="O1726" s="230"/>
      <c r="T1726" s="230"/>
      <c r="U1726" s="230"/>
      <c r="V1726" s="230"/>
      <c r="W1726" s="230"/>
    </row>
    <row r="1727">
      <c r="O1727" s="230"/>
      <c r="T1727" s="230"/>
      <c r="U1727" s="230"/>
      <c r="V1727" s="230"/>
      <c r="W1727" s="230"/>
    </row>
    <row r="1728">
      <c r="O1728" s="230"/>
      <c r="T1728" s="230"/>
      <c r="U1728" s="230"/>
      <c r="V1728" s="230"/>
      <c r="W1728" s="230"/>
    </row>
    <row r="1729">
      <c r="O1729" s="230"/>
      <c r="T1729" s="230"/>
      <c r="U1729" s="230"/>
      <c r="V1729" s="230"/>
      <c r="W1729" s="230"/>
    </row>
    <row r="1730">
      <c r="O1730" s="230"/>
      <c r="T1730" s="230"/>
      <c r="U1730" s="230"/>
      <c r="V1730" s="230"/>
      <c r="W1730" s="230"/>
    </row>
    <row r="1731">
      <c r="O1731" s="230"/>
      <c r="T1731" s="230"/>
      <c r="U1731" s="230"/>
      <c r="V1731" s="230"/>
      <c r="W1731" s="230"/>
    </row>
    <row r="1732">
      <c r="O1732" s="230"/>
      <c r="T1732" s="230"/>
      <c r="U1732" s="230"/>
      <c r="V1732" s="230"/>
      <c r="W1732" s="230"/>
    </row>
    <row r="1733">
      <c r="O1733" s="230"/>
      <c r="T1733" s="230"/>
      <c r="U1733" s="230"/>
      <c r="V1733" s="230"/>
      <c r="W1733" s="230"/>
    </row>
    <row r="1734">
      <c r="O1734" s="230"/>
      <c r="T1734" s="230"/>
      <c r="U1734" s="230"/>
      <c r="V1734" s="230"/>
      <c r="W1734" s="230"/>
    </row>
    <row r="1735">
      <c r="O1735" s="230"/>
      <c r="T1735" s="230"/>
      <c r="U1735" s="230"/>
      <c r="V1735" s="230"/>
      <c r="W1735" s="230"/>
    </row>
    <row r="1736">
      <c r="O1736" s="230"/>
      <c r="T1736" s="230"/>
      <c r="U1736" s="230"/>
      <c r="V1736" s="230"/>
      <c r="W1736" s="230"/>
    </row>
    <row r="1737">
      <c r="O1737" s="230"/>
      <c r="T1737" s="230"/>
      <c r="U1737" s="230"/>
      <c r="V1737" s="230"/>
      <c r="W1737" s="230"/>
    </row>
    <row r="1738">
      <c r="O1738" s="230"/>
      <c r="T1738" s="230"/>
      <c r="U1738" s="230"/>
      <c r="V1738" s="230"/>
      <c r="W1738" s="230"/>
    </row>
    <row r="1739">
      <c r="O1739" s="230"/>
      <c r="T1739" s="230"/>
      <c r="U1739" s="230"/>
      <c r="V1739" s="230"/>
      <c r="W1739" s="230"/>
    </row>
    <row r="1740">
      <c r="O1740" s="230"/>
      <c r="T1740" s="230"/>
      <c r="U1740" s="230"/>
      <c r="V1740" s="230"/>
      <c r="W1740" s="230"/>
    </row>
    <row r="1741">
      <c r="O1741" s="230"/>
      <c r="T1741" s="230"/>
      <c r="U1741" s="230"/>
      <c r="V1741" s="230"/>
      <c r="W1741" s="230"/>
    </row>
    <row r="1742">
      <c r="O1742" s="230"/>
      <c r="T1742" s="230"/>
      <c r="U1742" s="230"/>
      <c r="V1742" s="230"/>
      <c r="W1742" s="230"/>
    </row>
    <row r="1743">
      <c r="O1743" s="230"/>
      <c r="T1743" s="230"/>
      <c r="U1743" s="230"/>
      <c r="V1743" s="230"/>
      <c r="W1743" s="230"/>
    </row>
    <row r="1744">
      <c r="O1744" s="230"/>
      <c r="T1744" s="230"/>
      <c r="U1744" s="230"/>
      <c r="V1744" s="230"/>
      <c r="W1744" s="230"/>
    </row>
    <row r="1745">
      <c r="O1745" s="230"/>
      <c r="T1745" s="230"/>
      <c r="U1745" s="230"/>
      <c r="V1745" s="230"/>
      <c r="W1745" s="230"/>
    </row>
    <row r="1746">
      <c r="O1746" s="230"/>
      <c r="T1746" s="230"/>
      <c r="U1746" s="230"/>
      <c r="V1746" s="230"/>
      <c r="W1746" s="230"/>
    </row>
    <row r="1747">
      <c r="O1747" s="230"/>
      <c r="T1747" s="230"/>
      <c r="U1747" s="230"/>
      <c r="V1747" s="230"/>
      <c r="W1747" s="230"/>
    </row>
    <row r="1748">
      <c r="O1748" s="230"/>
      <c r="T1748" s="230"/>
      <c r="U1748" s="230"/>
      <c r="V1748" s="230"/>
      <c r="W1748" s="230"/>
    </row>
    <row r="1749">
      <c r="O1749" s="230"/>
      <c r="T1749" s="230"/>
      <c r="U1749" s="230"/>
      <c r="V1749" s="230"/>
      <c r="W1749" s="230"/>
    </row>
    <row r="1750">
      <c r="O1750" s="230"/>
      <c r="T1750" s="230"/>
      <c r="U1750" s="230"/>
      <c r="V1750" s="230"/>
      <c r="W1750" s="230"/>
    </row>
    <row r="1751">
      <c r="O1751" s="230"/>
      <c r="T1751" s="230"/>
      <c r="U1751" s="230"/>
      <c r="V1751" s="230"/>
      <c r="W1751" s="230"/>
    </row>
    <row r="1752">
      <c r="O1752" s="230"/>
      <c r="T1752" s="230"/>
      <c r="U1752" s="230"/>
      <c r="V1752" s="230"/>
      <c r="W1752" s="230"/>
    </row>
    <row r="1753">
      <c r="O1753" s="230"/>
      <c r="T1753" s="230"/>
      <c r="U1753" s="230"/>
      <c r="V1753" s="230"/>
      <c r="W1753" s="230"/>
    </row>
    <row r="1754">
      <c r="O1754" s="230"/>
      <c r="T1754" s="230"/>
      <c r="U1754" s="230"/>
      <c r="V1754" s="230"/>
      <c r="W1754" s="230"/>
    </row>
    <row r="1755">
      <c r="O1755" s="230"/>
      <c r="T1755" s="230"/>
      <c r="U1755" s="230"/>
      <c r="V1755" s="230"/>
      <c r="W1755" s="230"/>
    </row>
    <row r="1756">
      <c r="O1756" s="230"/>
      <c r="T1756" s="230"/>
      <c r="U1756" s="230"/>
      <c r="V1756" s="230"/>
      <c r="W1756" s="230"/>
    </row>
    <row r="1757">
      <c r="O1757" s="230"/>
      <c r="T1757" s="230"/>
      <c r="U1757" s="230"/>
      <c r="V1757" s="230"/>
      <c r="W1757" s="230"/>
    </row>
    <row r="1758">
      <c r="O1758" s="230"/>
      <c r="T1758" s="230"/>
      <c r="U1758" s="230"/>
      <c r="V1758" s="230"/>
      <c r="W1758" s="230"/>
    </row>
    <row r="1759">
      <c r="O1759" s="230"/>
      <c r="T1759" s="230"/>
      <c r="U1759" s="230"/>
      <c r="V1759" s="230"/>
      <c r="W1759" s="230"/>
    </row>
    <row r="1760">
      <c r="O1760" s="230"/>
      <c r="T1760" s="230"/>
      <c r="U1760" s="230"/>
      <c r="V1760" s="230"/>
      <c r="W1760" s="230"/>
    </row>
    <row r="1761">
      <c r="O1761" s="230"/>
      <c r="T1761" s="230"/>
      <c r="U1761" s="230"/>
      <c r="V1761" s="230"/>
      <c r="W1761" s="230"/>
    </row>
    <row r="1762">
      <c r="O1762" s="230"/>
      <c r="T1762" s="230"/>
      <c r="U1762" s="230"/>
      <c r="V1762" s="230"/>
      <c r="W1762" s="230"/>
    </row>
    <row r="1763">
      <c r="O1763" s="230"/>
      <c r="T1763" s="230"/>
      <c r="U1763" s="230"/>
      <c r="V1763" s="230"/>
      <c r="W1763" s="230"/>
    </row>
    <row r="1764">
      <c r="O1764" s="230"/>
      <c r="T1764" s="230"/>
      <c r="U1764" s="230"/>
      <c r="V1764" s="230"/>
      <c r="W1764" s="230"/>
    </row>
    <row r="1765">
      <c r="O1765" s="230"/>
      <c r="T1765" s="230"/>
      <c r="U1765" s="230"/>
      <c r="V1765" s="230"/>
      <c r="W1765" s="230"/>
    </row>
    <row r="1766">
      <c r="O1766" s="230"/>
      <c r="T1766" s="230"/>
      <c r="U1766" s="230"/>
      <c r="V1766" s="230"/>
      <c r="W1766" s="230"/>
    </row>
    <row r="1767">
      <c r="O1767" s="230"/>
      <c r="T1767" s="230"/>
      <c r="U1767" s="230"/>
      <c r="V1767" s="230"/>
      <c r="W1767" s="230"/>
    </row>
    <row r="1768">
      <c r="O1768" s="230"/>
      <c r="T1768" s="230"/>
      <c r="U1768" s="230"/>
      <c r="V1768" s="230"/>
      <c r="W1768" s="230"/>
    </row>
    <row r="1769">
      <c r="O1769" s="230"/>
      <c r="T1769" s="230"/>
      <c r="U1769" s="230"/>
      <c r="V1769" s="230"/>
      <c r="W1769" s="230"/>
    </row>
    <row r="1770">
      <c r="O1770" s="230"/>
      <c r="T1770" s="230"/>
      <c r="U1770" s="230"/>
      <c r="V1770" s="230"/>
      <c r="W1770" s="230"/>
    </row>
    <row r="1771">
      <c r="O1771" s="230"/>
      <c r="T1771" s="230"/>
      <c r="U1771" s="230"/>
      <c r="V1771" s="230"/>
      <c r="W1771" s="230"/>
    </row>
    <row r="1772">
      <c r="O1772" s="230"/>
      <c r="T1772" s="230"/>
      <c r="U1772" s="230"/>
      <c r="V1772" s="230"/>
      <c r="W1772" s="230"/>
    </row>
    <row r="1773">
      <c r="O1773" s="230"/>
      <c r="T1773" s="230"/>
      <c r="U1773" s="230"/>
      <c r="V1773" s="230"/>
      <c r="W1773" s="230"/>
    </row>
    <row r="1774">
      <c r="O1774" s="230"/>
      <c r="T1774" s="230"/>
      <c r="U1774" s="230"/>
      <c r="V1774" s="230"/>
      <c r="W1774" s="230"/>
    </row>
    <row r="1775">
      <c r="O1775" s="230"/>
      <c r="T1775" s="230"/>
      <c r="U1775" s="230"/>
      <c r="V1775" s="230"/>
      <c r="W1775" s="230"/>
    </row>
    <row r="1776">
      <c r="O1776" s="230"/>
      <c r="T1776" s="230"/>
      <c r="U1776" s="230"/>
      <c r="V1776" s="230"/>
      <c r="W1776" s="230"/>
    </row>
    <row r="1777">
      <c r="O1777" s="230"/>
      <c r="T1777" s="230"/>
      <c r="U1777" s="230"/>
      <c r="V1777" s="230"/>
      <c r="W1777" s="230"/>
    </row>
    <row r="1778">
      <c r="O1778" s="230"/>
      <c r="T1778" s="230"/>
      <c r="U1778" s="230"/>
      <c r="V1778" s="230"/>
      <c r="W1778" s="230"/>
    </row>
    <row r="1779">
      <c r="O1779" s="230"/>
      <c r="T1779" s="230"/>
      <c r="U1779" s="230"/>
      <c r="V1779" s="230"/>
      <c r="W1779" s="230"/>
    </row>
    <row r="1780">
      <c r="O1780" s="230"/>
      <c r="T1780" s="230"/>
      <c r="U1780" s="230"/>
      <c r="V1780" s="230"/>
      <c r="W1780" s="230"/>
    </row>
    <row r="1781">
      <c r="O1781" s="230"/>
      <c r="T1781" s="230"/>
      <c r="U1781" s="230"/>
      <c r="V1781" s="230"/>
      <c r="W1781" s="230"/>
    </row>
    <row r="1782">
      <c r="O1782" s="230"/>
      <c r="T1782" s="230"/>
      <c r="U1782" s="230"/>
      <c r="V1782" s="230"/>
      <c r="W1782" s="230"/>
    </row>
    <row r="1783">
      <c r="O1783" s="230"/>
      <c r="T1783" s="230"/>
      <c r="U1783" s="230"/>
      <c r="V1783" s="230"/>
      <c r="W1783" s="230"/>
    </row>
    <row r="1784">
      <c r="O1784" s="230"/>
      <c r="T1784" s="230"/>
      <c r="U1784" s="230"/>
      <c r="V1784" s="230"/>
      <c r="W1784" s="230"/>
    </row>
    <row r="1785">
      <c r="O1785" s="230"/>
      <c r="T1785" s="230"/>
      <c r="U1785" s="230"/>
      <c r="V1785" s="230"/>
      <c r="W1785" s="230"/>
    </row>
    <row r="1786">
      <c r="O1786" s="230"/>
      <c r="T1786" s="230"/>
      <c r="U1786" s="230"/>
      <c r="V1786" s="230"/>
      <c r="W1786" s="230"/>
    </row>
    <row r="1787">
      <c r="O1787" s="230"/>
      <c r="T1787" s="230"/>
      <c r="U1787" s="230"/>
      <c r="V1787" s="230"/>
      <c r="W1787" s="230"/>
    </row>
    <row r="1788">
      <c r="O1788" s="230"/>
      <c r="T1788" s="230"/>
      <c r="U1788" s="230"/>
      <c r="V1788" s="230"/>
      <c r="W1788" s="230"/>
    </row>
    <row r="1789">
      <c r="O1789" s="230"/>
      <c r="T1789" s="230"/>
      <c r="U1789" s="230"/>
      <c r="V1789" s="230"/>
      <c r="W1789" s="230"/>
    </row>
    <row r="1790">
      <c r="O1790" s="230"/>
      <c r="T1790" s="230"/>
      <c r="U1790" s="230"/>
      <c r="V1790" s="230"/>
      <c r="W1790" s="230"/>
    </row>
    <row r="1791">
      <c r="O1791" s="230"/>
      <c r="T1791" s="230"/>
      <c r="U1791" s="230"/>
      <c r="V1791" s="230"/>
      <c r="W1791" s="230"/>
    </row>
    <row r="1792">
      <c r="O1792" s="230"/>
      <c r="T1792" s="230"/>
      <c r="U1792" s="230"/>
      <c r="V1792" s="230"/>
      <c r="W1792" s="230"/>
    </row>
    <row r="1793">
      <c r="O1793" s="230"/>
      <c r="T1793" s="230"/>
      <c r="U1793" s="230"/>
      <c r="V1793" s="230"/>
      <c r="W1793" s="230"/>
    </row>
    <row r="1794">
      <c r="O1794" s="230"/>
      <c r="T1794" s="230"/>
      <c r="U1794" s="230"/>
      <c r="V1794" s="230"/>
      <c r="W1794" s="230"/>
    </row>
    <row r="1795">
      <c r="O1795" s="230"/>
      <c r="T1795" s="230"/>
      <c r="U1795" s="230"/>
      <c r="V1795" s="230"/>
      <c r="W1795" s="230"/>
    </row>
    <row r="1796">
      <c r="O1796" s="230"/>
      <c r="T1796" s="230"/>
      <c r="U1796" s="230"/>
      <c r="V1796" s="230"/>
      <c r="W1796" s="230"/>
    </row>
    <row r="1797">
      <c r="O1797" s="230"/>
      <c r="T1797" s="230"/>
      <c r="U1797" s="230"/>
      <c r="V1797" s="230"/>
      <c r="W1797" s="230"/>
    </row>
    <row r="1798">
      <c r="O1798" s="230"/>
      <c r="T1798" s="230"/>
      <c r="U1798" s="230"/>
      <c r="V1798" s="230"/>
      <c r="W1798" s="230"/>
    </row>
    <row r="1799">
      <c r="O1799" s="230"/>
      <c r="T1799" s="230"/>
      <c r="U1799" s="230"/>
      <c r="V1799" s="230"/>
      <c r="W1799" s="230"/>
    </row>
    <row r="1800">
      <c r="O1800" s="230"/>
      <c r="T1800" s="230"/>
      <c r="U1800" s="230"/>
      <c r="V1800" s="230"/>
      <c r="W1800" s="230"/>
    </row>
    <row r="1801">
      <c r="O1801" s="230"/>
      <c r="T1801" s="230"/>
      <c r="U1801" s="230"/>
      <c r="V1801" s="230"/>
      <c r="W1801" s="230"/>
    </row>
    <row r="1802">
      <c r="O1802" s="230"/>
      <c r="T1802" s="230"/>
      <c r="U1802" s="230"/>
      <c r="V1802" s="230"/>
      <c r="W1802" s="230"/>
    </row>
    <row r="1803">
      <c r="O1803" s="230"/>
      <c r="T1803" s="230"/>
      <c r="U1803" s="230"/>
      <c r="V1803" s="230"/>
      <c r="W1803" s="230"/>
    </row>
    <row r="1804">
      <c r="O1804" s="230"/>
      <c r="T1804" s="230"/>
      <c r="U1804" s="230"/>
      <c r="V1804" s="230"/>
      <c r="W1804" s="230"/>
    </row>
    <row r="1805">
      <c r="O1805" s="230"/>
      <c r="T1805" s="230"/>
      <c r="U1805" s="230"/>
      <c r="V1805" s="230"/>
      <c r="W1805" s="230"/>
    </row>
    <row r="1806">
      <c r="O1806" s="230"/>
      <c r="T1806" s="230"/>
      <c r="U1806" s="230"/>
      <c r="V1806" s="230"/>
      <c r="W1806" s="230"/>
    </row>
    <row r="1807">
      <c r="O1807" s="230"/>
      <c r="T1807" s="230"/>
      <c r="U1807" s="230"/>
      <c r="V1807" s="230"/>
      <c r="W1807" s="230"/>
    </row>
    <row r="1808">
      <c r="O1808" s="230"/>
      <c r="T1808" s="230"/>
      <c r="U1808" s="230"/>
      <c r="V1808" s="230"/>
      <c r="W1808" s="230"/>
    </row>
    <row r="1809">
      <c r="O1809" s="230"/>
      <c r="T1809" s="230"/>
      <c r="U1809" s="230"/>
      <c r="V1809" s="230"/>
      <c r="W1809" s="230"/>
    </row>
    <row r="1810">
      <c r="O1810" s="230"/>
      <c r="T1810" s="230"/>
      <c r="U1810" s="230"/>
      <c r="V1810" s="230"/>
      <c r="W1810" s="230"/>
    </row>
    <row r="1811">
      <c r="O1811" s="230"/>
      <c r="T1811" s="230"/>
      <c r="U1811" s="230"/>
      <c r="V1811" s="230"/>
      <c r="W1811" s="230"/>
    </row>
    <row r="1812">
      <c r="O1812" s="230"/>
      <c r="T1812" s="230"/>
      <c r="U1812" s="230"/>
      <c r="V1812" s="230"/>
      <c r="W1812" s="230"/>
    </row>
    <row r="1813">
      <c r="O1813" s="230"/>
      <c r="T1813" s="230"/>
      <c r="U1813" s="230"/>
      <c r="V1813" s="230"/>
      <c r="W1813" s="230"/>
    </row>
    <row r="1814">
      <c r="O1814" s="230"/>
      <c r="T1814" s="230"/>
      <c r="U1814" s="230"/>
      <c r="V1814" s="230"/>
      <c r="W1814" s="230"/>
    </row>
    <row r="1815">
      <c r="O1815" s="230"/>
      <c r="T1815" s="230"/>
      <c r="U1815" s="230"/>
      <c r="V1815" s="230"/>
      <c r="W1815" s="230"/>
    </row>
    <row r="1816">
      <c r="O1816" s="230"/>
      <c r="T1816" s="230"/>
      <c r="U1816" s="230"/>
      <c r="V1816" s="230"/>
      <c r="W1816" s="230"/>
    </row>
    <row r="1817">
      <c r="O1817" s="230"/>
      <c r="T1817" s="230"/>
      <c r="U1817" s="230"/>
      <c r="V1817" s="230"/>
      <c r="W1817" s="230"/>
    </row>
    <row r="1818">
      <c r="O1818" s="230"/>
      <c r="T1818" s="230"/>
      <c r="U1818" s="230"/>
      <c r="V1818" s="230"/>
      <c r="W1818" s="230"/>
    </row>
    <row r="1819">
      <c r="O1819" s="230"/>
      <c r="T1819" s="230"/>
      <c r="U1819" s="230"/>
      <c r="V1819" s="230"/>
      <c r="W1819" s="230"/>
    </row>
    <row r="1820">
      <c r="O1820" s="230"/>
      <c r="T1820" s="230"/>
      <c r="U1820" s="230"/>
      <c r="V1820" s="230"/>
      <c r="W1820" s="230"/>
    </row>
    <row r="1821">
      <c r="O1821" s="230"/>
      <c r="T1821" s="230"/>
      <c r="U1821" s="230"/>
      <c r="V1821" s="230"/>
      <c r="W1821" s="230"/>
    </row>
    <row r="1822">
      <c r="O1822" s="230"/>
      <c r="T1822" s="230"/>
      <c r="U1822" s="230"/>
      <c r="V1822" s="230"/>
      <c r="W1822" s="230"/>
    </row>
    <row r="1823">
      <c r="O1823" s="230"/>
      <c r="T1823" s="230"/>
      <c r="U1823" s="230"/>
      <c r="V1823" s="230"/>
      <c r="W1823" s="230"/>
    </row>
    <row r="1824">
      <c r="O1824" s="230"/>
      <c r="T1824" s="230"/>
      <c r="U1824" s="230"/>
      <c r="V1824" s="230"/>
      <c r="W1824" s="230"/>
    </row>
    <row r="1825">
      <c r="O1825" s="230"/>
      <c r="T1825" s="230"/>
      <c r="U1825" s="230"/>
      <c r="V1825" s="230"/>
      <c r="W1825" s="230"/>
    </row>
    <row r="1826">
      <c r="O1826" s="230"/>
      <c r="T1826" s="230"/>
      <c r="U1826" s="230"/>
      <c r="V1826" s="230"/>
      <c r="W1826" s="230"/>
    </row>
    <row r="1827">
      <c r="O1827" s="230"/>
      <c r="T1827" s="230"/>
      <c r="U1827" s="230"/>
      <c r="V1827" s="230"/>
      <c r="W1827" s="230"/>
    </row>
    <row r="1828">
      <c r="O1828" s="230"/>
      <c r="T1828" s="230"/>
      <c r="U1828" s="230"/>
      <c r="V1828" s="230"/>
      <c r="W1828" s="230"/>
    </row>
    <row r="1829">
      <c r="O1829" s="230"/>
      <c r="T1829" s="230"/>
      <c r="U1829" s="230"/>
      <c r="V1829" s="230"/>
      <c r="W1829" s="230"/>
    </row>
    <row r="1830">
      <c r="O1830" s="230"/>
      <c r="T1830" s="230"/>
      <c r="U1830" s="230"/>
      <c r="V1830" s="230"/>
      <c r="W1830" s="230"/>
    </row>
    <row r="1831">
      <c r="O1831" s="230"/>
      <c r="T1831" s="230"/>
      <c r="U1831" s="230"/>
      <c r="V1831" s="230"/>
      <c r="W1831" s="230"/>
    </row>
    <row r="1832">
      <c r="O1832" s="230"/>
      <c r="T1832" s="230"/>
      <c r="U1832" s="230"/>
      <c r="V1832" s="230"/>
      <c r="W1832" s="230"/>
    </row>
    <row r="1833">
      <c r="O1833" s="230"/>
      <c r="T1833" s="230"/>
      <c r="U1833" s="230"/>
      <c r="V1833" s="230"/>
      <c r="W1833" s="230"/>
    </row>
    <row r="1834">
      <c r="O1834" s="230"/>
      <c r="T1834" s="230"/>
      <c r="U1834" s="230"/>
      <c r="V1834" s="230"/>
      <c r="W1834" s="230"/>
    </row>
    <row r="1835">
      <c r="O1835" s="230"/>
      <c r="T1835" s="230"/>
      <c r="U1835" s="230"/>
      <c r="V1835" s="230"/>
      <c r="W1835" s="230"/>
    </row>
    <row r="1836">
      <c r="O1836" s="230"/>
      <c r="T1836" s="230"/>
      <c r="U1836" s="230"/>
      <c r="V1836" s="230"/>
      <c r="W1836" s="230"/>
    </row>
    <row r="1837">
      <c r="O1837" s="230"/>
      <c r="T1837" s="230"/>
      <c r="U1837" s="230"/>
      <c r="V1837" s="230"/>
      <c r="W1837" s="230"/>
    </row>
    <row r="1838">
      <c r="O1838" s="230"/>
      <c r="T1838" s="230"/>
      <c r="U1838" s="230"/>
      <c r="V1838" s="230"/>
      <c r="W1838" s="230"/>
    </row>
    <row r="1839">
      <c r="O1839" s="230"/>
      <c r="T1839" s="230"/>
      <c r="U1839" s="230"/>
      <c r="V1839" s="230"/>
      <c r="W1839" s="230"/>
    </row>
    <row r="1840">
      <c r="O1840" s="230"/>
      <c r="T1840" s="230"/>
      <c r="U1840" s="230"/>
      <c r="V1840" s="230"/>
      <c r="W1840" s="230"/>
    </row>
    <row r="1841">
      <c r="O1841" s="230"/>
      <c r="T1841" s="230"/>
      <c r="U1841" s="230"/>
      <c r="V1841" s="230"/>
      <c r="W1841" s="230"/>
    </row>
    <row r="1842">
      <c r="O1842" s="230"/>
      <c r="T1842" s="230"/>
      <c r="U1842" s="230"/>
      <c r="V1842" s="230"/>
      <c r="W1842" s="230"/>
    </row>
    <row r="1843">
      <c r="O1843" s="230"/>
      <c r="T1843" s="230"/>
      <c r="U1843" s="230"/>
      <c r="V1843" s="230"/>
      <c r="W1843" s="230"/>
    </row>
    <row r="1844">
      <c r="O1844" s="230"/>
      <c r="T1844" s="230"/>
      <c r="U1844" s="230"/>
      <c r="V1844" s="230"/>
      <c r="W1844" s="230"/>
    </row>
    <row r="1845">
      <c r="O1845" s="230"/>
      <c r="T1845" s="230"/>
      <c r="U1845" s="230"/>
      <c r="V1845" s="230"/>
      <c r="W1845" s="230"/>
    </row>
    <row r="1846">
      <c r="O1846" s="230"/>
      <c r="T1846" s="230"/>
      <c r="U1846" s="230"/>
      <c r="V1846" s="230"/>
      <c r="W1846" s="230"/>
    </row>
    <row r="1847">
      <c r="O1847" s="230"/>
      <c r="T1847" s="230"/>
      <c r="U1847" s="230"/>
      <c r="V1847" s="230"/>
      <c r="W1847" s="230"/>
    </row>
    <row r="1848">
      <c r="O1848" s="230"/>
      <c r="T1848" s="230"/>
      <c r="U1848" s="230"/>
      <c r="V1848" s="230"/>
      <c r="W1848" s="230"/>
    </row>
    <row r="1849">
      <c r="O1849" s="230"/>
      <c r="T1849" s="230"/>
      <c r="U1849" s="230"/>
      <c r="V1849" s="230"/>
      <c r="W1849" s="230"/>
    </row>
    <row r="1850">
      <c r="O1850" s="230"/>
      <c r="T1850" s="230"/>
      <c r="U1850" s="230"/>
      <c r="V1850" s="230"/>
      <c r="W1850" s="230"/>
    </row>
    <row r="1851">
      <c r="O1851" s="230"/>
      <c r="T1851" s="230"/>
      <c r="U1851" s="230"/>
      <c r="V1851" s="230"/>
      <c r="W1851" s="230"/>
    </row>
    <row r="1852">
      <c r="O1852" s="230"/>
      <c r="T1852" s="230"/>
      <c r="U1852" s="230"/>
      <c r="V1852" s="230"/>
      <c r="W1852" s="230"/>
    </row>
    <row r="1853">
      <c r="O1853" s="230"/>
      <c r="T1853" s="230"/>
      <c r="U1853" s="230"/>
      <c r="V1853" s="230"/>
      <c r="W1853" s="230"/>
    </row>
    <row r="1854">
      <c r="O1854" s="230"/>
      <c r="T1854" s="230"/>
      <c r="U1854" s="230"/>
      <c r="V1854" s="230"/>
      <c r="W1854" s="230"/>
    </row>
    <row r="1855">
      <c r="O1855" s="230"/>
      <c r="T1855" s="230"/>
      <c r="U1855" s="230"/>
      <c r="V1855" s="230"/>
      <c r="W1855" s="230"/>
    </row>
    <row r="1856">
      <c r="O1856" s="230"/>
      <c r="T1856" s="230"/>
      <c r="U1856" s="230"/>
      <c r="V1856" s="230"/>
      <c r="W1856" s="230"/>
    </row>
    <row r="1857">
      <c r="O1857" s="230"/>
      <c r="T1857" s="230"/>
      <c r="U1857" s="230"/>
      <c r="V1857" s="230"/>
      <c r="W1857" s="230"/>
    </row>
    <row r="1858">
      <c r="O1858" s="230"/>
      <c r="T1858" s="230"/>
      <c r="U1858" s="230"/>
      <c r="V1858" s="230"/>
      <c r="W1858" s="230"/>
    </row>
    <row r="1859">
      <c r="O1859" s="230"/>
      <c r="T1859" s="230"/>
      <c r="U1859" s="230"/>
      <c r="V1859" s="230"/>
      <c r="W1859" s="230"/>
    </row>
    <row r="1860">
      <c r="O1860" s="230"/>
      <c r="T1860" s="230"/>
      <c r="U1860" s="230"/>
      <c r="V1860" s="230"/>
      <c r="W1860" s="230"/>
    </row>
    <row r="1861">
      <c r="O1861" s="230"/>
      <c r="T1861" s="230"/>
      <c r="U1861" s="230"/>
      <c r="V1861" s="230"/>
      <c r="W1861" s="230"/>
    </row>
    <row r="1862">
      <c r="O1862" s="230"/>
      <c r="T1862" s="230"/>
      <c r="U1862" s="230"/>
      <c r="V1862" s="230"/>
      <c r="W1862" s="230"/>
    </row>
    <row r="1863">
      <c r="O1863" s="230"/>
      <c r="T1863" s="230"/>
      <c r="U1863" s="230"/>
      <c r="V1863" s="230"/>
      <c r="W1863" s="230"/>
    </row>
    <row r="1864">
      <c r="O1864" s="230"/>
      <c r="T1864" s="230"/>
      <c r="U1864" s="230"/>
      <c r="V1864" s="230"/>
      <c r="W1864" s="230"/>
    </row>
    <row r="1865">
      <c r="O1865" s="230"/>
      <c r="T1865" s="230"/>
      <c r="U1865" s="230"/>
      <c r="V1865" s="230"/>
      <c r="W1865" s="230"/>
    </row>
    <row r="1866">
      <c r="O1866" s="230"/>
      <c r="T1866" s="230"/>
      <c r="U1866" s="230"/>
      <c r="V1866" s="230"/>
      <c r="W1866" s="230"/>
    </row>
    <row r="1867">
      <c r="O1867" s="230"/>
      <c r="T1867" s="230"/>
      <c r="U1867" s="230"/>
      <c r="V1867" s="230"/>
      <c r="W1867" s="230"/>
    </row>
    <row r="1868">
      <c r="O1868" s="230"/>
      <c r="T1868" s="230"/>
      <c r="U1868" s="230"/>
      <c r="V1868" s="230"/>
      <c r="W1868" s="230"/>
    </row>
    <row r="1869">
      <c r="O1869" s="230"/>
      <c r="T1869" s="230"/>
      <c r="U1869" s="230"/>
      <c r="V1869" s="230"/>
      <c r="W1869" s="230"/>
    </row>
    <row r="1870">
      <c r="O1870" s="230"/>
      <c r="T1870" s="230"/>
      <c r="U1870" s="230"/>
      <c r="V1870" s="230"/>
      <c r="W1870" s="230"/>
    </row>
    <row r="1871">
      <c r="O1871" s="230"/>
      <c r="T1871" s="230"/>
      <c r="U1871" s="230"/>
      <c r="V1871" s="230"/>
      <c r="W1871" s="230"/>
    </row>
    <row r="1872">
      <c r="O1872" s="230"/>
      <c r="T1872" s="230"/>
      <c r="U1872" s="230"/>
      <c r="V1872" s="230"/>
      <c r="W1872" s="230"/>
    </row>
    <row r="1873">
      <c r="O1873" s="230"/>
      <c r="T1873" s="230"/>
      <c r="U1873" s="230"/>
      <c r="V1873" s="230"/>
      <c r="W1873" s="230"/>
    </row>
    <row r="1874">
      <c r="O1874" s="230"/>
      <c r="T1874" s="230"/>
      <c r="U1874" s="230"/>
      <c r="V1874" s="230"/>
      <c r="W1874" s="230"/>
    </row>
    <row r="1875">
      <c r="O1875" s="230"/>
      <c r="T1875" s="230"/>
      <c r="U1875" s="230"/>
      <c r="V1875" s="230"/>
      <c r="W1875" s="230"/>
    </row>
    <row r="1876">
      <c r="O1876" s="230"/>
      <c r="T1876" s="230"/>
      <c r="U1876" s="230"/>
      <c r="V1876" s="230"/>
      <c r="W1876" s="230"/>
    </row>
    <row r="1877">
      <c r="O1877" s="230"/>
      <c r="T1877" s="230"/>
      <c r="U1877" s="230"/>
      <c r="V1877" s="230"/>
      <c r="W1877" s="230"/>
    </row>
    <row r="1878">
      <c r="O1878" s="230"/>
      <c r="T1878" s="230"/>
      <c r="U1878" s="230"/>
      <c r="V1878" s="230"/>
      <c r="W1878" s="230"/>
    </row>
    <row r="1879">
      <c r="O1879" s="230"/>
      <c r="T1879" s="230"/>
      <c r="U1879" s="230"/>
      <c r="V1879" s="230"/>
      <c r="W1879" s="230"/>
    </row>
    <row r="1880">
      <c r="O1880" s="230"/>
      <c r="T1880" s="230"/>
      <c r="U1880" s="230"/>
      <c r="V1880" s="230"/>
      <c r="W1880" s="230"/>
    </row>
    <row r="1881">
      <c r="O1881" s="230"/>
      <c r="T1881" s="230"/>
      <c r="U1881" s="230"/>
      <c r="V1881" s="230"/>
      <c r="W1881" s="230"/>
    </row>
    <row r="1882">
      <c r="O1882" s="230"/>
      <c r="T1882" s="230"/>
      <c r="U1882" s="230"/>
      <c r="V1882" s="230"/>
      <c r="W1882" s="230"/>
    </row>
    <row r="1883">
      <c r="O1883" s="230"/>
      <c r="T1883" s="230"/>
      <c r="U1883" s="230"/>
      <c r="V1883" s="230"/>
      <c r="W1883" s="230"/>
    </row>
    <row r="1884">
      <c r="O1884" s="230"/>
      <c r="T1884" s="230"/>
      <c r="U1884" s="230"/>
      <c r="V1884" s="230"/>
      <c r="W1884" s="230"/>
    </row>
    <row r="1885">
      <c r="O1885" s="230"/>
      <c r="T1885" s="230"/>
      <c r="U1885" s="230"/>
      <c r="V1885" s="230"/>
      <c r="W1885" s="230"/>
    </row>
    <row r="1886">
      <c r="O1886" s="230"/>
      <c r="T1886" s="230"/>
      <c r="U1886" s="230"/>
      <c r="V1886" s="230"/>
      <c r="W1886" s="230"/>
    </row>
    <row r="1887">
      <c r="O1887" s="230"/>
      <c r="T1887" s="230"/>
      <c r="U1887" s="230"/>
      <c r="V1887" s="230"/>
      <c r="W1887" s="230"/>
    </row>
    <row r="1888">
      <c r="O1888" s="230"/>
      <c r="T1888" s="230"/>
      <c r="U1888" s="230"/>
      <c r="V1888" s="230"/>
      <c r="W1888" s="230"/>
    </row>
    <row r="1889">
      <c r="O1889" s="230"/>
      <c r="T1889" s="230"/>
      <c r="U1889" s="230"/>
      <c r="V1889" s="230"/>
      <c r="W1889" s="230"/>
    </row>
    <row r="1890">
      <c r="O1890" s="230"/>
      <c r="T1890" s="230"/>
      <c r="U1890" s="230"/>
      <c r="V1890" s="230"/>
      <c r="W1890" s="230"/>
    </row>
    <row r="1891">
      <c r="O1891" s="230"/>
      <c r="T1891" s="230"/>
      <c r="U1891" s="230"/>
      <c r="V1891" s="230"/>
      <c r="W1891" s="230"/>
    </row>
    <row r="1892">
      <c r="O1892" s="230"/>
      <c r="T1892" s="230"/>
      <c r="U1892" s="230"/>
      <c r="V1892" s="230"/>
      <c r="W1892" s="230"/>
    </row>
    <row r="1893">
      <c r="O1893" s="230"/>
      <c r="T1893" s="230"/>
      <c r="U1893" s="230"/>
      <c r="V1893" s="230"/>
      <c r="W1893" s="230"/>
    </row>
    <row r="1894">
      <c r="O1894" s="230"/>
      <c r="T1894" s="230"/>
      <c r="U1894" s="230"/>
      <c r="V1894" s="230"/>
      <c r="W1894" s="230"/>
    </row>
    <row r="1895">
      <c r="O1895" s="230"/>
      <c r="T1895" s="230"/>
      <c r="U1895" s="230"/>
      <c r="V1895" s="230"/>
      <c r="W1895" s="230"/>
    </row>
    <row r="1896">
      <c r="O1896" s="230"/>
      <c r="T1896" s="230"/>
      <c r="U1896" s="230"/>
      <c r="V1896" s="230"/>
      <c r="W1896" s="230"/>
    </row>
    <row r="1897">
      <c r="O1897" s="230"/>
      <c r="T1897" s="230"/>
      <c r="U1897" s="230"/>
      <c r="V1897" s="230"/>
      <c r="W1897" s="230"/>
    </row>
    <row r="1898">
      <c r="O1898" s="230"/>
      <c r="T1898" s="230"/>
      <c r="U1898" s="230"/>
      <c r="V1898" s="230"/>
      <c r="W1898" s="230"/>
    </row>
    <row r="1899">
      <c r="O1899" s="230"/>
      <c r="T1899" s="230"/>
      <c r="U1899" s="230"/>
      <c r="V1899" s="230"/>
      <c r="W1899" s="230"/>
    </row>
    <row r="1900">
      <c r="O1900" s="230"/>
      <c r="T1900" s="230"/>
      <c r="U1900" s="230"/>
      <c r="V1900" s="230"/>
      <c r="W1900" s="230"/>
    </row>
    <row r="1901">
      <c r="O1901" s="230"/>
      <c r="T1901" s="230"/>
      <c r="U1901" s="230"/>
      <c r="V1901" s="230"/>
      <c r="W1901" s="230"/>
    </row>
    <row r="1902">
      <c r="O1902" s="230"/>
      <c r="T1902" s="230"/>
      <c r="U1902" s="230"/>
      <c r="V1902" s="230"/>
      <c r="W1902" s="230"/>
    </row>
    <row r="1903">
      <c r="O1903" s="230"/>
      <c r="T1903" s="230"/>
      <c r="U1903" s="230"/>
      <c r="V1903" s="230"/>
      <c r="W1903" s="230"/>
    </row>
    <row r="1904">
      <c r="O1904" s="230"/>
      <c r="T1904" s="230"/>
      <c r="U1904" s="230"/>
      <c r="V1904" s="230"/>
      <c r="W1904" s="230"/>
    </row>
    <row r="1905">
      <c r="O1905" s="230"/>
      <c r="T1905" s="230"/>
      <c r="U1905" s="230"/>
      <c r="V1905" s="230"/>
      <c r="W1905" s="230"/>
    </row>
    <row r="1906">
      <c r="O1906" s="230"/>
      <c r="T1906" s="230"/>
      <c r="U1906" s="230"/>
      <c r="V1906" s="230"/>
      <c r="W1906" s="230"/>
    </row>
    <row r="1907">
      <c r="O1907" s="230"/>
      <c r="T1907" s="230"/>
      <c r="U1907" s="230"/>
      <c r="V1907" s="230"/>
      <c r="W1907" s="230"/>
    </row>
    <row r="1908">
      <c r="O1908" s="230"/>
      <c r="T1908" s="230"/>
      <c r="U1908" s="230"/>
      <c r="V1908" s="230"/>
      <c r="W1908" s="230"/>
    </row>
    <row r="1909">
      <c r="O1909" s="230"/>
      <c r="T1909" s="230"/>
      <c r="U1909" s="230"/>
      <c r="V1909" s="230"/>
      <c r="W1909" s="230"/>
    </row>
    <row r="1910">
      <c r="O1910" s="230"/>
      <c r="T1910" s="230"/>
      <c r="U1910" s="230"/>
      <c r="V1910" s="230"/>
      <c r="W1910" s="230"/>
    </row>
    <row r="1911">
      <c r="O1911" s="230"/>
      <c r="T1911" s="230"/>
      <c r="U1911" s="230"/>
      <c r="V1911" s="230"/>
      <c r="W1911" s="230"/>
    </row>
    <row r="1912">
      <c r="O1912" s="230"/>
      <c r="T1912" s="230"/>
      <c r="U1912" s="230"/>
      <c r="V1912" s="230"/>
      <c r="W1912" s="230"/>
    </row>
    <row r="1913">
      <c r="O1913" s="230"/>
      <c r="T1913" s="230"/>
      <c r="U1913" s="230"/>
      <c r="V1913" s="230"/>
      <c r="W1913" s="230"/>
    </row>
    <row r="1914">
      <c r="O1914" s="230"/>
      <c r="T1914" s="230"/>
      <c r="U1914" s="230"/>
      <c r="V1914" s="230"/>
      <c r="W1914" s="230"/>
    </row>
    <row r="1915">
      <c r="O1915" s="230"/>
      <c r="T1915" s="230"/>
      <c r="U1915" s="230"/>
      <c r="V1915" s="230"/>
      <c r="W1915" s="230"/>
    </row>
    <row r="1916">
      <c r="O1916" s="230"/>
      <c r="T1916" s="230"/>
      <c r="U1916" s="230"/>
      <c r="V1916" s="230"/>
      <c r="W1916" s="230"/>
    </row>
    <row r="1917">
      <c r="O1917" s="230"/>
      <c r="T1917" s="230"/>
      <c r="U1917" s="230"/>
      <c r="V1917" s="230"/>
      <c r="W1917" s="230"/>
    </row>
    <row r="1918">
      <c r="O1918" s="230"/>
      <c r="T1918" s="230"/>
      <c r="U1918" s="230"/>
      <c r="V1918" s="230"/>
      <c r="W1918" s="230"/>
    </row>
    <row r="1919">
      <c r="O1919" s="230"/>
      <c r="T1919" s="230"/>
      <c r="U1919" s="230"/>
      <c r="V1919" s="230"/>
      <c r="W1919" s="230"/>
    </row>
    <row r="1920">
      <c r="O1920" s="230"/>
      <c r="T1920" s="230"/>
      <c r="U1920" s="230"/>
      <c r="V1920" s="230"/>
      <c r="W1920" s="230"/>
    </row>
    <row r="1921">
      <c r="O1921" s="230"/>
      <c r="T1921" s="230"/>
      <c r="U1921" s="230"/>
      <c r="V1921" s="230"/>
      <c r="W1921" s="230"/>
    </row>
    <row r="1922">
      <c r="O1922" s="230"/>
      <c r="T1922" s="230"/>
      <c r="U1922" s="230"/>
      <c r="V1922" s="230"/>
      <c r="W1922" s="230"/>
    </row>
    <row r="1923">
      <c r="O1923" s="230"/>
      <c r="T1923" s="230"/>
      <c r="U1923" s="230"/>
      <c r="V1923" s="230"/>
      <c r="W1923" s="230"/>
    </row>
    <row r="1924">
      <c r="O1924" s="230"/>
      <c r="T1924" s="230"/>
      <c r="U1924" s="230"/>
      <c r="V1924" s="230"/>
      <c r="W1924" s="230"/>
    </row>
    <row r="1925">
      <c r="O1925" s="230"/>
      <c r="T1925" s="230"/>
      <c r="U1925" s="230"/>
      <c r="V1925" s="230"/>
      <c r="W1925" s="230"/>
    </row>
    <row r="1926">
      <c r="O1926" s="230"/>
      <c r="T1926" s="230"/>
      <c r="U1926" s="230"/>
      <c r="V1926" s="230"/>
      <c r="W1926" s="230"/>
    </row>
    <row r="1927">
      <c r="O1927" s="230"/>
      <c r="T1927" s="230"/>
      <c r="U1927" s="230"/>
      <c r="V1927" s="230"/>
      <c r="W1927" s="230"/>
    </row>
    <row r="1928">
      <c r="O1928" s="230"/>
      <c r="T1928" s="230"/>
      <c r="U1928" s="230"/>
      <c r="V1928" s="230"/>
      <c r="W1928" s="230"/>
    </row>
    <row r="1929">
      <c r="O1929" s="230"/>
      <c r="T1929" s="230"/>
      <c r="U1929" s="230"/>
      <c r="V1929" s="230"/>
      <c r="W1929" s="230"/>
    </row>
    <row r="1930">
      <c r="O1930" s="230"/>
      <c r="T1930" s="230"/>
      <c r="U1930" s="230"/>
      <c r="V1930" s="230"/>
      <c r="W1930" s="230"/>
    </row>
    <row r="1931">
      <c r="O1931" s="230"/>
      <c r="T1931" s="230"/>
      <c r="U1931" s="230"/>
      <c r="V1931" s="230"/>
      <c r="W1931" s="230"/>
    </row>
    <row r="1932">
      <c r="O1932" s="230"/>
      <c r="T1932" s="230"/>
      <c r="U1932" s="230"/>
      <c r="V1932" s="230"/>
      <c r="W1932" s="230"/>
    </row>
    <row r="1933">
      <c r="O1933" s="230"/>
      <c r="T1933" s="230"/>
      <c r="U1933" s="230"/>
      <c r="V1933" s="230"/>
      <c r="W1933" s="230"/>
    </row>
    <row r="1934">
      <c r="O1934" s="230"/>
      <c r="T1934" s="230"/>
      <c r="U1934" s="230"/>
      <c r="V1934" s="230"/>
      <c r="W1934" s="230"/>
    </row>
    <row r="1935">
      <c r="O1935" s="230"/>
      <c r="T1935" s="230"/>
      <c r="U1935" s="230"/>
      <c r="V1935" s="230"/>
      <c r="W1935" s="230"/>
    </row>
    <row r="1936">
      <c r="O1936" s="230"/>
      <c r="T1936" s="230"/>
      <c r="U1936" s="230"/>
      <c r="V1936" s="230"/>
      <c r="W1936" s="230"/>
    </row>
    <row r="1937">
      <c r="O1937" s="230"/>
      <c r="T1937" s="230"/>
      <c r="U1937" s="230"/>
      <c r="V1937" s="230"/>
      <c r="W1937" s="230"/>
    </row>
    <row r="1938">
      <c r="O1938" s="230"/>
      <c r="T1938" s="230"/>
      <c r="U1938" s="230"/>
      <c r="V1938" s="230"/>
      <c r="W1938" s="230"/>
    </row>
    <row r="1939">
      <c r="O1939" s="230"/>
      <c r="T1939" s="230"/>
      <c r="U1939" s="230"/>
      <c r="V1939" s="230"/>
      <c r="W1939" s="230"/>
    </row>
    <row r="1940">
      <c r="O1940" s="230"/>
      <c r="T1940" s="230"/>
      <c r="U1940" s="230"/>
      <c r="V1940" s="230"/>
      <c r="W1940" s="230"/>
    </row>
    <row r="1941">
      <c r="O1941" s="230"/>
      <c r="T1941" s="230"/>
      <c r="U1941" s="230"/>
      <c r="V1941" s="230"/>
      <c r="W1941" s="230"/>
    </row>
    <row r="1942">
      <c r="O1942" s="230"/>
      <c r="T1942" s="230"/>
      <c r="U1942" s="230"/>
      <c r="V1942" s="230"/>
      <c r="W1942" s="230"/>
    </row>
    <row r="1943">
      <c r="O1943" s="230"/>
      <c r="T1943" s="230"/>
      <c r="U1943" s="230"/>
      <c r="V1943" s="230"/>
      <c r="W1943" s="230"/>
    </row>
    <row r="1944">
      <c r="O1944" s="230"/>
      <c r="T1944" s="230"/>
      <c r="U1944" s="230"/>
      <c r="V1944" s="230"/>
      <c r="W1944" s="230"/>
    </row>
    <row r="1945">
      <c r="O1945" s="230"/>
      <c r="T1945" s="230"/>
      <c r="U1945" s="230"/>
      <c r="V1945" s="230"/>
      <c r="W1945" s="230"/>
    </row>
    <row r="1946">
      <c r="O1946" s="230"/>
      <c r="T1946" s="230"/>
      <c r="U1946" s="230"/>
      <c r="V1946" s="230"/>
      <c r="W1946" s="230"/>
    </row>
    <row r="1947">
      <c r="O1947" s="230"/>
      <c r="T1947" s="230"/>
      <c r="U1947" s="230"/>
      <c r="V1947" s="230"/>
      <c r="W1947" s="230"/>
    </row>
    <row r="1948">
      <c r="O1948" s="230"/>
      <c r="T1948" s="230"/>
      <c r="U1948" s="230"/>
      <c r="V1948" s="230"/>
      <c r="W1948" s="230"/>
    </row>
    <row r="1949">
      <c r="O1949" s="230"/>
      <c r="T1949" s="230"/>
      <c r="U1949" s="230"/>
      <c r="V1949" s="230"/>
      <c r="W1949" s="230"/>
    </row>
    <row r="1950">
      <c r="O1950" s="230"/>
      <c r="T1950" s="230"/>
      <c r="U1950" s="230"/>
      <c r="V1950" s="230"/>
      <c r="W1950" s="230"/>
    </row>
    <row r="1951">
      <c r="O1951" s="230"/>
      <c r="T1951" s="230"/>
      <c r="U1951" s="230"/>
      <c r="V1951" s="230"/>
      <c r="W1951" s="230"/>
    </row>
    <row r="1952">
      <c r="O1952" s="230"/>
      <c r="T1952" s="230"/>
      <c r="U1952" s="230"/>
      <c r="V1952" s="230"/>
      <c r="W1952" s="230"/>
    </row>
    <row r="1953">
      <c r="O1953" s="230"/>
      <c r="T1953" s="230"/>
      <c r="U1953" s="230"/>
      <c r="V1953" s="230"/>
      <c r="W1953" s="230"/>
    </row>
    <row r="1954">
      <c r="O1954" s="230"/>
      <c r="T1954" s="230"/>
      <c r="U1954" s="230"/>
      <c r="V1954" s="230"/>
      <c r="W1954" s="230"/>
    </row>
    <row r="1955">
      <c r="O1955" s="230"/>
      <c r="T1955" s="230"/>
      <c r="U1955" s="230"/>
      <c r="V1955" s="230"/>
      <c r="W1955" s="230"/>
    </row>
    <row r="1956">
      <c r="O1956" s="230"/>
      <c r="T1956" s="230"/>
      <c r="U1956" s="230"/>
      <c r="V1956" s="230"/>
      <c r="W1956" s="230"/>
    </row>
    <row r="1957">
      <c r="O1957" s="230"/>
      <c r="T1957" s="230"/>
      <c r="U1957" s="230"/>
      <c r="V1957" s="230"/>
      <c r="W1957" s="230"/>
    </row>
    <row r="1958">
      <c r="O1958" s="230"/>
      <c r="T1958" s="230"/>
      <c r="U1958" s="230"/>
      <c r="V1958" s="230"/>
      <c r="W1958" s="230"/>
    </row>
    <row r="1959">
      <c r="O1959" s="230"/>
      <c r="T1959" s="230"/>
      <c r="U1959" s="230"/>
      <c r="V1959" s="230"/>
      <c r="W1959" s="230"/>
    </row>
    <row r="1960">
      <c r="O1960" s="230"/>
      <c r="T1960" s="230"/>
      <c r="U1960" s="230"/>
      <c r="V1960" s="230"/>
      <c r="W1960" s="230"/>
    </row>
    <row r="1961">
      <c r="O1961" s="230"/>
      <c r="T1961" s="230"/>
      <c r="U1961" s="230"/>
      <c r="V1961" s="230"/>
      <c r="W1961" s="230"/>
    </row>
    <row r="1962">
      <c r="O1962" s="230"/>
      <c r="T1962" s="230"/>
      <c r="U1962" s="230"/>
      <c r="V1962" s="230"/>
      <c r="W1962" s="230"/>
    </row>
    <row r="1963">
      <c r="O1963" s="230"/>
      <c r="T1963" s="230"/>
      <c r="U1963" s="230"/>
      <c r="V1963" s="230"/>
      <c r="W1963" s="230"/>
    </row>
    <row r="1964">
      <c r="O1964" s="230"/>
      <c r="T1964" s="230"/>
      <c r="U1964" s="230"/>
      <c r="V1964" s="230"/>
      <c r="W1964" s="230"/>
    </row>
    <row r="1965">
      <c r="O1965" s="230"/>
      <c r="T1965" s="230"/>
      <c r="U1965" s="230"/>
      <c r="V1965" s="230"/>
      <c r="W1965" s="230"/>
    </row>
    <row r="1966">
      <c r="O1966" s="230"/>
      <c r="T1966" s="230"/>
      <c r="U1966" s="230"/>
      <c r="V1966" s="230"/>
      <c r="W1966" s="230"/>
    </row>
    <row r="1967">
      <c r="O1967" s="230"/>
      <c r="T1967" s="230"/>
      <c r="U1967" s="230"/>
      <c r="V1967" s="230"/>
      <c r="W1967" s="230"/>
    </row>
    <row r="1968">
      <c r="O1968" s="230"/>
      <c r="T1968" s="230"/>
      <c r="U1968" s="230"/>
      <c r="V1968" s="230"/>
      <c r="W1968" s="230"/>
    </row>
    <row r="1969">
      <c r="O1969" s="230"/>
      <c r="T1969" s="230"/>
      <c r="U1969" s="230"/>
      <c r="V1969" s="230"/>
      <c r="W1969" s="230"/>
    </row>
    <row r="1970">
      <c r="O1970" s="230"/>
      <c r="T1970" s="230"/>
      <c r="U1970" s="230"/>
      <c r="V1970" s="230"/>
      <c r="W1970" s="230"/>
    </row>
    <row r="1971">
      <c r="O1971" s="230"/>
      <c r="T1971" s="230"/>
      <c r="U1971" s="230"/>
      <c r="V1971" s="230"/>
      <c r="W1971" s="230"/>
    </row>
    <row r="1972">
      <c r="O1972" s="230"/>
      <c r="T1972" s="230"/>
      <c r="U1972" s="230"/>
      <c r="V1972" s="230"/>
      <c r="W1972" s="230"/>
    </row>
    <row r="1973">
      <c r="O1973" s="230"/>
      <c r="T1973" s="230"/>
      <c r="U1973" s="230"/>
      <c r="V1973" s="230"/>
      <c r="W1973" s="230"/>
    </row>
    <row r="1974">
      <c r="O1974" s="230"/>
      <c r="T1974" s="230"/>
      <c r="U1974" s="230"/>
      <c r="V1974" s="230"/>
      <c r="W1974" s="230"/>
    </row>
    <row r="1975">
      <c r="O1975" s="230"/>
      <c r="T1975" s="230"/>
      <c r="U1975" s="230"/>
      <c r="V1975" s="230"/>
      <c r="W1975" s="230"/>
    </row>
    <row r="1976">
      <c r="O1976" s="230"/>
      <c r="T1976" s="230"/>
      <c r="U1976" s="230"/>
      <c r="V1976" s="230"/>
      <c r="W1976" s="230"/>
    </row>
    <row r="1977">
      <c r="O1977" s="230"/>
      <c r="T1977" s="230"/>
      <c r="U1977" s="230"/>
      <c r="V1977" s="230"/>
      <c r="W1977" s="230"/>
    </row>
    <row r="1978">
      <c r="O1978" s="230"/>
      <c r="T1978" s="230"/>
      <c r="U1978" s="230"/>
      <c r="V1978" s="230"/>
      <c r="W1978" s="230"/>
    </row>
    <row r="1979">
      <c r="O1979" s="230"/>
      <c r="T1979" s="230"/>
      <c r="U1979" s="230"/>
      <c r="V1979" s="230"/>
      <c r="W1979" s="230"/>
    </row>
    <row r="1980">
      <c r="O1980" s="230"/>
      <c r="T1980" s="230"/>
      <c r="U1980" s="230"/>
      <c r="V1980" s="230"/>
      <c r="W1980" s="230"/>
    </row>
    <row r="1981">
      <c r="O1981" s="230"/>
      <c r="T1981" s="230"/>
      <c r="U1981" s="230"/>
      <c r="V1981" s="230"/>
      <c r="W1981" s="230"/>
    </row>
    <row r="1982">
      <c r="O1982" s="230"/>
      <c r="T1982" s="230"/>
      <c r="U1982" s="230"/>
      <c r="V1982" s="230"/>
      <c r="W1982" s="230"/>
    </row>
    <row r="1983">
      <c r="O1983" s="230"/>
      <c r="T1983" s="230"/>
      <c r="U1983" s="230"/>
      <c r="V1983" s="230"/>
      <c r="W1983" s="230"/>
    </row>
    <row r="1984">
      <c r="O1984" s="230"/>
      <c r="T1984" s="230"/>
      <c r="U1984" s="230"/>
      <c r="V1984" s="230"/>
      <c r="W1984" s="230"/>
    </row>
    <row r="1985">
      <c r="O1985" s="230"/>
      <c r="T1985" s="230"/>
      <c r="U1985" s="230"/>
      <c r="V1985" s="230"/>
      <c r="W1985" s="230"/>
    </row>
    <row r="1986">
      <c r="O1986" s="230"/>
      <c r="T1986" s="230"/>
      <c r="U1986" s="230"/>
      <c r="V1986" s="230"/>
      <c r="W1986" s="230"/>
    </row>
    <row r="1987">
      <c r="O1987" s="230"/>
      <c r="T1987" s="230"/>
      <c r="U1987" s="230"/>
      <c r="V1987" s="230"/>
      <c r="W1987" s="230"/>
    </row>
    <row r="1988">
      <c r="O1988" s="230"/>
      <c r="T1988" s="230"/>
      <c r="U1988" s="230"/>
      <c r="V1988" s="230"/>
      <c r="W1988" s="230"/>
    </row>
    <row r="1989">
      <c r="O1989" s="230"/>
      <c r="T1989" s="230"/>
      <c r="U1989" s="230"/>
      <c r="V1989" s="230"/>
      <c r="W1989" s="230"/>
    </row>
    <row r="1990">
      <c r="O1990" s="230"/>
      <c r="T1990" s="230"/>
      <c r="U1990" s="230"/>
      <c r="V1990" s="230"/>
      <c r="W1990" s="230"/>
    </row>
    <row r="1991">
      <c r="O1991" s="230"/>
      <c r="T1991" s="230"/>
      <c r="U1991" s="230"/>
      <c r="V1991" s="230"/>
      <c r="W1991" s="230"/>
    </row>
    <row r="1992">
      <c r="O1992" s="230"/>
      <c r="T1992" s="230"/>
      <c r="U1992" s="230"/>
      <c r="V1992" s="230"/>
      <c r="W1992" s="230"/>
    </row>
    <row r="1993">
      <c r="O1993" s="230"/>
      <c r="T1993" s="230"/>
      <c r="U1993" s="230"/>
      <c r="V1993" s="230"/>
      <c r="W1993" s="230"/>
    </row>
    <row r="1994">
      <c r="O1994" s="230"/>
      <c r="T1994" s="230"/>
      <c r="U1994" s="230"/>
      <c r="V1994" s="230"/>
      <c r="W1994" s="230"/>
    </row>
    <row r="1995">
      <c r="O1995" s="230"/>
      <c r="T1995" s="230"/>
      <c r="U1995" s="230"/>
      <c r="V1995" s="230"/>
      <c r="W1995" s="230"/>
    </row>
    <row r="1996">
      <c r="O1996" s="230"/>
      <c r="T1996" s="230"/>
      <c r="U1996" s="230"/>
      <c r="V1996" s="230"/>
      <c r="W1996" s="230"/>
    </row>
    <row r="1997">
      <c r="O1997" s="230"/>
      <c r="T1997" s="230"/>
      <c r="U1997" s="230"/>
      <c r="V1997" s="230"/>
      <c r="W1997" s="230"/>
    </row>
    <row r="1998">
      <c r="O1998" s="230"/>
      <c r="T1998" s="230"/>
      <c r="U1998" s="230"/>
      <c r="V1998" s="230"/>
      <c r="W1998" s="230"/>
    </row>
    <row r="1999">
      <c r="O1999" s="230"/>
      <c r="T1999" s="230"/>
      <c r="U1999" s="230"/>
      <c r="V1999" s="230"/>
      <c r="W1999" s="230"/>
    </row>
    <row r="2000">
      <c r="O2000" s="230"/>
      <c r="T2000" s="230"/>
      <c r="U2000" s="230"/>
      <c r="V2000" s="230"/>
      <c r="W2000" s="230"/>
    </row>
    <row r="2001">
      <c r="O2001" s="230"/>
      <c r="T2001" s="230"/>
      <c r="U2001" s="230"/>
      <c r="V2001" s="230"/>
      <c r="W2001" s="230"/>
    </row>
    <row r="2002">
      <c r="O2002" s="230"/>
      <c r="T2002" s="230"/>
      <c r="U2002" s="230"/>
      <c r="V2002" s="230"/>
      <c r="W2002" s="230"/>
    </row>
    <row r="2003">
      <c r="O2003" s="230"/>
      <c r="T2003" s="230"/>
      <c r="U2003" s="230"/>
      <c r="V2003" s="230"/>
      <c r="W2003" s="230"/>
    </row>
    <row r="2004">
      <c r="O2004" s="230"/>
      <c r="T2004" s="230"/>
      <c r="U2004" s="230"/>
      <c r="V2004" s="230"/>
      <c r="W2004" s="230"/>
    </row>
  </sheetData>
  <autoFilter ref="$A$1:$BA$2004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109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17.0</v>
      </c>
      <c r="C3" s="219">
        <v>471.25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4.5</v>
      </c>
      <c r="D6" s="212"/>
      <c r="E6" s="212"/>
      <c r="F6" s="221" t="s">
        <v>5945</v>
      </c>
    </row>
    <row r="7" ht="22.5" customHeight="1">
      <c r="A7" s="218" t="s">
        <v>255</v>
      </c>
      <c r="B7" s="216">
        <f>SUM('Sprint 14'!O:O)</f>
        <v>353</v>
      </c>
      <c r="C7" s="212">
        <f>ROUND(SUM('Sprint 14'!U:U)/3600,2)</f>
        <v>325.25</v>
      </c>
      <c r="D7" s="216">
        <f>SUMIF('Sprint 14'!J:J, "Done", 'Sprint 14'!O:O)</f>
        <v>166</v>
      </c>
      <c r="E7" s="212">
        <f>ROUND(SUMIF('Sprint 14'!J:J, "Done", 'Sprint 14'!U:U)/3600,2)</f>
        <v>95.25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14'!U:U, ('Sprint 14'!Q:Q = ""mid-sprint"")))/3600,0),2)"),0.5)</f>
        <v>0.5</v>
      </c>
      <c r="D9" s="212">
        <f>IFERROR(__xludf.DUMMYFUNCTION("IFERROR(SUM(FILTER('Sprint 14'!O:O, (('Sprint 14'!J:J = ""Done"")) * ('Sprint 14'!Q:Q = ""mid-sprint""))),0)"),1.0)</f>
        <v>1</v>
      </c>
      <c r="E9" s="212">
        <f>IFERROR(__xludf.DUMMYFUNCTION("ROUND(IFERROR(SUM(FILTER('Sprint 14'!U:U, (('Sprint 14'!J:J = ""Done"")) * ('Sprint 14'!P:P = ""mid-sprint"")))/3600,0),2)"),12.0)</f>
        <v>12</v>
      </c>
      <c r="F9" s="225" t="s">
        <v>259</v>
      </c>
    </row>
    <row r="10" ht="22.5" customHeight="1">
      <c r="A10" s="218" t="s">
        <v>258</v>
      </c>
      <c r="B10" s="212">
        <f>IFERROR(__xludf.DUMMYFUNCTION("ROUND(IFERROR(SUM(FILTER('Sprint 14'!U:U, ('Sprint 14'!Q:Q = ""change-request"")))/3600,0),2)"),0.0)</f>
        <v>0</v>
      </c>
      <c r="D10" s="212">
        <f>IFERROR(__xludf.DUMMYFUNCTION("IFERROR(SUM(FILTER('Sprint 14'!O:O, (('Sprint 14'!J:J = ""Done"")) * ('Sprint 14'!Q:Q = ""change-request""))),0)"),0.0)</f>
        <v>0</v>
      </c>
      <c r="E10" s="212">
        <f>IFERROR(__xludf.DUMMYFUNCTION("ROUND(IFERROR(SUM(FILTER('Sprint 14'!U:U, (('Sprint 14'!J:J = ""Done"")) * ('Sprint 14'!Q:Q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14'!O:O, ('Sprint 14'!E:E = ""Aek:Atiphat Nanthachitvanich""))),0)"),10.0)</f>
        <v>10</v>
      </c>
      <c r="C12" s="223">
        <f>IFERROR(__xludf.DUMMYFUNCTION("ROUND(IFERROR(SUM(FILTER('Sprint 14'!U:U, ('Sprint 14'!E:E = ""Aek:Atiphat Nanthachitvanich"")))/3600,0),2)"),10.75)</f>
        <v>10.75</v>
      </c>
      <c r="D12" s="216">
        <f>IFERROR(__xludf.DUMMYFUNCTION("IFERROR(SUM(FILTER('Sprint 14'!O:O, (('Sprint 14'!J:J = ""Done"")) * ('Sprint 14'!E:E = ""Aek:Atiphat Nanthachitvanich""))),0)"),5.0)</f>
        <v>5</v>
      </c>
      <c r="E12" s="223">
        <f>IFERROR(__xludf.DUMMYFUNCTION("ROUND(IFERROR(SUM(FILTER('Sprint 14'!U:U, (('Sprint 14'!J:J = ""Done"")) * ('Sprint 14'!E:E = ""Aek:Atiphat Nanthachitvanich"")))/3600,0),2)"),6.75)</f>
        <v>6.75</v>
      </c>
      <c r="F12" s="224"/>
    </row>
    <row r="13" ht="22.5" customHeight="1">
      <c r="A13" s="218" t="s">
        <v>32</v>
      </c>
      <c r="B13" s="216">
        <f>IFERROR(__xludf.DUMMYFUNCTION("IFERROR(SUM(FILTER('Sprint 14'!O:O, ('Sprint 14'!E:E = ""A:Phongthorn""))),0)"),33.0)</f>
        <v>33</v>
      </c>
      <c r="C13" s="223">
        <f>IFERROR(__xludf.DUMMYFUNCTION("ROUND(IFERROR(SUM(FILTER('Sprint 14'!U:U, ('Sprint 14'!E:E = ""A:Phongthorn"")))/3600,0),2)"),50.0)</f>
        <v>50</v>
      </c>
      <c r="D13" s="216">
        <f>IFERROR(__xludf.DUMMYFUNCTION("IFERROR(SUM(FILTER('Sprint 14'!O:O, (('Sprint 14'!J:J = ""Done"")) * ('Sprint 14'!E:E = ""A:Phongthorn""))),0)"),27.0)</f>
        <v>27</v>
      </c>
      <c r="E13" s="223">
        <f>IFERROR(__xludf.DUMMYFUNCTION("ROUND(IFERROR(SUM(FILTER('Sprint 14'!U:U, (('Sprint 14'!J:J = ""Done"")) * ('Sprint 14'!E:E = ""A:Phongthorn"")))/3600,0),2)"),50.0)</f>
        <v>50</v>
      </c>
      <c r="F13" s="224"/>
    </row>
    <row r="14" ht="22.5" customHeight="1">
      <c r="A14" s="218" t="s">
        <v>72</v>
      </c>
      <c r="B14" s="216">
        <f>IFERROR(__xludf.DUMMYFUNCTION("IFERROR(SUM(FILTER('Sprint 14'!O:O, ('Sprint 14'!E:E = ""Aom: Pornsawan Polnyiem""))),0)"),79.0)</f>
        <v>79</v>
      </c>
      <c r="C14" s="223">
        <f>IFERROR(__xludf.DUMMYFUNCTION("ROUND(IFERROR(SUM(FILTER('Sprint 14'!U:U, ('Sprint 14'!E:E = ""Aom: Pornsawan Polnyiem"")))/3600,0),2)"),4.5)</f>
        <v>4.5</v>
      </c>
      <c r="D14" s="216">
        <f>IFERROR(__xludf.DUMMYFUNCTION("IFERROR(SUM(FILTER('Sprint 14'!O:O, (('Sprint 14'!J:J = ""Done"")) * ('Sprint 14'!E:E = ""Aom: Pornsawan Polnyiem""))),0)"),29.0)</f>
        <v>29</v>
      </c>
      <c r="E14" s="223">
        <f>IFERROR(__xludf.DUMMYFUNCTION("ROUND(IFERROR(SUM(FILTER('Sprint 14'!U:U, (('Sprint 14'!J:J = ""Done"")) * ('Sprint 14'!E:E = ""Aom: Pornsawan Polnyiem"")))/3600,0),2)"),4.5)</f>
        <v>4.5</v>
      </c>
      <c r="F14" s="224"/>
    </row>
    <row r="15" ht="22.5" customHeight="1">
      <c r="A15" s="218" t="s">
        <v>24</v>
      </c>
      <c r="B15" s="216">
        <f>IFERROR(__xludf.DUMMYFUNCTION("IFERROR(SUM(FILTER('Sprint 14'!O:O, ('Sprint 14'!E:E = ""Zan : Isarapong Bulan""))),0)"),18.0)</f>
        <v>18</v>
      </c>
      <c r="C15" s="223">
        <f>IFERROR(__xludf.DUMMYFUNCTION("ROUND(IFERROR(SUM(FILTER('Sprint 14'!U:U, ('Sprint 14'!E:E = ""Zan : Isarapong Bulan"")))/3600,0),2)"),0.0)</f>
        <v>0</v>
      </c>
      <c r="D15" s="216">
        <f>IFERROR(__xludf.DUMMYFUNCTION("IFERROR(SUM(FILTER('Sprint 14'!O:O, (('Sprint 14'!J:J = ""Done"")) * ('Sprint 14'!E:E = ""Zan : Isarapong Bulan""))),0)"),8.0)</f>
        <v>8</v>
      </c>
      <c r="E15" s="223">
        <f>IFERROR(__xludf.DUMMYFUNCTION("ROUND(IFERROR(SUM(FILTER('Sprint 14'!U:U, (('Sprint 14'!J:J = ""Done"")) * ('Sprint 14'!E:E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14'!O:O, ('Sprint 14'!E:E = ""Mai:Sateta Abvanawong""))),0)"),41.0)</f>
        <v>41</v>
      </c>
      <c r="C16" s="223">
        <f>IFERROR(__xludf.DUMMYFUNCTION("ROUND(IFERROR(SUM(FILTER('Sprint 14'!U:U, ('Sprint 14'!E:E = ""Mai:Sateta Abvanawong"")))/3600,0),2)"),46.0)</f>
        <v>46</v>
      </c>
      <c r="D16" s="216">
        <f>IFERROR(__xludf.DUMMYFUNCTION("IFERROR(SUM(FILTER('Sprint 14'!O:O, (('Sprint 14'!J:J = ""Done"")) * ('Sprint 14'!E:E = ""Mai:Sateta Abvanawong""))),0)"),18.0)</f>
        <v>18</v>
      </c>
      <c r="E16" s="223">
        <f>IFERROR(__xludf.DUMMYFUNCTION("ROUND(IFERROR(SUM(FILTER('Sprint 14'!U:U, (('Sprint 14'!J:J = ""Done"")) * ('Sprint 14'!E:E = ""Mai:Sateta Abvanawong""))),0)/3600,2)"),6.0)</f>
        <v>6</v>
      </c>
      <c r="F16" s="224"/>
    </row>
    <row r="17" ht="22.5" customHeight="1">
      <c r="A17" s="218" t="s">
        <v>74</v>
      </c>
      <c r="B17" s="216">
        <f>IFERROR(__xludf.DUMMYFUNCTION("IFERROR(SUM(FILTER('Sprint 14'!O:O, ('Sprint 14'!E:E = ""Mac: Jarupong Pawichpongkul""))),0)"),47.0)</f>
        <v>47</v>
      </c>
      <c r="C17" s="223">
        <f>IFERROR(__xludf.DUMMYFUNCTION("ROUND(IFERROR(SUM(FILTER('Sprint 14'!U:U, ('Sprint 14'!E:E = ""Mac: Jarupong Pawichpongkul"")))/3600,0),2)"),36.0)</f>
        <v>36</v>
      </c>
      <c r="D17" s="216">
        <f>IFERROR(__xludf.DUMMYFUNCTION("IFERROR(SUM(FILTER('Sprint 14'!O:O, (('Sprint 14'!J:J = ""Done"")) * ('Sprint 14'!E:E = ""Mac: Jarupong Pawichpongkul""))),0)"),31.0)</f>
        <v>31</v>
      </c>
      <c r="E17" s="223">
        <f>IFERROR(__xludf.DUMMYFUNCTION("ROUND(IFERROR(SUM(FILTER('Sprint 14'!U:U, (('Sprint 14'!J:J = ""Done"")) * ('Sprint 14'!E:E = ""Mac: Jarupong Pawichpongkul"")))/3600,0),2)"),16.0)</f>
        <v>16</v>
      </c>
      <c r="F17" s="224"/>
    </row>
    <row r="18" ht="22.5" customHeight="1">
      <c r="A18" s="218" t="s">
        <v>75</v>
      </c>
      <c r="B18" s="216">
        <f>IFERROR(__xludf.DUMMYFUNCTION("IFERROR(SUM(FILTER('Sprint 14'!O:O, ('Sprint 14'!E:E = ""Moss : Kittapath Sangvikukit""))),0)"),32.0)</f>
        <v>32</v>
      </c>
      <c r="C18" s="223">
        <f>IFERROR(__xludf.DUMMYFUNCTION("ROUND(IFERROR(SUM(FILTER('Sprint 14'!U:U, ('Sprint 14'!E:E = ""Moss : Kittapath Sangvikukit"")))/3600,0),2)"),40.0)</f>
        <v>40</v>
      </c>
      <c r="D18" s="216">
        <f>IFERROR(__xludf.DUMMYFUNCTION("IFERROR(SUM(FILTER('Sprint 14'!O:O, (('Sprint 14'!J:J = ""Done"")) * ('Sprint 14'!E:E = ""Moss : Kittapath Sangvikukit""))),0)"),3.0)</f>
        <v>3</v>
      </c>
      <c r="E18" s="223">
        <f>IFERROR(__xludf.DUMMYFUNCTION("ROUND(IFERROR(SUM(FILTER('Sprint 14'!U:U, (('Sprint 14'!J:J = ""Done"")) * ('Sprint 14'!E:E = ""Moss : Kittapath Sangvikukit"")))/3600,0),2)"),0.0)</f>
        <v>0</v>
      </c>
      <c r="F18" s="224"/>
    </row>
    <row r="19" ht="22.5" customHeight="1">
      <c r="A19" s="218" t="s">
        <v>28</v>
      </c>
      <c r="B19" s="216">
        <f>IFERROR(__xludf.DUMMYFUNCTION("IFERROR(SUM(FILTER('Sprint 14'!O:O, ('Sprint 14'!E:E = ""Jack: Warin Kesorn""))),0)"),14.0)</f>
        <v>14</v>
      </c>
      <c r="C19" s="223">
        <f>IFERROR(__xludf.DUMMYFUNCTION("ROUND(IFERROR(SUM(FILTER('Sprint 14'!U:U, ('Sprint 14'!E:E = ""Jack: Warin Kesorn"")))/3600,0),2)"),0.0)</f>
        <v>0</v>
      </c>
      <c r="D19" s="216">
        <f>IFERROR(__xludf.DUMMYFUNCTION("IFERROR(SUM(FILTER('Sprint 14'!O:O, (('Sprint 14'!J:J = ""Done"")) * ('Sprint 14'!E:E = ""Jack: Warin Kesorn""))),0)"),14.0)</f>
        <v>14</v>
      </c>
      <c r="E19" s="223">
        <f>IFERROR(__xludf.DUMMYFUNCTION("ROUND(IFERROR(SUM(FILTER('Sprint 14'!U:U, (('Sprint 14'!J:J = ""Done"")) * ('Sprint 14'!E:E = ""Jack: Warin Kesorn"")))/3600,0),2)"),0.0)</f>
        <v>0</v>
      </c>
      <c r="F19" s="224"/>
    </row>
    <row r="20" ht="22.5" customHeight="1">
      <c r="A20" s="218" t="s">
        <v>3616</v>
      </c>
      <c r="B20" s="216">
        <f>IFERROR(__xludf.DUMMYFUNCTION("IFERROR(SUM(FILTER('Sprint 14'!O:O, ('Sprint 14'!E:E = ""Art: Narupontp""))),0)"),0.0)</f>
        <v>0</v>
      </c>
      <c r="C20" s="223">
        <f>IFERROR(__xludf.DUMMYFUNCTION("ROUND(IFERROR(SUM(FILTER('Sprint 14'!U:U, ('Sprint 14'!E:E = ""Art: Narupontp"")))/3600,0),2)"),0.0)</f>
        <v>0</v>
      </c>
      <c r="D20" s="216">
        <f>IFERROR(__xludf.DUMMYFUNCTION("IFERROR(SUM(FILTER('Sprint 14'!O:O, (('Sprint 14'!J:J = ""Done"")) * ('Sprint 14'!E:E = ""Art: Narupontp""))),0)"),0.0)</f>
        <v>0</v>
      </c>
      <c r="E20" s="223">
        <f>IFERROR(__xludf.DUMMYFUNCTION("ROUND(IFERROR(SUM(FILTER('Sprint 14'!U:U, (('Sprint 14'!J:J = ""Done"")) * ('Sprint 14'!E:E = ""Art: Narupontp"")))/3600,0),2)"),0.0)</f>
        <v>0</v>
      </c>
      <c r="F20" s="224"/>
    </row>
    <row r="21" ht="22.5" customHeight="1">
      <c r="A21" s="218" t="s">
        <v>3617</v>
      </c>
      <c r="B21" s="216">
        <f>IFERROR(__xludf.DUMMYFUNCTION("IFERROR(SUM(FILTER('Sprint 14'!O:O, ('Sprint 14'!E:E = ""Kae: Pimonrath Jaiyen""))),0)"),3.0)</f>
        <v>3</v>
      </c>
      <c r="C21" s="223">
        <f>IFERROR(__xludf.DUMMYFUNCTION("ROUND(IFERROR(SUM(FILTER('Sprint 14'!U:U, ('Sprint 14'!E:E = ""Kae: Pimonrath Jaiyen"")))/3600,0),2)"),0.0)</f>
        <v>0</v>
      </c>
      <c r="D21" s="216">
        <f>IFERROR(__xludf.DUMMYFUNCTION("IFERROR(SUM(FILTER('Sprint 14'!O:O, (('Sprint 14'!J:J = ""Done"")) * ('Sprint 14'!E:E = ""Kae: Pimonrath Jaiyen""))),0)"),3.0)</f>
        <v>3</v>
      </c>
      <c r="E21" s="223">
        <f>IFERROR(__xludf.DUMMYFUNCTION("ROUND(IFERROR(SUM(FILTER('Sprint 14'!U:U, (('Sprint 14'!J:J = ""Done"")) * ('Sprint 14'!E:E = ""Kae: Pimonrath Jaiyen"")))/3600,0),2)"),0.0)</f>
        <v>0</v>
      </c>
      <c r="F21" s="224"/>
    </row>
    <row r="22" ht="22.5" customHeight="1">
      <c r="A22" s="218" t="s">
        <v>76</v>
      </c>
      <c r="B22" s="216">
        <f>IFERROR(__xludf.DUMMYFUNCTION("IFERROR(SUM(FILTER('Sprint 14'!O:O, ('Sprint 14'!E:E = ""Nim : muthita munmueang""))),0)"),37.0)</f>
        <v>37</v>
      </c>
      <c r="C22" s="223">
        <f>IFERROR(__xludf.DUMMYFUNCTION("ROUND(IFERROR(SUM(FILTER('Sprint 14'!U:U, ('Sprint 14'!E:E = ""Nim : muthita munmueang"")))/3600,0),2)"),48.0)</f>
        <v>48</v>
      </c>
      <c r="D22" s="216">
        <f>IFERROR(__xludf.DUMMYFUNCTION("IFERROR(SUM(FILTER('Sprint 14'!O:O, (('Sprint 14'!J:J = ""Done"")) * ('Sprint 14'!E:E = ""Nim : muthita munmueang""))),0)"),10.0)</f>
        <v>10</v>
      </c>
      <c r="E22" s="223">
        <f>IFERROR(__xludf.DUMMYFUNCTION("ROUND(IFERROR(SUM(FILTER('Sprint 14'!U:U, (('Sprint 14'!J:J = ""Done"")) * ('Sprint 14'!E:E = ""Nim : muthita munmueang"")))/3600,0),2)"),0.0)</f>
        <v>0</v>
      </c>
      <c r="F22" s="224"/>
    </row>
    <row r="23" ht="22.5" customHeight="1">
      <c r="A23" s="221" t="s">
        <v>77</v>
      </c>
      <c r="B23" s="224">
        <f>IFERROR(__xludf.DUMMYFUNCTION("IFERROR(SUM(FILTER('Sprint 14'!O:O, ('Sprint 14'!E:E = ""Arm:Worawat Chotipongchoawalit""))),0)"),39.0)</f>
        <v>39</v>
      </c>
      <c r="C23" s="223">
        <f>IFERROR(__xludf.DUMMYFUNCTION("ROUND(IFERROR(SUM(FILTER('Sprint 14'!U:U, ('Sprint 14'!E:E = ""Arm:Worawat Chotipongchoawalit"")))/3600,0),2)"),90.0)</f>
        <v>90</v>
      </c>
      <c r="D23" s="216">
        <f>IFERROR(__xludf.DUMMYFUNCTION("IFERROR(SUM(FILTER('Sprint 14'!O:O, (('Sprint 14'!J:J = ""Done"")) * ('Sprint 14'!E:E = ""Arm:Worawat Chotipongchoawalit""))),0)"),18.0)</f>
        <v>18</v>
      </c>
      <c r="E23" s="223">
        <f>IFERROR(__xludf.DUMMYFUNCTION("ROUND(IFERROR(SUM(FILTER('Sprint 14'!U:U, (('Sprint 14'!J:J = ""Done"")) * ('Sprint 14'!E:E = ""Arm:Worawat Chotipongchoawalit"")))/3600,0),2)"),12.0)</f>
        <v>12</v>
      </c>
      <c r="F23" s="224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42" t="s">
        <v>3615</v>
      </c>
      <c r="J25" s="234"/>
      <c r="K25" s="234"/>
      <c r="L25" s="234"/>
      <c r="M25" s="235"/>
    </row>
    <row r="26" ht="20.25" customHeight="1">
      <c r="A26" s="239" t="s">
        <v>2214</v>
      </c>
      <c r="B26" s="243" t="s">
        <v>30</v>
      </c>
      <c r="C26" s="243" t="s">
        <v>24</v>
      </c>
      <c r="D26" s="243" t="s">
        <v>72</v>
      </c>
      <c r="E26" s="243" t="s">
        <v>28</v>
      </c>
      <c r="F26" s="243" t="s">
        <v>32</v>
      </c>
      <c r="G26" s="243" t="s">
        <v>3616</v>
      </c>
      <c r="H26" s="243" t="s">
        <v>73</v>
      </c>
      <c r="I26" s="243" t="s">
        <v>3617</v>
      </c>
      <c r="J26" s="243" t="s">
        <v>74</v>
      </c>
      <c r="K26" s="243" t="s">
        <v>76</v>
      </c>
      <c r="L26" s="243" t="s">
        <v>75</v>
      </c>
      <c r="M26" s="243" t="s">
        <v>77</v>
      </c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101" t="s">
        <v>4665</v>
      </c>
      <c r="B27" s="99">
        <f>IFERROR(__xludf.DUMMYFUNCTION("IFERROR(
  SUM(
    FILTER(
      'Sprint 14'!O:O,
      ('Sprint 14'!E:E = ""Aek:Atiphat Nanthachitvanich"") *
      (LEFT('Sprint 14'!B:B,7) = ""RDTHANA"")
    )
  ),
0)"),0.0)</f>
        <v>0</v>
      </c>
      <c r="C27" s="99">
        <f>IFERROR(__xludf.DUMMYFUNCTION("IFERROR(
  SUM(
    FILTER(
      'Sprint 14'!O:O,
      ('Sprint 14'!E:E = ""Zan : Isarapong Bulan"") *
      (LEFT('Sprint 14'!B:B,7) = ""RDTHANA"")
    )
  ),
0)"),8.0)</f>
        <v>8</v>
      </c>
      <c r="D27" s="99">
        <f>IFERROR(__xludf.DUMMYFUNCTION("IFERROR(
  SUM(
    FILTER(
      'Sprint 14'!O:O,
      ('Sprint 14'!E:E = ""Aom: Pornsawan Polnyiem"") *
      (LEFT('Sprint 14'!B:B,7) = ""RDTHANA"")
    )
  ),
0)"),0.0)</f>
        <v>0</v>
      </c>
      <c r="E27" s="99">
        <f>IFERROR(__xludf.DUMMYFUNCTION("IFERROR(
  SUM(
    FILTER(
      'Sprint 14'!O:O,
      ('Sprint 14'!E:E = ""Jack: Warin Kesorn"") *
      (LEFT('Sprint 14'!B:B,7) = ""RDTHANA"")
    )
  ),
0)"),3.0)</f>
        <v>3</v>
      </c>
      <c r="F27" s="99">
        <f>IFERROR(__xludf.DUMMYFUNCTION("IFERROR(
  SUM(
    FILTER(
      'Sprint 14'!O:O,
      ('Sprint 14'!E:E = ""A:Phongthorn"") *
      (LEFT('Sprint 14'!B:B,7) = ""RDTHANA"")
    )
  ),
0)"),6.0)</f>
        <v>6</v>
      </c>
      <c r="G27" s="99">
        <f>IFERROR(__xludf.DUMMYFUNCTION("IFERROR(
  SUM(
    FILTER(
      'Sprint 14'!O:O,
      ('Sprint 14'!E:E = ""Art: Narupontp"") *
      (LEFT('Sprint 14'!B:B,7) = ""RDTHANA"")
    )
  ),
0)"),0.0)</f>
        <v>0</v>
      </c>
      <c r="H27" s="99">
        <f>IFERROR(__xludf.DUMMYFUNCTION("IFERROR(
  SUM(
    FILTER(
      'Sprint 14'!O:O,
      ('Sprint 14'!E:E = ""Mai:Sateta Abvanawong"") *
      (LEFT('Sprint 14'!B:B,7) = ""RDTHANA"")
    )
  ),
0)"),9.0)</f>
        <v>9</v>
      </c>
      <c r="I27" s="99">
        <f>IFERROR(__xludf.DUMMYFUNCTION("IFERROR(
  SUM(
    FILTER(
      'Sprint 14'!O:O,
      ('Sprint 14'!E:E = ""Kae: Pimonrath Jaiyen"") *
      (LEFT('Sprint 14'!B:B,7) = ""RDTHANA"")
    )
  ),
0)"),0.0)</f>
        <v>0</v>
      </c>
      <c r="J27" s="99">
        <f>IFERROR(__xludf.DUMMYFUNCTION("IFERROR(
  SUM(
    FILTER(
      'Sprint 14'!O:O,
      ('Sprint 14'!E:E = ""Mac: Jarupong Pawichpongkul"") *
      (LEFT('Sprint 14'!B:B,7) = ""RDTHANA"")
    )
  ),
0)"),5.0)</f>
        <v>5</v>
      </c>
      <c r="K27" s="99">
        <f>IFERROR(__xludf.DUMMYFUNCTION("IFERROR(
  SUM(
    FILTER(
      'Sprint 14'!O:O,
      ('Sprint 14'!E:E = ""Nim : muthita munmueang"") *
      (LEFT('Sprint 14'!B:B,7) = ""RDTHANA"")
    )
  ),
0)"),5.0)</f>
        <v>5</v>
      </c>
      <c r="L27" s="99">
        <f>IFERROR(__xludf.DUMMYFUNCTION("IFERROR(
  SUM(
    FILTER(
      'Sprint 14'!O:O,
      ('Sprint 14'!E:E = ""Moss : Kittapath Sangvikukit"") *
      (LEFT('Sprint 14'!B:B,7) = ""RDTHANA"")
    )
  ),
0)"),3.0)</f>
        <v>3</v>
      </c>
      <c r="M27" s="99">
        <f>IFERROR(__xludf.DUMMYFUNCTION("IFERROR(
  SUM(
    FILTER(
      'Sprint 14'!O:O,
      ('Sprint 14'!E:E = ""Arm:Worawat Chotipongchoawalit"") *
      (LEFT('Sprint 14'!B:B,7) = ""RDTHANA"")
    )
  ),
0)"),2.0)</f>
        <v>2</v>
      </c>
    </row>
    <row r="28">
      <c r="A28" s="101" t="s">
        <v>4666</v>
      </c>
      <c r="B28" s="99">
        <f>IFERROR(__xludf.DUMMYFUNCTION("IFERROR(
  SUM(
    FILTER(
      'Sprint 14'!O:O,
      ('Sprint 14'!E:E = ""Aek:Atiphat Nanthachitvanich"") *
      (LEFT('Sprint 14'!B:B,9) = ""DEVRDECOM"")
    )
  ),
0)"),3.0)</f>
        <v>3</v>
      </c>
      <c r="C28" s="99">
        <f>IFERROR(__xludf.DUMMYFUNCTION("IFERROR(
  SUM(
    FILTER(
      'Sprint 14'!O:O,
      ('Sprint 14'!E:E = ""Zan : Isarapong Bulan"") *
      (LEFT('Sprint 14'!B:B,9) = ""DEVRDECOM"")
    )
  ),
0)"),0.0)</f>
        <v>0</v>
      </c>
      <c r="D28" s="99">
        <f>IFERROR(__xludf.DUMMYFUNCTION("IFERROR(
  SUM(
    FILTER(
      'Sprint 14'!O:O,
      ('Sprint 14'!E:E = ""Aom: Pornsawan Polnyiem"") *
      (LEFT('Sprint 14'!B:B,9) = ""DEVRDECOM"")
    )
  ),
0)"),0.0)</f>
        <v>0</v>
      </c>
      <c r="E28" s="99">
        <f>IFERROR(__xludf.DUMMYFUNCTION("IFERROR(
  SUM(
    FILTER(
      'Sprint 14'!O:O,
      ('Sprint 14'!E:E = ""Jack: Warin Kesorn"") *
      (LEFT('Sprint 14'!B:B,9) = ""DEVRDECOM"")
    )
  ),
0)"),3.0)</f>
        <v>3</v>
      </c>
      <c r="F28" s="99">
        <f>IFERROR(__xludf.DUMMYFUNCTION("IFERROR(
  SUM(
    FILTER(
      'Sprint 14'!O:O,
      ('Sprint 14'!E:E = ""A:Phongthorn"") *
      (LEFT('Sprint 14'!B:B,9) = ""DEVRDECOM"")
    )
  ),
0)"),0.0)</f>
        <v>0</v>
      </c>
      <c r="G28" s="99">
        <f>IFERROR(__xludf.DUMMYFUNCTION("IFERROR(
  SUM(
    FILTER(
      'Sprint 14'!O:O,
      ('Sprint 14'!E:E = ""Art: Narupontp"") *
      (LEFT('Sprint 14'!B:B,9) = ""DEVRDECOM"")
    )
  ),
0)"),0.0)</f>
        <v>0</v>
      </c>
      <c r="H28" s="99">
        <f>IFERROR(__xludf.DUMMYFUNCTION("IFERROR(
  SUM(
    FILTER(
      'Sprint 14'!O:O,
      ('Sprint 14'!E:E = ""Mai:Sateta Abvanawong"") *
      (LEFT('Sprint 14'!B:B,9) = ""DEVRDECOM"")
    )
  ),
0)"),5.0)</f>
        <v>5</v>
      </c>
      <c r="I28" s="99">
        <f>IFERROR(__xludf.DUMMYFUNCTION("IFERROR(
  SUM(
    FILTER(
      'Sprint 14'!O:O,
      ('Sprint 14'!E:E = ""Kae: Pimonrath Jaiyen"") *
      (LEFT('Sprint 14'!B:B,9) = ""DEVRDECOM"")
    )
  ),
0)"),0.0)</f>
        <v>0</v>
      </c>
      <c r="J28" s="99">
        <f>IFERROR(__xludf.DUMMYFUNCTION("IFERROR(
  SUM(
    FILTER(
      'Sprint 14'!O:O,
      ('Sprint 14'!E:E = ""Mac: Jarupong Pawichpongkul"") *
      (LEFT('Sprint 14'!B:B,9) = ""DEVRDECOM"")
    )
  ),
0)"),3.0)</f>
        <v>3</v>
      </c>
      <c r="K28" s="99">
        <f>IFERROR(__xludf.DUMMYFUNCTION("IFERROR(
  SUM(
    FILTER(
      'Sprint 14'!O:O,
      ('Sprint 14'!E:E = ""Nim : muthita munmueang"") *
      (LEFT('Sprint 14'!B:B,9) = ""DEVRDECOM"")
    )
  ),
0)"),8.0)</f>
        <v>8</v>
      </c>
      <c r="L28" s="99">
        <f>IFERROR(__xludf.DUMMYFUNCTION("IFERROR(
  SUM(
    FILTER(
      'Sprint 14'!O:O,
      ('Sprint 14'!E:E = ""Moss : Kittapath Sangvikukit"") *
      (LEFT('Sprint 14'!B:B,9) = ""DEVRDECOM"")
    )
  ),
0)"),6.0)</f>
        <v>6</v>
      </c>
      <c r="M28" s="99">
        <f>IFERROR(__xludf.DUMMYFUNCTION("IFERROR(
  SUM(
    FILTER(
      'Sprint 14'!O:O,
      ('Sprint 14'!E:E = ""Arm:Worawat Chotipongchoawalit"") *
      (LEFT('Sprint 14'!B:B,9) = ""DEVRDECOM"")
    )
  ),
0)"),9.0)</f>
        <v>9</v>
      </c>
    </row>
    <row r="29" ht="32.25" customHeight="1">
      <c r="A29" s="101" t="s">
        <v>4667</v>
      </c>
      <c r="B29" s="99">
        <f>IFERROR(__xludf.DUMMYFUNCTION("IFERROR(
  SUM(
    FILTER(
      'Sprint 14'!O:O,
      ('Sprint 14'!E:E = ""Aek:Atiphat Nanthachitvanich"") *
      (LEFT('Sprint 14'!B:B,7) = ""DEVRDCT"")
    )
  ),
0)"),0.0)</f>
        <v>0</v>
      </c>
      <c r="C29" s="99">
        <f>IFERROR(__xludf.DUMMYFUNCTION("IFERROR(
  SUM(
    FILTER(
      'Sprint 14'!O:O,
      ('Sprint 14'!E:E = ""Zan : Isarapong Bulan"") *
      (LEFT('Sprint 14'!B:B,7) = ""DEVRDCT"")
    )
  ),
0)"),0.0)</f>
        <v>0</v>
      </c>
      <c r="D29" s="99">
        <f>IFERROR(__xludf.DUMMYFUNCTION("IFERROR(
  SUM(
    FILTER(
      'Sprint 14'!O:O,
      ('Sprint 14'!E:E = ""Aom: Pornsawan Polnyiem"") *
      (LEFT('Sprint 14'!B:B,7) = ""DEVRDCT"")
    )
  ),
0)"),0.0)</f>
        <v>0</v>
      </c>
      <c r="E29" s="99">
        <f>IFERROR(__xludf.DUMMYFUNCTION("IFERROR(
  SUM(
    FILTER(
      'Sprint 14'!O:O,
      ('Sprint 14'!E:E = ""Jack: Warin Kesorn"") *
      (LEFT('Sprint 14'!B:B,7) = ""DEVRDCT"")
    )
  ),
0)"),8.0)</f>
        <v>8</v>
      </c>
      <c r="F29" s="99">
        <f>IFERROR(__xludf.DUMMYFUNCTION("IFERROR(
  SUM(
    FILTER(
      'Sprint 14'!O:O,
      ('Sprint 14'!E:E = ""A:Phongthorn"") *
      (LEFT('Sprint 14'!B:B,7) = ""DEVRDCT"")
    )
  ),
0)"),0.0)</f>
        <v>0</v>
      </c>
      <c r="G29" s="99">
        <f>IFERROR(__xludf.DUMMYFUNCTION("IFERROR(
  SUM(
    FILTER(
      'Sprint 14'!O:O,
      ('Sprint 14'!E:E = ""Art: Narupontp"") *
      (LEFT('Sprint 14'!B:B,7) = ""DEVRDCT"")
    )
  ),
0)"),0.0)</f>
        <v>0</v>
      </c>
      <c r="H29" s="99">
        <f>IFERROR(__xludf.DUMMYFUNCTION("IFERROR(
  SUM(
    FILTER(
      'Sprint 14'!O:O,
      ('Sprint 14'!E:E = ""Mai:Sateta Abvanawong"") *
      (LEFT('Sprint 14'!B:B,7) = ""DEVRDCT"")
    )
  ),
0)"),0.0)</f>
        <v>0</v>
      </c>
      <c r="I29" s="99">
        <f>IFERROR(__xludf.DUMMYFUNCTION("IFERROR(
  SUM(
    FILTER(
      'Sprint 14'!O:O,
      ('Sprint 14'!E:E = ""Moss : Kittapath Sangvikukit"") *
      (LEFT('Sprint 14'!B:B,7) = ""DEVRDCT"")
    )
  ),
0)"),5.0)</f>
        <v>5</v>
      </c>
      <c r="J29" s="99">
        <f>IFERROR(__xludf.DUMMYFUNCTION("IFERROR(
  SUM(
    FILTER(
      'Sprint 14'!O:O,
      ('Sprint 14'!E:E = ""Mac: Jarupong Pawichpongkul"") *
      (LEFT('Sprint 14'!B:B,7) = ""DEVRDCT"")
    )
  ),
0)"),27.0)</f>
        <v>27</v>
      </c>
      <c r="K29" s="99">
        <f>IFERROR(__xludf.DUMMYFUNCTION("IFERROR(
  SUM(
    FILTER(
      'Sprint 14'!O:O,
      ('Sprint 14'!E:E = ""Moss : Kittapath Sangvikukit"") *
      (LEFT('Sprint 14'!B:B,7) = ""DEVRDCT"")
    )
  ),
0)"),5.0)</f>
        <v>5</v>
      </c>
      <c r="L29" s="99">
        <f>IFERROR(__xludf.DUMMYFUNCTION("IFERROR(
  SUM(
    FILTER(
      'Sprint 14'!O:O,
      ('Sprint 14'!E:E = ""Moss : Kittapath Sangvikukit"") *
      (LEFT('Sprint 14'!B:B,7) = ""DEVRDCT"")
    )
  ),
0)"),5.0)</f>
        <v>5</v>
      </c>
      <c r="M29" s="99">
        <f>IFERROR(__xludf.DUMMYFUNCTION("IFERROR(
  SUM(
    FILTER(
      'Sprint 14'!O:O,
      ('Sprint 14'!E:E = ""Arm:Worawat Chotipongchoawalit"") *
      (LEFT('Sprint 14'!B:B,7) = ""DEVRDCT"")
    )
  ),
0)"),4.0)</f>
        <v>4</v>
      </c>
    </row>
    <row r="30" ht="22.5" customHeight="1">
      <c r="A30" s="101" t="s">
        <v>4668</v>
      </c>
      <c r="B30" s="99">
        <f>IFERROR(__xludf.DUMMYFUNCTION("IFERROR(
  SUM(
    FILTER(
      'Sprint 14'!O:O,
      ('Sprint 14'!E:E = ""Aek:Atiphat Nanthachitvanich"") *
      (LEFT('Sprint 14'!B:B,8) = ""DEVRDADJ"")
    )
  ),
0)"),0.0)</f>
        <v>0</v>
      </c>
      <c r="C30" s="99">
        <f>IFERROR(__xludf.DUMMYFUNCTION("IFERROR(
  SUM(
    FILTER(
      'Sprint 14'!O:O,
      ('Sprint 14'!E:E = ""Zan : Isarapong Bulan"") *
      (LEFT('Sprint 14'!B:B,8) = ""DEVRDADJ"")
    )
  ),
0)"),0.0)</f>
        <v>0</v>
      </c>
      <c r="D30" s="99">
        <f>IFERROR(__xludf.DUMMYFUNCTION("IFERROR(
  SUM(
    FILTER(
      'Sprint 14'!O:O,
      ('Sprint 14'!E:E = ""Aom: Pornsawan Polnyiem"") *
      (LEFT('Sprint 14'!B:B,8) = ""DEVRDADJ"")
    )
  ),
0)"),0.0)</f>
        <v>0</v>
      </c>
      <c r="E30" s="99">
        <f>IFERROR(__xludf.DUMMYFUNCTION("IFERROR(
  SUM(
    FILTER(
      'Sprint 14'!O:O,
      ('Sprint 14'!E:E = ""Jack: Warin Kesorn"") *
      (LEFT('Sprint 14'!B:B,8) = ""DEVRDADJ"")
    )
  ),
0)"),0.0)</f>
        <v>0</v>
      </c>
      <c r="F30" s="99">
        <f>IFERROR(__xludf.DUMMYFUNCTION("IFERROR(
  SUM(
    FILTER(
      'Sprint 14'!O:O,
      ('Sprint 14'!E:E = ""A:Phongthorn"") *
      (LEFT('Sprint 14'!B:B,8) = ""DEVRDADJ"")
    )
  ),
0)"),0.0)</f>
        <v>0</v>
      </c>
      <c r="G30" s="99">
        <f>IFERROR(__xludf.DUMMYFUNCTION("IFERROR(
  SUM(
    FILTER(
      'Sprint 14'!O:O,
      ('Sprint 14'!E:E = ""Art: Narupontp"") *
      (LEFT('Sprint 14'!B:B,8) = ""DEVRDADJ"")
    )
  ),
0)"),0.0)</f>
        <v>0</v>
      </c>
      <c r="H30" s="99">
        <f>IFERROR(__xludf.DUMMYFUNCTION("IFERROR(
  SUM(
    FILTER(
      'Sprint 14'!O:O,
      ('Sprint 14'!E:E = ""Mai:Sateta Abvanawong"") *
      (LEFT('Sprint 14'!B:B,8) = ""DEVRDADJ"")
    )
  ),
0)"),5.0)</f>
        <v>5</v>
      </c>
      <c r="I30" s="99">
        <f>IFERROR(__xludf.DUMMYFUNCTION("IFERROR(
  SUM(
    FILTER(
      'Sprint 14'!O:O,
      ('Sprint 14'!E:E = ""Kae: Pimonrath Jaiyen"") *
      (LEFT('Sprint 14'!B:B,8) = ""DEVRDADJ"")
    )
  ),
0)"),0.0)</f>
        <v>0</v>
      </c>
      <c r="J30" s="99">
        <f>IFERROR(__xludf.DUMMYFUNCTION("IFERROR(
  SUM(
    FILTER(
      'Sprint 14'!O:O,
      ('Sprint 14'!E:E = ""Mac: Jarupong Pawichpongkul"") *
      (LEFT('Sprint 14'!B:B,8) = ""DEVRDADJ"")
    )
  ),
0)"),0.0)</f>
        <v>0</v>
      </c>
      <c r="K30" s="99">
        <f>IFERROR(__xludf.DUMMYFUNCTION("IFERROR(
  SUM(
    FILTER(
      'Sprint 14'!O:O,
      ('Sprint 14'!E:E = ""Nim : muthita munmueang"") *
      (LEFT('Sprint 14'!B:B,8) = ""DEVRDADJ"")
    )
  ),
0)"),0.0)</f>
        <v>0</v>
      </c>
      <c r="L30" s="99">
        <f>IFERROR(__xludf.DUMMYFUNCTION("IFERROR(
  SUM(
    FILTER(
      'Sprint 14'!O:O,
      ('Sprint 14'!E:E = ""Moss : Kittapath Sangvikukit"") *
      (LEFT('Sprint 14'!B:B,8) = ""DEVRDADJ"")
    )
  ),
0)"),1.0)</f>
        <v>1</v>
      </c>
      <c r="M30" s="99">
        <f>IFERROR(__xludf.DUMMYFUNCTION("IFERROR(
  SUM(
    FILTER(
      'Sprint 14'!O:O,
      ('Sprint 14'!E:E = ""Arm:Worawat Chotipongchoawalit"") *
      (LEFT('Sprint 14'!B:B,8) = ""DEVRDADJ"")
    )
  ),
0)"),0.0)</f>
        <v>0</v>
      </c>
    </row>
    <row r="31">
      <c r="A31" s="101" t="s">
        <v>4669</v>
      </c>
      <c r="B31" s="101">
        <f>IFERROR(__xludf.DUMMYFUNCTION("IFERROR(
  SUM(
    FILTER(
      'Sprint 14'!O:O,
      ('Sprint 14'!E:E = ""Aek:Atiphat Nanthachitvanich"") *
      (LEFT('Sprint 14'!B:B,5) = ""RDAPS"")
    )
  ),
0)"),3.0)</f>
        <v>3</v>
      </c>
      <c r="C31" s="99">
        <f>IFERROR(__xludf.DUMMYFUNCTION("IFERROR(
  SUM(
    FILTER(
      'Sprint 14'!O:O,
      ('Sprint 14'!E:E = ""Zan : Isarapong Bulan"") *
      (LEFT('Sprint 14'!B:B,5) = ""RDAPS"")
    )
  ),
0)"),10.0)</f>
        <v>10</v>
      </c>
      <c r="D31" s="99">
        <f>IFERROR(__xludf.DUMMYFUNCTION("IFERROR(
  SUM(
    FILTER(
      'Sprint 14'!O:O,
      ('Sprint 14'!E:E = ""Aom: Pornsawan Polnyiem"") *
      (LEFT('Sprint 14'!B:B,5) = ""RDAPS"")
    )
  ),
0)"),38.0)</f>
        <v>38</v>
      </c>
      <c r="E31" s="99">
        <f>IFERROR(__xludf.DUMMYFUNCTION("IFERROR(
  SUM(
    FILTER(
      'Sprint 14'!O:O,
      ('Sprint 14'!E:E = ""Jack: Warin Kesorn"") *
      (LEFT('Sprint 14'!B:B,5) = ""RDAPS"")
    )
  ),
0)"),0.0)</f>
        <v>0</v>
      </c>
      <c r="F31" s="99">
        <f>IFERROR(__xludf.DUMMYFUNCTION("IFERROR(
  SUM(
    FILTER(
      'Sprint 14'!O:O,
      ('Sprint 14'!E:E = ""A:Phongthorn"") *
      (LEFT('Sprint 14'!B:B,5) = ""RDAPS"")
    )
  ),
0)"),1.0)</f>
        <v>1</v>
      </c>
      <c r="G31" s="99">
        <f>IFERROR(__xludf.DUMMYFUNCTION("IFERROR(
  SUM(
    FILTER(
      'Sprint 14'!O:O,
      ('Sprint 14'!E:E = ""Art: Narupontp"") *
      (LEFT('Sprint 14'!B:B,5) = ""RDAPS"")
    )
  ),
0)"),0.0)</f>
        <v>0</v>
      </c>
      <c r="H31" s="99">
        <f>IFERROR(__xludf.DUMMYFUNCTION("IFERROR(
  SUM(
    FILTER(
      'Sprint 14'!O:O,
      ('Sprint 14'!E:E = ""Mai:Sateta Abvanawong"") *
      (LEFT('Sprint 14'!B:B,5) = ""RDAPS"")
    )
  ),
0)"),18.0)</f>
        <v>18</v>
      </c>
      <c r="I31" s="99">
        <f>IFERROR(__xludf.DUMMYFUNCTION("IFERROR(
  SUM(
    FILTER(
      'Sprint 14'!O:O,
      ('Sprint 14'!E:E = ""Kae: Pimonrath Jaiyen"") *
      (LEFT('Sprint 14'!B:B,5) = ""RDAPS"")
    )
  ),
0)"),3.0)</f>
        <v>3</v>
      </c>
      <c r="J31" s="99">
        <f>IFERROR(__xludf.DUMMYFUNCTION("IFERROR(
  SUM(
    FILTER(
      'Sprint 14'!O:O,
      ('Sprint 14'!E:E = ""Mac: Jarupong Pawichpongkul"") *
      (LEFT('Sprint 14'!B:B,5) = ""RDAPS"")
    )
  ),
0)"),11.0)</f>
        <v>11</v>
      </c>
      <c r="K31" s="99">
        <f>IFERROR(__xludf.DUMMYFUNCTION("IFERROR(
  SUM(
    FILTER(
      'Sprint 14'!O:O,
      ('Sprint 14'!E:E = ""Moss : Kittapath Sangvikukitฃ"") *
      (LEFT('Sprint 14'!B:B,5) = ""RDAPS"")
    )
  ),
0)"),0.0)</f>
        <v>0</v>
      </c>
      <c r="L31" s="99">
        <f>IFERROR(__xludf.DUMMYFUNCTION("IFERROR(
  SUM(
    FILTER(
      'Sprint 14'!O:O,
      ('Sprint 14'!E:E = ""Moss : Kittapath Sangvikukit"") *
      (LEFT('Sprint 14'!B:B,5) = ""RDAPS"")
    )
  ),
0)"),17.0)</f>
        <v>17</v>
      </c>
      <c r="M31" s="99">
        <f>IFERROR(__xludf.DUMMYFUNCTION("IFERROR(
  SUM(
    FILTER(
      'Sprint 14'!O:O,
      ('Sprint 14'!E:E = ""Arm:Worawat Chotipongchoawalit"") *
      (LEFT('Sprint 14'!B:B,5) = ""RDAPS"")
    )
  ),
0)"),24.0)</f>
        <v>24</v>
      </c>
    </row>
    <row r="32" ht="21.0" customHeight="1">
      <c r="A32" s="101" t="s">
        <v>4670</v>
      </c>
      <c r="B32" s="101">
        <f>IFERROR(__xludf.DUMMYFUNCTION("IFERROR(
  SUM(
    FILTER(
      'Sprint 14'!O:O,
      ('Sprint 14'!E:E = ""Aek:Atiphat Nanthachitvanich"") *
      (LEFT('Sprint 14'!B:B,8) = ""DEVRDSUP"")
    )
  ),
0)"),4.0)</f>
        <v>4</v>
      </c>
      <c r="C32" s="99">
        <f>IFERROR(__xludf.DUMMYFUNCTION("IFERROR(
  SUM(
    FILTER(
      'Sprint 14'!O:O,
      ('Sprint 14'!E:E = ""Zan : Isarapong Bulan"") *
      (LEFT('Sprint 14'!B:B,8) = ""DEVRDSUP"")
    )
  ),
0)"),0.0)</f>
        <v>0</v>
      </c>
      <c r="D32" s="99">
        <f>IFERROR(__xludf.DUMMYFUNCTION("IFERROR(
  SUM(
    FILTER(
      'Sprint 14'!O:O,
      ('Sprint 14'!E:E = ""Aom: Pornsawan Polnyiem"") *
      (LEFT('Sprint 14'!B:B,8) = ""DEVRDSUP"")
    )
  ),
0)"),41.0)</f>
        <v>41</v>
      </c>
      <c r="E32" s="99">
        <f>IFERROR(__xludf.DUMMYFUNCTION("IFERROR(
  SUM(
    FILTER(
      'Sprint 14'!O:O,
      ('Sprint 14'!E:E = ""Jack: Warin Kesorn"") *
      (LEFT('Sprint 14'!B:B,8) = ""DEVRDSUP"")
    )
  ),
0)"),0.0)</f>
        <v>0</v>
      </c>
      <c r="F32" s="101">
        <f>IFERROR(__xludf.DUMMYFUNCTION("IFERROR(
  SUM(
    FILTER(
      'Sprint 14'!P:P,
      ('Sprint 14'!F:F = ""A:Phongthorn"") *
      (LEFT('Sprint 14'!C:C,8) = ""DEVRDSUP"")
    )
  ),
0)"),0.0)</f>
        <v>0</v>
      </c>
      <c r="G32" s="99">
        <f>IFERROR(__xludf.DUMMYFUNCTION("IFERROR(
  SUM(
    FILTER(
      'Sprint 14'!O:O,
      ('Sprint 14'!E:E = ""Art: Narupontp"") *
      (LEFT('Sprint 14'!B:B,8) = ""DEVRDSUP"")
    )
  ),
0)"),0.0)</f>
        <v>0</v>
      </c>
      <c r="H32" s="99">
        <f>IFERROR(__xludf.DUMMYFUNCTION("IFERROR(
  SUM(
    FILTER(
      'Sprint 14'!O:O,
      ('Sprint 14'!E:E = ""Mai:Sateta Abvanawong"") *
      (LEFT('Sprint 14'!B:B,8) = ""DEVRDSUP"")
    )
  ),
0)"),4.0)</f>
        <v>4</v>
      </c>
      <c r="I32" s="99">
        <f>IFERROR(__xludf.DUMMYFUNCTION("IFERROR(
  SUM(
    FILTER(
      'Sprint 14'!O:O,
      ('Sprint 14'!E:E = ""Kae: Pimonrath Jaiyen"") *
      (LEFT('Sprint 14'!B:B,8) = ""DEVRDSUP"")
    )
  ),
0)"),0.0)</f>
        <v>0</v>
      </c>
      <c r="J32" s="99">
        <f>IFERROR(__xludf.DUMMYFUNCTION("IFERROR(
  SUM(
    FILTER(
      'Sprint 14'!O:O,
      ('Sprint 14'!E:E = ""Mac: Jarupong Pawichpongkul"") *
      (LEFT('Sprint 14'!B:B,8) = ""DEVRDSUP"")
    )
  ),
0)"),1.0)</f>
        <v>1</v>
      </c>
      <c r="K32" s="99">
        <f>IFERROR(__xludf.DUMMYFUNCTION("IFERROR(
  SUM(
    FILTER(
      'Sprint 14'!O:O,
      ('Sprint 14'!E:E = ""Nim : muthita munmueang"") *
      (LEFT('Sprint 14'!B:B,8) = ""DEVRDSUP"")
    )
  ),
0)"),2.0)</f>
        <v>2</v>
      </c>
      <c r="L32" s="99">
        <f>IFERROR(__xludf.DUMMYFUNCTION("IFERROR(
  SUM(
    FILTER(
      'Sprint 14'!O:O,
      ('Sprint 14'!E:E = ""Moss : Kittapath Sangvikukit"") *
      (LEFT('Sprint 14'!B:B,8) = ""DEVRDSUP"")
    )
  ),
0)"),0.0)</f>
        <v>0</v>
      </c>
      <c r="M32" s="99">
        <f>IFERROR(__xludf.DUMMYFUNCTION("IFERROR(
  SUM(
    FILTER(
      'Sprint 14'!O:O,
      ('Sprint 14'!E:E = ""Arm:Worawat Chotipongchoawalit"") *
      (LEFT('Sprint 14'!B:B,8) = ""DEVRDSUP"")
    )
  ),
0)"),0.0)</f>
        <v>0</v>
      </c>
    </row>
    <row r="33">
      <c r="C33" s="125"/>
    </row>
    <row r="34">
      <c r="C34" s="125"/>
    </row>
    <row r="35" ht="24.75" customHeight="1">
      <c r="A35" s="232"/>
      <c r="B35" s="233" t="s">
        <v>2210</v>
      </c>
      <c r="C35" s="234"/>
      <c r="D35" s="234"/>
      <c r="E35" s="235"/>
      <c r="F35" s="236" t="s">
        <v>2211</v>
      </c>
      <c r="G35" s="234"/>
      <c r="H35" s="235"/>
      <c r="I35" s="242" t="s">
        <v>3615</v>
      </c>
      <c r="J35" s="234"/>
      <c r="K35" s="234"/>
      <c r="L35" s="234"/>
      <c r="M35" s="235"/>
    </row>
    <row r="36" ht="20.25" customHeight="1">
      <c r="A36" s="239" t="s">
        <v>3618</v>
      </c>
      <c r="B36" s="243" t="s">
        <v>30</v>
      </c>
      <c r="C36" s="243" t="s">
        <v>24</v>
      </c>
      <c r="D36" s="243" t="s">
        <v>72</v>
      </c>
      <c r="E36" s="243" t="s">
        <v>28</v>
      </c>
      <c r="F36" s="243" t="s">
        <v>32</v>
      </c>
      <c r="G36" s="243" t="s">
        <v>3616</v>
      </c>
      <c r="H36" s="243" t="s">
        <v>73</v>
      </c>
      <c r="I36" s="243" t="s">
        <v>3617</v>
      </c>
      <c r="J36" s="243" t="s">
        <v>74</v>
      </c>
      <c r="K36" s="243" t="s">
        <v>76</v>
      </c>
      <c r="L36" s="243" t="s">
        <v>75</v>
      </c>
      <c r="M36" s="243" t="s">
        <v>77</v>
      </c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101" t="s">
        <v>4665</v>
      </c>
      <c r="B37" s="99">
        <f>IFERROR(__xludf.DUMMYFUNCTION("ROUND(
  IFERROR(
    SUM(
      FILTER(
        'Sprint 14'!U:U,
        ('Sprint 14'!E:E = ""Aek:Atiphat Nanthachitvanich"") *
        (LEFT('Sprint 14'!B:B,7) = ""RDTHANA"")
      )
    ) / 3600,
    0
  ),
  2
)"),0.0)</f>
        <v>0</v>
      </c>
      <c r="C37" s="99">
        <f>IFERROR(__xludf.DUMMYFUNCTION("ROUND(
  IFERROR(
    SUM(
      FILTER(
        'Sprint 14'!U:U,
        ('Sprint 14'!E:E = ""Zan : Isarapong Bulan"") *
        (LEFT('Sprint 14'!B:B,7) = ""RDTHANA"")
      )
    ) / 3600,
    0
  ),
  2
)"),0.0)</f>
        <v>0</v>
      </c>
      <c r="D37" s="99">
        <f>IFERROR(__xludf.DUMMYFUNCTION("ROUND(
  IFERROR(
    SUM(
      FILTER(
        'Sprint 14'!U:U,
        ('Sprint 14'!E:E = ""Aom: Pornsawan Polnyiem"") *
        (LEFT('Sprint 14'!B:B,7) = ""RDTHANA"")
      )
    ) / 3600,
    0
  ),
  2
)"),0.0)</f>
        <v>0</v>
      </c>
      <c r="E37" s="99">
        <f>IFERROR(__xludf.DUMMYFUNCTION("ROUND(
  IFERROR(
    SUM(
      FILTER(
        'Sprint 14'!U:U,
        ('Sprint 14'!E:E = ""Jack: Warin Kesorn"") *
        (LEFT('Sprint 14'!B:B,7) = ""RDTHANA"")
      )
    ) / 3600,
    0
  ),
  2
)"),0.0)</f>
        <v>0</v>
      </c>
      <c r="F37" s="99">
        <f>IFERROR(__xludf.DUMMYFUNCTION("ROUND(
  IFERROR(
    SUM(
      FILTER(
        'Sprint 14'!U:U,
        ('Sprint 14'!E:E = ""A:Phongthorn"") *
        (LEFT('Sprint 14'!B:B,7) = ""RDTHANA"")
      )
    ) / 3600,
    0
  ),
  2
)"),0.0)</f>
        <v>0</v>
      </c>
      <c r="G37" s="99">
        <f>IFERROR(__xludf.DUMMYFUNCTION("ROUND(
  IFERROR(
    SUM(
      FILTER(
        'Sprint 14'!U:U,
        ('Sprint 14'!E:E = ""Art: Narupontp"") *
        (LEFT('Sprint 14'!B:B,7) = ""RDTHANA"")
      )
    ) / 3600,
    0
  ),
  2
)"),0.0)</f>
        <v>0</v>
      </c>
      <c r="H37" s="99">
        <f>IFERROR(__xludf.DUMMYFUNCTION("ROUND(
  IFERROR(
    SUM(
      FILTER(
        'Sprint 14'!U:U,
        ('Sprint 14'!E:E = ""Mai:Sateta Abvanawong"") *
        (LEFT('Sprint 14'!B:B,7) = ""RDTHANA"")
      )
    ) / 3600,
    0
  ),
  2
)"),0.0)</f>
        <v>0</v>
      </c>
      <c r="I37" s="99">
        <f>IFERROR(__xludf.DUMMYFUNCTION("ROUND(
  IFERROR(
    SUM(
      FILTER(
        'Sprint 14'!U:U,
        ('Sprint 14'!E:E = ""Kae: Pimonrath Jaiyen"") *
        (LEFT('Sprint 14'!B:B,7) = ""RDTHANA"")
      )
    ) / 3600,
    0
  ),
  2
)"),0.0)</f>
        <v>0</v>
      </c>
      <c r="J37" s="99">
        <f>IFERROR(__xludf.DUMMYFUNCTION("ROUND(
  IFERROR(
    SUM(
      FILTER(
        'Sprint 14'!U:U,
        ('Sprint 14'!E:E = ""Mac: Jarupong Pawichpongkul"") *
        (LEFT('Sprint 14'!B:B,7) = ""RDTHANA"")
      )
    ) / 3600,
    0
  ),
  2
)"),0.0)</f>
        <v>0</v>
      </c>
      <c r="K37" s="99">
        <f>IFERROR(__xludf.DUMMYFUNCTION("ROUND(
  IFERROR(
    SUM(
      FILTER(
        'Sprint 14'!U:U,
        ('Sprint 14'!E:E = ""Nim : muthita munmueang"") *
        (LEFT('Sprint 14'!B:B,7) = ""RDTHANA"")
      )
    ) / 3600,
    0
  ),
  2
)"),0.0)</f>
        <v>0</v>
      </c>
      <c r="L37" s="99">
        <f>IFERROR(__xludf.DUMMYFUNCTION("ROUND(
  IFERROR(
    SUM(
      FILTER(
        'Sprint 14'!U:U,
        ('Sprint 14'!E:E = ""Moss : Kittapath Sangvikukit"") *
        (LEFT('Sprint 14'!B:B,7) = ""RDTHANA"")
      )
    ) / 3600,
    0
  ),
  2
)"),0.0)</f>
        <v>0</v>
      </c>
      <c r="M37" s="99">
        <f>IFERROR(__xludf.DUMMYFUNCTION("ROUND(
  IFERROR(
    SUM(
      FILTER(
        'Sprint 14'!U:U,
        ('Sprint 14'!E:E = ""Arm:Worawat Chotipongchoawalit"") *
        (LEFT('Sprint 14'!B:B,7) = ""RDTHANA"")
      )
    ) / 3600,
    0
  ),
  2
)"),0.0)</f>
        <v>0</v>
      </c>
    </row>
    <row r="38">
      <c r="A38" s="101" t="s">
        <v>4666</v>
      </c>
      <c r="B38" s="99">
        <f>IFERROR(__xludf.DUMMYFUNCTION("ROUND(
  IFERROR(
    SUM(
      FILTER(
        'Sprint 14'!U:U,
        ('Sprint 14'!E:E = ""Aek:Atiphat Nanthachitvanich"") *
        (LEFT('Sprint 14'!B:B,9) = ""DEVRDECOM"")
      )
    ) / 3600,
    0
  ),
  2
)"),4.0)</f>
        <v>4</v>
      </c>
      <c r="C38" s="99">
        <f>IFERROR(__xludf.DUMMYFUNCTION("ROUND(
  IFERROR(
    SUM(
      FILTER(
        'Sprint 14'!U:U,
        ('Sprint 14'!E:E = ""Zan : Isarapong Bulan"") *
        (LEFT('Sprint 14'!B:B,9) = ""DEVRDECOM"")
      )
    ) / 3600,
    0
  ),
  2
)"),0.0)</f>
        <v>0</v>
      </c>
      <c r="D38" s="99">
        <f>IFERROR(__xludf.DUMMYFUNCTION("ROUND(
  IFERROR(
    SUM(
      FILTER(
        'Sprint 14'!U:U,
        ('Sprint 14'!E:E = ""Aom: Pornsawan Polnyiem"") *
        (LEFT('Sprint 14'!B:B,9) = ""DEVRDECOM"")
      )
    ) / 3600,
    0
  ),
  2
)"),0.0)</f>
        <v>0</v>
      </c>
      <c r="E38" s="99">
        <f>IFERROR(__xludf.DUMMYFUNCTION("ROUND(
  IFERROR(
    SUM(
      FILTER(
        'Sprint 14'!U:U,
        ('Sprint 14'!E:E = ""Jack: Warin Kesorn"") *
        (LEFT('Sprint 14'!B:B,9) = ""DEVRDECOM"")
      )
    ) / 3600,
    0
  ),
  2
)"),0.0)</f>
        <v>0</v>
      </c>
      <c r="F38" s="99">
        <f>IFERROR(__xludf.DUMMYFUNCTION("ROUND(
  IFERROR(
    SUM(
      FILTER(
        'Sprint 14'!U:U,
        ('Sprint 14'!E:E = ""A:Phongthorn"") *
        (LEFT('Sprint 14'!B:B,9) = ""DEVRDECOM"")
      )
    ) / 3600,
    0
  ),
  2
)"),0.0)</f>
        <v>0</v>
      </c>
      <c r="G38" s="99">
        <f>IFERROR(__xludf.DUMMYFUNCTION("ROUND(
  IFERROR(
    SUM(
      FILTER(
        'Sprint 14'!U:U,
        ('Sprint 14'!E:E = ""Art: Narupontp"") *
        (LEFT('Sprint 14'!B:B,9) = ""DEVRDECOM"")
      )
    ) / 3600,
    0
  ),
  2
)"),0.0)</f>
        <v>0</v>
      </c>
      <c r="H38" s="99">
        <f>IFERROR(__xludf.DUMMYFUNCTION("ROUND(
  IFERROR(
    SUM(
      FILTER(
        'Sprint 14'!U:U,
        ('Sprint 14'!E:E = ""Mai:Sateta Abvanawong"") *
        (LEFT('Sprint 14'!B:B,9) = ""DEVRDECOM"")
      )
    ) / 3600,
    0
  ),
  2
)"),16.0)</f>
        <v>16</v>
      </c>
      <c r="I38" s="99">
        <f>IFERROR(__xludf.DUMMYFUNCTION("ROUND(
  IFERROR(
    SUM(
      FILTER(
        'Sprint 14'!U:U,
        ('Sprint 14'!E:E = ""Kae: Pimonrath Jaiyen"") *
        (LEFT('Sprint 14'!B:B,9) = ""DEVRDECOM"")
      )
    ) / 3600,
    0
  ),
  2
)"),0.0)</f>
        <v>0</v>
      </c>
      <c r="J38" s="99">
        <f>IFERROR(__xludf.DUMMYFUNCTION("ROUND(
  IFERROR(
    SUM(
      FILTER(
        'Sprint 14'!U:U,
        ('Sprint 14'!E:E = ""Mac: Jarupong Pawichpongkul"") *
        (LEFT('Sprint 14'!B:B,9) = ""DEVRDECOM"")
      )
    ) / 3600,
    0
  ),
  2
)"),8.0)</f>
        <v>8</v>
      </c>
      <c r="K38" s="99">
        <f>IFERROR(__xludf.DUMMYFUNCTION("ROUND(
  IFERROR(
    SUM(
      FILTER(
        'Sprint 14'!U:U,
        ('Sprint 14'!E:E = ""Nim : muthita munmueang"") *
        (LEFT('Sprint 14'!B:B,9) = ""DEVRDECOM"")
      )
    ) / 3600,
    0
  ),
  2
)"),24.0)</f>
        <v>24</v>
      </c>
      <c r="L38" s="99">
        <f>IFERROR(__xludf.DUMMYFUNCTION("ROUND(
  IFERROR(
    SUM(
      FILTER(
        'Sprint 14'!U:U,
        ('Sprint 14'!E:E = ""Moss : Kittapath Sangvikukit"") *
        (LEFT('Sprint 14'!B:B,9) = ""DEVRDECOM"")
      )
    ) / 3600,
    0
  ),
  2
)"),20.0)</f>
        <v>20</v>
      </c>
      <c r="M38" s="99">
        <f>IFERROR(__xludf.DUMMYFUNCTION("ROUND(
  IFERROR(
    SUM(
      FILTER(
        'Sprint 14'!U:U,
        ('Sprint 14'!E:E = ""Arm:Worawat Chotipongchoawalit"") *
        (LEFT('Sprint 14'!B:B,9) = ""DEVRDECOM"")
      )
    ) / 3600,
    0
  ),
  2
)"),34.0)</f>
        <v>34</v>
      </c>
    </row>
    <row r="39" ht="32.25" customHeight="1">
      <c r="A39" s="101" t="s">
        <v>4667</v>
      </c>
      <c r="B39" s="99">
        <f>IFERROR(__xludf.DUMMYFUNCTION("ROUND(
  IFERROR(
    SUM(
      FILTER(
        'Sprint 14'!U:U,
        ('Sprint 14'!E:E = ""Aek:Atiphat Nanthachitvanich"") *
        (LEFT('Sprint 14'!B:B,7) = ""DEVRDCT"")
      )
    ) / 3600,
    0
  ),
  2
)"),0.0)</f>
        <v>0</v>
      </c>
      <c r="C39" s="99">
        <f>IFERROR(__xludf.DUMMYFUNCTION("ROUND(
  IFERROR(
    SUM(
      FILTER(
        'Sprint 14'!U:U,
        ('Sprint 14'!E:E = ""Zan : Isarapong Bulan"") *
        (LEFT('Sprint 14'!B:B,7) = ""DEVRDCT"")
      )
    ) / 3600,
    0
  ),
  2
)"),0.0)</f>
        <v>0</v>
      </c>
      <c r="D39" s="99">
        <f>IFERROR(__xludf.DUMMYFUNCTION("ROUND(
  IFERROR(
    SUM(
      FILTER(
        'Sprint 14'!U:U,
        ('Sprint 14'!E:E = ""Aom: Pornsawan Polnyiem"") *
        (LEFT('Sprint 14'!B:B,7) = ""DEVRDCT"")
      )
    ) / 3600,
    0
  ),
  2
)"),0.0)</f>
        <v>0</v>
      </c>
      <c r="E39" s="99">
        <f>IFERROR(__xludf.DUMMYFUNCTION("ROUND(
  IFERROR(
    SUM(
      FILTER(
        'Sprint 14'!U:U,
        ('Sprint 14'!E:E = ""Jack: Warin Kesorn"") *
        (LEFT('Sprint 14'!B:B,7) = ""DEVRDCT"")
      )
    ) / 3600,
    0
  ),
  2
)"),0.0)</f>
        <v>0</v>
      </c>
      <c r="F39" s="99">
        <f>IFERROR(__xludf.DUMMYFUNCTION("ROUND(
  IFERROR(
    SUM(
      FILTER(
        'Sprint 14'!U:U,
        ('Sprint 14'!E:E = ""A:Phongthorn"") *
        (LEFT('Sprint 14'!B:B,7) = ""DEVRDCT"")
      )
    ) / 3600,
    0
  ),
  2
)"),0.0)</f>
        <v>0</v>
      </c>
      <c r="G39" s="99">
        <f>IFERROR(__xludf.DUMMYFUNCTION("ROUND(
  IFERROR(
    SUM(
      FILTER(
        'Sprint 14'!U:U,
        ('Sprint 14'!E:E = ""Art: Narupontp"") *
        (LEFT('Sprint 14'!B:B,7) = ""DEVRDCT"")
      )
    ) / 3600,
    0
  ),
  2
)"),0.0)</f>
        <v>0</v>
      </c>
      <c r="H39" s="99">
        <f>IFERROR(__xludf.DUMMYFUNCTION("ROUND(
  IFERROR(
    SUM(
      FILTER(
        'Sprint 14'!U:U,
        ('Sprint 14'!E:E = ""Mai:Sateta Abvanawong"") *
        (LEFT('Sprint 14'!B:B,7) = ""DEVRDCT"")
      )
    ) / 3600,
    0
  ),
  2
)"),0.0)</f>
        <v>0</v>
      </c>
      <c r="I39" s="99">
        <f>IFERROR(__xludf.DUMMYFUNCTION("ROUND(
  IFERROR(
    SUM(
      FILTER(
        'Sprint 14'!U:U,
        ('Sprint 14'!E:E = ""Kae: Pimonrath Jaiyen"") *
        (LEFT('Sprint 14'!B:B,7) = ""DEVRDCT"")
      )
    ) / 3600,
    0
  ),
  2
)"),0.0)</f>
        <v>0</v>
      </c>
      <c r="J39" s="99">
        <f>IFERROR(__xludf.DUMMYFUNCTION("ROUND(
  IFERROR(
    SUM(
      FILTER(
        'Sprint 14'!U:U,
        ('Sprint 14'!E:E = ""Mac: Jarupong Pawichpongkul"") *
        (LEFT('Sprint 14'!B:B,7) = ""DEVRDCT"")
      )
    ) / 3600,
    0
  ),
  2
)"),16.0)</f>
        <v>16</v>
      </c>
      <c r="K39" s="99">
        <f>IFERROR(__xludf.DUMMYFUNCTION("ROUND(
  IFERROR(
    SUM(
      FILTER(
        'Sprint 14'!U:U,
        ('Sprint 14'!E:E = ""Nim : muthita munmueang"") *
        (LEFT('Sprint 14'!B:B,7) = ""DEVRDCT"")
      )
    ) / 3600,
    0
  ),
  2
)"),0.0)</f>
        <v>0</v>
      </c>
      <c r="L39" s="99">
        <f>IFERROR(__xludf.DUMMYFUNCTION("ROUND(
  IFERROR(
    SUM(
      FILTER(
        'Sprint 14'!U:U,
        ('Sprint 14'!E:E = ""Moss : Kittapath Sangvikukit"") *
        (LEFT('Sprint 14'!B:B,7) = ""DEVRDCT"")
      )
    ) / 3600,
    0
  ),
  2
)"),0.0)</f>
        <v>0</v>
      </c>
      <c r="M39" s="99">
        <f>IFERROR(__xludf.DUMMYFUNCTION("ROUND(
  IFERROR(
    SUM(
      FILTER(
        'Sprint 14'!U:U,
        ('Sprint 14'!E:E = ""Arm:Worawat Chotipongchoawalit"") *
        (LEFT('Sprint 14'!B:B,7) = ""DEVRDCT"")
      )
    ) / 3600,
    0
  ),
  2
)"),0.0)</f>
        <v>0</v>
      </c>
    </row>
    <row r="40" ht="22.5" customHeight="1">
      <c r="A40" s="101" t="s">
        <v>4668</v>
      </c>
      <c r="B40" s="99">
        <f>IFERROR(__xludf.DUMMYFUNCTION("ROUND(
  IFERROR(
    SUM(
      FILTER(
        'Sprint 14'!U:U,
        ('Sprint 14'!E:E = ""Aek:Atiphat Nanthachitvanich"") *
        (LEFT('Sprint 14'!B:B,8) = ""DEVRDADJ"")
      )
    ) / 3600,
    0
  ),
  2
)"),0.0)</f>
        <v>0</v>
      </c>
      <c r="C40" s="99">
        <f>IFERROR(__xludf.DUMMYFUNCTION("ROUND(
  IFERROR(
    SUM(
      FILTER(
        'Sprint 14'!U:U,
        ('Sprint 14'!E:E = ""Zan : Isarapong Bulan"") *
        (LEFT('Sprint 14'!B:B,8) = ""DEVRDADJ"")
      )
    ) / 3600,
    0
  ),
  2
)"),0.0)</f>
        <v>0</v>
      </c>
      <c r="D40" s="99">
        <f>IFERROR(__xludf.DUMMYFUNCTION("ROUND(
  IFERROR(
    SUM(
      FILTER(
        'Sprint 14'!U:U,
        ('Sprint 14'!E:E = ""Aom: Pornsawan Polnyiem"") *
        (LEFT('Sprint 14'!B:B,8) = ""DEVRDADJ"")
      )
    ) / 3600,
    0
  ),
  2
)"),0.0)</f>
        <v>0</v>
      </c>
      <c r="E40" s="99">
        <f>IFERROR(__xludf.DUMMYFUNCTION("ROUND(
  IFERROR(
    SUM(
      FILTER(
        'Sprint 14'!U:U,
        ('Sprint 14'!E:E = ""Jack: Warin Kesorn"") *
        (LEFT('Sprint 14'!B:B,8) = ""DEVRDADJ"")
      )
    ) / 3600,
    0
  ),
  2
)"),0.0)</f>
        <v>0</v>
      </c>
      <c r="F40" s="99">
        <f>IFERROR(__xludf.DUMMYFUNCTION("ROUND(
  IFERROR(
    SUM(
      FILTER(
        'Sprint 14'!U:U,
        ('Sprint 14'!E:E = ""A:Phongthorn"") *
        (LEFT('Sprint 14'!B:B,8) = ""DEVRDADJ"")
      )
    ) / 3600,
    0
  ),
  2
)"),0.0)</f>
        <v>0</v>
      </c>
      <c r="G40" s="99">
        <f>IFERROR(__xludf.DUMMYFUNCTION("ROUND(
  IFERROR(
    SUM(
      FILTER(
        'Sprint 14'!U:U,
        ('Sprint 14'!E:E = ""Aek:Atiphat Nanthachitvanich"") *
        (LEFT('Sprint 14'!B:B,8) = ""DEVRDADJ"")
      )
    ) / 3600,
    0
  ),
  2
)"),0.0)</f>
        <v>0</v>
      </c>
      <c r="H40" s="99">
        <f>IFERROR(__xludf.DUMMYFUNCTION("ROUND(
  IFERROR(
    SUM(
      FILTER(
        'Sprint 14'!U:U,
        ('Sprint 14'!E:E = ""Mai:Sateta Abvanawong"") *
        (LEFT('Sprint 14'!B:B,8) = ""DEVRDADJ"")
      )
    ) / 3600,
    0
  ),
  2
)"),16.0)</f>
        <v>16</v>
      </c>
      <c r="I40" s="99">
        <f>IFERROR(__xludf.DUMMYFUNCTION("ROUND(
  IFERROR(
    SUM(
      FILTER(
        'Sprint 14'!U:U,
        ('Sprint 14'!E:E = ""Kae: Pimonrath Jaiyen"") *
        (LEFT('Sprint 14'!B:B,8) = ""DEVRDADJ"")
      )
    ) / 3600,
    0
  ),
  2
)"),0.0)</f>
        <v>0</v>
      </c>
      <c r="J40" s="99">
        <f>IFERROR(__xludf.DUMMYFUNCTION("ROUND(
  IFERROR(
    SUM(
      FILTER(
        'Sprint 14'!U:U,
        ('Sprint 14'!E:E = ""Mac: Jarupong Pawichpongkul"") *
        (LEFT('Sprint 14'!B:B,8) = ""DEVRDADJ"")
      )
    ) / 3600,
    0
  ),
  2
)"),0.0)</f>
        <v>0</v>
      </c>
      <c r="K40" s="99">
        <f>IFERROR(__xludf.DUMMYFUNCTION("ROUND(
  IFERROR(
    SUM(
      FILTER(
        'Sprint 14'!U:U,
        ('Sprint 14'!E:E = ""Aek:Atiphat Nanthachitvanich"") *
        (LEFT('Sprint 14'!B:B,8) = ""DEVRDADJ"")
      )
    ) / 3600,
    0
  ),
  2
)"),0.0)</f>
        <v>0</v>
      </c>
      <c r="L40" s="99">
        <f>IFERROR(__xludf.DUMMYFUNCTION("ROUND(
  IFERROR(
    SUM(
      FILTER(
        'Sprint 14'!U:U,
        ('Sprint 14'!E:E = ""Moss : Kittapath Sangvikukit"") *
        (LEFT('Sprint 14'!B:B,8) = ""DEVRDADJ"")
      )
    ) / 3600,
    0
  ),
  2
)"),0.0)</f>
        <v>0</v>
      </c>
      <c r="M40" s="99">
        <f>IFERROR(__xludf.DUMMYFUNCTION("ROUND(
  IFERROR(
    SUM(
      FILTER(
        'Sprint 14'!U:U,
        ('Sprint 14'!E:E = ""Arm:Worawat Chotipongchoawalit"") *
        (LEFT('Sprint 14'!B:B,8) = ""DEVRDADJ"")
      )
    ) / 3600,
    0
  ),
  2
)"),0.0)</f>
        <v>0</v>
      </c>
    </row>
    <row r="41">
      <c r="A41" s="101" t="s">
        <v>4669</v>
      </c>
      <c r="B41" s="101">
        <f>IFERROR(__xludf.DUMMYFUNCTION("ROUND(
  IFERROR(
    SUM(
      FILTER(
        'Sprint 14'!U:U,
        ('Sprint 14'!E:E = ""Aek:Atiphat Nanthachitvanich"") *
        (LEFT('Sprint 14'!B:B,5) = ""RDAPS"")
      )
    ) / 3600,
    0
  ),
  2
)"),4.5)</f>
        <v>4.5</v>
      </c>
      <c r="C41" s="99">
        <f>IFERROR(__xludf.DUMMYFUNCTION("ROUND(
  IFERROR(
    SUM(
      FILTER(
        'Sprint 14'!U:U,
        ('Sprint 14'!E:E = ""Zan : Isarapong Bulan"") *
        (LEFT('Sprint 14'!B:B,5) = ""RDAPS"")
      )
    ) / 3600,
    0
  ),
  2
)"),0.0)</f>
        <v>0</v>
      </c>
      <c r="D41" s="99">
        <f>IFERROR(__xludf.DUMMYFUNCTION("ROUND(
  IFERROR(
    SUM(
      FILTER(
        'Sprint 14'!U:U,
        ('Sprint 14'!E:E = ""Aom: Pornsawan Polnyiem"") *
        (LEFT('Sprint 14'!B:B,5) = ""RDAPS"")
      )
    ) / 3600,
    0
  ),
  2
)"),0.0)</f>
        <v>0</v>
      </c>
      <c r="E41" s="99">
        <f>IFERROR(__xludf.DUMMYFUNCTION("ROUND(
  IFERROR(
    SUM(
      FILTER(
        'Sprint 14'!U:U,
        ('Sprint 14'!E:E = ""Jack: Warin Kesorn"") *
        (LEFT('Sprint 14'!B:B,5) = ""RDAPS"")
      )
    ) / 3600,
    0
  ),
  2
)"),0.0)</f>
        <v>0</v>
      </c>
      <c r="F41" s="99">
        <f>IFERROR(__xludf.DUMMYFUNCTION("ROUND(
  IFERROR(
    SUM(
      FILTER(
        'Sprint 14'!U:U,
        ('Sprint 14'!E:E = ""A:Phongthorn"") *
        (LEFT('Sprint 14'!B:B,5) = ""RDAPS"")
      )
    ) / 3600,
    0
  ),
  2
)"),0.0)</f>
        <v>0</v>
      </c>
      <c r="G41" s="99">
        <f>IFERROR(__xludf.DUMMYFUNCTION("ROUND(
  IFERROR(
    SUM(
      FILTER(
        'Sprint 14'!U:U,
        ('Sprint 14'!E:E = ""Art: Narupontp"") *
        (LEFT('Sprint 14'!B:B,5) = ""RDAPS"")
      )
    ) / 3600,
    0
  ),
  2
)"),0.0)</f>
        <v>0</v>
      </c>
      <c r="H41" s="99">
        <f>IFERROR(__xludf.DUMMYFUNCTION("ROUND(
  IFERROR(
    SUM(
      FILTER(
        'Sprint 14'!U:U,
        ('Sprint 14'!E:E = ""Mai:Sateta Abvanawong"") *
        (LEFT('Sprint 14'!B:B,5) = ""RDAPS"")
      )
    ) / 3600,
    0
  ),
  2
)"),12.0)</f>
        <v>12</v>
      </c>
      <c r="I41" s="99">
        <f>IFERROR(__xludf.DUMMYFUNCTION("ROUND(
  IFERROR(
    SUM(
      FILTER(
        'Sprint 14'!U:U,
        ('Sprint 14'!E:E = ""Kae: Pimonrath Jaiyen"") *
        (LEFT('Sprint 14'!B:B,5) = ""RDAPS"")
      )
    ) / 3600,
    0
  ),
  2
)"),0.0)</f>
        <v>0</v>
      </c>
      <c r="J41" s="99">
        <f>IFERROR(__xludf.DUMMYFUNCTION("ROUND(
  IFERROR(
    SUM(
      FILTER(
        'Sprint 14'!U:U,
        ('Sprint 14'!E:E = ""Mac: Jarupong Pawichpongkul"") *
        (LEFT('Sprint 14'!B:B,5) = ""RDAPS"")
      )
    ) / 3600,
    0
  ),
  2
)"),12.0)</f>
        <v>12</v>
      </c>
      <c r="K41" s="99">
        <f>IFERROR(__xludf.DUMMYFUNCTION("ROUND(
  IFERROR(
    SUM(
      FILTER(
        'Sprint 14'!U:U,
        ('Sprint 14'!E:E = ""Nim : muthita munmueang"") *
        (LEFT('Sprint 14'!B:B,5) = ""RDAPS"")
      )
    ) / 3600,
    0
  ),
  2
)"),24.0)</f>
        <v>24</v>
      </c>
      <c r="L41" s="99">
        <f>IFERROR(__xludf.DUMMYFUNCTION("ROUND(
  IFERROR(
    SUM(
      FILTER(
        'Sprint 14'!U:U,
        ('Sprint 14'!E:E = ""Moss : Kittapath Sangvikukit"") *
        (LEFT('Sprint 14'!B:B,5) = ""RDAPS"")
      )
    ) / 3600,
    0
  ),
  2
)"),20.0)</f>
        <v>20</v>
      </c>
      <c r="M41" s="99">
        <f>IFERROR(__xludf.DUMMYFUNCTION("ROUND(
  IFERROR(
    SUM(
      FILTER(
        'Sprint 14'!U:U,
        ('Sprint 14'!E:E = ""Arm:Worawat Chotipongchoawalit"") *
        (LEFT('Sprint 14'!B:B,5) = ""RDAPS"")
      )
    ) / 3600,
    0
  ),
  2
)"),56.0)</f>
        <v>56</v>
      </c>
    </row>
    <row r="42" ht="21.0" customHeight="1">
      <c r="A42" s="101" t="s">
        <v>4670</v>
      </c>
      <c r="B42" s="101">
        <f>IFERROR(__xludf.DUMMYFUNCTION("ROUND(
  IFERROR(
    SUM(
      FILTER(
        'Sprint 14'!U:U,
        ('Sprint 14'!E:E = ""Aek:Atiphat Nanthachitvanich"") *
        (LEFT('Sprint 14'!B:B,8) = ""DEVRDSUP"")
      )
    ) / 3600,
    0
  ),
  2
)"),2.25)</f>
        <v>2.25</v>
      </c>
      <c r="C42" s="99">
        <f>IFERROR(__xludf.DUMMYFUNCTION("ROUND(
  IFERROR(
    SUM(
      FILTER(
        'Sprint 14'!U:U,
        ('Sprint 14'!E:E = ""Zan : Isarapong Bulan"") *
        (LEFT('Sprint 14'!B:B,8) = ""DEVRDSUP"")
      )
    ) / 3600,
    0
  ),
  2
)"),0.0)</f>
        <v>0</v>
      </c>
      <c r="D42" s="99">
        <f>IFERROR(__xludf.DUMMYFUNCTION("ROUND(
  IFERROR(
    SUM(
      FILTER(
        'Sprint 14'!U:U,
        ('Sprint 14'!E:E = ""Aom: Pornsawan Polnyiem"") *
        (LEFT('Sprint 14'!B:B,8) = ""DEVRDSUP"")
      )
    ) / 3600,
    0
  ),
  2
)"),4.5)</f>
        <v>4.5</v>
      </c>
      <c r="E42" s="99">
        <f>IFERROR(__xludf.DUMMYFUNCTION("ROUND(
  IFERROR(
    SUM(
      FILTER(
        'Sprint 14'!U:U,
        ('Sprint 14'!E:E = ""Jack: Warin Kesorn"") *
        (LEFT('Sprint 14'!B:B,8) = ""DEVRDSUP"")
      )
    ) / 3600,
    0
  ),
  2
)"),0.0)</f>
        <v>0</v>
      </c>
      <c r="F42" s="101">
        <f>IFERROR(__xludf.DUMMYFUNCTION("ROUND(
  IFERROR(
    SUM(
      FILTER(
        'Sprint 14'!U:U,
        ('Sprint 14'!E:E = ""A:Phongthorn"") *
        (LEFT('Sprint 14'!B:B,8) = ""DEVRDSUP"")
      )
    ) / 3600,
    0
  ),
  2
)"),2.0)</f>
        <v>2</v>
      </c>
      <c r="G42" s="99">
        <f>IFERROR(__xludf.DUMMYFUNCTION("ROUND(
  IFERROR(
    SUM(
      FILTER(
        'Sprint 14'!U:U,
        ('Sprint 14'!E:E = ""Art: Narupontp"") *
        (LEFT('Sprint 14'!B:B,8) = ""DEVRDSUP"")
      )
    ) / 3600,
    0
  ),
  2
)"),0.0)</f>
        <v>0</v>
      </c>
      <c r="H42" s="99">
        <f>IFERROR(__xludf.DUMMYFUNCTION("ROUND(
  IFERROR(
    SUM(
      FILTER(
        'Sprint 14'!U:U,
        ('Sprint 14'!E:E = ""Mai:Sateta Abvanawong"") *
        (LEFT('Sprint 14'!B:B,8) = ""DEVRDSUP"")
      )
    ) / 3600,
    0
  ),
  2
)"),2.0)</f>
        <v>2</v>
      </c>
      <c r="I42" s="99">
        <f>IFERROR(__xludf.DUMMYFUNCTION("ROUND(
  IFERROR(
    SUM(
      FILTER(
        'Sprint 14'!U:U,
        ('Sprint 14'!E:E = ""Kae: Pimonrath Jaiyen"") *
        (LEFT('Sprint 14'!B:B,8) = ""DEVRDSUP"")
      )
    ) / 3600,
    0
  ),
  2
)"),0.0)</f>
        <v>0</v>
      </c>
      <c r="J42" s="99">
        <f>IFERROR(__xludf.DUMMYFUNCTION("ROUND(
  IFERROR(
    SUM(
      FILTER(
        'Sprint 14'!U:U,
        ('Sprint 14'!E:E = ""Mac: Jarupong Pawichpongkul"") *
        (LEFT('Sprint 14'!B:B,8) = ""DEVRDSUP"")
      )
    ) / 3600,
    0
  ),
  2
)"),0.0)</f>
        <v>0</v>
      </c>
      <c r="K42" s="99">
        <f>IFERROR(__xludf.DUMMYFUNCTION("ROUND(
  IFERROR(
    SUM(
      FILTER(
        'Sprint 14'!U:U,
        ('Sprint 14'!E:E = ""Nim : muthita munmueang"") *
        (LEFT('Sprint 14'!B:B,8) = ""DEVRDSUP"")
      )
    ) / 3600,
    0
  ),
  2
)"),0.0)</f>
        <v>0</v>
      </c>
      <c r="L42" s="99">
        <f>IFERROR(__xludf.DUMMYFUNCTION("ROUND(
  IFERROR(
    SUM(
      FILTER(
        'Sprint 14'!U:U,
        ('Sprint 14'!E:E = ""Moss : Kittapath Sangvikukit"") *
        (LEFT('Sprint 14'!B:B,8) = ""DEVRDSUP"")
      )
    ) / 3600,
    0
  ),
  2
)"),0.0)</f>
        <v>0</v>
      </c>
      <c r="M42" s="99">
        <f>IFERROR(__xludf.DUMMYFUNCTION("ROUND(
  IFERROR(
    SUM(
      FILTER(
        'Sprint 14'!U:U,
        ('Sprint 14'!E:E = ""Arm:Worawat Chotipongchoawalit"") *
        (LEFT('Sprint 14'!B:B,8) = ""DEVRDSUP"")
      )
    ) / 3600,
    0
  ),
  2
)"),0.0)</f>
        <v>0</v>
      </c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</sheetData>
  <mergeCells count="6">
    <mergeCell ref="B25:E25"/>
    <mergeCell ref="F25:H25"/>
    <mergeCell ref="I25:M25"/>
    <mergeCell ref="B35:E35"/>
    <mergeCell ref="F35:H35"/>
    <mergeCell ref="I35:M3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62.63"/>
    <col customWidth="1" min="15" max="15" width="18.13"/>
    <col customWidth="1" min="19" max="24" width="17.5"/>
    <col customWidth="1" min="25" max="25" width="21.38"/>
    <col customWidth="1" min="26" max="28" width="17.5"/>
    <col customWidth="1" min="29" max="29" width="21.25"/>
    <col customWidth="1" min="30" max="30" width="17.5"/>
    <col customWidth="1" min="31" max="31" width="21.25"/>
    <col customWidth="1" min="32" max="32" width="20.13"/>
    <col customWidth="1" min="33" max="33" width="21.25"/>
    <col customWidth="1" min="34" max="34" width="20.13"/>
    <col customWidth="1" min="35" max="35" width="21.25"/>
    <col customWidth="1" min="36" max="36" width="20.13"/>
    <col customWidth="1" min="38" max="38" width="17.5"/>
    <col customWidth="1" min="39" max="39" width="21.25"/>
    <col customWidth="1" min="40" max="40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274</v>
      </c>
      <c r="T1" s="102" t="s">
        <v>274</v>
      </c>
      <c r="U1" s="102" t="s">
        <v>275</v>
      </c>
      <c r="V1" s="149" t="s">
        <v>3245</v>
      </c>
      <c r="W1" s="115" t="s">
        <v>5946</v>
      </c>
      <c r="X1" s="115" t="s">
        <v>6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102" t="s">
        <v>70</v>
      </c>
      <c r="AF1" s="102" t="s">
        <v>70</v>
      </c>
      <c r="AG1" s="102" t="s">
        <v>70</v>
      </c>
      <c r="AW1" s="88"/>
      <c r="AX1" s="88"/>
    </row>
    <row r="2">
      <c r="A2" s="102" t="s">
        <v>276</v>
      </c>
      <c r="B2" s="102" t="s">
        <v>5676</v>
      </c>
      <c r="C2" s="229" t="s">
        <v>5677</v>
      </c>
      <c r="D2" s="102" t="s">
        <v>5678</v>
      </c>
      <c r="E2" s="102" t="s">
        <v>521</v>
      </c>
      <c r="F2" s="102" t="s">
        <v>522</v>
      </c>
      <c r="G2" s="102" t="s">
        <v>521</v>
      </c>
      <c r="H2" s="102" t="s">
        <v>522</v>
      </c>
      <c r="I2" s="102" t="s">
        <v>284</v>
      </c>
      <c r="J2" s="102" t="s">
        <v>34</v>
      </c>
      <c r="L2" s="229" t="s">
        <v>5679</v>
      </c>
      <c r="M2" s="229" t="s">
        <v>5947</v>
      </c>
      <c r="N2" s="102"/>
      <c r="O2" s="102"/>
      <c r="P2" s="102"/>
      <c r="U2" s="230"/>
      <c r="V2" s="230" t="str">
        <f>IF(ISNUMBER(MATCH(B2, 'Sprint 13'!B:B, 0)), "มาจาก Sprint 13", "")</f>
        <v/>
      </c>
      <c r="W2" s="230" t="str">
        <f t="array" ref="W2">IF(ISNUMBER(MATCH(B2, 'Sprint 13'!B:B, 0)), INDEX('Sprint 13'!J:J, MATCH(B2, 'Sprint 13'!B:B, 0)), "")</f>
        <v/>
      </c>
      <c r="X2" s="230"/>
      <c r="Y2" s="102" t="s">
        <v>4657</v>
      </c>
      <c r="Z2" s="102" t="s">
        <v>2266</v>
      </c>
    </row>
    <row r="3">
      <c r="A3" s="102" t="s">
        <v>332</v>
      </c>
      <c r="B3" s="102" t="s">
        <v>5948</v>
      </c>
      <c r="C3" s="229" t="s">
        <v>5949</v>
      </c>
      <c r="D3" s="102" t="s">
        <v>5950</v>
      </c>
      <c r="E3" s="102" t="s">
        <v>495</v>
      </c>
      <c r="F3" s="102" t="s">
        <v>496</v>
      </c>
      <c r="G3" s="102" t="s">
        <v>521</v>
      </c>
      <c r="H3" s="102" t="s">
        <v>522</v>
      </c>
      <c r="I3" s="102" t="s">
        <v>284</v>
      </c>
      <c r="J3" s="102" t="s">
        <v>922</v>
      </c>
      <c r="L3" s="229" t="s">
        <v>5951</v>
      </c>
      <c r="M3" s="229" t="s">
        <v>5952</v>
      </c>
      <c r="O3" s="102"/>
      <c r="U3" s="102"/>
      <c r="V3" s="230" t="str">
        <f>IF(ISNUMBER(MATCH(B3, 'Sprint 13'!B:B, 0)), "มาจาก Sprint 13", "")</f>
        <v/>
      </c>
      <c r="W3" s="230" t="str">
        <f t="array" ref="W3">IF(ISNUMBER(MATCH(B3, 'Sprint 13'!B:B, 0)), INDEX('Sprint 13'!J:J, MATCH(B3, 'Sprint 13'!B:B, 0)), "")</f>
        <v/>
      </c>
      <c r="X3" s="102"/>
      <c r="Y3" s="102" t="s">
        <v>2185</v>
      </c>
    </row>
    <row r="4">
      <c r="A4" s="102" t="s">
        <v>310</v>
      </c>
      <c r="B4" s="102" t="s">
        <v>5953</v>
      </c>
      <c r="C4" s="229" t="s">
        <v>5954</v>
      </c>
      <c r="D4" s="102" t="s">
        <v>5955</v>
      </c>
      <c r="E4" s="102" t="s">
        <v>282</v>
      </c>
      <c r="F4" s="102" t="s">
        <v>283</v>
      </c>
      <c r="G4" s="102" t="s">
        <v>362</v>
      </c>
      <c r="H4" s="102" t="s">
        <v>363</v>
      </c>
      <c r="I4" s="102" t="s">
        <v>284</v>
      </c>
      <c r="J4" s="102" t="s">
        <v>26</v>
      </c>
      <c r="L4" s="229" t="s">
        <v>5956</v>
      </c>
      <c r="M4" s="229" t="s">
        <v>5957</v>
      </c>
      <c r="N4" s="102"/>
      <c r="O4" s="102"/>
      <c r="P4" s="102" t="s">
        <v>4656</v>
      </c>
      <c r="U4" s="102">
        <v>1800.0</v>
      </c>
      <c r="V4" s="230" t="str">
        <f>IF(ISNUMBER(MATCH(B4, 'Sprint 13'!B:B, 0)), "มาจาก Sprint 13", "")</f>
        <v/>
      </c>
      <c r="W4" s="230" t="str">
        <f t="array" ref="W4">IF(ISNUMBER(MATCH(B4, 'Sprint 13'!B:B, 0)), INDEX('Sprint 13'!J:J, MATCH(B4, 'Sprint 13'!B:B, 0)), "")</f>
        <v/>
      </c>
      <c r="X4" s="102"/>
      <c r="Y4" s="102" t="s">
        <v>4657</v>
      </c>
    </row>
    <row r="5">
      <c r="A5" s="102" t="s">
        <v>310</v>
      </c>
      <c r="B5" s="102" t="s">
        <v>5958</v>
      </c>
      <c r="C5" s="229" t="s">
        <v>5959</v>
      </c>
      <c r="D5" s="102" t="s">
        <v>5960</v>
      </c>
      <c r="E5" s="102" t="s">
        <v>513</v>
      </c>
      <c r="F5" s="102" t="s">
        <v>514</v>
      </c>
      <c r="G5" s="102" t="s">
        <v>513</v>
      </c>
      <c r="H5" s="102" t="s">
        <v>514</v>
      </c>
      <c r="I5" s="102" t="s">
        <v>284</v>
      </c>
      <c r="J5" s="102" t="s">
        <v>26</v>
      </c>
      <c r="L5" s="229" t="s">
        <v>5961</v>
      </c>
      <c r="M5" s="229" t="s">
        <v>5962</v>
      </c>
      <c r="N5" s="229" t="s">
        <v>4925</v>
      </c>
      <c r="O5" s="102">
        <v>3.0</v>
      </c>
      <c r="P5" s="102" t="s">
        <v>593</v>
      </c>
      <c r="U5" s="230"/>
      <c r="V5" s="230" t="str">
        <f>IF(ISNUMBER(MATCH(B5, 'Sprint 13'!B:B, 0)), "มาจาก Sprint 13", "")</f>
        <v/>
      </c>
      <c r="W5" s="230" t="str">
        <f t="array" ref="W5">IF(ISNUMBER(MATCH(B5, 'Sprint 13'!B:B, 0)), INDEX('Sprint 13'!J:J, MATCH(B5, 'Sprint 13'!B:B, 0)), "")</f>
        <v/>
      </c>
      <c r="X5" s="230"/>
      <c r="Y5" s="102" t="s">
        <v>5963</v>
      </c>
    </row>
    <row r="6">
      <c r="A6" s="102" t="s">
        <v>310</v>
      </c>
      <c r="B6" s="102" t="s">
        <v>5964</v>
      </c>
      <c r="C6" s="229" t="s">
        <v>5965</v>
      </c>
      <c r="D6" s="102" t="s">
        <v>5966</v>
      </c>
      <c r="E6" s="102" t="s">
        <v>314</v>
      </c>
      <c r="F6" s="102" t="s">
        <v>315</v>
      </c>
      <c r="G6" s="102" t="s">
        <v>314</v>
      </c>
      <c r="H6" s="102" t="s">
        <v>315</v>
      </c>
      <c r="I6" s="102" t="s">
        <v>284</v>
      </c>
      <c r="J6" s="102" t="s">
        <v>26</v>
      </c>
      <c r="L6" s="229" t="s">
        <v>5967</v>
      </c>
      <c r="M6" s="229" t="s">
        <v>5968</v>
      </c>
      <c r="O6" s="102">
        <v>1.0</v>
      </c>
      <c r="U6" s="102">
        <v>1800.0</v>
      </c>
      <c r="V6" s="230" t="str">
        <f>IF(ISNUMBER(MATCH(B6, 'Sprint 13'!B:B, 0)), "มาจาก Sprint 13", "")</f>
        <v/>
      </c>
      <c r="W6" s="230" t="str">
        <f t="array" ref="W6">IF(ISNUMBER(MATCH(B6, 'Sprint 13'!B:B, 0)), INDEX('Sprint 13'!J:J, MATCH(B6, 'Sprint 13'!B:B, 0)), "")</f>
        <v/>
      </c>
      <c r="X6" s="102"/>
      <c r="Y6" s="102" t="s">
        <v>4657</v>
      </c>
    </row>
    <row r="7">
      <c r="A7" s="102" t="s">
        <v>310</v>
      </c>
      <c r="B7" s="102" t="s">
        <v>5969</v>
      </c>
      <c r="C7" s="229" t="s">
        <v>5970</v>
      </c>
      <c r="D7" s="102" t="s">
        <v>5971</v>
      </c>
      <c r="E7" s="102" t="s">
        <v>513</v>
      </c>
      <c r="F7" s="102" t="s">
        <v>514</v>
      </c>
      <c r="G7" s="102" t="s">
        <v>513</v>
      </c>
      <c r="H7" s="102" t="s">
        <v>514</v>
      </c>
      <c r="I7" s="102" t="s">
        <v>284</v>
      </c>
      <c r="J7" s="102" t="s">
        <v>26</v>
      </c>
      <c r="L7" s="229" t="s">
        <v>5972</v>
      </c>
      <c r="M7" s="229" t="s">
        <v>5973</v>
      </c>
      <c r="N7" s="229" t="s">
        <v>4655</v>
      </c>
      <c r="O7" s="102">
        <v>1.0</v>
      </c>
      <c r="P7" s="102" t="s">
        <v>593</v>
      </c>
      <c r="U7" s="102">
        <v>7200.0</v>
      </c>
      <c r="V7" s="230" t="str">
        <f>IF(ISNUMBER(MATCH(B7, 'Sprint 13'!B:B, 0)), "มาจาก Sprint 13", "")</f>
        <v/>
      </c>
      <c r="W7" s="230" t="str">
        <f t="array" ref="W7">IF(ISNUMBER(MATCH(B7, 'Sprint 13'!B:B, 0)), INDEX('Sprint 13'!J:J, MATCH(B7, 'Sprint 13'!B:B, 0)), "")</f>
        <v/>
      </c>
      <c r="X7" s="102"/>
      <c r="Y7" s="102" t="s">
        <v>5963</v>
      </c>
    </row>
    <row r="8">
      <c r="A8" s="102" t="s">
        <v>332</v>
      </c>
      <c r="B8" s="102" t="s">
        <v>5974</v>
      </c>
      <c r="C8" s="229" t="s">
        <v>5975</v>
      </c>
      <c r="D8" s="102" t="s">
        <v>5976</v>
      </c>
      <c r="E8" s="102" t="s">
        <v>564</v>
      </c>
      <c r="F8" s="102" t="s">
        <v>565</v>
      </c>
      <c r="G8" s="102" t="s">
        <v>521</v>
      </c>
      <c r="H8" s="102" t="s">
        <v>522</v>
      </c>
      <c r="I8" s="102" t="s">
        <v>284</v>
      </c>
      <c r="J8" s="102" t="s">
        <v>336</v>
      </c>
      <c r="L8" s="229" t="s">
        <v>5977</v>
      </c>
      <c r="M8" s="229" t="s">
        <v>5978</v>
      </c>
      <c r="N8" s="102"/>
      <c r="O8" s="102">
        <v>1.0</v>
      </c>
      <c r="P8" s="102"/>
      <c r="Q8" s="102"/>
      <c r="U8" s="102"/>
      <c r="V8" s="230" t="str">
        <f>IF(ISNUMBER(MATCH(B8, 'Sprint 13'!B:B, 0)), "มาจาก Sprint 13", "")</f>
        <v/>
      </c>
      <c r="W8" s="230" t="str">
        <f t="array" ref="W8">IF(ISNUMBER(MATCH(B8, 'Sprint 13'!B:B, 0)), INDEX('Sprint 13'!J:J, MATCH(B8, 'Sprint 13'!B:B, 0)), "")</f>
        <v/>
      </c>
      <c r="X8" s="102"/>
      <c r="Y8" s="102" t="s">
        <v>2185</v>
      </c>
    </row>
    <row r="9">
      <c r="A9" s="102" t="s">
        <v>332</v>
      </c>
      <c r="B9" s="102" t="s">
        <v>5979</v>
      </c>
      <c r="C9" s="229" t="s">
        <v>5980</v>
      </c>
      <c r="D9" s="102" t="s">
        <v>5981</v>
      </c>
      <c r="E9" s="102" t="s">
        <v>495</v>
      </c>
      <c r="F9" s="102" t="s">
        <v>496</v>
      </c>
      <c r="G9" s="102" t="s">
        <v>3288</v>
      </c>
      <c r="H9" s="102" t="s">
        <v>3289</v>
      </c>
      <c r="I9" s="102" t="s">
        <v>284</v>
      </c>
      <c r="J9" s="102" t="s">
        <v>2318</v>
      </c>
      <c r="L9" s="229" t="s">
        <v>5982</v>
      </c>
      <c r="M9" s="229" t="s">
        <v>5983</v>
      </c>
      <c r="O9" s="102"/>
      <c r="U9" s="102"/>
      <c r="V9" s="230" t="str">
        <f>IF(ISNUMBER(MATCH(B9, 'Sprint 13'!B:B, 0)), "มาจาก Sprint 13", "")</f>
        <v/>
      </c>
      <c r="W9" s="230" t="str">
        <f t="array" ref="W9">IF(ISNUMBER(MATCH(B9, 'Sprint 13'!B:B, 0)), INDEX('Sprint 13'!J:J, MATCH(B9, 'Sprint 13'!B:B, 0)), "")</f>
        <v/>
      </c>
      <c r="X9" s="102"/>
      <c r="Y9" s="102" t="s">
        <v>4657</v>
      </c>
    </row>
    <row r="10">
      <c r="A10" s="102" t="s">
        <v>310</v>
      </c>
      <c r="B10" s="102" t="s">
        <v>5444</v>
      </c>
      <c r="C10" s="229" t="s">
        <v>5445</v>
      </c>
      <c r="D10" s="102" t="s">
        <v>5446</v>
      </c>
      <c r="E10" s="102" t="s">
        <v>328</v>
      </c>
      <c r="F10" s="102" t="s">
        <v>329</v>
      </c>
      <c r="G10" s="102" t="s">
        <v>314</v>
      </c>
      <c r="H10" s="102" t="s">
        <v>315</v>
      </c>
      <c r="I10" s="102" t="s">
        <v>284</v>
      </c>
      <c r="J10" s="102" t="s">
        <v>454</v>
      </c>
      <c r="L10" s="229" t="s">
        <v>5447</v>
      </c>
      <c r="M10" s="229" t="s">
        <v>5768</v>
      </c>
      <c r="N10" s="229" t="s">
        <v>5448</v>
      </c>
      <c r="O10" s="102">
        <v>1.0</v>
      </c>
      <c r="P10" s="102"/>
      <c r="U10" s="102">
        <v>7200.0</v>
      </c>
      <c r="V10" s="230" t="str">
        <f>IF(ISNUMBER(MATCH(B10, 'Sprint 13'!B:B, 0)), "มาจาก Sprint 13", "")</f>
        <v/>
      </c>
      <c r="W10" s="230" t="str">
        <f t="array" ref="W10">IF(ISNUMBER(MATCH(B10, 'Sprint 13'!B:B, 0)), INDEX('Sprint 13'!J:J, MATCH(B10, 'Sprint 13'!B:B, 0)), "")</f>
        <v/>
      </c>
      <c r="X10" s="102"/>
      <c r="Y10" s="102" t="s">
        <v>1368</v>
      </c>
      <c r="Z10" s="102" t="s">
        <v>1369</v>
      </c>
    </row>
    <row r="11">
      <c r="A11" s="102" t="s">
        <v>310</v>
      </c>
      <c r="B11" s="102" t="s">
        <v>5984</v>
      </c>
      <c r="C11" s="229" t="s">
        <v>5985</v>
      </c>
      <c r="D11" s="102" t="s">
        <v>5986</v>
      </c>
      <c r="E11" s="102" t="s">
        <v>314</v>
      </c>
      <c r="F11" s="102" t="s">
        <v>315</v>
      </c>
      <c r="G11" s="102" t="s">
        <v>362</v>
      </c>
      <c r="H11" s="102" t="s">
        <v>363</v>
      </c>
      <c r="I11" s="102" t="s">
        <v>284</v>
      </c>
      <c r="J11" s="102" t="s">
        <v>26</v>
      </c>
      <c r="L11" s="229" t="s">
        <v>5987</v>
      </c>
      <c r="M11" s="229" t="s">
        <v>5988</v>
      </c>
      <c r="N11" s="102"/>
      <c r="O11" s="102">
        <v>1.0</v>
      </c>
      <c r="P11" s="102"/>
      <c r="U11" s="102">
        <v>900.0</v>
      </c>
      <c r="V11" s="230" t="str">
        <f>IF(ISNUMBER(MATCH(B11, 'Sprint 13'!B:B, 0)), "มาจาก Sprint 13", "")</f>
        <v/>
      </c>
      <c r="W11" s="230" t="str">
        <f t="array" ref="W11">IF(ISNUMBER(MATCH(B11, 'Sprint 13'!B:B, 0)), INDEX('Sprint 13'!J:J, MATCH(B11, 'Sprint 13'!B:B, 0)), "")</f>
        <v/>
      </c>
      <c r="X11" s="102"/>
      <c r="Y11" s="102" t="s">
        <v>4657</v>
      </c>
    </row>
    <row r="12">
      <c r="A12" s="102" t="s">
        <v>310</v>
      </c>
      <c r="B12" s="102" t="s">
        <v>5989</v>
      </c>
      <c r="C12" s="229" t="s">
        <v>5990</v>
      </c>
      <c r="D12" s="102" t="s">
        <v>5991</v>
      </c>
      <c r="E12" s="102" t="s">
        <v>282</v>
      </c>
      <c r="F12" s="102" t="s">
        <v>283</v>
      </c>
      <c r="G12" s="102" t="s">
        <v>362</v>
      </c>
      <c r="H12" s="102" t="s">
        <v>363</v>
      </c>
      <c r="I12" s="102" t="s">
        <v>284</v>
      </c>
      <c r="J12" s="102" t="s">
        <v>26</v>
      </c>
      <c r="L12" s="229" t="s">
        <v>5992</v>
      </c>
      <c r="M12" s="229" t="s">
        <v>5993</v>
      </c>
      <c r="N12" s="229" t="s">
        <v>5448</v>
      </c>
      <c r="O12" s="102">
        <v>1.0</v>
      </c>
      <c r="P12" s="102" t="s">
        <v>4656</v>
      </c>
      <c r="Q12" s="102" t="s">
        <v>368</v>
      </c>
      <c r="U12" s="102">
        <v>1800.0</v>
      </c>
      <c r="V12" s="230" t="str">
        <f>IF(ISNUMBER(MATCH(B12, 'Sprint 13'!B:B, 0)), "มาจาก Sprint 13", "")</f>
        <v/>
      </c>
      <c r="W12" s="230" t="str">
        <f t="array" ref="W12">IF(ISNUMBER(MATCH(B12, 'Sprint 13'!B:B, 0)), INDEX('Sprint 13'!J:J, MATCH(B12, 'Sprint 13'!B:B, 0)), "")</f>
        <v/>
      </c>
      <c r="X12" s="102"/>
      <c r="Y12" s="102" t="s">
        <v>4657</v>
      </c>
    </row>
    <row r="13">
      <c r="A13" s="102" t="s">
        <v>310</v>
      </c>
      <c r="B13" s="102" t="s">
        <v>5452</v>
      </c>
      <c r="C13" s="229" t="s">
        <v>5453</v>
      </c>
      <c r="D13" s="102" t="s">
        <v>5454</v>
      </c>
      <c r="E13" s="102" t="s">
        <v>495</v>
      </c>
      <c r="F13" s="102" t="s">
        <v>496</v>
      </c>
      <c r="G13" s="102" t="s">
        <v>353</v>
      </c>
      <c r="H13" s="102" t="s">
        <v>354</v>
      </c>
      <c r="I13" s="102" t="s">
        <v>284</v>
      </c>
      <c r="J13" s="102" t="s">
        <v>454</v>
      </c>
      <c r="L13" s="229" t="s">
        <v>5455</v>
      </c>
      <c r="M13" s="229" t="s">
        <v>5740</v>
      </c>
      <c r="O13" s="102">
        <v>3.0</v>
      </c>
      <c r="U13" s="102">
        <v>28800.0</v>
      </c>
      <c r="V13" s="230" t="str">
        <f>IF(ISNUMBER(MATCH(B13, 'Sprint 13'!B:B, 0)), "มาจาก Sprint 13", "")</f>
        <v/>
      </c>
      <c r="W13" s="230" t="str">
        <f t="array" ref="W13">IF(ISNUMBER(MATCH(B13, 'Sprint 13'!B:B, 0)), INDEX('Sprint 13'!J:J, MATCH(B13, 'Sprint 13'!B:B, 0)), "")</f>
        <v/>
      </c>
      <c r="X13" s="102"/>
      <c r="Y13" s="102" t="s">
        <v>4657</v>
      </c>
      <c r="Z13" s="102" t="s">
        <v>2266</v>
      </c>
    </row>
    <row r="14">
      <c r="A14" s="102" t="s">
        <v>310</v>
      </c>
      <c r="B14" s="102" t="s">
        <v>5994</v>
      </c>
      <c r="C14" s="229" t="s">
        <v>5995</v>
      </c>
      <c r="D14" s="102" t="s">
        <v>5996</v>
      </c>
      <c r="E14" s="102" t="s">
        <v>282</v>
      </c>
      <c r="F14" s="102" t="s">
        <v>283</v>
      </c>
      <c r="G14" s="102" t="s">
        <v>362</v>
      </c>
      <c r="H14" s="102" t="s">
        <v>363</v>
      </c>
      <c r="I14" s="102" t="s">
        <v>284</v>
      </c>
      <c r="J14" s="102" t="s">
        <v>26</v>
      </c>
      <c r="L14" s="229" t="s">
        <v>5997</v>
      </c>
      <c r="M14" s="229" t="s">
        <v>5998</v>
      </c>
      <c r="N14" s="229" t="s">
        <v>5448</v>
      </c>
      <c r="O14" s="102">
        <v>1.0</v>
      </c>
      <c r="P14" s="102" t="s">
        <v>4656</v>
      </c>
      <c r="Q14" s="102"/>
      <c r="R14" s="102"/>
      <c r="U14" s="102">
        <v>3600.0</v>
      </c>
      <c r="V14" s="230" t="str">
        <f>IF(ISNUMBER(MATCH(B14, 'Sprint 13'!B:B, 0)), "มาจาก Sprint 13", "")</f>
        <v/>
      </c>
      <c r="W14" s="230" t="str">
        <f t="array" ref="W14">IF(ISNUMBER(MATCH(B14, 'Sprint 13'!B:B, 0)), INDEX('Sprint 13'!J:J, MATCH(B14, 'Sprint 13'!B:B, 0)), "")</f>
        <v/>
      </c>
      <c r="X14" s="102"/>
      <c r="Y14" s="102" t="s">
        <v>4657</v>
      </c>
    </row>
    <row r="15">
      <c r="A15" s="102" t="s">
        <v>310</v>
      </c>
      <c r="B15" s="102" t="s">
        <v>5999</v>
      </c>
      <c r="C15" s="229" t="s">
        <v>6000</v>
      </c>
      <c r="D15" s="102" t="s">
        <v>6001</v>
      </c>
      <c r="E15" s="102" t="s">
        <v>513</v>
      </c>
      <c r="F15" s="102" t="s">
        <v>514</v>
      </c>
      <c r="G15" s="102" t="s">
        <v>513</v>
      </c>
      <c r="H15" s="102" t="s">
        <v>514</v>
      </c>
      <c r="I15" s="102" t="s">
        <v>284</v>
      </c>
      <c r="J15" s="102" t="s">
        <v>26</v>
      </c>
      <c r="L15" s="229" t="s">
        <v>6002</v>
      </c>
      <c r="M15" s="229" t="s">
        <v>6003</v>
      </c>
      <c r="N15" s="229" t="s">
        <v>5448</v>
      </c>
      <c r="O15" s="102">
        <v>2.0</v>
      </c>
      <c r="P15" s="102" t="s">
        <v>593</v>
      </c>
      <c r="U15" s="102">
        <v>14400.0</v>
      </c>
      <c r="V15" s="230" t="str">
        <f>IF(ISNUMBER(MATCH(B15, 'Sprint 13'!B:B, 0)), "มาจาก Sprint 13", "")</f>
        <v/>
      </c>
      <c r="W15" s="230" t="str">
        <f t="array" ref="W15">IF(ISNUMBER(MATCH(B15, 'Sprint 13'!B:B, 0)), INDEX('Sprint 13'!J:J, MATCH(B15, 'Sprint 13'!B:B, 0)), "")</f>
        <v/>
      </c>
      <c r="X15" s="102"/>
      <c r="Y15" s="102" t="s">
        <v>5963</v>
      </c>
    </row>
    <row r="16">
      <c r="A16" s="102" t="s">
        <v>630</v>
      </c>
      <c r="B16" s="102" t="s">
        <v>2180</v>
      </c>
      <c r="C16" s="229" t="s">
        <v>2181</v>
      </c>
      <c r="D16" s="102" t="s">
        <v>2182</v>
      </c>
      <c r="E16" s="102"/>
      <c r="F16" s="102"/>
      <c r="G16" s="102" t="s">
        <v>304</v>
      </c>
      <c r="H16" s="102" t="s">
        <v>305</v>
      </c>
      <c r="I16" s="102" t="s">
        <v>284</v>
      </c>
      <c r="J16" s="102" t="s">
        <v>63</v>
      </c>
      <c r="L16" s="229" t="s">
        <v>2183</v>
      </c>
      <c r="M16" s="229" t="s">
        <v>2183</v>
      </c>
      <c r="O16" s="102"/>
      <c r="P16" s="102"/>
      <c r="Q16" s="102"/>
      <c r="U16" s="102"/>
      <c r="V16" s="230" t="str">
        <f>IF(ISNUMBER(MATCH(B16, 'Sprint 13'!B:B, 0)), "มาจาก Sprint 13", "")</f>
        <v/>
      </c>
      <c r="W16" s="230" t="str">
        <f t="array" ref="W16">IF(ISNUMBER(MATCH(B16, 'Sprint 13'!B:B, 0)), INDEX('Sprint 13'!J:J, MATCH(B16, 'Sprint 13'!B:B, 0)), "")</f>
        <v/>
      </c>
      <c r="X16" s="102"/>
      <c r="Y16" s="102" t="s">
        <v>2185</v>
      </c>
    </row>
    <row r="17">
      <c r="A17" s="102" t="s">
        <v>332</v>
      </c>
      <c r="B17" s="102" t="s">
        <v>3053</v>
      </c>
      <c r="C17" s="229" t="s">
        <v>3054</v>
      </c>
      <c r="D17" s="102" t="s">
        <v>3055</v>
      </c>
      <c r="E17" s="102" t="s">
        <v>495</v>
      </c>
      <c r="F17" s="102" t="s">
        <v>496</v>
      </c>
      <c r="G17" s="102" t="s">
        <v>304</v>
      </c>
      <c r="H17" s="102" t="s">
        <v>305</v>
      </c>
      <c r="I17" s="102" t="s">
        <v>284</v>
      </c>
      <c r="J17" s="102" t="s">
        <v>922</v>
      </c>
      <c r="L17" s="229" t="s">
        <v>3056</v>
      </c>
      <c r="M17" s="229" t="s">
        <v>6004</v>
      </c>
      <c r="N17" s="102"/>
      <c r="O17" s="102">
        <v>2.0</v>
      </c>
      <c r="P17" s="102"/>
      <c r="U17" s="102"/>
      <c r="V17" s="230" t="str">
        <f>IF(ISNUMBER(MATCH(B17, 'Sprint 13'!B:B, 0)), "มาจาก Sprint 13", "")</f>
        <v/>
      </c>
      <c r="W17" s="230" t="str">
        <f t="array" ref="W17">IF(ISNUMBER(MATCH(B17, 'Sprint 13'!B:B, 0)), INDEX('Sprint 13'!J:J, MATCH(B17, 'Sprint 13'!B:B, 0)), "")</f>
        <v/>
      </c>
      <c r="X17" s="102"/>
      <c r="Y17" s="102" t="s">
        <v>2185</v>
      </c>
    </row>
    <row r="18">
      <c r="A18" s="102" t="s">
        <v>332</v>
      </c>
      <c r="B18" s="102" t="s">
        <v>5742</v>
      </c>
      <c r="C18" s="229" t="s">
        <v>5743</v>
      </c>
      <c r="D18" s="102" t="s">
        <v>5744</v>
      </c>
      <c r="E18" s="102" t="s">
        <v>564</v>
      </c>
      <c r="F18" s="102" t="s">
        <v>565</v>
      </c>
      <c r="G18" s="102" t="s">
        <v>316</v>
      </c>
      <c r="H18" s="102" t="s">
        <v>317</v>
      </c>
      <c r="I18" s="102" t="s">
        <v>648</v>
      </c>
      <c r="J18" s="102" t="s">
        <v>922</v>
      </c>
      <c r="L18" s="229" t="s">
        <v>5745</v>
      </c>
      <c r="M18" s="229" t="s">
        <v>6005</v>
      </c>
      <c r="N18" s="229" t="s">
        <v>5746</v>
      </c>
      <c r="O18" s="102">
        <v>1.0</v>
      </c>
      <c r="P18" s="102" t="s">
        <v>4656</v>
      </c>
      <c r="Q18" s="102" t="s">
        <v>367</v>
      </c>
      <c r="R18" s="102" t="s">
        <v>783</v>
      </c>
      <c r="S18" s="102" t="s">
        <v>504</v>
      </c>
      <c r="U18" s="230"/>
      <c r="V18" s="230" t="str">
        <f>IF(ISNUMBER(MATCH(B18, 'Sprint 13'!B:B, 0)), "มาจาก Sprint 13", "")</f>
        <v/>
      </c>
      <c r="W18" s="230" t="str">
        <f t="array" ref="W18">IF(ISNUMBER(MATCH(B18, 'Sprint 13'!B:B, 0)), INDEX('Sprint 13'!J:J, MATCH(B18, 'Sprint 13'!B:B, 0)), "")</f>
        <v/>
      </c>
      <c r="X18" s="230"/>
      <c r="Y18" s="102" t="s">
        <v>4657</v>
      </c>
    </row>
    <row r="19">
      <c r="A19" s="102" t="s">
        <v>332</v>
      </c>
      <c r="B19" s="102" t="s">
        <v>6006</v>
      </c>
      <c r="C19" s="229" t="s">
        <v>6007</v>
      </c>
      <c r="D19" s="102" t="s">
        <v>6008</v>
      </c>
      <c r="E19" s="102" t="s">
        <v>314</v>
      </c>
      <c r="F19" s="102" t="s">
        <v>315</v>
      </c>
      <c r="G19" s="102" t="s">
        <v>316</v>
      </c>
      <c r="H19" s="102" t="s">
        <v>317</v>
      </c>
      <c r="I19" s="102" t="s">
        <v>284</v>
      </c>
      <c r="J19" s="102" t="s">
        <v>2318</v>
      </c>
      <c r="L19" s="229" t="s">
        <v>6009</v>
      </c>
      <c r="M19" s="229" t="s">
        <v>6010</v>
      </c>
      <c r="N19" s="229" t="s">
        <v>5675</v>
      </c>
      <c r="O19" s="102">
        <v>1.0</v>
      </c>
      <c r="P19" s="102" t="s">
        <v>4332</v>
      </c>
      <c r="Q19" s="102" t="s">
        <v>4656</v>
      </c>
      <c r="R19" s="102" t="s">
        <v>367</v>
      </c>
      <c r="U19" s="230"/>
      <c r="V19" s="230" t="str">
        <f>IF(ISNUMBER(MATCH(B19, 'Sprint 13'!B:B, 0)), "มาจาก Sprint 13", "")</f>
        <v/>
      </c>
      <c r="W19" s="230" t="str">
        <f t="array" ref="W19">IF(ISNUMBER(MATCH(B19, 'Sprint 13'!B:B, 0)), INDEX('Sprint 13'!J:J, MATCH(B19, 'Sprint 13'!B:B, 0)), "")</f>
        <v/>
      </c>
      <c r="X19" s="230"/>
      <c r="Y19" s="102" t="s">
        <v>4657</v>
      </c>
    </row>
    <row r="20">
      <c r="A20" s="102" t="s">
        <v>310</v>
      </c>
      <c r="B20" s="102" t="s">
        <v>5457</v>
      </c>
      <c r="C20" s="229" t="s">
        <v>5458</v>
      </c>
      <c r="D20" s="102" t="s">
        <v>5459</v>
      </c>
      <c r="E20" s="102" t="s">
        <v>495</v>
      </c>
      <c r="F20" s="102" t="s">
        <v>496</v>
      </c>
      <c r="G20" s="102" t="s">
        <v>353</v>
      </c>
      <c r="H20" s="102" t="s">
        <v>354</v>
      </c>
      <c r="I20" s="102" t="s">
        <v>284</v>
      </c>
      <c r="J20" s="102" t="s">
        <v>454</v>
      </c>
      <c r="L20" s="229" t="s">
        <v>5460</v>
      </c>
      <c r="M20" s="229" t="s">
        <v>5740</v>
      </c>
      <c r="O20" s="102">
        <v>3.0</v>
      </c>
      <c r="U20" s="102">
        <v>28800.0</v>
      </c>
      <c r="V20" s="230" t="str">
        <f>IF(ISNUMBER(MATCH(B20, 'Sprint 13'!B:B, 0)), "มาจาก Sprint 13", "")</f>
        <v/>
      </c>
      <c r="W20" s="230" t="str">
        <f t="array" ref="W20">IF(ISNUMBER(MATCH(B20, 'Sprint 13'!B:B, 0)), INDEX('Sprint 13'!J:J, MATCH(B20, 'Sprint 13'!B:B, 0)), "")</f>
        <v/>
      </c>
      <c r="X20" s="102"/>
      <c r="Y20" s="102" t="s">
        <v>4657</v>
      </c>
      <c r="Z20" s="102" t="s">
        <v>2266</v>
      </c>
    </row>
    <row r="21">
      <c r="A21" s="102" t="s">
        <v>310</v>
      </c>
      <c r="B21" s="102" t="s">
        <v>6011</v>
      </c>
      <c r="C21" s="229" t="s">
        <v>6012</v>
      </c>
      <c r="D21" s="102" t="s">
        <v>6013</v>
      </c>
      <c r="E21" s="102" t="s">
        <v>282</v>
      </c>
      <c r="F21" s="102" t="s">
        <v>283</v>
      </c>
      <c r="G21" s="102" t="s">
        <v>362</v>
      </c>
      <c r="H21" s="102" t="s">
        <v>363</v>
      </c>
      <c r="I21" s="102" t="s">
        <v>284</v>
      </c>
      <c r="J21" s="102" t="s">
        <v>26</v>
      </c>
      <c r="L21" s="229" t="s">
        <v>6014</v>
      </c>
      <c r="M21" s="229" t="s">
        <v>6015</v>
      </c>
      <c r="O21" s="102">
        <v>1.0</v>
      </c>
      <c r="P21" s="102" t="s">
        <v>433</v>
      </c>
      <c r="Q21" s="102" t="s">
        <v>4656</v>
      </c>
      <c r="U21" s="102">
        <v>1800.0</v>
      </c>
      <c r="V21" s="230" t="str">
        <f>IF(ISNUMBER(MATCH(B21, 'Sprint 13'!B:B, 0)), "มาจาก Sprint 13", "")</f>
        <v/>
      </c>
      <c r="W21" s="230" t="str">
        <f t="array" ref="W21">IF(ISNUMBER(MATCH(B21, 'Sprint 13'!B:B, 0)), INDEX('Sprint 13'!J:J, MATCH(B21, 'Sprint 13'!B:B, 0)), "")</f>
        <v/>
      </c>
      <c r="X21" s="102"/>
      <c r="Y21" s="102" t="s">
        <v>4657</v>
      </c>
    </row>
    <row r="22">
      <c r="A22" s="102" t="s">
        <v>310</v>
      </c>
      <c r="B22" s="102" t="s">
        <v>6016</v>
      </c>
      <c r="C22" s="229" t="s">
        <v>6017</v>
      </c>
      <c r="D22" s="102" t="s">
        <v>6018</v>
      </c>
      <c r="E22" s="102" t="s">
        <v>513</v>
      </c>
      <c r="F22" s="102" t="s">
        <v>514</v>
      </c>
      <c r="G22" s="102" t="s">
        <v>513</v>
      </c>
      <c r="H22" s="102" t="s">
        <v>514</v>
      </c>
      <c r="I22" s="102" t="s">
        <v>284</v>
      </c>
      <c r="J22" s="102" t="s">
        <v>26</v>
      </c>
      <c r="L22" s="229" t="s">
        <v>6019</v>
      </c>
      <c r="M22" s="229" t="s">
        <v>6003</v>
      </c>
      <c r="N22" s="229" t="s">
        <v>5448</v>
      </c>
      <c r="O22" s="102">
        <v>3.0</v>
      </c>
      <c r="P22" s="102" t="s">
        <v>593</v>
      </c>
      <c r="U22" s="102">
        <v>28800.0</v>
      </c>
      <c r="V22" s="230" t="str">
        <f>IF(ISNUMBER(MATCH(B22, 'Sprint 13'!B:B, 0)), "มาจาก Sprint 13", "")</f>
        <v/>
      </c>
      <c r="W22" s="230" t="str">
        <f t="array" ref="W22">IF(ISNUMBER(MATCH(B22, 'Sprint 13'!B:B, 0)), INDEX('Sprint 13'!J:J, MATCH(B22, 'Sprint 13'!B:B, 0)), "")</f>
        <v/>
      </c>
      <c r="X22" s="102"/>
      <c r="Y22" s="102" t="s">
        <v>5963</v>
      </c>
    </row>
    <row r="23">
      <c r="A23" s="102" t="s">
        <v>1465</v>
      </c>
      <c r="B23" s="102" t="s">
        <v>5462</v>
      </c>
      <c r="C23" s="229" t="s">
        <v>5463</v>
      </c>
      <c r="D23" s="102" t="s">
        <v>5464</v>
      </c>
      <c r="E23" s="102"/>
      <c r="F23" s="102"/>
      <c r="G23" s="102" t="s">
        <v>3288</v>
      </c>
      <c r="H23" s="102" t="s">
        <v>3289</v>
      </c>
      <c r="I23" s="102" t="s">
        <v>284</v>
      </c>
      <c r="J23" s="102" t="s">
        <v>63</v>
      </c>
      <c r="L23" s="229" t="s">
        <v>5465</v>
      </c>
      <c r="M23" s="229" t="s">
        <v>5740</v>
      </c>
      <c r="O23" s="230"/>
      <c r="U23" s="230"/>
      <c r="V23" s="230" t="str">
        <f>IF(ISNUMBER(MATCH(B23, 'Sprint 13'!B:B, 0)), "มาจาก Sprint 13", "")</f>
        <v/>
      </c>
      <c r="W23" s="230" t="str">
        <f t="array" ref="W23">IF(ISNUMBER(MATCH(B23, 'Sprint 13'!B:B, 0)), INDEX('Sprint 13'!J:J, MATCH(B23, 'Sprint 13'!B:B, 0)), "")</f>
        <v/>
      </c>
      <c r="X23" s="230"/>
      <c r="Y23" s="102" t="s">
        <v>4657</v>
      </c>
      <c r="Z23" s="102" t="s">
        <v>2266</v>
      </c>
    </row>
    <row r="24">
      <c r="A24" s="102" t="s">
        <v>276</v>
      </c>
      <c r="B24" s="102" t="s">
        <v>5467</v>
      </c>
      <c r="C24" s="229" t="s">
        <v>5468</v>
      </c>
      <c r="D24" s="102" t="s">
        <v>5469</v>
      </c>
      <c r="E24" s="102" t="s">
        <v>328</v>
      </c>
      <c r="F24" s="102" t="s">
        <v>329</v>
      </c>
      <c r="G24" s="102" t="s">
        <v>328</v>
      </c>
      <c r="H24" s="102" t="s">
        <v>329</v>
      </c>
      <c r="I24" s="102" t="s">
        <v>284</v>
      </c>
      <c r="J24" s="102" t="s">
        <v>26</v>
      </c>
      <c r="L24" s="229" t="s">
        <v>5470</v>
      </c>
      <c r="M24" s="229" t="s">
        <v>5471</v>
      </c>
      <c r="O24" s="230"/>
      <c r="U24" s="230"/>
      <c r="V24" s="230" t="str">
        <f>IF(ISNUMBER(MATCH(B24, 'Sprint 13'!B:B, 0)), "มาจาก Sprint 13", "")</f>
        <v/>
      </c>
      <c r="W24" s="230" t="str">
        <f t="array" ref="W24">IF(ISNUMBER(MATCH(B24, 'Sprint 13'!B:B, 0)), INDEX('Sprint 13'!J:J, MATCH(B24, 'Sprint 13'!B:B, 0)), "")</f>
        <v/>
      </c>
      <c r="X24" s="230"/>
      <c r="Y24" s="102" t="s">
        <v>1368</v>
      </c>
      <c r="Z24" s="102" t="s">
        <v>1369</v>
      </c>
    </row>
    <row r="25">
      <c r="A25" s="102" t="s">
        <v>276</v>
      </c>
      <c r="B25" s="102" t="s">
        <v>5472</v>
      </c>
      <c r="C25" s="229" t="s">
        <v>5473</v>
      </c>
      <c r="D25" s="102" t="s">
        <v>5474</v>
      </c>
      <c r="E25" s="102" t="s">
        <v>328</v>
      </c>
      <c r="F25" s="102" t="s">
        <v>329</v>
      </c>
      <c r="G25" s="102" t="s">
        <v>328</v>
      </c>
      <c r="H25" s="102" t="s">
        <v>329</v>
      </c>
      <c r="I25" s="102" t="s">
        <v>284</v>
      </c>
      <c r="J25" s="102" t="s">
        <v>26</v>
      </c>
      <c r="L25" s="229" t="s">
        <v>5470</v>
      </c>
      <c r="M25" s="229" t="s">
        <v>5471</v>
      </c>
      <c r="O25" s="230"/>
      <c r="U25" s="230"/>
      <c r="V25" s="230" t="str">
        <f>IF(ISNUMBER(MATCH(B25, 'Sprint 13'!B:B, 0)), "มาจาก Sprint 13", "")</f>
        <v/>
      </c>
      <c r="W25" s="230" t="str">
        <f t="array" ref="W25">IF(ISNUMBER(MATCH(B25, 'Sprint 13'!B:B, 0)), INDEX('Sprint 13'!J:J, MATCH(B25, 'Sprint 13'!B:B, 0)), "")</f>
        <v/>
      </c>
      <c r="X25" s="230"/>
      <c r="Y25" s="102" t="s">
        <v>1368</v>
      </c>
      <c r="Z25" s="102" t="s">
        <v>1369</v>
      </c>
    </row>
    <row r="26">
      <c r="A26" s="102" t="s">
        <v>276</v>
      </c>
      <c r="B26" s="102" t="s">
        <v>5475</v>
      </c>
      <c r="C26" s="229" t="s">
        <v>5476</v>
      </c>
      <c r="D26" s="102" t="s">
        <v>5477</v>
      </c>
      <c r="E26" s="102" t="s">
        <v>328</v>
      </c>
      <c r="F26" s="102" t="s">
        <v>329</v>
      </c>
      <c r="G26" s="102" t="s">
        <v>328</v>
      </c>
      <c r="H26" s="102" t="s">
        <v>329</v>
      </c>
      <c r="I26" s="102" t="s">
        <v>284</v>
      </c>
      <c r="J26" s="102" t="s">
        <v>26</v>
      </c>
      <c r="L26" s="229" t="s">
        <v>5478</v>
      </c>
      <c r="M26" s="229" t="s">
        <v>5479</v>
      </c>
      <c r="O26" s="230"/>
      <c r="U26" s="230"/>
      <c r="V26" s="230" t="str">
        <f>IF(ISNUMBER(MATCH(B26, 'Sprint 13'!B:B, 0)), "มาจาก Sprint 13", "")</f>
        <v/>
      </c>
      <c r="W26" s="230" t="str">
        <f t="array" ref="W26">IF(ISNUMBER(MATCH(B26, 'Sprint 13'!B:B, 0)), INDEX('Sprint 13'!J:J, MATCH(B26, 'Sprint 13'!B:B, 0)), "")</f>
        <v/>
      </c>
      <c r="X26" s="230"/>
      <c r="Y26" s="102" t="s">
        <v>1368</v>
      </c>
      <c r="Z26" s="102" t="s">
        <v>1369</v>
      </c>
    </row>
    <row r="27">
      <c r="A27" s="102" t="s">
        <v>276</v>
      </c>
      <c r="B27" s="102" t="s">
        <v>5480</v>
      </c>
      <c r="C27" s="229" t="s">
        <v>5481</v>
      </c>
      <c r="D27" s="102" t="s">
        <v>5482</v>
      </c>
      <c r="E27" s="102" t="s">
        <v>328</v>
      </c>
      <c r="F27" s="102" t="s">
        <v>329</v>
      </c>
      <c r="G27" s="102" t="s">
        <v>328</v>
      </c>
      <c r="H27" s="102" t="s">
        <v>329</v>
      </c>
      <c r="I27" s="102" t="s">
        <v>284</v>
      </c>
      <c r="J27" s="102" t="s">
        <v>26</v>
      </c>
      <c r="L27" s="229" t="s">
        <v>5478</v>
      </c>
      <c r="M27" s="229" t="s">
        <v>5471</v>
      </c>
      <c r="O27" s="230"/>
      <c r="U27" s="230"/>
      <c r="V27" s="230" t="str">
        <f>IF(ISNUMBER(MATCH(B27, 'Sprint 13'!B:B, 0)), "มาจาก Sprint 13", "")</f>
        <v/>
      </c>
      <c r="W27" s="230" t="str">
        <f t="array" ref="W27">IF(ISNUMBER(MATCH(B27, 'Sprint 13'!B:B, 0)), INDEX('Sprint 13'!J:J, MATCH(B27, 'Sprint 13'!B:B, 0)), "")</f>
        <v/>
      </c>
      <c r="X27" s="230"/>
      <c r="Y27" s="102" t="s">
        <v>1368</v>
      </c>
      <c r="Z27" s="102" t="s">
        <v>1369</v>
      </c>
    </row>
    <row r="28">
      <c r="A28" s="102" t="s">
        <v>276</v>
      </c>
      <c r="B28" s="102" t="s">
        <v>5483</v>
      </c>
      <c r="C28" s="229" t="s">
        <v>5484</v>
      </c>
      <c r="D28" s="102" t="s">
        <v>5485</v>
      </c>
      <c r="E28" s="102" t="s">
        <v>328</v>
      </c>
      <c r="F28" s="102" t="s">
        <v>329</v>
      </c>
      <c r="G28" s="102" t="s">
        <v>328</v>
      </c>
      <c r="H28" s="102" t="s">
        <v>329</v>
      </c>
      <c r="I28" s="102" t="s">
        <v>284</v>
      </c>
      <c r="J28" s="102" t="s">
        <v>26</v>
      </c>
      <c r="L28" s="229" t="s">
        <v>5478</v>
      </c>
      <c r="M28" s="229" t="s">
        <v>5471</v>
      </c>
      <c r="O28" s="230"/>
      <c r="U28" s="230"/>
      <c r="V28" s="230" t="str">
        <f>IF(ISNUMBER(MATCH(B28, 'Sprint 13'!B:B, 0)), "มาจาก Sprint 13", "")</f>
        <v/>
      </c>
      <c r="W28" s="230" t="str">
        <f t="array" ref="W28">IF(ISNUMBER(MATCH(B28, 'Sprint 13'!B:B, 0)), INDEX('Sprint 13'!J:J, MATCH(B28, 'Sprint 13'!B:B, 0)), "")</f>
        <v/>
      </c>
      <c r="X28" s="230"/>
      <c r="Y28" s="102" t="s">
        <v>1368</v>
      </c>
      <c r="Z28" s="102" t="s">
        <v>1369</v>
      </c>
    </row>
    <row r="29">
      <c r="A29" s="102" t="s">
        <v>276</v>
      </c>
      <c r="B29" s="102" t="s">
        <v>5486</v>
      </c>
      <c r="C29" s="229" t="s">
        <v>5487</v>
      </c>
      <c r="D29" s="102" t="s">
        <v>5488</v>
      </c>
      <c r="E29" s="102" t="s">
        <v>328</v>
      </c>
      <c r="F29" s="102" t="s">
        <v>329</v>
      </c>
      <c r="G29" s="102" t="s">
        <v>328</v>
      </c>
      <c r="H29" s="102" t="s">
        <v>329</v>
      </c>
      <c r="I29" s="102" t="s">
        <v>284</v>
      </c>
      <c r="J29" s="102" t="s">
        <v>26</v>
      </c>
      <c r="L29" s="229" t="s">
        <v>5478</v>
      </c>
      <c r="M29" s="229" t="s">
        <v>5479</v>
      </c>
      <c r="O29" s="230"/>
      <c r="U29" s="230"/>
      <c r="V29" s="230" t="str">
        <f>IF(ISNUMBER(MATCH(B29, 'Sprint 13'!B:B, 0)), "มาจาก Sprint 13", "")</f>
        <v/>
      </c>
      <c r="W29" s="230" t="str">
        <f t="array" ref="W29">IF(ISNUMBER(MATCH(B29, 'Sprint 13'!B:B, 0)), INDEX('Sprint 13'!J:J, MATCH(B29, 'Sprint 13'!B:B, 0)), "")</f>
        <v/>
      </c>
      <c r="X29" s="230"/>
      <c r="Y29" s="102" t="s">
        <v>1368</v>
      </c>
      <c r="Z29" s="102" t="s">
        <v>1369</v>
      </c>
    </row>
    <row r="30">
      <c r="A30" s="102" t="s">
        <v>276</v>
      </c>
      <c r="B30" s="102" t="s">
        <v>5748</v>
      </c>
      <c r="C30" s="229" t="s">
        <v>5749</v>
      </c>
      <c r="D30" s="102" t="s">
        <v>1567</v>
      </c>
      <c r="E30" s="102" t="s">
        <v>3288</v>
      </c>
      <c r="F30" s="102" t="s">
        <v>3289</v>
      </c>
      <c r="G30" s="102" t="s">
        <v>3288</v>
      </c>
      <c r="H30" s="102" t="s">
        <v>3289</v>
      </c>
      <c r="I30" s="102" t="s">
        <v>284</v>
      </c>
      <c r="J30" s="102" t="s">
        <v>63</v>
      </c>
      <c r="L30" s="229" t="s">
        <v>5750</v>
      </c>
      <c r="M30" s="229" t="s">
        <v>5750</v>
      </c>
      <c r="O30" s="230"/>
      <c r="U30" s="230"/>
      <c r="V30" s="230" t="str">
        <f>IF(ISNUMBER(MATCH(B30, 'Sprint 13'!B:B, 0)), "มาจาก Sprint 13", "")</f>
        <v/>
      </c>
      <c r="W30" s="230" t="str">
        <f t="array" ref="W30">IF(ISNUMBER(MATCH(B30, 'Sprint 13'!B:B, 0)), INDEX('Sprint 13'!J:J, MATCH(B30, 'Sprint 13'!B:B, 0)), "")</f>
        <v/>
      </c>
      <c r="X30" s="230"/>
      <c r="Y30" s="102" t="s">
        <v>4919</v>
      </c>
      <c r="Z30" s="102" t="s">
        <v>4657</v>
      </c>
      <c r="AA30" s="102" t="s">
        <v>2266</v>
      </c>
    </row>
    <row r="31">
      <c r="A31" s="102" t="s">
        <v>276</v>
      </c>
      <c r="B31" s="102" t="s">
        <v>5752</v>
      </c>
      <c r="C31" s="229" t="s">
        <v>5753</v>
      </c>
      <c r="D31" s="102" t="s">
        <v>4345</v>
      </c>
      <c r="E31" s="102" t="s">
        <v>3288</v>
      </c>
      <c r="F31" s="102" t="s">
        <v>3289</v>
      </c>
      <c r="G31" s="102" t="s">
        <v>3288</v>
      </c>
      <c r="H31" s="102" t="s">
        <v>3289</v>
      </c>
      <c r="I31" s="102" t="s">
        <v>284</v>
      </c>
      <c r="J31" s="102" t="s">
        <v>63</v>
      </c>
      <c r="L31" s="229" t="s">
        <v>5750</v>
      </c>
      <c r="M31" s="229" t="s">
        <v>5750</v>
      </c>
      <c r="O31" s="230"/>
      <c r="U31" s="230"/>
      <c r="V31" s="230" t="str">
        <f>IF(ISNUMBER(MATCH(B31, 'Sprint 13'!B:B, 0)), "มาจาก Sprint 13", "")</f>
        <v/>
      </c>
      <c r="W31" s="230" t="str">
        <f t="array" ref="W31">IF(ISNUMBER(MATCH(B31, 'Sprint 13'!B:B, 0)), INDEX('Sprint 13'!J:J, MATCH(B31, 'Sprint 13'!B:B, 0)), "")</f>
        <v/>
      </c>
      <c r="X31" s="230"/>
      <c r="Y31" s="102" t="s">
        <v>4919</v>
      </c>
      <c r="Z31" s="102" t="s">
        <v>4657</v>
      </c>
      <c r="AA31" s="102" t="s">
        <v>2266</v>
      </c>
    </row>
    <row r="32">
      <c r="A32" s="102" t="s">
        <v>276</v>
      </c>
      <c r="B32" s="102" t="s">
        <v>5755</v>
      </c>
      <c r="C32" s="229" t="s">
        <v>5756</v>
      </c>
      <c r="D32" s="102" t="s">
        <v>1567</v>
      </c>
      <c r="E32" s="102" t="s">
        <v>3288</v>
      </c>
      <c r="F32" s="102" t="s">
        <v>3289</v>
      </c>
      <c r="G32" s="102" t="s">
        <v>3288</v>
      </c>
      <c r="H32" s="102" t="s">
        <v>3289</v>
      </c>
      <c r="I32" s="102" t="s">
        <v>284</v>
      </c>
      <c r="J32" s="102" t="s">
        <v>63</v>
      </c>
      <c r="L32" s="229" t="s">
        <v>5757</v>
      </c>
      <c r="M32" s="229" t="s">
        <v>5757</v>
      </c>
      <c r="O32" s="230"/>
      <c r="U32" s="230"/>
      <c r="V32" s="230" t="str">
        <f>IF(ISNUMBER(MATCH(B32, 'Sprint 13'!B:B, 0)), "มาจาก Sprint 13", "")</f>
        <v/>
      </c>
      <c r="W32" s="230" t="str">
        <f t="array" ref="W32">IF(ISNUMBER(MATCH(B32, 'Sprint 13'!B:B, 0)), INDEX('Sprint 13'!J:J, MATCH(B32, 'Sprint 13'!B:B, 0)), "")</f>
        <v/>
      </c>
      <c r="X32" s="230"/>
      <c r="Y32" s="102" t="s">
        <v>4919</v>
      </c>
      <c r="Z32" s="102" t="s">
        <v>4657</v>
      </c>
      <c r="AA32" s="102" t="s">
        <v>2266</v>
      </c>
    </row>
    <row r="33">
      <c r="A33" s="102" t="s">
        <v>276</v>
      </c>
      <c r="B33" s="102" t="s">
        <v>5759</v>
      </c>
      <c r="C33" s="229" t="s">
        <v>5760</v>
      </c>
      <c r="D33" s="102" t="s">
        <v>4345</v>
      </c>
      <c r="E33" s="102" t="s">
        <v>3288</v>
      </c>
      <c r="F33" s="102" t="s">
        <v>3289</v>
      </c>
      <c r="G33" s="102" t="s">
        <v>3288</v>
      </c>
      <c r="H33" s="102" t="s">
        <v>3289</v>
      </c>
      <c r="I33" s="102" t="s">
        <v>284</v>
      </c>
      <c r="J33" s="102" t="s">
        <v>63</v>
      </c>
      <c r="L33" s="229" t="s">
        <v>5757</v>
      </c>
      <c r="M33" s="229" t="s">
        <v>5757</v>
      </c>
      <c r="O33" s="230"/>
      <c r="U33" s="230"/>
      <c r="V33" s="230" t="str">
        <f>IF(ISNUMBER(MATCH(B33, 'Sprint 13'!B:B, 0)), "มาจาก Sprint 13", "")</f>
        <v/>
      </c>
      <c r="W33" s="230" t="str">
        <f t="array" ref="W33">IF(ISNUMBER(MATCH(B33, 'Sprint 13'!B:B, 0)), INDEX('Sprint 13'!J:J, MATCH(B33, 'Sprint 13'!B:B, 0)), "")</f>
        <v/>
      </c>
      <c r="X33" s="230"/>
      <c r="Y33" s="102" t="s">
        <v>4919</v>
      </c>
      <c r="Z33" s="102" t="s">
        <v>4657</v>
      </c>
      <c r="AA33" s="102" t="s">
        <v>2266</v>
      </c>
    </row>
    <row r="34">
      <c r="A34" s="102" t="s">
        <v>276</v>
      </c>
      <c r="B34" s="102" t="s">
        <v>6020</v>
      </c>
      <c r="C34" s="229" t="s">
        <v>6021</v>
      </c>
      <c r="D34" s="102" t="s">
        <v>1567</v>
      </c>
      <c r="E34" s="102" t="s">
        <v>3288</v>
      </c>
      <c r="F34" s="102" t="s">
        <v>3289</v>
      </c>
      <c r="G34" s="102" t="s">
        <v>3288</v>
      </c>
      <c r="H34" s="102" t="s">
        <v>3289</v>
      </c>
      <c r="I34" s="102" t="s">
        <v>284</v>
      </c>
      <c r="J34" s="102" t="s">
        <v>26</v>
      </c>
      <c r="L34" s="229" t="s">
        <v>5757</v>
      </c>
      <c r="M34" s="229" t="s">
        <v>6022</v>
      </c>
      <c r="O34" s="230"/>
      <c r="U34" s="230"/>
      <c r="V34" s="230" t="str">
        <f>IF(ISNUMBER(MATCH(B34, 'Sprint 13'!B:B, 0)), "มาจาก Sprint 13", "")</f>
        <v/>
      </c>
      <c r="W34" s="230" t="str">
        <f t="array" ref="W34">IF(ISNUMBER(MATCH(B34, 'Sprint 13'!B:B, 0)), INDEX('Sprint 13'!J:J, MATCH(B34, 'Sprint 13'!B:B, 0)), "")</f>
        <v/>
      </c>
      <c r="X34" s="230"/>
      <c r="Y34" s="102" t="s">
        <v>4919</v>
      </c>
      <c r="Z34" s="102" t="s">
        <v>4657</v>
      </c>
    </row>
    <row r="35">
      <c r="A35" s="102" t="s">
        <v>276</v>
      </c>
      <c r="B35" s="102" t="s">
        <v>5761</v>
      </c>
      <c r="C35" s="229" t="s">
        <v>5762</v>
      </c>
      <c r="D35" s="102" t="s">
        <v>1567</v>
      </c>
      <c r="E35" s="102" t="s">
        <v>3288</v>
      </c>
      <c r="F35" s="102" t="s">
        <v>3289</v>
      </c>
      <c r="G35" s="102" t="s">
        <v>3288</v>
      </c>
      <c r="H35" s="102" t="s">
        <v>3289</v>
      </c>
      <c r="I35" s="102" t="s">
        <v>284</v>
      </c>
      <c r="J35" s="102" t="s">
        <v>63</v>
      </c>
      <c r="L35" s="229" t="s">
        <v>5757</v>
      </c>
      <c r="M35" s="229" t="s">
        <v>5757</v>
      </c>
      <c r="O35" s="230"/>
      <c r="U35" s="230"/>
      <c r="V35" s="230" t="str">
        <f>IF(ISNUMBER(MATCH(B35, 'Sprint 13'!B:B, 0)), "มาจาก Sprint 13", "")</f>
        <v/>
      </c>
      <c r="W35" s="230" t="str">
        <f t="array" ref="W35">IF(ISNUMBER(MATCH(B35, 'Sprint 13'!B:B, 0)), INDEX('Sprint 13'!J:J, MATCH(B35, 'Sprint 13'!B:B, 0)), "")</f>
        <v/>
      </c>
      <c r="X35" s="230"/>
      <c r="Y35" s="102" t="s">
        <v>4919</v>
      </c>
      <c r="Z35" s="102" t="s">
        <v>4657</v>
      </c>
      <c r="AA35" s="102" t="s">
        <v>2266</v>
      </c>
    </row>
    <row r="36">
      <c r="A36" s="102" t="s">
        <v>276</v>
      </c>
      <c r="B36" s="102" t="s">
        <v>6023</v>
      </c>
      <c r="C36" s="229" t="s">
        <v>6024</v>
      </c>
      <c r="D36" s="102" t="s">
        <v>1567</v>
      </c>
      <c r="E36" s="102" t="s">
        <v>3288</v>
      </c>
      <c r="F36" s="102" t="s">
        <v>3289</v>
      </c>
      <c r="G36" s="102" t="s">
        <v>3288</v>
      </c>
      <c r="H36" s="102" t="s">
        <v>3289</v>
      </c>
      <c r="I36" s="102" t="s">
        <v>284</v>
      </c>
      <c r="J36" s="102" t="s">
        <v>26</v>
      </c>
      <c r="L36" s="229" t="s">
        <v>5766</v>
      </c>
      <c r="M36" s="229" t="s">
        <v>5766</v>
      </c>
      <c r="O36" s="230"/>
      <c r="U36" s="230"/>
      <c r="V36" s="230" t="str">
        <f>IF(ISNUMBER(MATCH(B36, 'Sprint 13'!B:B, 0)), "มาจาก Sprint 13", "")</f>
        <v/>
      </c>
      <c r="W36" s="230" t="str">
        <f t="array" ref="W36">IF(ISNUMBER(MATCH(B36, 'Sprint 13'!B:B, 0)), INDEX('Sprint 13'!J:J, MATCH(B36, 'Sprint 13'!B:B, 0)), "")</f>
        <v/>
      </c>
      <c r="X36" s="230"/>
      <c r="Y36" s="102" t="s">
        <v>4919</v>
      </c>
      <c r="Z36" s="102" t="s">
        <v>4657</v>
      </c>
    </row>
    <row r="37">
      <c r="A37" s="102" t="s">
        <v>276</v>
      </c>
      <c r="B37" s="102" t="s">
        <v>6025</v>
      </c>
      <c r="C37" s="229" t="s">
        <v>6026</v>
      </c>
      <c r="D37" s="102" t="s">
        <v>1567</v>
      </c>
      <c r="E37" s="102" t="s">
        <v>3288</v>
      </c>
      <c r="F37" s="102" t="s">
        <v>3289</v>
      </c>
      <c r="G37" s="102" t="s">
        <v>3288</v>
      </c>
      <c r="H37" s="102" t="s">
        <v>3289</v>
      </c>
      <c r="I37" s="102" t="s">
        <v>284</v>
      </c>
      <c r="J37" s="102" t="s">
        <v>26</v>
      </c>
      <c r="L37" s="229" t="s">
        <v>5766</v>
      </c>
      <c r="M37" s="229" t="s">
        <v>5728</v>
      </c>
      <c r="O37" s="230"/>
      <c r="U37" s="230"/>
      <c r="V37" s="230" t="str">
        <f>IF(ISNUMBER(MATCH(B37, 'Sprint 13'!B:B, 0)), "มาจาก Sprint 13", "")</f>
        <v/>
      </c>
      <c r="W37" s="230" t="str">
        <f t="array" ref="W37">IF(ISNUMBER(MATCH(B37, 'Sprint 13'!B:B, 0)), INDEX('Sprint 13'!J:J, MATCH(B37, 'Sprint 13'!B:B, 0)), "")</f>
        <v/>
      </c>
      <c r="X37" s="230"/>
      <c r="Y37" s="102" t="s">
        <v>4919</v>
      </c>
      <c r="Z37" s="102" t="s">
        <v>4657</v>
      </c>
    </row>
    <row r="38">
      <c r="A38" s="102" t="s">
        <v>276</v>
      </c>
      <c r="B38" s="102" t="s">
        <v>6027</v>
      </c>
      <c r="C38" s="229" t="s">
        <v>6028</v>
      </c>
      <c r="D38" s="102" t="s">
        <v>1567</v>
      </c>
      <c r="E38" s="102" t="s">
        <v>3288</v>
      </c>
      <c r="F38" s="102" t="s">
        <v>3289</v>
      </c>
      <c r="G38" s="102" t="s">
        <v>3288</v>
      </c>
      <c r="H38" s="102" t="s">
        <v>3289</v>
      </c>
      <c r="I38" s="102" t="s">
        <v>284</v>
      </c>
      <c r="J38" s="102" t="s">
        <v>26</v>
      </c>
      <c r="L38" s="229" t="s">
        <v>5766</v>
      </c>
      <c r="M38" s="229" t="s">
        <v>6029</v>
      </c>
      <c r="O38" s="230"/>
      <c r="U38" s="230"/>
      <c r="V38" s="230" t="str">
        <f>IF(ISNUMBER(MATCH(B38, 'Sprint 13'!B:B, 0)), "มาจาก Sprint 13", "")</f>
        <v/>
      </c>
      <c r="W38" s="230" t="str">
        <f t="array" ref="W38">IF(ISNUMBER(MATCH(B38, 'Sprint 13'!B:B, 0)), INDEX('Sprint 13'!J:J, MATCH(B38, 'Sprint 13'!B:B, 0)), "")</f>
        <v/>
      </c>
      <c r="X38" s="230"/>
      <c r="Y38" s="102" t="s">
        <v>4919</v>
      </c>
      <c r="Z38" s="102" t="s">
        <v>4657</v>
      </c>
    </row>
    <row r="39">
      <c r="A39" s="102" t="s">
        <v>276</v>
      </c>
      <c r="B39" s="102" t="s">
        <v>5764</v>
      </c>
      <c r="C39" s="229" t="s">
        <v>5765</v>
      </c>
      <c r="D39" s="102" t="s">
        <v>1567</v>
      </c>
      <c r="E39" s="102" t="s">
        <v>3288</v>
      </c>
      <c r="F39" s="102" t="s">
        <v>3289</v>
      </c>
      <c r="G39" s="102" t="s">
        <v>3288</v>
      </c>
      <c r="H39" s="102" t="s">
        <v>3289</v>
      </c>
      <c r="I39" s="102" t="s">
        <v>284</v>
      </c>
      <c r="J39" s="102" t="s">
        <v>34</v>
      </c>
      <c r="L39" s="229" t="s">
        <v>5766</v>
      </c>
      <c r="M39" s="229" t="s">
        <v>6030</v>
      </c>
      <c r="O39" s="230"/>
      <c r="U39" s="230"/>
      <c r="V39" s="230" t="str">
        <f>IF(ISNUMBER(MATCH(B39, 'Sprint 13'!B:B, 0)), "มาจาก Sprint 13", "")</f>
        <v/>
      </c>
      <c r="W39" s="230" t="str">
        <f t="array" ref="W39">IF(ISNUMBER(MATCH(B39, 'Sprint 13'!B:B, 0)), INDEX('Sprint 13'!J:J, MATCH(B39, 'Sprint 13'!B:B, 0)), "")</f>
        <v/>
      </c>
      <c r="X39" s="230"/>
      <c r="Y39" s="102" t="s">
        <v>4919</v>
      </c>
      <c r="Z39" s="102" t="s">
        <v>4657</v>
      </c>
      <c r="AA39" s="102" t="s">
        <v>2266</v>
      </c>
    </row>
    <row r="40">
      <c r="A40" s="102" t="s">
        <v>276</v>
      </c>
      <c r="B40" s="102" t="s">
        <v>6031</v>
      </c>
      <c r="C40" s="229" t="s">
        <v>6032</v>
      </c>
      <c r="D40" s="102" t="s">
        <v>1567</v>
      </c>
      <c r="E40" s="102" t="s">
        <v>3288</v>
      </c>
      <c r="F40" s="102" t="s">
        <v>3289</v>
      </c>
      <c r="G40" s="102" t="s">
        <v>3288</v>
      </c>
      <c r="H40" s="102" t="s">
        <v>3289</v>
      </c>
      <c r="I40" s="102" t="s">
        <v>284</v>
      </c>
      <c r="J40" s="102" t="s">
        <v>26</v>
      </c>
      <c r="L40" s="229" t="s">
        <v>6033</v>
      </c>
      <c r="M40" s="229" t="s">
        <v>6034</v>
      </c>
      <c r="N40" s="102"/>
      <c r="O40" s="102"/>
      <c r="P40" s="102"/>
      <c r="U40" s="230"/>
      <c r="V40" s="230" t="str">
        <f>IF(ISNUMBER(MATCH(B40, 'Sprint 13'!B:B, 0)), "มาจาก Sprint 13", "")</f>
        <v/>
      </c>
      <c r="W40" s="230" t="str">
        <f t="array" ref="W40">IF(ISNUMBER(MATCH(B40, 'Sprint 13'!B:B, 0)), INDEX('Sprint 13'!J:J, MATCH(B40, 'Sprint 13'!B:B, 0)), "")</f>
        <v/>
      </c>
      <c r="X40" s="230"/>
      <c r="Y40" s="102" t="s">
        <v>4919</v>
      </c>
      <c r="Z40" s="102" t="s">
        <v>4657</v>
      </c>
    </row>
    <row r="41">
      <c r="A41" s="102" t="s">
        <v>276</v>
      </c>
      <c r="B41" s="102" t="s">
        <v>6035</v>
      </c>
      <c r="C41" s="229" t="s">
        <v>6036</v>
      </c>
      <c r="D41" s="102" t="s">
        <v>1567</v>
      </c>
      <c r="E41" s="102" t="s">
        <v>3288</v>
      </c>
      <c r="F41" s="102" t="s">
        <v>3289</v>
      </c>
      <c r="G41" s="102" t="s">
        <v>3288</v>
      </c>
      <c r="H41" s="102" t="s">
        <v>3289</v>
      </c>
      <c r="I41" s="102" t="s">
        <v>284</v>
      </c>
      <c r="J41" s="102" t="s">
        <v>26</v>
      </c>
      <c r="L41" s="229" t="s">
        <v>6033</v>
      </c>
      <c r="M41" s="229" t="s">
        <v>6033</v>
      </c>
      <c r="O41" s="230"/>
      <c r="U41" s="230"/>
      <c r="V41" s="230" t="str">
        <f>IF(ISNUMBER(MATCH(B41, 'Sprint 13'!B:B, 0)), "มาจาก Sprint 13", "")</f>
        <v/>
      </c>
      <c r="W41" s="230" t="str">
        <f t="array" ref="W41">IF(ISNUMBER(MATCH(B41, 'Sprint 13'!B:B, 0)), INDEX('Sprint 13'!J:J, MATCH(B41, 'Sprint 13'!B:B, 0)), "")</f>
        <v/>
      </c>
      <c r="X41" s="230"/>
      <c r="Y41" s="102" t="s">
        <v>4919</v>
      </c>
      <c r="Z41" s="102" t="s">
        <v>4657</v>
      </c>
    </row>
    <row r="42">
      <c r="A42" s="102" t="s">
        <v>276</v>
      </c>
      <c r="B42" s="102" t="s">
        <v>6037</v>
      </c>
      <c r="C42" s="229" t="s">
        <v>6038</v>
      </c>
      <c r="D42" s="102" t="s">
        <v>1567</v>
      </c>
      <c r="E42" s="102" t="s">
        <v>3288</v>
      </c>
      <c r="F42" s="102" t="s">
        <v>3289</v>
      </c>
      <c r="G42" s="102" t="s">
        <v>3288</v>
      </c>
      <c r="H42" s="102" t="s">
        <v>3289</v>
      </c>
      <c r="I42" s="102" t="s">
        <v>284</v>
      </c>
      <c r="J42" s="102" t="s">
        <v>26</v>
      </c>
      <c r="L42" s="229" t="s">
        <v>6033</v>
      </c>
      <c r="M42" s="229" t="s">
        <v>6033</v>
      </c>
      <c r="O42" s="230"/>
      <c r="P42" s="102"/>
      <c r="U42" s="230"/>
      <c r="V42" s="230" t="str">
        <f>IF(ISNUMBER(MATCH(B42, 'Sprint 13'!B:B, 0)), "มาจาก Sprint 13", "")</f>
        <v/>
      </c>
      <c r="W42" s="230" t="str">
        <f t="array" ref="W42">IF(ISNUMBER(MATCH(B42, 'Sprint 13'!B:B, 0)), INDEX('Sprint 13'!J:J, MATCH(B42, 'Sprint 13'!B:B, 0)), "")</f>
        <v/>
      </c>
      <c r="X42" s="230"/>
      <c r="Y42" s="102" t="s">
        <v>4919</v>
      </c>
      <c r="Z42" s="102" t="s">
        <v>4657</v>
      </c>
    </row>
    <row r="43">
      <c r="A43" s="102" t="s">
        <v>276</v>
      </c>
      <c r="B43" s="102" t="s">
        <v>6039</v>
      </c>
      <c r="C43" s="229" t="s">
        <v>6040</v>
      </c>
      <c r="D43" s="102" t="s">
        <v>1567</v>
      </c>
      <c r="E43" s="102" t="s">
        <v>3288</v>
      </c>
      <c r="F43" s="102" t="s">
        <v>3289</v>
      </c>
      <c r="G43" s="102" t="s">
        <v>3288</v>
      </c>
      <c r="H43" s="102" t="s">
        <v>3289</v>
      </c>
      <c r="I43" s="102" t="s">
        <v>284</v>
      </c>
      <c r="J43" s="102" t="s">
        <v>26</v>
      </c>
      <c r="L43" s="229" t="s">
        <v>6041</v>
      </c>
      <c r="M43" s="229" t="s">
        <v>6041</v>
      </c>
      <c r="N43" s="102"/>
      <c r="O43" s="102"/>
      <c r="P43" s="102"/>
      <c r="Q43" s="102"/>
      <c r="R43" s="102"/>
      <c r="S43" s="102"/>
      <c r="U43" s="230"/>
      <c r="V43" s="230" t="str">
        <f>IF(ISNUMBER(MATCH(B43, 'Sprint 13'!B:B, 0)), "มาจาก Sprint 13", "")</f>
        <v/>
      </c>
      <c r="W43" s="230" t="str">
        <f t="array" ref="W43">IF(ISNUMBER(MATCH(B43, 'Sprint 13'!B:B, 0)), INDEX('Sprint 13'!J:J, MATCH(B43, 'Sprint 13'!B:B, 0)), "")</f>
        <v/>
      </c>
      <c r="X43" s="230"/>
      <c r="Y43" s="102" t="s">
        <v>4919</v>
      </c>
      <c r="Z43" s="102" t="s">
        <v>4657</v>
      </c>
    </row>
    <row r="44">
      <c r="A44" s="102" t="s">
        <v>310</v>
      </c>
      <c r="B44" s="102" t="s">
        <v>6042</v>
      </c>
      <c r="C44" s="229" t="s">
        <v>6043</v>
      </c>
      <c r="D44" s="102" t="s">
        <v>6044</v>
      </c>
      <c r="E44" s="102" t="s">
        <v>513</v>
      </c>
      <c r="F44" s="102" t="s">
        <v>514</v>
      </c>
      <c r="G44" s="102" t="s">
        <v>314</v>
      </c>
      <c r="H44" s="102" t="s">
        <v>315</v>
      </c>
      <c r="I44" s="102" t="s">
        <v>284</v>
      </c>
      <c r="J44" s="102" t="s">
        <v>26</v>
      </c>
      <c r="L44" s="229" t="s">
        <v>6045</v>
      </c>
      <c r="M44" s="229" t="s">
        <v>6046</v>
      </c>
      <c r="N44" s="229" t="s">
        <v>6047</v>
      </c>
      <c r="O44" s="102">
        <v>1.0</v>
      </c>
      <c r="P44" s="102" t="s">
        <v>593</v>
      </c>
      <c r="Q44" s="102"/>
      <c r="U44" s="102"/>
      <c r="V44" s="230" t="str">
        <f>IF(ISNUMBER(MATCH(B44, 'Sprint 13'!B:B, 0)), "มาจาก Sprint 13", "")</f>
        <v/>
      </c>
      <c r="W44" s="230" t="str">
        <f t="array" ref="W44">IF(ISNUMBER(MATCH(B44, 'Sprint 13'!B:B, 0)), INDEX('Sprint 13'!J:J, MATCH(B44, 'Sprint 13'!B:B, 0)), "")</f>
        <v/>
      </c>
      <c r="X44" s="102"/>
      <c r="Y44" s="102" t="s">
        <v>4657</v>
      </c>
    </row>
    <row r="45">
      <c r="A45" s="102" t="s">
        <v>310</v>
      </c>
      <c r="B45" s="102" t="s">
        <v>6048</v>
      </c>
      <c r="C45" s="229" t="s">
        <v>6049</v>
      </c>
      <c r="D45" s="102" t="s">
        <v>6050</v>
      </c>
      <c r="E45" s="102" t="s">
        <v>556</v>
      </c>
      <c r="F45" s="102" t="s">
        <v>557</v>
      </c>
      <c r="G45" s="102" t="s">
        <v>314</v>
      </c>
      <c r="H45" s="102" t="s">
        <v>315</v>
      </c>
      <c r="I45" s="102" t="s">
        <v>284</v>
      </c>
      <c r="J45" s="102" t="s">
        <v>26</v>
      </c>
      <c r="L45" s="229" t="s">
        <v>6051</v>
      </c>
      <c r="M45" s="229" t="s">
        <v>6052</v>
      </c>
      <c r="O45" s="102"/>
      <c r="U45" s="102"/>
      <c r="V45" s="230" t="str">
        <f>IF(ISNUMBER(MATCH(B45, 'Sprint 13'!B:B, 0)), "มาจาก Sprint 13", "")</f>
        <v/>
      </c>
      <c r="W45" s="230" t="str">
        <f t="array" ref="W45">IF(ISNUMBER(MATCH(B45, 'Sprint 13'!B:B, 0)), INDEX('Sprint 13'!J:J, MATCH(B45, 'Sprint 13'!B:B, 0)), "")</f>
        <v/>
      </c>
      <c r="X45" s="102"/>
      <c r="Y45" s="102" t="s">
        <v>4657</v>
      </c>
    </row>
    <row r="46">
      <c r="A46" s="102" t="s">
        <v>310</v>
      </c>
      <c r="B46" s="102" t="s">
        <v>6053</v>
      </c>
      <c r="C46" s="229" t="s">
        <v>6054</v>
      </c>
      <c r="D46" s="102" t="s">
        <v>6055</v>
      </c>
      <c r="E46" s="102" t="s">
        <v>328</v>
      </c>
      <c r="F46" s="102" t="s">
        <v>329</v>
      </c>
      <c r="G46" s="102" t="s">
        <v>282</v>
      </c>
      <c r="H46" s="102" t="s">
        <v>283</v>
      </c>
      <c r="I46" s="102" t="s">
        <v>515</v>
      </c>
      <c r="J46" s="102" t="s">
        <v>26</v>
      </c>
      <c r="L46" s="229" t="s">
        <v>6056</v>
      </c>
      <c r="M46" s="229" t="s">
        <v>6057</v>
      </c>
      <c r="N46" s="229" t="s">
        <v>5788</v>
      </c>
      <c r="O46" s="102">
        <v>2.0</v>
      </c>
      <c r="P46" s="102" t="s">
        <v>4656</v>
      </c>
      <c r="U46" s="102">
        <v>14400.0</v>
      </c>
      <c r="V46" s="230" t="str">
        <f>IF(ISNUMBER(MATCH(B46, 'Sprint 13'!B:B, 0)), "มาจาก Sprint 13", "")</f>
        <v/>
      </c>
      <c r="W46" s="230" t="str">
        <f t="array" ref="W46">IF(ISNUMBER(MATCH(B46, 'Sprint 13'!B:B, 0)), INDEX('Sprint 13'!J:J, MATCH(B46, 'Sprint 13'!B:B, 0)), "")</f>
        <v/>
      </c>
      <c r="X46" s="102"/>
      <c r="Y46" s="102" t="s">
        <v>4657</v>
      </c>
    </row>
    <row r="47">
      <c r="A47" s="102" t="s">
        <v>332</v>
      </c>
      <c r="B47" s="102" t="s">
        <v>6058</v>
      </c>
      <c r="C47" s="229" t="s">
        <v>6059</v>
      </c>
      <c r="D47" s="102" t="s">
        <v>6060</v>
      </c>
      <c r="E47" s="102" t="s">
        <v>314</v>
      </c>
      <c r="F47" s="102" t="s">
        <v>315</v>
      </c>
      <c r="G47" s="102" t="s">
        <v>316</v>
      </c>
      <c r="H47" s="102" t="s">
        <v>317</v>
      </c>
      <c r="I47" s="102" t="s">
        <v>515</v>
      </c>
      <c r="J47" s="102" t="s">
        <v>2318</v>
      </c>
      <c r="L47" s="229" t="s">
        <v>6061</v>
      </c>
      <c r="M47" s="229" t="s">
        <v>6062</v>
      </c>
      <c r="N47" s="229" t="s">
        <v>5494</v>
      </c>
      <c r="O47" s="102">
        <v>1.0</v>
      </c>
      <c r="P47" s="102" t="s">
        <v>4656</v>
      </c>
      <c r="Q47" s="102" t="s">
        <v>6063</v>
      </c>
      <c r="R47" s="102" t="s">
        <v>367</v>
      </c>
      <c r="S47" s="102" t="s">
        <v>368</v>
      </c>
      <c r="U47" s="230"/>
      <c r="V47" s="230" t="str">
        <f>IF(ISNUMBER(MATCH(B47, 'Sprint 13'!B:B, 0)), "มาจาก Sprint 13", "")</f>
        <v/>
      </c>
      <c r="W47" s="230" t="str">
        <f t="array" ref="W47">IF(ISNUMBER(MATCH(B47, 'Sprint 13'!B:B, 0)), INDEX('Sprint 13'!J:J, MATCH(B47, 'Sprint 13'!B:B, 0)), "")</f>
        <v/>
      </c>
      <c r="X47" s="230"/>
      <c r="Y47" s="102" t="s">
        <v>4657</v>
      </c>
    </row>
    <row r="48">
      <c r="A48" s="102" t="s">
        <v>310</v>
      </c>
      <c r="B48" s="102" t="s">
        <v>6064</v>
      </c>
      <c r="C48" s="229" t="s">
        <v>6065</v>
      </c>
      <c r="D48" s="102" t="s">
        <v>6066</v>
      </c>
      <c r="E48" s="102" t="s">
        <v>282</v>
      </c>
      <c r="F48" s="102" t="s">
        <v>283</v>
      </c>
      <c r="G48" s="102" t="s">
        <v>316</v>
      </c>
      <c r="H48" s="102" t="s">
        <v>317</v>
      </c>
      <c r="I48" s="102" t="s">
        <v>284</v>
      </c>
      <c r="J48" s="102" t="s">
        <v>26</v>
      </c>
      <c r="L48" s="229" t="s">
        <v>6067</v>
      </c>
      <c r="M48" s="229" t="s">
        <v>6068</v>
      </c>
      <c r="O48" s="102">
        <v>1.0</v>
      </c>
      <c r="P48" s="102" t="s">
        <v>4656</v>
      </c>
      <c r="Q48" s="102" t="s">
        <v>368</v>
      </c>
      <c r="U48" s="102">
        <v>3600.0</v>
      </c>
      <c r="V48" s="230" t="str">
        <f>IF(ISNUMBER(MATCH(B48, 'Sprint 13'!B:B, 0)), "มาจาก Sprint 13", "")</f>
        <v/>
      </c>
      <c r="W48" s="230" t="str">
        <f t="array" ref="W48">IF(ISNUMBER(MATCH(B48, 'Sprint 13'!B:B, 0)), INDEX('Sprint 13'!J:J, MATCH(B48, 'Sprint 13'!B:B, 0)), "")</f>
        <v/>
      </c>
      <c r="X48" s="102"/>
      <c r="Y48" s="102" t="s">
        <v>4657</v>
      </c>
    </row>
    <row r="49">
      <c r="A49" s="102" t="s">
        <v>310</v>
      </c>
      <c r="B49" s="102" t="s">
        <v>5489</v>
      </c>
      <c r="C49" s="229" t="s">
        <v>5490</v>
      </c>
      <c r="D49" s="102" t="s">
        <v>5491</v>
      </c>
      <c r="E49" s="102" t="s">
        <v>328</v>
      </c>
      <c r="F49" s="102" t="s">
        <v>329</v>
      </c>
      <c r="G49" s="102" t="s">
        <v>314</v>
      </c>
      <c r="H49" s="102" t="s">
        <v>315</v>
      </c>
      <c r="I49" s="102" t="s">
        <v>284</v>
      </c>
      <c r="J49" s="102" t="s">
        <v>454</v>
      </c>
      <c r="L49" s="229" t="s">
        <v>5492</v>
      </c>
      <c r="M49" s="229" t="s">
        <v>5740</v>
      </c>
      <c r="N49" s="229" t="s">
        <v>5494</v>
      </c>
      <c r="O49" s="102">
        <v>2.0</v>
      </c>
      <c r="P49" s="102"/>
      <c r="U49" s="102">
        <v>115200.0</v>
      </c>
      <c r="V49" s="230" t="str">
        <f>IF(ISNUMBER(MATCH(B49, 'Sprint 13'!B:B, 0)), "มาจาก Sprint 13", "")</f>
        <v/>
      </c>
      <c r="W49" s="230" t="str">
        <f t="array" ref="W49">IF(ISNUMBER(MATCH(B49, 'Sprint 13'!B:B, 0)), INDEX('Sprint 13'!J:J, MATCH(B49, 'Sprint 13'!B:B, 0)), "")</f>
        <v/>
      </c>
      <c r="X49" s="102"/>
      <c r="Y49" s="102" t="s">
        <v>4657</v>
      </c>
      <c r="Z49" s="102" t="s">
        <v>2266</v>
      </c>
    </row>
    <row r="50">
      <c r="A50" s="102" t="s">
        <v>310</v>
      </c>
      <c r="B50" s="102" t="s">
        <v>5495</v>
      </c>
      <c r="C50" s="229" t="s">
        <v>5496</v>
      </c>
      <c r="D50" s="102" t="s">
        <v>5497</v>
      </c>
      <c r="E50" s="102" t="s">
        <v>495</v>
      </c>
      <c r="F50" s="102" t="s">
        <v>496</v>
      </c>
      <c r="G50" s="102" t="s">
        <v>314</v>
      </c>
      <c r="H50" s="102" t="s">
        <v>315</v>
      </c>
      <c r="I50" s="102" t="s">
        <v>284</v>
      </c>
      <c r="J50" s="102" t="s">
        <v>454</v>
      </c>
      <c r="L50" s="229" t="s">
        <v>5498</v>
      </c>
      <c r="M50" s="229" t="s">
        <v>5768</v>
      </c>
      <c r="O50" s="102">
        <v>3.0</v>
      </c>
      <c r="U50" s="102">
        <v>43200.0</v>
      </c>
      <c r="V50" s="230" t="str">
        <f>IF(ISNUMBER(MATCH(B50, 'Sprint 13'!B:B, 0)), "มาจาก Sprint 13", "")</f>
        <v/>
      </c>
      <c r="W50" s="230" t="str">
        <f t="array" ref="W50">IF(ISNUMBER(MATCH(B50, 'Sprint 13'!B:B, 0)), INDEX('Sprint 13'!J:J, MATCH(B50, 'Sprint 13'!B:B, 0)), "")</f>
        <v/>
      </c>
      <c r="X50" s="102"/>
      <c r="Y50" s="102" t="s">
        <v>1368</v>
      </c>
      <c r="Z50" s="102" t="s">
        <v>1369</v>
      </c>
    </row>
    <row r="51">
      <c r="A51" s="102" t="s">
        <v>310</v>
      </c>
      <c r="B51" s="102" t="s">
        <v>6069</v>
      </c>
      <c r="C51" s="229" t="s">
        <v>6070</v>
      </c>
      <c r="D51" s="102" t="s">
        <v>6071</v>
      </c>
      <c r="E51" s="102" t="s">
        <v>513</v>
      </c>
      <c r="F51" s="102" t="s">
        <v>514</v>
      </c>
      <c r="G51" s="102" t="s">
        <v>513</v>
      </c>
      <c r="H51" s="102" t="s">
        <v>514</v>
      </c>
      <c r="I51" s="102" t="s">
        <v>648</v>
      </c>
      <c r="J51" s="102" t="s">
        <v>26</v>
      </c>
      <c r="L51" s="229" t="s">
        <v>6072</v>
      </c>
      <c r="M51" s="229" t="s">
        <v>6003</v>
      </c>
      <c r="N51" s="229" t="s">
        <v>5788</v>
      </c>
      <c r="O51" s="102">
        <v>3.0</v>
      </c>
      <c r="P51" s="102" t="s">
        <v>4656</v>
      </c>
      <c r="Q51" s="102" t="s">
        <v>593</v>
      </c>
      <c r="U51" s="102"/>
      <c r="V51" s="230" t="str">
        <f>IF(ISNUMBER(MATCH(B51, 'Sprint 13'!B:B, 0)), "มาจาก Sprint 13", "")</f>
        <v/>
      </c>
      <c r="W51" s="230" t="str">
        <f t="array" ref="W51">IF(ISNUMBER(MATCH(B51, 'Sprint 13'!B:B, 0)), INDEX('Sprint 13'!J:J, MATCH(B51, 'Sprint 13'!B:B, 0)), "")</f>
        <v/>
      </c>
      <c r="X51" s="102"/>
      <c r="Y51" s="102" t="s">
        <v>5963</v>
      </c>
    </row>
    <row r="52">
      <c r="A52" s="102" t="s">
        <v>310</v>
      </c>
      <c r="B52" s="102" t="s">
        <v>6073</v>
      </c>
      <c r="C52" s="229" t="s">
        <v>6074</v>
      </c>
      <c r="D52" s="102" t="s">
        <v>6075</v>
      </c>
      <c r="E52" s="102" t="s">
        <v>282</v>
      </c>
      <c r="F52" s="102" t="s">
        <v>283</v>
      </c>
      <c r="G52" s="102" t="s">
        <v>316</v>
      </c>
      <c r="H52" s="102" t="s">
        <v>317</v>
      </c>
      <c r="I52" s="102" t="s">
        <v>284</v>
      </c>
      <c r="J52" s="102" t="s">
        <v>26</v>
      </c>
      <c r="L52" s="229" t="s">
        <v>6076</v>
      </c>
      <c r="M52" s="229" t="s">
        <v>6077</v>
      </c>
      <c r="N52" s="102"/>
      <c r="O52" s="102">
        <v>1.0</v>
      </c>
      <c r="P52" s="102" t="s">
        <v>4656</v>
      </c>
      <c r="Q52" s="102" t="s">
        <v>368</v>
      </c>
      <c r="U52" s="102">
        <v>1800.0</v>
      </c>
      <c r="V52" s="230" t="str">
        <f>IF(ISNUMBER(MATCH(B52, 'Sprint 13'!B:B, 0)), "มาจาก Sprint 13", "")</f>
        <v/>
      </c>
      <c r="W52" s="230" t="str">
        <f t="array" ref="W52">IF(ISNUMBER(MATCH(B52, 'Sprint 13'!B:B, 0)), INDEX('Sprint 13'!J:J, MATCH(B52, 'Sprint 13'!B:B, 0)), "")</f>
        <v/>
      </c>
      <c r="X52" s="102"/>
      <c r="Y52" s="102" t="s">
        <v>4657</v>
      </c>
    </row>
    <row r="53">
      <c r="A53" s="102" t="s">
        <v>310</v>
      </c>
      <c r="B53" s="102" t="s">
        <v>6078</v>
      </c>
      <c r="C53" s="229" t="s">
        <v>6079</v>
      </c>
      <c r="D53" s="102" t="s">
        <v>6080</v>
      </c>
      <c r="E53" s="102" t="s">
        <v>556</v>
      </c>
      <c r="F53" s="102" t="s">
        <v>557</v>
      </c>
      <c r="G53" s="102" t="s">
        <v>362</v>
      </c>
      <c r="H53" s="102" t="s">
        <v>363</v>
      </c>
      <c r="I53" s="102" t="s">
        <v>284</v>
      </c>
      <c r="J53" s="102" t="s">
        <v>26</v>
      </c>
      <c r="L53" s="229" t="s">
        <v>6081</v>
      </c>
      <c r="M53" s="229" t="s">
        <v>6082</v>
      </c>
      <c r="N53" s="229" t="s">
        <v>5816</v>
      </c>
      <c r="O53" s="102">
        <v>1.0</v>
      </c>
      <c r="P53" s="102" t="s">
        <v>4656</v>
      </c>
      <c r="U53" s="102">
        <v>7200.0</v>
      </c>
      <c r="V53" s="230" t="str">
        <f>IF(ISNUMBER(MATCH(B53, 'Sprint 13'!B:B, 0)), "มาจาก Sprint 13", "")</f>
        <v/>
      </c>
      <c r="W53" s="230" t="str">
        <f t="array" ref="W53">IF(ISNUMBER(MATCH(B53, 'Sprint 13'!B:B, 0)), INDEX('Sprint 13'!J:J, MATCH(B53, 'Sprint 13'!B:B, 0)), "")</f>
        <v/>
      </c>
      <c r="X53" s="102"/>
      <c r="Y53" s="102" t="s">
        <v>4657</v>
      </c>
    </row>
    <row r="54">
      <c r="A54" s="102" t="s">
        <v>310</v>
      </c>
      <c r="B54" s="102" t="s">
        <v>5499</v>
      </c>
      <c r="C54" s="229" t="s">
        <v>5500</v>
      </c>
      <c r="D54" s="102" t="s">
        <v>5501</v>
      </c>
      <c r="E54" s="102" t="s">
        <v>584</v>
      </c>
      <c r="F54" s="102" t="s">
        <v>585</v>
      </c>
      <c r="G54" s="102" t="s">
        <v>282</v>
      </c>
      <c r="H54" s="102" t="s">
        <v>283</v>
      </c>
      <c r="I54" s="102" t="s">
        <v>284</v>
      </c>
      <c r="J54" s="102" t="s">
        <v>454</v>
      </c>
      <c r="L54" s="229" t="s">
        <v>5502</v>
      </c>
      <c r="M54" s="229" t="s">
        <v>5740</v>
      </c>
      <c r="O54" s="102">
        <v>3.0</v>
      </c>
      <c r="U54" s="102">
        <v>28800.0</v>
      </c>
      <c r="V54" s="230" t="str">
        <f>IF(ISNUMBER(MATCH(B54, 'Sprint 13'!B:B, 0)), "มาจาก Sprint 13", "")</f>
        <v/>
      </c>
      <c r="W54" s="230" t="str">
        <f t="array" ref="W54">IF(ISNUMBER(MATCH(B54, 'Sprint 13'!B:B, 0)), INDEX('Sprint 13'!J:J, MATCH(B54, 'Sprint 13'!B:B, 0)), "")</f>
        <v/>
      </c>
      <c r="X54" s="102"/>
      <c r="Y54" s="102" t="s">
        <v>4657</v>
      </c>
      <c r="Z54" s="102" t="s">
        <v>2266</v>
      </c>
    </row>
    <row r="55">
      <c r="A55" s="102" t="s">
        <v>310</v>
      </c>
      <c r="B55" s="102" t="s">
        <v>5503</v>
      </c>
      <c r="C55" s="229" t="s">
        <v>5504</v>
      </c>
      <c r="D55" s="102" t="s">
        <v>5505</v>
      </c>
      <c r="E55" s="102" t="s">
        <v>584</v>
      </c>
      <c r="F55" s="102" t="s">
        <v>585</v>
      </c>
      <c r="G55" s="102" t="s">
        <v>282</v>
      </c>
      <c r="H55" s="102" t="s">
        <v>283</v>
      </c>
      <c r="I55" s="102" t="s">
        <v>284</v>
      </c>
      <c r="J55" s="102" t="s">
        <v>454</v>
      </c>
      <c r="L55" s="229" t="s">
        <v>5502</v>
      </c>
      <c r="M55" s="229" t="s">
        <v>5740</v>
      </c>
      <c r="O55" s="102">
        <v>3.0</v>
      </c>
      <c r="U55" s="102">
        <v>28800.0</v>
      </c>
      <c r="V55" s="230" t="str">
        <f>IF(ISNUMBER(MATCH(B55, 'Sprint 13'!B:B, 0)), "มาจาก Sprint 13", "")</f>
        <v/>
      </c>
      <c r="W55" s="230" t="str">
        <f t="array" ref="W55">IF(ISNUMBER(MATCH(B55, 'Sprint 13'!B:B, 0)), INDEX('Sprint 13'!J:J, MATCH(B55, 'Sprint 13'!B:B, 0)), "")</f>
        <v/>
      </c>
      <c r="X55" s="102"/>
      <c r="Y55" s="102" t="s">
        <v>4657</v>
      </c>
      <c r="Z55" s="102" t="s">
        <v>2266</v>
      </c>
    </row>
    <row r="56">
      <c r="A56" s="102" t="s">
        <v>310</v>
      </c>
      <c r="B56" s="102" t="s">
        <v>6083</v>
      </c>
      <c r="C56" s="229" t="s">
        <v>6084</v>
      </c>
      <c r="D56" s="102" t="s">
        <v>6085</v>
      </c>
      <c r="E56" s="102" t="s">
        <v>282</v>
      </c>
      <c r="F56" s="102" t="s">
        <v>283</v>
      </c>
      <c r="G56" s="102" t="s">
        <v>362</v>
      </c>
      <c r="H56" s="102" t="s">
        <v>363</v>
      </c>
      <c r="I56" s="102" t="s">
        <v>318</v>
      </c>
      <c r="J56" s="102" t="s">
        <v>26</v>
      </c>
      <c r="L56" s="229" t="s">
        <v>6086</v>
      </c>
      <c r="M56" s="229" t="s">
        <v>6087</v>
      </c>
      <c r="N56" s="229" t="s">
        <v>5816</v>
      </c>
      <c r="O56" s="102">
        <v>1.0</v>
      </c>
      <c r="P56" s="102" t="s">
        <v>4656</v>
      </c>
      <c r="U56" s="102">
        <v>1800.0</v>
      </c>
      <c r="V56" s="230" t="str">
        <f>IF(ISNUMBER(MATCH(B56, 'Sprint 13'!B:B, 0)), "มาจาก Sprint 13", "")</f>
        <v/>
      </c>
      <c r="W56" s="230" t="str">
        <f t="array" ref="W56">IF(ISNUMBER(MATCH(B56, 'Sprint 13'!B:B, 0)), INDEX('Sprint 13'!J:J, MATCH(B56, 'Sprint 13'!B:B, 0)), "")</f>
        <v/>
      </c>
      <c r="X56" s="102"/>
      <c r="Y56" s="102" t="s">
        <v>4657</v>
      </c>
    </row>
    <row r="57">
      <c r="A57" s="102" t="s">
        <v>310</v>
      </c>
      <c r="B57" s="102" t="s">
        <v>6088</v>
      </c>
      <c r="C57" s="229" t="s">
        <v>6089</v>
      </c>
      <c r="D57" s="102" t="s">
        <v>6090</v>
      </c>
      <c r="E57" s="102" t="s">
        <v>513</v>
      </c>
      <c r="F57" s="102" t="s">
        <v>514</v>
      </c>
      <c r="G57" s="102" t="s">
        <v>362</v>
      </c>
      <c r="H57" s="102" t="s">
        <v>363</v>
      </c>
      <c r="I57" s="102" t="s">
        <v>284</v>
      </c>
      <c r="J57" s="102" t="s">
        <v>26</v>
      </c>
      <c r="L57" s="229" t="s">
        <v>6091</v>
      </c>
      <c r="M57" s="229" t="s">
        <v>6092</v>
      </c>
      <c r="N57" s="229" t="s">
        <v>5528</v>
      </c>
      <c r="O57" s="102">
        <v>1.0</v>
      </c>
      <c r="P57" s="102" t="s">
        <v>4656</v>
      </c>
      <c r="U57" s="102">
        <v>7200.0</v>
      </c>
      <c r="V57" s="230" t="str">
        <f>IF(ISNUMBER(MATCH(B57, 'Sprint 13'!B:B, 0)), "มาจาก Sprint 13", "")</f>
        <v/>
      </c>
      <c r="W57" s="230" t="str">
        <f t="array" ref="W57">IF(ISNUMBER(MATCH(B57, 'Sprint 13'!B:B, 0)), INDEX('Sprint 13'!J:J, MATCH(B57, 'Sprint 13'!B:B, 0)), "")</f>
        <v/>
      </c>
      <c r="X57" s="102"/>
      <c r="Y57" s="102" t="s">
        <v>4657</v>
      </c>
    </row>
    <row r="58">
      <c r="A58" s="102" t="s">
        <v>310</v>
      </c>
      <c r="B58" s="102" t="s">
        <v>6093</v>
      </c>
      <c r="C58" s="229" t="s">
        <v>6094</v>
      </c>
      <c r="D58" s="102" t="s">
        <v>6095</v>
      </c>
      <c r="E58" s="102" t="s">
        <v>314</v>
      </c>
      <c r="F58" s="102" t="s">
        <v>315</v>
      </c>
      <c r="G58" s="102" t="s">
        <v>314</v>
      </c>
      <c r="H58" s="102" t="s">
        <v>315</v>
      </c>
      <c r="I58" s="102" t="s">
        <v>284</v>
      </c>
      <c r="J58" s="102" t="s">
        <v>26</v>
      </c>
      <c r="L58" s="229" t="s">
        <v>6096</v>
      </c>
      <c r="M58" s="229" t="s">
        <v>5988</v>
      </c>
      <c r="N58" s="102"/>
      <c r="O58" s="102">
        <v>2.0</v>
      </c>
      <c r="U58" s="102">
        <v>14400.0</v>
      </c>
      <c r="V58" s="230" t="str">
        <f>IF(ISNUMBER(MATCH(B58, 'Sprint 13'!B:B, 0)), "มาจาก Sprint 13", "")</f>
        <v/>
      </c>
      <c r="W58" s="230" t="str">
        <f t="array" ref="W58">IF(ISNUMBER(MATCH(B58, 'Sprint 13'!B:B, 0)), INDEX('Sprint 13'!J:J, MATCH(B58, 'Sprint 13'!B:B, 0)), "")</f>
        <v/>
      </c>
      <c r="X58" s="102"/>
      <c r="Y58" s="102" t="s">
        <v>4657</v>
      </c>
    </row>
    <row r="59">
      <c r="A59" s="102" t="s">
        <v>276</v>
      </c>
      <c r="B59" s="102" t="s">
        <v>6097</v>
      </c>
      <c r="C59" s="229" t="s">
        <v>6098</v>
      </c>
      <c r="D59" s="102" t="s">
        <v>347</v>
      </c>
      <c r="E59" s="102" t="s">
        <v>280</v>
      </c>
      <c r="F59" s="102" t="s">
        <v>281</v>
      </c>
      <c r="G59" s="102" t="s">
        <v>280</v>
      </c>
      <c r="H59" s="102" t="s">
        <v>281</v>
      </c>
      <c r="I59" s="102" t="s">
        <v>284</v>
      </c>
      <c r="J59" s="102" t="s">
        <v>26</v>
      </c>
      <c r="L59" s="229" t="s">
        <v>6099</v>
      </c>
      <c r="M59" s="229" t="s">
        <v>6100</v>
      </c>
      <c r="N59" s="102"/>
      <c r="O59" s="102"/>
      <c r="P59" s="102"/>
      <c r="Q59" s="102"/>
      <c r="R59" s="102"/>
      <c r="S59" s="102"/>
      <c r="U59" s="230"/>
      <c r="V59" s="230" t="str">
        <f>IF(ISNUMBER(MATCH(B59, 'Sprint 13'!B:B, 0)), "มาจาก Sprint 13", "")</f>
        <v/>
      </c>
      <c r="W59" s="230" t="str">
        <f t="array" ref="W59">IF(ISNUMBER(MATCH(B59, 'Sprint 13'!B:B, 0)), INDEX('Sprint 13'!J:J, MATCH(B59, 'Sprint 13'!B:B, 0)), "")</f>
        <v/>
      </c>
      <c r="X59" s="230"/>
      <c r="Y59" s="102" t="s">
        <v>4657</v>
      </c>
    </row>
    <row r="60">
      <c r="A60" s="102" t="s">
        <v>276</v>
      </c>
      <c r="B60" s="102" t="s">
        <v>6101</v>
      </c>
      <c r="C60" s="229" t="s">
        <v>6102</v>
      </c>
      <c r="D60" s="102" t="s">
        <v>2030</v>
      </c>
      <c r="E60" s="102" t="s">
        <v>280</v>
      </c>
      <c r="F60" s="102" t="s">
        <v>281</v>
      </c>
      <c r="G60" s="102" t="s">
        <v>280</v>
      </c>
      <c r="H60" s="102" t="s">
        <v>281</v>
      </c>
      <c r="I60" s="102" t="s">
        <v>284</v>
      </c>
      <c r="J60" s="102" t="s">
        <v>26</v>
      </c>
      <c r="L60" s="229" t="s">
        <v>6099</v>
      </c>
      <c r="M60" s="229" t="s">
        <v>6103</v>
      </c>
      <c r="O60" s="102"/>
      <c r="U60" s="230"/>
      <c r="V60" s="230" t="str">
        <f>IF(ISNUMBER(MATCH(B60, 'Sprint 13'!B:B, 0)), "มาจาก Sprint 13", "")</f>
        <v/>
      </c>
      <c r="W60" s="230" t="str">
        <f t="array" ref="W60">IF(ISNUMBER(MATCH(B60, 'Sprint 13'!B:B, 0)), INDEX('Sprint 13'!J:J, MATCH(B60, 'Sprint 13'!B:B, 0)), "")</f>
        <v/>
      </c>
      <c r="X60" s="230"/>
      <c r="Y60" s="102" t="s">
        <v>4657</v>
      </c>
    </row>
    <row r="61">
      <c r="A61" s="102" t="s">
        <v>310</v>
      </c>
      <c r="B61" s="102" t="s">
        <v>6104</v>
      </c>
      <c r="C61" s="229" t="s">
        <v>6105</v>
      </c>
      <c r="D61" s="102" t="s">
        <v>6106</v>
      </c>
      <c r="E61" s="102" t="s">
        <v>556</v>
      </c>
      <c r="F61" s="102" t="s">
        <v>557</v>
      </c>
      <c r="G61" s="102" t="s">
        <v>314</v>
      </c>
      <c r="H61" s="102" t="s">
        <v>315</v>
      </c>
      <c r="I61" s="102" t="s">
        <v>284</v>
      </c>
      <c r="J61" s="102" t="s">
        <v>26</v>
      </c>
      <c r="L61" s="229" t="s">
        <v>6107</v>
      </c>
      <c r="M61" s="229" t="s">
        <v>6108</v>
      </c>
      <c r="N61" s="229" t="s">
        <v>5494</v>
      </c>
      <c r="O61" s="102">
        <v>1.0</v>
      </c>
      <c r="U61" s="102">
        <v>7200.0</v>
      </c>
      <c r="V61" s="230" t="str">
        <f>IF(ISNUMBER(MATCH(B61, 'Sprint 13'!B:B, 0)), "มาจาก Sprint 13", "")</f>
        <v/>
      </c>
      <c r="W61" s="230" t="str">
        <f t="array" ref="W61">IF(ISNUMBER(MATCH(B61, 'Sprint 13'!B:B, 0)), INDEX('Sprint 13'!J:J, MATCH(B61, 'Sprint 13'!B:B, 0)), "")</f>
        <v/>
      </c>
      <c r="X61" s="102"/>
      <c r="Y61" s="102" t="s">
        <v>4657</v>
      </c>
    </row>
    <row r="62">
      <c r="A62" s="102" t="s">
        <v>310</v>
      </c>
      <c r="B62" s="102" t="s">
        <v>6109</v>
      </c>
      <c r="C62" s="229" t="s">
        <v>6110</v>
      </c>
      <c r="D62" s="102" t="s">
        <v>6111</v>
      </c>
      <c r="E62" s="102" t="s">
        <v>556</v>
      </c>
      <c r="F62" s="102" t="s">
        <v>557</v>
      </c>
      <c r="G62" s="102" t="s">
        <v>314</v>
      </c>
      <c r="H62" s="102" t="s">
        <v>315</v>
      </c>
      <c r="I62" s="102" t="s">
        <v>284</v>
      </c>
      <c r="J62" s="102" t="s">
        <v>26</v>
      </c>
      <c r="L62" s="229" t="s">
        <v>6112</v>
      </c>
      <c r="M62" s="229" t="s">
        <v>6113</v>
      </c>
      <c r="N62" s="229" t="s">
        <v>5494</v>
      </c>
      <c r="O62" s="102">
        <v>1.0</v>
      </c>
      <c r="U62" s="102">
        <v>7200.0</v>
      </c>
      <c r="V62" s="230" t="str">
        <f>IF(ISNUMBER(MATCH(B62, 'Sprint 13'!B:B, 0)), "มาจาก Sprint 13", "")</f>
        <v/>
      </c>
      <c r="W62" s="230" t="str">
        <f t="array" ref="W62">IF(ISNUMBER(MATCH(B62, 'Sprint 13'!B:B, 0)), INDEX('Sprint 13'!J:J, MATCH(B62, 'Sprint 13'!B:B, 0)), "")</f>
        <v/>
      </c>
      <c r="X62" s="102"/>
      <c r="Y62" s="102" t="s">
        <v>4657</v>
      </c>
    </row>
    <row r="63">
      <c r="A63" s="102" t="s">
        <v>332</v>
      </c>
      <c r="B63" s="102" t="s">
        <v>6114</v>
      </c>
      <c r="C63" s="229" t="s">
        <v>6115</v>
      </c>
      <c r="D63" s="102" t="s">
        <v>6116</v>
      </c>
      <c r="E63" s="102" t="s">
        <v>584</v>
      </c>
      <c r="F63" s="102" t="s">
        <v>585</v>
      </c>
      <c r="G63" s="102" t="s">
        <v>316</v>
      </c>
      <c r="H63" s="102" t="s">
        <v>317</v>
      </c>
      <c r="I63" s="102" t="s">
        <v>284</v>
      </c>
      <c r="J63" s="102" t="s">
        <v>922</v>
      </c>
      <c r="L63" s="229" t="s">
        <v>6117</v>
      </c>
      <c r="M63" s="229" t="s">
        <v>6118</v>
      </c>
      <c r="N63" s="229" t="s">
        <v>2575</v>
      </c>
      <c r="O63" s="102">
        <v>2.0</v>
      </c>
      <c r="P63" s="102" t="s">
        <v>322</v>
      </c>
      <c r="Q63" s="102" t="s">
        <v>538</v>
      </c>
      <c r="R63" s="102" t="s">
        <v>4656</v>
      </c>
      <c r="S63" s="102" t="s">
        <v>367</v>
      </c>
      <c r="U63" s="230"/>
      <c r="V63" s="230" t="str">
        <f>IF(ISNUMBER(MATCH(B63, 'Sprint 13'!B:B, 0)), "มาจาก Sprint 13", "")</f>
        <v/>
      </c>
      <c r="W63" s="230" t="str">
        <f t="array" ref="W63">IF(ISNUMBER(MATCH(B63, 'Sprint 13'!B:B, 0)), INDEX('Sprint 13'!J:J, MATCH(B63, 'Sprint 13'!B:B, 0)), "")</f>
        <v/>
      </c>
      <c r="X63" s="230"/>
      <c r="Y63" s="102" t="s">
        <v>4657</v>
      </c>
    </row>
    <row r="64">
      <c r="A64" s="102" t="s">
        <v>310</v>
      </c>
      <c r="B64" s="102" t="s">
        <v>5779</v>
      </c>
      <c r="C64" s="229" t="s">
        <v>5780</v>
      </c>
      <c r="D64" s="102" t="s">
        <v>5781</v>
      </c>
      <c r="E64" s="102" t="s">
        <v>495</v>
      </c>
      <c r="F64" s="102" t="s">
        <v>496</v>
      </c>
      <c r="G64" s="102" t="s">
        <v>314</v>
      </c>
      <c r="H64" s="102" t="s">
        <v>315</v>
      </c>
      <c r="I64" s="102" t="s">
        <v>284</v>
      </c>
      <c r="J64" s="102" t="s">
        <v>454</v>
      </c>
      <c r="L64" s="229" t="s">
        <v>5782</v>
      </c>
      <c r="M64" s="229" t="s">
        <v>5768</v>
      </c>
      <c r="N64" s="102"/>
      <c r="O64" s="102">
        <v>3.0</v>
      </c>
      <c r="P64" s="102"/>
      <c r="U64" s="102">
        <v>28800.0</v>
      </c>
      <c r="V64" s="230" t="str">
        <f>IF(ISNUMBER(MATCH(B64, 'Sprint 13'!B:B, 0)), "มาจาก Sprint 13", "")</f>
        <v/>
      </c>
      <c r="W64" s="230" t="str">
        <f t="array" ref="W64">IF(ISNUMBER(MATCH(B64, 'Sprint 13'!B:B, 0)), INDEX('Sprint 13'!J:J, MATCH(B64, 'Sprint 13'!B:B, 0)), "")</f>
        <v/>
      </c>
      <c r="X64" s="102"/>
      <c r="Y64" s="102" t="s">
        <v>1368</v>
      </c>
      <c r="Z64" s="102" t="s">
        <v>1369</v>
      </c>
    </row>
    <row r="65">
      <c r="A65" s="102" t="s">
        <v>310</v>
      </c>
      <c r="B65" s="102" t="s">
        <v>5783</v>
      </c>
      <c r="C65" s="229" t="s">
        <v>5784</v>
      </c>
      <c r="D65" s="102" t="s">
        <v>5785</v>
      </c>
      <c r="E65" s="102" t="s">
        <v>556</v>
      </c>
      <c r="F65" s="102" t="s">
        <v>557</v>
      </c>
      <c r="G65" s="102" t="s">
        <v>353</v>
      </c>
      <c r="H65" s="102" t="s">
        <v>354</v>
      </c>
      <c r="I65" s="102" t="s">
        <v>284</v>
      </c>
      <c r="J65" s="102" t="s">
        <v>454</v>
      </c>
      <c r="L65" s="229" t="s">
        <v>5786</v>
      </c>
      <c r="M65" s="229" t="s">
        <v>5787</v>
      </c>
      <c r="N65" s="229" t="s">
        <v>5788</v>
      </c>
      <c r="O65" s="102">
        <v>5.0</v>
      </c>
      <c r="U65" s="102">
        <v>57600.0</v>
      </c>
      <c r="V65" s="230" t="str">
        <f>IF(ISNUMBER(MATCH(B65, 'Sprint 13'!B:B, 0)), "มาจาก Sprint 13", "")</f>
        <v/>
      </c>
      <c r="W65" s="230" t="str">
        <f t="array" ref="W65">IF(ISNUMBER(MATCH(B65, 'Sprint 13'!B:B, 0)), INDEX('Sprint 13'!J:J, MATCH(B65, 'Sprint 13'!B:B, 0)), "")</f>
        <v/>
      </c>
      <c r="X65" s="102"/>
      <c r="Y65" s="102" t="s">
        <v>5789</v>
      </c>
      <c r="Z65" s="102" t="s">
        <v>5707</v>
      </c>
    </row>
    <row r="66">
      <c r="A66" s="102" t="s">
        <v>310</v>
      </c>
      <c r="B66" s="102" t="s">
        <v>5790</v>
      </c>
      <c r="C66" s="229" t="s">
        <v>5791</v>
      </c>
      <c r="D66" s="102" t="s">
        <v>5792</v>
      </c>
      <c r="E66" s="102" t="s">
        <v>328</v>
      </c>
      <c r="F66" s="102" t="s">
        <v>329</v>
      </c>
      <c r="G66" s="102" t="s">
        <v>314</v>
      </c>
      <c r="H66" s="102" t="s">
        <v>315</v>
      </c>
      <c r="I66" s="102" t="s">
        <v>284</v>
      </c>
      <c r="J66" s="102" t="s">
        <v>454</v>
      </c>
      <c r="L66" s="229" t="s">
        <v>5793</v>
      </c>
      <c r="M66" s="229" t="s">
        <v>5768</v>
      </c>
      <c r="N66" s="229" t="s">
        <v>4655</v>
      </c>
      <c r="O66" s="102">
        <v>3.0</v>
      </c>
      <c r="U66" s="102">
        <v>57600.0</v>
      </c>
      <c r="V66" s="230" t="str">
        <f>IF(ISNUMBER(MATCH(B66, 'Sprint 13'!B:B, 0)), "มาจาก Sprint 13", "")</f>
        <v/>
      </c>
      <c r="W66" s="230" t="str">
        <f t="array" ref="W66">IF(ISNUMBER(MATCH(B66, 'Sprint 13'!B:B, 0)), INDEX('Sprint 13'!J:J, MATCH(B66, 'Sprint 13'!B:B, 0)), "")</f>
        <v/>
      </c>
      <c r="X66" s="102"/>
      <c r="Y66" s="102" t="s">
        <v>1368</v>
      </c>
      <c r="Z66" s="102" t="s">
        <v>1369</v>
      </c>
    </row>
    <row r="67">
      <c r="A67" s="102" t="s">
        <v>310</v>
      </c>
      <c r="B67" s="102" t="s">
        <v>5794</v>
      </c>
      <c r="C67" s="229" t="s">
        <v>5795</v>
      </c>
      <c r="D67" s="102" t="s">
        <v>5796</v>
      </c>
      <c r="E67" s="102" t="s">
        <v>584</v>
      </c>
      <c r="F67" s="102" t="s">
        <v>585</v>
      </c>
      <c r="G67" s="102" t="s">
        <v>314</v>
      </c>
      <c r="H67" s="102" t="s">
        <v>315</v>
      </c>
      <c r="I67" s="102" t="s">
        <v>284</v>
      </c>
      <c r="J67" s="102" t="s">
        <v>454</v>
      </c>
      <c r="L67" s="229" t="s">
        <v>5797</v>
      </c>
      <c r="M67" s="229" t="s">
        <v>5768</v>
      </c>
      <c r="O67" s="102">
        <v>3.0</v>
      </c>
      <c r="U67" s="102">
        <v>28800.0</v>
      </c>
      <c r="V67" s="230" t="str">
        <f>IF(ISNUMBER(MATCH(B67, 'Sprint 13'!B:B, 0)), "มาจาก Sprint 13", "")</f>
        <v/>
      </c>
      <c r="W67" s="230" t="str">
        <f t="array" ref="W67">IF(ISNUMBER(MATCH(B67, 'Sprint 13'!B:B, 0)), INDEX('Sprint 13'!J:J, MATCH(B67, 'Sprint 13'!B:B, 0)), "")</f>
        <v/>
      </c>
      <c r="X67" s="102"/>
      <c r="Y67" s="102" t="s">
        <v>1368</v>
      </c>
      <c r="Z67" s="102" t="s">
        <v>1369</v>
      </c>
    </row>
    <row r="68">
      <c r="A68" s="102" t="s">
        <v>310</v>
      </c>
      <c r="B68" s="102" t="s">
        <v>6119</v>
      </c>
      <c r="C68" s="229" t="s">
        <v>6120</v>
      </c>
      <c r="D68" s="102" t="s">
        <v>6121</v>
      </c>
      <c r="E68" s="102" t="s">
        <v>513</v>
      </c>
      <c r="F68" s="102" t="s">
        <v>514</v>
      </c>
      <c r="G68" s="102" t="s">
        <v>513</v>
      </c>
      <c r="H68" s="102" t="s">
        <v>514</v>
      </c>
      <c r="I68" s="102" t="s">
        <v>515</v>
      </c>
      <c r="J68" s="102" t="s">
        <v>26</v>
      </c>
      <c r="L68" s="229" t="s">
        <v>6122</v>
      </c>
      <c r="M68" s="229" t="s">
        <v>6123</v>
      </c>
      <c r="N68" s="229" t="s">
        <v>5528</v>
      </c>
      <c r="O68" s="102">
        <v>5.0</v>
      </c>
      <c r="P68" s="102" t="s">
        <v>593</v>
      </c>
      <c r="U68" s="102">
        <v>86400.0</v>
      </c>
      <c r="V68" s="230" t="str">
        <f>IF(ISNUMBER(MATCH(B68, 'Sprint 13'!B:B, 0)), "มาจาก Sprint 13", "")</f>
        <v/>
      </c>
      <c r="W68" s="230" t="str">
        <f t="array" ref="W68">IF(ISNUMBER(MATCH(B68, 'Sprint 13'!B:B, 0)), INDEX('Sprint 13'!J:J, MATCH(B68, 'Sprint 13'!B:B, 0)), "")</f>
        <v/>
      </c>
      <c r="X68" s="102"/>
      <c r="Y68" s="102" t="s">
        <v>5963</v>
      </c>
    </row>
    <row r="69">
      <c r="A69" s="102" t="s">
        <v>310</v>
      </c>
      <c r="B69" s="102" t="s">
        <v>5798</v>
      </c>
      <c r="C69" s="229" t="s">
        <v>5799</v>
      </c>
      <c r="D69" s="102" t="s">
        <v>5800</v>
      </c>
      <c r="E69" s="102" t="s">
        <v>564</v>
      </c>
      <c r="F69" s="102" t="s">
        <v>565</v>
      </c>
      <c r="G69" s="102" t="s">
        <v>314</v>
      </c>
      <c r="H69" s="102" t="s">
        <v>315</v>
      </c>
      <c r="I69" s="102" t="s">
        <v>284</v>
      </c>
      <c r="J69" s="102" t="s">
        <v>454</v>
      </c>
      <c r="L69" s="229" t="s">
        <v>5801</v>
      </c>
      <c r="M69" s="229" t="s">
        <v>5768</v>
      </c>
      <c r="N69" s="229" t="s">
        <v>5448</v>
      </c>
      <c r="O69" s="102">
        <v>3.0</v>
      </c>
      <c r="P69" s="102"/>
      <c r="Q69" s="102"/>
      <c r="R69" s="102"/>
      <c r="U69" s="102">
        <v>28800.0</v>
      </c>
      <c r="V69" s="230" t="str">
        <f>IF(ISNUMBER(MATCH(B69, 'Sprint 13'!B:B, 0)), "มาจาก Sprint 13", "")</f>
        <v/>
      </c>
      <c r="W69" s="230" t="str">
        <f t="array" ref="W69">IF(ISNUMBER(MATCH(B69, 'Sprint 13'!B:B, 0)), INDEX('Sprint 13'!J:J, MATCH(B69, 'Sprint 13'!B:B, 0)), "")</f>
        <v/>
      </c>
      <c r="X69" s="102"/>
      <c r="Y69" s="102" t="s">
        <v>1368</v>
      </c>
      <c r="Z69" s="102" t="s">
        <v>1369</v>
      </c>
    </row>
    <row r="70">
      <c r="A70" s="102" t="s">
        <v>310</v>
      </c>
      <c r="B70" s="102" t="s">
        <v>5510</v>
      </c>
      <c r="C70" s="229" t="s">
        <v>5511</v>
      </c>
      <c r="D70" s="102" t="s">
        <v>5512</v>
      </c>
      <c r="E70" s="102" t="s">
        <v>584</v>
      </c>
      <c r="F70" s="102" t="s">
        <v>585</v>
      </c>
      <c r="G70" s="102" t="s">
        <v>314</v>
      </c>
      <c r="H70" s="102" t="s">
        <v>315</v>
      </c>
      <c r="I70" s="102" t="s">
        <v>284</v>
      </c>
      <c r="J70" s="102" t="s">
        <v>454</v>
      </c>
      <c r="L70" s="229" t="s">
        <v>5513</v>
      </c>
      <c r="M70" s="229" t="s">
        <v>5768</v>
      </c>
      <c r="N70" s="102"/>
      <c r="O70" s="102">
        <v>5.0</v>
      </c>
      <c r="U70" s="102">
        <v>57600.0</v>
      </c>
      <c r="V70" s="230" t="str">
        <f>IF(ISNUMBER(MATCH(B70, 'Sprint 13'!B:B, 0)), "มาจาก Sprint 13", "")</f>
        <v/>
      </c>
      <c r="W70" s="230" t="str">
        <f t="array" ref="W70">IF(ISNUMBER(MATCH(B70, 'Sprint 13'!B:B, 0)), INDEX('Sprint 13'!J:J, MATCH(B70, 'Sprint 13'!B:B, 0)), "")</f>
        <v/>
      </c>
      <c r="X70" s="102"/>
      <c r="Y70" s="102" t="s">
        <v>1368</v>
      </c>
      <c r="Z70" s="102" t="s">
        <v>1369</v>
      </c>
    </row>
    <row r="71">
      <c r="A71" s="102" t="s">
        <v>310</v>
      </c>
      <c r="B71" s="102" t="s">
        <v>5514</v>
      </c>
      <c r="C71" s="229" t="s">
        <v>5515</v>
      </c>
      <c r="D71" s="102" t="s">
        <v>5516</v>
      </c>
      <c r="E71" s="102" t="s">
        <v>556</v>
      </c>
      <c r="F71" s="102" t="s">
        <v>557</v>
      </c>
      <c r="G71" s="102" t="s">
        <v>314</v>
      </c>
      <c r="H71" s="102" t="s">
        <v>315</v>
      </c>
      <c r="I71" s="102" t="s">
        <v>284</v>
      </c>
      <c r="J71" s="102" t="s">
        <v>454</v>
      </c>
      <c r="L71" s="229" t="s">
        <v>5517</v>
      </c>
      <c r="M71" s="229" t="s">
        <v>5768</v>
      </c>
      <c r="N71" s="102"/>
      <c r="O71" s="102">
        <v>5.0</v>
      </c>
      <c r="U71" s="102">
        <v>57600.0</v>
      </c>
      <c r="V71" s="230" t="str">
        <f>IF(ISNUMBER(MATCH(B71, 'Sprint 13'!B:B, 0)), "มาจาก Sprint 13", "")</f>
        <v/>
      </c>
      <c r="W71" s="230" t="str">
        <f t="array" ref="W71">IF(ISNUMBER(MATCH(B71, 'Sprint 13'!B:B, 0)), INDEX('Sprint 13'!J:J, MATCH(B71, 'Sprint 13'!B:B, 0)), "")</f>
        <v/>
      </c>
      <c r="X71" s="102"/>
      <c r="Y71" s="102" t="s">
        <v>1368</v>
      </c>
      <c r="Z71" s="102" t="s">
        <v>1369</v>
      </c>
    </row>
    <row r="72">
      <c r="A72" s="102" t="s">
        <v>310</v>
      </c>
      <c r="B72" s="102" t="s">
        <v>5518</v>
      </c>
      <c r="C72" s="229" t="s">
        <v>5519</v>
      </c>
      <c r="D72" s="102" t="s">
        <v>5520</v>
      </c>
      <c r="E72" s="102" t="s">
        <v>328</v>
      </c>
      <c r="F72" s="102" t="s">
        <v>329</v>
      </c>
      <c r="G72" s="102" t="s">
        <v>314</v>
      </c>
      <c r="H72" s="102" t="s">
        <v>315</v>
      </c>
      <c r="I72" s="102" t="s">
        <v>284</v>
      </c>
      <c r="J72" s="102" t="s">
        <v>454</v>
      </c>
      <c r="L72" s="229" t="s">
        <v>5521</v>
      </c>
      <c r="M72" s="229" t="s">
        <v>5768</v>
      </c>
      <c r="N72" s="229" t="s">
        <v>5522</v>
      </c>
      <c r="O72" s="102">
        <v>5.0</v>
      </c>
      <c r="U72" s="102">
        <v>57600.0</v>
      </c>
      <c r="V72" s="230" t="str">
        <f>IF(ISNUMBER(MATCH(B72, 'Sprint 13'!B:B, 0)), "มาจาก Sprint 13", "")</f>
        <v/>
      </c>
      <c r="W72" s="230" t="str">
        <f t="array" ref="W72">IF(ISNUMBER(MATCH(B72, 'Sprint 13'!B:B, 0)), INDEX('Sprint 13'!J:J, MATCH(B72, 'Sprint 13'!B:B, 0)), "")</f>
        <v/>
      </c>
      <c r="X72" s="102"/>
      <c r="Y72" s="102" t="s">
        <v>1368</v>
      </c>
      <c r="Z72" s="102" t="s">
        <v>1369</v>
      </c>
    </row>
    <row r="73">
      <c r="A73" s="102" t="s">
        <v>310</v>
      </c>
      <c r="B73" s="102" t="s">
        <v>6124</v>
      </c>
      <c r="C73" s="229" t="s">
        <v>6125</v>
      </c>
      <c r="D73" s="102" t="s">
        <v>6126</v>
      </c>
      <c r="E73" s="102" t="s">
        <v>564</v>
      </c>
      <c r="F73" s="102" t="s">
        <v>565</v>
      </c>
      <c r="G73" s="102" t="s">
        <v>304</v>
      </c>
      <c r="H73" s="102" t="s">
        <v>305</v>
      </c>
      <c r="I73" s="102" t="s">
        <v>284</v>
      </c>
      <c r="J73" s="102" t="s">
        <v>26</v>
      </c>
      <c r="L73" s="229" t="s">
        <v>6127</v>
      </c>
      <c r="M73" s="229" t="s">
        <v>6128</v>
      </c>
      <c r="N73" s="229" t="s">
        <v>5522</v>
      </c>
      <c r="O73" s="102">
        <v>8.0</v>
      </c>
      <c r="P73" s="102" t="s">
        <v>27</v>
      </c>
      <c r="Q73" s="102" t="s">
        <v>593</v>
      </c>
      <c r="R73" s="102" t="s">
        <v>4821</v>
      </c>
      <c r="U73" s="102">
        <v>57600.0</v>
      </c>
      <c r="V73" s="230" t="str">
        <f>IF(ISNUMBER(MATCH(B73, 'Sprint 13'!B:B, 0)), "มาจาก Sprint 13", "")</f>
        <v/>
      </c>
      <c r="W73" s="230" t="str">
        <f t="array" ref="W73">IF(ISNUMBER(MATCH(B73, 'Sprint 13'!B:B, 0)), INDEX('Sprint 13'!J:J, MATCH(B73, 'Sprint 13'!B:B, 0)), "")</f>
        <v/>
      </c>
      <c r="X73" s="102"/>
      <c r="Y73" s="102" t="s">
        <v>2185</v>
      </c>
    </row>
    <row r="74">
      <c r="A74" s="102" t="s">
        <v>310</v>
      </c>
      <c r="B74" s="102" t="s">
        <v>5523</v>
      </c>
      <c r="C74" s="229" t="s">
        <v>5524</v>
      </c>
      <c r="D74" s="102" t="s">
        <v>5525</v>
      </c>
      <c r="E74" s="102" t="s">
        <v>328</v>
      </c>
      <c r="F74" s="102" t="s">
        <v>329</v>
      </c>
      <c r="G74" s="102" t="s">
        <v>353</v>
      </c>
      <c r="H74" s="102" t="s">
        <v>354</v>
      </c>
      <c r="I74" s="102" t="s">
        <v>284</v>
      </c>
      <c r="J74" s="102" t="s">
        <v>454</v>
      </c>
      <c r="L74" s="229" t="s">
        <v>5526</v>
      </c>
      <c r="M74" s="229" t="s">
        <v>5740</v>
      </c>
      <c r="N74" s="229" t="s">
        <v>5528</v>
      </c>
      <c r="O74" s="102">
        <v>3.0</v>
      </c>
      <c r="P74" s="102"/>
      <c r="U74" s="102">
        <v>28800.0</v>
      </c>
      <c r="V74" s="230" t="str">
        <f>IF(ISNUMBER(MATCH(B74, 'Sprint 13'!B:B, 0)), "มาจาก Sprint 13", "")</f>
        <v/>
      </c>
      <c r="W74" s="230" t="str">
        <f t="array" ref="W74">IF(ISNUMBER(MATCH(B74, 'Sprint 13'!B:B, 0)), INDEX('Sprint 13'!J:J, MATCH(B74, 'Sprint 13'!B:B, 0)), "")</f>
        <v/>
      </c>
      <c r="X74" s="102"/>
      <c r="Y74" s="102" t="s">
        <v>4657</v>
      </c>
      <c r="Z74" s="102" t="s">
        <v>2266</v>
      </c>
    </row>
    <row r="75">
      <c r="A75" s="102" t="s">
        <v>310</v>
      </c>
      <c r="B75" s="102" t="s">
        <v>5530</v>
      </c>
      <c r="C75" s="229" t="s">
        <v>5531</v>
      </c>
      <c r="D75" s="102" t="s">
        <v>5532</v>
      </c>
      <c r="E75" s="102" t="s">
        <v>556</v>
      </c>
      <c r="F75" s="102" t="s">
        <v>557</v>
      </c>
      <c r="G75" s="102" t="s">
        <v>353</v>
      </c>
      <c r="H75" s="102" t="s">
        <v>354</v>
      </c>
      <c r="I75" s="102" t="s">
        <v>284</v>
      </c>
      <c r="J75" s="102" t="s">
        <v>454</v>
      </c>
      <c r="L75" s="229" t="s">
        <v>5533</v>
      </c>
      <c r="M75" s="229" t="s">
        <v>5740</v>
      </c>
      <c r="N75" s="229" t="s">
        <v>5494</v>
      </c>
      <c r="O75" s="102">
        <v>3.0</v>
      </c>
      <c r="U75" s="102">
        <v>28800.0</v>
      </c>
      <c r="V75" s="230" t="str">
        <f>IF(ISNUMBER(MATCH(B75, 'Sprint 13'!B:B, 0)), "มาจาก Sprint 13", "")</f>
        <v/>
      </c>
      <c r="W75" s="230" t="str">
        <f t="array" ref="W75">IF(ISNUMBER(MATCH(B75, 'Sprint 13'!B:B, 0)), INDEX('Sprint 13'!J:J, MATCH(B75, 'Sprint 13'!B:B, 0)), "")</f>
        <v/>
      </c>
      <c r="X75" s="102"/>
      <c r="Y75" s="102" t="s">
        <v>4657</v>
      </c>
      <c r="Z75" s="102" t="s">
        <v>2266</v>
      </c>
    </row>
    <row r="76">
      <c r="A76" s="102" t="s">
        <v>310</v>
      </c>
      <c r="B76" s="102" t="s">
        <v>5534</v>
      </c>
      <c r="C76" s="229" t="s">
        <v>5535</v>
      </c>
      <c r="D76" s="102" t="s">
        <v>5536</v>
      </c>
      <c r="E76" s="102" t="s">
        <v>584</v>
      </c>
      <c r="F76" s="102" t="s">
        <v>585</v>
      </c>
      <c r="G76" s="102" t="s">
        <v>353</v>
      </c>
      <c r="H76" s="102" t="s">
        <v>354</v>
      </c>
      <c r="I76" s="102" t="s">
        <v>284</v>
      </c>
      <c r="J76" s="102" t="s">
        <v>454</v>
      </c>
      <c r="L76" s="229" t="s">
        <v>5533</v>
      </c>
      <c r="M76" s="229" t="s">
        <v>5740</v>
      </c>
      <c r="O76" s="102">
        <v>3.0</v>
      </c>
      <c r="U76" s="102">
        <v>28800.0</v>
      </c>
      <c r="V76" s="230" t="str">
        <f>IF(ISNUMBER(MATCH(B76, 'Sprint 13'!B:B, 0)), "มาจาก Sprint 13", "")</f>
        <v/>
      </c>
      <c r="W76" s="230" t="str">
        <f t="array" ref="W76">IF(ISNUMBER(MATCH(B76, 'Sprint 13'!B:B, 0)), INDEX('Sprint 13'!J:J, MATCH(B76, 'Sprint 13'!B:B, 0)), "")</f>
        <v/>
      </c>
      <c r="X76" s="102"/>
      <c r="Y76" s="102" t="s">
        <v>4657</v>
      </c>
      <c r="Z76" s="102" t="s">
        <v>2266</v>
      </c>
    </row>
    <row r="77">
      <c r="A77" s="102" t="s">
        <v>310</v>
      </c>
      <c r="B77" s="102" t="s">
        <v>6129</v>
      </c>
      <c r="C77" s="229" t="s">
        <v>6130</v>
      </c>
      <c r="D77" s="102" t="s">
        <v>6131</v>
      </c>
      <c r="E77" s="102" t="s">
        <v>353</v>
      </c>
      <c r="F77" s="102" t="s">
        <v>354</v>
      </c>
      <c r="G77" s="102" t="s">
        <v>353</v>
      </c>
      <c r="H77" s="102" t="s">
        <v>354</v>
      </c>
      <c r="I77" s="102" t="s">
        <v>284</v>
      </c>
      <c r="J77" s="102" t="s">
        <v>26</v>
      </c>
      <c r="L77" s="229" t="s">
        <v>6132</v>
      </c>
      <c r="M77" s="229" t="s">
        <v>6133</v>
      </c>
      <c r="N77" s="102"/>
      <c r="O77" s="102">
        <v>8.0</v>
      </c>
      <c r="P77" s="102" t="s">
        <v>1730</v>
      </c>
      <c r="Q77" s="102" t="s">
        <v>593</v>
      </c>
      <c r="U77" s="102"/>
      <c r="V77" s="230" t="str">
        <f>IF(ISNUMBER(MATCH(B77, 'Sprint 13'!B:B, 0)), "มาจาก Sprint 13", "")</f>
        <v/>
      </c>
      <c r="W77" s="230" t="str">
        <f t="array" ref="W77">IF(ISNUMBER(MATCH(B77, 'Sprint 13'!B:B, 0)), INDEX('Sprint 13'!J:J, MATCH(B77, 'Sprint 13'!B:B, 0)), "")</f>
        <v/>
      </c>
      <c r="X77" s="102"/>
      <c r="Y77" s="102" t="s">
        <v>5838</v>
      </c>
    </row>
    <row r="78">
      <c r="A78" s="102" t="s">
        <v>310</v>
      </c>
      <c r="B78" s="102" t="s">
        <v>5803</v>
      </c>
      <c r="C78" s="229" t="s">
        <v>5804</v>
      </c>
      <c r="D78" s="102" t="s">
        <v>5805</v>
      </c>
      <c r="E78" s="102" t="s">
        <v>564</v>
      </c>
      <c r="F78" s="102" t="s">
        <v>565</v>
      </c>
      <c r="G78" s="102" t="s">
        <v>282</v>
      </c>
      <c r="H78" s="102" t="s">
        <v>283</v>
      </c>
      <c r="I78" s="102" t="s">
        <v>284</v>
      </c>
      <c r="J78" s="102" t="s">
        <v>454</v>
      </c>
      <c r="L78" s="229" t="s">
        <v>5806</v>
      </c>
      <c r="M78" s="229" t="s">
        <v>6134</v>
      </c>
      <c r="N78" s="229" t="s">
        <v>5528</v>
      </c>
      <c r="O78" s="102">
        <v>5.0</v>
      </c>
      <c r="P78" s="102" t="s">
        <v>1808</v>
      </c>
      <c r="U78" s="102">
        <v>43200.0</v>
      </c>
      <c r="V78" s="230" t="str">
        <f>IF(ISNUMBER(MATCH(B78, 'Sprint 13'!B:B, 0)), "มาจาก Sprint 13", "")</f>
        <v/>
      </c>
      <c r="W78" s="230" t="str">
        <f t="array" ref="W78">IF(ISNUMBER(MATCH(B78, 'Sprint 13'!B:B, 0)), INDEX('Sprint 13'!J:J, MATCH(B78, 'Sprint 13'!B:B, 0)), "")</f>
        <v/>
      </c>
      <c r="X78" s="102"/>
      <c r="Y78" s="102" t="s">
        <v>4657</v>
      </c>
      <c r="Z78" s="102" t="s">
        <v>2266</v>
      </c>
    </row>
    <row r="79">
      <c r="A79" s="102" t="s">
        <v>310</v>
      </c>
      <c r="B79" s="102" t="s">
        <v>6135</v>
      </c>
      <c r="C79" s="229" t="s">
        <v>6136</v>
      </c>
      <c r="D79" s="102" t="s">
        <v>6137</v>
      </c>
      <c r="E79" s="102" t="s">
        <v>328</v>
      </c>
      <c r="F79" s="102" t="s">
        <v>329</v>
      </c>
      <c r="G79" s="102" t="s">
        <v>282</v>
      </c>
      <c r="H79" s="102" t="s">
        <v>283</v>
      </c>
      <c r="I79" s="102" t="s">
        <v>318</v>
      </c>
      <c r="J79" s="102" t="s">
        <v>26</v>
      </c>
      <c r="L79" s="229" t="s">
        <v>6138</v>
      </c>
      <c r="M79" s="229" t="s">
        <v>6139</v>
      </c>
      <c r="N79" s="229" t="s">
        <v>5816</v>
      </c>
      <c r="O79" s="102">
        <v>3.0</v>
      </c>
      <c r="U79" s="102">
        <v>28800.0</v>
      </c>
      <c r="V79" s="230" t="str">
        <f>IF(ISNUMBER(MATCH(B79, 'Sprint 13'!B:B, 0)), "มาจาก Sprint 13", "")</f>
        <v/>
      </c>
      <c r="W79" s="230" t="str">
        <f t="array" ref="W79">IF(ISNUMBER(MATCH(B79, 'Sprint 13'!B:B, 0)), INDEX('Sprint 13'!J:J, MATCH(B79, 'Sprint 13'!B:B, 0)), "")</f>
        <v/>
      </c>
      <c r="X79" s="102"/>
      <c r="Y79" s="102" t="s">
        <v>4657</v>
      </c>
    </row>
    <row r="80">
      <c r="A80" s="102" t="s">
        <v>310</v>
      </c>
      <c r="B80" s="102" t="s">
        <v>5808</v>
      </c>
      <c r="C80" s="229" t="s">
        <v>5809</v>
      </c>
      <c r="D80" s="102" t="s">
        <v>5810</v>
      </c>
      <c r="E80" s="102" t="s">
        <v>282</v>
      </c>
      <c r="F80" s="102" t="s">
        <v>283</v>
      </c>
      <c r="G80" s="102" t="s">
        <v>282</v>
      </c>
      <c r="H80" s="102" t="s">
        <v>283</v>
      </c>
      <c r="I80" s="102" t="s">
        <v>284</v>
      </c>
      <c r="J80" s="102" t="s">
        <v>454</v>
      </c>
      <c r="L80" s="229" t="s">
        <v>5811</v>
      </c>
      <c r="M80" s="229" t="s">
        <v>5740</v>
      </c>
      <c r="O80" s="102">
        <v>13.0</v>
      </c>
      <c r="U80" s="102">
        <v>0.0</v>
      </c>
      <c r="V80" s="230" t="str">
        <f>IF(ISNUMBER(MATCH(B80, 'Sprint 13'!B:B, 0)), "มาจาก Sprint 13", "")</f>
        <v>มาจาก Sprint 13</v>
      </c>
      <c r="W80" s="230" t="str">
        <f t="array" ref="W80">IF(ISNUMBER(MATCH(B80, 'Sprint 13'!B:B, 0)), INDEX('Sprint 13'!J:J, MATCH(B80, 'Sprint 13'!B:B, 0)), "")</f>
        <v>Ready To Test</v>
      </c>
      <c r="X80" s="102">
        <v>115200.0</v>
      </c>
      <c r="Y80" s="102" t="s">
        <v>4919</v>
      </c>
      <c r="Z80" s="102" t="s">
        <v>4657</v>
      </c>
      <c r="AA80" s="102" t="s">
        <v>2266</v>
      </c>
    </row>
    <row r="81">
      <c r="A81" s="102" t="s">
        <v>310</v>
      </c>
      <c r="B81" s="102" t="s">
        <v>5812</v>
      </c>
      <c r="C81" s="229" t="s">
        <v>5813</v>
      </c>
      <c r="D81" s="102" t="s">
        <v>5814</v>
      </c>
      <c r="E81" s="102" t="s">
        <v>328</v>
      </c>
      <c r="F81" s="102" t="s">
        <v>329</v>
      </c>
      <c r="G81" s="102" t="s">
        <v>282</v>
      </c>
      <c r="H81" s="102" t="s">
        <v>283</v>
      </c>
      <c r="I81" s="102" t="s">
        <v>284</v>
      </c>
      <c r="J81" s="102" t="s">
        <v>454</v>
      </c>
      <c r="L81" s="229" t="s">
        <v>5815</v>
      </c>
      <c r="M81" s="229" t="s">
        <v>5740</v>
      </c>
      <c r="N81" s="229" t="s">
        <v>5816</v>
      </c>
      <c r="O81" s="102">
        <v>2.0</v>
      </c>
      <c r="P81" s="102" t="s">
        <v>504</v>
      </c>
      <c r="U81" s="102">
        <v>14400.0</v>
      </c>
      <c r="V81" s="230" t="str">
        <f>IF(ISNUMBER(MATCH(B81, 'Sprint 13'!B:B, 0)), "มาจาก Sprint 13", "")</f>
        <v/>
      </c>
      <c r="W81" s="230" t="str">
        <f t="array" ref="W81">IF(ISNUMBER(MATCH(B81, 'Sprint 13'!B:B, 0)), INDEX('Sprint 13'!J:J, MATCH(B81, 'Sprint 13'!B:B, 0)), "")</f>
        <v/>
      </c>
      <c r="X81" s="102"/>
      <c r="Y81" s="102" t="s">
        <v>4657</v>
      </c>
      <c r="Z81" s="102" t="s">
        <v>2266</v>
      </c>
    </row>
    <row r="82">
      <c r="A82" s="102" t="s">
        <v>1465</v>
      </c>
      <c r="B82" s="102" t="s">
        <v>3241</v>
      </c>
      <c r="C82" s="229" t="s">
        <v>3242</v>
      </c>
      <c r="D82" s="102" t="s">
        <v>3243</v>
      </c>
      <c r="E82" s="102"/>
      <c r="F82" s="102"/>
      <c r="G82" s="102" t="s">
        <v>521</v>
      </c>
      <c r="H82" s="102" t="s">
        <v>522</v>
      </c>
      <c r="I82" s="102" t="s">
        <v>284</v>
      </c>
      <c r="J82" s="102" t="s">
        <v>63</v>
      </c>
      <c r="L82" s="229" t="s">
        <v>3244</v>
      </c>
      <c r="M82" s="229" t="s">
        <v>6140</v>
      </c>
      <c r="N82" s="102"/>
      <c r="O82" s="102"/>
      <c r="U82" s="102"/>
      <c r="V82" s="230" t="str">
        <f>IF(ISNUMBER(MATCH(B82, 'Sprint 13'!B:B, 0)), "มาจาก Sprint 13", "")</f>
        <v>มาจาก Sprint 13</v>
      </c>
      <c r="W82" s="230" t="str">
        <f t="array" ref="W82">IF(ISNUMBER(MATCH(B82, 'Sprint 13'!B:B, 0)), INDEX('Sprint 13'!J:J, MATCH(B82, 'Sprint 13'!B:B, 0)), "")</f>
        <v>To Do</v>
      </c>
      <c r="X82" s="102"/>
      <c r="Y82" s="102" t="s">
        <v>2196</v>
      </c>
      <c r="Z82" s="102" t="s">
        <v>2185</v>
      </c>
    </row>
    <row r="83">
      <c r="A83" s="102" t="s">
        <v>332</v>
      </c>
      <c r="B83" s="102" t="s">
        <v>6141</v>
      </c>
      <c r="C83" s="229" t="s">
        <v>6142</v>
      </c>
      <c r="D83" s="102" t="s">
        <v>6143</v>
      </c>
      <c r="E83" s="102" t="s">
        <v>495</v>
      </c>
      <c r="F83" s="102" t="s">
        <v>496</v>
      </c>
      <c r="G83" s="102" t="s">
        <v>280</v>
      </c>
      <c r="H83" s="102" t="s">
        <v>281</v>
      </c>
      <c r="I83" s="102" t="s">
        <v>648</v>
      </c>
      <c r="J83" s="102" t="s">
        <v>336</v>
      </c>
      <c r="L83" s="229" t="s">
        <v>6144</v>
      </c>
      <c r="M83" s="229" t="s">
        <v>6145</v>
      </c>
      <c r="N83" s="102"/>
      <c r="O83" s="102">
        <v>1.0</v>
      </c>
      <c r="P83" s="102"/>
      <c r="Q83" s="102"/>
      <c r="U83" s="230"/>
      <c r="V83" s="230" t="str">
        <f>IF(ISNUMBER(MATCH(B83, 'Sprint 13'!B:B, 0)), "มาจาก Sprint 13", "")</f>
        <v/>
      </c>
      <c r="W83" s="230" t="str">
        <f t="array" ref="W83">IF(ISNUMBER(MATCH(B83, 'Sprint 13'!B:B, 0)), INDEX('Sprint 13'!J:J, MATCH(B83, 'Sprint 13'!B:B, 0)), "")</f>
        <v/>
      </c>
      <c r="X83" s="230"/>
      <c r="Y83" s="102" t="s">
        <v>5789</v>
      </c>
    </row>
    <row r="84">
      <c r="A84" s="102" t="s">
        <v>310</v>
      </c>
      <c r="B84" s="102" t="s">
        <v>5817</v>
      </c>
      <c r="C84" s="229" t="s">
        <v>5818</v>
      </c>
      <c r="D84" s="102" t="s">
        <v>5819</v>
      </c>
      <c r="E84" s="102" t="s">
        <v>495</v>
      </c>
      <c r="F84" s="102" t="s">
        <v>496</v>
      </c>
      <c r="G84" s="102" t="s">
        <v>353</v>
      </c>
      <c r="H84" s="102" t="s">
        <v>354</v>
      </c>
      <c r="I84" s="102" t="s">
        <v>284</v>
      </c>
      <c r="J84" s="102" t="s">
        <v>454</v>
      </c>
      <c r="L84" s="229" t="s">
        <v>5820</v>
      </c>
      <c r="M84" s="229" t="s">
        <v>5740</v>
      </c>
      <c r="N84" s="102"/>
      <c r="O84" s="102">
        <v>3.0</v>
      </c>
      <c r="P84" s="102"/>
      <c r="Q84" s="102"/>
      <c r="U84" s="102">
        <v>0.0</v>
      </c>
      <c r="V84" s="230" t="str">
        <f>IF(ISNUMBER(MATCH(B84, 'Sprint 13'!B:B, 0)), "มาจาก Sprint 13", "")</f>
        <v>มาจาก Sprint 13</v>
      </c>
      <c r="W84" s="230" t="str">
        <f t="array" ref="W84">IF(ISNUMBER(MATCH(B84, 'Sprint 13'!B:B, 0)), INDEX('Sprint 13'!J:J, MATCH(B84, 'Sprint 13'!B:B, 0)), "")</f>
        <v>Ready To Test</v>
      </c>
      <c r="X84" s="102">
        <v>28800.0</v>
      </c>
      <c r="Y84" s="102" t="s">
        <v>4919</v>
      </c>
      <c r="Z84" s="102" t="s">
        <v>4657</v>
      </c>
      <c r="AA84" s="102" t="s">
        <v>2266</v>
      </c>
    </row>
    <row r="85">
      <c r="A85" s="102" t="s">
        <v>276</v>
      </c>
      <c r="B85" s="102" t="s">
        <v>5821</v>
      </c>
      <c r="C85" s="229" t="s">
        <v>5822</v>
      </c>
      <c r="D85" s="102" t="s">
        <v>5823</v>
      </c>
      <c r="E85" s="102"/>
      <c r="F85" s="102"/>
      <c r="G85" s="102" t="s">
        <v>353</v>
      </c>
      <c r="H85" s="102" t="s">
        <v>354</v>
      </c>
      <c r="I85" s="102" t="s">
        <v>284</v>
      </c>
      <c r="J85" s="102" t="s">
        <v>63</v>
      </c>
      <c r="L85" s="229" t="s">
        <v>5824</v>
      </c>
      <c r="M85" s="229" t="s">
        <v>5824</v>
      </c>
      <c r="N85" s="102"/>
      <c r="O85" s="230"/>
      <c r="P85" s="102"/>
      <c r="Q85" s="102"/>
      <c r="R85" s="102"/>
      <c r="S85" s="102"/>
      <c r="U85" s="230"/>
      <c r="V85" s="230" t="str">
        <f>IF(ISNUMBER(MATCH(B85, 'Sprint 13'!B:B, 0)), "มาจาก Sprint 13", "")</f>
        <v>มาจาก Sprint 13</v>
      </c>
      <c r="W85" s="230" t="str">
        <f t="array" ref="W85">IF(ISNUMBER(MATCH(B85, 'Sprint 13'!B:B, 0)), INDEX('Sprint 13'!J:J, MATCH(B85, 'Sprint 13'!B:B, 0)), "")</f>
        <v>To Do</v>
      </c>
      <c r="X85" s="230"/>
      <c r="Y85" s="102" t="s">
        <v>4919</v>
      </c>
      <c r="Z85" s="102" t="s">
        <v>4657</v>
      </c>
      <c r="AA85" s="102" t="s">
        <v>2266</v>
      </c>
    </row>
    <row r="86">
      <c r="A86" s="102" t="s">
        <v>310</v>
      </c>
      <c r="B86" s="102" t="s">
        <v>5825</v>
      </c>
      <c r="C86" s="229" t="s">
        <v>5826</v>
      </c>
      <c r="D86" s="102" t="s">
        <v>5827</v>
      </c>
      <c r="E86" s="102" t="s">
        <v>495</v>
      </c>
      <c r="F86" s="102" t="s">
        <v>496</v>
      </c>
      <c r="G86" s="102" t="s">
        <v>353</v>
      </c>
      <c r="H86" s="102" t="s">
        <v>354</v>
      </c>
      <c r="I86" s="102" t="s">
        <v>284</v>
      </c>
      <c r="J86" s="102" t="s">
        <v>454</v>
      </c>
      <c r="L86" s="229" t="s">
        <v>5828</v>
      </c>
      <c r="M86" s="229" t="s">
        <v>5740</v>
      </c>
      <c r="N86" s="229" t="s">
        <v>4948</v>
      </c>
      <c r="O86" s="102">
        <v>3.0</v>
      </c>
      <c r="U86" s="102">
        <v>14400.0</v>
      </c>
      <c r="V86" s="230" t="str">
        <f>IF(ISNUMBER(MATCH(B86, 'Sprint 13'!B:B, 0)), "มาจาก Sprint 13", "")</f>
        <v>มาจาก Sprint 13</v>
      </c>
      <c r="W86" s="230" t="str">
        <f t="array" ref="W86">IF(ISNUMBER(MATCH(B86, 'Sprint 13'!B:B, 0)), INDEX('Sprint 13'!J:J, MATCH(B86, 'Sprint 13'!B:B, 0)), "")</f>
        <v>In Progress</v>
      </c>
      <c r="X86" s="102" t="s">
        <v>3539</v>
      </c>
      <c r="Y86" s="102" t="s">
        <v>4919</v>
      </c>
      <c r="Z86" s="102" t="s">
        <v>4657</v>
      </c>
      <c r="AA86" s="102" t="s">
        <v>2266</v>
      </c>
    </row>
    <row r="87">
      <c r="A87" s="102" t="s">
        <v>332</v>
      </c>
      <c r="B87" s="102" t="s">
        <v>4911</v>
      </c>
      <c r="C87" s="229" t="s">
        <v>4912</v>
      </c>
      <c r="D87" s="102" t="s">
        <v>4913</v>
      </c>
      <c r="E87" s="102" t="s">
        <v>353</v>
      </c>
      <c r="F87" s="102" t="s">
        <v>354</v>
      </c>
      <c r="G87" s="102" t="s">
        <v>316</v>
      </c>
      <c r="H87" s="102" t="s">
        <v>317</v>
      </c>
      <c r="I87" s="102" t="s">
        <v>648</v>
      </c>
      <c r="J87" s="102" t="s">
        <v>922</v>
      </c>
      <c r="L87" s="229" t="s">
        <v>4914</v>
      </c>
      <c r="M87" s="229" t="s">
        <v>6146</v>
      </c>
      <c r="N87" s="229" t="s">
        <v>4663</v>
      </c>
      <c r="O87" s="230"/>
      <c r="P87" s="102" t="s">
        <v>538</v>
      </c>
      <c r="Q87" s="102" t="s">
        <v>4656</v>
      </c>
      <c r="U87" s="230"/>
      <c r="V87" s="230" t="str">
        <f>IF(ISNUMBER(MATCH(B87, 'Sprint 13'!B:B, 0)), "มาจาก Sprint 13", "")</f>
        <v/>
      </c>
      <c r="W87" s="230" t="str">
        <f t="array" ref="W87">IF(ISNUMBER(MATCH(B87, 'Sprint 13'!B:B, 0)), INDEX('Sprint 13'!J:J, MATCH(B87, 'Sprint 13'!B:B, 0)), "")</f>
        <v/>
      </c>
      <c r="X87" s="230"/>
      <c r="Y87" s="102" t="s">
        <v>4657</v>
      </c>
      <c r="Z87" s="102"/>
      <c r="AA87" s="102"/>
    </row>
    <row r="88">
      <c r="A88" s="102" t="s">
        <v>332</v>
      </c>
      <c r="B88" s="102" t="s">
        <v>4650</v>
      </c>
      <c r="C88" s="229" t="s">
        <v>4651</v>
      </c>
      <c r="D88" s="102" t="s">
        <v>4652</v>
      </c>
      <c r="E88" s="102" t="s">
        <v>353</v>
      </c>
      <c r="F88" s="102" t="s">
        <v>354</v>
      </c>
      <c r="G88" s="102" t="s">
        <v>316</v>
      </c>
      <c r="H88" s="102" t="s">
        <v>317</v>
      </c>
      <c r="I88" s="102" t="s">
        <v>284</v>
      </c>
      <c r="J88" s="102" t="s">
        <v>922</v>
      </c>
      <c r="L88" s="229" t="s">
        <v>4653</v>
      </c>
      <c r="M88" s="229" t="s">
        <v>6147</v>
      </c>
      <c r="N88" s="229" t="s">
        <v>4655</v>
      </c>
      <c r="O88" s="102"/>
      <c r="P88" s="102" t="s">
        <v>538</v>
      </c>
      <c r="Q88" s="102" t="s">
        <v>4656</v>
      </c>
      <c r="U88" s="102"/>
      <c r="V88" s="230" t="str">
        <f>IF(ISNUMBER(MATCH(B88, 'Sprint 13'!B:B, 0)), "มาจาก Sprint 13", "")</f>
        <v/>
      </c>
      <c r="W88" s="230" t="str">
        <f t="array" ref="W88">IF(ISNUMBER(MATCH(B88, 'Sprint 13'!B:B, 0)), INDEX('Sprint 13'!J:J, MATCH(B88, 'Sprint 13'!B:B, 0)), "")</f>
        <v/>
      </c>
      <c r="X88" s="102"/>
      <c r="Y88" s="102" t="s">
        <v>4657</v>
      </c>
    </row>
    <row r="89">
      <c r="A89" s="102" t="s">
        <v>332</v>
      </c>
      <c r="B89" s="102" t="s">
        <v>4658</v>
      </c>
      <c r="C89" s="229" t="s">
        <v>4659</v>
      </c>
      <c r="D89" s="102" t="s">
        <v>4660</v>
      </c>
      <c r="E89" s="102" t="s">
        <v>564</v>
      </c>
      <c r="F89" s="102" t="s">
        <v>565</v>
      </c>
      <c r="G89" s="102" t="s">
        <v>316</v>
      </c>
      <c r="H89" s="102" t="s">
        <v>317</v>
      </c>
      <c r="I89" s="102" t="s">
        <v>648</v>
      </c>
      <c r="J89" s="102" t="s">
        <v>922</v>
      </c>
      <c r="L89" s="229" t="s">
        <v>4661</v>
      </c>
      <c r="M89" s="229" t="s">
        <v>6148</v>
      </c>
      <c r="N89" s="229" t="s">
        <v>4663</v>
      </c>
      <c r="O89" s="102"/>
      <c r="P89" s="102" t="s">
        <v>481</v>
      </c>
      <c r="Q89" s="102" t="s">
        <v>4656</v>
      </c>
      <c r="R89" s="102" t="s">
        <v>367</v>
      </c>
      <c r="S89" s="102" t="s">
        <v>368</v>
      </c>
      <c r="U89" s="230"/>
      <c r="V89" s="230" t="str">
        <f>IF(ISNUMBER(MATCH(B89, 'Sprint 13'!B:B, 0)), "มาจาก Sprint 13", "")</f>
        <v/>
      </c>
      <c r="W89" s="230" t="str">
        <f t="array" ref="W89">IF(ISNUMBER(MATCH(B89, 'Sprint 13'!B:B, 0)), INDEX('Sprint 13'!J:J, MATCH(B89, 'Sprint 13'!B:B, 0)), "")</f>
        <v/>
      </c>
      <c r="X89" s="230"/>
      <c r="Y89" s="102" t="s">
        <v>4657</v>
      </c>
    </row>
    <row r="90">
      <c r="A90" s="102" t="s">
        <v>332</v>
      </c>
      <c r="B90" s="102" t="s">
        <v>6149</v>
      </c>
      <c r="C90" s="229" t="s">
        <v>6150</v>
      </c>
      <c r="D90" s="102" t="s">
        <v>6151</v>
      </c>
      <c r="E90" s="102" t="s">
        <v>353</v>
      </c>
      <c r="F90" s="102" t="s">
        <v>354</v>
      </c>
      <c r="G90" s="102" t="s">
        <v>316</v>
      </c>
      <c r="H90" s="102" t="s">
        <v>317</v>
      </c>
      <c r="I90" s="102" t="s">
        <v>284</v>
      </c>
      <c r="J90" s="102" t="s">
        <v>759</v>
      </c>
      <c r="L90" s="229" t="s">
        <v>6152</v>
      </c>
      <c r="M90" s="229" t="s">
        <v>6153</v>
      </c>
      <c r="O90" s="230"/>
      <c r="U90" s="230"/>
      <c r="V90" s="230" t="str">
        <f>IF(ISNUMBER(MATCH(B90, 'Sprint 13'!B:B, 0)), "มาจาก Sprint 13", "")</f>
        <v/>
      </c>
      <c r="W90" s="230" t="str">
        <f t="array" ref="W90">IF(ISNUMBER(MATCH(B90, 'Sprint 13'!B:B, 0)), INDEX('Sprint 13'!J:J, MATCH(B90, 'Sprint 13'!B:B, 0)), "")</f>
        <v/>
      </c>
      <c r="X90" s="230"/>
      <c r="Y90" s="102" t="s">
        <v>4657</v>
      </c>
      <c r="Z90" s="102"/>
    </row>
    <row r="91">
      <c r="A91" s="102" t="s">
        <v>276</v>
      </c>
      <c r="B91" s="102" t="s">
        <v>6154</v>
      </c>
      <c r="C91" s="229" t="s">
        <v>6155</v>
      </c>
      <c r="D91" s="102" t="s">
        <v>1567</v>
      </c>
      <c r="E91" s="102" t="s">
        <v>391</v>
      </c>
      <c r="F91" s="102" t="s">
        <v>392</v>
      </c>
      <c r="G91" s="102" t="s">
        <v>391</v>
      </c>
      <c r="H91" s="102" t="s">
        <v>392</v>
      </c>
      <c r="I91" s="102" t="s">
        <v>284</v>
      </c>
      <c r="J91" s="102" t="s">
        <v>34</v>
      </c>
      <c r="L91" s="229" t="s">
        <v>6156</v>
      </c>
      <c r="M91" s="229" t="s">
        <v>6157</v>
      </c>
      <c r="N91" s="102"/>
      <c r="O91" s="102"/>
      <c r="P91" s="102"/>
      <c r="Q91" s="102"/>
      <c r="U91" s="102"/>
      <c r="V91" s="230" t="str">
        <f>IF(ISNUMBER(MATCH(B91, 'Sprint 13'!B:B, 0)), "มาจาก Sprint 13", "")</f>
        <v>มาจาก Sprint 13</v>
      </c>
      <c r="W91" s="230" t="str">
        <f t="array" ref="W91">IF(ISNUMBER(MATCH(B91, 'Sprint 13'!B:B, 0)), INDEX('Sprint 13'!J:J, MATCH(B91, 'Sprint 13'!B:B, 0)), "")</f>
        <v>In Progress</v>
      </c>
      <c r="X91" s="102"/>
      <c r="Y91" s="102" t="s">
        <v>4954</v>
      </c>
      <c r="Z91" s="102" t="s">
        <v>4919</v>
      </c>
      <c r="AA91" s="102" t="s">
        <v>4657</v>
      </c>
    </row>
    <row r="92">
      <c r="A92" s="102" t="s">
        <v>310</v>
      </c>
      <c r="B92" s="102" t="s">
        <v>6158</v>
      </c>
      <c r="C92" s="229" t="s">
        <v>6159</v>
      </c>
      <c r="D92" s="102" t="s">
        <v>6160</v>
      </c>
      <c r="E92" s="102" t="s">
        <v>513</v>
      </c>
      <c r="F92" s="102" t="s">
        <v>514</v>
      </c>
      <c r="G92" s="102" t="s">
        <v>513</v>
      </c>
      <c r="H92" s="102" t="s">
        <v>514</v>
      </c>
      <c r="I92" s="102" t="s">
        <v>284</v>
      </c>
      <c r="J92" s="102" t="s">
        <v>26</v>
      </c>
      <c r="L92" s="229" t="s">
        <v>6161</v>
      </c>
      <c r="M92" s="229" t="s">
        <v>6003</v>
      </c>
      <c r="N92" s="229" t="s">
        <v>5788</v>
      </c>
      <c r="O92" s="102">
        <v>1.0</v>
      </c>
      <c r="P92" s="102" t="s">
        <v>593</v>
      </c>
      <c r="U92" s="102">
        <v>7200.0</v>
      </c>
      <c r="V92" s="230" t="str">
        <f>IF(ISNUMBER(MATCH(B92, 'Sprint 13'!B:B, 0)), "มาจาก Sprint 13", "")</f>
        <v/>
      </c>
      <c r="W92" s="230" t="str">
        <f t="array" ref="W92">IF(ISNUMBER(MATCH(B92, 'Sprint 13'!B:B, 0)), INDEX('Sprint 13'!J:J, MATCH(B92, 'Sprint 13'!B:B, 0)), "")</f>
        <v/>
      </c>
      <c r="X92" s="102"/>
      <c r="Y92" s="102" t="s">
        <v>5963</v>
      </c>
      <c r="Z92" s="102"/>
    </row>
    <row r="93">
      <c r="A93" s="102" t="s">
        <v>310</v>
      </c>
      <c r="B93" s="102" t="s">
        <v>6162</v>
      </c>
      <c r="C93" s="229" t="s">
        <v>6163</v>
      </c>
      <c r="D93" s="102" t="s">
        <v>6164</v>
      </c>
      <c r="E93" s="102" t="s">
        <v>513</v>
      </c>
      <c r="F93" s="102" t="s">
        <v>514</v>
      </c>
      <c r="G93" s="102" t="s">
        <v>513</v>
      </c>
      <c r="H93" s="102" t="s">
        <v>514</v>
      </c>
      <c r="I93" s="102" t="s">
        <v>284</v>
      </c>
      <c r="J93" s="102" t="s">
        <v>26</v>
      </c>
      <c r="L93" s="229" t="s">
        <v>6165</v>
      </c>
      <c r="M93" s="229" t="s">
        <v>6166</v>
      </c>
      <c r="O93" s="102">
        <v>1.0</v>
      </c>
      <c r="P93" s="102" t="s">
        <v>593</v>
      </c>
      <c r="U93" s="230"/>
      <c r="V93" s="230" t="str">
        <f>IF(ISNUMBER(MATCH(B93, 'Sprint 13'!B:B, 0)), "มาจาก Sprint 13", "")</f>
        <v/>
      </c>
      <c r="W93" s="230" t="str">
        <f t="array" ref="W93">IF(ISNUMBER(MATCH(B93, 'Sprint 13'!B:B, 0)), INDEX('Sprint 13'!J:J, MATCH(B93, 'Sprint 13'!B:B, 0)), "")</f>
        <v/>
      </c>
      <c r="X93" s="230"/>
      <c r="Y93" s="102" t="s">
        <v>5963</v>
      </c>
      <c r="Z93" s="102"/>
    </row>
    <row r="94">
      <c r="A94" s="102" t="s">
        <v>276</v>
      </c>
      <c r="B94" s="102" t="s">
        <v>6167</v>
      </c>
      <c r="C94" s="229" t="s">
        <v>6168</v>
      </c>
      <c r="D94" s="102" t="s">
        <v>5850</v>
      </c>
      <c r="E94" s="102" t="s">
        <v>3288</v>
      </c>
      <c r="F94" s="102" t="s">
        <v>3289</v>
      </c>
      <c r="G94" s="102" t="s">
        <v>3288</v>
      </c>
      <c r="H94" s="102" t="s">
        <v>3289</v>
      </c>
      <c r="I94" s="102" t="s">
        <v>284</v>
      </c>
      <c r="J94" s="102" t="s">
        <v>26</v>
      </c>
      <c r="L94" s="229" t="s">
        <v>6169</v>
      </c>
      <c r="M94" s="229" t="s">
        <v>6170</v>
      </c>
      <c r="N94" s="102"/>
      <c r="O94" s="102"/>
      <c r="P94" s="102"/>
      <c r="Q94" s="102"/>
      <c r="U94" s="230"/>
      <c r="V94" s="230" t="str">
        <f>IF(ISNUMBER(MATCH(B94, 'Sprint 13'!B:B, 0)), "มาจาก Sprint 13", "")</f>
        <v>มาจาก Sprint 13</v>
      </c>
      <c r="W94" s="230" t="str">
        <f t="array" ref="W94">IF(ISNUMBER(MATCH(B94, 'Sprint 13'!B:B, 0)), INDEX('Sprint 13'!J:J, MATCH(B94, 'Sprint 13'!B:B, 0)), "")</f>
        <v>Done</v>
      </c>
      <c r="X94" s="230"/>
      <c r="Y94" s="102" t="s">
        <v>4919</v>
      </c>
      <c r="Z94" s="102" t="s">
        <v>4657</v>
      </c>
    </row>
    <row r="95">
      <c r="A95" s="102" t="s">
        <v>4410</v>
      </c>
      <c r="B95" s="102" t="s">
        <v>6171</v>
      </c>
      <c r="C95" s="229" t="s">
        <v>6172</v>
      </c>
      <c r="D95" s="102" t="s">
        <v>6173</v>
      </c>
      <c r="E95" s="102" t="s">
        <v>556</v>
      </c>
      <c r="F95" s="102" t="s">
        <v>557</v>
      </c>
      <c r="G95" s="102" t="s">
        <v>556</v>
      </c>
      <c r="H95" s="102" t="s">
        <v>557</v>
      </c>
      <c r="I95" s="102" t="s">
        <v>284</v>
      </c>
      <c r="J95" s="102" t="s">
        <v>26</v>
      </c>
      <c r="L95" s="229" t="s">
        <v>6174</v>
      </c>
      <c r="M95" s="229" t="s">
        <v>6175</v>
      </c>
      <c r="N95" s="229" t="s">
        <v>6176</v>
      </c>
      <c r="O95" s="102">
        <v>1.0</v>
      </c>
      <c r="P95" s="102" t="s">
        <v>593</v>
      </c>
      <c r="Q95" s="102" t="s">
        <v>504</v>
      </c>
      <c r="U95" s="102">
        <v>0.0</v>
      </c>
      <c r="V95" s="230" t="str">
        <f>IF(ISNUMBER(MATCH(B95, 'Sprint 13'!B:B, 0)), "มาจาก Sprint 13", "")</f>
        <v>มาจาก Sprint 13</v>
      </c>
      <c r="W95" s="230" t="str">
        <f t="array" ref="W95">IF(ISNUMBER(MATCH(B95, 'Sprint 13'!B:B, 0)), INDEX('Sprint 13'!J:J, MATCH(B95, 'Sprint 13'!B:B, 0)), "")</f>
        <v>Ready To Test</v>
      </c>
      <c r="X95" s="102">
        <v>7200.0</v>
      </c>
      <c r="Y95" s="102" t="s">
        <v>4919</v>
      </c>
      <c r="Z95" s="102" t="s">
        <v>4657</v>
      </c>
    </row>
    <row r="96">
      <c r="A96" s="102" t="s">
        <v>332</v>
      </c>
      <c r="B96" s="102" t="s">
        <v>5832</v>
      </c>
      <c r="C96" s="229" t="s">
        <v>5833</v>
      </c>
      <c r="D96" s="102" t="s">
        <v>5834</v>
      </c>
      <c r="E96" s="102" t="s">
        <v>353</v>
      </c>
      <c r="F96" s="102" t="s">
        <v>354</v>
      </c>
      <c r="G96" s="102" t="s">
        <v>391</v>
      </c>
      <c r="H96" s="102" t="s">
        <v>392</v>
      </c>
      <c r="I96" s="102" t="s">
        <v>284</v>
      </c>
      <c r="J96" s="102" t="s">
        <v>922</v>
      </c>
      <c r="L96" s="229" t="s">
        <v>5835</v>
      </c>
      <c r="M96" s="229" t="s">
        <v>5836</v>
      </c>
      <c r="O96" s="230"/>
      <c r="U96" s="230"/>
      <c r="V96" s="230" t="str">
        <f>IF(ISNUMBER(MATCH(B96, 'Sprint 13'!B:B, 0)), "มาจาก Sprint 13", "")</f>
        <v>มาจาก Sprint 13</v>
      </c>
      <c r="W96" s="230" t="str">
        <f t="array" ref="W96">IF(ISNUMBER(MATCH(B96, 'Sprint 13'!B:B, 0)), INDEX('Sprint 13'!J:J, MATCH(B96, 'Sprint 13'!B:B, 0)), "")</f>
        <v>Resolved</v>
      </c>
      <c r="X96" s="230"/>
      <c r="Y96" s="102" t="s">
        <v>5837</v>
      </c>
      <c r="Z96" s="102" t="s">
        <v>5838</v>
      </c>
      <c r="AA96" s="102" t="s">
        <v>5839</v>
      </c>
    </row>
    <row r="97">
      <c r="A97" s="102" t="s">
        <v>332</v>
      </c>
      <c r="B97" s="102" t="s">
        <v>4915</v>
      </c>
      <c r="C97" s="229" t="s">
        <v>4916</v>
      </c>
      <c r="D97" s="102" t="s">
        <v>4917</v>
      </c>
      <c r="E97" s="102" t="s">
        <v>282</v>
      </c>
      <c r="F97" s="102" t="s">
        <v>283</v>
      </c>
      <c r="G97" s="102" t="s">
        <v>282</v>
      </c>
      <c r="H97" s="102" t="s">
        <v>283</v>
      </c>
      <c r="I97" s="102" t="s">
        <v>284</v>
      </c>
      <c r="J97" s="102" t="s">
        <v>2415</v>
      </c>
      <c r="L97" s="229" t="s">
        <v>4918</v>
      </c>
      <c r="M97" s="229" t="s">
        <v>5740</v>
      </c>
      <c r="N97" s="102"/>
      <c r="O97" s="102">
        <v>2.0</v>
      </c>
      <c r="P97" s="102"/>
      <c r="Q97" s="102"/>
      <c r="R97" s="102"/>
      <c r="S97" s="102"/>
      <c r="U97" s="230"/>
      <c r="V97" s="230" t="str">
        <f>IF(ISNUMBER(MATCH(B97, 'Sprint 13'!B:B, 0)), "มาจาก Sprint 13", "")</f>
        <v>มาจาก Sprint 13</v>
      </c>
      <c r="W97" s="230" t="str">
        <f t="array" ref="W97">IF(ISNUMBER(MATCH(B97, 'Sprint 13'!B:B, 0)), INDEX('Sprint 13'!J:J, MATCH(B97, 'Sprint 13'!B:B, 0)), "")</f>
        <v>Fixing</v>
      </c>
      <c r="X97" s="230"/>
      <c r="Y97" s="102" t="s">
        <v>4919</v>
      </c>
      <c r="Z97" s="102" t="s">
        <v>4657</v>
      </c>
      <c r="AA97" s="102" t="s">
        <v>2266</v>
      </c>
    </row>
    <row r="98">
      <c r="A98" s="102" t="s">
        <v>310</v>
      </c>
      <c r="B98" s="102" t="s">
        <v>6177</v>
      </c>
      <c r="C98" s="229" t="s">
        <v>6178</v>
      </c>
      <c r="D98" s="102" t="s">
        <v>6179</v>
      </c>
      <c r="E98" s="102" t="s">
        <v>282</v>
      </c>
      <c r="F98" s="102" t="s">
        <v>283</v>
      </c>
      <c r="G98" s="102" t="s">
        <v>316</v>
      </c>
      <c r="H98" s="102" t="s">
        <v>317</v>
      </c>
      <c r="I98" s="102" t="s">
        <v>515</v>
      </c>
      <c r="J98" s="102" t="s">
        <v>26</v>
      </c>
      <c r="L98" s="229" t="s">
        <v>6180</v>
      </c>
      <c r="M98" s="229" t="s">
        <v>6157</v>
      </c>
      <c r="N98" s="229" t="s">
        <v>6176</v>
      </c>
      <c r="O98" s="102">
        <v>5.0</v>
      </c>
      <c r="P98" s="102" t="s">
        <v>4656</v>
      </c>
      <c r="Q98" s="102" t="s">
        <v>783</v>
      </c>
      <c r="R98" s="102"/>
      <c r="S98" s="102"/>
      <c r="T98" s="102"/>
      <c r="U98" s="230"/>
      <c r="V98" s="230" t="str">
        <f>IF(ISNUMBER(MATCH(B98, 'Sprint 13'!B:B, 0)), "มาจาก Sprint 13", "")</f>
        <v>มาจาก Sprint 13</v>
      </c>
      <c r="W98" s="230" t="str">
        <f t="array" ref="W98">IF(ISNUMBER(MATCH(B98, 'Sprint 13'!B:B, 0)), INDEX('Sprint 13'!J:J, MATCH(B98, 'Sprint 13'!B:B, 0)), "")</f>
        <v>In Review</v>
      </c>
      <c r="X98" s="230"/>
      <c r="Y98" s="102" t="s">
        <v>4919</v>
      </c>
      <c r="Z98" s="102" t="s">
        <v>4657</v>
      </c>
    </row>
    <row r="99">
      <c r="A99" s="102" t="s">
        <v>310</v>
      </c>
      <c r="B99" s="102" t="s">
        <v>6181</v>
      </c>
      <c r="C99" s="229" t="s">
        <v>6182</v>
      </c>
      <c r="D99" s="102" t="s">
        <v>6183</v>
      </c>
      <c r="E99" s="102" t="s">
        <v>282</v>
      </c>
      <c r="F99" s="102" t="s">
        <v>283</v>
      </c>
      <c r="G99" s="102" t="s">
        <v>316</v>
      </c>
      <c r="H99" s="102" t="s">
        <v>317</v>
      </c>
      <c r="I99" s="102" t="s">
        <v>515</v>
      </c>
      <c r="J99" s="102" t="s">
        <v>26</v>
      </c>
      <c r="L99" s="229" t="s">
        <v>6180</v>
      </c>
      <c r="M99" s="229" t="s">
        <v>6184</v>
      </c>
      <c r="N99" s="229" t="s">
        <v>6176</v>
      </c>
      <c r="O99" s="102">
        <v>5.0</v>
      </c>
      <c r="P99" s="102" t="s">
        <v>4656</v>
      </c>
      <c r="Q99" s="102" t="s">
        <v>783</v>
      </c>
      <c r="R99" s="102"/>
      <c r="S99" s="102"/>
      <c r="U99" s="102">
        <v>0.0</v>
      </c>
      <c r="V99" s="230" t="str">
        <f>IF(ISNUMBER(MATCH(B99, 'Sprint 13'!B:B, 0)), "มาจาก Sprint 13", "")</f>
        <v>มาจาก Sprint 13</v>
      </c>
      <c r="W99" s="230" t="str">
        <f t="array" ref="W99">IF(ISNUMBER(MATCH(B99, 'Sprint 13'!B:B, 0)), INDEX('Sprint 13'!J:J, MATCH(B99, 'Sprint 13'!B:B, 0)), "")</f>
        <v>In Review</v>
      </c>
      <c r="X99" s="102">
        <v>1800.0</v>
      </c>
      <c r="Y99" s="102" t="s">
        <v>4919</v>
      </c>
      <c r="Z99" s="102" t="s">
        <v>4657</v>
      </c>
    </row>
    <row r="100">
      <c r="A100" s="102" t="s">
        <v>332</v>
      </c>
      <c r="B100" s="102" t="s">
        <v>5841</v>
      </c>
      <c r="C100" s="229" t="s">
        <v>5842</v>
      </c>
      <c r="D100" s="102" t="s">
        <v>5843</v>
      </c>
      <c r="E100" s="102" t="s">
        <v>353</v>
      </c>
      <c r="F100" s="102" t="s">
        <v>354</v>
      </c>
      <c r="G100" s="102" t="s">
        <v>5844</v>
      </c>
      <c r="H100" s="102" t="s">
        <v>5845</v>
      </c>
      <c r="I100" s="102" t="s">
        <v>284</v>
      </c>
      <c r="J100" s="102" t="s">
        <v>922</v>
      </c>
      <c r="L100" s="229" t="s">
        <v>5846</v>
      </c>
      <c r="M100" s="229" t="s">
        <v>6185</v>
      </c>
      <c r="O100" s="230"/>
      <c r="U100" s="230"/>
      <c r="V100" s="230" t="str">
        <f>IF(ISNUMBER(MATCH(B100, 'Sprint 13'!B:B, 0)), "มาจาก Sprint 13", "")</f>
        <v>มาจาก Sprint 13</v>
      </c>
      <c r="W100" s="230" t="str">
        <f t="array" ref="W100">IF(ISNUMBER(MATCH(B100, 'Sprint 13'!B:B, 0)), INDEX('Sprint 13'!J:J, MATCH(B100, 'Sprint 13'!B:B, 0)), "")</f>
        <v>Resolved</v>
      </c>
      <c r="X100" s="230"/>
      <c r="Y100" s="102" t="s">
        <v>2196</v>
      </c>
      <c r="Z100" s="102" t="s">
        <v>2185</v>
      </c>
    </row>
    <row r="101">
      <c r="A101" s="102" t="s">
        <v>332</v>
      </c>
      <c r="B101" s="102" t="s">
        <v>6186</v>
      </c>
      <c r="C101" s="229" t="s">
        <v>6187</v>
      </c>
      <c r="D101" s="102" t="s">
        <v>6188</v>
      </c>
      <c r="E101" s="102" t="s">
        <v>353</v>
      </c>
      <c r="F101" s="102" t="s">
        <v>354</v>
      </c>
      <c r="G101" s="102" t="s">
        <v>316</v>
      </c>
      <c r="H101" s="102" t="s">
        <v>317</v>
      </c>
      <c r="I101" s="102" t="s">
        <v>284</v>
      </c>
      <c r="J101" s="102" t="s">
        <v>759</v>
      </c>
      <c r="L101" s="229" t="s">
        <v>6189</v>
      </c>
      <c r="M101" s="229" t="s">
        <v>6190</v>
      </c>
      <c r="N101" s="229" t="s">
        <v>5788</v>
      </c>
      <c r="O101" s="230"/>
      <c r="P101" s="102" t="s">
        <v>322</v>
      </c>
      <c r="Q101" s="102" t="s">
        <v>538</v>
      </c>
      <c r="R101" s="102" t="s">
        <v>4656</v>
      </c>
      <c r="S101" s="102" t="s">
        <v>367</v>
      </c>
      <c r="U101" s="230"/>
      <c r="V101" s="230" t="str">
        <f>IF(ISNUMBER(MATCH(B101, 'Sprint 13'!B:B, 0)), "มาจาก Sprint 13", "")</f>
        <v/>
      </c>
      <c r="W101" s="230" t="str">
        <f t="array" ref="W101">IF(ISNUMBER(MATCH(B101, 'Sprint 13'!B:B, 0)), INDEX('Sprint 13'!J:J, MATCH(B101, 'Sprint 13'!B:B, 0)), "")</f>
        <v/>
      </c>
      <c r="X101" s="230"/>
      <c r="Y101" s="102" t="s">
        <v>4657</v>
      </c>
      <c r="Z101" s="102"/>
    </row>
    <row r="102">
      <c r="A102" s="102" t="s">
        <v>332</v>
      </c>
      <c r="B102" s="102" t="s">
        <v>6191</v>
      </c>
      <c r="C102" s="229" t="s">
        <v>6192</v>
      </c>
      <c r="D102" s="102" t="s">
        <v>6193</v>
      </c>
      <c r="E102" s="102" t="s">
        <v>282</v>
      </c>
      <c r="F102" s="102" t="s">
        <v>283</v>
      </c>
      <c r="G102" s="102" t="s">
        <v>316</v>
      </c>
      <c r="H102" s="102" t="s">
        <v>317</v>
      </c>
      <c r="I102" s="102" t="s">
        <v>284</v>
      </c>
      <c r="J102" s="102" t="s">
        <v>336</v>
      </c>
      <c r="L102" s="229" t="s">
        <v>6194</v>
      </c>
      <c r="M102" s="229" t="s">
        <v>6195</v>
      </c>
      <c r="O102" s="230"/>
      <c r="P102" s="102" t="s">
        <v>481</v>
      </c>
      <c r="Q102" s="102" t="s">
        <v>1756</v>
      </c>
      <c r="R102" s="102" t="s">
        <v>4656</v>
      </c>
      <c r="S102" s="102" t="s">
        <v>367</v>
      </c>
      <c r="T102" s="102" t="s">
        <v>368</v>
      </c>
      <c r="U102" s="230"/>
      <c r="V102" s="230" t="str">
        <f>IF(ISNUMBER(MATCH(B102, 'Sprint 13'!B:B, 0)), "มาจาก Sprint 13", "")</f>
        <v/>
      </c>
      <c r="W102" s="230" t="str">
        <f t="array" ref="W102">IF(ISNUMBER(MATCH(B102, 'Sprint 13'!B:B, 0)), INDEX('Sprint 13'!J:J, MATCH(B102, 'Sprint 13'!B:B, 0)), "")</f>
        <v/>
      </c>
      <c r="X102" s="230"/>
      <c r="Y102" s="102" t="s">
        <v>4657</v>
      </c>
      <c r="Z102" s="102"/>
    </row>
    <row r="103">
      <c r="A103" s="102" t="s">
        <v>332</v>
      </c>
      <c r="B103" s="102" t="s">
        <v>6196</v>
      </c>
      <c r="C103" s="229" t="s">
        <v>6197</v>
      </c>
      <c r="D103" s="102" t="s">
        <v>6198</v>
      </c>
      <c r="E103" s="102" t="s">
        <v>304</v>
      </c>
      <c r="F103" s="102" t="s">
        <v>305</v>
      </c>
      <c r="G103" s="102" t="s">
        <v>316</v>
      </c>
      <c r="H103" s="102" t="s">
        <v>317</v>
      </c>
      <c r="I103" s="102" t="s">
        <v>284</v>
      </c>
      <c r="J103" s="102" t="s">
        <v>922</v>
      </c>
      <c r="L103" s="229" t="s">
        <v>6199</v>
      </c>
      <c r="M103" s="229" t="s">
        <v>6200</v>
      </c>
      <c r="N103" s="229" t="s">
        <v>5788</v>
      </c>
      <c r="O103" s="230"/>
      <c r="P103" s="102" t="s">
        <v>27</v>
      </c>
      <c r="Q103" s="102" t="s">
        <v>4656</v>
      </c>
      <c r="R103" s="102" t="s">
        <v>367</v>
      </c>
      <c r="S103" s="102" t="s">
        <v>474</v>
      </c>
      <c r="U103" s="230"/>
      <c r="V103" s="230" t="str">
        <f>IF(ISNUMBER(MATCH(B103, 'Sprint 13'!B:B, 0)), "มาจาก Sprint 13", "")</f>
        <v/>
      </c>
      <c r="W103" s="230" t="str">
        <f t="array" ref="W103">IF(ISNUMBER(MATCH(B103, 'Sprint 13'!B:B, 0)), INDEX('Sprint 13'!J:J, MATCH(B103, 'Sprint 13'!B:B, 0)), "")</f>
        <v/>
      </c>
      <c r="X103" s="230"/>
      <c r="Y103" s="102" t="s">
        <v>4657</v>
      </c>
      <c r="Z103" s="102"/>
    </row>
    <row r="104">
      <c r="A104" s="102" t="s">
        <v>276</v>
      </c>
      <c r="B104" s="102" t="s">
        <v>5848</v>
      </c>
      <c r="C104" s="229" t="s">
        <v>5849</v>
      </c>
      <c r="D104" s="102" t="s">
        <v>5850</v>
      </c>
      <c r="E104" s="102" t="s">
        <v>3288</v>
      </c>
      <c r="F104" s="102" t="s">
        <v>3289</v>
      </c>
      <c r="G104" s="102" t="s">
        <v>3288</v>
      </c>
      <c r="H104" s="102" t="s">
        <v>3289</v>
      </c>
      <c r="I104" s="102" t="s">
        <v>284</v>
      </c>
      <c r="J104" s="102" t="s">
        <v>63</v>
      </c>
      <c r="L104" s="229" t="s">
        <v>5851</v>
      </c>
      <c r="M104" s="229" t="s">
        <v>5851</v>
      </c>
      <c r="O104" s="230"/>
      <c r="U104" s="230"/>
      <c r="V104" s="230" t="str">
        <f>IF(ISNUMBER(MATCH(B104, 'Sprint 13'!B:B, 0)), "มาจาก Sprint 13", "")</f>
        <v>มาจาก Sprint 13</v>
      </c>
      <c r="W104" s="230" t="str">
        <f t="array" ref="W104">IF(ISNUMBER(MATCH(B104, 'Sprint 13'!B:B, 0)), INDEX('Sprint 13'!J:J, MATCH(B104, 'Sprint 13'!B:B, 0)), "")</f>
        <v>To Do</v>
      </c>
      <c r="X104" s="230"/>
      <c r="Y104" s="102" t="s">
        <v>4919</v>
      </c>
      <c r="Z104" s="102" t="s">
        <v>4657</v>
      </c>
      <c r="AA104" s="102" t="s">
        <v>2266</v>
      </c>
    </row>
    <row r="105">
      <c r="A105" s="102" t="s">
        <v>276</v>
      </c>
      <c r="B105" s="102" t="s">
        <v>5852</v>
      </c>
      <c r="C105" s="229" t="s">
        <v>5853</v>
      </c>
      <c r="D105" s="102" t="s">
        <v>5850</v>
      </c>
      <c r="E105" s="102" t="s">
        <v>3288</v>
      </c>
      <c r="F105" s="102" t="s">
        <v>3289</v>
      </c>
      <c r="G105" s="102" t="s">
        <v>3288</v>
      </c>
      <c r="H105" s="102" t="s">
        <v>3289</v>
      </c>
      <c r="I105" s="102" t="s">
        <v>284</v>
      </c>
      <c r="J105" s="102" t="s">
        <v>63</v>
      </c>
      <c r="L105" s="229" t="s">
        <v>5854</v>
      </c>
      <c r="M105" s="229" t="s">
        <v>5854</v>
      </c>
      <c r="O105" s="230"/>
      <c r="U105" s="230"/>
      <c r="V105" s="230" t="str">
        <f>IF(ISNUMBER(MATCH(B105, 'Sprint 13'!B:B, 0)), "มาจาก Sprint 13", "")</f>
        <v>มาจาก Sprint 13</v>
      </c>
      <c r="W105" s="230" t="str">
        <f t="array" ref="W105">IF(ISNUMBER(MATCH(B105, 'Sprint 13'!B:B, 0)), INDEX('Sprint 13'!J:J, MATCH(B105, 'Sprint 13'!B:B, 0)), "")</f>
        <v>To Do</v>
      </c>
      <c r="X105" s="230"/>
      <c r="Y105" s="102" t="s">
        <v>4919</v>
      </c>
      <c r="Z105" s="102" t="s">
        <v>4657</v>
      </c>
      <c r="AA105" s="102" t="s">
        <v>2266</v>
      </c>
    </row>
    <row r="106">
      <c r="A106" s="102" t="s">
        <v>276</v>
      </c>
      <c r="B106" s="102" t="s">
        <v>6201</v>
      </c>
      <c r="C106" s="229" t="s">
        <v>6202</v>
      </c>
      <c r="D106" s="102" t="s">
        <v>5850</v>
      </c>
      <c r="E106" s="102" t="s">
        <v>3288</v>
      </c>
      <c r="F106" s="102" t="s">
        <v>3289</v>
      </c>
      <c r="G106" s="102" t="s">
        <v>3288</v>
      </c>
      <c r="H106" s="102" t="s">
        <v>3289</v>
      </c>
      <c r="I106" s="102" t="s">
        <v>284</v>
      </c>
      <c r="J106" s="102" t="s">
        <v>26</v>
      </c>
      <c r="L106" s="229" t="s">
        <v>5857</v>
      </c>
      <c r="M106" s="229" t="s">
        <v>6203</v>
      </c>
      <c r="O106" s="230"/>
      <c r="U106" s="230"/>
      <c r="V106" s="230" t="str">
        <f>IF(ISNUMBER(MATCH(B106, 'Sprint 13'!B:B, 0)), "มาจาก Sprint 13", "")</f>
        <v>มาจาก Sprint 13</v>
      </c>
      <c r="W106" s="230" t="str">
        <f t="array" ref="W106">IF(ISNUMBER(MATCH(B106, 'Sprint 13'!B:B, 0)), INDEX('Sprint 13'!J:J, MATCH(B106, 'Sprint 13'!B:B, 0)), "")</f>
        <v>Done</v>
      </c>
      <c r="X106" s="230"/>
      <c r="Y106" s="102" t="s">
        <v>4919</v>
      </c>
      <c r="Z106" s="102" t="s">
        <v>4657</v>
      </c>
    </row>
    <row r="107">
      <c r="A107" s="102" t="s">
        <v>276</v>
      </c>
      <c r="B107" s="102" t="s">
        <v>6204</v>
      </c>
      <c r="C107" s="229" t="s">
        <v>6205</v>
      </c>
      <c r="D107" s="102" t="s">
        <v>5850</v>
      </c>
      <c r="E107" s="102" t="s">
        <v>3288</v>
      </c>
      <c r="F107" s="102" t="s">
        <v>3289</v>
      </c>
      <c r="G107" s="102" t="s">
        <v>3288</v>
      </c>
      <c r="H107" s="102" t="s">
        <v>3289</v>
      </c>
      <c r="I107" s="102" t="s">
        <v>284</v>
      </c>
      <c r="J107" s="102" t="s">
        <v>26</v>
      </c>
      <c r="L107" s="229" t="s">
        <v>5857</v>
      </c>
      <c r="M107" s="229" t="s">
        <v>6206</v>
      </c>
      <c r="O107" s="230"/>
      <c r="U107" s="230"/>
      <c r="V107" s="230" t="str">
        <f>IF(ISNUMBER(MATCH(B107, 'Sprint 13'!B:B, 0)), "มาจาก Sprint 13", "")</f>
        <v>มาจาก Sprint 13</v>
      </c>
      <c r="W107" s="230" t="str">
        <f t="array" ref="W107">IF(ISNUMBER(MATCH(B107, 'Sprint 13'!B:B, 0)), INDEX('Sprint 13'!J:J, MATCH(B107, 'Sprint 13'!B:B, 0)), "")</f>
        <v>Done</v>
      </c>
      <c r="X107" s="230"/>
      <c r="Y107" s="102" t="s">
        <v>4919</v>
      </c>
      <c r="Z107" s="102" t="s">
        <v>4657</v>
      </c>
    </row>
    <row r="108">
      <c r="A108" s="102" t="s">
        <v>276</v>
      </c>
      <c r="B108" s="102" t="s">
        <v>6207</v>
      </c>
      <c r="C108" s="229" t="s">
        <v>6208</v>
      </c>
      <c r="D108" s="102" t="s">
        <v>5850</v>
      </c>
      <c r="E108" s="102" t="s">
        <v>3288</v>
      </c>
      <c r="F108" s="102" t="s">
        <v>3289</v>
      </c>
      <c r="G108" s="102" t="s">
        <v>3288</v>
      </c>
      <c r="H108" s="102" t="s">
        <v>3289</v>
      </c>
      <c r="I108" s="102" t="s">
        <v>284</v>
      </c>
      <c r="J108" s="102" t="s">
        <v>26</v>
      </c>
      <c r="L108" s="229" t="s">
        <v>5857</v>
      </c>
      <c r="M108" s="229" t="s">
        <v>6209</v>
      </c>
      <c r="O108" s="230"/>
      <c r="U108" s="230"/>
      <c r="V108" s="230" t="str">
        <f>IF(ISNUMBER(MATCH(B108, 'Sprint 13'!B:B, 0)), "มาจาก Sprint 13", "")</f>
        <v>มาจาก Sprint 13</v>
      </c>
      <c r="W108" s="230" t="str">
        <f t="array" ref="W108">IF(ISNUMBER(MATCH(B108, 'Sprint 13'!B:B, 0)), INDEX('Sprint 13'!J:J, MATCH(B108, 'Sprint 13'!B:B, 0)), "")</f>
        <v>Done</v>
      </c>
      <c r="X108" s="230"/>
      <c r="Y108" s="102" t="s">
        <v>4919</v>
      </c>
      <c r="Z108" s="102" t="s">
        <v>4657</v>
      </c>
    </row>
    <row r="109">
      <c r="A109" s="102" t="s">
        <v>276</v>
      </c>
      <c r="B109" s="102" t="s">
        <v>5855</v>
      </c>
      <c r="C109" s="229" t="s">
        <v>5856</v>
      </c>
      <c r="D109" s="102" t="s">
        <v>5850</v>
      </c>
      <c r="E109" s="102" t="s">
        <v>3288</v>
      </c>
      <c r="F109" s="102" t="s">
        <v>3289</v>
      </c>
      <c r="G109" s="102" t="s">
        <v>3288</v>
      </c>
      <c r="H109" s="102" t="s">
        <v>3289</v>
      </c>
      <c r="I109" s="102" t="s">
        <v>284</v>
      </c>
      <c r="J109" s="102" t="s">
        <v>26</v>
      </c>
      <c r="L109" s="229" t="s">
        <v>5857</v>
      </c>
      <c r="M109" s="229" t="s">
        <v>5858</v>
      </c>
      <c r="O109" s="230"/>
      <c r="U109" s="230"/>
      <c r="V109" s="230" t="str">
        <f>IF(ISNUMBER(MATCH(B109, 'Sprint 13'!B:B, 0)), "มาจาก Sprint 13", "")</f>
        <v>มาจาก Sprint 13</v>
      </c>
      <c r="W109" s="230" t="str">
        <f t="array" ref="W109">IF(ISNUMBER(MATCH(B109, 'Sprint 13'!B:B, 0)), INDEX('Sprint 13'!J:J, MATCH(B109, 'Sprint 13'!B:B, 0)), "")</f>
        <v>In Progress</v>
      </c>
      <c r="X109" s="230"/>
      <c r="Y109" s="102" t="s">
        <v>4919</v>
      </c>
      <c r="Z109" s="102" t="s">
        <v>4657</v>
      </c>
      <c r="AA109" s="102" t="s">
        <v>2266</v>
      </c>
    </row>
    <row r="110">
      <c r="A110" s="102" t="s">
        <v>276</v>
      </c>
      <c r="B110" s="102" t="s">
        <v>6210</v>
      </c>
      <c r="C110" s="229" t="s">
        <v>6211</v>
      </c>
      <c r="D110" s="102" t="s">
        <v>5850</v>
      </c>
      <c r="E110" s="102" t="s">
        <v>3288</v>
      </c>
      <c r="F110" s="102" t="s">
        <v>3289</v>
      </c>
      <c r="G110" s="102" t="s">
        <v>3288</v>
      </c>
      <c r="H110" s="102" t="s">
        <v>3289</v>
      </c>
      <c r="I110" s="102" t="s">
        <v>284</v>
      </c>
      <c r="J110" s="102" t="s">
        <v>26</v>
      </c>
      <c r="L110" s="229" t="s">
        <v>6212</v>
      </c>
      <c r="M110" s="229" t="s">
        <v>6213</v>
      </c>
      <c r="N110" s="102"/>
      <c r="O110" s="102"/>
      <c r="U110" s="230"/>
      <c r="V110" s="230" t="str">
        <f>IF(ISNUMBER(MATCH(B110, 'Sprint 13'!B:B, 0)), "มาจาก Sprint 13", "")</f>
        <v>มาจาก Sprint 13</v>
      </c>
      <c r="W110" s="230" t="str">
        <f t="array" ref="W110">IF(ISNUMBER(MATCH(B110, 'Sprint 13'!B:B, 0)), INDEX('Sprint 13'!J:J, MATCH(B110, 'Sprint 13'!B:B, 0)), "")</f>
        <v>Done</v>
      </c>
      <c r="X110" s="230"/>
      <c r="Y110" s="102" t="s">
        <v>4919</v>
      </c>
      <c r="Z110" s="102" t="s">
        <v>4657</v>
      </c>
    </row>
    <row r="111">
      <c r="A111" s="102" t="s">
        <v>276</v>
      </c>
      <c r="B111" s="102" t="s">
        <v>6214</v>
      </c>
      <c r="C111" s="229" t="s">
        <v>6215</v>
      </c>
      <c r="D111" s="102" t="s">
        <v>5850</v>
      </c>
      <c r="E111" s="102" t="s">
        <v>3288</v>
      </c>
      <c r="F111" s="102" t="s">
        <v>3289</v>
      </c>
      <c r="G111" s="102" t="s">
        <v>3288</v>
      </c>
      <c r="H111" s="102" t="s">
        <v>3289</v>
      </c>
      <c r="I111" s="102" t="s">
        <v>284</v>
      </c>
      <c r="J111" s="102" t="s">
        <v>26</v>
      </c>
      <c r="L111" s="229" t="s">
        <v>6212</v>
      </c>
      <c r="M111" s="229" t="s">
        <v>6216</v>
      </c>
      <c r="O111" s="102"/>
      <c r="U111" s="230"/>
      <c r="V111" s="230" t="str">
        <f>IF(ISNUMBER(MATCH(B111, 'Sprint 13'!B:B, 0)), "มาจาก Sprint 13", "")</f>
        <v>มาจาก Sprint 13</v>
      </c>
      <c r="W111" s="230" t="str">
        <f t="array" ref="W111">IF(ISNUMBER(MATCH(B111, 'Sprint 13'!B:B, 0)), INDEX('Sprint 13'!J:J, MATCH(B111, 'Sprint 13'!B:B, 0)), "")</f>
        <v>Done</v>
      </c>
      <c r="X111" s="230"/>
      <c r="Y111" s="102" t="s">
        <v>4919</v>
      </c>
      <c r="Z111" s="102" t="s">
        <v>4657</v>
      </c>
    </row>
    <row r="112">
      <c r="A112" s="102" t="s">
        <v>276</v>
      </c>
      <c r="B112" s="102" t="s">
        <v>6217</v>
      </c>
      <c r="C112" s="229" t="s">
        <v>6218</v>
      </c>
      <c r="D112" s="102" t="s">
        <v>5850</v>
      </c>
      <c r="E112" s="102" t="s">
        <v>3288</v>
      </c>
      <c r="F112" s="102" t="s">
        <v>3289</v>
      </c>
      <c r="G112" s="102" t="s">
        <v>3288</v>
      </c>
      <c r="H112" s="102" t="s">
        <v>3289</v>
      </c>
      <c r="I112" s="102" t="s">
        <v>284</v>
      </c>
      <c r="J112" s="102" t="s">
        <v>26</v>
      </c>
      <c r="L112" s="229" t="s">
        <v>6212</v>
      </c>
      <c r="M112" s="229" t="s">
        <v>5851</v>
      </c>
      <c r="O112" s="230"/>
      <c r="U112" s="230"/>
      <c r="V112" s="230" t="str">
        <f>IF(ISNUMBER(MATCH(B112, 'Sprint 13'!B:B, 0)), "มาจาก Sprint 13", "")</f>
        <v>มาจาก Sprint 13</v>
      </c>
      <c r="W112" s="230" t="str">
        <f t="array" ref="W112">IF(ISNUMBER(MATCH(B112, 'Sprint 13'!B:B, 0)), INDEX('Sprint 13'!J:J, MATCH(B112, 'Sprint 13'!B:B, 0)), "")</f>
        <v>Done</v>
      </c>
      <c r="X112" s="230"/>
      <c r="Y112" s="102" t="s">
        <v>4919</v>
      </c>
      <c r="Z112" s="102" t="s">
        <v>4657</v>
      </c>
    </row>
    <row r="113">
      <c r="A113" s="102" t="s">
        <v>276</v>
      </c>
      <c r="B113" s="102" t="s">
        <v>6219</v>
      </c>
      <c r="C113" s="229" t="s">
        <v>6220</v>
      </c>
      <c r="D113" s="102" t="s">
        <v>5850</v>
      </c>
      <c r="E113" s="102" t="s">
        <v>3288</v>
      </c>
      <c r="F113" s="102" t="s">
        <v>3289</v>
      </c>
      <c r="G113" s="102" t="s">
        <v>3288</v>
      </c>
      <c r="H113" s="102" t="s">
        <v>3289</v>
      </c>
      <c r="I113" s="102" t="s">
        <v>284</v>
      </c>
      <c r="J113" s="102" t="s">
        <v>26</v>
      </c>
      <c r="L113" s="229" t="s">
        <v>6212</v>
      </c>
      <c r="M113" s="229" t="s">
        <v>5851</v>
      </c>
      <c r="O113" s="230"/>
      <c r="U113" s="230"/>
      <c r="V113" s="230" t="str">
        <f>IF(ISNUMBER(MATCH(B113, 'Sprint 13'!B:B, 0)), "มาจาก Sprint 13", "")</f>
        <v>มาจาก Sprint 13</v>
      </c>
      <c r="W113" s="230" t="str">
        <f t="array" ref="W113">IF(ISNUMBER(MATCH(B113, 'Sprint 13'!B:B, 0)), INDEX('Sprint 13'!J:J, MATCH(B113, 'Sprint 13'!B:B, 0)), "")</f>
        <v>Done</v>
      </c>
      <c r="X113" s="230"/>
      <c r="Y113" s="102" t="s">
        <v>4919</v>
      </c>
      <c r="Z113" s="102" t="s">
        <v>4657</v>
      </c>
      <c r="AA113" s="102"/>
    </row>
    <row r="114">
      <c r="A114" s="102" t="s">
        <v>332</v>
      </c>
      <c r="B114" s="102" t="s">
        <v>6221</v>
      </c>
      <c r="C114" s="229" t="s">
        <v>6222</v>
      </c>
      <c r="D114" s="102" t="s">
        <v>6223</v>
      </c>
      <c r="E114" s="102" t="s">
        <v>328</v>
      </c>
      <c r="F114" s="102" t="s">
        <v>329</v>
      </c>
      <c r="G114" s="102" t="s">
        <v>521</v>
      </c>
      <c r="H114" s="102" t="s">
        <v>522</v>
      </c>
      <c r="I114" s="102" t="s">
        <v>284</v>
      </c>
      <c r="J114" s="102" t="s">
        <v>336</v>
      </c>
      <c r="L114" s="229" t="s">
        <v>6224</v>
      </c>
      <c r="M114" s="229" t="s">
        <v>6145</v>
      </c>
      <c r="N114" s="229" t="s">
        <v>5816</v>
      </c>
      <c r="O114" s="102">
        <v>2.0</v>
      </c>
      <c r="U114" s="230"/>
      <c r="V114" s="230" t="str">
        <f>IF(ISNUMBER(MATCH(B114, 'Sprint 13'!B:B, 0)), "มาจาก Sprint 13", "")</f>
        <v/>
      </c>
      <c r="W114" s="230" t="str">
        <f t="array" ref="W114">IF(ISNUMBER(MATCH(B114, 'Sprint 13'!B:B, 0)), INDEX('Sprint 13'!J:J, MATCH(B114, 'Sprint 13'!B:B, 0)), "")</f>
        <v/>
      </c>
      <c r="X114" s="230"/>
      <c r="Y114" s="102" t="s">
        <v>5838</v>
      </c>
      <c r="Z114" s="102"/>
      <c r="AA114" s="102"/>
    </row>
    <row r="115">
      <c r="A115" s="102" t="s">
        <v>332</v>
      </c>
      <c r="B115" s="102" t="s">
        <v>6225</v>
      </c>
      <c r="C115" s="229" t="s">
        <v>6226</v>
      </c>
      <c r="D115" s="102" t="s">
        <v>6227</v>
      </c>
      <c r="E115" s="102" t="s">
        <v>495</v>
      </c>
      <c r="F115" s="102" t="s">
        <v>496</v>
      </c>
      <c r="G115" s="102" t="s">
        <v>521</v>
      </c>
      <c r="H115" s="102" t="s">
        <v>522</v>
      </c>
      <c r="I115" s="102" t="s">
        <v>284</v>
      </c>
      <c r="J115" s="102" t="s">
        <v>336</v>
      </c>
      <c r="L115" s="229" t="s">
        <v>6228</v>
      </c>
      <c r="M115" s="229" t="s">
        <v>6145</v>
      </c>
      <c r="O115" s="102">
        <v>3.0</v>
      </c>
      <c r="U115" s="230"/>
      <c r="V115" s="230" t="str">
        <f>IF(ISNUMBER(MATCH(B115, 'Sprint 13'!B:B, 0)), "มาจาก Sprint 13", "")</f>
        <v/>
      </c>
      <c r="W115" s="230" t="str">
        <f t="array" ref="W115">IF(ISNUMBER(MATCH(B115, 'Sprint 13'!B:B, 0)), INDEX('Sprint 13'!J:J, MATCH(B115, 'Sprint 13'!B:B, 0)), "")</f>
        <v/>
      </c>
      <c r="X115" s="230"/>
      <c r="Y115" s="102" t="s">
        <v>5838</v>
      </c>
      <c r="Z115" s="102"/>
    </row>
    <row r="116">
      <c r="A116" s="102" t="s">
        <v>276</v>
      </c>
      <c r="B116" s="102" t="s">
        <v>6229</v>
      </c>
      <c r="C116" s="229" t="s">
        <v>6230</v>
      </c>
      <c r="D116" s="102" t="s">
        <v>6231</v>
      </c>
      <c r="E116" s="102" t="s">
        <v>521</v>
      </c>
      <c r="F116" s="102" t="s">
        <v>522</v>
      </c>
      <c r="G116" s="102" t="s">
        <v>521</v>
      </c>
      <c r="H116" s="102" t="s">
        <v>522</v>
      </c>
      <c r="I116" s="102" t="s">
        <v>284</v>
      </c>
      <c r="J116" s="102" t="s">
        <v>26</v>
      </c>
      <c r="L116" s="229" t="s">
        <v>6232</v>
      </c>
      <c r="M116" s="229" t="s">
        <v>6233</v>
      </c>
      <c r="O116" s="230"/>
      <c r="U116" s="230"/>
      <c r="V116" s="230" t="str">
        <f>IF(ISNUMBER(MATCH(B116, 'Sprint 13'!B:B, 0)), "มาจาก Sprint 13", "")</f>
        <v>มาจาก Sprint 13</v>
      </c>
      <c r="W116" s="230" t="str">
        <f t="array" ref="W116">IF(ISNUMBER(MATCH(B116, 'Sprint 13'!B:B, 0)), INDEX('Sprint 13'!J:J, MATCH(B116, 'Sprint 13'!B:B, 0)), "")</f>
        <v>In Progress</v>
      </c>
      <c r="X116" s="230"/>
      <c r="Y116" s="102" t="s">
        <v>2205</v>
      </c>
      <c r="Z116" s="102" t="s">
        <v>2196</v>
      </c>
      <c r="AA116" s="102" t="s">
        <v>2185</v>
      </c>
    </row>
    <row r="117">
      <c r="A117" s="102" t="s">
        <v>276</v>
      </c>
      <c r="B117" s="102" t="s">
        <v>6234</v>
      </c>
      <c r="C117" s="229" t="s">
        <v>6235</v>
      </c>
      <c r="D117" s="102" t="s">
        <v>6236</v>
      </c>
      <c r="E117" s="102" t="s">
        <v>521</v>
      </c>
      <c r="F117" s="102" t="s">
        <v>522</v>
      </c>
      <c r="G117" s="102" t="s">
        <v>521</v>
      </c>
      <c r="H117" s="102" t="s">
        <v>522</v>
      </c>
      <c r="I117" s="102" t="s">
        <v>284</v>
      </c>
      <c r="J117" s="102" t="s">
        <v>26</v>
      </c>
      <c r="L117" s="229" t="s">
        <v>6237</v>
      </c>
      <c r="M117" s="229" t="s">
        <v>6238</v>
      </c>
      <c r="O117" s="230"/>
      <c r="U117" s="230"/>
      <c r="V117" s="230" t="str">
        <f>IF(ISNUMBER(MATCH(B117, 'Sprint 13'!B:B, 0)), "มาจาก Sprint 13", "")</f>
        <v>มาจาก Sprint 13</v>
      </c>
      <c r="W117" s="230" t="str">
        <f t="array" ref="W117">IF(ISNUMBER(MATCH(B117, 'Sprint 13'!B:B, 0)), INDEX('Sprint 13'!J:J, MATCH(B117, 'Sprint 13'!B:B, 0)), "")</f>
        <v>Done</v>
      </c>
      <c r="X117" s="230"/>
      <c r="Y117" s="102" t="s">
        <v>2205</v>
      </c>
      <c r="Z117" s="102" t="s">
        <v>2196</v>
      </c>
      <c r="AA117" s="102" t="s">
        <v>2185</v>
      </c>
    </row>
    <row r="118">
      <c r="A118" s="102" t="s">
        <v>276</v>
      </c>
      <c r="B118" s="102" t="s">
        <v>6239</v>
      </c>
      <c r="C118" s="229" t="s">
        <v>6240</v>
      </c>
      <c r="D118" s="102" t="s">
        <v>6241</v>
      </c>
      <c r="E118" s="102" t="s">
        <v>521</v>
      </c>
      <c r="F118" s="102" t="s">
        <v>522</v>
      </c>
      <c r="G118" s="102" t="s">
        <v>521</v>
      </c>
      <c r="H118" s="102" t="s">
        <v>522</v>
      </c>
      <c r="I118" s="102" t="s">
        <v>284</v>
      </c>
      <c r="J118" s="102" t="s">
        <v>26</v>
      </c>
      <c r="L118" s="229" t="s">
        <v>6242</v>
      </c>
      <c r="M118" s="229" t="s">
        <v>6243</v>
      </c>
      <c r="O118" s="230"/>
      <c r="U118" s="230"/>
      <c r="V118" s="230" t="str">
        <f>IF(ISNUMBER(MATCH(B118, 'Sprint 13'!B:B, 0)), "มาจาก Sprint 13", "")</f>
        <v>มาจาก Sprint 13</v>
      </c>
      <c r="W118" s="230" t="str">
        <f t="array" ref="W118">IF(ISNUMBER(MATCH(B118, 'Sprint 13'!B:B, 0)), INDEX('Sprint 13'!J:J, MATCH(B118, 'Sprint 13'!B:B, 0)), "")</f>
        <v>To Do</v>
      </c>
      <c r="X118" s="230"/>
      <c r="Y118" s="102" t="s">
        <v>2196</v>
      </c>
      <c r="Z118" s="102" t="s">
        <v>2185</v>
      </c>
    </row>
    <row r="119">
      <c r="A119" s="102" t="s">
        <v>276</v>
      </c>
      <c r="B119" s="102" t="s">
        <v>6244</v>
      </c>
      <c r="C119" s="229" t="s">
        <v>6245</v>
      </c>
      <c r="D119" s="102" t="s">
        <v>6246</v>
      </c>
      <c r="E119" s="102" t="s">
        <v>521</v>
      </c>
      <c r="F119" s="102" t="s">
        <v>522</v>
      </c>
      <c r="G119" s="102" t="s">
        <v>521</v>
      </c>
      <c r="H119" s="102" t="s">
        <v>522</v>
      </c>
      <c r="I119" s="102" t="s">
        <v>284</v>
      </c>
      <c r="J119" s="102" t="s">
        <v>26</v>
      </c>
      <c r="L119" s="229" t="s">
        <v>6242</v>
      </c>
      <c r="M119" s="229" t="s">
        <v>6247</v>
      </c>
      <c r="O119" s="230"/>
      <c r="U119" s="230"/>
      <c r="V119" s="230" t="str">
        <f>IF(ISNUMBER(MATCH(B119, 'Sprint 13'!B:B, 0)), "มาจาก Sprint 13", "")</f>
        <v>มาจาก Sprint 13</v>
      </c>
      <c r="W119" s="230" t="str">
        <f t="array" ref="W119">IF(ISNUMBER(MATCH(B119, 'Sprint 13'!B:B, 0)), INDEX('Sprint 13'!J:J, MATCH(B119, 'Sprint 13'!B:B, 0)), "")</f>
        <v>To Do</v>
      </c>
      <c r="X119" s="230"/>
      <c r="Y119" s="102" t="s">
        <v>2196</v>
      </c>
      <c r="Z119" s="102" t="s">
        <v>2185</v>
      </c>
    </row>
    <row r="120">
      <c r="A120" s="102" t="s">
        <v>276</v>
      </c>
      <c r="B120" s="102" t="s">
        <v>6248</v>
      </c>
      <c r="C120" s="229" t="s">
        <v>6249</v>
      </c>
      <c r="D120" s="102" t="s">
        <v>6250</v>
      </c>
      <c r="E120" s="102" t="s">
        <v>521</v>
      </c>
      <c r="F120" s="102" t="s">
        <v>522</v>
      </c>
      <c r="G120" s="102" t="s">
        <v>521</v>
      </c>
      <c r="H120" s="102" t="s">
        <v>522</v>
      </c>
      <c r="I120" s="102" t="s">
        <v>284</v>
      </c>
      <c r="J120" s="102" t="s">
        <v>26</v>
      </c>
      <c r="L120" s="229" t="s">
        <v>6251</v>
      </c>
      <c r="M120" s="229" t="s">
        <v>6252</v>
      </c>
      <c r="O120" s="230"/>
      <c r="U120" s="230"/>
      <c r="V120" s="230" t="str">
        <f>IF(ISNUMBER(MATCH(B120, 'Sprint 13'!B:B, 0)), "มาจาก Sprint 13", "")</f>
        <v>มาจาก Sprint 13</v>
      </c>
      <c r="W120" s="230" t="str">
        <f t="array" ref="W120">IF(ISNUMBER(MATCH(B120, 'Sprint 13'!B:B, 0)), INDEX('Sprint 13'!J:J, MATCH(B120, 'Sprint 13'!B:B, 0)), "")</f>
        <v>To Do</v>
      </c>
      <c r="X120" s="230"/>
      <c r="Y120" s="102" t="s">
        <v>2196</v>
      </c>
      <c r="Z120" s="102" t="s">
        <v>2185</v>
      </c>
    </row>
    <row r="121">
      <c r="A121" s="102" t="s">
        <v>276</v>
      </c>
      <c r="B121" s="102" t="s">
        <v>6253</v>
      </c>
      <c r="C121" s="229" t="s">
        <v>6254</v>
      </c>
      <c r="D121" s="102" t="s">
        <v>6255</v>
      </c>
      <c r="E121" s="102" t="s">
        <v>521</v>
      </c>
      <c r="F121" s="102" t="s">
        <v>522</v>
      </c>
      <c r="G121" s="102" t="s">
        <v>521</v>
      </c>
      <c r="H121" s="102" t="s">
        <v>522</v>
      </c>
      <c r="I121" s="102" t="s">
        <v>284</v>
      </c>
      <c r="J121" s="102" t="s">
        <v>26</v>
      </c>
      <c r="L121" s="229" t="s">
        <v>6256</v>
      </c>
      <c r="M121" s="229" t="s">
        <v>6257</v>
      </c>
      <c r="O121" s="230"/>
      <c r="U121" s="230"/>
      <c r="V121" s="230" t="str">
        <f>IF(ISNUMBER(MATCH(B121, 'Sprint 13'!B:B, 0)), "มาจาก Sprint 13", "")</f>
        <v>มาจาก Sprint 13</v>
      </c>
      <c r="W121" s="230" t="str">
        <f t="array" ref="W121">IF(ISNUMBER(MATCH(B121, 'Sprint 13'!B:B, 0)), INDEX('Sprint 13'!J:J, MATCH(B121, 'Sprint 13'!B:B, 0)), "")</f>
        <v>To Do</v>
      </c>
      <c r="X121" s="230"/>
      <c r="Y121" s="102" t="s">
        <v>2196</v>
      </c>
      <c r="Z121" s="102" t="s">
        <v>2185</v>
      </c>
    </row>
    <row r="122">
      <c r="A122" s="102" t="s">
        <v>276</v>
      </c>
      <c r="B122" s="102" t="s">
        <v>6258</v>
      </c>
      <c r="C122" s="229" t="s">
        <v>6259</v>
      </c>
      <c r="D122" s="102" t="s">
        <v>6260</v>
      </c>
      <c r="E122" s="102" t="s">
        <v>521</v>
      </c>
      <c r="F122" s="102" t="s">
        <v>522</v>
      </c>
      <c r="G122" s="102" t="s">
        <v>521</v>
      </c>
      <c r="H122" s="102" t="s">
        <v>522</v>
      </c>
      <c r="I122" s="102" t="s">
        <v>284</v>
      </c>
      <c r="J122" s="102" t="s">
        <v>26</v>
      </c>
      <c r="L122" s="229" t="s">
        <v>6261</v>
      </c>
      <c r="M122" s="229" t="s">
        <v>6262</v>
      </c>
      <c r="O122" s="230"/>
      <c r="U122" s="230"/>
      <c r="V122" s="230" t="str">
        <f>IF(ISNUMBER(MATCH(B122, 'Sprint 13'!B:B, 0)), "มาจาก Sprint 13", "")</f>
        <v>มาจาก Sprint 13</v>
      </c>
      <c r="W122" s="230" t="str">
        <f t="array" ref="W122">IF(ISNUMBER(MATCH(B122, 'Sprint 13'!B:B, 0)), INDEX('Sprint 13'!J:J, MATCH(B122, 'Sprint 13'!B:B, 0)), "")</f>
        <v>To Do</v>
      </c>
      <c r="X122" s="230"/>
      <c r="Y122" s="102" t="s">
        <v>2196</v>
      </c>
      <c r="Z122" s="102" t="s">
        <v>2185</v>
      </c>
    </row>
    <row r="123">
      <c r="A123" s="102" t="s">
        <v>276</v>
      </c>
      <c r="B123" s="102" t="s">
        <v>6263</v>
      </c>
      <c r="C123" s="229" t="s">
        <v>6264</v>
      </c>
      <c r="D123" s="102" t="s">
        <v>6265</v>
      </c>
      <c r="E123" s="102" t="s">
        <v>521</v>
      </c>
      <c r="F123" s="102" t="s">
        <v>522</v>
      </c>
      <c r="G123" s="102" t="s">
        <v>521</v>
      </c>
      <c r="H123" s="102" t="s">
        <v>522</v>
      </c>
      <c r="I123" s="102" t="s">
        <v>284</v>
      </c>
      <c r="J123" s="102" t="s">
        <v>26</v>
      </c>
      <c r="L123" s="229" t="s">
        <v>6261</v>
      </c>
      <c r="M123" s="229" t="s">
        <v>6266</v>
      </c>
      <c r="O123" s="230"/>
      <c r="U123" s="230"/>
      <c r="V123" s="230" t="str">
        <f>IF(ISNUMBER(MATCH(B123, 'Sprint 13'!B:B, 0)), "มาจาก Sprint 13", "")</f>
        <v>มาจาก Sprint 13</v>
      </c>
      <c r="W123" s="230" t="str">
        <f t="array" ref="W123">IF(ISNUMBER(MATCH(B123, 'Sprint 13'!B:B, 0)), INDEX('Sprint 13'!J:J, MATCH(B123, 'Sprint 13'!B:B, 0)), "")</f>
        <v>To Do</v>
      </c>
      <c r="X123" s="230"/>
      <c r="Y123" s="102" t="s">
        <v>2196</v>
      </c>
      <c r="Z123" s="102" t="s">
        <v>2185</v>
      </c>
    </row>
    <row r="124">
      <c r="A124" s="102" t="s">
        <v>276</v>
      </c>
      <c r="B124" s="102" t="s">
        <v>6267</v>
      </c>
      <c r="C124" s="229" t="s">
        <v>6268</v>
      </c>
      <c r="D124" s="102" t="s">
        <v>6269</v>
      </c>
      <c r="E124" s="102" t="s">
        <v>521</v>
      </c>
      <c r="F124" s="102" t="s">
        <v>522</v>
      </c>
      <c r="G124" s="102" t="s">
        <v>521</v>
      </c>
      <c r="H124" s="102" t="s">
        <v>522</v>
      </c>
      <c r="I124" s="102" t="s">
        <v>284</v>
      </c>
      <c r="J124" s="102" t="s">
        <v>26</v>
      </c>
      <c r="L124" s="229" t="s">
        <v>6270</v>
      </c>
      <c r="M124" s="229" t="s">
        <v>6271</v>
      </c>
      <c r="O124" s="230"/>
      <c r="U124" s="230"/>
      <c r="V124" s="230" t="str">
        <f>IF(ISNUMBER(MATCH(B124, 'Sprint 13'!B:B, 0)), "มาจาก Sprint 13", "")</f>
        <v>มาจาก Sprint 13</v>
      </c>
      <c r="W124" s="230" t="str">
        <f t="array" ref="W124">IF(ISNUMBER(MATCH(B124, 'Sprint 13'!B:B, 0)), INDEX('Sprint 13'!J:J, MATCH(B124, 'Sprint 13'!B:B, 0)), "")</f>
        <v>In Progress</v>
      </c>
      <c r="X124" s="230"/>
      <c r="Y124" s="102" t="s">
        <v>2196</v>
      </c>
      <c r="Z124" s="102" t="s">
        <v>2185</v>
      </c>
    </row>
    <row r="125">
      <c r="A125" s="102" t="s">
        <v>276</v>
      </c>
      <c r="B125" s="102" t="s">
        <v>6272</v>
      </c>
      <c r="C125" s="229" t="s">
        <v>6273</v>
      </c>
      <c r="D125" s="102" t="s">
        <v>6274</v>
      </c>
      <c r="E125" s="102" t="s">
        <v>521</v>
      </c>
      <c r="F125" s="102" t="s">
        <v>522</v>
      </c>
      <c r="G125" s="102" t="s">
        <v>521</v>
      </c>
      <c r="H125" s="102" t="s">
        <v>522</v>
      </c>
      <c r="I125" s="102" t="s">
        <v>284</v>
      </c>
      <c r="J125" s="102" t="s">
        <v>26</v>
      </c>
      <c r="L125" s="229" t="s">
        <v>6275</v>
      </c>
      <c r="M125" s="229" t="s">
        <v>6276</v>
      </c>
      <c r="O125" s="230"/>
      <c r="U125" s="230"/>
      <c r="V125" s="230" t="str">
        <f>IF(ISNUMBER(MATCH(B125, 'Sprint 13'!B:B, 0)), "มาจาก Sprint 13", "")</f>
        <v>มาจาก Sprint 13</v>
      </c>
      <c r="W125" s="230" t="str">
        <f t="array" ref="W125">IF(ISNUMBER(MATCH(B125, 'Sprint 13'!B:B, 0)), INDEX('Sprint 13'!J:J, MATCH(B125, 'Sprint 13'!B:B, 0)), "")</f>
        <v>Done</v>
      </c>
      <c r="X125" s="230"/>
      <c r="Y125" s="102" t="s">
        <v>2196</v>
      </c>
      <c r="Z125" s="102" t="s">
        <v>2185</v>
      </c>
    </row>
    <row r="126">
      <c r="A126" s="102" t="s">
        <v>276</v>
      </c>
      <c r="B126" s="102" t="s">
        <v>6277</v>
      </c>
      <c r="C126" s="229" t="s">
        <v>6278</v>
      </c>
      <c r="D126" s="102" t="s">
        <v>6279</v>
      </c>
      <c r="E126" s="102" t="s">
        <v>521</v>
      </c>
      <c r="F126" s="102" t="s">
        <v>522</v>
      </c>
      <c r="G126" s="102" t="s">
        <v>521</v>
      </c>
      <c r="H126" s="102" t="s">
        <v>522</v>
      </c>
      <c r="I126" s="102" t="s">
        <v>284</v>
      </c>
      <c r="J126" s="102" t="s">
        <v>26</v>
      </c>
      <c r="L126" s="229" t="s">
        <v>6280</v>
      </c>
      <c r="M126" s="229" t="s">
        <v>6281</v>
      </c>
      <c r="N126" s="102"/>
      <c r="O126" s="230"/>
      <c r="P126" s="102"/>
      <c r="Q126" s="102"/>
      <c r="R126" s="102"/>
      <c r="U126" s="230"/>
      <c r="V126" s="230" t="str">
        <f>IF(ISNUMBER(MATCH(B126, 'Sprint 13'!B:B, 0)), "มาจาก Sprint 13", "")</f>
        <v>มาจาก Sprint 13</v>
      </c>
      <c r="W126" s="230" t="str">
        <f t="array" ref="W126">IF(ISNUMBER(MATCH(B126, 'Sprint 13'!B:B, 0)), INDEX('Sprint 13'!J:J, MATCH(B126, 'Sprint 13'!B:B, 0)), "")</f>
        <v>In Progress</v>
      </c>
      <c r="X126" s="230"/>
      <c r="Y126" s="102" t="s">
        <v>2196</v>
      </c>
      <c r="Z126" s="102" t="s">
        <v>2185</v>
      </c>
    </row>
    <row r="127">
      <c r="A127" s="102" t="s">
        <v>276</v>
      </c>
      <c r="B127" s="102" t="s">
        <v>6282</v>
      </c>
      <c r="C127" s="229" t="s">
        <v>6283</v>
      </c>
      <c r="D127" s="102" t="s">
        <v>6284</v>
      </c>
      <c r="E127" s="102" t="s">
        <v>521</v>
      </c>
      <c r="F127" s="102" t="s">
        <v>522</v>
      </c>
      <c r="G127" s="102" t="s">
        <v>521</v>
      </c>
      <c r="H127" s="102" t="s">
        <v>522</v>
      </c>
      <c r="I127" s="102" t="s">
        <v>284</v>
      </c>
      <c r="J127" s="102" t="s">
        <v>26</v>
      </c>
      <c r="L127" s="229" t="s">
        <v>6285</v>
      </c>
      <c r="M127" s="229" t="s">
        <v>6286</v>
      </c>
      <c r="O127" s="102"/>
      <c r="U127" s="230"/>
      <c r="V127" s="230" t="str">
        <f>IF(ISNUMBER(MATCH(B127, 'Sprint 13'!B:B, 0)), "มาจาก Sprint 13", "")</f>
        <v>มาจาก Sprint 13</v>
      </c>
      <c r="W127" s="230" t="str">
        <f t="array" ref="W127">IF(ISNUMBER(MATCH(B127, 'Sprint 13'!B:B, 0)), INDEX('Sprint 13'!J:J, MATCH(B127, 'Sprint 13'!B:B, 0)), "")</f>
        <v>Done</v>
      </c>
      <c r="X127" s="230"/>
      <c r="Y127" s="102" t="s">
        <v>2196</v>
      </c>
      <c r="Z127" s="102" t="s">
        <v>2185</v>
      </c>
    </row>
    <row r="128">
      <c r="A128" s="102" t="s">
        <v>276</v>
      </c>
      <c r="B128" s="102" t="s">
        <v>6287</v>
      </c>
      <c r="C128" s="229" t="s">
        <v>6288</v>
      </c>
      <c r="D128" s="102" t="s">
        <v>210</v>
      </c>
      <c r="E128" s="102"/>
      <c r="F128" s="102"/>
      <c r="G128" s="102" t="s">
        <v>521</v>
      </c>
      <c r="H128" s="102" t="s">
        <v>522</v>
      </c>
      <c r="I128" s="102" t="s">
        <v>284</v>
      </c>
      <c r="J128" s="102" t="s">
        <v>63</v>
      </c>
      <c r="L128" s="229" t="s">
        <v>6289</v>
      </c>
      <c r="M128" s="229" t="s">
        <v>6290</v>
      </c>
      <c r="O128" s="102"/>
      <c r="U128" s="102"/>
      <c r="V128" s="230" t="str">
        <f>IF(ISNUMBER(MATCH(B128, 'Sprint 13'!B:B, 0)), "มาจาก Sprint 13", "")</f>
        <v>มาจาก Sprint 13</v>
      </c>
      <c r="W128" s="230" t="str">
        <f t="array" ref="W128">IF(ISNUMBER(MATCH(B128, 'Sprint 13'!B:B, 0)), INDEX('Sprint 13'!J:J, MATCH(B128, 'Sprint 13'!B:B, 0)), "")</f>
        <v>To Do</v>
      </c>
      <c r="X128" s="102"/>
      <c r="Y128" s="102" t="s">
        <v>2196</v>
      </c>
      <c r="Z128" s="102" t="s">
        <v>2185</v>
      </c>
    </row>
    <row r="129">
      <c r="A129" s="102" t="s">
        <v>310</v>
      </c>
      <c r="B129" s="102" t="s">
        <v>5860</v>
      </c>
      <c r="C129" s="229" t="s">
        <v>5861</v>
      </c>
      <c r="D129" s="102" t="s">
        <v>5862</v>
      </c>
      <c r="E129" s="102" t="s">
        <v>353</v>
      </c>
      <c r="F129" s="102" t="s">
        <v>354</v>
      </c>
      <c r="G129" s="102" t="s">
        <v>353</v>
      </c>
      <c r="H129" s="102" t="s">
        <v>354</v>
      </c>
      <c r="I129" s="102" t="s">
        <v>284</v>
      </c>
      <c r="J129" s="102" t="s">
        <v>34</v>
      </c>
      <c r="L129" s="229" t="s">
        <v>5863</v>
      </c>
      <c r="M129" s="229" t="s">
        <v>5740</v>
      </c>
      <c r="O129" s="102">
        <v>8.0</v>
      </c>
      <c r="U129" s="230"/>
      <c r="V129" s="230" t="str">
        <f>IF(ISNUMBER(MATCH(B129, 'Sprint 13'!B:B, 0)), "มาจาก Sprint 13", "")</f>
        <v>มาจาก Sprint 13</v>
      </c>
      <c r="W129" s="230" t="str">
        <f t="array" ref="W129">IF(ISNUMBER(MATCH(B129, 'Sprint 13'!B:B, 0)), INDEX('Sprint 13'!J:J, MATCH(B129, 'Sprint 13'!B:B, 0)), "")</f>
        <v>To Do</v>
      </c>
      <c r="X129" s="230"/>
      <c r="Y129" s="102" t="s">
        <v>4919</v>
      </c>
      <c r="Z129" s="102" t="s">
        <v>4657</v>
      </c>
      <c r="AA129" s="102" t="s">
        <v>2266</v>
      </c>
    </row>
    <row r="130">
      <c r="A130" s="102" t="s">
        <v>310</v>
      </c>
      <c r="B130" s="102" t="s">
        <v>6291</v>
      </c>
      <c r="C130" s="229" t="s">
        <v>6292</v>
      </c>
      <c r="D130" s="102" t="s">
        <v>6293</v>
      </c>
      <c r="E130" s="102" t="s">
        <v>556</v>
      </c>
      <c r="F130" s="102" t="s">
        <v>557</v>
      </c>
      <c r="G130" s="102" t="s">
        <v>353</v>
      </c>
      <c r="H130" s="102" t="s">
        <v>354</v>
      </c>
      <c r="I130" s="102" t="s">
        <v>284</v>
      </c>
      <c r="J130" s="102" t="s">
        <v>26</v>
      </c>
      <c r="L130" s="229" t="s">
        <v>6294</v>
      </c>
      <c r="M130" s="229" t="s">
        <v>6295</v>
      </c>
      <c r="O130" s="102">
        <v>2.0</v>
      </c>
      <c r="U130" s="102">
        <v>0.0</v>
      </c>
      <c r="V130" s="230" t="str">
        <f>IF(ISNUMBER(MATCH(B130, 'Sprint 13'!B:B, 0)), "มาจาก Sprint 13", "")</f>
        <v>มาจาก Sprint 13</v>
      </c>
      <c r="W130" s="230" t="str">
        <f t="array" ref="W130">IF(ISNUMBER(MATCH(B130, 'Sprint 13'!B:B, 0)), INDEX('Sprint 13'!J:J, MATCH(B130, 'Sprint 13'!B:B, 0)), "")</f>
        <v>Ready To Test</v>
      </c>
      <c r="X130" s="102">
        <v>14400.0</v>
      </c>
      <c r="Y130" s="102" t="s">
        <v>4919</v>
      </c>
      <c r="Z130" s="102" t="s">
        <v>4657</v>
      </c>
    </row>
    <row r="131">
      <c r="A131" s="102" t="s">
        <v>630</v>
      </c>
      <c r="B131" s="102" t="s">
        <v>2192</v>
      </c>
      <c r="C131" s="229" t="s">
        <v>2193</v>
      </c>
      <c r="D131" s="102" t="s">
        <v>2194</v>
      </c>
      <c r="E131" s="102"/>
      <c r="F131" s="102"/>
      <c r="G131" s="102" t="s">
        <v>304</v>
      </c>
      <c r="H131" s="102" t="s">
        <v>305</v>
      </c>
      <c r="I131" s="102" t="s">
        <v>284</v>
      </c>
      <c r="J131" s="102" t="s">
        <v>63</v>
      </c>
      <c r="L131" s="229" t="s">
        <v>2195</v>
      </c>
      <c r="M131" s="229" t="s">
        <v>6140</v>
      </c>
      <c r="N131" s="102"/>
      <c r="O131" s="102"/>
      <c r="U131" s="102"/>
      <c r="V131" s="230" t="str">
        <f>IF(ISNUMBER(MATCH(B131, 'Sprint 13'!B:B, 0)), "มาจาก Sprint 13", "")</f>
        <v>มาจาก Sprint 13</v>
      </c>
      <c r="W131" s="230" t="str">
        <f t="array" ref="W131">IF(ISNUMBER(MATCH(B131, 'Sprint 13'!B:B, 0)), INDEX('Sprint 13'!J:J, MATCH(B131, 'Sprint 13'!B:B, 0)), "")</f>
        <v>To Do</v>
      </c>
      <c r="X131" s="102"/>
      <c r="Y131" s="102" t="s">
        <v>2196</v>
      </c>
      <c r="Z131" s="102" t="s">
        <v>2185</v>
      </c>
    </row>
    <row r="132">
      <c r="A132" s="102" t="s">
        <v>630</v>
      </c>
      <c r="B132" s="102" t="s">
        <v>2197</v>
      </c>
      <c r="C132" s="229" t="s">
        <v>2198</v>
      </c>
      <c r="D132" s="102" t="s">
        <v>2199</v>
      </c>
      <c r="E132" s="102"/>
      <c r="F132" s="102"/>
      <c r="G132" s="102" t="s">
        <v>304</v>
      </c>
      <c r="H132" s="102" t="s">
        <v>305</v>
      </c>
      <c r="I132" s="102" t="s">
        <v>284</v>
      </c>
      <c r="J132" s="102" t="s">
        <v>63</v>
      </c>
      <c r="L132" s="229" t="s">
        <v>2200</v>
      </c>
      <c r="M132" s="229" t="s">
        <v>6140</v>
      </c>
      <c r="O132" s="102"/>
      <c r="U132" s="102"/>
      <c r="V132" s="230" t="str">
        <f>IF(ISNUMBER(MATCH(B132, 'Sprint 13'!B:B, 0)), "มาจาก Sprint 13", "")</f>
        <v>มาจาก Sprint 13</v>
      </c>
      <c r="W132" s="230" t="str">
        <f t="array" ref="W132">IF(ISNUMBER(MATCH(B132, 'Sprint 13'!B:B, 0)), INDEX('Sprint 13'!J:J, MATCH(B132, 'Sprint 13'!B:B, 0)), "")</f>
        <v>To Do</v>
      </c>
      <c r="X132" s="102"/>
      <c r="Y132" s="102" t="s">
        <v>2196</v>
      </c>
      <c r="Z132" s="102" t="s">
        <v>2185</v>
      </c>
    </row>
    <row r="133">
      <c r="A133" s="102" t="s">
        <v>310</v>
      </c>
      <c r="B133" s="102" t="s">
        <v>5865</v>
      </c>
      <c r="C133" s="229" t="s">
        <v>5866</v>
      </c>
      <c r="D133" s="102" t="s">
        <v>5867</v>
      </c>
      <c r="E133" s="102" t="s">
        <v>328</v>
      </c>
      <c r="F133" s="102" t="s">
        <v>329</v>
      </c>
      <c r="G133" s="102" t="s">
        <v>353</v>
      </c>
      <c r="H133" s="102" t="s">
        <v>354</v>
      </c>
      <c r="I133" s="102" t="s">
        <v>284</v>
      </c>
      <c r="J133" s="102" t="s">
        <v>454</v>
      </c>
      <c r="L133" s="229" t="s">
        <v>5868</v>
      </c>
      <c r="M133" s="229" t="s">
        <v>5740</v>
      </c>
      <c r="N133" s="229" t="s">
        <v>5869</v>
      </c>
      <c r="O133" s="102">
        <v>3.0</v>
      </c>
      <c r="U133" s="102">
        <v>0.0</v>
      </c>
      <c r="V133" s="230" t="str">
        <f>IF(ISNUMBER(MATCH(B133, 'Sprint 13'!B:B, 0)), "มาจาก Sprint 13", "")</f>
        <v>มาจาก Sprint 13</v>
      </c>
      <c r="W133" s="230" t="str">
        <f t="array" ref="W133">IF(ISNUMBER(MATCH(B133, 'Sprint 13'!B:B, 0)), INDEX('Sprint 13'!J:J, MATCH(B133, 'Sprint 13'!B:B, 0)), "")</f>
        <v>Ready to Staging</v>
      </c>
      <c r="X133" s="102">
        <v>28800.0</v>
      </c>
      <c r="Y133" s="102" t="s">
        <v>4919</v>
      </c>
      <c r="Z133" s="102" t="s">
        <v>4657</v>
      </c>
      <c r="AA133" s="102" t="s">
        <v>2266</v>
      </c>
    </row>
    <row r="134">
      <c r="A134" s="102" t="s">
        <v>310</v>
      </c>
      <c r="B134" s="102" t="s">
        <v>6296</v>
      </c>
      <c r="C134" s="229" t="s">
        <v>6297</v>
      </c>
      <c r="D134" s="102" t="s">
        <v>6298</v>
      </c>
      <c r="E134" s="102" t="s">
        <v>556</v>
      </c>
      <c r="F134" s="102" t="s">
        <v>557</v>
      </c>
      <c r="G134" s="102" t="s">
        <v>314</v>
      </c>
      <c r="H134" s="102" t="s">
        <v>315</v>
      </c>
      <c r="I134" s="102" t="s">
        <v>284</v>
      </c>
      <c r="J134" s="102" t="s">
        <v>26</v>
      </c>
      <c r="L134" s="229" t="s">
        <v>6299</v>
      </c>
      <c r="M134" s="229" t="s">
        <v>6300</v>
      </c>
      <c r="N134" s="102"/>
      <c r="O134" s="102">
        <v>2.0</v>
      </c>
      <c r="P134" s="102"/>
      <c r="U134" s="102">
        <v>0.0</v>
      </c>
      <c r="V134" s="230" t="str">
        <f>IF(ISNUMBER(MATCH(B134, 'Sprint 13'!B:B, 0)), "มาจาก Sprint 13", "")</f>
        <v>มาจาก Sprint 13</v>
      </c>
      <c r="W134" s="230" t="str">
        <f t="array" ref="W134">IF(ISNUMBER(MATCH(B134, 'Sprint 13'!B:B, 0)), INDEX('Sprint 13'!J:J, MATCH(B134, 'Sprint 13'!B:B, 0)), "")</f>
        <v>Ready to Staging</v>
      </c>
      <c r="X134" s="102">
        <v>14400.0</v>
      </c>
      <c r="Y134" s="102" t="s">
        <v>4919</v>
      </c>
      <c r="Z134" s="102" t="s">
        <v>4657</v>
      </c>
    </row>
    <row r="135">
      <c r="A135" s="102" t="s">
        <v>310</v>
      </c>
      <c r="B135" s="102" t="s">
        <v>5870</v>
      </c>
      <c r="C135" s="229" t="s">
        <v>5871</v>
      </c>
      <c r="D135" s="102" t="s">
        <v>5872</v>
      </c>
      <c r="E135" s="102" t="s">
        <v>584</v>
      </c>
      <c r="F135" s="102" t="s">
        <v>585</v>
      </c>
      <c r="G135" s="102" t="s">
        <v>353</v>
      </c>
      <c r="H135" s="102" t="s">
        <v>354</v>
      </c>
      <c r="I135" s="102" t="s">
        <v>284</v>
      </c>
      <c r="J135" s="102" t="s">
        <v>454</v>
      </c>
      <c r="L135" s="229" t="s">
        <v>5873</v>
      </c>
      <c r="M135" s="229" t="s">
        <v>5740</v>
      </c>
      <c r="N135" s="229" t="s">
        <v>5875</v>
      </c>
      <c r="O135" s="102">
        <v>3.0</v>
      </c>
      <c r="U135" s="102">
        <v>0.0</v>
      </c>
      <c r="V135" s="230" t="str">
        <f>IF(ISNUMBER(MATCH(B135, 'Sprint 13'!B:B, 0)), "มาจาก Sprint 13", "")</f>
        <v>มาจาก Sprint 13</v>
      </c>
      <c r="W135" s="230" t="str">
        <f t="array" ref="W135">IF(ISNUMBER(MATCH(B135, 'Sprint 13'!B:B, 0)), INDEX('Sprint 13'!J:J, MATCH(B135, 'Sprint 13'!B:B, 0)), "")</f>
        <v>Ready To Test</v>
      </c>
      <c r="X135" s="102">
        <v>57600.0</v>
      </c>
      <c r="Y135" s="102" t="s">
        <v>4919</v>
      </c>
      <c r="Z135" s="102" t="s">
        <v>4657</v>
      </c>
      <c r="AA135" s="102" t="s">
        <v>2266</v>
      </c>
    </row>
    <row r="136">
      <c r="A136" s="102" t="s">
        <v>310</v>
      </c>
      <c r="B136" s="102" t="s">
        <v>6301</v>
      </c>
      <c r="C136" s="229" t="s">
        <v>6302</v>
      </c>
      <c r="D136" s="102" t="s">
        <v>6303</v>
      </c>
      <c r="E136" s="102" t="s">
        <v>328</v>
      </c>
      <c r="F136" s="102" t="s">
        <v>329</v>
      </c>
      <c r="G136" s="102" t="s">
        <v>353</v>
      </c>
      <c r="H136" s="102" t="s">
        <v>354</v>
      </c>
      <c r="I136" s="102" t="s">
        <v>284</v>
      </c>
      <c r="J136" s="102" t="s">
        <v>26</v>
      </c>
      <c r="L136" s="229" t="s">
        <v>6304</v>
      </c>
      <c r="M136" s="229" t="s">
        <v>6305</v>
      </c>
      <c r="N136" s="229" t="s">
        <v>6306</v>
      </c>
      <c r="O136" s="102">
        <v>2.0</v>
      </c>
      <c r="P136" s="102" t="s">
        <v>538</v>
      </c>
      <c r="U136" s="102">
        <v>0.0</v>
      </c>
      <c r="V136" s="230" t="str">
        <f>IF(ISNUMBER(MATCH(B136, 'Sprint 13'!B:B, 0)), "มาจาก Sprint 13", "")</f>
        <v>มาจาก Sprint 13</v>
      </c>
      <c r="W136" s="230" t="str">
        <f t="array" ref="W136">IF(ISNUMBER(MATCH(B136, 'Sprint 13'!B:B, 0)), INDEX('Sprint 13'!J:J, MATCH(B136, 'Sprint 13'!B:B, 0)), "")</f>
        <v>Ready to Staging</v>
      </c>
      <c r="X136" s="102">
        <v>14400.0</v>
      </c>
      <c r="Y136" s="102" t="s">
        <v>4919</v>
      </c>
      <c r="Z136" s="102" t="s">
        <v>4657</v>
      </c>
    </row>
    <row r="137">
      <c r="A137" s="102" t="s">
        <v>310</v>
      </c>
      <c r="B137" s="102" t="s">
        <v>6307</v>
      </c>
      <c r="C137" s="229" t="s">
        <v>6308</v>
      </c>
      <c r="D137" s="102" t="s">
        <v>6309</v>
      </c>
      <c r="E137" s="102" t="s">
        <v>556</v>
      </c>
      <c r="F137" s="102" t="s">
        <v>557</v>
      </c>
      <c r="G137" s="102" t="s">
        <v>353</v>
      </c>
      <c r="H137" s="102" t="s">
        <v>354</v>
      </c>
      <c r="I137" s="102" t="s">
        <v>284</v>
      </c>
      <c r="J137" s="102" t="s">
        <v>26</v>
      </c>
      <c r="L137" s="229" t="s">
        <v>6310</v>
      </c>
      <c r="M137" s="229" t="s">
        <v>6311</v>
      </c>
      <c r="N137" s="102"/>
      <c r="O137" s="102">
        <v>5.0</v>
      </c>
      <c r="P137" s="102"/>
      <c r="U137" s="102">
        <v>0.0</v>
      </c>
      <c r="V137" s="230" t="str">
        <f>IF(ISNUMBER(MATCH(B137, 'Sprint 13'!B:B, 0)), "มาจาก Sprint 13", "")</f>
        <v>มาจาก Sprint 13</v>
      </c>
      <c r="W137" s="230" t="str">
        <f t="array" ref="W137">IF(ISNUMBER(MATCH(B137, 'Sprint 13'!B:B, 0)), INDEX('Sprint 13'!J:J, MATCH(B137, 'Sprint 13'!B:B, 0)), "")</f>
        <v>Ready To Test</v>
      </c>
      <c r="X137" s="102">
        <v>57600.0</v>
      </c>
      <c r="Y137" s="102" t="s">
        <v>4919</v>
      </c>
      <c r="Z137" s="102" t="s">
        <v>4657</v>
      </c>
    </row>
    <row r="138">
      <c r="A138" s="102" t="s">
        <v>310</v>
      </c>
      <c r="B138" s="102" t="s">
        <v>6312</v>
      </c>
      <c r="C138" s="229" t="s">
        <v>6313</v>
      </c>
      <c r="D138" s="102" t="s">
        <v>6314</v>
      </c>
      <c r="E138" s="102" t="s">
        <v>6315</v>
      </c>
      <c r="F138" s="102" t="s">
        <v>6316</v>
      </c>
      <c r="G138" s="102" t="s">
        <v>353</v>
      </c>
      <c r="H138" s="102" t="s">
        <v>354</v>
      </c>
      <c r="I138" s="102" t="s">
        <v>284</v>
      </c>
      <c r="J138" s="102" t="s">
        <v>26</v>
      </c>
      <c r="L138" s="229" t="s">
        <v>6317</v>
      </c>
      <c r="M138" s="229" t="s">
        <v>6029</v>
      </c>
      <c r="N138" s="102"/>
      <c r="O138" s="102">
        <v>3.0</v>
      </c>
      <c r="P138" s="102"/>
      <c r="U138" s="102"/>
      <c r="V138" s="230" t="str">
        <f>IF(ISNUMBER(MATCH(B138, 'Sprint 13'!B:B, 0)), "มาจาก Sprint 13", "")</f>
        <v>มาจาก Sprint 13</v>
      </c>
      <c r="W138" s="230" t="str">
        <f t="array" ref="W138">IF(ISNUMBER(MATCH(B138, 'Sprint 13'!B:B, 0)), INDEX('Sprint 13'!J:J, MATCH(B138, 'Sprint 13'!B:B, 0)), "")</f>
        <v>Ready To Test</v>
      </c>
      <c r="X138" s="102"/>
      <c r="Y138" s="102" t="s">
        <v>4919</v>
      </c>
      <c r="Z138" s="102" t="s">
        <v>4657</v>
      </c>
    </row>
    <row r="139">
      <c r="A139" s="102" t="s">
        <v>310</v>
      </c>
      <c r="B139" s="102" t="s">
        <v>5876</v>
      </c>
      <c r="C139" s="229" t="s">
        <v>5877</v>
      </c>
      <c r="D139" s="102" t="s">
        <v>5878</v>
      </c>
      <c r="E139" s="102" t="s">
        <v>495</v>
      </c>
      <c r="F139" s="102" t="s">
        <v>496</v>
      </c>
      <c r="G139" s="102" t="s">
        <v>353</v>
      </c>
      <c r="H139" s="102" t="s">
        <v>354</v>
      </c>
      <c r="I139" s="102" t="s">
        <v>284</v>
      </c>
      <c r="J139" s="102" t="s">
        <v>454</v>
      </c>
      <c r="L139" s="229" t="s">
        <v>5879</v>
      </c>
      <c r="M139" s="229" t="s">
        <v>5740</v>
      </c>
      <c r="N139" s="229" t="s">
        <v>5881</v>
      </c>
      <c r="O139" s="102">
        <v>5.0</v>
      </c>
      <c r="P139" s="102" t="s">
        <v>538</v>
      </c>
      <c r="U139" s="102">
        <v>0.0</v>
      </c>
      <c r="V139" s="230" t="str">
        <f>IF(ISNUMBER(MATCH(B139, 'Sprint 13'!B:B, 0)), "มาจาก Sprint 13", "")</f>
        <v>มาจาก Sprint 13</v>
      </c>
      <c r="W139" s="230" t="str">
        <f t="array" ref="W139">IF(ISNUMBER(MATCH(B139, 'Sprint 13'!B:B, 0)), INDEX('Sprint 13'!J:J, MATCH(B139, 'Sprint 13'!B:B, 0)), "")</f>
        <v>Ready To Test</v>
      </c>
      <c r="X139" s="102">
        <v>43200.0</v>
      </c>
      <c r="Y139" s="102" t="s">
        <v>4919</v>
      </c>
      <c r="Z139" s="102" t="s">
        <v>4657</v>
      </c>
      <c r="AA139" s="102" t="s">
        <v>2266</v>
      </c>
    </row>
    <row r="140">
      <c r="A140" s="102" t="s">
        <v>310</v>
      </c>
      <c r="B140" s="102" t="s">
        <v>6318</v>
      </c>
      <c r="C140" s="229" t="s">
        <v>6319</v>
      </c>
      <c r="D140" s="102" t="s">
        <v>6320</v>
      </c>
      <c r="E140" s="102" t="s">
        <v>328</v>
      </c>
      <c r="F140" s="102" t="s">
        <v>329</v>
      </c>
      <c r="G140" s="102" t="s">
        <v>353</v>
      </c>
      <c r="H140" s="102" t="s">
        <v>354</v>
      </c>
      <c r="I140" s="102" t="s">
        <v>284</v>
      </c>
      <c r="J140" s="102" t="s">
        <v>26</v>
      </c>
      <c r="L140" s="229" t="s">
        <v>6321</v>
      </c>
      <c r="M140" s="229" t="s">
        <v>6034</v>
      </c>
      <c r="N140" s="229" t="s">
        <v>5875</v>
      </c>
      <c r="O140" s="102">
        <v>5.0</v>
      </c>
      <c r="P140" s="102" t="s">
        <v>538</v>
      </c>
      <c r="U140" s="102">
        <v>0.0</v>
      </c>
      <c r="V140" s="230" t="str">
        <f>IF(ISNUMBER(MATCH(B140, 'Sprint 13'!B:B, 0)), "มาจาก Sprint 13", "")</f>
        <v>มาจาก Sprint 13</v>
      </c>
      <c r="W140" s="230" t="str">
        <f t="array" ref="W140">IF(ISNUMBER(MATCH(B140, 'Sprint 13'!B:B, 0)), INDEX('Sprint 13'!J:J, MATCH(B140, 'Sprint 13'!B:B, 0)), "")</f>
        <v>Ready to Staging</v>
      </c>
      <c r="X140" s="102">
        <v>57600.0</v>
      </c>
      <c r="Y140" s="102" t="s">
        <v>4919</v>
      </c>
      <c r="Z140" s="102" t="s">
        <v>4657</v>
      </c>
    </row>
    <row r="141">
      <c r="A141" s="102" t="s">
        <v>310</v>
      </c>
      <c r="B141" s="102" t="s">
        <v>6322</v>
      </c>
      <c r="C141" s="229" t="s">
        <v>6323</v>
      </c>
      <c r="D141" s="102" t="s">
        <v>6324</v>
      </c>
      <c r="E141" s="102" t="s">
        <v>584</v>
      </c>
      <c r="F141" s="102" t="s">
        <v>585</v>
      </c>
      <c r="G141" s="102" t="s">
        <v>353</v>
      </c>
      <c r="H141" s="102" t="s">
        <v>354</v>
      </c>
      <c r="I141" s="102" t="s">
        <v>284</v>
      </c>
      <c r="J141" s="102" t="s">
        <v>26</v>
      </c>
      <c r="L141" s="229" t="s">
        <v>6325</v>
      </c>
      <c r="M141" s="229" t="s">
        <v>6326</v>
      </c>
      <c r="N141" s="102"/>
      <c r="O141" s="102">
        <v>5.0</v>
      </c>
      <c r="P141" s="102" t="s">
        <v>538</v>
      </c>
      <c r="U141" s="102">
        <v>0.0</v>
      </c>
      <c r="V141" s="230" t="str">
        <f>IF(ISNUMBER(MATCH(B141, 'Sprint 13'!B:B, 0)), "มาจาก Sprint 13", "")</f>
        <v>มาจาก Sprint 13</v>
      </c>
      <c r="W141" s="230" t="str">
        <f t="array" ref="W141">IF(ISNUMBER(MATCH(B141, 'Sprint 13'!B:B, 0)), INDEX('Sprint 13'!J:J, MATCH(B141, 'Sprint 13'!B:B, 0)), "")</f>
        <v>Ready To Test</v>
      </c>
      <c r="X141" s="102">
        <v>57600.0</v>
      </c>
      <c r="Y141" s="102" t="s">
        <v>4919</v>
      </c>
      <c r="Z141" s="102" t="s">
        <v>4657</v>
      </c>
    </row>
    <row r="142">
      <c r="A142" s="102" t="s">
        <v>310</v>
      </c>
      <c r="B142" s="102" t="s">
        <v>6327</v>
      </c>
      <c r="C142" s="229" t="s">
        <v>6328</v>
      </c>
      <c r="D142" s="102" t="s">
        <v>6329</v>
      </c>
      <c r="E142" s="102" t="s">
        <v>584</v>
      </c>
      <c r="F142" s="102" t="s">
        <v>585</v>
      </c>
      <c r="G142" s="102" t="s">
        <v>353</v>
      </c>
      <c r="H142" s="102" t="s">
        <v>354</v>
      </c>
      <c r="I142" s="102" t="s">
        <v>284</v>
      </c>
      <c r="J142" s="102" t="s">
        <v>26</v>
      </c>
      <c r="L142" s="229" t="s">
        <v>6330</v>
      </c>
      <c r="M142" s="229" t="s">
        <v>6331</v>
      </c>
      <c r="N142" s="229" t="s">
        <v>6332</v>
      </c>
      <c r="O142" s="102">
        <v>5.0</v>
      </c>
      <c r="P142" s="102" t="s">
        <v>538</v>
      </c>
      <c r="U142" s="102">
        <v>0.0</v>
      </c>
      <c r="V142" s="230" t="str">
        <f>IF(ISNUMBER(MATCH(B142, 'Sprint 13'!B:B, 0)), "มาจาก Sprint 13", "")</f>
        <v>มาจาก Sprint 13</v>
      </c>
      <c r="W142" s="230" t="str">
        <f t="array" ref="W142">IF(ISNUMBER(MATCH(B142, 'Sprint 13'!B:B, 0)), INDEX('Sprint 13'!J:J, MATCH(B142, 'Sprint 13'!B:B, 0)), "")</f>
        <v>Ready To Test</v>
      </c>
      <c r="X142" s="102">
        <v>57600.0</v>
      </c>
      <c r="Y142" s="102" t="s">
        <v>4919</v>
      </c>
      <c r="Z142" s="102" t="s">
        <v>4657</v>
      </c>
    </row>
    <row r="143">
      <c r="A143" s="102" t="s">
        <v>310</v>
      </c>
      <c r="B143" s="102" t="s">
        <v>6333</v>
      </c>
      <c r="C143" s="229" t="s">
        <v>6334</v>
      </c>
      <c r="D143" s="102" t="s">
        <v>6335</v>
      </c>
      <c r="E143" s="102" t="s">
        <v>328</v>
      </c>
      <c r="F143" s="102" t="s">
        <v>329</v>
      </c>
      <c r="G143" s="102" t="s">
        <v>353</v>
      </c>
      <c r="H143" s="102" t="s">
        <v>354</v>
      </c>
      <c r="I143" s="102" t="s">
        <v>284</v>
      </c>
      <c r="J143" s="102" t="s">
        <v>26</v>
      </c>
      <c r="L143" s="229" t="s">
        <v>6336</v>
      </c>
      <c r="M143" s="229" t="s">
        <v>6337</v>
      </c>
      <c r="N143" s="229" t="s">
        <v>6306</v>
      </c>
      <c r="O143" s="102">
        <v>2.0</v>
      </c>
      <c r="P143" s="102" t="s">
        <v>538</v>
      </c>
      <c r="U143" s="102">
        <v>0.0</v>
      </c>
      <c r="V143" s="230" t="str">
        <f>IF(ISNUMBER(MATCH(B143, 'Sprint 13'!B:B, 0)), "มาจาก Sprint 13", "")</f>
        <v>มาจาก Sprint 13</v>
      </c>
      <c r="W143" s="230" t="str">
        <f t="array" ref="W143">IF(ISNUMBER(MATCH(B143, 'Sprint 13'!B:B, 0)), INDEX('Sprint 13'!J:J, MATCH(B143, 'Sprint 13'!B:B, 0)), "")</f>
        <v>Ready to Staging</v>
      </c>
      <c r="X143" s="102">
        <v>14400.0</v>
      </c>
      <c r="Y143" s="102" t="s">
        <v>4919</v>
      </c>
      <c r="Z143" s="102" t="s">
        <v>4657</v>
      </c>
    </row>
    <row r="144">
      <c r="A144" s="102" t="s">
        <v>310</v>
      </c>
      <c r="B144" s="102" t="s">
        <v>6338</v>
      </c>
      <c r="C144" s="229" t="s">
        <v>6339</v>
      </c>
      <c r="D144" s="102" t="s">
        <v>6340</v>
      </c>
      <c r="E144" s="102" t="s">
        <v>564</v>
      </c>
      <c r="F144" s="102" t="s">
        <v>565</v>
      </c>
      <c r="G144" s="102" t="s">
        <v>304</v>
      </c>
      <c r="H144" s="102" t="s">
        <v>305</v>
      </c>
      <c r="I144" s="102" t="s">
        <v>284</v>
      </c>
      <c r="J144" s="102" t="s">
        <v>26</v>
      </c>
      <c r="L144" s="229" t="s">
        <v>6341</v>
      </c>
      <c r="M144" s="229" t="s">
        <v>6342</v>
      </c>
      <c r="N144" s="229" t="s">
        <v>6176</v>
      </c>
      <c r="O144" s="102">
        <v>8.0</v>
      </c>
      <c r="P144" s="102" t="s">
        <v>1020</v>
      </c>
      <c r="U144" s="102">
        <v>0.0</v>
      </c>
      <c r="V144" s="230" t="str">
        <f>IF(ISNUMBER(MATCH(B144, 'Sprint 13'!B:B, 0)), "มาจาก Sprint 13", "")</f>
        <v>มาจาก Sprint 13</v>
      </c>
      <c r="W144" s="230" t="str">
        <f t="array" ref="W144">IF(ISNUMBER(MATCH(B144, 'Sprint 13'!B:B, 0)), INDEX('Sprint 13'!J:J, MATCH(B144, 'Sprint 13'!B:B, 0)), "")</f>
        <v>Ready To Test</v>
      </c>
      <c r="X144" s="102">
        <v>86400.0</v>
      </c>
      <c r="Y144" s="102" t="s">
        <v>2196</v>
      </c>
      <c r="Z144" s="102" t="s">
        <v>2185</v>
      </c>
    </row>
    <row r="145">
      <c r="A145" s="102" t="s">
        <v>276</v>
      </c>
      <c r="B145" s="102" t="s">
        <v>6343</v>
      </c>
      <c r="C145" s="229" t="s">
        <v>6344</v>
      </c>
      <c r="D145" s="102" t="s">
        <v>6345</v>
      </c>
      <c r="E145" s="102"/>
      <c r="F145" s="102"/>
      <c r="G145" s="102" t="s">
        <v>316</v>
      </c>
      <c r="H145" s="102" t="s">
        <v>317</v>
      </c>
      <c r="I145" s="102" t="s">
        <v>284</v>
      </c>
      <c r="J145" s="102" t="s">
        <v>26</v>
      </c>
      <c r="L145" s="229" t="s">
        <v>6346</v>
      </c>
      <c r="M145" s="229" t="s">
        <v>5740</v>
      </c>
      <c r="N145" s="102"/>
      <c r="O145" s="102"/>
      <c r="P145" s="102"/>
      <c r="U145" s="102"/>
      <c r="V145" s="230" t="str">
        <f>IF(ISNUMBER(MATCH(B145, 'Sprint 13'!B:B, 0)), "มาจาก Sprint 13", "")</f>
        <v>มาจาก Sprint 13</v>
      </c>
      <c r="W145" s="230" t="str">
        <f t="array" ref="W145">IF(ISNUMBER(MATCH(B145, 'Sprint 13'!B:B, 0)), INDEX('Sprint 13'!J:J, MATCH(B145, 'Sprint 13'!B:B, 0)), "")</f>
        <v>To Do</v>
      </c>
      <c r="X145" s="102"/>
      <c r="Y145" s="102" t="s">
        <v>4919</v>
      </c>
      <c r="Z145" s="102" t="s">
        <v>4657</v>
      </c>
    </row>
    <row r="146">
      <c r="A146" s="102" t="s">
        <v>310</v>
      </c>
      <c r="B146" s="102" t="s">
        <v>6347</v>
      </c>
      <c r="C146" s="229" t="s">
        <v>6348</v>
      </c>
      <c r="D146" s="102" t="s">
        <v>6349</v>
      </c>
      <c r="E146" s="102" t="s">
        <v>314</v>
      </c>
      <c r="F146" s="102" t="s">
        <v>315</v>
      </c>
      <c r="G146" s="102" t="s">
        <v>316</v>
      </c>
      <c r="H146" s="102" t="s">
        <v>317</v>
      </c>
      <c r="I146" s="102" t="s">
        <v>284</v>
      </c>
      <c r="J146" s="102" t="s">
        <v>26</v>
      </c>
      <c r="L146" s="229" t="s">
        <v>6350</v>
      </c>
      <c r="M146" s="229" t="s">
        <v>6351</v>
      </c>
      <c r="N146" s="102"/>
      <c r="O146" s="102">
        <v>1.0</v>
      </c>
      <c r="P146" s="102" t="s">
        <v>1756</v>
      </c>
      <c r="U146" s="102">
        <v>7200.0</v>
      </c>
      <c r="V146" s="230" t="str">
        <f>IF(ISNUMBER(MATCH(B146, 'Sprint 13'!B:B, 0)), "มาจาก Sprint 13", "")</f>
        <v>มาจาก Sprint 13</v>
      </c>
      <c r="W146" s="230" t="str">
        <f t="array" ref="W146">IF(ISNUMBER(MATCH(B146, 'Sprint 13'!B:B, 0)), INDEX('Sprint 13'!J:J, MATCH(B146, 'Sprint 13'!B:B, 0)), "")</f>
        <v>To Do</v>
      </c>
      <c r="X146" s="102"/>
      <c r="Y146" s="102" t="s">
        <v>4919</v>
      </c>
      <c r="Z146" s="102" t="s">
        <v>4657</v>
      </c>
    </row>
    <row r="147">
      <c r="A147" s="102" t="s">
        <v>310</v>
      </c>
      <c r="B147" s="102" t="s">
        <v>6352</v>
      </c>
      <c r="C147" s="229" t="s">
        <v>6353</v>
      </c>
      <c r="D147" s="102" t="s">
        <v>6354</v>
      </c>
      <c r="E147" s="102" t="s">
        <v>304</v>
      </c>
      <c r="F147" s="102" t="s">
        <v>305</v>
      </c>
      <c r="G147" s="102" t="s">
        <v>304</v>
      </c>
      <c r="H147" s="102" t="s">
        <v>305</v>
      </c>
      <c r="I147" s="102" t="s">
        <v>284</v>
      </c>
      <c r="J147" s="102" t="s">
        <v>26</v>
      </c>
      <c r="L147" s="229" t="s">
        <v>6355</v>
      </c>
      <c r="M147" s="229" t="s">
        <v>6252</v>
      </c>
      <c r="N147" s="229" t="s">
        <v>6356</v>
      </c>
      <c r="O147" s="102">
        <v>8.0</v>
      </c>
      <c r="P147" s="102" t="s">
        <v>1305</v>
      </c>
      <c r="U147" s="102">
        <v>0.0</v>
      </c>
      <c r="V147" s="230" t="str">
        <f>IF(ISNUMBER(MATCH(B147, 'Sprint 13'!B:B, 0)), "มาจาก Sprint 13", "")</f>
        <v>มาจาก Sprint 13</v>
      </c>
      <c r="W147" s="230" t="str">
        <f t="array" ref="W147">IF(ISNUMBER(MATCH(B147, 'Sprint 13'!B:B, 0)), INDEX('Sprint 13'!J:J, MATCH(B147, 'Sprint 13'!B:B, 0)), "")</f>
        <v>Ready To Test</v>
      </c>
      <c r="X147" s="102">
        <v>86400.0</v>
      </c>
      <c r="Y147" s="102" t="s">
        <v>2196</v>
      </c>
      <c r="Z147" s="102" t="s">
        <v>2185</v>
      </c>
    </row>
    <row r="148">
      <c r="A148" s="102" t="s">
        <v>310</v>
      </c>
      <c r="B148" s="102" t="s">
        <v>6357</v>
      </c>
      <c r="C148" s="229" t="s">
        <v>6358</v>
      </c>
      <c r="D148" s="102" t="s">
        <v>6359</v>
      </c>
      <c r="E148" s="102" t="s">
        <v>495</v>
      </c>
      <c r="F148" s="102" t="s">
        <v>496</v>
      </c>
      <c r="G148" s="102" t="s">
        <v>304</v>
      </c>
      <c r="H148" s="102" t="s">
        <v>305</v>
      </c>
      <c r="I148" s="102" t="s">
        <v>284</v>
      </c>
      <c r="J148" s="102" t="s">
        <v>26</v>
      </c>
      <c r="L148" s="229" t="s">
        <v>6360</v>
      </c>
      <c r="M148" s="229" t="s">
        <v>6262</v>
      </c>
      <c r="N148" s="229" t="s">
        <v>6356</v>
      </c>
      <c r="O148" s="102">
        <v>3.0</v>
      </c>
      <c r="P148" s="102" t="s">
        <v>1305</v>
      </c>
      <c r="U148" s="102">
        <v>0.0</v>
      </c>
      <c r="V148" s="230" t="str">
        <f>IF(ISNUMBER(MATCH(B148, 'Sprint 13'!B:B, 0)), "มาจาก Sprint 13", "")</f>
        <v>มาจาก Sprint 13</v>
      </c>
      <c r="W148" s="230" t="str">
        <f t="array" ref="W148">IF(ISNUMBER(MATCH(B148, 'Sprint 13'!B:B, 0)), INDEX('Sprint 13'!J:J, MATCH(B148, 'Sprint 13'!B:B, 0)), "")</f>
        <v>Ready To Test</v>
      </c>
      <c r="X148" s="102">
        <v>28800.0</v>
      </c>
      <c r="Y148" s="102" t="s">
        <v>2196</v>
      </c>
      <c r="Z148" s="102" t="s">
        <v>2185</v>
      </c>
    </row>
    <row r="149">
      <c r="A149" s="102" t="s">
        <v>310</v>
      </c>
      <c r="B149" s="102" t="s">
        <v>6361</v>
      </c>
      <c r="C149" s="229" t="s">
        <v>6362</v>
      </c>
      <c r="D149" s="102" t="s">
        <v>6363</v>
      </c>
      <c r="E149" s="102" t="s">
        <v>564</v>
      </c>
      <c r="F149" s="102" t="s">
        <v>565</v>
      </c>
      <c r="G149" s="102" t="s">
        <v>304</v>
      </c>
      <c r="H149" s="102" t="s">
        <v>305</v>
      </c>
      <c r="I149" s="102" t="s">
        <v>284</v>
      </c>
      <c r="J149" s="102" t="s">
        <v>26</v>
      </c>
      <c r="L149" s="229" t="s">
        <v>6364</v>
      </c>
      <c r="M149" s="229" t="s">
        <v>6365</v>
      </c>
      <c r="N149" s="229" t="s">
        <v>6356</v>
      </c>
      <c r="O149" s="102">
        <v>3.0</v>
      </c>
      <c r="P149" s="102" t="s">
        <v>1305</v>
      </c>
      <c r="Q149" s="102"/>
      <c r="U149" s="102">
        <v>0.0</v>
      </c>
      <c r="V149" s="230" t="str">
        <f>IF(ISNUMBER(MATCH(B149, 'Sprint 13'!B:B, 0)), "มาจาก Sprint 13", "")</f>
        <v>มาจาก Sprint 13</v>
      </c>
      <c r="W149" s="230" t="str">
        <f t="array" ref="W149">IF(ISNUMBER(MATCH(B149, 'Sprint 13'!B:B, 0)), INDEX('Sprint 13'!J:J, MATCH(B149, 'Sprint 13'!B:B, 0)), "")</f>
        <v>Ready To Test</v>
      </c>
      <c r="X149" s="102">
        <v>28800.0</v>
      </c>
      <c r="Y149" s="102" t="s">
        <v>2196</v>
      </c>
      <c r="Z149" s="102" t="s">
        <v>2185</v>
      </c>
    </row>
    <row r="150">
      <c r="A150" s="102" t="s">
        <v>310</v>
      </c>
      <c r="B150" s="102" t="s">
        <v>6366</v>
      </c>
      <c r="C150" s="229" t="s">
        <v>6367</v>
      </c>
      <c r="D150" s="102" t="s">
        <v>6368</v>
      </c>
      <c r="E150" s="102" t="s">
        <v>564</v>
      </c>
      <c r="F150" s="102" t="s">
        <v>565</v>
      </c>
      <c r="G150" s="102" t="s">
        <v>304</v>
      </c>
      <c r="H150" s="102" t="s">
        <v>305</v>
      </c>
      <c r="I150" s="102" t="s">
        <v>284</v>
      </c>
      <c r="J150" s="102" t="s">
        <v>26</v>
      </c>
      <c r="L150" s="229" t="s">
        <v>6369</v>
      </c>
      <c r="M150" s="229" t="s">
        <v>6370</v>
      </c>
      <c r="N150" s="229" t="s">
        <v>6306</v>
      </c>
      <c r="O150" s="102">
        <v>5.0</v>
      </c>
      <c r="P150" s="102" t="s">
        <v>1305</v>
      </c>
      <c r="Q150" s="102"/>
      <c r="U150" s="102">
        <v>0.0</v>
      </c>
      <c r="V150" s="230" t="str">
        <f>IF(ISNUMBER(MATCH(B150, 'Sprint 13'!B:B, 0)), "มาจาก Sprint 13", "")</f>
        <v>มาจาก Sprint 13</v>
      </c>
      <c r="W150" s="230" t="str">
        <f t="array" ref="W150">IF(ISNUMBER(MATCH(B150, 'Sprint 13'!B:B, 0)), INDEX('Sprint 13'!J:J, MATCH(B150, 'Sprint 13'!B:B, 0)), "")</f>
        <v>Ready To Test</v>
      </c>
      <c r="X150" s="102">
        <v>57600.0</v>
      </c>
      <c r="Y150" s="102" t="s">
        <v>2196</v>
      </c>
      <c r="Z150" s="102" t="s">
        <v>2185</v>
      </c>
    </row>
    <row r="151">
      <c r="A151" s="102" t="s">
        <v>310</v>
      </c>
      <c r="B151" s="102" t="s">
        <v>6371</v>
      </c>
      <c r="C151" s="229" t="s">
        <v>6372</v>
      </c>
      <c r="D151" s="102" t="s">
        <v>6373</v>
      </c>
      <c r="E151" s="102" t="s">
        <v>328</v>
      </c>
      <c r="F151" s="102" t="s">
        <v>329</v>
      </c>
      <c r="G151" s="102" t="s">
        <v>304</v>
      </c>
      <c r="H151" s="102" t="s">
        <v>305</v>
      </c>
      <c r="I151" s="102" t="s">
        <v>284</v>
      </c>
      <c r="J151" s="102" t="s">
        <v>26</v>
      </c>
      <c r="L151" s="229" t="s">
        <v>6374</v>
      </c>
      <c r="M151" s="229" t="s">
        <v>6375</v>
      </c>
      <c r="N151" s="229" t="s">
        <v>6332</v>
      </c>
      <c r="O151" s="102">
        <v>3.0</v>
      </c>
      <c r="P151" s="102" t="s">
        <v>1305</v>
      </c>
      <c r="Q151" s="102" t="s">
        <v>593</v>
      </c>
      <c r="U151" s="102">
        <v>0.0</v>
      </c>
      <c r="V151" s="230" t="str">
        <f>IF(ISNUMBER(MATCH(B151, 'Sprint 13'!B:B, 0)), "มาจาก Sprint 13", "")</f>
        <v>มาจาก Sprint 13</v>
      </c>
      <c r="W151" s="230" t="str">
        <f t="array" ref="W151">IF(ISNUMBER(MATCH(B151, 'Sprint 13'!B:B, 0)), INDEX('Sprint 13'!J:J, MATCH(B151, 'Sprint 13'!B:B, 0)), "")</f>
        <v>Ready To Test</v>
      </c>
      <c r="X151" s="102">
        <v>28800.0</v>
      </c>
      <c r="Y151" s="102" t="s">
        <v>2196</v>
      </c>
      <c r="Z151" s="102" t="s">
        <v>2185</v>
      </c>
      <c r="AA151" s="102"/>
    </row>
    <row r="152">
      <c r="A152" s="102" t="s">
        <v>310</v>
      </c>
      <c r="B152" s="102" t="s">
        <v>6376</v>
      </c>
      <c r="C152" s="229" t="s">
        <v>6377</v>
      </c>
      <c r="D152" s="102" t="s">
        <v>6378</v>
      </c>
      <c r="E152" s="102" t="s">
        <v>328</v>
      </c>
      <c r="F152" s="102" t="s">
        <v>329</v>
      </c>
      <c r="G152" s="102" t="s">
        <v>304</v>
      </c>
      <c r="H152" s="102" t="s">
        <v>305</v>
      </c>
      <c r="I152" s="102" t="s">
        <v>284</v>
      </c>
      <c r="J152" s="102" t="s">
        <v>26</v>
      </c>
      <c r="L152" s="229" t="s">
        <v>6379</v>
      </c>
      <c r="M152" s="229" t="s">
        <v>6375</v>
      </c>
      <c r="N152" s="229" t="s">
        <v>4959</v>
      </c>
      <c r="O152" s="102">
        <v>1.0</v>
      </c>
      <c r="P152" s="102" t="s">
        <v>1305</v>
      </c>
      <c r="Q152" s="102" t="s">
        <v>593</v>
      </c>
      <c r="U152" s="102">
        <v>0.0</v>
      </c>
      <c r="V152" s="230" t="str">
        <f>IF(ISNUMBER(MATCH(B152, 'Sprint 13'!B:B, 0)), "มาจาก Sprint 13", "")</f>
        <v>มาจาก Sprint 13</v>
      </c>
      <c r="W152" s="230" t="str">
        <f t="array" ref="W152">IF(ISNUMBER(MATCH(B152, 'Sprint 13'!B:B, 0)), INDEX('Sprint 13'!J:J, MATCH(B152, 'Sprint 13'!B:B, 0)), "")</f>
        <v>Ready To Test</v>
      </c>
      <c r="X152" s="102"/>
      <c r="Y152" s="102" t="s">
        <v>2196</v>
      </c>
      <c r="Z152" s="102" t="s">
        <v>2185</v>
      </c>
    </row>
    <row r="153">
      <c r="A153" s="102" t="s">
        <v>332</v>
      </c>
      <c r="B153" s="102" t="s">
        <v>6380</v>
      </c>
      <c r="C153" s="229" t="s">
        <v>6381</v>
      </c>
      <c r="D153" s="102" t="s">
        <v>6382</v>
      </c>
      <c r="E153" s="102" t="s">
        <v>6315</v>
      </c>
      <c r="F153" s="102" t="s">
        <v>6316</v>
      </c>
      <c r="G153" s="102" t="s">
        <v>521</v>
      </c>
      <c r="H153" s="102" t="s">
        <v>522</v>
      </c>
      <c r="I153" s="102" t="s">
        <v>515</v>
      </c>
      <c r="J153" s="102" t="s">
        <v>336</v>
      </c>
      <c r="L153" s="229" t="s">
        <v>6383</v>
      </c>
      <c r="M153" s="229" t="s">
        <v>6145</v>
      </c>
      <c r="O153" s="102"/>
      <c r="P153" s="102"/>
      <c r="U153" s="230"/>
      <c r="V153" s="230" t="str">
        <f>IF(ISNUMBER(MATCH(B153, 'Sprint 13'!B:B, 0)), "มาจาก Sprint 13", "")</f>
        <v>มาจาก Sprint 13</v>
      </c>
      <c r="W153" s="230" t="str">
        <f t="array" ref="W153">IF(ISNUMBER(MATCH(B153, 'Sprint 13'!B:B, 0)), INDEX('Sprint 13'!J:J, MATCH(B153, 'Sprint 13'!B:B, 0)), "")</f>
        <v>Resolved</v>
      </c>
      <c r="X153" s="230"/>
      <c r="Y153" s="102" t="s">
        <v>5896</v>
      </c>
      <c r="Z153" s="102" t="s">
        <v>5837</v>
      </c>
      <c r="AA153" s="102" t="s">
        <v>5838</v>
      </c>
    </row>
    <row r="154">
      <c r="A154" s="102" t="s">
        <v>310</v>
      </c>
      <c r="B154" s="102" t="s">
        <v>6384</v>
      </c>
      <c r="C154" s="229" t="s">
        <v>6385</v>
      </c>
      <c r="D154" s="102" t="s">
        <v>6386</v>
      </c>
      <c r="E154" s="102" t="s">
        <v>513</v>
      </c>
      <c r="F154" s="102" t="s">
        <v>514</v>
      </c>
      <c r="G154" s="102" t="s">
        <v>513</v>
      </c>
      <c r="H154" s="102" t="s">
        <v>514</v>
      </c>
      <c r="I154" s="102" t="s">
        <v>284</v>
      </c>
      <c r="J154" s="102" t="s">
        <v>26</v>
      </c>
      <c r="L154" s="229" t="s">
        <v>6387</v>
      </c>
      <c r="M154" s="229" t="s">
        <v>6388</v>
      </c>
      <c r="N154" s="229" t="s">
        <v>6389</v>
      </c>
      <c r="O154" s="102">
        <v>3.0</v>
      </c>
      <c r="P154" s="102" t="s">
        <v>593</v>
      </c>
      <c r="U154" s="230"/>
      <c r="V154" s="230" t="str">
        <f>IF(ISNUMBER(MATCH(B154, 'Sprint 13'!B:B, 0)), "มาจาก Sprint 13", "")</f>
        <v/>
      </c>
      <c r="W154" s="230" t="str">
        <f t="array" ref="W154">IF(ISNUMBER(MATCH(B154, 'Sprint 13'!B:B, 0)), INDEX('Sprint 13'!J:J, MATCH(B154, 'Sprint 13'!B:B, 0)), "")</f>
        <v/>
      </c>
      <c r="X154" s="230"/>
      <c r="Y154" s="102" t="s">
        <v>5963</v>
      </c>
      <c r="Z154" s="102"/>
      <c r="AA154" s="102"/>
    </row>
    <row r="155">
      <c r="A155" s="102" t="s">
        <v>310</v>
      </c>
      <c r="B155" s="102" t="s">
        <v>6390</v>
      </c>
      <c r="C155" s="229" t="s">
        <v>6391</v>
      </c>
      <c r="D155" s="102" t="s">
        <v>6392</v>
      </c>
      <c r="E155" s="102" t="s">
        <v>513</v>
      </c>
      <c r="F155" s="102" t="s">
        <v>514</v>
      </c>
      <c r="G155" s="102" t="s">
        <v>513</v>
      </c>
      <c r="H155" s="102" t="s">
        <v>514</v>
      </c>
      <c r="I155" s="102" t="s">
        <v>284</v>
      </c>
      <c r="J155" s="102" t="s">
        <v>26</v>
      </c>
      <c r="L155" s="229" t="s">
        <v>6387</v>
      </c>
      <c r="M155" s="229" t="s">
        <v>6388</v>
      </c>
      <c r="N155" s="229" t="s">
        <v>6389</v>
      </c>
      <c r="O155" s="102">
        <v>3.0</v>
      </c>
      <c r="P155" s="102" t="s">
        <v>593</v>
      </c>
      <c r="U155" s="102">
        <v>28800.0</v>
      </c>
      <c r="V155" s="230" t="str">
        <f>IF(ISNUMBER(MATCH(B155, 'Sprint 13'!B:B, 0)), "มาจาก Sprint 13", "")</f>
        <v/>
      </c>
      <c r="W155" s="230" t="str">
        <f t="array" ref="W155">IF(ISNUMBER(MATCH(B155, 'Sprint 13'!B:B, 0)), INDEX('Sprint 13'!J:J, MATCH(B155, 'Sprint 13'!B:B, 0)), "")</f>
        <v/>
      </c>
      <c r="X155" s="102"/>
      <c r="Y155" s="102" t="s">
        <v>5963</v>
      </c>
      <c r="Z155" s="102"/>
      <c r="AA155" s="102"/>
    </row>
    <row r="156">
      <c r="A156" s="102" t="s">
        <v>332</v>
      </c>
      <c r="B156" s="102" t="s">
        <v>6393</v>
      </c>
      <c r="C156" s="229" t="s">
        <v>6394</v>
      </c>
      <c r="D156" s="102" t="s">
        <v>6395</v>
      </c>
      <c r="E156" s="102" t="s">
        <v>495</v>
      </c>
      <c r="F156" s="102" t="s">
        <v>496</v>
      </c>
      <c r="G156" s="102" t="s">
        <v>280</v>
      </c>
      <c r="H156" s="102" t="s">
        <v>281</v>
      </c>
      <c r="I156" s="102" t="s">
        <v>284</v>
      </c>
      <c r="J156" s="102" t="s">
        <v>336</v>
      </c>
      <c r="L156" s="229" t="s">
        <v>6396</v>
      </c>
      <c r="M156" s="229" t="s">
        <v>6397</v>
      </c>
      <c r="O156" s="230"/>
      <c r="P156" s="102"/>
      <c r="U156" s="230"/>
      <c r="V156" s="230" t="str">
        <f>IF(ISNUMBER(MATCH(B156, 'Sprint 13'!B:B, 0)), "มาจาก Sprint 13", "")</f>
        <v>มาจาก Sprint 13</v>
      </c>
      <c r="W156" s="230" t="str">
        <f t="array" ref="W156">IF(ISNUMBER(MATCH(B156, 'Sprint 13'!B:B, 0)), INDEX('Sprint 13'!J:J, MATCH(B156, 'Sprint 13'!B:B, 0)), "")</f>
        <v>Fixing</v>
      </c>
      <c r="X156" s="230"/>
      <c r="Y156" s="102" t="s">
        <v>1366</v>
      </c>
      <c r="Z156" s="102" t="s">
        <v>1367</v>
      </c>
      <c r="AA156" s="102" t="s">
        <v>1368</v>
      </c>
    </row>
    <row r="157">
      <c r="A157" s="102" t="s">
        <v>630</v>
      </c>
      <c r="B157" s="102" t="s">
        <v>2201</v>
      </c>
      <c r="C157" s="229" t="s">
        <v>2202</v>
      </c>
      <c r="D157" s="102" t="s">
        <v>2203</v>
      </c>
      <c r="E157" s="102"/>
      <c r="F157" s="102"/>
      <c r="G157" s="102" t="s">
        <v>304</v>
      </c>
      <c r="H157" s="102" t="s">
        <v>305</v>
      </c>
      <c r="I157" s="102" t="s">
        <v>284</v>
      </c>
      <c r="J157" s="102" t="s">
        <v>63</v>
      </c>
      <c r="L157" s="229" t="s">
        <v>2204</v>
      </c>
      <c r="M157" s="229" t="s">
        <v>6140</v>
      </c>
      <c r="N157" s="102"/>
      <c r="O157" s="102"/>
      <c r="U157" s="230"/>
      <c r="V157" s="230" t="str">
        <f>IF(ISNUMBER(MATCH(B157, 'Sprint 13'!B:B, 0)), "มาจาก Sprint 13", "")</f>
        <v>มาจาก Sprint 13</v>
      </c>
      <c r="W157" s="230" t="str">
        <f t="array" ref="W157">IF(ISNUMBER(MATCH(B157, 'Sprint 13'!B:B, 0)), INDEX('Sprint 13'!J:J, MATCH(B157, 'Sprint 13'!B:B, 0)), "")</f>
        <v>To Do</v>
      </c>
      <c r="X157" s="230"/>
      <c r="Y157" s="102" t="s">
        <v>2205</v>
      </c>
      <c r="Z157" s="102" t="s">
        <v>2196</v>
      </c>
      <c r="AA157" s="102" t="s">
        <v>2185</v>
      </c>
    </row>
    <row r="158">
      <c r="A158" s="102" t="s">
        <v>630</v>
      </c>
      <c r="B158" s="102" t="s">
        <v>2206</v>
      </c>
      <c r="C158" s="229" t="s">
        <v>2207</v>
      </c>
      <c r="D158" s="102" t="s">
        <v>2208</v>
      </c>
      <c r="E158" s="102"/>
      <c r="F158" s="102"/>
      <c r="G158" s="102" t="s">
        <v>304</v>
      </c>
      <c r="H158" s="102" t="s">
        <v>305</v>
      </c>
      <c r="I158" s="102" t="s">
        <v>284</v>
      </c>
      <c r="J158" s="102" t="s">
        <v>63</v>
      </c>
      <c r="L158" s="229" t="s">
        <v>2209</v>
      </c>
      <c r="M158" s="229" t="s">
        <v>6140</v>
      </c>
      <c r="N158" s="102"/>
      <c r="O158" s="102"/>
      <c r="P158" s="102" t="s">
        <v>1808</v>
      </c>
      <c r="U158" s="102"/>
      <c r="V158" s="230" t="str">
        <f>IF(ISNUMBER(MATCH(B158, 'Sprint 13'!B:B, 0)), "มาจาก Sprint 13", "")</f>
        <v>มาจาก Sprint 13</v>
      </c>
      <c r="W158" s="230" t="str">
        <f t="array" ref="W158">IF(ISNUMBER(MATCH(B158, 'Sprint 13'!B:B, 0)), INDEX('Sprint 13'!J:J, MATCH(B158, 'Sprint 13'!B:B, 0)), "")</f>
        <v>To Do</v>
      </c>
      <c r="X158" s="102"/>
      <c r="Y158" s="102" t="s">
        <v>2205</v>
      </c>
      <c r="Z158" s="102" t="s">
        <v>2196</v>
      </c>
      <c r="AA158" s="102" t="s">
        <v>2185</v>
      </c>
    </row>
    <row r="159">
      <c r="A159" s="102" t="s">
        <v>310</v>
      </c>
      <c r="B159" s="102" t="s">
        <v>4920</v>
      </c>
      <c r="C159" s="229" t="s">
        <v>4921</v>
      </c>
      <c r="D159" s="102" t="s">
        <v>4922</v>
      </c>
      <c r="E159" s="102" t="s">
        <v>282</v>
      </c>
      <c r="F159" s="102" t="s">
        <v>283</v>
      </c>
      <c r="G159" s="102" t="s">
        <v>316</v>
      </c>
      <c r="H159" s="102" t="s">
        <v>317</v>
      </c>
      <c r="I159" s="102" t="s">
        <v>284</v>
      </c>
      <c r="J159" s="102" t="s">
        <v>63</v>
      </c>
      <c r="L159" s="229" t="s">
        <v>4923</v>
      </c>
      <c r="M159" s="229" t="s">
        <v>6184</v>
      </c>
      <c r="N159" s="229" t="s">
        <v>4925</v>
      </c>
      <c r="O159" s="102">
        <v>8.0</v>
      </c>
      <c r="P159" s="102"/>
      <c r="U159" s="102"/>
      <c r="V159" s="230" t="str">
        <f>IF(ISNUMBER(MATCH(B159, 'Sprint 13'!B:B, 0)), "มาจาก Sprint 13", "")</f>
        <v>มาจาก Sprint 13</v>
      </c>
      <c r="W159" s="230" t="str">
        <f t="array" ref="W159">IF(ISNUMBER(MATCH(B159, 'Sprint 13'!B:B, 0)), INDEX('Sprint 13'!J:J, MATCH(B159, 'Sprint 13'!B:B, 0)), "")</f>
        <v>To Do</v>
      </c>
      <c r="X159" s="102"/>
      <c r="Y159" s="102" t="s">
        <v>4919</v>
      </c>
      <c r="Z159" s="102" t="s">
        <v>4657</v>
      </c>
      <c r="AA159" s="102"/>
    </row>
    <row r="160">
      <c r="A160" s="102" t="s">
        <v>310</v>
      </c>
      <c r="B160" s="102" t="s">
        <v>5891</v>
      </c>
      <c r="C160" s="229" t="s">
        <v>5892</v>
      </c>
      <c r="D160" s="102" t="s">
        <v>5893</v>
      </c>
      <c r="E160" s="102" t="s">
        <v>513</v>
      </c>
      <c r="F160" s="102" t="s">
        <v>514</v>
      </c>
      <c r="G160" s="102" t="s">
        <v>353</v>
      </c>
      <c r="H160" s="102" t="s">
        <v>354</v>
      </c>
      <c r="I160" s="102" t="s">
        <v>515</v>
      </c>
      <c r="J160" s="102" t="s">
        <v>454</v>
      </c>
      <c r="L160" s="229" t="s">
        <v>5894</v>
      </c>
      <c r="M160" s="229" t="s">
        <v>5836</v>
      </c>
      <c r="N160" s="229" t="s">
        <v>5895</v>
      </c>
      <c r="O160" s="102">
        <v>3.0</v>
      </c>
      <c r="P160" s="102" t="s">
        <v>593</v>
      </c>
      <c r="U160" s="102">
        <v>0.0</v>
      </c>
      <c r="V160" s="230" t="str">
        <f>IF(ISNUMBER(MATCH(B160, 'Sprint 13'!B:B, 0)), "มาจาก Sprint 13", "")</f>
        <v>มาจาก Sprint 13</v>
      </c>
      <c r="W160" s="230" t="str">
        <f t="array" ref="W160">IF(ISNUMBER(MATCH(B160, 'Sprint 13'!B:B, 0)), INDEX('Sprint 13'!J:J, MATCH(B160, 'Sprint 13'!B:B, 0)), "")</f>
        <v>Ready to Staging</v>
      </c>
      <c r="X160" s="102">
        <v>28800.0</v>
      </c>
      <c r="Y160" s="102" t="s">
        <v>5896</v>
      </c>
      <c r="Z160" s="102" t="s">
        <v>5837</v>
      </c>
      <c r="AA160" s="102" t="s">
        <v>5838</v>
      </c>
      <c r="AB160" s="102" t="s">
        <v>5839</v>
      </c>
    </row>
    <row r="161">
      <c r="A161" s="102" t="s">
        <v>310</v>
      </c>
      <c r="B161" s="102" t="s">
        <v>5550</v>
      </c>
      <c r="C161" s="229" t="s">
        <v>5551</v>
      </c>
      <c r="D161" s="102" t="s">
        <v>5552</v>
      </c>
      <c r="E161" s="102" t="s">
        <v>314</v>
      </c>
      <c r="F161" s="102" t="s">
        <v>315</v>
      </c>
      <c r="G161" s="102" t="s">
        <v>314</v>
      </c>
      <c r="H161" s="102" t="s">
        <v>315</v>
      </c>
      <c r="I161" s="102" t="s">
        <v>648</v>
      </c>
      <c r="J161" s="102" t="s">
        <v>355</v>
      </c>
      <c r="L161" s="229" t="s">
        <v>5553</v>
      </c>
      <c r="M161" s="229" t="s">
        <v>5768</v>
      </c>
      <c r="N161" s="102"/>
      <c r="O161" s="102">
        <v>3.0</v>
      </c>
      <c r="P161" s="102" t="s">
        <v>593</v>
      </c>
      <c r="U161" s="102">
        <v>14400.0</v>
      </c>
      <c r="V161" s="230" t="str">
        <f>IF(ISNUMBER(MATCH(B161, 'Sprint 13'!B:B, 0)), "มาจาก Sprint 13", "")</f>
        <v>มาจาก Sprint 13</v>
      </c>
      <c r="W161" s="230" t="str">
        <f t="array" ref="W161">IF(ISNUMBER(MATCH(B161, 'Sprint 13'!B:B, 0)), INDEX('Sprint 13'!J:J, MATCH(B161, 'Sprint 13'!B:B, 0)), "")</f>
        <v>In Progress</v>
      </c>
      <c r="X161" s="102" t="s">
        <v>3539</v>
      </c>
      <c r="Y161" s="102" t="s">
        <v>1366</v>
      </c>
      <c r="Z161" s="102" t="s">
        <v>1367</v>
      </c>
      <c r="AA161" s="102" t="s">
        <v>1368</v>
      </c>
      <c r="AB161" s="102" t="s">
        <v>1369</v>
      </c>
    </row>
    <row r="162">
      <c r="A162" s="102" t="s">
        <v>310</v>
      </c>
      <c r="B162" s="102" t="s">
        <v>6398</v>
      </c>
      <c r="C162" s="229" t="s">
        <v>6399</v>
      </c>
      <c r="D162" s="102" t="s">
        <v>6400</v>
      </c>
      <c r="E162" s="102" t="s">
        <v>304</v>
      </c>
      <c r="F162" s="102" t="s">
        <v>305</v>
      </c>
      <c r="G162" s="102" t="s">
        <v>314</v>
      </c>
      <c r="H162" s="102" t="s">
        <v>315</v>
      </c>
      <c r="I162" s="102" t="s">
        <v>284</v>
      </c>
      <c r="J162" s="102" t="s">
        <v>26</v>
      </c>
      <c r="L162" s="229" t="s">
        <v>6401</v>
      </c>
      <c r="M162" s="229" t="s">
        <v>6402</v>
      </c>
      <c r="N162" s="102"/>
      <c r="O162" s="102">
        <v>3.0</v>
      </c>
      <c r="P162" s="102"/>
      <c r="U162" s="102"/>
      <c r="V162" s="230" t="str">
        <f>IF(ISNUMBER(MATCH(B162, 'Sprint 13'!B:B, 0)), "มาจาก Sprint 13", "")</f>
        <v>มาจาก Sprint 13</v>
      </c>
      <c r="W162" s="230" t="str">
        <f t="array" ref="W162">IF(ISNUMBER(MATCH(B162, 'Sprint 13'!B:B, 0)), INDEX('Sprint 13'!J:J, MATCH(B162, 'Sprint 13'!B:B, 0)), "")</f>
        <v>In Progress</v>
      </c>
      <c r="X162" s="102"/>
      <c r="Y162" s="102" t="s">
        <v>1366</v>
      </c>
      <c r="Z162" s="102" t="s">
        <v>1367</v>
      </c>
      <c r="AA162" s="102" t="s">
        <v>1368</v>
      </c>
    </row>
    <row r="163">
      <c r="A163" s="102" t="s">
        <v>4943</v>
      </c>
      <c r="B163" s="102" t="s">
        <v>4944</v>
      </c>
      <c r="C163" s="229" t="s">
        <v>4945</v>
      </c>
      <c r="D163" s="102" t="s">
        <v>4946</v>
      </c>
      <c r="E163" s="102" t="s">
        <v>282</v>
      </c>
      <c r="F163" s="102" t="s">
        <v>283</v>
      </c>
      <c r="G163" s="102" t="s">
        <v>316</v>
      </c>
      <c r="H163" s="102" t="s">
        <v>317</v>
      </c>
      <c r="I163" s="102" t="s">
        <v>284</v>
      </c>
      <c r="J163" s="102" t="s">
        <v>355</v>
      </c>
      <c r="L163" s="229" t="s">
        <v>4947</v>
      </c>
      <c r="M163" s="229" t="s">
        <v>6403</v>
      </c>
      <c r="N163" s="229" t="s">
        <v>4948</v>
      </c>
      <c r="O163" s="102"/>
      <c r="P163" s="102" t="s">
        <v>783</v>
      </c>
      <c r="U163" s="230"/>
      <c r="V163" s="230" t="str">
        <f>IF(ISNUMBER(MATCH(B163, 'Sprint 13'!B:B, 0)), "มาจาก Sprint 13", "")</f>
        <v>มาจาก Sprint 13</v>
      </c>
      <c r="W163" s="230" t="str">
        <f t="array" ref="W163">IF(ISNUMBER(MATCH(B163, 'Sprint 13'!B:B, 0)), INDEX('Sprint 13'!J:J, MATCH(B163, 'Sprint 13'!B:B, 0)), "")</f>
        <v>In Progress</v>
      </c>
      <c r="X163" s="230"/>
      <c r="Y163" s="102" t="s">
        <v>4919</v>
      </c>
      <c r="Z163" s="102" t="s">
        <v>4657</v>
      </c>
      <c r="AA163" s="102"/>
      <c r="AB163" s="102"/>
    </row>
    <row r="164">
      <c r="A164" s="102" t="s">
        <v>310</v>
      </c>
      <c r="B164" s="102" t="s">
        <v>6404</v>
      </c>
      <c r="C164" s="229" t="s">
        <v>6405</v>
      </c>
      <c r="D164" s="102" t="s">
        <v>6406</v>
      </c>
      <c r="E164" s="102" t="s">
        <v>564</v>
      </c>
      <c r="F164" s="102" t="s">
        <v>565</v>
      </c>
      <c r="G164" s="102" t="s">
        <v>304</v>
      </c>
      <c r="H164" s="102" t="s">
        <v>305</v>
      </c>
      <c r="I164" s="102" t="s">
        <v>284</v>
      </c>
      <c r="J164" s="102" t="s">
        <v>26</v>
      </c>
      <c r="L164" s="229" t="s">
        <v>6407</v>
      </c>
      <c r="M164" s="229" t="s">
        <v>6408</v>
      </c>
      <c r="N164" s="229" t="s">
        <v>5895</v>
      </c>
      <c r="O164" s="102">
        <v>2.0</v>
      </c>
      <c r="P164" s="102" t="s">
        <v>1808</v>
      </c>
      <c r="U164" s="102">
        <v>0.0</v>
      </c>
      <c r="V164" s="230" t="str">
        <f>IF(ISNUMBER(MATCH(B164, 'Sprint 13'!B:B, 0)), "มาจาก Sprint 13", "")</f>
        <v>มาจาก Sprint 13</v>
      </c>
      <c r="W164" s="230" t="str">
        <f t="array" ref="W164">IF(ISNUMBER(MATCH(B164, 'Sprint 13'!B:B, 0)), INDEX('Sprint 13'!J:J, MATCH(B164, 'Sprint 13'!B:B, 0)), "")</f>
        <v>Ready To Test</v>
      </c>
      <c r="X164" s="102">
        <v>14400.0</v>
      </c>
      <c r="Y164" s="102" t="s">
        <v>2205</v>
      </c>
      <c r="Z164" s="102" t="s">
        <v>2196</v>
      </c>
      <c r="AA164" s="102" t="s">
        <v>2185</v>
      </c>
    </row>
    <row r="165">
      <c r="A165" s="102" t="s">
        <v>332</v>
      </c>
      <c r="B165" s="102" t="s">
        <v>4949</v>
      </c>
      <c r="C165" s="229" t="s">
        <v>4950</v>
      </c>
      <c r="D165" s="102" t="s">
        <v>4951</v>
      </c>
      <c r="E165" s="102" t="s">
        <v>353</v>
      </c>
      <c r="F165" s="102" t="s">
        <v>354</v>
      </c>
      <c r="G165" s="102" t="s">
        <v>353</v>
      </c>
      <c r="H165" s="102" t="s">
        <v>354</v>
      </c>
      <c r="I165" s="102" t="s">
        <v>284</v>
      </c>
      <c r="J165" s="102" t="s">
        <v>1738</v>
      </c>
      <c r="L165" s="229" t="s">
        <v>4952</v>
      </c>
      <c r="M165" s="229" t="s">
        <v>5740</v>
      </c>
      <c r="O165" s="102">
        <v>2.0</v>
      </c>
      <c r="P165" s="102" t="s">
        <v>593</v>
      </c>
      <c r="U165" s="230"/>
      <c r="V165" s="230" t="str">
        <f>IF(ISNUMBER(MATCH(B165, 'Sprint 13'!B:B, 0)), "มาจาก Sprint 13", "")</f>
        <v>มาจาก Sprint 13</v>
      </c>
      <c r="W165" s="230" t="str">
        <f t="array" ref="W165">IF(ISNUMBER(MATCH(B165, 'Sprint 13'!B:B, 0)), INDEX('Sprint 13'!J:J, MATCH(B165, 'Sprint 13'!B:B, 0)), "")</f>
        <v>Pass : Waiting for deployment</v>
      </c>
      <c r="X165" s="230"/>
      <c r="Y165" s="102" t="s">
        <v>4953</v>
      </c>
      <c r="Z165" s="102" t="s">
        <v>4954</v>
      </c>
      <c r="AA165" s="102" t="s">
        <v>4919</v>
      </c>
      <c r="AB165" s="102" t="s">
        <v>4657</v>
      </c>
      <c r="AC165" s="102" t="s">
        <v>2266</v>
      </c>
    </row>
    <row r="166">
      <c r="A166" s="102" t="s">
        <v>310</v>
      </c>
      <c r="B166" s="102" t="s">
        <v>6409</v>
      </c>
      <c r="C166" s="229" t="s">
        <v>6410</v>
      </c>
      <c r="D166" s="102" t="s">
        <v>6411</v>
      </c>
      <c r="E166" s="102" t="s">
        <v>564</v>
      </c>
      <c r="F166" s="102" t="s">
        <v>565</v>
      </c>
      <c r="G166" s="102" t="s">
        <v>282</v>
      </c>
      <c r="H166" s="102" t="s">
        <v>283</v>
      </c>
      <c r="I166" s="102" t="s">
        <v>284</v>
      </c>
      <c r="J166" s="102" t="s">
        <v>26</v>
      </c>
      <c r="L166" s="229" t="s">
        <v>6412</v>
      </c>
      <c r="M166" s="229" t="s">
        <v>6413</v>
      </c>
      <c r="N166" s="229" t="s">
        <v>6414</v>
      </c>
      <c r="O166" s="102">
        <v>3.0</v>
      </c>
      <c r="P166" s="102" t="s">
        <v>6415</v>
      </c>
      <c r="Q166" s="102"/>
      <c r="R166" s="102"/>
      <c r="U166" s="102">
        <v>0.0</v>
      </c>
      <c r="V166" s="230" t="str">
        <f>IF(ISNUMBER(MATCH(B166, 'Sprint 13'!B:B, 0)), "มาจาก Sprint 13", "")</f>
        <v>มาจาก Sprint 13</v>
      </c>
      <c r="W166" s="230" t="str">
        <f t="array" ref="W166">IF(ISNUMBER(MATCH(B166, 'Sprint 13'!B:B, 0)), INDEX('Sprint 13'!J:J, MATCH(B166, 'Sprint 13'!B:B, 0)), "")</f>
        <v>Ready To Test</v>
      </c>
      <c r="X166" s="102">
        <v>28800.0</v>
      </c>
      <c r="Y166" s="102" t="s">
        <v>4954</v>
      </c>
      <c r="Z166" s="102" t="s">
        <v>4919</v>
      </c>
      <c r="AA166" s="102" t="s">
        <v>4657</v>
      </c>
    </row>
    <row r="167">
      <c r="A167" s="102" t="s">
        <v>332</v>
      </c>
      <c r="B167" s="102" t="s">
        <v>5897</v>
      </c>
      <c r="C167" s="229" t="s">
        <v>5898</v>
      </c>
      <c r="D167" s="102" t="s">
        <v>5899</v>
      </c>
      <c r="E167" s="102" t="s">
        <v>556</v>
      </c>
      <c r="F167" s="102" t="s">
        <v>557</v>
      </c>
      <c r="G167" s="102" t="s">
        <v>391</v>
      </c>
      <c r="H167" s="102" t="s">
        <v>392</v>
      </c>
      <c r="I167" s="102" t="s">
        <v>284</v>
      </c>
      <c r="J167" s="102" t="s">
        <v>922</v>
      </c>
      <c r="L167" s="229" t="s">
        <v>5900</v>
      </c>
      <c r="M167" s="229" t="s">
        <v>5836</v>
      </c>
      <c r="O167" s="230"/>
      <c r="P167" s="102"/>
      <c r="U167" s="230"/>
      <c r="V167" s="230" t="str">
        <f>IF(ISNUMBER(MATCH(B167, 'Sprint 13'!B:B, 0)), "มาจาก Sprint 13", "")</f>
        <v>มาจาก Sprint 13</v>
      </c>
      <c r="W167" s="230" t="str">
        <f t="array" ref="W167">IF(ISNUMBER(MATCH(B167, 'Sprint 13'!B:B, 0)), INDEX('Sprint 13'!J:J, MATCH(B167, 'Sprint 13'!B:B, 0)), "")</f>
        <v>Resolved</v>
      </c>
      <c r="X167" s="230"/>
      <c r="Y167" s="102" t="s">
        <v>5901</v>
      </c>
      <c r="Z167" s="102" t="s">
        <v>5896</v>
      </c>
      <c r="AA167" s="102" t="s">
        <v>5837</v>
      </c>
      <c r="AB167" s="102" t="s">
        <v>5838</v>
      </c>
      <c r="AC167" s="102" t="s">
        <v>5839</v>
      </c>
    </row>
    <row r="168">
      <c r="A168" s="102" t="s">
        <v>332</v>
      </c>
      <c r="B168" s="102" t="s">
        <v>6416</v>
      </c>
      <c r="C168" s="229" t="s">
        <v>6417</v>
      </c>
      <c r="D168" s="102" t="s">
        <v>6418</v>
      </c>
      <c r="E168" s="102" t="s">
        <v>282</v>
      </c>
      <c r="F168" s="102" t="s">
        <v>283</v>
      </c>
      <c r="G168" s="102" t="s">
        <v>316</v>
      </c>
      <c r="H168" s="102" t="s">
        <v>317</v>
      </c>
      <c r="I168" s="102" t="s">
        <v>284</v>
      </c>
      <c r="J168" s="102" t="s">
        <v>478</v>
      </c>
      <c r="L168" s="229" t="s">
        <v>6419</v>
      </c>
      <c r="M168" s="229" t="s">
        <v>5978</v>
      </c>
      <c r="N168" s="229" t="s">
        <v>4959</v>
      </c>
      <c r="O168" s="102">
        <v>8.0</v>
      </c>
      <c r="P168" s="102" t="s">
        <v>4656</v>
      </c>
      <c r="Q168" s="102" t="s">
        <v>367</v>
      </c>
      <c r="R168" s="102" t="s">
        <v>783</v>
      </c>
      <c r="U168" s="230"/>
      <c r="V168" s="230" t="str">
        <f>IF(ISNUMBER(MATCH(B168, 'Sprint 13'!B:B, 0)), "มาจาก Sprint 13", "")</f>
        <v>มาจาก Sprint 13</v>
      </c>
      <c r="W168" s="230" t="str">
        <f t="array" ref="W168">IF(ISNUMBER(MATCH(B168, 'Sprint 13'!B:B, 0)), INDEX('Sprint 13'!J:J, MATCH(B168, 'Sprint 13'!B:B, 0)), "")</f>
        <v>Fixing</v>
      </c>
      <c r="X168" s="230"/>
      <c r="Y168" s="102" t="s">
        <v>4954</v>
      </c>
      <c r="Z168" s="102" t="s">
        <v>4919</v>
      </c>
      <c r="AA168" s="102" t="s">
        <v>4657</v>
      </c>
    </row>
    <row r="169">
      <c r="A169" s="102" t="s">
        <v>310</v>
      </c>
      <c r="B169" s="102" t="s">
        <v>6420</v>
      </c>
      <c r="C169" s="229" t="s">
        <v>6421</v>
      </c>
      <c r="D169" s="102" t="s">
        <v>6422</v>
      </c>
      <c r="E169" s="102" t="s">
        <v>584</v>
      </c>
      <c r="F169" s="102" t="s">
        <v>585</v>
      </c>
      <c r="G169" s="102" t="s">
        <v>282</v>
      </c>
      <c r="H169" s="102" t="s">
        <v>283</v>
      </c>
      <c r="I169" s="102" t="s">
        <v>284</v>
      </c>
      <c r="J169" s="102" t="s">
        <v>26</v>
      </c>
      <c r="L169" s="229" t="s">
        <v>6423</v>
      </c>
      <c r="M169" s="229" t="s">
        <v>6413</v>
      </c>
      <c r="O169" s="102"/>
      <c r="P169" s="102" t="s">
        <v>5547</v>
      </c>
      <c r="U169" s="102"/>
      <c r="V169" s="230" t="str">
        <f>IF(ISNUMBER(MATCH(B169, 'Sprint 13'!B:B, 0)), "มาจาก Sprint 13", "")</f>
        <v>มาจาก Sprint 13</v>
      </c>
      <c r="W169" s="230" t="str">
        <f t="array" ref="W169">IF(ISNUMBER(MATCH(B169, 'Sprint 13'!B:B, 0)), INDEX('Sprint 13'!J:J, MATCH(B169, 'Sprint 13'!B:B, 0)), "")</f>
        <v>Ready To Test</v>
      </c>
      <c r="X169" s="102"/>
      <c r="Y169" s="102" t="s">
        <v>4953</v>
      </c>
      <c r="Z169" s="102" t="s">
        <v>4954</v>
      </c>
      <c r="AA169" s="102" t="s">
        <v>4919</v>
      </c>
      <c r="AB169" s="102" t="s">
        <v>4657</v>
      </c>
    </row>
    <row r="170">
      <c r="A170" s="102" t="s">
        <v>310</v>
      </c>
      <c r="B170" s="102" t="s">
        <v>6424</v>
      </c>
      <c r="C170" s="229" t="s">
        <v>6425</v>
      </c>
      <c r="D170" s="102" t="s">
        <v>6426</v>
      </c>
      <c r="E170" s="102" t="s">
        <v>282</v>
      </c>
      <c r="F170" s="102" t="s">
        <v>283</v>
      </c>
      <c r="G170" s="102" t="s">
        <v>316</v>
      </c>
      <c r="H170" s="102" t="s">
        <v>317</v>
      </c>
      <c r="I170" s="102" t="s">
        <v>515</v>
      </c>
      <c r="J170" s="102" t="s">
        <v>26</v>
      </c>
      <c r="L170" s="229" t="s">
        <v>6427</v>
      </c>
      <c r="M170" s="229" t="s">
        <v>6428</v>
      </c>
      <c r="N170" s="229" t="s">
        <v>4959</v>
      </c>
      <c r="O170" s="102">
        <v>8.0</v>
      </c>
      <c r="P170" s="102" t="s">
        <v>366</v>
      </c>
      <c r="Q170" s="102" t="s">
        <v>367</v>
      </c>
      <c r="R170" s="102" t="s">
        <v>368</v>
      </c>
      <c r="U170" s="102"/>
      <c r="V170" s="230" t="str">
        <f>IF(ISNUMBER(MATCH(B170, 'Sprint 13'!B:B, 0)), "มาจาก Sprint 13", "")</f>
        <v/>
      </c>
      <c r="W170" s="230" t="str">
        <f t="array" ref="W170">IF(ISNUMBER(MATCH(B170, 'Sprint 13'!B:B, 0)), INDEX('Sprint 13'!J:J, MATCH(B170, 'Sprint 13'!B:B, 0)), "")</f>
        <v/>
      </c>
      <c r="X170" s="102"/>
      <c r="Y170" s="102" t="s">
        <v>4954</v>
      </c>
      <c r="Z170" s="102" t="s">
        <v>4657</v>
      </c>
      <c r="AA170" s="102"/>
      <c r="AB170" s="102"/>
    </row>
    <row r="171">
      <c r="A171" s="102" t="s">
        <v>310</v>
      </c>
      <c r="B171" s="102" t="s">
        <v>6429</v>
      </c>
      <c r="C171" s="229" t="s">
        <v>6430</v>
      </c>
      <c r="D171" s="102" t="s">
        <v>6431</v>
      </c>
      <c r="E171" s="102" t="s">
        <v>282</v>
      </c>
      <c r="F171" s="102" t="s">
        <v>283</v>
      </c>
      <c r="G171" s="102" t="s">
        <v>282</v>
      </c>
      <c r="H171" s="102" t="s">
        <v>283</v>
      </c>
      <c r="I171" s="102" t="s">
        <v>284</v>
      </c>
      <c r="J171" s="102" t="s">
        <v>2509</v>
      </c>
      <c r="L171" s="229" t="s">
        <v>6432</v>
      </c>
      <c r="M171" s="229" t="s">
        <v>5740</v>
      </c>
      <c r="O171" s="102">
        <v>5.0</v>
      </c>
      <c r="P171" s="102" t="s">
        <v>5907</v>
      </c>
      <c r="U171" s="102">
        <v>0.0</v>
      </c>
      <c r="V171" s="230" t="str">
        <f>IF(ISNUMBER(MATCH(B171, 'Sprint 13'!B:B, 0)), "มาจาก Sprint 13", "")</f>
        <v>มาจาก Sprint 13</v>
      </c>
      <c r="W171" s="230" t="str">
        <f t="array" ref="W171">IF(ISNUMBER(MATCH(B171, 'Sprint 13'!B:B, 0)), INDEX('Sprint 13'!J:J, MATCH(B171, 'Sprint 13'!B:B, 0)), "")</f>
        <v>Blocked</v>
      </c>
      <c r="X171" s="102">
        <v>115200.0</v>
      </c>
      <c r="Y171" s="102" t="s">
        <v>4953</v>
      </c>
      <c r="Z171" s="102" t="s">
        <v>4954</v>
      </c>
      <c r="AA171" s="102" t="s">
        <v>4919</v>
      </c>
      <c r="AB171" s="102" t="s">
        <v>4657</v>
      </c>
      <c r="AC171" s="102" t="s">
        <v>2266</v>
      </c>
    </row>
    <row r="172">
      <c r="A172" s="102" t="s">
        <v>310</v>
      </c>
      <c r="B172" s="102" t="s">
        <v>5902</v>
      </c>
      <c r="C172" s="229" t="s">
        <v>5903</v>
      </c>
      <c r="D172" s="102" t="s">
        <v>5904</v>
      </c>
      <c r="E172" s="102" t="s">
        <v>564</v>
      </c>
      <c r="F172" s="102" t="s">
        <v>565</v>
      </c>
      <c r="G172" s="102" t="s">
        <v>282</v>
      </c>
      <c r="H172" s="102" t="s">
        <v>283</v>
      </c>
      <c r="I172" s="102" t="s">
        <v>284</v>
      </c>
      <c r="J172" s="102" t="s">
        <v>454</v>
      </c>
      <c r="L172" s="229" t="s">
        <v>5905</v>
      </c>
      <c r="M172" s="229" t="s">
        <v>5740</v>
      </c>
      <c r="N172" s="229" t="s">
        <v>5906</v>
      </c>
      <c r="O172" s="102">
        <v>3.0</v>
      </c>
      <c r="P172" s="102" t="s">
        <v>5907</v>
      </c>
      <c r="Q172" s="102"/>
      <c r="U172" s="102">
        <v>0.0</v>
      </c>
      <c r="V172" s="230" t="str">
        <f>IF(ISNUMBER(MATCH(B172, 'Sprint 13'!B:B, 0)), "มาจาก Sprint 13", "")</f>
        <v>มาจาก Sprint 13</v>
      </c>
      <c r="W172" s="230" t="str">
        <f t="array" ref="W172">IF(ISNUMBER(MATCH(B172, 'Sprint 13'!B:B, 0)), INDEX('Sprint 13'!J:J, MATCH(B172, 'Sprint 13'!B:B, 0)), "")</f>
        <v>Ready To Test</v>
      </c>
      <c r="X172" s="102">
        <v>21600.0</v>
      </c>
      <c r="Y172" s="102" t="s">
        <v>4953</v>
      </c>
      <c r="Z172" s="102" t="s">
        <v>4954</v>
      </c>
      <c r="AA172" s="102" t="s">
        <v>4919</v>
      </c>
      <c r="AB172" s="102" t="s">
        <v>4657</v>
      </c>
      <c r="AC172" s="102" t="s">
        <v>2266</v>
      </c>
    </row>
    <row r="173">
      <c r="A173" s="102" t="s">
        <v>310</v>
      </c>
      <c r="B173" s="102" t="s">
        <v>5908</v>
      </c>
      <c r="C173" s="229" t="s">
        <v>5909</v>
      </c>
      <c r="D173" s="102" t="s">
        <v>5910</v>
      </c>
      <c r="E173" s="102" t="s">
        <v>584</v>
      </c>
      <c r="F173" s="102" t="s">
        <v>585</v>
      </c>
      <c r="G173" s="102" t="s">
        <v>282</v>
      </c>
      <c r="H173" s="102" t="s">
        <v>283</v>
      </c>
      <c r="I173" s="102" t="s">
        <v>284</v>
      </c>
      <c r="J173" s="102" t="s">
        <v>454</v>
      </c>
      <c r="L173" s="229" t="s">
        <v>5911</v>
      </c>
      <c r="M173" s="229" t="s">
        <v>5836</v>
      </c>
      <c r="O173" s="102">
        <v>2.0</v>
      </c>
      <c r="P173" s="102" t="s">
        <v>5912</v>
      </c>
      <c r="U173" s="102"/>
      <c r="V173" s="230" t="str">
        <f>IF(ISNUMBER(MATCH(B173, 'Sprint 13'!B:B, 0)), "มาจาก Sprint 13", "")</f>
        <v>มาจาก Sprint 13</v>
      </c>
      <c r="W173" s="230" t="str">
        <f t="array" ref="W173">IF(ISNUMBER(MATCH(B173, 'Sprint 13'!B:B, 0)), INDEX('Sprint 13'!J:J, MATCH(B173, 'Sprint 13'!B:B, 0)), "")</f>
        <v>Ready To Test</v>
      </c>
      <c r="X173" s="102"/>
      <c r="Y173" s="102" t="s">
        <v>5913</v>
      </c>
      <c r="Z173" s="102" t="s">
        <v>5901</v>
      </c>
      <c r="AA173" s="102" t="s">
        <v>5896</v>
      </c>
      <c r="AB173" s="102" t="s">
        <v>5837</v>
      </c>
      <c r="AC173" s="102" t="s">
        <v>5838</v>
      </c>
      <c r="AD173" s="102" t="s">
        <v>5839</v>
      </c>
    </row>
    <row r="174">
      <c r="A174" s="102" t="s">
        <v>332</v>
      </c>
      <c r="B174" s="102" t="s">
        <v>6433</v>
      </c>
      <c r="C174" s="229" t="s">
        <v>6434</v>
      </c>
      <c r="D174" s="102" t="s">
        <v>6435</v>
      </c>
      <c r="E174" s="102" t="s">
        <v>282</v>
      </c>
      <c r="F174" s="102" t="s">
        <v>283</v>
      </c>
      <c r="G174" s="102" t="s">
        <v>316</v>
      </c>
      <c r="H174" s="102" t="s">
        <v>317</v>
      </c>
      <c r="I174" s="102" t="s">
        <v>284</v>
      </c>
      <c r="J174" s="102" t="s">
        <v>336</v>
      </c>
      <c r="L174" s="229" t="s">
        <v>6436</v>
      </c>
      <c r="M174" s="229" t="s">
        <v>6437</v>
      </c>
      <c r="N174" s="229" t="s">
        <v>6438</v>
      </c>
      <c r="O174" s="102">
        <v>1.0</v>
      </c>
      <c r="P174" s="102" t="s">
        <v>367</v>
      </c>
      <c r="Q174" s="102" t="s">
        <v>783</v>
      </c>
      <c r="U174" s="102"/>
      <c r="V174" s="230" t="str">
        <f>IF(ISNUMBER(MATCH(B174, 'Sprint 13'!B:B, 0)), "มาจาก Sprint 13", "")</f>
        <v/>
      </c>
      <c r="W174" s="230" t="str">
        <f t="array" ref="W174">IF(ISNUMBER(MATCH(B174, 'Sprint 13'!B:B, 0)), INDEX('Sprint 13'!J:J, MATCH(B174, 'Sprint 13'!B:B, 0)), "")</f>
        <v/>
      </c>
      <c r="X174" s="102"/>
      <c r="Y174" s="102" t="s">
        <v>4953</v>
      </c>
      <c r="Z174" s="102" t="s">
        <v>4954</v>
      </c>
      <c r="AA174" s="102" t="s">
        <v>4657</v>
      </c>
      <c r="AB174" s="102"/>
      <c r="AC174" s="102"/>
    </row>
    <row r="175">
      <c r="A175" s="102" t="s">
        <v>310</v>
      </c>
      <c r="B175" s="102" t="s">
        <v>6439</v>
      </c>
      <c r="C175" s="229" t="s">
        <v>6440</v>
      </c>
      <c r="D175" s="102" t="s">
        <v>6441</v>
      </c>
      <c r="E175" s="102" t="s">
        <v>282</v>
      </c>
      <c r="F175" s="102" t="s">
        <v>283</v>
      </c>
      <c r="G175" s="102" t="s">
        <v>282</v>
      </c>
      <c r="H175" s="102" t="s">
        <v>283</v>
      </c>
      <c r="I175" s="102" t="s">
        <v>284</v>
      </c>
      <c r="J175" s="102" t="s">
        <v>26</v>
      </c>
      <c r="L175" s="229" t="s">
        <v>6442</v>
      </c>
      <c r="M175" s="229" t="s">
        <v>5478</v>
      </c>
      <c r="N175" s="102"/>
      <c r="O175" s="102">
        <v>5.0</v>
      </c>
      <c r="P175" s="102" t="s">
        <v>5547</v>
      </c>
      <c r="U175" s="102">
        <v>0.0</v>
      </c>
      <c r="V175" s="230" t="str">
        <f>IF(ISNUMBER(MATCH(B175, 'Sprint 13'!B:B, 0)), "มาจาก Sprint 13", "")</f>
        <v>มาจาก Sprint 13</v>
      </c>
      <c r="W175" s="230" t="str">
        <f t="array" ref="W175">IF(ISNUMBER(MATCH(B175, 'Sprint 13'!B:B, 0)), INDEX('Sprint 13'!J:J, MATCH(B175, 'Sprint 13'!B:B, 0)), "")</f>
        <v>Blocked</v>
      </c>
      <c r="X175" s="102">
        <v>72000.0</v>
      </c>
      <c r="Y175" s="102" t="s">
        <v>4961</v>
      </c>
      <c r="Z175" s="102" t="s">
        <v>4954</v>
      </c>
      <c r="AA175" s="102" t="s">
        <v>4919</v>
      </c>
      <c r="AB175" s="102" t="s">
        <v>4657</v>
      </c>
    </row>
    <row r="176">
      <c r="A176" s="102" t="s">
        <v>310</v>
      </c>
      <c r="B176" s="102" t="s">
        <v>5562</v>
      </c>
      <c r="C176" s="229" t="s">
        <v>5563</v>
      </c>
      <c r="D176" s="102" t="s">
        <v>5564</v>
      </c>
      <c r="E176" s="102" t="s">
        <v>556</v>
      </c>
      <c r="F176" s="102" t="s">
        <v>557</v>
      </c>
      <c r="G176" s="102" t="s">
        <v>282</v>
      </c>
      <c r="H176" s="102" t="s">
        <v>283</v>
      </c>
      <c r="I176" s="102" t="s">
        <v>284</v>
      </c>
      <c r="J176" s="102" t="s">
        <v>2509</v>
      </c>
      <c r="L176" s="229" t="s">
        <v>5565</v>
      </c>
      <c r="M176" s="229" t="s">
        <v>5740</v>
      </c>
      <c r="N176" s="229" t="s">
        <v>5567</v>
      </c>
      <c r="O176" s="102">
        <v>2.0</v>
      </c>
      <c r="P176" s="102" t="s">
        <v>5547</v>
      </c>
      <c r="U176" s="102">
        <v>0.0</v>
      </c>
      <c r="V176" s="230" t="str">
        <f>IF(ISNUMBER(MATCH(B176, 'Sprint 13'!B:B, 0)), "มาจาก Sprint 13", "")</f>
        <v>มาจาก Sprint 13</v>
      </c>
      <c r="W176" s="230" t="str">
        <f t="array" ref="W176">IF(ISNUMBER(MATCH(B176, 'Sprint 13'!B:B, 0)), INDEX('Sprint 13'!J:J, MATCH(B176, 'Sprint 13'!B:B, 0)), "")</f>
        <v>Blocked</v>
      </c>
      <c r="X176" s="102">
        <v>14400.0</v>
      </c>
      <c r="Y176" s="102" t="s">
        <v>4961</v>
      </c>
      <c r="Z176" s="102" t="s">
        <v>4953</v>
      </c>
      <c r="AA176" s="102" t="s">
        <v>4954</v>
      </c>
      <c r="AB176" s="102" t="s">
        <v>4919</v>
      </c>
      <c r="AC176" s="102" t="s">
        <v>4657</v>
      </c>
      <c r="AD176" s="102" t="s">
        <v>2266</v>
      </c>
      <c r="AE176" s="102"/>
    </row>
    <row r="177">
      <c r="A177" s="102" t="s">
        <v>332</v>
      </c>
      <c r="B177" s="102" t="s">
        <v>6443</v>
      </c>
      <c r="C177" s="229" t="s">
        <v>6444</v>
      </c>
      <c r="D177" s="102" t="s">
        <v>6445</v>
      </c>
      <c r="E177" s="102" t="s">
        <v>353</v>
      </c>
      <c r="F177" s="102" t="s">
        <v>354</v>
      </c>
      <c r="G177" s="102" t="s">
        <v>521</v>
      </c>
      <c r="H177" s="102" t="s">
        <v>522</v>
      </c>
      <c r="I177" s="102" t="s">
        <v>284</v>
      </c>
      <c r="J177" s="102" t="s">
        <v>336</v>
      </c>
      <c r="L177" s="229" t="s">
        <v>6446</v>
      </c>
      <c r="M177" s="229" t="s">
        <v>6447</v>
      </c>
      <c r="N177" s="102"/>
      <c r="O177" s="102"/>
      <c r="U177" s="102"/>
      <c r="V177" s="230" t="str">
        <f>IF(ISNUMBER(MATCH(B177, 'Sprint 13'!B:B, 0)), "มาจาก Sprint 13", "")</f>
        <v>มาจาก Sprint 13</v>
      </c>
      <c r="W177" s="230" t="str">
        <f t="array" ref="W177">IF(ISNUMBER(MATCH(B177, 'Sprint 13'!B:B, 0)), INDEX('Sprint 13'!J:J, MATCH(B177, 'Sprint 13'!B:B, 0)), "")</f>
        <v>Open</v>
      </c>
      <c r="X177" s="102"/>
      <c r="Y177" s="102" t="s">
        <v>6448</v>
      </c>
      <c r="Z177" s="102" t="s">
        <v>6449</v>
      </c>
      <c r="AA177" s="102" t="s">
        <v>6450</v>
      </c>
      <c r="AB177" s="102" t="s">
        <v>5901</v>
      </c>
      <c r="AC177" s="102" t="s">
        <v>2205</v>
      </c>
      <c r="AD177" s="102" t="s">
        <v>2196</v>
      </c>
      <c r="AE177" s="102" t="s">
        <v>2185</v>
      </c>
    </row>
    <row r="178">
      <c r="A178" s="102" t="s">
        <v>310</v>
      </c>
      <c r="B178" s="102" t="s">
        <v>5914</v>
      </c>
      <c r="C178" s="229" t="s">
        <v>5915</v>
      </c>
      <c r="D178" s="102" t="s">
        <v>5916</v>
      </c>
      <c r="E178" s="102" t="s">
        <v>584</v>
      </c>
      <c r="F178" s="102" t="s">
        <v>585</v>
      </c>
      <c r="G178" s="102" t="s">
        <v>353</v>
      </c>
      <c r="H178" s="102" t="s">
        <v>354</v>
      </c>
      <c r="I178" s="102" t="s">
        <v>284</v>
      </c>
      <c r="J178" s="102" t="s">
        <v>454</v>
      </c>
      <c r="L178" s="229" t="s">
        <v>5917</v>
      </c>
      <c r="M178" s="229" t="s">
        <v>5836</v>
      </c>
      <c r="N178" s="229" t="s">
        <v>5918</v>
      </c>
      <c r="O178" s="102">
        <v>3.0</v>
      </c>
      <c r="U178" s="102">
        <v>0.0</v>
      </c>
      <c r="V178" s="230" t="str">
        <f>IF(ISNUMBER(MATCH(B178, 'Sprint 13'!B:B, 0)), "มาจาก Sprint 13", "")</f>
        <v>มาจาก Sprint 13</v>
      </c>
      <c r="W178" s="230" t="str">
        <f t="array" ref="W178">IF(ISNUMBER(MATCH(B178, 'Sprint 13'!B:B, 0)), INDEX('Sprint 13'!J:J, MATCH(B178, 'Sprint 13'!B:B, 0)), "")</f>
        <v>Ready To Test</v>
      </c>
      <c r="X178" s="102">
        <v>21600.0</v>
      </c>
      <c r="Y178" s="102" t="s">
        <v>5919</v>
      </c>
      <c r="Z178" s="102" t="s">
        <v>5920</v>
      </c>
      <c r="AA178" s="102" t="s">
        <v>5913</v>
      </c>
      <c r="AB178" s="102" t="s">
        <v>5901</v>
      </c>
      <c r="AC178" s="102" t="s">
        <v>5896</v>
      </c>
      <c r="AD178" s="102" t="s">
        <v>5837</v>
      </c>
      <c r="AE178" s="102" t="s">
        <v>5838</v>
      </c>
      <c r="AF178" s="102" t="s">
        <v>5839</v>
      </c>
    </row>
    <row r="179">
      <c r="A179" s="102" t="s">
        <v>630</v>
      </c>
      <c r="B179" s="102" t="s">
        <v>1357</v>
      </c>
      <c r="C179" s="229" t="s">
        <v>1358</v>
      </c>
      <c r="D179" s="102" t="s">
        <v>1359</v>
      </c>
      <c r="E179" s="102"/>
      <c r="F179" s="102"/>
      <c r="G179" s="102" t="s">
        <v>314</v>
      </c>
      <c r="H179" s="102" t="s">
        <v>315</v>
      </c>
      <c r="I179" s="102" t="s">
        <v>284</v>
      </c>
      <c r="J179" s="102" t="s">
        <v>63</v>
      </c>
      <c r="L179" s="229" t="s">
        <v>1360</v>
      </c>
      <c r="M179" s="229" t="s">
        <v>5768</v>
      </c>
      <c r="N179" s="102"/>
      <c r="O179" s="102"/>
      <c r="U179" s="230"/>
      <c r="V179" s="230" t="str">
        <f>IF(ISNUMBER(MATCH(B179, 'Sprint 13'!B:B, 0)), "มาจาก Sprint 13", "")</f>
        <v>มาจาก Sprint 13</v>
      </c>
      <c r="W179" s="230" t="str">
        <f t="array" ref="W179">IF(ISNUMBER(MATCH(B179, 'Sprint 13'!B:B, 0)), INDEX('Sprint 13'!J:J, MATCH(B179, 'Sprint 13'!B:B, 0)), "")</f>
        <v>To Do</v>
      </c>
      <c r="X179" s="230"/>
      <c r="Y179" s="102" t="s">
        <v>1362</v>
      </c>
      <c r="Z179" s="102" t="s">
        <v>1363</v>
      </c>
      <c r="AA179" s="102" t="s">
        <v>1364</v>
      </c>
      <c r="AB179" s="102" t="s">
        <v>1365</v>
      </c>
      <c r="AC179" s="102" t="s">
        <v>1366</v>
      </c>
      <c r="AD179" s="102" t="s">
        <v>1367</v>
      </c>
      <c r="AE179" s="102" t="s">
        <v>1368</v>
      </c>
      <c r="AF179" s="102" t="s">
        <v>1369</v>
      </c>
    </row>
    <row r="180">
      <c r="A180" s="102" t="s">
        <v>310</v>
      </c>
      <c r="B180" s="102" t="s">
        <v>5921</v>
      </c>
      <c r="C180" s="229" t="s">
        <v>5922</v>
      </c>
      <c r="D180" s="102" t="s">
        <v>5923</v>
      </c>
      <c r="E180" s="102" t="s">
        <v>556</v>
      </c>
      <c r="F180" s="102" t="s">
        <v>557</v>
      </c>
      <c r="G180" s="102" t="s">
        <v>353</v>
      </c>
      <c r="H180" s="102" t="s">
        <v>354</v>
      </c>
      <c r="I180" s="102" t="s">
        <v>284</v>
      </c>
      <c r="J180" s="102" t="s">
        <v>454</v>
      </c>
      <c r="L180" s="229" t="s">
        <v>5924</v>
      </c>
      <c r="M180" s="229" t="s">
        <v>5836</v>
      </c>
      <c r="N180" s="229" t="s">
        <v>5925</v>
      </c>
      <c r="O180" s="102">
        <v>1.0</v>
      </c>
      <c r="U180" s="102"/>
      <c r="V180" s="230" t="str">
        <f>IF(ISNUMBER(MATCH(B180, 'Sprint 13'!B:B, 0)), "มาจาก Sprint 13", "")</f>
        <v>มาจาก Sprint 13</v>
      </c>
      <c r="W180" s="230" t="str">
        <f t="array" ref="W180">IF(ISNUMBER(MATCH(B180, 'Sprint 13'!B:B, 0)), INDEX('Sprint 13'!J:J, MATCH(B180, 'Sprint 13'!B:B, 0)), "")</f>
        <v>Ready To Test</v>
      </c>
      <c r="X180" s="102"/>
      <c r="Y180" s="102" t="s">
        <v>5919</v>
      </c>
      <c r="Z180" s="102" t="s">
        <v>5920</v>
      </c>
      <c r="AA180" s="102" t="s">
        <v>5913</v>
      </c>
      <c r="AB180" s="102" t="s">
        <v>5901</v>
      </c>
      <c r="AC180" s="102" t="s">
        <v>5896</v>
      </c>
      <c r="AD180" s="102" t="s">
        <v>5837</v>
      </c>
      <c r="AE180" s="102" t="s">
        <v>5838</v>
      </c>
      <c r="AF180" s="102" t="s">
        <v>5839</v>
      </c>
    </row>
    <row r="181">
      <c r="A181" s="102" t="s">
        <v>310</v>
      </c>
      <c r="B181" s="102" t="s">
        <v>5926</v>
      </c>
      <c r="C181" s="229" t="s">
        <v>5927</v>
      </c>
      <c r="D181" s="102" t="s">
        <v>5928</v>
      </c>
      <c r="E181" s="102" t="s">
        <v>564</v>
      </c>
      <c r="F181" s="102" t="s">
        <v>565</v>
      </c>
      <c r="G181" s="102" t="s">
        <v>353</v>
      </c>
      <c r="H181" s="102" t="s">
        <v>354</v>
      </c>
      <c r="I181" s="102" t="s">
        <v>515</v>
      </c>
      <c r="J181" s="102" t="s">
        <v>454</v>
      </c>
      <c r="L181" s="229" t="s">
        <v>5929</v>
      </c>
      <c r="M181" s="229" t="s">
        <v>5836</v>
      </c>
      <c r="N181" s="229" t="s">
        <v>5925</v>
      </c>
      <c r="O181" s="102">
        <v>3.0</v>
      </c>
      <c r="P181" s="102"/>
      <c r="U181" s="102">
        <v>0.0</v>
      </c>
      <c r="V181" s="230" t="str">
        <f>IF(ISNUMBER(MATCH(B181, 'Sprint 13'!B:B, 0)), "มาจาก Sprint 13", "")</f>
        <v>มาจาก Sprint 13</v>
      </c>
      <c r="W181" s="230" t="str">
        <f t="array" ref="W181">IF(ISNUMBER(MATCH(B181, 'Sprint 13'!B:B, 0)), INDEX('Sprint 13'!J:J, MATCH(B181, 'Sprint 13'!B:B, 0)), "")</f>
        <v>Ready To Test</v>
      </c>
      <c r="X181" s="102">
        <v>28800.0</v>
      </c>
      <c r="Y181" s="102" t="s">
        <v>5919</v>
      </c>
      <c r="Z181" s="102" t="s">
        <v>5920</v>
      </c>
      <c r="AA181" s="102" t="s">
        <v>5913</v>
      </c>
      <c r="AB181" s="102" t="s">
        <v>5901</v>
      </c>
      <c r="AC181" s="102" t="s">
        <v>5896</v>
      </c>
      <c r="AD181" s="102" t="s">
        <v>5837</v>
      </c>
      <c r="AE181" s="102" t="s">
        <v>5838</v>
      </c>
      <c r="AF181" s="102" t="s">
        <v>5839</v>
      </c>
    </row>
    <row r="182">
      <c r="A182" s="102" t="s">
        <v>310</v>
      </c>
      <c r="B182" s="102" t="s">
        <v>5930</v>
      </c>
      <c r="C182" s="229" t="s">
        <v>5931</v>
      </c>
      <c r="D182" s="102" t="s">
        <v>5932</v>
      </c>
      <c r="E182" s="102" t="s">
        <v>556</v>
      </c>
      <c r="F182" s="102" t="s">
        <v>557</v>
      </c>
      <c r="G182" s="102" t="s">
        <v>353</v>
      </c>
      <c r="H182" s="102" t="s">
        <v>354</v>
      </c>
      <c r="I182" s="102" t="s">
        <v>318</v>
      </c>
      <c r="J182" s="102" t="s">
        <v>454</v>
      </c>
      <c r="L182" s="229" t="s">
        <v>5933</v>
      </c>
      <c r="M182" s="229" t="s">
        <v>5836</v>
      </c>
      <c r="N182" s="229" t="s">
        <v>5934</v>
      </c>
      <c r="O182" s="102">
        <v>3.0</v>
      </c>
      <c r="P182" s="102" t="s">
        <v>5912</v>
      </c>
      <c r="U182" s="102">
        <v>0.0</v>
      </c>
      <c r="V182" s="230" t="str">
        <f>IF(ISNUMBER(MATCH(B182, 'Sprint 13'!B:B, 0)), "มาจาก Sprint 13", "")</f>
        <v>มาจาก Sprint 13</v>
      </c>
      <c r="W182" s="230" t="str">
        <f t="array" ref="W182">IF(ISNUMBER(MATCH(B182, 'Sprint 13'!B:B, 0)), INDEX('Sprint 13'!J:J, MATCH(B182, 'Sprint 13'!B:B, 0)), "")</f>
        <v>Ready To Test</v>
      </c>
      <c r="X182" s="102">
        <v>28800.0</v>
      </c>
      <c r="Y182" s="102" t="s">
        <v>5919</v>
      </c>
      <c r="Z182" s="102" t="s">
        <v>5920</v>
      </c>
      <c r="AA182" s="102" t="s">
        <v>5913</v>
      </c>
      <c r="AB182" s="102" t="s">
        <v>5901</v>
      </c>
      <c r="AC182" s="102" t="s">
        <v>5896</v>
      </c>
      <c r="AD182" s="102" t="s">
        <v>5837</v>
      </c>
      <c r="AE182" s="102" t="s">
        <v>5838</v>
      </c>
      <c r="AF182" s="102" t="s">
        <v>5839</v>
      </c>
    </row>
    <row r="183">
      <c r="A183" s="102" t="s">
        <v>310</v>
      </c>
      <c r="B183" s="102" t="s">
        <v>6451</v>
      </c>
      <c r="C183" s="229" t="s">
        <v>6452</v>
      </c>
      <c r="D183" s="102" t="s">
        <v>6453</v>
      </c>
      <c r="E183" s="102" t="s">
        <v>556</v>
      </c>
      <c r="F183" s="102" t="s">
        <v>557</v>
      </c>
      <c r="G183" s="102" t="s">
        <v>353</v>
      </c>
      <c r="H183" s="102" t="s">
        <v>354</v>
      </c>
      <c r="I183" s="102" t="s">
        <v>515</v>
      </c>
      <c r="J183" s="102" t="s">
        <v>26</v>
      </c>
      <c r="L183" s="229" t="s">
        <v>6454</v>
      </c>
      <c r="M183" s="229" t="s">
        <v>6455</v>
      </c>
      <c r="N183" s="229" t="s">
        <v>6456</v>
      </c>
      <c r="O183" s="102">
        <v>5.0</v>
      </c>
      <c r="U183" s="102">
        <v>0.0</v>
      </c>
      <c r="V183" s="230" t="str">
        <f>IF(ISNUMBER(MATCH(B183, 'Sprint 13'!B:B, 0)), "มาจาก Sprint 13", "")</f>
        <v>มาจาก Sprint 13</v>
      </c>
      <c r="W183" s="230" t="str">
        <f t="array" ref="W183">IF(ISNUMBER(MATCH(B183, 'Sprint 13'!B:B, 0)), INDEX('Sprint 13'!J:J, MATCH(B183, 'Sprint 13'!B:B, 0)), "")</f>
        <v>Ready To Test</v>
      </c>
      <c r="X183" s="102">
        <v>57600.0</v>
      </c>
      <c r="Y183" s="102" t="s">
        <v>5919</v>
      </c>
      <c r="Z183" s="102" t="s">
        <v>5920</v>
      </c>
      <c r="AA183" s="102" t="s">
        <v>5913</v>
      </c>
      <c r="AB183" s="102" t="s">
        <v>5901</v>
      </c>
      <c r="AC183" s="102" t="s">
        <v>5896</v>
      </c>
      <c r="AD183" s="102" t="s">
        <v>5837</v>
      </c>
      <c r="AE183" s="102" t="s">
        <v>5838</v>
      </c>
    </row>
    <row r="184">
      <c r="A184" s="102" t="s">
        <v>310</v>
      </c>
      <c r="B184" s="102" t="s">
        <v>6457</v>
      </c>
      <c r="C184" s="229" t="s">
        <v>6458</v>
      </c>
      <c r="D184" s="102" t="s">
        <v>6459</v>
      </c>
      <c r="E184" s="102" t="s">
        <v>564</v>
      </c>
      <c r="F184" s="102" t="s">
        <v>565</v>
      </c>
      <c r="G184" s="102" t="s">
        <v>353</v>
      </c>
      <c r="H184" s="102" t="s">
        <v>354</v>
      </c>
      <c r="I184" s="102" t="s">
        <v>515</v>
      </c>
      <c r="J184" s="102" t="s">
        <v>26</v>
      </c>
      <c r="L184" s="229" t="s">
        <v>6460</v>
      </c>
      <c r="M184" s="229" t="s">
        <v>6461</v>
      </c>
      <c r="N184" s="229" t="s">
        <v>6456</v>
      </c>
      <c r="O184" s="102">
        <v>2.0</v>
      </c>
      <c r="P184" s="102" t="s">
        <v>593</v>
      </c>
      <c r="U184" s="102">
        <v>0.0</v>
      </c>
      <c r="V184" s="230" t="str">
        <f>IF(ISNUMBER(MATCH(B184, 'Sprint 13'!B:B, 0)), "มาจาก Sprint 13", "")</f>
        <v>มาจาก Sprint 13</v>
      </c>
      <c r="W184" s="230" t="str">
        <f t="array" ref="W184">IF(ISNUMBER(MATCH(B184, 'Sprint 13'!B:B, 0)), INDEX('Sprint 13'!J:J, MATCH(B184, 'Sprint 13'!B:B, 0)), "")</f>
        <v>Ready To Test</v>
      </c>
      <c r="X184" s="102">
        <v>7200.0</v>
      </c>
      <c r="Y184" s="102" t="s">
        <v>5919</v>
      </c>
      <c r="Z184" s="102" t="s">
        <v>5920</v>
      </c>
      <c r="AA184" s="102" t="s">
        <v>5913</v>
      </c>
      <c r="AB184" s="102" t="s">
        <v>5901</v>
      </c>
      <c r="AC184" s="102" t="s">
        <v>5896</v>
      </c>
      <c r="AD184" s="102" t="s">
        <v>5837</v>
      </c>
      <c r="AE184" s="102" t="s">
        <v>5838</v>
      </c>
    </row>
    <row r="185">
      <c r="A185" s="102" t="s">
        <v>310</v>
      </c>
      <c r="B185" s="102" t="s">
        <v>5935</v>
      </c>
      <c r="C185" s="229" t="s">
        <v>5936</v>
      </c>
      <c r="D185" s="102" t="s">
        <v>5937</v>
      </c>
      <c r="E185" s="102" t="s">
        <v>282</v>
      </c>
      <c r="F185" s="102" t="s">
        <v>283</v>
      </c>
      <c r="G185" s="102" t="s">
        <v>282</v>
      </c>
      <c r="H185" s="102" t="s">
        <v>283</v>
      </c>
      <c r="I185" s="102" t="s">
        <v>318</v>
      </c>
      <c r="J185" s="102" t="s">
        <v>34</v>
      </c>
      <c r="L185" s="229" t="s">
        <v>5938</v>
      </c>
      <c r="M185" s="229" t="s">
        <v>5740</v>
      </c>
      <c r="N185" s="102"/>
      <c r="O185" s="102">
        <v>13.0</v>
      </c>
      <c r="P185" s="102" t="s">
        <v>5547</v>
      </c>
      <c r="U185" s="230"/>
      <c r="V185" s="230" t="str">
        <f>IF(ISNUMBER(MATCH(B185, 'Sprint 13'!B:B, 0)), "มาจาก Sprint 13", "")</f>
        <v/>
      </c>
      <c r="W185" s="230" t="str">
        <f t="array" ref="W185">IF(ISNUMBER(MATCH(B185, 'Sprint 13'!B:B, 0)), INDEX('Sprint 13'!J:J, MATCH(B185, 'Sprint 13'!B:B, 0)), "")</f>
        <v/>
      </c>
      <c r="X185" s="230"/>
      <c r="Y185" s="102" t="s">
        <v>4657</v>
      </c>
      <c r="Z185" s="102" t="s">
        <v>2266</v>
      </c>
    </row>
    <row r="186">
      <c r="A186" s="102" t="s">
        <v>276</v>
      </c>
      <c r="B186" s="102" t="s">
        <v>6462</v>
      </c>
      <c r="C186" s="229" t="s">
        <v>6463</v>
      </c>
      <c r="D186" s="102" t="s">
        <v>4345</v>
      </c>
      <c r="E186" s="102" t="s">
        <v>280</v>
      </c>
      <c r="F186" s="102" t="s">
        <v>281</v>
      </c>
      <c r="G186" s="102" t="s">
        <v>391</v>
      </c>
      <c r="H186" s="102" t="s">
        <v>392</v>
      </c>
      <c r="I186" s="102" t="s">
        <v>284</v>
      </c>
      <c r="J186" s="102" t="s">
        <v>26</v>
      </c>
      <c r="L186" s="229" t="s">
        <v>6464</v>
      </c>
      <c r="M186" s="229" t="s">
        <v>6465</v>
      </c>
      <c r="O186" s="230"/>
      <c r="U186" s="230"/>
      <c r="V186" s="230" t="str">
        <f>IF(ISNUMBER(MATCH(B186, 'Sprint 13'!B:B, 0)), "มาจาก Sprint 13", "")</f>
        <v>มาจาก Sprint 13</v>
      </c>
      <c r="W186" s="230" t="str">
        <f t="array" ref="W186">IF(ISNUMBER(MATCH(B186, 'Sprint 13'!B:B, 0)), INDEX('Sprint 13'!J:J, MATCH(B186, 'Sprint 13'!B:B, 0)), "")</f>
        <v>To Do</v>
      </c>
      <c r="X186" s="230"/>
      <c r="Y186" s="102" t="s">
        <v>5944</v>
      </c>
      <c r="Z186" s="102" t="s">
        <v>5919</v>
      </c>
      <c r="AA186" s="102" t="s">
        <v>5920</v>
      </c>
      <c r="AB186" s="102" t="s">
        <v>5913</v>
      </c>
      <c r="AC186" s="102" t="s">
        <v>5901</v>
      </c>
      <c r="AD186" s="102" t="s">
        <v>5896</v>
      </c>
      <c r="AE186" s="102" t="s">
        <v>5837</v>
      </c>
      <c r="AF186" s="102" t="s">
        <v>5838</v>
      </c>
    </row>
    <row r="187">
      <c r="A187" s="102" t="s">
        <v>310</v>
      </c>
      <c r="B187" s="102" t="s">
        <v>6466</v>
      </c>
      <c r="C187" s="229" t="s">
        <v>6467</v>
      </c>
      <c r="D187" s="102" t="s">
        <v>6468</v>
      </c>
      <c r="E187" s="102" t="s">
        <v>304</v>
      </c>
      <c r="F187" s="102" t="s">
        <v>305</v>
      </c>
      <c r="G187" s="102" t="s">
        <v>353</v>
      </c>
      <c r="H187" s="102" t="s">
        <v>354</v>
      </c>
      <c r="I187" s="102" t="s">
        <v>284</v>
      </c>
      <c r="J187" s="102" t="s">
        <v>26</v>
      </c>
      <c r="L187" s="229" t="s">
        <v>6469</v>
      </c>
      <c r="M187" s="229" t="s">
        <v>6470</v>
      </c>
      <c r="N187" s="229" t="s">
        <v>6471</v>
      </c>
      <c r="O187" s="102">
        <v>3.0</v>
      </c>
      <c r="P187" s="102" t="s">
        <v>3197</v>
      </c>
      <c r="Q187" s="102" t="s">
        <v>593</v>
      </c>
      <c r="U187" s="102">
        <v>0.0</v>
      </c>
      <c r="V187" s="230" t="str">
        <f>IF(ISNUMBER(MATCH(B187, 'Sprint 13'!B:B, 0)), "มาจาก Sprint 13", "")</f>
        <v>มาจาก Sprint 13</v>
      </c>
      <c r="W187" s="230" t="str">
        <f t="array" ref="W187">IF(ISNUMBER(MATCH(B187, 'Sprint 13'!B:B, 0)), INDEX('Sprint 13'!J:J, MATCH(B187, 'Sprint 13'!B:B, 0)), "")</f>
        <v>Ready To Test</v>
      </c>
      <c r="X187" s="102">
        <v>18000.0</v>
      </c>
      <c r="Y187" s="102" t="s">
        <v>5944</v>
      </c>
      <c r="Z187" s="102" t="s">
        <v>5919</v>
      </c>
      <c r="AA187" s="102" t="s">
        <v>5920</v>
      </c>
      <c r="AB187" s="102" t="s">
        <v>5913</v>
      </c>
      <c r="AC187" s="102" t="s">
        <v>5901</v>
      </c>
      <c r="AD187" s="102" t="s">
        <v>5896</v>
      </c>
      <c r="AE187" s="102" t="s">
        <v>5837</v>
      </c>
      <c r="AF187" s="102" t="s">
        <v>5838</v>
      </c>
    </row>
    <row r="188">
      <c r="A188" s="102" t="s">
        <v>310</v>
      </c>
      <c r="B188" s="102" t="s">
        <v>6472</v>
      </c>
      <c r="C188" s="229" t="s">
        <v>6473</v>
      </c>
      <c r="D188" s="102" t="s">
        <v>6474</v>
      </c>
      <c r="E188" s="102" t="s">
        <v>282</v>
      </c>
      <c r="F188" s="102" t="s">
        <v>283</v>
      </c>
      <c r="G188" s="102" t="s">
        <v>282</v>
      </c>
      <c r="H188" s="102" t="s">
        <v>283</v>
      </c>
      <c r="I188" s="102" t="s">
        <v>284</v>
      </c>
      <c r="J188" s="102" t="s">
        <v>26</v>
      </c>
      <c r="L188" s="229" t="s">
        <v>6475</v>
      </c>
      <c r="M188" s="229" t="s">
        <v>6465</v>
      </c>
      <c r="O188" s="102">
        <v>0.0</v>
      </c>
      <c r="U188" s="230"/>
      <c r="V188" s="230" t="str">
        <f>IF(ISNUMBER(MATCH(B188, 'Sprint 13'!B:B, 0)), "มาจาก Sprint 13", "")</f>
        <v>มาจาก Sprint 13</v>
      </c>
      <c r="W188" s="230" t="str">
        <f t="array" ref="W188">IF(ISNUMBER(MATCH(B188, 'Sprint 13'!B:B, 0)), INDEX('Sprint 13'!J:J, MATCH(B188, 'Sprint 13'!B:B, 0)), "")</f>
        <v>Ready To Test</v>
      </c>
      <c r="X188" s="230"/>
      <c r="Y188" s="102" t="s">
        <v>5944</v>
      </c>
      <c r="Z188" s="102" t="s">
        <v>5919</v>
      </c>
      <c r="AA188" s="102" t="s">
        <v>5920</v>
      </c>
      <c r="AB188" s="102" t="s">
        <v>5913</v>
      </c>
      <c r="AC188" s="102" t="s">
        <v>5901</v>
      </c>
      <c r="AD188" s="102" t="s">
        <v>5896</v>
      </c>
      <c r="AE188" s="102" t="s">
        <v>5837</v>
      </c>
      <c r="AF188" s="102" t="s">
        <v>5838</v>
      </c>
    </row>
    <row r="189">
      <c r="A189" s="102" t="s">
        <v>310</v>
      </c>
      <c r="B189" s="102" t="s">
        <v>4962</v>
      </c>
      <c r="C189" s="229" t="s">
        <v>4963</v>
      </c>
      <c r="D189" s="102" t="s">
        <v>4964</v>
      </c>
      <c r="E189" s="102" t="s">
        <v>556</v>
      </c>
      <c r="F189" s="102" t="s">
        <v>557</v>
      </c>
      <c r="G189" s="102" t="s">
        <v>353</v>
      </c>
      <c r="H189" s="102" t="s">
        <v>354</v>
      </c>
      <c r="I189" s="102" t="s">
        <v>284</v>
      </c>
      <c r="J189" s="102" t="s">
        <v>454</v>
      </c>
      <c r="L189" s="229" t="s">
        <v>4965</v>
      </c>
      <c r="M189" s="229" t="s">
        <v>5740</v>
      </c>
      <c r="N189" s="229" t="s">
        <v>4966</v>
      </c>
      <c r="O189" s="102">
        <v>1.0</v>
      </c>
      <c r="U189" s="102">
        <v>0.0</v>
      </c>
      <c r="V189" s="230" t="str">
        <f>IF(ISNUMBER(MATCH(B189, 'Sprint 13'!B:B, 0)), "มาจาก Sprint 13", "")</f>
        <v>มาจาก Sprint 13</v>
      </c>
      <c r="W189" s="230" t="str">
        <f t="array" ref="W189">IF(ISNUMBER(MATCH(B189, 'Sprint 13'!B:B, 0)), INDEX('Sprint 13'!J:J, MATCH(B189, 'Sprint 13'!B:B, 0)), "")</f>
        <v>Ready To Test</v>
      </c>
      <c r="X189" s="102">
        <v>7200.0</v>
      </c>
      <c r="Y189" s="102" t="s">
        <v>4967</v>
      </c>
      <c r="Z189" s="102" t="s">
        <v>4968</v>
      </c>
      <c r="AA189" s="102" t="s">
        <v>4960</v>
      </c>
      <c r="AB189" s="102" t="s">
        <v>4961</v>
      </c>
      <c r="AC189" s="102" t="s">
        <v>4953</v>
      </c>
      <c r="AD189" s="102" t="s">
        <v>4954</v>
      </c>
      <c r="AE189" s="102" t="s">
        <v>4919</v>
      </c>
      <c r="AF189" s="102" t="s">
        <v>4657</v>
      </c>
      <c r="AG189" s="102" t="s">
        <v>2266</v>
      </c>
    </row>
    <row r="190">
      <c r="A190" s="102" t="s">
        <v>310</v>
      </c>
      <c r="B190" s="102" t="s">
        <v>5940</v>
      </c>
      <c r="C190" s="229" t="s">
        <v>5941</v>
      </c>
      <c r="D190" s="102" t="s">
        <v>5942</v>
      </c>
      <c r="E190" s="102" t="s">
        <v>513</v>
      </c>
      <c r="F190" s="102" t="s">
        <v>514</v>
      </c>
      <c r="G190" s="102" t="s">
        <v>282</v>
      </c>
      <c r="H190" s="102" t="s">
        <v>283</v>
      </c>
      <c r="I190" s="102" t="s">
        <v>284</v>
      </c>
      <c r="J190" s="102" t="s">
        <v>454</v>
      </c>
      <c r="L190" s="229" t="s">
        <v>5943</v>
      </c>
      <c r="M190" s="229" t="s">
        <v>5836</v>
      </c>
      <c r="O190" s="102">
        <v>3.0</v>
      </c>
      <c r="U190" s="102">
        <v>0.0</v>
      </c>
      <c r="V190" s="230" t="str">
        <f>IF(ISNUMBER(MATCH(B190, 'Sprint 13'!B:B, 0)), "มาจาก Sprint 13", "")</f>
        <v>มาจาก Sprint 13</v>
      </c>
      <c r="W190" s="230" t="str">
        <f t="array" ref="W190">IF(ISNUMBER(MATCH(B190, 'Sprint 13'!B:B, 0)), INDEX('Sprint 13'!J:J, MATCH(B190, 'Sprint 13'!B:B, 0)), "")</f>
        <v>Ready To Test</v>
      </c>
      <c r="X190" s="102">
        <v>28800.0</v>
      </c>
      <c r="Y190" s="102" t="s">
        <v>5944</v>
      </c>
      <c r="Z190" s="102" t="s">
        <v>5919</v>
      </c>
      <c r="AA190" s="102" t="s">
        <v>5920</v>
      </c>
      <c r="AB190" s="102" t="s">
        <v>5913</v>
      </c>
      <c r="AC190" s="102" t="s">
        <v>5901</v>
      </c>
      <c r="AD190" s="102" t="s">
        <v>5896</v>
      </c>
      <c r="AE190" s="102" t="s">
        <v>5837</v>
      </c>
      <c r="AF190" s="102" t="s">
        <v>5838</v>
      </c>
      <c r="AG190" s="102" t="s">
        <v>5839</v>
      </c>
    </row>
    <row r="191">
      <c r="A191" s="102" t="s">
        <v>332</v>
      </c>
      <c r="B191" s="102" t="s">
        <v>6476</v>
      </c>
      <c r="C191" s="229" t="s">
        <v>6477</v>
      </c>
      <c r="D191" s="102" t="s">
        <v>6478</v>
      </c>
      <c r="E191" s="102" t="s">
        <v>556</v>
      </c>
      <c r="F191" s="102" t="s">
        <v>557</v>
      </c>
      <c r="G191" s="102" t="s">
        <v>316</v>
      </c>
      <c r="H191" s="102" t="s">
        <v>317</v>
      </c>
      <c r="I191" s="102" t="s">
        <v>1921</v>
      </c>
      <c r="J191" s="102" t="s">
        <v>336</v>
      </c>
      <c r="L191" s="229" t="s">
        <v>6479</v>
      </c>
      <c r="M191" s="229" t="s">
        <v>6480</v>
      </c>
      <c r="N191" s="229" t="s">
        <v>6481</v>
      </c>
      <c r="O191" s="102">
        <v>3.0</v>
      </c>
      <c r="U191" s="230"/>
      <c r="V191" s="230" t="str">
        <f>IF(ISNUMBER(MATCH(B191, 'Sprint 13'!B:B, 0)), "มาจาก Sprint 13", "")</f>
        <v/>
      </c>
      <c r="W191" s="230" t="str">
        <f t="array" ref="W191">IF(ISNUMBER(MATCH(B191, 'Sprint 13'!B:B, 0)), INDEX('Sprint 13'!J:J, MATCH(B191, 'Sprint 13'!B:B, 0)), "")</f>
        <v/>
      </c>
      <c r="X191" s="230"/>
      <c r="Y191" s="102" t="s">
        <v>4961</v>
      </c>
      <c r="Z191" s="102" t="s">
        <v>4953</v>
      </c>
      <c r="AA191" s="102" t="s">
        <v>4954</v>
      </c>
      <c r="AB191" s="102" t="s">
        <v>4657</v>
      </c>
    </row>
    <row r="192">
      <c r="O192" s="230"/>
      <c r="U192" s="230"/>
      <c r="V192" s="230"/>
      <c r="W192" s="230"/>
      <c r="X192" s="230"/>
    </row>
    <row r="193">
      <c r="O193" s="230"/>
      <c r="U193" s="230"/>
      <c r="V193" s="230"/>
      <c r="W193" s="230"/>
      <c r="X193" s="230"/>
    </row>
    <row r="194">
      <c r="O194" s="230"/>
      <c r="U194" s="230"/>
      <c r="V194" s="230"/>
      <c r="W194" s="230"/>
      <c r="X194" s="230"/>
    </row>
    <row r="195">
      <c r="O195" s="230"/>
      <c r="U195" s="230"/>
      <c r="V195" s="230"/>
      <c r="W195" s="230"/>
      <c r="X195" s="230"/>
    </row>
    <row r="196">
      <c r="O196" s="230"/>
      <c r="U196" s="230"/>
      <c r="V196" s="230"/>
      <c r="W196" s="230"/>
      <c r="X196" s="230"/>
    </row>
    <row r="197">
      <c r="O197" s="230"/>
      <c r="U197" s="230"/>
      <c r="V197" s="230"/>
      <c r="W197" s="230"/>
      <c r="X197" s="230"/>
    </row>
    <row r="198">
      <c r="O198" s="230"/>
      <c r="U198" s="230"/>
      <c r="V198" s="230"/>
      <c r="W198" s="230"/>
      <c r="X198" s="230"/>
    </row>
    <row r="199">
      <c r="O199" s="230"/>
      <c r="U199" s="230"/>
      <c r="V199" s="230"/>
      <c r="W199" s="230"/>
      <c r="X199" s="230"/>
    </row>
    <row r="200">
      <c r="O200" s="230"/>
      <c r="U200" s="230"/>
      <c r="V200" s="230"/>
      <c r="W200" s="230"/>
      <c r="X200" s="230"/>
    </row>
    <row r="201">
      <c r="O201" s="230"/>
      <c r="U201" s="230"/>
      <c r="V201" s="230"/>
      <c r="W201" s="230"/>
      <c r="X201" s="230"/>
    </row>
    <row r="202">
      <c r="O202" s="230"/>
      <c r="U202" s="230"/>
      <c r="V202" s="230"/>
      <c r="W202" s="230"/>
      <c r="X202" s="230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L203" s="102"/>
      <c r="M203" s="102"/>
      <c r="O203" s="230"/>
      <c r="T203" s="230"/>
      <c r="U203" s="230"/>
      <c r="V203" s="230"/>
      <c r="W203" s="230"/>
      <c r="X203" s="230"/>
      <c r="Y203" s="230"/>
      <c r="Z203" s="230"/>
      <c r="AA203" s="102"/>
      <c r="AB203" s="102"/>
      <c r="AC203" s="102"/>
      <c r="AD203" s="102"/>
      <c r="AE203" s="102"/>
      <c r="AF203" s="102"/>
      <c r="AG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L204" s="102"/>
      <c r="M204" s="102"/>
      <c r="N204" s="102"/>
      <c r="O204" s="102"/>
      <c r="P204" s="102"/>
      <c r="Q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L205" s="102"/>
      <c r="M205" s="102"/>
      <c r="O205" s="102"/>
      <c r="T205" s="230"/>
      <c r="U205" s="230"/>
      <c r="V205" s="230"/>
      <c r="W205" s="230"/>
      <c r="X205" s="230"/>
      <c r="Y205" s="230"/>
      <c r="Z205" s="230"/>
      <c r="AA205" s="102"/>
      <c r="AB205" s="102"/>
      <c r="AC205" s="102"/>
      <c r="AD205" s="102"/>
      <c r="AE205" s="102"/>
      <c r="AF205" s="102"/>
      <c r="AG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L206" s="102"/>
      <c r="M206" s="102"/>
      <c r="N206" s="102"/>
      <c r="O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L207" s="102"/>
      <c r="M207" s="102"/>
      <c r="O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</row>
    <row r="208">
      <c r="O208" s="230"/>
      <c r="T208" s="230"/>
      <c r="U208" s="230"/>
      <c r="V208" s="230"/>
      <c r="W208" s="230"/>
      <c r="X208" s="230"/>
      <c r="Y208" s="230"/>
      <c r="Z208" s="230"/>
    </row>
    <row r="209">
      <c r="O209" s="230"/>
      <c r="T209" s="230"/>
      <c r="U209" s="230"/>
      <c r="V209" s="230"/>
      <c r="W209" s="230"/>
      <c r="X209" s="230"/>
      <c r="Y209" s="230"/>
      <c r="Z209" s="230"/>
    </row>
    <row r="210">
      <c r="O210" s="230"/>
      <c r="T210" s="230"/>
      <c r="U210" s="230"/>
      <c r="V210" s="230"/>
      <c r="W210" s="230"/>
      <c r="X210" s="230"/>
      <c r="Y210" s="230"/>
      <c r="Z210" s="230"/>
    </row>
    <row r="211">
      <c r="O211" s="230"/>
      <c r="T211" s="230"/>
      <c r="U211" s="230"/>
      <c r="V211" s="230"/>
      <c r="W211" s="230"/>
      <c r="X211" s="230"/>
      <c r="Y211" s="230"/>
      <c r="Z211" s="230"/>
    </row>
    <row r="212">
      <c r="O212" s="230"/>
      <c r="T212" s="230"/>
      <c r="U212" s="230"/>
      <c r="V212" s="230"/>
      <c r="W212" s="230"/>
      <c r="X212" s="230"/>
      <c r="Y212" s="230"/>
      <c r="Z212" s="230"/>
    </row>
    <row r="213">
      <c r="O213" s="230"/>
      <c r="T213" s="230"/>
      <c r="U213" s="230"/>
      <c r="V213" s="230"/>
      <c r="W213" s="230"/>
      <c r="X213" s="230"/>
      <c r="Y213" s="230"/>
      <c r="Z213" s="230"/>
    </row>
    <row r="214">
      <c r="O214" s="230"/>
      <c r="T214" s="230"/>
      <c r="U214" s="230"/>
      <c r="V214" s="230"/>
      <c r="W214" s="230"/>
      <c r="X214" s="230"/>
      <c r="Y214" s="230"/>
      <c r="Z214" s="230"/>
    </row>
    <row r="215">
      <c r="O215" s="230"/>
      <c r="T215" s="230"/>
      <c r="U215" s="230"/>
      <c r="V215" s="230"/>
      <c r="W215" s="230"/>
      <c r="X215" s="230"/>
      <c r="Y215" s="230"/>
      <c r="Z215" s="230"/>
    </row>
    <row r="216">
      <c r="O216" s="230"/>
      <c r="T216" s="230"/>
      <c r="U216" s="230"/>
      <c r="V216" s="230"/>
      <c r="W216" s="230"/>
      <c r="X216" s="230"/>
      <c r="Y216" s="230"/>
      <c r="Z216" s="230"/>
    </row>
    <row r="217">
      <c r="O217" s="230"/>
      <c r="T217" s="230"/>
      <c r="U217" s="230"/>
      <c r="V217" s="230"/>
      <c r="W217" s="230"/>
      <c r="X217" s="230"/>
      <c r="Y217" s="230"/>
      <c r="Z217" s="230"/>
    </row>
    <row r="218">
      <c r="O218" s="230"/>
      <c r="T218" s="230"/>
      <c r="U218" s="230"/>
      <c r="V218" s="230"/>
      <c r="W218" s="230"/>
      <c r="X218" s="230"/>
      <c r="Y218" s="230"/>
      <c r="Z218" s="230"/>
    </row>
    <row r="219">
      <c r="O219" s="230"/>
      <c r="T219" s="230"/>
      <c r="U219" s="230"/>
      <c r="V219" s="230"/>
      <c r="W219" s="230"/>
      <c r="X219" s="230"/>
      <c r="Y219" s="230"/>
      <c r="Z219" s="230"/>
    </row>
    <row r="220">
      <c r="O220" s="230"/>
      <c r="T220" s="230"/>
      <c r="U220" s="230"/>
      <c r="V220" s="230"/>
      <c r="W220" s="230"/>
      <c r="X220" s="230"/>
      <c r="Y220" s="230"/>
      <c r="Z220" s="230"/>
    </row>
    <row r="221">
      <c r="O221" s="230"/>
      <c r="T221" s="230"/>
      <c r="U221" s="230"/>
      <c r="V221" s="230"/>
      <c r="W221" s="230"/>
      <c r="X221" s="230"/>
      <c r="Y221" s="230"/>
      <c r="Z221" s="230"/>
    </row>
    <row r="222">
      <c r="O222" s="230"/>
      <c r="T222" s="230"/>
      <c r="U222" s="230"/>
      <c r="V222" s="230"/>
      <c r="W222" s="230"/>
      <c r="X222" s="230"/>
      <c r="Y222" s="230"/>
      <c r="Z222" s="230"/>
    </row>
    <row r="223">
      <c r="O223" s="230"/>
      <c r="T223" s="230"/>
      <c r="U223" s="230"/>
      <c r="V223" s="230"/>
      <c r="W223" s="230"/>
      <c r="X223" s="230"/>
      <c r="Y223" s="230"/>
      <c r="Z223" s="230"/>
    </row>
    <row r="224">
      <c r="O224" s="230"/>
      <c r="T224" s="230"/>
      <c r="U224" s="230"/>
      <c r="V224" s="230"/>
      <c r="W224" s="230"/>
      <c r="X224" s="230"/>
      <c r="Y224" s="230"/>
      <c r="Z224" s="230"/>
    </row>
    <row r="225">
      <c r="O225" s="230"/>
      <c r="T225" s="230"/>
      <c r="U225" s="230"/>
      <c r="V225" s="230"/>
      <c r="W225" s="230"/>
      <c r="X225" s="230"/>
      <c r="Y225" s="230"/>
      <c r="Z225" s="230"/>
    </row>
    <row r="226">
      <c r="O226" s="230"/>
      <c r="T226" s="230"/>
      <c r="U226" s="230"/>
      <c r="V226" s="230"/>
      <c r="W226" s="230"/>
      <c r="X226" s="230"/>
      <c r="Y226" s="230"/>
      <c r="Z226" s="230"/>
    </row>
    <row r="227">
      <c r="O227" s="230"/>
      <c r="T227" s="230"/>
      <c r="U227" s="230"/>
      <c r="V227" s="230"/>
      <c r="W227" s="230"/>
      <c r="X227" s="230"/>
      <c r="Y227" s="230"/>
      <c r="Z227" s="230"/>
    </row>
    <row r="228">
      <c r="O228" s="230"/>
      <c r="T228" s="230"/>
      <c r="U228" s="230"/>
      <c r="V228" s="230"/>
      <c r="W228" s="230"/>
      <c r="X228" s="230"/>
      <c r="Y228" s="230"/>
      <c r="Z228" s="230"/>
    </row>
    <row r="229">
      <c r="O229" s="230"/>
      <c r="T229" s="230"/>
      <c r="U229" s="230"/>
      <c r="V229" s="230"/>
      <c r="W229" s="230"/>
      <c r="X229" s="230"/>
      <c r="Y229" s="230"/>
      <c r="Z229" s="230"/>
    </row>
    <row r="230">
      <c r="O230" s="230"/>
      <c r="T230" s="230"/>
      <c r="U230" s="230"/>
      <c r="V230" s="230"/>
      <c r="W230" s="230"/>
      <c r="X230" s="230"/>
      <c r="Y230" s="230"/>
      <c r="Z230" s="230"/>
    </row>
    <row r="231">
      <c r="O231" s="230"/>
      <c r="T231" s="230"/>
      <c r="U231" s="230"/>
      <c r="V231" s="230"/>
      <c r="W231" s="230"/>
      <c r="X231" s="230"/>
      <c r="Y231" s="230"/>
      <c r="Z231" s="230"/>
    </row>
    <row r="232">
      <c r="O232" s="230"/>
      <c r="T232" s="230"/>
      <c r="U232" s="230"/>
      <c r="V232" s="230"/>
      <c r="W232" s="230"/>
      <c r="X232" s="230"/>
      <c r="Y232" s="230"/>
      <c r="Z232" s="230"/>
    </row>
    <row r="233">
      <c r="O233" s="230"/>
      <c r="T233" s="230"/>
      <c r="U233" s="230"/>
      <c r="V233" s="230"/>
      <c r="W233" s="230"/>
      <c r="X233" s="230"/>
      <c r="Y233" s="230"/>
      <c r="Z233" s="230"/>
    </row>
    <row r="234">
      <c r="O234" s="230"/>
      <c r="T234" s="230"/>
      <c r="U234" s="230"/>
      <c r="V234" s="230"/>
      <c r="W234" s="230"/>
      <c r="X234" s="230"/>
      <c r="Y234" s="230"/>
      <c r="Z234" s="230"/>
    </row>
    <row r="235">
      <c r="O235" s="230"/>
      <c r="T235" s="230"/>
      <c r="U235" s="230"/>
      <c r="V235" s="230"/>
      <c r="W235" s="230"/>
      <c r="X235" s="230"/>
      <c r="Y235" s="230"/>
      <c r="Z235" s="230"/>
    </row>
    <row r="236">
      <c r="O236" s="230"/>
      <c r="T236" s="230"/>
      <c r="U236" s="230"/>
      <c r="V236" s="230"/>
      <c r="W236" s="230"/>
      <c r="X236" s="230"/>
      <c r="Y236" s="230"/>
      <c r="Z236" s="230"/>
    </row>
    <row r="237">
      <c r="O237" s="230"/>
      <c r="T237" s="230"/>
      <c r="U237" s="230"/>
      <c r="V237" s="230"/>
      <c r="W237" s="230"/>
      <c r="X237" s="230"/>
      <c r="Y237" s="230"/>
      <c r="Z237" s="230"/>
    </row>
    <row r="238">
      <c r="O238" s="230"/>
      <c r="T238" s="230"/>
      <c r="U238" s="230"/>
      <c r="V238" s="230"/>
      <c r="W238" s="230"/>
      <c r="X238" s="230"/>
      <c r="Y238" s="230"/>
      <c r="Z238" s="230"/>
    </row>
    <row r="239">
      <c r="O239" s="230"/>
      <c r="T239" s="230"/>
      <c r="U239" s="230"/>
      <c r="V239" s="230"/>
      <c r="W239" s="230"/>
      <c r="X239" s="230"/>
      <c r="Y239" s="230"/>
      <c r="Z239" s="230"/>
    </row>
    <row r="240">
      <c r="O240" s="230"/>
      <c r="T240" s="230"/>
      <c r="U240" s="230"/>
      <c r="V240" s="230"/>
      <c r="W240" s="230"/>
      <c r="X240" s="230"/>
      <c r="Y240" s="230"/>
      <c r="Z240" s="230"/>
    </row>
    <row r="241">
      <c r="O241" s="230"/>
      <c r="T241" s="230"/>
      <c r="U241" s="230"/>
      <c r="V241" s="230"/>
      <c r="W241" s="230"/>
      <c r="X241" s="230"/>
      <c r="Y241" s="230"/>
      <c r="Z241" s="230"/>
    </row>
    <row r="242">
      <c r="O242" s="230"/>
      <c r="T242" s="230"/>
      <c r="U242" s="230"/>
      <c r="V242" s="230"/>
      <c r="W242" s="230"/>
      <c r="X242" s="230"/>
      <c r="Y242" s="230"/>
      <c r="Z242" s="230"/>
    </row>
    <row r="243">
      <c r="O243" s="230"/>
      <c r="T243" s="230"/>
      <c r="U243" s="230"/>
      <c r="V243" s="230"/>
      <c r="W243" s="230"/>
      <c r="X243" s="230"/>
      <c r="Y243" s="230"/>
      <c r="Z243" s="230"/>
    </row>
    <row r="244">
      <c r="O244" s="230"/>
      <c r="T244" s="230"/>
      <c r="U244" s="230"/>
      <c r="V244" s="230"/>
      <c r="W244" s="230"/>
      <c r="X244" s="230"/>
      <c r="Y244" s="230"/>
      <c r="Z244" s="230"/>
    </row>
    <row r="245">
      <c r="O245" s="230"/>
      <c r="T245" s="230"/>
      <c r="U245" s="230"/>
      <c r="V245" s="230"/>
      <c r="W245" s="230"/>
      <c r="X245" s="230"/>
      <c r="Y245" s="230"/>
      <c r="Z245" s="230"/>
    </row>
    <row r="246">
      <c r="O246" s="230"/>
      <c r="T246" s="230"/>
      <c r="U246" s="230"/>
      <c r="V246" s="230"/>
      <c r="W246" s="230"/>
      <c r="X246" s="230"/>
      <c r="Y246" s="230"/>
      <c r="Z246" s="230"/>
    </row>
    <row r="247">
      <c r="O247" s="230"/>
      <c r="S247" s="230"/>
      <c r="T247" s="230"/>
      <c r="U247" s="230"/>
      <c r="V247" s="230"/>
      <c r="W247" s="230"/>
      <c r="X247" s="230"/>
      <c r="Y247" s="230"/>
      <c r="Z247" s="230"/>
      <c r="AA247" s="230"/>
      <c r="AB247" s="230"/>
      <c r="AC247" s="230"/>
      <c r="AD247" s="230"/>
    </row>
    <row r="248">
      <c r="O248" s="230"/>
      <c r="S248" s="230"/>
      <c r="T248" s="230"/>
      <c r="U248" s="230"/>
      <c r="V248" s="230"/>
      <c r="W248" s="230"/>
      <c r="X248" s="230"/>
      <c r="Y248" s="230"/>
      <c r="Z248" s="230"/>
      <c r="AA248" s="230"/>
      <c r="AB248" s="230"/>
      <c r="AC248" s="230"/>
      <c r="AD248" s="230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L249" s="102"/>
      <c r="M249" s="102"/>
      <c r="N249" s="102"/>
      <c r="O249" s="102"/>
      <c r="P249" s="102"/>
      <c r="R249" s="230"/>
      <c r="S249" s="230"/>
      <c r="T249" s="102"/>
      <c r="U249" s="102"/>
      <c r="V249" s="102"/>
      <c r="W249" s="102"/>
      <c r="X249" s="102"/>
      <c r="Y249" s="102"/>
      <c r="Z249" s="102"/>
      <c r="AA249" s="230"/>
      <c r="AB249" s="230"/>
      <c r="AC249" s="230"/>
      <c r="AD249" s="230"/>
      <c r="AE249" s="230"/>
      <c r="AF249" s="230"/>
      <c r="AG249" s="102"/>
      <c r="AH249" s="102"/>
      <c r="AI249" s="230"/>
      <c r="AJ249" s="230"/>
      <c r="AK249" s="230"/>
      <c r="AL249" s="230"/>
      <c r="AM249" s="230"/>
      <c r="AN249" s="230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L250" s="102"/>
      <c r="M250" s="102"/>
      <c r="O250" s="102"/>
      <c r="P250" s="102"/>
      <c r="R250" s="230"/>
      <c r="S250" s="102"/>
      <c r="T250" s="102"/>
      <c r="U250" s="102"/>
      <c r="V250" s="102"/>
      <c r="W250" s="102"/>
      <c r="X250" s="102"/>
      <c r="Y250" s="102"/>
      <c r="Z250" s="102"/>
      <c r="AA250" s="230"/>
      <c r="AB250" s="230"/>
      <c r="AC250" s="230"/>
      <c r="AD250" s="230"/>
      <c r="AE250" s="230"/>
      <c r="AF250" s="230"/>
      <c r="AG250" s="102"/>
      <c r="AH250" s="102"/>
      <c r="AI250" s="230"/>
      <c r="AJ250" s="230"/>
      <c r="AK250" s="230"/>
      <c r="AL250" s="230"/>
      <c r="AM250" s="230"/>
      <c r="AN250" s="230"/>
    </row>
    <row r="251">
      <c r="O251" s="230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  <c r="AD251" s="230"/>
      <c r="AE251" s="230"/>
      <c r="AF251" s="230"/>
      <c r="AG251" s="230"/>
      <c r="AH251" s="230"/>
      <c r="AI251" s="230"/>
      <c r="AJ251" s="230"/>
      <c r="AK251" s="230"/>
      <c r="AL251" s="230"/>
      <c r="AM251" s="230"/>
      <c r="AN251" s="230"/>
    </row>
    <row r="252">
      <c r="O252" s="230"/>
      <c r="R252" s="230"/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  <c r="AC252" s="230"/>
      <c r="AD252" s="230"/>
      <c r="AE252" s="230"/>
      <c r="AF252" s="230"/>
      <c r="AG252" s="230"/>
      <c r="AH252" s="230"/>
      <c r="AI252" s="230"/>
      <c r="AJ252" s="230"/>
      <c r="AK252" s="230"/>
      <c r="AL252" s="230"/>
      <c r="AM252" s="230"/>
      <c r="AN252" s="230"/>
    </row>
    <row r="253">
      <c r="O253" s="230"/>
      <c r="R253" s="230"/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  <c r="AC253" s="230"/>
      <c r="AD253" s="230"/>
      <c r="AE253" s="230"/>
      <c r="AF253" s="230"/>
      <c r="AG253" s="230"/>
      <c r="AH253" s="230"/>
      <c r="AI253" s="230"/>
      <c r="AJ253" s="230"/>
      <c r="AK253" s="230"/>
      <c r="AL253" s="230"/>
      <c r="AM253" s="230"/>
      <c r="AN253" s="230"/>
    </row>
    <row r="254">
      <c r="O254" s="230"/>
      <c r="R254" s="230"/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  <c r="AC254" s="230"/>
      <c r="AD254" s="230"/>
      <c r="AE254" s="230"/>
      <c r="AF254" s="230"/>
      <c r="AG254" s="230"/>
      <c r="AH254" s="230"/>
      <c r="AI254" s="230"/>
      <c r="AJ254" s="230"/>
      <c r="AK254" s="230"/>
      <c r="AL254" s="230"/>
      <c r="AM254" s="230"/>
      <c r="AN254" s="230"/>
    </row>
    <row r="255">
      <c r="O255" s="230"/>
      <c r="R255" s="230"/>
      <c r="S255" s="230"/>
      <c r="T255" s="230"/>
      <c r="U255" s="230"/>
      <c r="V255" s="230"/>
      <c r="W255" s="230"/>
      <c r="X255" s="230"/>
      <c r="Y255" s="230"/>
      <c r="Z255" s="230"/>
      <c r="AA255" s="230"/>
      <c r="AB255" s="230"/>
      <c r="AC255" s="230"/>
      <c r="AD255" s="230"/>
      <c r="AE255" s="230"/>
      <c r="AF255" s="230"/>
      <c r="AG255" s="230"/>
      <c r="AH255" s="230"/>
      <c r="AI255" s="230"/>
      <c r="AJ255" s="230"/>
      <c r="AK255" s="230"/>
      <c r="AL255" s="230"/>
      <c r="AM255" s="230"/>
      <c r="AN255" s="230"/>
    </row>
    <row r="256">
      <c r="O256" s="230"/>
      <c r="R256" s="230"/>
      <c r="S256" s="230"/>
      <c r="T256" s="230"/>
      <c r="U256" s="230"/>
      <c r="V256" s="230"/>
      <c r="W256" s="230"/>
      <c r="X256" s="230"/>
      <c r="Y256" s="230"/>
      <c r="Z256" s="230"/>
      <c r="AA256" s="230"/>
      <c r="AB256" s="230"/>
      <c r="AC256" s="230"/>
      <c r="AD256" s="230"/>
      <c r="AE256" s="230"/>
      <c r="AF256" s="230"/>
      <c r="AG256" s="230"/>
      <c r="AH256" s="230"/>
      <c r="AI256" s="230"/>
      <c r="AJ256" s="230"/>
      <c r="AK256" s="230"/>
      <c r="AL256" s="230"/>
      <c r="AM256" s="230"/>
      <c r="AN256" s="230"/>
    </row>
    <row r="257">
      <c r="O257" s="230"/>
      <c r="R257" s="230"/>
      <c r="S257" s="230"/>
      <c r="T257" s="230"/>
      <c r="U257" s="230"/>
      <c r="V257" s="230"/>
      <c r="W257" s="230"/>
      <c r="X257" s="230"/>
      <c r="Y257" s="230"/>
      <c r="Z257" s="230"/>
      <c r="AA257" s="230"/>
      <c r="AB257" s="230"/>
      <c r="AC257" s="230"/>
      <c r="AD257" s="230"/>
      <c r="AE257" s="230"/>
      <c r="AF257" s="230"/>
      <c r="AG257" s="230"/>
      <c r="AH257" s="230"/>
      <c r="AI257" s="230"/>
      <c r="AJ257" s="230"/>
      <c r="AK257" s="230"/>
      <c r="AL257" s="230"/>
      <c r="AM257" s="230"/>
      <c r="AN257" s="230"/>
    </row>
    <row r="258">
      <c r="O258" s="230"/>
      <c r="R258" s="230"/>
      <c r="S258" s="230"/>
      <c r="T258" s="230"/>
      <c r="U258" s="230"/>
      <c r="V258" s="230"/>
      <c r="W258" s="230"/>
      <c r="X258" s="230"/>
      <c r="Y258" s="230"/>
      <c r="Z258" s="230"/>
      <c r="AA258" s="230"/>
      <c r="AB258" s="230"/>
      <c r="AC258" s="230"/>
      <c r="AD258" s="230"/>
      <c r="AE258" s="230"/>
      <c r="AF258" s="230"/>
      <c r="AG258" s="230"/>
      <c r="AH258" s="230"/>
      <c r="AI258" s="230"/>
      <c r="AJ258" s="230"/>
      <c r="AK258" s="230"/>
      <c r="AL258" s="230"/>
      <c r="AM258" s="230"/>
      <c r="AN258" s="230"/>
    </row>
    <row r="259">
      <c r="O259" s="230"/>
      <c r="R259" s="230"/>
      <c r="S259" s="230"/>
      <c r="T259" s="230"/>
      <c r="U259" s="230"/>
      <c r="V259" s="230"/>
      <c r="W259" s="230"/>
      <c r="X259" s="230"/>
      <c r="Y259" s="230"/>
      <c r="Z259" s="230"/>
      <c r="AA259" s="230"/>
      <c r="AB259" s="230"/>
      <c r="AC259" s="230"/>
      <c r="AD259" s="230"/>
      <c r="AE259" s="230"/>
      <c r="AF259" s="230"/>
      <c r="AG259" s="230"/>
      <c r="AH259" s="230"/>
      <c r="AI259" s="230"/>
      <c r="AJ259" s="230"/>
      <c r="AK259" s="230"/>
      <c r="AL259" s="230"/>
      <c r="AM259" s="230"/>
      <c r="AN259" s="230"/>
    </row>
    <row r="260">
      <c r="O260" s="230"/>
      <c r="R260" s="230"/>
      <c r="S260" s="230"/>
      <c r="T260" s="230"/>
      <c r="U260" s="230"/>
      <c r="V260" s="230"/>
      <c r="W260" s="230"/>
      <c r="X260" s="230"/>
      <c r="Y260" s="230"/>
      <c r="Z260" s="230"/>
      <c r="AA260" s="230"/>
      <c r="AB260" s="230"/>
      <c r="AC260" s="230"/>
      <c r="AD260" s="230"/>
      <c r="AE260" s="230"/>
      <c r="AF260" s="230"/>
      <c r="AG260" s="230"/>
      <c r="AH260" s="230"/>
      <c r="AI260" s="230"/>
      <c r="AJ260" s="230"/>
      <c r="AK260" s="230"/>
      <c r="AL260" s="230"/>
      <c r="AM260" s="230"/>
      <c r="AN260" s="230"/>
    </row>
    <row r="261">
      <c r="O261" s="230"/>
      <c r="R261" s="230"/>
      <c r="S261" s="230"/>
      <c r="T261" s="230"/>
      <c r="U261" s="230"/>
      <c r="V261" s="230"/>
      <c r="W261" s="230"/>
      <c r="X261" s="230"/>
      <c r="Y261" s="230"/>
      <c r="Z261" s="230"/>
      <c r="AA261" s="230"/>
      <c r="AB261" s="230"/>
      <c r="AC261" s="230"/>
      <c r="AD261" s="230"/>
      <c r="AE261" s="230"/>
      <c r="AF261" s="230"/>
      <c r="AG261" s="230"/>
      <c r="AH261" s="230"/>
      <c r="AI261" s="230"/>
      <c r="AJ261" s="230"/>
      <c r="AK261" s="230"/>
      <c r="AL261" s="230"/>
      <c r="AM261" s="230"/>
      <c r="AN261" s="230"/>
    </row>
    <row r="262">
      <c r="O262" s="230"/>
      <c r="R262" s="230"/>
      <c r="S262" s="230"/>
      <c r="T262" s="230"/>
      <c r="U262" s="230"/>
      <c r="V262" s="230"/>
      <c r="W262" s="230"/>
      <c r="X262" s="230"/>
      <c r="Y262" s="230"/>
      <c r="Z262" s="230"/>
      <c r="AA262" s="230"/>
      <c r="AB262" s="230"/>
      <c r="AC262" s="230"/>
      <c r="AD262" s="230"/>
      <c r="AE262" s="230"/>
      <c r="AF262" s="230"/>
      <c r="AG262" s="230"/>
      <c r="AH262" s="230"/>
      <c r="AI262" s="230"/>
      <c r="AJ262" s="230"/>
      <c r="AK262" s="230"/>
      <c r="AL262" s="230"/>
      <c r="AM262" s="230"/>
      <c r="AN262" s="230"/>
    </row>
    <row r="263">
      <c r="O263" s="230"/>
      <c r="R263" s="230"/>
      <c r="S263" s="230"/>
      <c r="T263" s="230"/>
      <c r="U263" s="230"/>
      <c r="V263" s="230"/>
      <c r="W263" s="230"/>
      <c r="X263" s="230"/>
      <c r="Y263" s="230"/>
      <c r="Z263" s="230"/>
      <c r="AA263" s="230"/>
      <c r="AB263" s="230"/>
      <c r="AC263" s="230"/>
      <c r="AD263" s="230"/>
      <c r="AE263" s="230"/>
      <c r="AF263" s="230"/>
      <c r="AG263" s="230"/>
      <c r="AH263" s="230"/>
      <c r="AI263" s="230"/>
      <c r="AJ263" s="230"/>
      <c r="AK263" s="230"/>
      <c r="AL263" s="230"/>
      <c r="AM263" s="230"/>
      <c r="AN263" s="230"/>
    </row>
    <row r="264">
      <c r="O264" s="230"/>
      <c r="R264" s="230"/>
      <c r="S264" s="230"/>
      <c r="T264" s="230"/>
      <c r="U264" s="230"/>
      <c r="V264" s="230"/>
      <c r="W264" s="230"/>
      <c r="X264" s="230"/>
      <c r="Y264" s="230"/>
      <c r="Z264" s="230"/>
      <c r="AA264" s="230"/>
      <c r="AB264" s="230"/>
      <c r="AC264" s="230"/>
      <c r="AD264" s="230"/>
      <c r="AE264" s="230"/>
      <c r="AF264" s="230"/>
      <c r="AG264" s="230"/>
      <c r="AH264" s="230"/>
      <c r="AI264" s="230"/>
      <c r="AJ264" s="230"/>
      <c r="AK264" s="230"/>
      <c r="AL264" s="230"/>
      <c r="AM264" s="230"/>
      <c r="AN264" s="230"/>
    </row>
    <row r="265">
      <c r="O265" s="230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  <c r="AD265" s="230"/>
      <c r="AE265" s="230"/>
      <c r="AF265" s="230"/>
      <c r="AG265" s="230"/>
      <c r="AH265" s="230"/>
      <c r="AI265" s="230"/>
      <c r="AJ265" s="230"/>
      <c r="AK265" s="230"/>
      <c r="AL265" s="230"/>
      <c r="AM265" s="230"/>
      <c r="AN265" s="230"/>
    </row>
    <row r="266">
      <c r="O266" s="230"/>
      <c r="R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  <c r="AC266" s="230"/>
      <c r="AD266" s="230"/>
      <c r="AE266" s="230"/>
      <c r="AF266" s="230"/>
      <c r="AG266" s="230"/>
      <c r="AH266" s="230"/>
      <c r="AI266" s="230"/>
      <c r="AJ266" s="230"/>
      <c r="AK266" s="230"/>
      <c r="AL266" s="230"/>
      <c r="AM266" s="230"/>
      <c r="AN266" s="230"/>
    </row>
    <row r="267">
      <c r="O267" s="230"/>
      <c r="R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  <c r="AC267" s="230"/>
      <c r="AD267" s="230"/>
      <c r="AE267" s="230"/>
      <c r="AF267" s="230"/>
      <c r="AG267" s="230"/>
      <c r="AH267" s="230"/>
      <c r="AI267" s="230"/>
      <c r="AJ267" s="230"/>
      <c r="AK267" s="230"/>
      <c r="AL267" s="230"/>
      <c r="AM267" s="230"/>
      <c r="AN267" s="230"/>
    </row>
    <row r="268">
      <c r="O268" s="230"/>
      <c r="R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  <c r="AC268" s="230"/>
      <c r="AD268" s="230"/>
      <c r="AE268" s="230"/>
      <c r="AF268" s="230"/>
      <c r="AG268" s="230"/>
      <c r="AH268" s="230"/>
      <c r="AI268" s="230"/>
      <c r="AJ268" s="230"/>
      <c r="AK268" s="230"/>
      <c r="AL268" s="230"/>
      <c r="AM268" s="230"/>
      <c r="AN268" s="230"/>
    </row>
    <row r="269">
      <c r="O269" s="230"/>
      <c r="R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  <c r="AC269" s="230"/>
      <c r="AD269" s="230"/>
      <c r="AE269" s="230"/>
      <c r="AF269" s="230"/>
      <c r="AG269" s="230"/>
      <c r="AH269" s="230"/>
      <c r="AI269" s="230"/>
      <c r="AJ269" s="230"/>
      <c r="AK269" s="230"/>
      <c r="AL269" s="230"/>
      <c r="AM269" s="230"/>
      <c r="AN269" s="230"/>
    </row>
    <row r="270">
      <c r="O270" s="230"/>
      <c r="R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  <c r="AC270" s="230"/>
      <c r="AD270" s="230"/>
      <c r="AE270" s="230"/>
      <c r="AF270" s="230"/>
      <c r="AG270" s="230"/>
      <c r="AH270" s="230"/>
      <c r="AI270" s="230"/>
      <c r="AJ270" s="230"/>
      <c r="AK270" s="230"/>
      <c r="AL270" s="230"/>
      <c r="AM270" s="230"/>
      <c r="AN270" s="230"/>
    </row>
    <row r="271">
      <c r="O271" s="230"/>
      <c r="R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  <c r="AC271" s="230"/>
      <c r="AD271" s="230"/>
      <c r="AE271" s="230"/>
      <c r="AF271" s="230"/>
      <c r="AG271" s="230"/>
      <c r="AH271" s="230"/>
      <c r="AI271" s="230"/>
      <c r="AJ271" s="230"/>
      <c r="AK271" s="230"/>
      <c r="AL271" s="230"/>
      <c r="AM271" s="230"/>
      <c r="AN271" s="230"/>
    </row>
    <row r="272">
      <c r="O272" s="230"/>
      <c r="R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  <c r="AC272" s="230"/>
      <c r="AD272" s="230"/>
      <c r="AE272" s="230"/>
      <c r="AF272" s="230"/>
      <c r="AG272" s="230"/>
      <c r="AH272" s="230"/>
      <c r="AI272" s="230"/>
      <c r="AJ272" s="230"/>
      <c r="AK272" s="230"/>
      <c r="AL272" s="230"/>
      <c r="AM272" s="230"/>
      <c r="AN272" s="230"/>
    </row>
    <row r="273">
      <c r="O273" s="230"/>
      <c r="R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  <c r="AC273" s="230"/>
      <c r="AD273" s="230"/>
      <c r="AE273" s="230"/>
      <c r="AF273" s="230"/>
      <c r="AG273" s="230"/>
      <c r="AH273" s="230"/>
      <c r="AI273" s="230"/>
      <c r="AJ273" s="230"/>
      <c r="AK273" s="230"/>
      <c r="AL273" s="230"/>
      <c r="AM273" s="230"/>
      <c r="AN273" s="230"/>
    </row>
    <row r="274">
      <c r="O274" s="230"/>
      <c r="R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  <c r="AC274" s="230"/>
      <c r="AD274" s="230"/>
      <c r="AE274" s="230"/>
      <c r="AF274" s="230"/>
      <c r="AG274" s="230"/>
      <c r="AH274" s="230"/>
      <c r="AI274" s="230"/>
      <c r="AJ274" s="230"/>
      <c r="AK274" s="230"/>
      <c r="AL274" s="230"/>
      <c r="AM274" s="230"/>
      <c r="AN274" s="230"/>
    </row>
    <row r="275">
      <c r="O275" s="230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  <c r="AF275" s="230"/>
      <c r="AG275" s="230"/>
      <c r="AH275" s="230"/>
      <c r="AI275" s="230"/>
      <c r="AJ275" s="230"/>
      <c r="AK275" s="230"/>
      <c r="AL275" s="230"/>
      <c r="AM275" s="230"/>
      <c r="AN275" s="230"/>
    </row>
    <row r="276">
      <c r="O276" s="230"/>
      <c r="R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  <c r="AC276" s="230"/>
      <c r="AD276" s="230"/>
      <c r="AE276" s="230"/>
      <c r="AF276" s="230"/>
      <c r="AG276" s="230"/>
      <c r="AH276" s="230"/>
      <c r="AI276" s="230"/>
      <c r="AJ276" s="230"/>
      <c r="AK276" s="230"/>
      <c r="AL276" s="230"/>
      <c r="AM276" s="230"/>
      <c r="AN276" s="230"/>
    </row>
    <row r="277">
      <c r="O277" s="230"/>
      <c r="R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  <c r="AC277" s="230"/>
      <c r="AD277" s="230"/>
      <c r="AE277" s="230"/>
      <c r="AF277" s="230"/>
      <c r="AG277" s="230"/>
      <c r="AH277" s="230"/>
      <c r="AI277" s="230"/>
      <c r="AJ277" s="230"/>
      <c r="AK277" s="230"/>
      <c r="AL277" s="230"/>
      <c r="AM277" s="230"/>
      <c r="AN277" s="230"/>
    </row>
    <row r="278">
      <c r="O278" s="230"/>
      <c r="R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  <c r="AC278" s="230"/>
      <c r="AD278" s="230"/>
      <c r="AE278" s="230"/>
      <c r="AF278" s="230"/>
      <c r="AG278" s="230"/>
      <c r="AH278" s="230"/>
      <c r="AI278" s="230"/>
      <c r="AJ278" s="230"/>
      <c r="AK278" s="230"/>
      <c r="AL278" s="230"/>
      <c r="AM278" s="230"/>
      <c r="AN278" s="230"/>
    </row>
    <row r="279">
      <c r="O279" s="230"/>
      <c r="R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  <c r="AC279" s="230"/>
      <c r="AD279" s="230"/>
      <c r="AE279" s="230"/>
      <c r="AF279" s="230"/>
      <c r="AG279" s="230"/>
      <c r="AH279" s="230"/>
      <c r="AI279" s="230"/>
      <c r="AJ279" s="230"/>
      <c r="AK279" s="230"/>
      <c r="AL279" s="230"/>
      <c r="AM279" s="230"/>
      <c r="AN279" s="230"/>
    </row>
    <row r="280">
      <c r="O280" s="230"/>
      <c r="R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  <c r="AC280" s="230"/>
      <c r="AD280" s="230"/>
      <c r="AE280" s="230"/>
      <c r="AF280" s="230"/>
      <c r="AG280" s="230"/>
      <c r="AH280" s="230"/>
      <c r="AI280" s="230"/>
      <c r="AJ280" s="230"/>
      <c r="AK280" s="230"/>
      <c r="AL280" s="230"/>
      <c r="AM280" s="230"/>
      <c r="AN280" s="230"/>
    </row>
    <row r="281">
      <c r="O281" s="230"/>
      <c r="R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  <c r="AC281" s="230"/>
      <c r="AD281" s="230"/>
      <c r="AE281" s="230"/>
      <c r="AF281" s="230"/>
      <c r="AG281" s="230"/>
      <c r="AH281" s="230"/>
      <c r="AI281" s="230"/>
      <c r="AJ281" s="230"/>
      <c r="AK281" s="230"/>
      <c r="AL281" s="230"/>
      <c r="AM281" s="230"/>
      <c r="AN281" s="230"/>
    </row>
    <row r="282">
      <c r="O282" s="230"/>
      <c r="R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  <c r="AC282" s="230"/>
      <c r="AD282" s="230"/>
      <c r="AE282" s="230"/>
      <c r="AF282" s="230"/>
      <c r="AG282" s="230"/>
      <c r="AH282" s="230"/>
      <c r="AI282" s="230"/>
      <c r="AJ282" s="230"/>
      <c r="AK282" s="230"/>
      <c r="AL282" s="230"/>
      <c r="AM282" s="230"/>
      <c r="AN282" s="230"/>
    </row>
    <row r="283">
      <c r="O283" s="230"/>
      <c r="R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  <c r="AC283" s="230"/>
      <c r="AD283" s="230"/>
      <c r="AE283" s="230"/>
      <c r="AF283" s="230"/>
      <c r="AG283" s="230"/>
      <c r="AH283" s="230"/>
      <c r="AI283" s="230"/>
      <c r="AJ283" s="230"/>
      <c r="AK283" s="230"/>
      <c r="AL283" s="230"/>
      <c r="AM283" s="230"/>
      <c r="AN283" s="230"/>
    </row>
    <row r="284">
      <c r="O284" s="230"/>
      <c r="R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  <c r="AC284" s="230"/>
      <c r="AD284" s="230"/>
      <c r="AE284" s="230"/>
      <c r="AF284" s="230"/>
      <c r="AG284" s="230"/>
      <c r="AH284" s="230"/>
      <c r="AI284" s="230"/>
      <c r="AJ284" s="230"/>
      <c r="AK284" s="230"/>
      <c r="AL284" s="230"/>
      <c r="AM284" s="230"/>
      <c r="AN284" s="230"/>
    </row>
    <row r="285">
      <c r="O285" s="230"/>
      <c r="R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  <c r="AC285" s="230"/>
      <c r="AD285" s="230"/>
      <c r="AE285" s="230"/>
      <c r="AF285" s="230"/>
      <c r="AG285" s="230"/>
      <c r="AH285" s="230"/>
      <c r="AI285" s="230"/>
      <c r="AJ285" s="230"/>
      <c r="AK285" s="230"/>
      <c r="AL285" s="230"/>
      <c r="AM285" s="230"/>
      <c r="AN285" s="230"/>
    </row>
    <row r="286">
      <c r="O286" s="230"/>
      <c r="R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  <c r="AC286" s="230"/>
      <c r="AD286" s="230"/>
      <c r="AE286" s="230"/>
      <c r="AF286" s="230"/>
      <c r="AG286" s="230"/>
      <c r="AH286" s="230"/>
      <c r="AI286" s="230"/>
      <c r="AJ286" s="230"/>
      <c r="AK286" s="230"/>
      <c r="AL286" s="230"/>
      <c r="AM286" s="230"/>
      <c r="AN286" s="230"/>
    </row>
    <row r="287">
      <c r="O287" s="230"/>
      <c r="R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  <c r="AD287" s="230"/>
      <c r="AE287" s="230"/>
      <c r="AF287" s="230"/>
      <c r="AG287" s="230"/>
      <c r="AH287" s="230"/>
      <c r="AI287" s="230"/>
      <c r="AJ287" s="230"/>
      <c r="AK287" s="230"/>
      <c r="AL287" s="230"/>
      <c r="AM287" s="230"/>
      <c r="AN287" s="230"/>
    </row>
    <row r="288">
      <c r="O288" s="230"/>
      <c r="R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  <c r="AC288" s="230"/>
      <c r="AD288" s="230"/>
      <c r="AE288" s="230"/>
      <c r="AF288" s="230"/>
      <c r="AG288" s="230"/>
      <c r="AH288" s="230"/>
      <c r="AI288" s="230"/>
      <c r="AJ288" s="230"/>
      <c r="AK288" s="230"/>
      <c r="AL288" s="230"/>
      <c r="AM288" s="230"/>
      <c r="AN288" s="230"/>
    </row>
    <row r="289">
      <c r="O289" s="230"/>
      <c r="R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  <c r="AC289" s="230"/>
      <c r="AD289" s="230"/>
      <c r="AE289" s="230"/>
      <c r="AF289" s="230"/>
      <c r="AG289" s="230"/>
      <c r="AH289" s="230"/>
      <c r="AI289" s="230"/>
      <c r="AJ289" s="230"/>
      <c r="AK289" s="230"/>
      <c r="AL289" s="230"/>
      <c r="AM289" s="230"/>
      <c r="AN289" s="230"/>
    </row>
    <row r="290">
      <c r="O290" s="230"/>
      <c r="R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  <c r="AC290" s="230"/>
      <c r="AD290" s="230"/>
      <c r="AE290" s="230"/>
      <c r="AF290" s="230"/>
      <c r="AG290" s="230"/>
      <c r="AH290" s="230"/>
      <c r="AI290" s="230"/>
      <c r="AJ290" s="230"/>
      <c r="AK290" s="230"/>
      <c r="AL290" s="230"/>
      <c r="AM290" s="230"/>
      <c r="AN290" s="230"/>
    </row>
    <row r="291">
      <c r="O291" s="230"/>
      <c r="R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  <c r="AC291" s="230"/>
      <c r="AD291" s="230"/>
      <c r="AE291" s="230"/>
      <c r="AF291" s="230"/>
      <c r="AG291" s="230"/>
      <c r="AH291" s="230"/>
      <c r="AI291" s="230"/>
      <c r="AJ291" s="230"/>
      <c r="AK291" s="230"/>
      <c r="AL291" s="230"/>
      <c r="AM291" s="230"/>
      <c r="AN291" s="230"/>
    </row>
    <row r="292">
      <c r="O292" s="230"/>
      <c r="R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  <c r="AC292" s="230"/>
      <c r="AD292" s="230"/>
      <c r="AE292" s="230"/>
      <c r="AF292" s="230"/>
      <c r="AG292" s="230"/>
      <c r="AH292" s="230"/>
      <c r="AI292" s="230"/>
      <c r="AJ292" s="230"/>
      <c r="AK292" s="230"/>
      <c r="AL292" s="230"/>
      <c r="AM292" s="230"/>
      <c r="AN292" s="230"/>
    </row>
    <row r="293">
      <c r="O293" s="230"/>
      <c r="R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  <c r="AC293" s="230"/>
      <c r="AD293" s="230"/>
      <c r="AE293" s="230"/>
      <c r="AF293" s="230"/>
      <c r="AG293" s="230"/>
      <c r="AH293" s="230"/>
      <c r="AI293" s="230"/>
      <c r="AJ293" s="230"/>
      <c r="AK293" s="230"/>
      <c r="AL293" s="230"/>
      <c r="AM293" s="230"/>
      <c r="AN293" s="230"/>
    </row>
    <row r="294">
      <c r="O294" s="230"/>
      <c r="R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  <c r="AD294" s="230"/>
      <c r="AE294" s="230"/>
      <c r="AF294" s="230"/>
      <c r="AG294" s="230"/>
      <c r="AH294" s="230"/>
      <c r="AI294" s="230"/>
      <c r="AJ294" s="230"/>
      <c r="AK294" s="230"/>
      <c r="AL294" s="230"/>
      <c r="AM294" s="230"/>
      <c r="AN294" s="230"/>
    </row>
    <row r="295">
      <c r="O295" s="230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  <c r="AF295" s="230"/>
      <c r="AG295" s="230"/>
      <c r="AH295" s="230"/>
      <c r="AI295" s="230"/>
      <c r="AJ295" s="230"/>
      <c r="AK295" s="230"/>
      <c r="AL295" s="230"/>
      <c r="AM295" s="230"/>
      <c r="AN295" s="230"/>
    </row>
    <row r="296">
      <c r="O296" s="230"/>
      <c r="R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  <c r="AD296" s="230"/>
      <c r="AE296" s="230"/>
      <c r="AF296" s="230"/>
      <c r="AG296" s="230"/>
      <c r="AH296" s="230"/>
      <c r="AI296" s="230"/>
      <c r="AJ296" s="230"/>
      <c r="AK296" s="230"/>
      <c r="AL296" s="230"/>
      <c r="AM296" s="230"/>
      <c r="AN296" s="230"/>
    </row>
    <row r="297">
      <c r="O297" s="230"/>
      <c r="R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  <c r="AD297" s="230"/>
      <c r="AE297" s="230"/>
      <c r="AF297" s="230"/>
      <c r="AG297" s="230"/>
      <c r="AH297" s="230"/>
      <c r="AI297" s="230"/>
      <c r="AJ297" s="230"/>
      <c r="AK297" s="230"/>
      <c r="AL297" s="230"/>
      <c r="AM297" s="230"/>
      <c r="AN297" s="230"/>
    </row>
    <row r="298">
      <c r="O298" s="230"/>
      <c r="R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  <c r="AD298" s="230"/>
      <c r="AE298" s="230"/>
      <c r="AF298" s="230"/>
      <c r="AG298" s="230"/>
      <c r="AH298" s="230"/>
      <c r="AI298" s="230"/>
      <c r="AJ298" s="230"/>
      <c r="AK298" s="230"/>
      <c r="AL298" s="230"/>
      <c r="AM298" s="230"/>
      <c r="AN298" s="230"/>
    </row>
    <row r="299">
      <c r="O299" s="230"/>
      <c r="R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  <c r="AD299" s="230"/>
      <c r="AE299" s="230"/>
      <c r="AF299" s="230"/>
      <c r="AG299" s="230"/>
      <c r="AH299" s="230"/>
      <c r="AI299" s="230"/>
      <c r="AJ299" s="230"/>
      <c r="AK299" s="230"/>
      <c r="AL299" s="230"/>
      <c r="AM299" s="230"/>
      <c r="AN299" s="230"/>
    </row>
    <row r="300">
      <c r="O300" s="230"/>
      <c r="R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  <c r="AD300" s="230"/>
      <c r="AE300" s="230"/>
      <c r="AF300" s="230"/>
      <c r="AG300" s="230"/>
      <c r="AH300" s="230"/>
      <c r="AI300" s="230"/>
      <c r="AJ300" s="230"/>
      <c r="AK300" s="230"/>
      <c r="AL300" s="230"/>
      <c r="AM300" s="230"/>
      <c r="AN300" s="230"/>
    </row>
    <row r="301">
      <c r="O301" s="230"/>
      <c r="R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  <c r="AD301" s="230"/>
      <c r="AE301" s="230"/>
      <c r="AF301" s="230"/>
      <c r="AG301" s="230"/>
      <c r="AH301" s="230"/>
      <c r="AI301" s="230"/>
      <c r="AJ301" s="230"/>
      <c r="AK301" s="230"/>
      <c r="AL301" s="230"/>
      <c r="AM301" s="230"/>
      <c r="AN301" s="230"/>
    </row>
    <row r="302">
      <c r="O302" s="230"/>
      <c r="R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  <c r="AD302" s="230"/>
      <c r="AE302" s="230"/>
      <c r="AF302" s="230"/>
      <c r="AG302" s="230"/>
      <c r="AH302" s="230"/>
      <c r="AI302" s="230"/>
      <c r="AJ302" s="230"/>
      <c r="AK302" s="230"/>
      <c r="AL302" s="230"/>
      <c r="AM302" s="230"/>
      <c r="AN302" s="230"/>
    </row>
    <row r="303">
      <c r="O303" s="230"/>
      <c r="R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  <c r="AD303" s="230"/>
      <c r="AE303" s="230"/>
      <c r="AF303" s="230"/>
      <c r="AG303" s="230"/>
      <c r="AH303" s="230"/>
      <c r="AI303" s="230"/>
      <c r="AJ303" s="230"/>
      <c r="AK303" s="230"/>
      <c r="AL303" s="230"/>
      <c r="AM303" s="230"/>
      <c r="AN303" s="230"/>
    </row>
    <row r="304">
      <c r="O304" s="230"/>
      <c r="R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  <c r="AD304" s="230"/>
      <c r="AE304" s="230"/>
      <c r="AF304" s="230"/>
      <c r="AG304" s="230"/>
      <c r="AH304" s="230"/>
      <c r="AI304" s="230"/>
      <c r="AJ304" s="230"/>
      <c r="AK304" s="230"/>
      <c r="AL304" s="230"/>
      <c r="AM304" s="230"/>
      <c r="AN304" s="230"/>
    </row>
    <row r="305">
      <c r="O305" s="230"/>
      <c r="R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  <c r="AD305" s="230"/>
      <c r="AE305" s="230"/>
      <c r="AF305" s="230"/>
      <c r="AG305" s="230"/>
      <c r="AH305" s="230"/>
      <c r="AI305" s="230"/>
      <c r="AJ305" s="230"/>
      <c r="AK305" s="230"/>
      <c r="AL305" s="230"/>
      <c r="AM305" s="230"/>
      <c r="AN305" s="230"/>
    </row>
    <row r="306">
      <c r="O306" s="230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230"/>
      <c r="AH306" s="230"/>
      <c r="AI306" s="230"/>
      <c r="AJ306" s="230"/>
      <c r="AK306" s="230"/>
      <c r="AL306" s="230"/>
      <c r="AM306" s="230"/>
      <c r="AN306" s="230"/>
    </row>
    <row r="307">
      <c r="O307" s="230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  <c r="AD307" s="230"/>
      <c r="AE307" s="230"/>
      <c r="AF307" s="230"/>
      <c r="AG307" s="230"/>
      <c r="AH307" s="230"/>
      <c r="AI307" s="230"/>
      <c r="AJ307" s="230"/>
      <c r="AK307" s="230"/>
      <c r="AL307" s="230"/>
      <c r="AM307" s="230"/>
      <c r="AN307" s="230"/>
    </row>
    <row r="308">
      <c r="O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  <c r="AF308" s="230"/>
      <c r="AG308" s="230"/>
      <c r="AH308" s="230"/>
      <c r="AI308" s="230"/>
      <c r="AJ308" s="230"/>
      <c r="AK308" s="230"/>
      <c r="AL308" s="230"/>
      <c r="AM308" s="230"/>
      <c r="AN308" s="230"/>
    </row>
    <row r="309">
      <c r="O309" s="230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  <c r="AD309" s="230"/>
      <c r="AE309" s="230"/>
      <c r="AF309" s="230"/>
      <c r="AG309" s="230"/>
      <c r="AH309" s="230"/>
      <c r="AI309" s="230"/>
      <c r="AJ309" s="230"/>
      <c r="AK309" s="230"/>
      <c r="AL309" s="230"/>
      <c r="AM309" s="230"/>
      <c r="AN309" s="230"/>
    </row>
    <row r="310">
      <c r="O310" s="230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  <c r="AD310" s="230"/>
      <c r="AE310" s="230"/>
      <c r="AF310" s="230"/>
      <c r="AG310" s="230"/>
      <c r="AH310" s="230"/>
      <c r="AI310" s="230"/>
      <c r="AJ310" s="230"/>
      <c r="AK310" s="230"/>
      <c r="AL310" s="230"/>
      <c r="AM310" s="230"/>
      <c r="AN310" s="230"/>
    </row>
    <row r="311">
      <c r="O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  <c r="AI311" s="230"/>
      <c r="AJ311" s="230"/>
      <c r="AK311" s="230"/>
      <c r="AL311" s="230"/>
      <c r="AM311" s="230"/>
      <c r="AN311" s="230"/>
    </row>
    <row r="312">
      <c r="O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  <c r="AI312" s="230"/>
      <c r="AJ312" s="230"/>
      <c r="AK312" s="230"/>
      <c r="AL312" s="230"/>
      <c r="AM312" s="230"/>
      <c r="AN312" s="230"/>
    </row>
    <row r="313">
      <c r="O313" s="230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  <c r="AI313" s="230"/>
      <c r="AJ313" s="230"/>
      <c r="AK313" s="230"/>
      <c r="AL313" s="230"/>
      <c r="AM313" s="230"/>
      <c r="AN313" s="230"/>
    </row>
    <row r="314">
      <c r="O314" s="230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  <c r="AI314" s="230"/>
      <c r="AJ314" s="230"/>
      <c r="AK314" s="230"/>
      <c r="AL314" s="230"/>
      <c r="AM314" s="230"/>
      <c r="AN314" s="230"/>
    </row>
    <row r="315">
      <c r="O315" s="230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  <c r="AI315" s="230"/>
      <c r="AJ315" s="230"/>
      <c r="AK315" s="230"/>
      <c r="AL315" s="230"/>
      <c r="AM315" s="230"/>
      <c r="AN315" s="230"/>
    </row>
    <row r="316">
      <c r="O316" s="230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  <c r="AI316" s="230"/>
      <c r="AJ316" s="230"/>
      <c r="AK316" s="230"/>
      <c r="AL316" s="230"/>
      <c r="AM316" s="230"/>
      <c r="AN316" s="230"/>
    </row>
    <row r="317">
      <c r="O317" s="230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  <c r="AI317" s="230"/>
      <c r="AJ317" s="230"/>
      <c r="AK317" s="230"/>
      <c r="AL317" s="230"/>
      <c r="AM317" s="230"/>
      <c r="AN317" s="230"/>
    </row>
    <row r="318">
      <c r="O318" s="230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  <c r="AI318" s="230"/>
      <c r="AJ318" s="230"/>
      <c r="AK318" s="230"/>
      <c r="AL318" s="230"/>
      <c r="AM318" s="230"/>
      <c r="AN318" s="230"/>
    </row>
    <row r="319">
      <c r="O319" s="230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  <c r="AI319" s="230"/>
      <c r="AJ319" s="230"/>
      <c r="AK319" s="230"/>
      <c r="AL319" s="230"/>
      <c r="AM319" s="230"/>
      <c r="AN319" s="230"/>
    </row>
    <row r="320">
      <c r="O320" s="230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  <c r="AI320" s="230"/>
      <c r="AJ320" s="230"/>
      <c r="AK320" s="230"/>
      <c r="AL320" s="230"/>
      <c r="AM320" s="230"/>
      <c r="AN320" s="230"/>
    </row>
    <row r="321">
      <c r="O321" s="230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  <c r="AJ321" s="230"/>
      <c r="AK321" s="230"/>
      <c r="AL321" s="230"/>
      <c r="AM321" s="230"/>
      <c r="AN321" s="230"/>
    </row>
    <row r="322">
      <c r="O322" s="230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  <c r="AJ322" s="230"/>
      <c r="AK322" s="230"/>
      <c r="AL322" s="230"/>
      <c r="AM322" s="230"/>
      <c r="AN322" s="230"/>
    </row>
    <row r="323">
      <c r="O323" s="230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  <c r="AI323" s="230"/>
      <c r="AJ323" s="230"/>
      <c r="AK323" s="230"/>
      <c r="AL323" s="230"/>
      <c r="AM323" s="230"/>
      <c r="AN323" s="230"/>
    </row>
    <row r="324">
      <c r="O324" s="230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  <c r="AJ324" s="230"/>
      <c r="AK324" s="230"/>
      <c r="AL324" s="230"/>
      <c r="AM324" s="230"/>
      <c r="AN324" s="230"/>
    </row>
    <row r="325">
      <c r="O325" s="230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  <c r="AI325" s="230"/>
      <c r="AJ325" s="230"/>
      <c r="AK325" s="230"/>
      <c r="AL325" s="230"/>
      <c r="AM325" s="230"/>
      <c r="AN325" s="230"/>
    </row>
    <row r="326">
      <c r="O326" s="230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  <c r="AI326" s="230"/>
      <c r="AJ326" s="230"/>
      <c r="AK326" s="230"/>
      <c r="AL326" s="230"/>
      <c r="AM326" s="230"/>
      <c r="AN326" s="230"/>
    </row>
    <row r="327">
      <c r="O327" s="230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  <c r="AI327" s="230"/>
      <c r="AJ327" s="230"/>
      <c r="AK327" s="230"/>
      <c r="AL327" s="230"/>
      <c r="AM327" s="230"/>
      <c r="AN327" s="230"/>
    </row>
    <row r="328">
      <c r="O328" s="230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  <c r="AJ328" s="230"/>
      <c r="AK328" s="230"/>
      <c r="AL328" s="230"/>
      <c r="AM328" s="230"/>
      <c r="AN328" s="230"/>
    </row>
    <row r="329">
      <c r="O329" s="230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  <c r="AJ329" s="230"/>
      <c r="AK329" s="230"/>
      <c r="AL329" s="230"/>
      <c r="AM329" s="230"/>
      <c r="AN329" s="230"/>
    </row>
    <row r="330">
      <c r="O330" s="230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  <c r="AI330" s="230"/>
      <c r="AJ330" s="230"/>
      <c r="AK330" s="230"/>
      <c r="AL330" s="230"/>
      <c r="AM330" s="230"/>
      <c r="AN330" s="230"/>
    </row>
    <row r="331">
      <c r="O331" s="230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  <c r="AJ331" s="230"/>
      <c r="AK331" s="230"/>
      <c r="AL331" s="230"/>
      <c r="AM331" s="230"/>
      <c r="AN331" s="230"/>
    </row>
    <row r="332">
      <c r="O332" s="230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  <c r="AI332" s="230"/>
      <c r="AJ332" s="230"/>
      <c r="AK332" s="230"/>
      <c r="AL332" s="230"/>
      <c r="AM332" s="230"/>
      <c r="AN332" s="230"/>
    </row>
    <row r="333">
      <c r="O333" s="230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  <c r="AI333" s="230"/>
      <c r="AJ333" s="230"/>
      <c r="AK333" s="230"/>
      <c r="AL333" s="230"/>
      <c r="AM333" s="230"/>
      <c r="AN333" s="230"/>
    </row>
    <row r="334">
      <c r="O334" s="230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  <c r="AI334" s="230"/>
      <c r="AJ334" s="230"/>
      <c r="AK334" s="230"/>
      <c r="AL334" s="230"/>
      <c r="AM334" s="230"/>
      <c r="AN334" s="230"/>
    </row>
    <row r="335">
      <c r="O335" s="230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  <c r="AI335" s="230"/>
      <c r="AJ335" s="230"/>
      <c r="AK335" s="230"/>
      <c r="AL335" s="230"/>
      <c r="AM335" s="230"/>
      <c r="AN335" s="230"/>
    </row>
    <row r="336">
      <c r="O336" s="230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  <c r="AI336" s="230"/>
      <c r="AJ336" s="230"/>
      <c r="AK336" s="230"/>
      <c r="AL336" s="230"/>
      <c r="AM336" s="230"/>
      <c r="AN336" s="230"/>
    </row>
    <row r="337">
      <c r="O337" s="230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  <c r="AI337" s="230"/>
      <c r="AJ337" s="230"/>
      <c r="AK337" s="230"/>
      <c r="AL337" s="230"/>
      <c r="AM337" s="230"/>
      <c r="AN337" s="230"/>
    </row>
    <row r="338">
      <c r="O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  <c r="AJ338" s="230"/>
      <c r="AK338" s="230"/>
      <c r="AL338" s="230"/>
      <c r="AM338" s="230"/>
      <c r="AN338" s="230"/>
    </row>
    <row r="339">
      <c r="O339" s="230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  <c r="AI339" s="230"/>
      <c r="AJ339" s="230"/>
      <c r="AK339" s="230"/>
      <c r="AL339" s="230"/>
      <c r="AM339" s="230"/>
      <c r="AN339" s="230"/>
    </row>
    <row r="340">
      <c r="O340" s="230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  <c r="AI340" s="230"/>
      <c r="AJ340" s="230"/>
      <c r="AK340" s="230"/>
      <c r="AL340" s="230"/>
      <c r="AM340" s="230"/>
      <c r="AN340" s="230"/>
    </row>
    <row r="341">
      <c r="O341" s="230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  <c r="AI341" s="230"/>
      <c r="AJ341" s="230"/>
      <c r="AK341" s="230"/>
      <c r="AL341" s="230"/>
      <c r="AM341" s="230"/>
      <c r="AN341" s="230"/>
    </row>
    <row r="342">
      <c r="O342" s="230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  <c r="AI342" s="230"/>
      <c r="AJ342" s="230"/>
      <c r="AK342" s="230"/>
      <c r="AL342" s="230"/>
      <c r="AM342" s="230"/>
      <c r="AN342" s="230"/>
    </row>
    <row r="343">
      <c r="O343" s="230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  <c r="AI343" s="230"/>
      <c r="AJ343" s="230"/>
      <c r="AK343" s="230"/>
      <c r="AL343" s="230"/>
      <c r="AM343" s="230"/>
      <c r="AN343" s="230"/>
    </row>
    <row r="344">
      <c r="O344" s="230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  <c r="AJ344" s="230"/>
      <c r="AK344" s="230"/>
      <c r="AL344" s="230"/>
      <c r="AM344" s="230"/>
      <c r="AN344" s="230"/>
    </row>
    <row r="345">
      <c r="O345" s="230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  <c r="AJ345" s="230"/>
      <c r="AK345" s="230"/>
      <c r="AL345" s="230"/>
      <c r="AM345" s="230"/>
      <c r="AN345" s="230"/>
    </row>
    <row r="346">
      <c r="O346" s="230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  <c r="AJ346" s="230"/>
      <c r="AK346" s="230"/>
      <c r="AL346" s="230"/>
      <c r="AM346" s="230"/>
      <c r="AN346" s="230"/>
    </row>
    <row r="347">
      <c r="O347" s="230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  <c r="AJ347" s="230"/>
      <c r="AK347" s="230"/>
      <c r="AL347" s="230"/>
      <c r="AM347" s="230"/>
      <c r="AN347" s="230"/>
    </row>
    <row r="348">
      <c r="O348" s="230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  <c r="AJ348" s="230"/>
      <c r="AK348" s="230"/>
      <c r="AL348" s="230"/>
      <c r="AM348" s="230"/>
      <c r="AN348" s="230"/>
    </row>
    <row r="349">
      <c r="O349" s="230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  <c r="AJ349" s="230"/>
      <c r="AK349" s="230"/>
      <c r="AL349" s="230"/>
      <c r="AM349" s="230"/>
      <c r="AN349" s="230"/>
    </row>
    <row r="350">
      <c r="O350" s="230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  <c r="AJ350" s="230"/>
      <c r="AK350" s="230"/>
      <c r="AL350" s="230"/>
      <c r="AM350" s="230"/>
      <c r="AN350" s="230"/>
    </row>
    <row r="351">
      <c r="O351" s="230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  <c r="AJ351" s="230"/>
      <c r="AK351" s="230"/>
      <c r="AL351" s="230"/>
      <c r="AM351" s="230"/>
      <c r="AN351" s="230"/>
    </row>
    <row r="352">
      <c r="O352" s="230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  <c r="AJ352" s="230"/>
      <c r="AK352" s="230"/>
      <c r="AL352" s="230"/>
      <c r="AM352" s="230"/>
      <c r="AN352" s="230"/>
    </row>
    <row r="353">
      <c r="O353" s="230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  <c r="AJ353" s="230"/>
      <c r="AK353" s="230"/>
      <c r="AL353" s="230"/>
      <c r="AM353" s="230"/>
      <c r="AN353" s="230"/>
    </row>
    <row r="354">
      <c r="O354" s="230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  <c r="AI354" s="230"/>
      <c r="AJ354" s="230"/>
      <c r="AK354" s="230"/>
      <c r="AL354" s="230"/>
      <c r="AM354" s="230"/>
      <c r="AN354" s="230"/>
    </row>
    <row r="355">
      <c r="O355" s="230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  <c r="AI355" s="230"/>
      <c r="AJ355" s="230"/>
      <c r="AK355" s="230"/>
      <c r="AL355" s="230"/>
      <c r="AM355" s="230"/>
      <c r="AN355" s="230"/>
    </row>
    <row r="356">
      <c r="O356" s="230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  <c r="AI356" s="230"/>
      <c r="AJ356" s="230"/>
      <c r="AK356" s="230"/>
      <c r="AL356" s="230"/>
      <c r="AM356" s="230"/>
      <c r="AN356" s="230"/>
    </row>
    <row r="357">
      <c r="O357" s="230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  <c r="AI357" s="230"/>
      <c r="AJ357" s="230"/>
      <c r="AK357" s="230"/>
      <c r="AL357" s="230"/>
      <c r="AM357" s="230"/>
      <c r="AN357" s="230"/>
    </row>
    <row r="358">
      <c r="O358" s="230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  <c r="AI358" s="230"/>
      <c r="AJ358" s="230"/>
      <c r="AK358" s="230"/>
      <c r="AL358" s="230"/>
      <c r="AM358" s="230"/>
      <c r="AN358" s="230"/>
    </row>
    <row r="359">
      <c r="O359" s="230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  <c r="AI359" s="230"/>
      <c r="AJ359" s="230"/>
      <c r="AK359" s="230"/>
      <c r="AL359" s="230"/>
      <c r="AM359" s="230"/>
      <c r="AN359" s="230"/>
    </row>
    <row r="360">
      <c r="O360" s="230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  <c r="AI360" s="230"/>
      <c r="AJ360" s="230"/>
      <c r="AK360" s="230"/>
      <c r="AL360" s="230"/>
      <c r="AM360" s="230"/>
      <c r="AN360" s="230"/>
    </row>
    <row r="361">
      <c r="O361" s="230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  <c r="AJ361" s="230"/>
      <c r="AK361" s="230"/>
      <c r="AL361" s="230"/>
      <c r="AM361" s="230"/>
      <c r="AN361" s="230"/>
    </row>
    <row r="362">
      <c r="O362" s="230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  <c r="AI362" s="230"/>
      <c r="AJ362" s="230"/>
      <c r="AK362" s="230"/>
      <c r="AL362" s="230"/>
      <c r="AM362" s="230"/>
      <c r="AN362" s="230"/>
    </row>
    <row r="363">
      <c r="O363" s="230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  <c r="AI363" s="230"/>
      <c r="AJ363" s="230"/>
      <c r="AK363" s="230"/>
      <c r="AL363" s="230"/>
      <c r="AM363" s="230"/>
      <c r="AN363" s="230"/>
    </row>
    <row r="364">
      <c r="O364" s="230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  <c r="AI364" s="230"/>
      <c r="AJ364" s="230"/>
      <c r="AK364" s="230"/>
      <c r="AL364" s="230"/>
      <c r="AM364" s="230"/>
      <c r="AN364" s="230"/>
    </row>
    <row r="365">
      <c r="O365" s="230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  <c r="AI365" s="230"/>
      <c r="AJ365" s="230"/>
      <c r="AK365" s="230"/>
      <c r="AL365" s="230"/>
      <c r="AM365" s="230"/>
      <c r="AN365" s="230"/>
    </row>
    <row r="366">
      <c r="O366" s="230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  <c r="AI366" s="230"/>
      <c r="AJ366" s="230"/>
      <c r="AK366" s="230"/>
      <c r="AL366" s="230"/>
      <c r="AM366" s="230"/>
      <c r="AN366" s="230"/>
    </row>
    <row r="367">
      <c r="O367" s="230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  <c r="AI367" s="230"/>
      <c r="AJ367" s="230"/>
      <c r="AK367" s="230"/>
      <c r="AL367" s="230"/>
      <c r="AM367" s="230"/>
      <c r="AN367" s="230"/>
    </row>
    <row r="368">
      <c r="O368" s="230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  <c r="AI368" s="230"/>
      <c r="AJ368" s="230"/>
      <c r="AK368" s="230"/>
      <c r="AL368" s="230"/>
      <c r="AM368" s="230"/>
      <c r="AN368" s="230"/>
    </row>
    <row r="369">
      <c r="O369" s="230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  <c r="AI369" s="230"/>
      <c r="AJ369" s="230"/>
      <c r="AK369" s="230"/>
      <c r="AL369" s="230"/>
      <c r="AM369" s="230"/>
      <c r="AN369" s="230"/>
    </row>
    <row r="370">
      <c r="O370" s="230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  <c r="AJ370" s="230"/>
      <c r="AK370" s="230"/>
      <c r="AL370" s="230"/>
      <c r="AM370" s="230"/>
      <c r="AN370" s="230"/>
    </row>
    <row r="371">
      <c r="O371" s="230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  <c r="AI371" s="230"/>
      <c r="AJ371" s="230"/>
      <c r="AK371" s="230"/>
      <c r="AL371" s="230"/>
      <c r="AM371" s="230"/>
      <c r="AN371" s="230"/>
    </row>
    <row r="372">
      <c r="O372" s="230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  <c r="AI372" s="230"/>
      <c r="AJ372" s="230"/>
      <c r="AK372" s="230"/>
      <c r="AL372" s="230"/>
      <c r="AM372" s="230"/>
      <c r="AN372" s="230"/>
    </row>
    <row r="373">
      <c r="O373" s="230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  <c r="AI373" s="230"/>
      <c r="AJ373" s="230"/>
      <c r="AK373" s="230"/>
      <c r="AL373" s="230"/>
      <c r="AM373" s="230"/>
      <c r="AN373" s="230"/>
    </row>
    <row r="374">
      <c r="O374" s="230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  <c r="AI374" s="230"/>
      <c r="AJ374" s="230"/>
      <c r="AK374" s="230"/>
      <c r="AL374" s="230"/>
      <c r="AM374" s="230"/>
      <c r="AN374" s="230"/>
    </row>
    <row r="375">
      <c r="O375" s="230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  <c r="AJ375" s="230"/>
      <c r="AK375" s="230"/>
      <c r="AL375" s="230"/>
      <c r="AM375" s="230"/>
      <c r="AN375" s="230"/>
    </row>
    <row r="376">
      <c r="O376" s="230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  <c r="AI376" s="230"/>
      <c r="AJ376" s="230"/>
      <c r="AK376" s="230"/>
      <c r="AL376" s="230"/>
      <c r="AM376" s="230"/>
      <c r="AN376" s="230"/>
    </row>
    <row r="377">
      <c r="O377" s="230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  <c r="AI377" s="230"/>
      <c r="AJ377" s="230"/>
      <c r="AK377" s="230"/>
      <c r="AL377" s="230"/>
      <c r="AM377" s="230"/>
      <c r="AN377" s="230"/>
    </row>
    <row r="378">
      <c r="O378" s="230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  <c r="AI378" s="230"/>
      <c r="AJ378" s="230"/>
      <c r="AK378" s="230"/>
      <c r="AL378" s="230"/>
      <c r="AM378" s="230"/>
      <c r="AN378" s="230"/>
    </row>
    <row r="379">
      <c r="O379" s="230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  <c r="AI379" s="230"/>
      <c r="AJ379" s="230"/>
      <c r="AK379" s="230"/>
      <c r="AL379" s="230"/>
      <c r="AM379" s="230"/>
      <c r="AN379" s="230"/>
    </row>
    <row r="380">
      <c r="O380" s="230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  <c r="AI380" s="230"/>
      <c r="AJ380" s="230"/>
      <c r="AK380" s="230"/>
      <c r="AL380" s="230"/>
      <c r="AM380" s="230"/>
      <c r="AN380" s="230"/>
    </row>
    <row r="381">
      <c r="O381" s="230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  <c r="AJ381" s="230"/>
      <c r="AK381" s="230"/>
      <c r="AL381" s="230"/>
      <c r="AM381" s="230"/>
      <c r="AN381" s="230"/>
    </row>
    <row r="382">
      <c r="O382" s="230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  <c r="AI382" s="230"/>
      <c r="AJ382" s="230"/>
      <c r="AK382" s="230"/>
      <c r="AL382" s="230"/>
      <c r="AM382" s="230"/>
      <c r="AN382" s="230"/>
    </row>
    <row r="383">
      <c r="O383" s="230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  <c r="AJ383" s="230"/>
      <c r="AK383" s="230"/>
      <c r="AL383" s="230"/>
      <c r="AM383" s="230"/>
      <c r="AN383" s="230"/>
    </row>
    <row r="384">
      <c r="O384" s="230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  <c r="AI384" s="230"/>
      <c r="AJ384" s="230"/>
      <c r="AK384" s="230"/>
      <c r="AL384" s="230"/>
      <c r="AM384" s="230"/>
      <c r="AN384" s="230"/>
    </row>
    <row r="385">
      <c r="O385" s="230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  <c r="AI385" s="230"/>
      <c r="AJ385" s="230"/>
      <c r="AK385" s="230"/>
      <c r="AL385" s="230"/>
      <c r="AM385" s="230"/>
      <c r="AN385" s="230"/>
    </row>
    <row r="386">
      <c r="O386" s="230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  <c r="AI386" s="230"/>
      <c r="AJ386" s="230"/>
      <c r="AK386" s="230"/>
      <c r="AL386" s="230"/>
      <c r="AM386" s="230"/>
      <c r="AN386" s="230"/>
    </row>
    <row r="387">
      <c r="O387" s="230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  <c r="AI387" s="230"/>
      <c r="AJ387" s="230"/>
      <c r="AK387" s="230"/>
      <c r="AL387" s="230"/>
      <c r="AM387" s="230"/>
      <c r="AN387" s="230"/>
    </row>
    <row r="388">
      <c r="O388" s="230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  <c r="AI388" s="230"/>
      <c r="AJ388" s="230"/>
      <c r="AK388" s="230"/>
      <c r="AL388" s="230"/>
      <c r="AM388" s="230"/>
      <c r="AN388" s="230"/>
    </row>
    <row r="389">
      <c r="O389" s="230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  <c r="AI389" s="230"/>
      <c r="AJ389" s="230"/>
      <c r="AK389" s="230"/>
      <c r="AL389" s="230"/>
      <c r="AM389" s="230"/>
      <c r="AN389" s="230"/>
    </row>
    <row r="390">
      <c r="O390" s="230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  <c r="AI390" s="230"/>
      <c r="AJ390" s="230"/>
      <c r="AK390" s="230"/>
      <c r="AL390" s="230"/>
      <c r="AM390" s="230"/>
      <c r="AN390" s="230"/>
    </row>
    <row r="391">
      <c r="O391" s="230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  <c r="AI391" s="230"/>
      <c r="AJ391" s="230"/>
      <c r="AK391" s="230"/>
      <c r="AL391" s="230"/>
      <c r="AM391" s="230"/>
      <c r="AN391" s="230"/>
    </row>
    <row r="392">
      <c r="O392" s="230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  <c r="AI392" s="230"/>
      <c r="AJ392" s="230"/>
      <c r="AK392" s="230"/>
      <c r="AL392" s="230"/>
      <c r="AM392" s="230"/>
      <c r="AN392" s="230"/>
    </row>
    <row r="393">
      <c r="O393" s="230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  <c r="AI393" s="230"/>
      <c r="AJ393" s="230"/>
      <c r="AK393" s="230"/>
      <c r="AL393" s="230"/>
      <c r="AM393" s="230"/>
      <c r="AN393" s="230"/>
    </row>
    <row r="394">
      <c r="O394" s="230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  <c r="AI394" s="230"/>
      <c r="AJ394" s="230"/>
      <c r="AK394" s="230"/>
      <c r="AL394" s="230"/>
      <c r="AM394" s="230"/>
      <c r="AN394" s="230"/>
    </row>
    <row r="395">
      <c r="O395" s="230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  <c r="AI395" s="230"/>
      <c r="AJ395" s="230"/>
      <c r="AK395" s="230"/>
      <c r="AL395" s="230"/>
      <c r="AM395" s="230"/>
      <c r="AN395" s="230"/>
    </row>
    <row r="396">
      <c r="O396" s="230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  <c r="AI396" s="230"/>
      <c r="AJ396" s="230"/>
      <c r="AK396" s="230"/>
      <c r="AL396" s="230"/>
      <c r="AM396" s="230"/>
      <c r="AN396" s="230"/>
    </row>
    <row r="397">
      <c r="O397" s="230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  <c r="AJ397" s="230"/>
      <c r="AK397" s="230"/>
      <c r="AL397" s="230"/>
      <c r="AM397" s="230"/>
      <c r="AN397" s="230"/>
    </row>
    <row r="398">
      <c r="O398" s="230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  <c r="AI398" s="230"/>
      <c r="AJ398" s="230"/>
      <c r="AK398" s="230"/>
      <c r="AL398" s="230"/>
      <c r="AM398" s="230"/>
      <c r="AN398" s="230"/>
    </row>
    <row r="399">
      <c r="O399" s="230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  <c r="AI399" s="230"/>
      <c r="AJ399" s="230"/>
      <c r="AK399" s="230"/>
      <c r="AL399" s="230"/>
      <c r="AM399" s="230"/>
      <c r="AN399" s="230"/>
    </row>
    <row r="400">
      <c r="O400" s="230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  <c r="AI400" s="230"/>
      <c r="AJ400" s="230"/>
      <c r="AK400" s="230"/>
      <c r="AL400" s="230"/>
      <c r="AM400" s="230"/>
      <c r="AN400" s="230"/>
    </row>
    <row r="401">
      <c r="O401" s="230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  <c r="AI401" s="230"/>
      <c r="AJ401" s="230"/>
      <c r="AK401" s="230"/>
      <c r="AL401" s="230"/>
      <c r="AM401" s="230"/>
      <c r="AN401" s="230"/>
    </row>
    <row r="402">
      <c r="O402" s="230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  <c r="AI402" s="230"/>
      <c r="AJ402" s="230"/>
      <c r="AK402" s="230"/>
      <c r="AL402" s="230"/>
      <c r="AM402" s="230"/>
      <c r="AN402" s="230"/>
    </row>
    <row r="403">
      <c r="O403" s="230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  <c r="AI403" s="230"/>
      <c r="AJ403" s="230"/>
      <c r="AK403" s="230"/>
      <c r="AL403" s="230"/>
      <c r="AM403" s="230"/>
      <c r="AN403" s="230"/>
    </row>
    <row r="404">
      <c r="O404" s="230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  <c r="AI404" s="230"/>
      <c r="AJ404" s="230"/>
      <c r="AK404" s="230"/>
      <c r="AL404" s="230"/>
      <c r="AM404" s="230"/>
      <c r="AN404" s="230"/>
    </row>
    <row r="405">
      <c r="O405" s="230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  <c r="AI405" s="230"/>
      <c r="AJ405" s="230"/>
      <c r="AK405" s="230"/>
      <c r="AL405" s="230"/>
      <c r="AM405" s="230"/>
      <c r="AN405" s="230"/>
    </row>
    <row r="406">
      <c r="O406" s="230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  <c r="AI406" s="230"/>
      <c r="AJ406" s="230"/>
      <c r="AK406" s="230"/>
      <c r="AL406" s="230"/>
      <c r="AM406" s="230"/>
      <c r="AN406" s="230"/>
    </row>
    <row r="407">
      <c r="O407" s="230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  <c r="AI407" s="230"/>
      <c r="AJ407" s="230"/>
      <c r="AK407" s="230"/>
      <c r="AL407" s="230"/>
      <c r="AM407" s="230"/>
      <c r="AN407" s="230"/>
    </row>
    <row r="408">
      <c r="O408" s="230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  <c r="AI408" s="230"/>
      <c r="AJ408" s="230"/>
      <c r="AK408" s="230"/>
      <c r="AL408" s="230"/>
      <c r="AM408" s="230"/>
      <c r="AN408" s="230"/>
    </row>
    <row r="409">
      <c r="O409" s="230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  <c r="AI409" s="230"/>
      <c r="AJ409" s="230"/>
      <c r="AK409" s="230"/>
      <c r="AL409" s="230"/>
      <c r="AM409" s="230"/>
      <c r="AN409" s="230"/>
    </row>
    <row r="410">
      <c r="O410" s="230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  <c r="AI410" s="230"/>
      <c r="AJ410" s="230"/>
      <c r="AK410" s="230"/>
      <c r="AL410" s="230"/>
      <c r="AM410" s="230"/>
      <c r="AN410" s="230"/>
    </row>
    <row r="411">
      <c r="O411" s="230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  <c r="AI411" s="230"/>
      <c r="AJ411" s="230"/>
      <c r="AK411" s="230"/>
      <c r="AL411" s="230"/>
      <c r="AM411" s="230"/>
      <c r="AN411" s="230"/>
    </row>
    <row r="412">
      <c r="O412" s="230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  <c r="AI412" s="230"/>
      <c r="AJ412" s="230"/>
      <c r="AK412" s="230"/>
      <c r="AL412" s="230"/>
      <c r="AM412" s="230"/>
      <c r="AN412" s="230"/>
    </row>
    <row r="413">
      <c r="O413" s="230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  <c r="AI413" s="230"/>
      <c r="AJ413" s="230"/>
      <c r="AK413" s="230"/>
      <c r="AL413" s="230"/>
      <c r="AM413" s="230"/>
      <c r="AN413" s="230"/>
    </row>
    <row r="414">
      <c r="O414" s="230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  <c r="AI414" s="230"/>
      <c r="AJ414" s="230"/>
      <c r="AK414" s="230"/>
      <c r="AL414" s="230"/>
      <c r="AM414" s="230"/>
      <c r="AN414" s="230"/>
    </row>
    <row r="415">
      <c r="O415" s="230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  <c r="AI415" s="230"/>
      <c r="AJ415" s="230"/>
      <c r="AK415" s="230"/>
      <c r="AL415" s="230"/>
      <c r="AM415" s="230"/>
      <c r="AN415" s="230"/>
    </row>
    <row r="416">
      <c r="O416" s="230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  <c r="AI416" s="230"/>
      <c r="AJ416" s="230"/>
      <c r="AK416" s="230"/>
      <c r="AL416" s="230"/>
      <c r="AM416" s="230"/>
      <c r="AN416" s="230"/>
    </row>
    <row r="417">
      <c r="O417" s="230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  <c r="AI417" s="230"/>
      <c r="AJ417" s="230"/>
      <c r="AK417" s="230"/>
      <c r="AL417" s="230"/>
      <c r="AM417" s="230"/>
      <c r="AN417" s="230"/>
    </row>
    <row r="418">
      <c r="O418" s="230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  <c r="AI418" s="230"/>
      <c r="AJ418" s="230"/>
      <c r="AK418" s="230"/>
      <c r="AL418" s="230"/>
      <c r="AM418" s="230"/>
      <c r="AN418" s="230"/>
    </row>
    <row r="419">
      <c r="O419" s="230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  <c r="AJ419" s="230"/>
      <c r="AK419" s="230"/>
      <c r="AL419" s="230"/>
      <c r="AM419" s="230"/>
      <c r="AN419" s="230"/>
    </row>
    <row r="420">
      <c r="O420" s="230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  <c r="AI420" s="230"/>
      <c r="AJ420" s="230"/>
      <c r="AK420" s="230"/>
      <c r="AL420" s="230"/>
      <c r="AM420" s="230"/>
      <c r="AN420" s="230"/>
    </row>
    <row r="421">
      <c r="O421" s="230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  <c r="AI421" s="230"/>
      <c r="AJ421" s="230"/>
      <c r="AK421" s="230"/>
      <c r="AL421" s="230"/>
      <c r="AM421" s="230"/>
      <c r="AN421" s="230"/>
    </row>
    <row r="422">
      <c r="O422" s="230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  <c r="AJ422" s="230"/>
      <c r="AK422" s="230"/>
      <c r="AL422" s="230"/>
      <c r="AM422" s="230"/>
      <c r="AN422" s="230"/>
    </row>
    <row r="423">
      <c r="O423" s="230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  <c r="AI423" s="230"/>
      <c r="AJ423" s="230"/>
      <c r="AK423" s="230"/>
      <c r="AL423" s="230"/>
      <c r="AM423" s="230"/>
      <c r="AN423" s="230"/>
    </row>
    <row r="424">
      <c r="O424" s="230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  <c r="AI424" s="230"/>
      <c r="AJ424" s="230"/>
      <c r="AK424" s="230"/>
      <c r="AL424" s="230"/>
      <c r="AM424" s="230"/>
      <c r="AN424" s="230"/>
    </row>
    <row r="425">
      <c r="O425" s="230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  <c r="AI425" s="230"/>
      <c r="AJ425" s="230"/>
      <c r="AK425" s="230"/>
      <c r="AL425" s="230"/>
      <c r="AM425" s="230"/>
      <c r="AN425" s="230"/>
    </row>
    <row r="426">
      <c r="O426" s="230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  <c r="AI426" s="230"/>
      <c r="AJ426" s="230"/>
      <c r="AK426" s="230"/>
      <c r="AL426" s="230"/>
      <c r="AM426" s="230"/>
      <c r="AN426" s="230"/>
    </row>
    <row r="427">
      <c r="O427" s="230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  <c r="AJ427" s="230"/>
      <c r="AK427" s="230"/>
      <c r="AL427" s="230"/>
      <c r="AM427" s="230"/>
      <c r="AN427" s="230"/>
    </row>
    <row r="428">
      <c r="O428" s="230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  <c r="AJ428" s="230"/>
      <c r="AK428" s="230"/>
      <c r="AL428" s="230"/>
      <c r="AM428" s="230"/>
      <c r="AN428" s="230"/>
    </row>
    <row r="429">
      <c r="O429" s="230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  <c r="AI429" s="230"/>
      <c r="AJ429" s="230"/>
      <c r="AK429" s="230"/>
      <c r="AL429" s="230"/>
      <c r="AM429" s="230"/>
      <c r="AN429" s="230"/>
    </row>
    <row r="430">
      <c r="O430" s="230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  <c r="AI430" s="230"/>
      <c r="AJ430" s="230"/>
      <c r="AK430" s="230"/>
      <c r="AL430" s="230"/>
      <c r="AM430" s="230"/>
      <c r="AN430" s="230"/>
    </row>
    <row r="431">
      <c r="O431" s="230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  <c r="AI431" s="230"/>
      <c r="AJ431" s="230"/>
      <c r="AK431" s="230"/>
      <c r="AL431" s="230"/>
      <c r="AM431" s="230"/>
      <c r="AN431" s="230"/>
    </row>
    <row r="432">
      <c r="O432" s="230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  <c r="AI432" s="230"/>
      <c r="AJ432" s="230"/>
      <c r="AK432" s="230"/>
      <c r="AL432" s="230"/>
      <c r="AM432" s="230"/>
      <c r="AN432" s="230"/>
    </row>
    <row r="433">
      <c r="O433" s="230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  <c r="AJ433" s="230"/>
      <c r="AK433" s="230"/>
      <c r="AL433" s="230"/>
      <c r="AM433" s="230"/>
      <c r="AN433" s="230"/>
    </row>
    <row r="434">
      <c r="O434" s="230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  <c r="AJ434" s="230"/>
      <c r="AK434" s="230"/>
      <c r="AL434" s="230"/>
      <c r="AM434" s="230"/>
      <c r="AN434" s="230"/>
    </row>
    <row r="435">
      <c r="O435" s="230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  <c r="AI435" s="230"/>
      <c r="AJ435" s="230"/>
      <c r="AK435" s="230"/>
      <c r="AL435" s="230"/>
      <c r="AM435" s="230"/>
      <c r="AN435" s="230"/>
    </row>
    <row r="436">
      <c r="O436" s="230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  <c r="AI436" s="230"/>
      <c r="AJ436" s="230"/>
      <c r="AK436" s="230"/>
      <c r="AL436" s="230"/>
      <c r="AM436" s="230"/>
      <c r="AN436" s="230"/>
    </row>
    <row r="437">
      <c r="O437" s="230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  <c r="AJ437" s="230"/>
      <c r="AK437" s="230"/>
      <c r="AL437" s="230"/>
      <c r="AM437" s="230"/>
      <c r="AN437" s="230"/>
    </row>
    <row r="438">
      <c r="O438" s="230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  <c r="AI438" s="230"/>
      <c r="AJ438" s="230"/>
      <c r="AK438" s="230"/>
      <c r="AL438" s="230"/>
      <c r="AM438" s="230"/>
      <c r="AN438" s="230"/>
    </row>
    <row r="439">
      <c r="O439" s="230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  <c r="AI439" s="230"/>
      <c r="AJ439" s="230"/>
      <c r="AK439" s="230"/>
      <c r="AL439" s="230"/>
      <c r="AM439" s="230"/>
      <c r="AN439" s="230"/>
    </row>
    <row r="440">
      <c r="O440" s="230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  <c r="AI440" s="230"/>
      <c r="AJ440" s="230"/>
      <c r="AK440" s="230"/>
      <c r="AL440" s="230"/>
      <c r="AM440" s="230"/>
      <c r="AN440" s="230"/>
    </row>
    <row r="441">
      <c r="O441" s="230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  <c r="AJ441" s="230"/>
      <c r="AK441" s="230"/>
      <c r="AL441" s="230"/>
      <c r="AM441" s="230"/>
      <c r="AN441" s="230"/>
    </row>
    <row r="442">
      <c r="O442" s="230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  <c r="AI442" s="230"/>
      <c r="AJ442" s="230"/>
      <c r="AK442" s="230"/>
      <c r="AL442" s="230"/>
      <c r="AM442" s="230"/>
      <c r="AN442" s="230"/>
    </row>
    <row r="443">
      <c r="O443" s="230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  <c r="AI443" s="230"/>
      <c r="AJ443" s="230"/>
      <c r="AK443" s="230"/>
      <c r="AL443" s="230"/>
      <c r="AM443" s="230"/>
      <c r="AN443" s="230"/>
    </row>
    <row r="444">
      <c r="O444" s="230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  <c r="AI444" s="230"/>
      <c r="AJ444" s="230"/>
      <c r="AK444" s="230"/>
      <c r="AL444" s="230"/>
      <c r="AM444" s="230"/>
      <c r="AN444" s="230"/>
    </row>
    <row r="445">
      <c r="O445" s="230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  <c r="AI445" s="230"/>
      <c r="AJ445" s="230"/>
      <c r="AK445" s="230"/>
      <c r="AL445" s="230"/>
      <c r="AM445" s="230"/>
      <c r="AN445" s="230"/>
    </row>
    <row r="446">
      <c r="O446" s="230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  <c r="AI446" s="230"/>
      <c r="AJ446" s="230"/>
      <c r="AK446" s="230"/>
      <c r="AL446" s="230"/>
      <c r="AM446" s="230"/>
      <c r="AN446" s="230"/>
    </row>
    <row r="447">
      <c r="O447" s="230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  <c r="AI447" s="230"/>
      <c r="AJ447" s="230"/>
      <c r="AK447" s="230"/>
      <c r="AL447" s="230"/>
      <c r="AM447" s="230"/>
      <c r="AN447" s="230"/>
    </row>
    <row r="448">
      <c r="O448" s="230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  <c r="AI448" s="230"/>
      <c r="AJ448" s="230"/>
      <c r="AK448" s="230"/>
      <c r="AL448" s="230"/>
      <c r="AM448" s="230"/>
      <c r="AN448" s="230"/>
    </row>
    <row r="449">
      <c r="O449" s="230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  <c r="AI449" s="230"/>
      <c r="AJ449" s="230"/>
      <c r="AK449" s="230"/>
      <c r="AL449" s="230"/>
      <c r="AM449" s="230"/>
      <c r="AN449" s="230"/>
    </row>
    <row r="450">
      <c r="O450" s="230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  <c r="AI450" s="230"/>
      <c r="AJ450" s="230"/>
      <c r="AK450" s="230"/>
      <c r="AL450" s="230"/>
      <c r="AM450" s="230"/>
      <c r="AN450" s="230"/>
    </row>
    <row r="451">
      <c r="O451" s="230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  <c r="AI451" s="230"/>
      <c r="AJ451" s="230"/>
      <c r="AK451" s="230"/>
      <c r="AL451" s="230"/>
      <c r="AM451" s="230"/>
      <c r="AN451" s="230"/>
    </row>
    <row r="452">
      <c r="O452" s="230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  <c r="AI452" s="230"/>
      <c r="AJ452" s="230"/>
      <c r="AK452" s="230"/>
      <c r="AL452" s="230"/>
      <c r="AM452" s="230"/>
      <c r="AN452" s="230"/>
    </row>
    <row r="453">
      <c r="O453" s="230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  <c r="AI453" s="230"/>
      <c r="AJ453" s="230"/>
      <c r="AK453" s="230"/>
      <c r="AL453" s="230"/>
      <c r="AM453" s="230"/>
      <c r="AN453" s="230"/>
    </row>
    <row r="454">
      <c r="O454" s="230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  <c r="AI454" s="230"/>
      <c r="AJ454" s="230"/>
      <c r="AK454" s="230"/>
      <c r="AL454" s="230"/>
      <c r="AM454" s="230"/>
      <c r="AN454" s="230"/>
    </row>
    <row r="455">
      <c r="O455" s="230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  <c r="AI455" s="230"/>
      <c r="AJ455" s="230"/>
      <c r="AK455" s="230"/>
      <c r="AL455" s="230"/>
      <c r="AM455" s="230"/>
      <c r="AN455" s="230"/>
    </row>
    <row r="456">
      <c r="O456" s="230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  <c r="AI456" s="230"/>
      <c r="AJ456" s="230"/>
      <c r="AK456" s="230"/>
      <c r="AL456" s="230"/>
      <c r="AM456" s="230"/>
      <c r="AN456" s="230"/>
    </row>
    <row r="457">
      <c r="O457" s="230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  <c r="AI457" s="230"/>
      <c r="AJ457" s="230"/>
      <c r="AK457" s="230"/>
      <c r="AL457" s="230"/>
      <c r="AM457" s="230"/>
      <c r="AN457" s="230"/>
    </row>
    <row r="458">
      <c r="O458" s="230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  <c r="AI458" s="230"/>
      <c r="AJ458" s="230"/>
      <c r="AK458" s="230"/>
      <c r="AL458" s="230"/>
      <c r="AM458" s="230"/>
      <c r="AN458" s="230"/>
    </row>
    <row r="459">
      <c r="O459" s="230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  <c r="AI459" s="230"/>
      <c r="AJ459" s="230"/>
      <c r="AK459" s="230"/>
      <c r="AL459" s="230"/>
      <c r="AM459" s="230"/>
      <c r="AN459" s="230"/>
    </row>
    <row r="460">
      <c r="O460" s="230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  <c r="AI460" s="230"/>
      <c r="AJ460" s="230"/>
      <c r="AK460" s="230"/>
      <c r="AL460" s="230"/>
      <c r="AM460" s="230"/>
      <c r="AN460" s="230"/>
    </row>
    <row r="461">
      <c r="O461" s="230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  <c r="AI461" s="230"/>
      <c r="AJ461" s="230"/>
      <c r="AK461" s="230"/>
      <c r="AL461" s="230"/>
      <c r="AM461" s="230"/>
      <c r="AN461" s="230"/>
    </row>
    <row r="462">
      <c r="O462" s="230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  <c r="AI462" s="230"/>
      <c r="AJ462" s="230"/>
      <c r="AK462" s="230"/>
      <c r="AL462" s="230"/>
      <c r="AM462" s="230"/>
      <c r="AN462" s="230"/>
    </row>
    <row r="463">
      <c r="O463" s="230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  <c r="AJ463" s="230"/>
      <c r="AK463" s="230"/>
      <c r="AL463" s="230"/>
      <c r="AM463" s="230"/>
      <c r="AN463" s="230"/>
    </row>
    <row r="464">
      <c r="O464" s="230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  <c r="AI464" s="230"/>
      <c r="AJ464" s="230"/>
      <c r="AK464" s="230"/>
      <c r="AL464" s="230"/>
      <c r="AM464" s="230"/>
      <c r="AN464" s="230"/>
    </row>
    <row r="465">
      <c r="O465" s="230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  <c r="AI465" s="230"/>
      <c r="AJ465" s="230"/>
      <c r="AK465" s="230"/>
      <c r="AL465" s="230"/>
      <c r="AM465" s="230"/>
      <c r="AN465" s="230"/>
    </row>
    <row r="466">
      <c r="O466" s="230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  <c r="AI466" s="230"/>
      <c r="AJ466" s="230"/>
      <c r="AK466" s="230"/>
      <c r="AL466" s="230"/>
      <c r="AM466" s="230"/>
      <c r="AN466" s="230"/>
    </row>
    <row r="467">
      <c r="O467" s="230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  <c r="AI467" s="230"/>
      <c r="AJ467" s="230"/>
      <c r="AK467" s="230"/>
      <c r="AL467" s="230"/>
      <c r="AM467" s="230"/>
      <c r="AN467" s="230"/>
    </row>
    <row r="468">
      <c r="O468" s="230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  <c r="AI468" s="230"/>
      <c r="AJ468" s="230"/>
      <c r="AK468" s="230"/>
      <c r="AL468" s="230"/>
      <c r="AM468" s="230"/>
      <c r="AN468" s="230"/>
    </row>
    <row r="469">
      <c r="O469" s="230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  <c r="AI469" s="230"/>
      <c r="AJ469" s="230"/>
      <c r="AK469" s="230"/>
      <c r="AL469" s="230"/>
      <c r="AM469" s="230"/>
      <c r="AN469" s="230"/>
    </row>
    <row r="470">
      <c r="O470" s="230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  <c r="AI470" s="230"/>
      <c r="AJ470" s="230"/>
      <c r="AK470" s="230"/>
      <c r="AL470" s="230"/>
      <c r="AM470" s="230"/>
      <c r="AN470" s="230"/>
    </row>
    <row r="471">
      <c r="O471" s="230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  <c r="AI471" s="230"/>
      <c r="AJ471" s="230"/>
      <c r="AK471" s="230"/>
      <c r="AL471" s="230"/>
      <c r="AM471" s="230"/>
      <c r="AN471" s="230"/>
    </row>
    <row r="472">
      <c r="O472" s="230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  <c r="AI472" s="230"/>
      <c r="AJ472" s="230"/>
      <c r="AK472" s="230"/>
      <c r="AL472" s="230"/>
      <c r="AM472" s="230"/>
      <c r="AN472" s="230"/>
    </row>
    <row r="473">
      <c r="O473" s="230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  <c r="AI473" s="230"/>
      <c r="AJ473" s="230"/>
      <c r="AK473" s="230"/>
      <c r="AL473" s="230"/>
      <c r="AM473" s="230"/>
      <c r="AN473" s="230"/>
    </row>
    <row r="474">
      <c r="O474" s="230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  <c r="AI474" s="230"/>
      <c r="AJ474" s="230"/>
      <c r="AK474" s="230"/>
      <c r="AL474" s="230"/>
      <c r="AM474" s="230"/>
      <c r="AN474" s="230"/>
    </row>
    <row r="475">
      <c r="O475" s="230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  <c r="AI475" s="230"/>
      <c r="AJ475" s="230"/>
      <c r="AK475" s="230"/>
      <c r="AL475" s="230"/>
      <c r="AM475" s="230"/>
      <c r="AN475" s="230"/>
    </row>
    <row r="476">
      <c r="O476" s="230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  <c r="AI476" s="230"/>
      <c r="AJ476" s="230"/>
      <c r="AK476" s="230"/>
      <c r="AL476" s="230"/>
      <c r="AM476" s="230"/>
      <c r="AN476" s="230"/>
    </row>
    <row r="477">
      <c r="O477" s="230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  <c r="AI477" s="230"/>
      <c r="AJ477" s="230"/>
      <c r="AK477" s="230"/>
      <c r="AL477" s="230"/>
      <c r="AM477" s="230"/>
      <c r="AN477" s="230"/>
    </row>
    <row r="478">
      <c r="O478" s="230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  <c r="AI478" s="230"/>
      <c r="AJ478" s="230"/>
      <c r="AK478" s="230"/>
      <c r="AL478" s="230"/>
      <c r="AM478" s="230"/>
      <c r="AN478" s="230"/>
    </row>
    <row r="479">
      <c r="O479" s="230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  <c r="AI479" s="230"/>
      <c r="AJ479" s="230"/>
      <c r="AK479" s="230"/>
      <c r="AL479" s="230"/>
      <c r="AM479" s="230"/>
      <c r="AN479" s="230"/>
    </row>
    <row r="480">
      <c r="O480" s="230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  <c r="AI480" s="230"/>
      <c r="AJ480" s="230"/>
      <c r="AK480" s="230"/>
      <c r="AL480" s="230"/>
      <c r="AM480" s="230"/>
      <c r="AN480" s="230"/>
    </row>
    <row r="481">
      <c r="O481" s="230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  <c r="AI481" s="230"/>
      <c r="AJ481" s="230"/>
      <c r="AK481" s="230"/>
      <c r="AL481" s="230"/>
      <c r="AM481" s="230"/>
      <c r="AN481" s="230"/>
    </row>
    <row r="482">
      <c r="O482" s="230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  <c r="AI482" s="230"/>
      <c r="AJ482" s="230"/>
      <c r="AK482" s="230"/>
      <c r="AL482" s="230"/>
      <c r="AM482" s="230"/>
      <c r="AN482" s="230"/>
    </row>
    <row r="483">
      <c r="O483" s="230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  <c r="AI483" s="230"/>
      <c r="AJ483" s="230"/>
      <c r="AK483" s="230"/>
      <c r="AL483" s="230"/>
      <c r="AM483" s="230"/>
      <c r="AN483" s="230"/>
    </row>
    <row r="484">
      <c r="O484" s="230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  <c r="AI484" s="230"/>
      <c r="AJ484" s="230"/>
      <c r="AK484" s="230"/>
      <c r="AL484" s="230"/>
      <c r="AM484" s="230"/>
      <c r="AN484" s="230"/>
    </row>
    <row r="485">
      <c r="O485" s="230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  <c r="AJ485" s="230"/>
      <c r="AK485" s="230"/>
      <c r="AL485" s="230"/>
      <c r="AM485" s="230"/>
      <c r="AN485" s="230"/>
    </row>
    <row r="486">
      <c r="O486" s="230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  <c r="AI486" s="230"/>
      <c r="AJ486" s="230"/>
      <c r="AK486" s="230"/>
      <c r="AL486" s="230"/>
      <c r="AM486" s="230"/>
      <c r="AN486" s="230"/>
    </row>
    <row r="487">
      <c r="O487" s="230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  <c r="AI487" s="230"/>
      <c r="AJ487" s="230"/>
      <c r="AK487" s="230"/>
      <c r="AL487" s="230"/>
      <c r="AM487" s="230"/>
      <c r="AN487" s="230"/>
    </row>
    <row r="488">
      <c r="O488" s="230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  <c r="AI488" s="230"/>
      <c r="AJ488" s="230"/>
      <c r="AK488" s="230"/>
      <c r="AL488" s="230"/>
      <c r="AM488" s="230"/>
      <c r="AN488" s="230"/>
    </row>
    <row r="489">
      <c r="O489" s="230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  <c r="AJ489" s="230"/>
      <c r="AK489" s="230"/>
      <c r="AL489" s="230"/>
      <c r="AM489" s="230"/>
      <c r="AN489" s="230"/>
    </row>
    <row r="490">
      <c r="O490" s="230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  <c r="AI490" s="230"/>
      <c r="AJ490" s="230"/>
      <c r="AK490" s="230"/>
      <c r="AL490" s="230"/>
      <c r="AM490" s="230"/>
      <c r="AN490" s="230"/>
    </row>
    <row r="491">
      <c r="O491" s="230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  <c r="AJ491" s="230"/>
      <c r="AK491" s="230"/>
      <c r="AL491" s="230"/>
      <c r="AM491" s="230"/>
      <c r="AN491" s="230"/>
    </row>
    <row r="492">
      <c r="O492" s="230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  <c r="AJ492" s="230"/>
      <c r="AK492" s="230"/>
      <c r="AL492" s="230"/>
      <c r="AM492" s="230"/>
      <c r="AN492" s="230"/>
    </row>
    <row r="493">
      <c r="O493" s="230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  <c r="AI493" s="230"/>
      <c r="AJ493" s="230"/>
      <c r="AK493" s="230"/>
      <c r="AL493" s="230"/>
      <c r="AM493" s="230"/>
      <c r="AN493" s="230"/>
    </row>
    <row r="494">
      <c r="O494" s="230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  <c r="AI494" s="230"/>
      <c r="AJ494" s="230"/>
      <c r="AK494" s="230"/>
      <c r="AL494" s="230"/>
      <c r="AM494" s="230"/>
      <c r="AN494" s="230"/>
    </row>
    <row r="495">
      <c r="O495" s="230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  <c r="AI495" s="230"/>
      <c r="AJ495" s="230"/>
      <c r="AK495" s="230"/>
      <c r="AL495" s="230"/>
      <c r="AM495" s="230"/>
      <c r="AN495" s="230"/>
    </row>
    <row r="496">
      <c r="O496" s="230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  <c r="AI496" s="230"/>
      <c r="AJ496" s="230"/>
      <c r="AK496" s="230"/>
      <c r="AL496" s="230"/>
      <c r="AM496" s="230"/>
      <c r="AN496" s="230"/>
    </row>
    <row r="497">
      <c r="O497" s="230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  <c r="AI497" s="230"/>
      <c r="AJ497" s="230"/>
      <c r="AK497" s="230"/>
      <c r="AL497" s="230"/>
      <c r="AM497" s="230"/>
      <c r="AN497" s="230"/>
    </row>
    <row r="498">
      <c r="O498" s="230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  <c r="AI498" s="230"/>
      <c r="AJ498" s="230"/>
      <c r="AK498" s="230"/>
      <c r="AL498" s="230"/>
      <c r="AM498" s="230"/>
      <c r="AN498" s="230"/>
    </row>
    <row r="499">
      <c r="O499" s="230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  <c r="AI499" s="230"/>
      <c r="AJ499" s="230"/>
      <c r="AK499" s="230"/>
      <c r="AL499" s="230"/>
      <c r="AM499" s="230"/>
      <c r="AN499" s="230"/>
    </row>
    <row r="500">
      <c r="O500" s="230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  <c r="AI500" s="230"/>
      <c r="AJ500" s="230"/>
      <c r="AK500" s="230"/>
      <c r="AL500" s="230"/>
      <c r="AM500" s="230"/>
      <c r="AN500" s="230"/>
    </row>
    <row r="501">
      <c r="O501" s="230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  <c r="AI501" s="230"/>
      <c r="AJ501" s="230"/>
      <c r="AK501" s="230"/>
      <c r="AL501" s="230"/>
      <c r="AM501" s="230"/>
      <c r="AN501" s="230"/>
    </row>
    <row r="502">
      <c r="O502" s="230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  <c r="AI502" s="230"/>
      <c r="AJ502" s="230"/>
      <c r="AK502" s="230"/>
      <c r="AL502" s="230"/>
      <c r="AM502" s="230"/>
      <c r="AN502" s="230"/>
    </row>
    <row r="503">
      <c r="O503" s="230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  <c r="AI503" s="230"/>
      <c r="AJ503" s="230"/>
      <c r="AK503" s="230"/>
      <c r="AL503" s="230"/>
      <c r="AM503" s="230"/>
      <c r="AN503" s="230"/>
    </row>
    <row r="504">
      <c r="O504" s="230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  <c r="AI504" s="230"/>
      <c r="AJ504" s="230"/>
      <c r="AK504" s="230"/>
      <c r="AL504" s="230"/>
      <c r="AM504" s="230"/>
      <c r="AN504" s="230"/>
    </row>
    <row r="505">
      <c r="O505" s="230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  <c r="AI505" s="230"/>
      <c r="AJ505" s="230"/>
      <c r="AK505" s="230"/>
      <c r="AL505" s="230"/>
      <c r="AM505" s="230"/>
      <c r="AN505" s="230"/>
    </row>
    <row r="506">
      <c r="O506" s="230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  <c r="AI506" s="230"/>
      <c r="AJ506" s="230"/>
      <c r="AK506" s="230"/>
      <c r="AL506" s="230"/>
      <c r="AM506" s="230"/>
      <c r="AN506" s="230"/>
    </row>
    <row r="507">
      <c r="O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  <c r="AJ507" s="230"/>
      <c r="AK507" s="230"/>
      <c r="AL507" s="230"/>
      <c r="AM507" s="230"/>
      <c r="AN507" s="230"/>
    </row>
    <row r="508">
      <c r="O508" s="230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  <c r="AI508" s="230"/>
      <c r="AJ508" s="230"/>
      <c r="AK508" s="230"/>
      <c r="AL508" s="230"/>
      <c r="AM508" s="230"/>
      <c r="AN508" s="230"/>
    </row>
    <row r="509">
      <c r="O509" s="230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  <c r="AI509" s="230"/>
      <c r="AJ509" s="230"/>
      <c r="AK509" s="230"/>
      <c r="AL509" s="230"/>
      <c r="AM509" s="230"/>
      <c r="AN509" s="230"/>
    </row>
    <row r="510">
      <c r="O510" s="230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  <c r="AI510" s="230"/>
      <c r="AJ510" s="230"/>
      <c r="AK510" s="230"/>
      <c r="AL510" s="230"/>
      <c r="AM510" s="230"/>
      <c r="AN510" s="230"/>
    </row>
    <row r="511">
      <c r="O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  <c r="AI511" s="230"/>
      <c r="AJ511" s="230"/>
      <c r="AK511" s="230"/>
      <c r="AL511" s="230"/>
      <c r="AM511" s="230"/>
      <c r="AN511" s="230"/>
    </row>
    <row r="512">
      <c r="O512" s="230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  <c r="AI512" s="230"/>
      <c r="AJ512" s="230"/>
      <c r="AK512" s="230"/>
      <c r="AL512" s="230"/>
      <c r="AM512" s="230"/>
      <c r="AN512" s="230"/>
    </row>
    <row r="513">
      <c r="O513" s="230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  <c r="AI513" s="230"/>
      <c r="AJ513" s="230"/>
      <c r="AK513" s="230"/>
      <c r="AL513" s="230"/>
      <c r="AM513" s="230"/>
      <c r="AN513" s="230"/>
    </row>
    <row r="514">
      <c r="O514" s="230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  <c r="AI514" s="230"/>
      <c r="AJ514" s="230"/>
      <c r="AK514" s="230"/>
      <c r="AL514" s="230"/>
      <c r="AM514" s="230"/>
      <c r="AN514" s="230"/>
    </row>
    <row r="515">
      <c r="O515" s="230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  <c r="AI515" s="230"/>
      <c r="AJ515" s="230"/>
      <c r="AK515" s="230"/>
      <c r="AL515" s="230"/>
      <c r="AM515" s="230"/>
      <c r="AN515" s="230"/>
    </row>
    <row r="516">
      <c r="O516" s="230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  <c r="AI516" s="230"/>
      <c r="AJ516" s="230"/>
      <c r="AK516" s="230"/>
      <c r="AL516" s="230"/>
      <c r="AM516" s="230"/>
      <c r="AN516" s="230"/>
    </row>
    <row r="517">
      <c r="O517" s="230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  <c r="AI517" s="230"/>
      <c r="AJ517" s="230"/>
      <c r="AK517" s="230"/>
      <c r="AL517" s="230"/>
      <c r="AM517" s="230"/>
      <c r="AN517" s="230"/>
    </row>
    <row r="518">
      <c r="O518" s="230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  <c r="AI518" s="230"/>
      <c r="AJ518" s="230"/>
      <c r="AK518" s="230"/>
      <c r="AL518" s="230"/>
      <c r="AM518" s="230"/>
      <c r="AN518" s="230"/>
    </row>
    <row r="519">
      <c r="O519" s="230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  <c r="AI519" s="230"/>
      <c r="AJ519" s="230"/>
      <c r="AK519" s="230"/>
      <c r="AL519" s="230"/>
      <c r="AM519" s="230"/>
      <c r="AN519" s="230"/>
    </row>
    <row r="520">
      <c r="O520" s="230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  <c r="AJ520" s="230"/>
      <c r="AK520" s="230"/>
      <c r="AL520" s="230"/>
      <c r="AM520" s="230"/>
      <c r="AN520" s="230"/>
    </row>
    <row r="521">
      <c r="O521" s="230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  <c r="AJ521" s="230"/>
      <c r="AK521" s="230"/>
      <c r="AL521" s="230"/>
      <c r="AM521" s="230"/>
      <c r="AN521" s="230"/>
    </row>
    <row r="522">
      <c r="O522" s="230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  <c r="AJ522" s="230"/>
      <c r="AK522" s="230"/>
      <c r="AL522" s="230"/>
      <c r="AM522" s="230"/>
      <c r="AN522" s="230"/>
    </row>
    <row r="523">
      <c r="O523" s="230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  <c r="AJ523" s="230"/>
      <c r="AK523" s="230"/>
      <c r="AL523" s="230"/>
      <c r="AM523" s="230"/>
      <c r="AN523" s="230"/>
    </row>
    <row r="524">
      <c r="O524" s="230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  <c r="AJ524" s="230"/>
      <c r="AK524" s="230"/>
      <c r="AL524" s="230"/>
      <c r="AM524" s="230"/>
      <c r="AN524" s="230"/>
    </row>
    <row r="525">
      <c r="O525" s="230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  <c r="AJ525" s="230"/>
      <c r="AK525" s="230"/>
      <c r="AL525" s="230"/>
      <c r="AM525" s="230"/>
      <c r="AN525" s="230"/>
    </row>
    <row r="526">
      <c r="O526" s="230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  <c r="AJ526" s="230"/>
      <c r="AK526" s="230"/>
      <c r="AL526" s="230"/>
      <c r="AM526" s="230"/>
      <c r="AN526" s="230"/>
    </row>
    <row r="527">
      <c r="O527" s="230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  <c r="AJ527" s="230"/>
      <c r="AK527" s="230"/>
      <c r="AL527" s="230"/>
      <c r="AM527" s="230"/>
      <c r="AN527" s="230"/>
    </row>
    <row r="528">
      <c r="O528" s="230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  <c r="AI528" s="230"/>
      <c r="AJ528" s="230"/>
      <c r="AK528" s="230"/>
      <c r="AL528" s="230"/>
      <c r="AM528" s="230"/>
      <c r="AN528" s="230"/>
    </row>
    <row r="529">
      <c r="O529" s="230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  <c r="AJ529" s="230"/>
      <c r="AK529" s="230"/>
      <c r="AL529" s="230"/>
      <c r="AM529" s="230"/>
      <c r="AN529" s="230"/>
    </row>
    <row r="530">
      <c r="O530" s="230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  <c r="AI530" s="230"/>
      <c r="AJ530" s="230"/>
      <c r="AK530" s="230"/>
      <c r="AL530" s="230"/>
      <c r="AM530" s="230"/>
      <c r="AN530" s="230"/>
    </row>
    <row r="531">
      <c r="O531" s="230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  <c r="AI531" s="230"/>
      <c r="AJ531" s="230"/>
      <c r="AK531" s="230"/>
      <c r="AL531" s="230"/>
      <c r="AM531" s="230"/>
      <c r="AN531" s="230"/>
    </row>
    <row r="532">
      <c r="O532" s="230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  <c r="AI532" s="230"/>
      <c r="AJ532" s="230"/>
      <c r="AK532" s="230"/>
      <c r="AL532" s="230"/>
      <c r="AM532" s="230"/>
      <c r="AN532" s="230"/>
    </row>
    <row r="533">
      <c r="O533" s="230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  <c r="AI533" s="230"/>
      <c r="AJ533" s="230"/>
      <c r="AK533" s="230"/>
      <c r="AL533" s="230"/>
      <c r="AM533" s="230"/>
      <c r="AN533" s="230"/>
    </row>
    <row r="534">
      <c r="O534" s="230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  <c r="AI534" s="230"/>
      <c r="AJ534" s="230"/>
      <c r="AK534" s="230"/>
      <c r="AL534" s="230"/>
      <c r="AM534" s="230"/>
      <c r="AN534" s="230"/>
    </row>
    <row r="535">
      <c r="O535" s="230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  <c r="AI535" s="230"/>
      <c r="AJ535" s="230"/>
      <c r="AK535" s="230"/>
      <c r="AL535" s="230"/>
      <c r="AM535" s="230"/>
      <c r="AN535" s="230"/>
    </row>
    <row r="536">
      <c r="O536" s="230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  <c r="AI536" s="230"/>
      <c r="AJ536" s="230"/>
      <c r="AK536" s="230"/>
      <c r="AL536" s="230"/>
      <c r="AM536" s="230"/>
      <c r="AN536" s="230"/>
    </row>
    <row r="537">
      <c r="O537" s="230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  <c r="AI537" s="230"/>
      <c r="AJ537" s="230"/>
      <c r="AK537" s="230"/>
      <c r="AL537" s="230"/>
      <c r="AM537" s="230"/>
      <c r="AN537" s="230"/>
    </row>
    <row r="538">
      <c r="O538" s="230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  <c r="AI538" s="230"/>
      <c r="AJ538" s="230"/>
      <c r="AK538" s="230"/>
      <c r="AL538" s="230"/>
      <c r="AM538" s="230"/>
      <c r="AN538" s="230"/>
    </row>
    <row r="539">
      <c r="O539" s="230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  <c r="AI539" s="230"/>
      <c r="AJ539" s="230"/>
      <c r="AK539" s="230"/>
      <c r="AL539" s="230"/>
      <c r="AM539" s="230"/>
      <c r="AN539" s="230"/>
    </row>
    <row r="540">
      <c r="O540" s="230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  <c r="AI540" s="230"/>
      <c r="AJ540" s="230"/>
      <c r="AK540" s="230"/>
      <c r="AL540" s="230"/>
      <c r="AM540" s="230"/>
      <c r="AN540" s="230"/>
    </row>
    <row r="541">
      <c r="O541" s="230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  <c r="AI541" s="230"/>
      <c r="AJ541" s="230"/>
      <c r="AK541" s="230"/>
      <c r="AL541" s="230"/>
      <c r="AM541" s="230"/>
      <c r="AN541" s="230"/>
    </row>
    <row r="542">
      <c r="O542" s="230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  <c r="AI542" s="230"/>
      <c r="AJ542" s="230"/>
      <c r="AK542" s="230"/>
      <c r="AL542" s="230"/>
      <c r="AM542" s="230"/>
      <c r="AN542" s="230"/>
    </row>
    <row r="543">
      <c r="O543" s="230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  <c r="AI543" s="230"/>
      <c r="AJ543" s="230"/>
      <c r="AK543" s="230"/>
      <c r="AL543" s="230"/>
      <c r="AM543" s="230"/>
      <c r="AN543" s="230"/>
    </row>
    <row r="544">
      <c r="O544" s="230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  <c r="AJ544" s="230"/>
      <c r="AK544" s="230"/>
      <c r="AL544" s="230"/>
      <c r="AM544" s="230"/>
      <c r="AN544" s="230"/>
    </row>
    <row r="545">
      <c r="O545" s="230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  <c r="AI545" s="230"/>
      <c r="AJ545" s="230"/>
      <c r="AK545" s="230"/>
      <c r="AL545" s="230"/>
      <c r="AM545" s="230"/>
      <c r="AN545" s="230"/>
    </row>
    <row r="546">
      <c r="O546" s="230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  <c r="AI546" s="230"/>
      <c r="AJ546" s="230"/>
      <c r="AK546" s="230"/>
      <c r="AL546" s="230"/>
      <c r="AM546" s="230"/>
      <c r="AN546" s="230"/>
    </row>
    <row r="547">
      <c r="O547" s="230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  <c r="AJ547" s="230"/>
      <c r="AK547" s="230"/>
      <c r="AL547" s="230"/>
      <c r="AM547" s="230"/>
      <c r="AN547" s="230"/>
    </row>
    <row r="548">
      <c r="O548" s="230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  <c r="AI548" s="230"/>
      <c r="AJ548" s="230"/>
      <c r="AK548" s="230"/>
      <c r="AL548" s="230"/>
      <c r="AM548" s="230"/>
      <c r="AN548" s="230"/>
    </row>
    <row r="549">
      <c r="O549" s="230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  <c r="AI549" s="230"/>
      <c r="AJ549" s="230"/>
      <c r="AK549" s="230"/>
      <c r="AL549" s="230"/>
      <c r="AM549" s="230"/>
      <c r="AN549" s="230"/>
    </row>
    <row r="550">
      <c r="O550" s="230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  <c r="AI550" s="230"/>
      <c r="AJ550" s="230"/>
      <c r="AK550" s="230"/>
      <c r="AL550" s="230"/>
      <c r="AM550" s="230"/>
      <c r="AN550" s="230"/>
    </row>
    <row r="551">
      <c r="O551" s="230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  <c r="AJ551" s="230"/>
      <c r="AK551" s="230"/>
      <c r="AL551" s="230"/>
      <c r="AM551" s="230"/>
      <c r="AN551" s="230"/>
    </row>
    <row r="552">
      <c r="O552" s="230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  <c r="AI552" s="230"/>
      <c r="AJ552" s="230"/>
      <c r="AK552" s="230"/>
      <c r="AL552" s="230"/>
      <c r="AM552" s="230"/>
      <c r="AN552" s="230"/>
    </row>
    <row r="553">
      <c r="O553" s="230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  <c r="AI553" s="230"/>
      <c r="AJ553" s="230"/>
      <c r="AK553" s="230"/>
      <c r="AL553" s="230"/>
      <c r="AM553" s="230"/>
      <c r="AN553" s="230"/>
    </row>
    <row r="554">
      <c r="O554" s="230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  <c r="AI554" s="230"/>
      <c r="AJ554" s="230"/>
      <c r="AK554" s="230"/>
      <c r="AL554" s="230"/>
      <c r="AM554" s="230"/>
      <c r="AN554" s="230"/>
    </row>
    <row r="555">
      <c r="O555" s="230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  <c r="AI555" s="230"/>
      <c r="AJ555" s="230"/>
      <c r="AK555" s="230"/>
      <c r="AL555" s="230"/>
      <c r="AM555" s="230"/>
      <c r="AN555" s="230"/>
    </row>
    <row r="556">
      <c r="O556" s="230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  <c r="AI556" s="230"/>
      <c r="AJ556" s="230"/>
      <c r="AK556" s="230"/>
      <c r="AL556" s="230"/>
      <c r="AM556" s="230"/>
      <c r="AN556" s="230"/>
    </row>
    <row r="557">
      <c r="O557" s="230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  <c r="AI557" s="230"/>
      <c r="AJ557" s="230"/>
      <c r="AK557" s="230"/>
      <c r="AL557" s="230"/>
      <c r="AM557" s="230"/>
      <c r="AN557" s="230"/>
    </row>
    <row r="558">
      <c r="O558" s="230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  <c r="AI558" s="230"/>
      <c r="AJ558" s="230"/>
      <c r="AK558" s="230"/>
      <c r="AL558" s="230"/>
      <c r="AM558" s="230"/>
      <c r="AN558" s="230"/>
    </row>
    <row r="559">
      <c r="O559" s="230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  <c r="AI559" s="230"/>
      <c r="AJ559" s="230"/>
      <c r="AK559" s="230"/>
      <c r="AL559" s="230"/>
      <c r="AM559" s="230"/>
      <c r="AN559" s="230"/>
    </row>
    <row r="560">
      <c r="O560" s="230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  <c r="AI560" s="230"/>
      <c r="AJ560" s="230"/>
      <c r="AK560" s="230"/>
      <c r="AL560" s="230"/>
      <c r="AM560" s="230"/>
      <c r="AN560" s="230"/>
    </row>
    <row r="561">
      <c r="O561" s="230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  <c r="AI561" s="230"/>
      <c r="AJ561" s="230"/>
      <c r="AK561" s="230"/>
      <c r="AL561" s="230"/>
      <c r="AM561" s="230"/>
      <c r="AN561" s="230"/>
    </row>
    <row r="562">
      <c r="O562" s="230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  <c r="AI562" s="230"/>
      <c r="AJ562" s="230"/>
      <c r="AK562" s="230"/>
      <c r="AL562" s="230"/>
      <c r="AM562" s="230"/>
      <c r="AN562" s="230"/>
    </row>
    <row r="563">
      <c r="O563" s="230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  <c r="AI563" s="230"/>
      <c r="AJ563" s="230"/>
      <c r="AK563" s="230"/>
      <c r="AL563" s="230"/>
      <c r="AM563" s="230"/>
      <c r="AN563" s="230"/>
    </row>
    <row r="564">
      <c r="O564" s="230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  <c r="AI564" s="230"/>
      <c r="AJ564" s="230"/>
      <c r="AK564" s="230"/>
      <c r="AL564" s="230"/>
      <c r="AM564" s="230"/>
      <c r="AN564" s="230"/>
    </row>
    <row r="565">
      <c r="O565" s="230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  <c r="AI565" s="230"/>
      <c r="AJ565" s="230"/>
      <c r="AK565" s="230"/>
      <c r="AL565" s="230"/>
      <c r="AM565" s="230"/>
      <c r="AN565" s="230"/>
    </row>
    <row r="566">
      <c r="O566" s="230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  <c r="AI566" s="230"/>
      <c r="AJ566" s="230"/>
      <c r="AK566" s="230"/>
      <c r="AL566" s="230"/>
      <c r="AM566" s="230"/>
      <c r="AN566" s="230"/>
    </row>
    <row r="567">
      <c r="O567" s="230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  <c r="AI567" s="230"/>
      <c r="AJ567" s="230"/>
      <c r="AK567" s="230"/>
      <c r="AL567" s="230"/>
      <c r="AM567" s="230"/>
      <c r="AN567" s="230"/>
    </row>
    <row r="568">
      <c r="O568" s="230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  <c r="AI568" s="230"/>
      <c r="AJ568" s="230"/>
      <c r="AK568" s="230"/>
      <c r="AL568" s="230"/>
      <c r="AM568" s="230"/>
      <c r="AN568" s="230"/>
    </row>
    <row r="569">
      <c r="O569" s="230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  <c r="AI569" s="230"/>
      <c r="AJ569" s="230"/>
      <c r="AK569" s="230"/>
      <c r="AL569" s="230"/>
      <c r="AM569" s="230"/>
      <c r="AN569" s="230"/>
    </row>
    <row r="570">
      <c r="O570" s="230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  <c r="AJ570" s="230"/>
      <c r="AK570" s="230"/>
      <c r="AL570" s="230"/>
      <c r="AM570" s="230"/>
      <c r="AN570" s="230"/>
    </row>
    <row r="571">
      <c r="O571" s="230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  <c r="AJ571" s="230"/>
      <c r="AK571" s="230"/>
      <c r="AL571" s="230"/>
      <c r="AM571" s="230"/>
      <c r="AN571" s="230"/>
    </row>
    <row r="572">
      <c r="O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  <c r="AJ572" s="230"/>
      <c r="AK572" s="230"/>
      <c r="AL572" s="230"/>
      <c r="AM572" s="230"/>
      <c r="AN572" s="230"/>
    </row>
    <row r="573">
      <c r="O573" s="230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  <c r="AJ573" s="230"/>
      <c r="AK573" s="230"/>
      <c r="AL573" s="230"/>
      <c r="AM573" s="230"/>
      <c r="AN573" s="230"/>
    </row>
    <row r="574">
      <c r="O574" s="230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  <c r="AI574" s="230"/>
      <c r="AJ574" s="230"/>
      <c r="AK574" s="230"/>
      <c r="AL574" s="230"/>
      <c r="AM574" s="230"/>
      <c r="AN574" s="230"/>
    </row>
    <row r="575">
      <c r="O575" s="230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  <c r="AI575" s="230"/>
      <c r="AJ575" s="230"/>
      <c r="AK575" s="230"/>
      <c r="AL575" s="230"/>
      <c r="AM575" s="230"/>
      <c r="AN575" s="230"/>
    </row>
    <row r="576">
      <c r="O576" s="230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  <c r="AI576" s="230"/>
      <c r="AJ576" s="230"/>
      <c r="AK576" s="230"/>
      <c r="AL576" s="230"/>
      <c r="AM576" s="230"/>
      <c r="AN576" s="230"/>
    </row>
    <row r="577">
      <c r="O577" s="230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  <c r="AI577" s="230"/>
      <c r="AJ577" s="230"/>
      <c r="AK577" s="230"/>
      <c r="AL577" s="230"/>
      <c r="AM577" s="230"/>
      <c r="AN577" s="230"/>
    </row>
    <row r="578">
      <c r="O578" s="230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  <c r="AI578" s="230"/>
      <c r="AJ578" s="230"/>
      <c r="AK578" s="230"/>
      <c r="AL578" s="230"/>
      <c r="AM578" s="230"/>
      <c r="AN578" s="230"/>
    </row>
    <row r="579">
      <c r="O579" s="230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  <c r="AI579" s="230"/>
      <c r="AJ579" s="230"/>
      <c r="AK579" s="230"/>
      <c r="AL579" s="230"/>
      <c r="AM579" s="230"/>
      <c r="AN579" s="230"/>
    </row>
    <row r="580">
      <c r="O580" s="230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  <c r="AI580" s="230"/>
      <c r="AJ580" s="230"/>
      <c r="AK580" s="230"/>
      <c r="AL580" s="230"/>
      <c r="AM580" s="230"/>
      <c r="AN580" s="230"/>
    </row>
    <row r="581">
      <c r="O581" s="230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  <c r="AI581" s="230"/>
      <c r="AJ581" s="230"/>
      <c r="AK581" s="230"/>
      <c r="AL581" s="230"/>
      <c r="AM581" s="230"/>
      <c r="AN581" s="230"/>
    </row>
    <row r="582">
      <c r="O582" s="230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  <c r="AI582" s="230"/>
      <c r="AJ582" s="230"/>
      <c r="AK582" s="230"/>
      <c r="AL582" s="230"/>
      <c r="AM582" s="230"/>
      <c r="AN582" s="230"/>
    </row>
    <row r="583">
      <c r="O583" s="230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  <c r="AI583" s="230"/>
      <c r="AJ583" s="230"/>
      <c r="AK583" s="230"/>
      <c r="AL583" s="230"/>
      <c r="AM583" s="230"/>
      <c r="AN583" s="230"/>
    </row>
    <row r="584">
      <c r="O584" s="230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  <c r="AI584" s="230"/>
      <c r="AJ584" s="230"/>
      <c r="AK584" s="230"/>
      <c r="AL584" s="230"/>
      <c r="AM584" s="230"/>
      <c r="AN584" s="230"/>
    </row>
    <row r="585">
      <c r="O585" s="230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  <c r="AI585" s="230"/>
      <c r="AJ585" s="230"/>
      <c r="AK585" s="230"/>
      <c r="AL585" s="230"/>
      <c r="AM585" s="230"/>
      <c r="AN585" s="230"/>
    </row>
    <row r="586">
      <c r="O586" s="230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  <c r="AI586" s="230"/>
      <c r="AJ586" s="230"/>
      <c r="AK586" s="230"/>
      <c r="AL586" s="230"/>
      <c r="AM586" s="230"/>
      <c r="AN586" s="230"/>
    </row>
    <row r="587">
      <c r="O587" s="230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  <c r="AI587" s="230"/>
      <c r="AJ587" s="230"/>
      <c r="AK587" s="230"/>
      <c r="AL587" s="230"/>
      <c r="AM587" s="230"/>
      <c r="AN587" s="230"/>
    </row>
    <row r="588">
      <c r="O588" s="230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  <c r="AI588" s="230"/>
      <c r="AJ588" s="230"/>
      <c r="AK588" s="230"/>
      <c r="AL588" s="230"/>
      <c r="AM588" s="230"/>
      <c r="AN588" s="230"/>
    </row>
    <row r="589">
      <c r="O589" s="230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  <c r="AI589" s="230"/>
      <c r="AJ589" s="230"/>
      <c r="AK589" s="230"/>
      <c r="AL589" s="230"/>
      <c r="AM589" s="230"/>
      <c r="AN589" s="230"/>
    </row>
    <row r="590">
      <c r="O590" s="230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  <c r="AI590" s="230"/>
      <c r="AJ590" s="230"/>
      <c r="AK590" s="230"/>
      <c r="AL590" s="230"/>
      <c r="AM590" s="230"/>
      <c r="AN590" s="230"/>
    </row>
    <row r="591">
      <c r="O591" s="230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  <c r="AI591" s="230"/>
      <c r="AJ591" s="230"/>
      <c r="AK591" s="230"/>
      <c r="AL591" s="230"/>
      <c r="AM591" s="230"/>
      <c r="AN591" s="230"/>
    </row>
    <row r="592">
      <c r="O592" s="230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  <c r="AI592" s="230"/>
      <c r="AJ592" s="230"/>
      <c r="AK592" s="230"/>
      <c r="AL592" s="230"/>
      <c r="AM592" s="230"/>
      <c r="AN592" s="230"/>
    </row>
    <row r="593">
      <c r="O593" s="230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  <c r="AI593" s="230"/>
      <c r="AJ593" s="230"/>
      <c r="AK593" s="230"/>
      <c r="AL593" s="230"/>
      <c r="AM593" s="230"/>
      <c r="AN593" s="230"/>
    </row>
    <row r="594">
      <c r="O594" s="230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  <c r="AI594" s="230"/>
      <c r="AJ594" s="230"/>
      <c r="AK594" s="230"/>
      <c r="AL594" s="230"/>
      <c r="AM594" s="230"/>
      <c r="AN594" s="230"/>
    </row>
    <row r="595">
      <c r="O595" s="230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  <c r="AJ595" s="230"/>
      <c r="AK595" s="230"/>
      <c r="AL595" s="230"/>
      <c r="AM595" s="230"/>
      <c r="AN595" s="230"/>
    </row>
    <row r="596">
      <c r="O596" s="230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  <c r="AI596" s="230"/>
      <c r="AJ596" s="230"/>
      <c r="AK596" s="230"/>
      <c r="AL596" s="230"/>
      <c r="AM596" s="230"/>
      <c r="AN596" s="230"/>
    </row>
    <row r="597">
      <c r="O597" s="230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  <c r="AI597" s="230"/>
      <c r="AJ597" s="230"/>
      <c r="AK597" s="230"/>
      <c r="AL597" s="230"/>
      <c r="AM597" s="230"/>
      <c r="AN597" s="230"/>
    </row>
    <row r="598">
      <c r="O598" s="230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  <c r="AI598" s="230"/>
      <c r="AJ598" s="230"/>
      <c r="AK598" s="230"/>
      <c r="AL598" s="230"/>
      <c r="AM598" s="230"/>
      <c r="AN598" s="230"/>
    </row>
    <row r="599">
      <c r="O599" s="230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  <c r="AI599" s="230"/>
      <c r="AJ599" s="230"/>
      <c r="AK599" s="230"/>
      <c r="AL599" s="230"/>
      <c r="AM599" s="230"/>
      <c r="AN599" s="230"/>
    </row>
    <row r="600">
      <c r="O600" s="230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  <c r="AI600" s="230"/>
      <c r="AJ600" s="230"/>
      <c r="AK600" s="230"/>
      <c r="AL600" s="230"/>
      <c r="AM600" s="230"/>
      <c r="AN600" s="230"/>
    </row>
    <row r="601">
      <c r="O601" s="230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  <c r="AI601" s="230"/>
      <c r="AJ601" s="230"/>
      <c r="AK601" s="230"/>
      <c r="AL601" s="230"/>
      <c r="AM601" s="230"/>
      <c r="AN601" s="230"/>
    </row>
    <row r="602">
      <c r="O602" s="230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  <c r="AI602" s="230"/>
      <c r="AJ602" s="230"/>
      <c r="AK602" s="230"/>
      <c r="AL602" s="230"/>
      <c r="AM602" s="230"/>
      <c r="AN602" s="230"/>
    </row>
    <row r="603">
      <c r="O603" s="230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  <c r="AI603" s="230"/>
      <c r="AJ603" s="230"/>
      <c r="AK603" s="230"/>
      <c r="AL603" s="230"/>
      <c r="AM603" s="230"/>
      <c r="AN603" s="230"/>
    </row>
    <row r="604">
      <c r="O604" s="230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  <c r="AI604" s="230"/>
      <c r="AJ604" s="230"/>
      <c r="AK604" s="230"/>
      <c r="AL604" s="230"/>
      <c r="AM604" s="230"/>
      <c r="AN604" s="230"/>
    </row>
    <row r="605">
      <c r="O605" s="230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  <c r="AI605" s="230"/>
      <c r="AJ605" s="230"/>
      <c r="AK605" s="230"/>
      <c r="AL605" s="230"/>
      <c r="AM605" s="230"/>
      <c r="AN605" s="230"/>
    </row>
    <row r="606">
      <c r="O606" s="230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  <c r="AI606" s="230"/>
      <c r="AJ606" s="230"/>
      <c r="AK606" s="230"/>
      <c r="AL606" s="230"/>
      <c r="AM606" s="230"/>
      <c r="AN606" s="230"/>
    </row>
    <row r="607">
      <c r="O607" s="230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  <c r="AI607" s="230"/>
      <c r="AJ607" s="230"/>
      <c r="AK607" s="230"/>
      <c r="AL607" s="230"/>
      <c r="AM607" s="230"/>
      <c r="AN607" s="230"/>
    </row>
    <row r="608">
      <c r="O608" s="230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  <c r="AI608" s="230"/>
      <c r="AJ608" s="230"/>
      <c r="AK608" s="230"/>
      <c r="AL608" s="230"/>
      <c r="AM608" s="230"/>
      <c r="AN608" s="230"/>
    </row>
    <row r="609">
      <c r="O609" s="230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  <c r="AI609" s="230"/>
      <c r="AJ609" s="230"/>
      <c r="AK609" s="230"/>
      <c r="AL609" s="230"/>
      <c r="AM609" s="230"/>
      <c r="AN609" s="230"/>
    </row>
    <row r="610">
      <c r="O610" s="230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  <c r="AI610" s="230"/>
      <c r="AJ610" s="230"/>
      <c r="AK610" s="230"/>
      <c r="AL610" s="230"/>
      <c r="AM610" s="230"/>
      <c r="AN610" s="230"/>
    </row>
    <row r="611">
      <c r="O611" s="230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  <c r="AI611" s="230"/>
      <c r="AJ611" s="230"/>
      <c r="AK611" s="230"/>
      <c r="AL611" s="230"/>
      <c r="AM611" s="230"/>
      <c r="AN611" s="230"/>
    </row>
    <row r="612">
      <c r="O612" s="230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  <c r="AI612" s="230"/>
      <c r="AJ612" s="230"/>
      <c r="AK612" s="230"/>
      <c r="AL612" s="230"/>
      <c r="AM612" s="230"/>
      <c r="AN612" s="230"/>
    </row>
    <row r="613">
      <c r="O613" s="230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  <c r="AI613" s="230"/>
      <c r="AJ613" s="230"/>
      <c r="AK613" s="230"/>
      <c r="AL613" s="230"/>
      <c r="AM613" s="230"/>
      <c r="AN613" s="230"/>
    </row>
    <row r="614">
      <c r="O614" s="230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  <c r="AI614" s="230"/>
      <c r="AJ614" s="230"/>
      <c r="AK614" s="230"/>
      <c r="AL614" s="230"/>
      <c r="AM614" s="230"/>
      <c r="AN614" s="230"/>
    </row>
    <row r="615">
      <c r="O615" s="230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  <c r="AI615" s="230"/>
      <c r="AJ615" s="230"/>
      <c r="AK615" s="230"/>
      <c r="AL615" s="230"/>
      <c r="AM615" s="230"/>
      <c r="AN615" s="230"/>
    </row>
    <row r="616">
      <c r="O616" s="230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  <c r="AI616" s="230"/>
      <c r="AJ616" s="230"/>
      <c r="AK616" s="230"/>
      <c r="AL616" s="230"/>
      <c r="AM616" s="230"/>
      <c r="AN616" s="230"/>
    </row>
    <row r="617">
      <c r="O617" s="230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  <c r="AJ617" s="230"/>
      <c r="AK617" s="230"/>
      <c r="AL617" s="230"/>
      <c r="AM617" s="230"/>
      <c r="AN617" s="230"/>
    </row>
    <row r="618">
      <c r="O618" s="230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  <c r="AJ618" s="230"/>
      <c r="AK618" s="230"/>
      <c r="AL618" s="230"/>
      <c r="AM618" s="230"/>
      <c r="AN618" s="230"/>
    </row>
    <row r="619">
      <c r="O619" s="230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  <c r="AI619" s="230"/>
      <c r="AJ619" s="230"/>
      <c r="AK619" s="230"/>
      <c r="AL619" s="230"/>
      <c r="AM619" s="230"/>
      <c r="AN619" s="230"/>
    </row>
    <row r="620">
      <c r="O620" s="230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  <c r="AJ620" s="230"/>
      <c r="AK620" s="230"/>
      <c r="AL620" s="230"/>
      <c r="AM620" s="230"/>
      <c r="AN620" s="230"/>
    </row>
    <row r="621">
      <c r="O621" s="230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  <c r="AI621" s="230"/>
      <c r="AJ621" s="230"/>
      <c r="AK621" s="230"/>
      <c r="AL621" s="230"/>
      <c r="AM621" s="230"/>
      <c r="AN621" s="230"/>
    </row>
    <row r="622">
      <c r="O622" s="230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  <c r="AI622" s="230"/>
      <c r="AJ622" s="230"/>
      <c r="AK622" s="230"/>
      <c r="AL622" s="230"/>
      <c r="AM622" s="230"/>
      <c r="AN622" s="230"/>
    </row>
    <row r="623">
      <c r="O623" s="230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  <c r="AI623" s="230"/>
      <c r="AJ623" s="230"/>
      <c r="AK623" s="230"/>
      <c r="AL623" s="230"/>
      <c r="AM623" s="230"/>
      <c r="AN623" s="230"/>
    </row>
    <row r="624">
      <c r="O624" s="230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  <c r="AJ624" s="230"/>
      <c r="AK624" s="230"/>
      <c r="AL624" s="230"/>
      <c r="AM624" s="230"/>
      <c r="AN624" s="230"/>
    </row>
    <row r="625">
      <c r="O625" s="230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  <c r="AI625" s="230"/>
      <c r="AJ625" s="230"/>
      <c r="AK625" s="230"/>
      <c r="AL625" s="230"/>
      <c r="AM625" s="230"/>
      <c r="AN625" s="230"/>
    </row>
    <row r="626">
      <c r="O626" s="230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  <c r="AI626" s="230"/>
      <c r="AJ626" s="230"/>
      <c r="AK626" s="230"/>
      <c r="AL626" s="230"/>
      <c r="AM626" s="230"/>
      <c r="AN626" s="230"/>
    </row>
    <row r="627">
      <c r="O627" s="230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  <c r="AI627" s="230"/>
      <c r="AJ627" s="230"/>
      <c r="AK627" s="230"/>
      <c r="AL627" s="230"/>
      <c r="AM627" s="230"/>
      <c r="AN627" s="230"/>
    </row>
    <row r="628">
      <c r="O628" s="230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  <c r="AI628" s="230"/>
      <c r="AJ628" s="230"/>
      <c r="AK628" s="230"/>
      <c r="AL628" s="230"/>
      <c r="AM628" s="230"/>
      <c r="AN628" s="230"/>
    </row>
    <row r="629">
      <c r="O629" s="230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  <c r="AI629" s="230"/>
      <c r="AJ629" s="230"/>
      <c r="AK629" s="230"/>
      <c r="AL629" s="230"/>
      <c r="AM629" s="230"/>
      <c r="AN629" s="230"/>
    </row>
    <row r="630">
      <c r="O630" s="230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  <c r="AI630" s="230"/>
      <c r="AJ630" s="230"/>
      <c r="AK630" s="230"/>
      <c r="AL630" s="230"/>
      <c r="AM630" s="230"/>
      <c r="AN630" s="230"/>
    </row>
    <row r="631">
      <c r="O631" s="230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  <c r="AI631" s="230"/>
      <c r="AJ631" s="230"/>
      <c r="AK631" s="230"/>
      <c r="AL631" s="230"/>
      <c r="AM631" s="230"/>
      <c r="AN631" s="230"/>
    </row>
    <row r="632">
      <c r="O632" s="230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  <c r="AI632" s="230"/>
      <c r="AJ632" s="230"/>
      <c r="AK632" s="230"/>
      <c r="AL632" s="230"/>
      <c r="AM632" s="230"/>
      <c r="AN632" s="230"/>
    </row>
    <row r="633">
      <c r="O633" s="230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  <c r="AI633" s="230"/>
      <c r="AJ633" s="230"/>
      <c r="AK633" s="230"/>
      <c r="AL633" s="230"/>
      <c r="AM633" s="230"/>
      <c r="AN633" s="230"/>
    </row>
    <row r="634">
      <c r="O634" s="230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  <c r="AI634" s="230"/>
      <c r="AJ634" s="230"/>
      <c r="AK634" s="230"/>
      <c r="AL634" s="230"/>
      <c r="AM634" s="230"/>
      <c r="AN634" s="230"/>
    </row>
    <row r="635">
      <c r="O635" s="230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  <c r="AI635" s="230"/>
      <c r="AJ635" s="230"/>
      <c r="AK635" s="230"/>
      <c r="AL635" s="230"/>
      <c r="AM635" s="230"/>
      <c r="AN635" s="230"/>
    </row>
    <row r="636">
      <c r="O636" s="230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  <c r="AI636" s="230"/>
      <c r="AJ636" s="230"/>
      <c r="AK636" s="230"/>
      <c r="AL636" s="230"/>
      <c r="AM636" s="230"/>
      <c r="AN636" s="230"/>
    </row>
    <row r="637">
      <c r="O637" s="230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  <c r="AI637" s="230"/>
      <c r="AJ637" s="230"/>
      <c r="AK637" s="230"/>
      <c r="AL637" s="230"/>
      <c r="AM637" s="230"/>
      <c r="AN637" s="230"/>
    </row>
    <row r="638">
      <c r="O638" s="230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  <c r="AI638" s="230"/>
      <c r="AJ638" s="230"/>
      <c r="AK638" s="230"/>
      <c r="AL638" s="230"/>
      <c r="AM638" s="230"/>
      <c r="AN638" s="230"/>
    </row>
    <row r="639">
      <c r="O639" s="230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  <c r="AJ639" s="230"/>
      <c r="AK639" s="230"/>
      <c r="AL639" s="230"/>
      <c r="AM639" s="230"/>
      <c r="AN639" s="230"/>
    </row>
    <row r="640">
      <c r="O640" s="230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  <c r="AI640" s="230"/>
      <c r="AJ640" s="230"/>
      <c r="AK640" s="230"/>
      <c r="AL640" s="230"/>
      <c r="AM640" s="230"/>
      <c r="AN640" s="230"/>
    </row>
    <row r="641">
      <c r="O641" s="230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  <c r="AI641" s="230"/>
      <c r="AJ641" s="230"/>
      <c r="AK641" s="230"/>
      <c r="AL641" s="230"/>
      <c r="AM641" s="230"/>
      <c r="AN641" s="230"/>
    </row>
    <row r="642">
      <c r="O642" s="230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  <c r="AI642" s="230"/>
      <c r="AJ642" s="230"/>
      <c r="AK642" s="230"/>
      <c r="AL642" s="230"/>
      <c r="AM642" s="230"/>
      <c r="AN642" s="230"/>
    </row>
    <row r="643">
      <c r="O643" s="230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  <c r="AI643" s="230"/>
      <c r="AJ643" s="230"/>
      <c r="AK643" s="230"/>
      <c r="AL643" s="230"/>
      <c r="AM643" s="230"/>
      <c r="AN643" s="230"/>
    </row>
    <row r="644">
      <c r="O644" s="230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  <c r="AI644" s="230"/>
      <c r="AJ644" s="230"/>
      <c r="AK644" s="230"/>
      <c r="AL644" s="230"/>
      <c r="AM644" s="230"/>
      <c r="AN644" s="230"/>
    </row>
    <row r="645">
      <c r="O645" s="230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  <c r="AI645" s="230"/>
      <c r="AJ645" s="230"/>
      <c r="AK645" s="230"/>
      <c r="AL645" s="230"/>
      <c r="AM645" s="230"/>
      <c r="AN645" s="230"/>
    </row>
    <row r="646">
      <c r="O646" s="230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  <c r="AI646" s="230"/>
      <c r="AJ646" s="230"/>
      <c r="AK646" s="230"/>
      <c r="AL646" s="230"/>
      <c r="AM646" s="230"/>
      <c r="AN646" s="230"/>
    </row>
    <row r="647">
      <c r="O647" s="230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  <c r="AI647" s="230"/>
      <c r="AJ647" s="230"/>
      <c r="AK647" s="230"/>
      <c r="AL647" s="230"/>
      <c r="AM647" s="230"/>
      <c r="AN647" s="230"/>
    </row>
    <row r="648">
      <c r="O648" s="230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  <c r="AI648" s="230"/>
      <c r="AJ648" s="230"/>
      <c r="AK648" s="230"/>
      <c r="AL648" s="230"/>
      <c r="AM648" s="230"/>
      <c r="AN648" s="230"/>
    </row>
    <row r="649">
      <c r="O649" s="230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  <c r="AI649" s="230"/>
      <c r="AJ649" s="230"/>
      <c r="AK649" s="230"/>
      <c r="AL649" s="230"/>
      <c r="AM649" s="230"/>
      <c r="AN649" s="230"/>
    </row>
    <row r="650">
      <c r="O650" s="230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  <c r="AI650" s="230"/>
      <c r="AJ650" s="230"/>
      <c r="AK650" s="230"/>
      <c r="AL650" s="230"/>
      <c r="AM650" s="230"/>
      <c r="AN650" s="230"/>
    </row>
    <row r="651">
      <c r="O651" s="230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  <c r="AI651" s="230"/>
      <c r="AJ651" s="230"/>
      <c r="AK651" s="230"/>
      <c r="AL651" s="230"/>
      <c r="AM651" s="230"/>
      <c r="AN651" s="230"/>
    </row>
    <row r="652">
      <c r="O652" s="230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  <c r="AI652" s="230"/>
      <c r="AJ652" s="230"/>
      <c r="AK652" s="230"/>
      <c r="AL652" s="230"/>
      <c r="AM652" s="230"/>
      <c r="AN652" s="230"/>
    </row>
    <row r="653">
      <c r="O653" s="230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  <c r="AI653" s="230"/>
      <c r="AJ653" s="230"/>
      <c r="AK653" s="230"/>
      <c r="AL653" s="230"/>
      <c r="AM653" s="230"/>
      <c r="AN653" s="230"/>
    </row>
    <row r="654">
      <c r="O654" s="230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  <c r="AI654" s="230"/>
      <c r="AJ654" s="230"/>
      <c r="AK654" s="230"/>
      <c r="AL654" s="230"/>
      <c r="AM654" s="230"/>
      <c r="AN654" s="230"/>
    </row>
    <row r="655">
      <c r="O655" s="230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  <c r="AI655" s="230"/>
      <c r="AJ655" s="230"/>
      <c r="AK655" s="230"/>
      <c r="AL655" s="230"/>
      <c r="AM655" s="230"/>
      <c r="AN655" s="230"/>
    </row>
    <row r="656">
      <c r="O656" s="230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  <c r="AI656" s="230"/>
      <c r="AJ656" s="230"/>
      <c r="AK656" s="230"/>
      <c r="AL656" s="230"/>
      <c r="AM656" s="230"/>
      <c r="AN656" s="230"/>
    </row>
    <row r="657">
      <c r="O657" s="230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  <c r="AI657" s="230"/>
      <c r="AJ657" s="230"/>
      <c r="AK657" s="230"/>
      <c r="AL657" s="230"/>
      <c r="AM657" s="230"/>
      <c r="AN657" s="230"/>
    </row>
    <row r="658">
      <c r="O658" s="230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  <c r="AI658" s="230"/>
      <c r="AJ658" s="230"/>
      <c r="AK658" s="230"/>
      <c r="AL658" s="230"/>
      <c r="AM658" s="230"/>
      <c r="AN658" s="230"/>
    </row>
    <row r="659">
      <c r="O659" s="230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  <c r="AI659" s="230"/>
      <c r="AJ659" s="230"/>
      <c r="AK659" s="230"/>
      <c r="AL659" s="230"/>
      <c r="AM659" s="230"/>
      <c r="AN659" s="230"/>
    </row>
    <row r="660">
      <c r="O660" s="230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  <c r="AI660" s="230"/>
      <c r="AJ660" s="230"/>
      <c r="AK660" s="230"/>
      <c r="AL660" s="230"/>
      <c r="AM660" s="230"/>
      <c r="AN660" s="230"/>
    </row>
    <row r="661">
      <c r="O661" s="230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  <c r="AJ661" s="230"/>
      <c r="AK661" s="230"/>
      <c r="AL661" s="230"/>
      <c r="AM661" s="230"/>
      <c r="AN661" s="230"/>
    </row>
    <row r="662">
      <c r="O662" s="230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  <c r="AI662" s="230"/>
      <c r="AJ662" s="230"/>
      <c r="AK662" s="230"/>
      <c r="AL662" s="230"/>
      <c r="AM662" s="230"/>
      <c r="AN662" s="230"/>
    </row>
    <row r="663">
      <c r="O663" s="230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  <c r="AI663" s="230"/>
      <c r="AJ663" s="230"/>
      <c r="AK663" s="230"/>
      <c r="AL663" s="230"/>
      <c r="AM663" s="230"/>
      <c r="AN663" s="230"/>
    </row>
    <row r="664">
      <c r="O664" s="230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  <c r="AI664" s="230"/>
      <c r="AJ664" s="230"/>
      <c r="AK664" s="230"/>
      <c r="AL664" s="230"/>
      <c r="AM664" s="230"/>
      <c r="AN664" s="230"/>
    </row>
    <row r="665">
      <c r="O665" s="230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  <c r="AI665" s="230"/>
      <c r="AJ665" s="230"/>
      <c r="AK665" s="230"/>
      <c r="AL665" s="230"/>
      <c r="AM665" s="230"/>
      <c r="AN665" s="230"/>
    </row>
    <row r="666">
      <c r="O666" s="230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  <c r="AI666" s="230"/>
      <c r="AJ666" s="230"/>
      <c r="AK666" s="230"/>
      <c r="AL666" s="230"/>
      <c r="AM666" s="230"/>
      <c r="AN666" s="230"/>
    </row>
    <row r="667">
      <c r="O667" s="230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  <c r="AI667" s="230"/>
      <c r="AJ667" s="230"/>
      <c r="AK667" s="230"/>
      <c r="AL667" s="230"/>
      <c r="AM667" s="230"/>
      <c r="AN667" s="230"/>
    </row>
    <row r="668">
      <c r="O668" s="230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  <c r="AI668" s="230"/>
      <c r="AJ668" s="230"/>
      <c r="AK668" s="230"/>
      <c r="AL668" s="230"/>
      <c r="AM668" s="230"/>
      <c r="AN668" s="230"/>
    </row>
    <row r="669">
      <c r="O669" s="230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  <c r="AI669" s="230"/>
      <c r="AJ669" s="230"/>
      <c r="AK669" s="230"/>
      <c r="AL669" s="230"/>
      <c r="AM669" s="230"/>
      <c r="AN669" s="230"/>
    </row>
    <row r="670">
      <c r="O670" s="230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  <c r="AI670" s="230"/>
      <c r="AJ670" s="230"/>
      <c r="AK670" s="230"/>
      <c r="AL670" s="230"/>
      <c r="AM670" s="230"/>
      <c r="AN670" s="230"/>
    </row>
    <row r="671">
      <c r="O671" s="230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  <c r="AI671" s="230"/>
      <c r="AJ671" s="230"/>
      <c r="AK671" s="230"/>
      <c r="AL671" s="230"/>
      <c r="AM671" s="230"/>
      <c r="AN671" s="230"/>
    </row>
    <row r="672">
      <c r="O672" s="230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  <c r="AI672" s="230"/>
      <c r="AJ672" s="230"/>
      <c r="AK672" s="230"/>
      <c r="AL672" s="230"/>
      <c r="AM672" s="230"/>
      <c r="AN672" s="230"/>
    </row>
    <row r="673">
      <c r="O673" s="230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  <c r="AI673" s="230"/>
      <c r="AJ673" s="230"/>
      <c r="AK673" s="230"/>
      <c r="AL673" s="230"/>
      <c r="AM673" s="230"/>
      <c r="AN673" s="230"/>
    </row>
    <row r="674">
      <c r="O674" s="230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  <c r="AI674" s="230"/>
      <c r="AJ674" s="230"/>
      <c r="AK674" s="230"/>
      <c r="AL674" s="230"/>
      <c r="AM674" s="230"/>
      <c r="AN674" s="230"/>
    </row>
    <row r="675">
      <c r="O675" s="230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  <c r="AI675" s="230"/>
      <c r="AJ675" s="230"/>
      <c r="AK675" s="230"/>
      <c r="AL675" s="230"/>
      <c r="AM675" s="230"/>
      <c r="AN675" s="230"/>
    </row>
    <row r="676">
      <c r="O676" s="230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  <c r="AI676" s="230"/>
      <c r="AJ676" s="230"/>
      <c r="AK676" s="230"/>
      <c r="AL676" s="230"/>
      <c r="AM676" s="230"/>
      <c r="AN676" s="230"/>
    </row>
    <row r="677">
      <c r="O677" s="230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  <c r="AI677" s="230"/>
      <c r="AJ677" s="230"/>
      <c r="AK677" s="230"/>
      <c r="AL677" s="230"/>
      <c r="AM677" s="230"/>
      <c r="AN677" s="230"/>
    </row>
    <row r="678">
      <c r="O678" s="230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  <c r="AI678" s="230"/>
      <c r="AJ678" s="230"/>
      <c r="AK678" s="230"/>
      <c r="AL678" s="230"/>
      <c r="AM678" s="230"/>
      <c r="AN678" s="230"/>
    </row>
    <row r="679">
      <c r="O679" s="230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  <c r="AI679" s="230"/>
      <c r="AJ679" s="230"/>
      <c r="AK679" s="230"/>
      <c r="AL679" s="230"/>
      <c r="AM679" s="230"/>
      <c r="AN679" s="230"/>
    </row>
    <row r="680">
      <c r="O680" s="230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  <c r="AI680" s="230"/>
      <c r="AJ680" s="230"/>
      <c r="AK680" s="230"/>
      <c r="AL680" s="230"/>
      <c r="AM680" s="230"/>
      <c r="AN680" s="230"/>
    </row>
    <row r="681">
      <c r="O681" s="230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  <c r="AI681" s="230"/>
      <c r="AJ681" s="230"/>
      <c r="AK681" s="230"/>
      <c r="AL681" s="230"/>
      <c r="AM681" s="230"/>
      <c r="AN681" s="230"/>
    </row>
    <row r="682">
      <c r="O682" s="230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  <c r="AI682" s="230"/>
      <c r="AJ682" s="230"/>
      <c r="AK682" s="230"/>
      <c r="AL682" s="230"/>
      <c r="AM682" s="230"/>
      <c r="AN682" s="230"/>
    </row>
    <row r="683">
      <c r="O683" s="230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  <c r="AJ683" s="230"/>
      <c r="AK683" s="230"/>
      <c r="AL683" s="230"/>
      <c r="AM683" s="230"/>
      <c r="AN683" s="230"/>
    </row>
    <row r="684">
      <c r="O684" s="230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  <c r="AI684" s="230"/>
      <c r="AJ684" s="230"/>
      <c r="AK684" s="230"/>
      <c r="AL684" s="230"/>
      <c r="AM684" s="230"/>
      <c r="AN684" s="230"/>
    </row>
    <row r="685">
      <c r="O685" s="230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  <c r="AI685" s="230"/>
      <c r="AJ685" s="230"/>
      <c r="AK685" s="230"/>
      <c r="AL685" s="230"/>
      <c r="AM685" s="230"/>
      <c r="AN685" s="230"/>
    </row>
    <row r="686">
      <c r="O686" s="230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  <c r="AI686" s="230"/>
      <c r="AJ686" s="230"/>
      <c r="AK686" s="230"/>
      <c r="AL686" s="230"/>
      <c r="AM686" s="230"/>
      <c r="AN686" s="230"/>
    </row>
    <row r="687">
      <c r="O687" s="230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  <c r="AI687" s="230"/>
      <c r="AJ687" s="230"/>
      <c r="AK687" s="230"/>
      <c r="AL687" s="230"/>
      <c r="AM687" s="230"/>
      <c r="AN687" s="230"/>
    </row>
    <row r="688">
      <c r="O688" s="230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  <c r="AI688" s="230"/>
      <c r="AJ688" s="230"/>
      <c r="AK688" s="230"/>
      <c r="AL688" s="230"/>
      <c r="AM688" s="230"/>
      <c r="AN688" s="230"/>
    </row>
    <row r="689">
      <c r="O689" s="230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  <c r="AI689" s="230"/>
      <c r="AJ689" s="230"/>
      <c r="AK689" s="230"/>
      <c r="AL689" s="230"/>
      <c r="AM689" s="230"/>
      <c r="AN689" s="230"/>
    </row>
    <row r="690">
      <c r="O690" s="230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  <c r="AI690" s="230"/>
      <c r="AJ690" s="230"/>
      <c r="AK690" s="230"/>
      <c r="AL690" s="230"/>
      <c r="AM690" s="230"/>
      <c r="AN690" s="230"/>
    </row>
    <row r="691">
      <c r="O691" s="230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  <c r="AI691" s="230"/>
      <c r="AJ691" s="230"/>
      <c r="AK691" s="230"/>
      <c r="AL691" s="230"/>
      <c r="AM691" s="230"/>
      <c r="AN691" s="230"/>
    </row>
    <row r="692">
      <c r="O692" s="230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  <c r="AI692" s="230"/>
      <c r="AJ692" s="230"/>
      <c r="AK692" s="230"/>
      <c r="AL692" s="230"/>
      <c r="AM692" s="230"/>
      <c r="AN692" s="230"/>
    </row>
    <row r="693">
      <c r="O693" s="230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  <c r="AI693" s="230"/>
      <c r="AJ693" s="230"/>
      <c r="AK693" s="230"/>
      <c r="AL693" s="230"/>
      <c r="AM693" s="230"/>
      <c r="AN693" s="230"/>
    </row>
    <row r="694">
      <c r="O694" s="230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  <c r="AI694" s="230"/>
      <c r="AJ694" s="230"/>
      <c r="AK694" s="230"/>
      <c r="AL694" s="230"/>
      <c r="AM694" s="230"/>
      <c r="AN694" s="230"/>
    </row>
    <row r="695">
      <c r="O695" s="230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  <c r="AI695" s="230"/>
      <c r="AJ695" s="230"/>
      <c r="AK695" s="230"/>
      <c r="AL695" s="230"/>
      <c r="AM695" s="230"/>
      <c r="AN695" s="230"/>
    </row>
    <row r="696">
      <c r="O696" s="230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  <c r="AI696" s="230"/>
      <c r="AJ696" s="230"/>
      <c r="AK696" s="230"/>
      <c r="AL696" s="230"/>
      <c r="AM696" s="230"/>
      <c r="AN696" s="230"/>
    </row>
    <row r="697">
      <c r="O697" s="230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  <c r="AI697" s="230"/>
      <c r="AJ697" s="230"/>
      <c r="AK697" s="230"/>
      <c r="AL697" s="230"/>
      <c r="AM697" s="230"/>
      <c r="AN697" s="230"/>
    </row>
    <row r="698">
      <c r="O698" s="230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  <c r="AI698" s="230"/>
      <c r="AJ698" s="230"/>
      <c r="AK698" s="230"/>
      <c r="AL698" s="230"/>
      <c r="AM698" s="230"/>
      <c r="AN698" s="230"/>
    </row>
    <row r="699">
      <c r="O699" s="230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  <c r="AI699" s="230"/>
      <c r="AJ699" s="230"/>
      <c r="AK699" s="230"/>
      <c r="AL699" s="230"/>
      <c r="AM699" s="230"/>
      <c r="AN699" s="230"/>
    </row>
    <row r="700">
      <c r="O700" s="230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  <c r="AI700" s="230"/>
      <c r="AJ700" s="230"/>
      <c r="AK700" s="230"/>
      <c r="AL700" s="230"/>
      <c r="AM700" s="230"/>
      <c r="AN700" s="230"/>
    </row>
    <row r="701">
      <c r="O701" s="230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  <c r="AI701" s="230"/>
      <c r="AJ701" s="230"/>
      <c r="AK701" s="230"/>
      <c r="AL701" s="230"/>
      <c r="AM701" s="230"/>
      <c r="AN701" s="230"/>
    </row>
    <row r="702">
      <c r="O702" s="230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  <c r="AI702" s="230"/>
      <c r="AJ702" s="230"/>
      <c r="AK702" s="230"/>
      <c r="AL702" s="230"/>
      <c r="AM702" s="230"/>
      <c r="AN702" s="230"/>
    </row>
    <row r="703">
      <c r="O703" s="230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  <c r="AI703" s="230"/>
      <c r="AJ703" s="230"/>
      <c r="AK703" s="230"/>
      <c r="AL703" s="230"/>
      <c r="AM703" s="230"/>
      <c r="AN703" s="230"/>
    </row>
    <row r="704">
      <c r="O704" s="230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  <c r="AI704" s="230"/>
      <c r="AJ704" s="230"/>
      <c r="AK704" s="230"/>
      <c r="AL704" s="230"/>
      <c r="AM704" s="230"/>
      <c r="AN704" s="230"/>
    </row>
    <row r="705">
      <c r="O705" s="230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  <c r="AI705" s="230"/>
      <c r="AJ705" s="230"/>
      <c r="AK705" s="230"/>
      <c r="AL705" s="230"/>
      <c r="AM705" s="230"/>
      <c r="AN705" s="230"/>
    </row>
    <row r="706">
      <c r="O706" s="230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  <c r="AI706" s="230"/>
      <c r="AJ706" s="230"/>
      <c r="AK706" s="230"/>
      <c r="AL706" s="230"/>
      <c r="AM706" s="230"/>
      <c r="AN706" s="230"/>
    </row>
    <row r="707">
      <c r="O707" s="230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  <c r="AI707" s="230"/>
      <c r="AJ707" s="230"/>
      <c r="AK707" s="230"/>
      <c r="AL707" s="230"/>
      <c r="AM707" s="230"/>
      <c r="AN707" s="230"/>
    </row>
    <row r="708">
      <c r="O708" s="230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  <c r="AI708" s="230"/>
      <c r="AJ708" s="230"/>
      <c r="AK708" s="230"/>
      <c r="AL708" s="230"/>
      <c r="AM708" s="230"/>
      <c r="AN708" s="230"/>
    </row>
    <row r="709">
      <c r="O709" s="230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  <c r="AI709" s="230"/>
      <c r="AJ709" s="230"/>
      <c r="AK709" s="230"/>
      <c r="AL709" s="230"/>
      <c r="AM709" s="230"/>
      <c r="AN709" s="230"/>
    </row>
    <row r="710">
      <c r="O710" s="230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  <c r="AI710" s="230"/>
      <c r="AJ710" s="230"/>
      <c r="AK710" s="230"/>
      <c r="AL710" s="230"/>
      <c r="AM710" s="230"/>
      <c r="AN710" s="230"/>
    </row>
    <row r="711">
      <c r="O711" s="230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  <c r="AI711" s="230"/>
      <c r="AJ711" s="230"/>
      <c r="AK711" s="230"/>
      <c r="AL711" s="230"/>
      <c r="AM711" s="230"/>
      <c r="AN711" s="230"/>
    </row>
    <row r="712">
      <c r="O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  <c r="AI712" s="230"/>
      <c r="AJ712" s="230"/>
      <c r="AK712" s="230"/>
      <c r="AL712" s="230"/>
      <c r="AM712" s="230"/>
      <c r="AN712" s="230"/>
    </row>
    <row r="713">
      <c r="O713" s="230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  <c r="AI713" s="230"/>
      <c r="AJ713" s="230"/>
      <c r="AK713" s="230"/>
      <c r="AL713" s="230"/>
      <c r="AM713" s="230"/>
      <c r="AN713" s="230"/>
    </row>
    <row r="714">
      <c r="O714" s="230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  <c r="AI714" s="230"/>
      <c r="AJ714" s="230"/>
      <c r="AK714" s="230"/>
      <c r="AL714" s="230"/>
      <c r="AM714" s="230"/>
      <c r="AN714" s="230"/>
    </row>
    <row r="715">
      <c r="O715" s="230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  <c r="AI715" s="230"/>
      <c r="AJ715" s="230"/>
      <c r="AK715" s="230"/>
      <c r="AL715" s="230"/>
      <c r="AM715" s="230"/>
      <c r="AN715" s="230"/>
    </row>
    <row r="716">
      <c r="O716" s="230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  <c r="AI716" s="230"/>
      <c r="AJ716" s="230"/>
      <c r="AK716" s="230"/>
      <c r="AL716" s="230"/>
      <c r="AM716" s="230"/>
      <c r="AN716" s="230"/>
    </row>
    <row r="717">
      <c r="O717" s="230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  <c r="AI717" s="230"/>
      <c r="AJ717" s="230"/>
      <c r="AK717" s="230"/>
      <c r="AL717" s="230"/>
      <c r="AM717" s="230"/>
      <c r="AN717" s="230"/>
    </row>
    <row r="718">
      <c r="O718" s="230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  <c r="AI718" s="230"/>
      <c r="AJ718" s="230"/>
      <c r="AK718" s="230"/>
      <c r="AL718" s="230"/>
      <c r="AM718" s="230"/>
      <c r="AN718" s="230"/>
    </row>
    <row r="719">
      <c r="O719" s="230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  <c r="AI719" s="230"/>
      <c r="AJ719" s="230"/>
      <c r="AK719" s="230"/>
      <c r="AL719" s="230"/>
      <c r="AM719" s="230"/>
      <c r="AN719" s="230"/>
    </row>
    <row r="720">
      <c r="O720" s="230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  <c r="AI720" s="230"/>
      <c r="AJ720" s="230"/>
      <c r="AK720" s="230"/>
      <c r="AL720" s="230"/>
      <c r="AM720" s="230"/>
      <c r="AN720" s="230"/>
    </row>
    <row r="721">
      <c r="O721" s="230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  <c r="AI721" s="230"/>
      <c r="AJ721" s="230"/>
      <c r="AK721" s="230"/>
      <c r="AL721" s="230"/>
      <c r="AM721" s="230"/>
      <c r="AN721" s="230"/>
    </row>
    <row r="722">
      <c r="O722" s="230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  <c r="AI722" s="230"/>
      <c r="AJ722" s="230"/>
      <c r="AK722" s="230"/>
      <c r="AL722" s="230"/>
      <c r="AM722" s="230"/>
      <c r="AN722" s="230"/>
    </row>
    <row r="723">
      <c r="O723" s="230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  <c r="AI723" s="230"/>
      <c r="AJ723" s="230"/>
      <c r="AK723" s="230"/>
      <c r="AL723" s="230"/>
      <c r="AM723" s="230"/>
      <c r="AN723" s="230"/>
    </row>
    <row r="724">
      <c r="O724" s="230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  <c r="AI724" s="230"/>
      <c r="AJ724" s="230"/>
      <c r="AK724" s="230"/>
      <c r="AL724" s="230"/>
      <c r="AM724" s="230"/>
      <c r="AN724" s="230"/>
    </row>
    <row r="725">
      <c r="O725" s="230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  <c r="AI725" s="230"/>
      <c r="AJ725" s="230"/>
      <c r="AK725" s="230"/>
      <c r="AL725" s="230"/>
      <c r="AM725" s="230"/>
      <c r="AN725" s="230"/>
    </row>
    <row r="726">
      <c r="O726" s="230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  <c r="AI726" s="230"/>
      <c r="AJ726" s="230"/>
      <c r="AK726" s="230"/>
      <c r="AL726" s="230"/>
      <c r="AM726" s="230"/>
      <c r="AN726" s="230"/>
    </row>
    <row r="727">
      <c r="O727" s="230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  <c r="AI727" s="230"/>
      <c r="AJ727" s="230"/>
      <c r="AK727" s="230"/>
      <c r="AL727" s="230"/>
      <c r="AM727" s="230"/>
      <c r="AN727" s="230"/>
    </row>
    <row r="728">
      <c r="O728" s="230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  <c r="AI728" s="230"/>
      <c r="AJ728" s="230"/>
      <c r="AK728" s="230"/>
      <c r="AL728" s="230"/>
      <c r="AM728" s="230"/>
      <c r="AN728" s="230"/>
    </row>
    <row r="729">
      <c r="O729" s="230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  <c r="AI729" s="230"/>
      <c r="AJ729" s="230"/>
      <c r="AK729" s="230"/>
      <c r="AL729" s="230"/>
      <c r="AM729" s="230"/>
      <c r="AN729" s="230"/>
    </row>
    <row r="730">
      <c r="O730" s="230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  <c r="AI730" s="230"/>
      <c r="AJ730" s="230"/>
      <c r="AK730" s="230"/>
      <c r="AL730" s="230"/>
      <c r="AM730" s="230"/>
      <c r="AN730" s="230"/>
    </row>
    <row r="731">
      <c r="O731" s="230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  <c r="AI731" s="230"/>
      <c r="AJ731" s="230"/>
      <c r="AK731" s="230"/>
      <c r="AL731" s="230"/>
      <c r="AM731" s="230"/>
      <c r="AN731" s="230"/>
    </row>
    <row r="732">
      <c r="O732" s="230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  <c r="AI732" s="230"/>
      <c r="AJ732" s="230"/>
      <c r="AK732" s="230"/>
      <c r="AL732" s="230"/>
      <c r="AM732" s="230"/>
      <c r="AN732" s="230"/>
    </row>
    <row r="733">
      <c r="O733" s="230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  <c r="AJ733" s="230"/>
      <c r="AK733" s="230"/>
      <c r="AL733" s="230"/>
      <c r="AM733" s="230"/>
      <c r="AN733" s="230"/>
    </row>
    <row r="734">
      <c r="O734" s="230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  <c r="AJ734" s="230"/>
      <c r="AK734" s="230"/>
      <c r="AL734" s="230"/>
      <c r="AM734" s="230"/>
      <c r="AN734" s="230"/>
    </row>
    <row r="735">
      <c r="O735" s="230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  <c r="AJ735" s="230"/>
      <c r="AK735" s="230"/>
      <c r="AL735" s="230"/>
      <c r="AM735" s="230"/>
      <c r="AN735" s="230"/>
    </row>
    <row r="736">
      <c r="O736" s="230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  <c r="AJ736" s="230"/>
      <c r="AK736" s="230"/>
      <c r="AL736" s="230"/>
      <c r="AM736" s="230"/>
      <c r="AN736" s="230"/>
    </row>
    <row r="737">
      <c r="O737" s="230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  <c r="AJ737" s="230"/>
      <c r="AK737" s="230"/>
      <c r="AL737" s="230"/>
      <c r="AM737" s="230"/>
      <c r="AN737" s="230"/>
    </row>
    <row r="738">
      <c r="O738" s="230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  <c r="AJ738" s="230"/>
      <c r="AK738" s="230"/>
      <c r="AL738" s="230"/>
      <c r="AM738" s="230"/>
      <c r="AN738" s="230"/>
    </row>
    <row r="739">
      <c r="O739" s="230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  <c r="AJ739" s="230"/>
      <c r="AK739" s="230"/>
      <c r="AL739" s="230"/>
      <c r="AM739" s="230"/>
      <c r="AN739" s="230"/>
    </row>
    <row r="740">
      <c r="O740" s="230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  <c r="AJ740" s="230"/>
      <c r="AK740" s="230"/>
      <c r="AL740" s="230"/>
      <c r="AM740" s="230"/>
      <c r="AN740" s="230"/>
    </row>
    <row r="741">
      <c r="O741" s="230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  <c r="AJ741" s="230"/>
      <c r="AK741" s="230"/>
      <c r="AL741" s="230"/>
      <c r="AM741" s="230"/>
      <c r="AN741" s="230"/>
    </row>
    <row r="742">
      <c r="O742" s="230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  <c r="AJ742" s="230"/>
      <c r="AK742" s="230"/>
      <c r="AL742" s="230"/>
      <c r="AM742" s="230"/>
      <c r="AN742" s="230"/>
    </row>
    <row r="743">
      <c r="O743" s="230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  <c r="AJ743" s="230"/>
      <c r="AK743" s="230"/>
      <c r="AL743" s="230"/>
      <c r="AM743" s="230"/>
      <c r="AN743" s="230"/>
    </row>
    <row r="744">
      <c r="O744" s="230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  <c r="AJ744" s="230"/>
      <c r="AK744" s="230"/>
      <c r="AL744" s="230"/>
      <c r="AM744" s="230"/>
      <c r="AN744" s="230"/>
    </row>
    <row r="745">
      <c r="O745" s="230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  <c r="AJ745" s="230"/>
      <c r="AK745" s="230"/>
      <c r="AL745" s="230"/>
      <c r="AM745" s="230"/>
      <c r="AN745" s="230"/>
    </row>
    <row r="746">
      <c r="O746" s="230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  <c r="AJ746" s="230"/>
      <c r="AK746" s="230"/>
      <c r="AL746" s="230"/>
      <c r="AM746" s="230"/>
      <c r="AN746" s="230"/>
    </row>
    <row r="747">
      <c r="O747" s="230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  <c r="AJ747" s="230"/>
      <c r="AK747" s="230"/>
      <c r="AL747" s="230"/>
      <c r="AM747" s="230"/>
      <c r="AN747" s="230"/>
    </row>
    <row r="748">
      <c r="O748" s="230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  <c r="AJ748" s="230"/>
      <c r="AK748" s="230"/>
      <c r="AL748" s="230"/>
      <c r="AM748" s="230"/>
      <c r="AN748" s="230"/>
    </row>
    <row r="749">
      <c r="O749" s="230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  <c r="AI749" s="230"/>
      <c r="AJ749" s="230"/>
      <c r="AK749" s="230"/>
      <c r="AL749" s="230"/>
      <c r="AM749" s="230"/>
      <c r="AN749" s="230"/>
    </row>
    <row r="750">
      <c r="O750" s="230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  <c r="AI750" s="230"/>
      <c r="AJ750" s="230"/>
      <c r="AK750" s="230"/>
      <c r="AL750" s="230"/>
      <c r="AM750" s="230"/>
      <c r="AN750" s="230"/>
    </row>
    <row r="751">
      <c r="O751" s="230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  <c r="AI751" s="230"/>
      <c r="AJ751" s="230"/>
      <c r="AK751" s="230"/>
      <c r="AL751" s="230"/>
      <c r="AM751" s="230"/>
      <c r="AN751" s="230"/>
    </row>
    <row r="752">
      <c r="O752" s="230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  <c r="AI752" s="230"/>
      <c r="AJ752" s="230"/>
      <c r="AK752" s="230"/>
      <c r="AL752" s="230"/>
      <c r="AM752" s="230"/>
      <c r="AN752" s="230"/>
    </row>
    <row r="753">
      <c r="O753" s="230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  <c r="AI753" s="230"/>
      <c r="AJ753" s="230"/>
      <c r="AK753" s="230"/>
      <c r="AL753" s="230"/>
      <c r="AM753" s="230"/>
      <c r="AN753" s="230"/>
    </row>
    <row r="754">
      <c r="O754" s="230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  <c r="AI754" s="230"/>
      <c r="AJ754" s="230"/>
      <c r="AK754" s="230"/>
      <c r="AL754" s="230"/>
      <c r="AM754" s="230"/>
      <c r="AN754" s="230"/>
    </row>
    <row r="755">
      <c r="O755" s="230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  <c r="AI755" s="230"/>
      <c r="AJ755" s="230"/>
      <c r="AK755" s="230"/>
      <c r="AL755" s="230"/>
      <c r="AM755" s="230"/>
      <c r="AN755" s="230"/>
    </row>
    <row r="756">
      <c r="O756" s="230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  <c r="AI756" s="230"/>
      <c r="AJ756" s="230"/>
      <c r="AK756" s="230"/>
      <c r="AL756" s="230"/>
      <c r="AM756" s="230"/>
      <c r="AN756" s="230"/>
    </row>
    <row r="757">
      <c r="O757" s="230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  <c r="AI757" s="230"/>
      <c r="AJ757" s="230"/>
      <c r="AK757" s="230"/>
      <c r="AL757" s="230"/>
      <c r="AM757" s="230"/>
      <c r="AN757" s="230"/>
    </row>
    <row r="758">
      <c r="O758" s="230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  <c r="AI758" s="230"/>
      <c r="AJ758" s="230"/>
      <c r="AK758" s="230"/>
      <c r="AL758" s="230"/>
      <c r="AM758" s="230"/>
      <c r="AN758" s="230"/>
    </row>
    <row r="759">
      <c r="O759" s="230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  <c r="AI759" s="230"/>
      <c r="AJ759" s="230"/>
      <c r="AK759" s="230"/>
      <c r="AL759" s="230"/>
      <c r="AM759" s="230"/>
      <c r="AN759" s="230"/>
    </row>
    <row r="760">
      <c r="O760" s="230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  <c r="AI760" s="230"/>
      <c r="AJ760" s="230"/>
      <c r="AK760" s="230"/>
      <c r="AL760" s="230"/>
      <c r="AM760" s="230"/>
      <c r="AN760" s="230"/>
    </row>
    <row r="761">
      <c r="O761" s="230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  <c r="AI761" s="230"/>
      <c r="AJ761" s="230"/>
      <c r="AK761" s="230"/>
      <c r="AL761" s="230"/>
      <c r="AM761" s="230"/>
      <c r="AN761" s="230"/>
    </row>
    <row r="762">
      <c r="O762" s="230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  <c r="AI762" s="230"/>
      <c r="AJ762" s="230"/>
      <c r="AK762" s="230"/>
      <c r="AL762" s="230"/>
      <c r="AM762" s="230"/>
      <c r="AN762" s="230"/>
    </row>
    <row r="763">
      <c r="O763" s="230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  <c r="AI763" s="230"/>
      <c r="AJ763" s="230"/>
      <c r="AK763" s="230"/>
      <c r="AL763" s="230"/>
      <c r="AM763" s="230"/>
      <c r="AN763" s="230"/>
    </row>
    <row r="764">
      <c r="O764" s="230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  <c r="AI764" s="230"/>
      <c r="AJ764" s="230"/>
      <c r="AK764" s="230"/>
      <c r="AL764" s="230"/>
      <c r="AM764" s="230"/>
      <c r="AN764" s="230"/>
    </row>
    <row r="765">
      <c r="O765" s="230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  <c r="AI765" s="230"/>
      <c r="AJ765" s="230"/>
      <c r="AK765" s="230"/>
      <c r="AL765" s="230"/>
      <c r="AM765" s="230"/>
      <c r="AN765" s="230"/>
    </row>
    <row r="766">
      <c r="O766" s="230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  <c r="AI766" s="230"/>
      <c r="AJ766" s="230"/>
      <c r="AK766" s="230"/>
      <c r="AL766" s="230"/>
      <c r="AM766" s="230"/>
      <c r="AN766" s="230"/>
    </row>
    <row r="767">
      <c r="O767" s="230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  <c r="AI767" s="230"/>
      <c r="AJ767" s="230"/>
      <c r="AK767" s="230"/>
      <c r="AL767" s="230"/>
      <c r="AM767" s="230"/>
      <c r="AN767" s="230"/>
    </row>
    <row r="768">
      <c r="O768" s="230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  <c r="AI768" s="230"/>
      <c r="AJ768" s="230"/>
      <c r="AK768" s="230"/>
      <c r="AL768" s="230"/>
      <c r="AM768" s="230"/>
      <c r="AN768" s="230"/>
    </row>
    <row r="769">
      <c r="O769" s="230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  <c r="AI769" s="230"/>
      <c r="AJ769" s="230"/>
      <c r="AK769" s="230"/>
      <c r="AL769" s="230"/>
      <c r="AM769" s="230"/>
      <c r="AN769" s="230"/>
    </row>
    <row r="770">
      <c r="O770" s="230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  <c r="AI770" s="230"/>
      <c r="AJ770" s="230"/>
      <c r="AK770" s="230"/>
      <c r="AL770" s="230"/>
      <c r="AM770" s="230"/>
      <c r="AN770" s="230"/>
    </row>
    <row r="771">
      <c r="O771" s="230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  <c r="AI771" s="230"/>
      <c r="AJ771" s="230"/>
      <c r="AK771" s="230"/>
      <c r="AL771" s="230"/>
      <c r="AM771" s="230"/>
      <c r="AN771" s="230"/>
    </row>
    <row r="772">
      <c r="O772" s="230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  <c r="AI772" s="230"/>
      <c r="AJ772" s="230"/>
      <c r="AK772" s="230"/>
      <c r="AL772" s="230"/>
      <c r="AM772" s="230"/>
      <c r="AN772" s="230"/>
    </row>
    <row r="773">
      <c r="O773" s="230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  <c r="AI773" s="230"/>
      <c r="AJ773" s="230"/>
      <c r="AK773" s="230"/>
      <c r="AL773" s="230"/>
      <c r="AM773" s="230"/>
      <c r="AN773" s="230"/>
    </row>
    <row r="774">
      <c r="O774" s="230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  <c r="AI774" s="230"/>
      <c r="AJ774" s="230"/>
      <c r="AK774" s="230"/>
      <c r="AL774" s="230"/>
      <c r="AM774" s="230"/>
      <c r="AN774" s="230"/>
    </row>
    <row r="775">
      <c r="O775" s="230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  <c r="AI775" s="230"/>
      <c r="AJ775" s="230"/>
      <c r="AK775" s="230"/>
      <c r="AL775" s="230"/>
      <c r="AM775" s="230"/>
      <c r="AN775" s="230"/>
    </row>
    <row r="776">
      <c r="O776" s="230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  <c r="AI776" s="230"/>
      <c r="AJ776" s="230"/>
      <c r="AK776" s="230"/>
      <c r="AL776" s="230"/>
      <c r="AM776" s="230"/>
      <c r="AN776" s="230"/>
    </row>
    <row r="777">
      <c r="O777" s="230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  <c r="AI777" s="230"/>
      <c r="AJ777" s="230"/>
      <c r="AK777" s="230"/>
      <c r="AL777" s="230"/>
      <c r="AM777" s="230"/>
      <c r="AN777" s="230"/>
    </row>
    <row r="778">
      <c r="O778" s="230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  <c r="AI778" s="230"/>
      <c r="AJ778" s="230"/>
      <c r="AK778" s="230"/>
      <c r="AL778" s="230"/>
      <c r="AM778" s="230"/>
      <c r="AN778" s="230"/>
    </row>
    <row r="779">
      <c r="O779" s="230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  <c r="AI779" s="230"/>
      <c r="AJ779" s="230"/>
      <c r="AK779" s="230"/>
      <c r="AL779" s="230"/>
      <c r="AM779" s="230"/>
      <c r="AN779" s="230"/>
    </row>
    <row r="780">
      <c r="O780" s="230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  <c r="AI780" s="230"/>
      <c r="AJ780" s="230"/>
      <c r="AK780" s="230"/>
      <c r="AL780" s="230"/>
      <c r="AM780" s="230"/>
      <c r="AN780" s="230"/>
    </row>
    <row r="781">
      <c r="O781" s="230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  <c r="AI781" s="230"/>
      <c r="AJ781" s="230"/>
      <c r="AK781" s="230"/>
      <c r="AL781" s="230"/>
      <c r="AM781" s="230"/>
      <c r="AN781" s="230"/>
    </row>
    <row r="782">
      <c r="O782" s="230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  <c r="AI782" s="230"/>
      <c r="AJ782" s="230"/>
      <c r="AK782" s="230"/>
      <c r="AL782" s="230"/>
      <c r="AM782" s="230"/>
      <c r="AN782" s="230"/>
    </row>
    <row r="783">
      <c r="O783" s="230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  <c r="AJ783" s="230"/>
      <c r="AK783" s="230"/>
      <c r="AL783" s="230"/>
      <c r="AM783" s="230"/>
      <c r="AN783" s="230"/>
    </row>
    <row r="784">
      <c r="O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  <c r="AI784" s="230"/>
      <c r="AJ784" s="230"/>
      <c r="AK784" s="230"/>
      <c r="AL784" s="230"/>
      <c r="AM784" s="230"/>
      <c r="AN784" s="230"/>
    </row>
    <row r="785">
      <c r="O785" s="230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  <c r="AI785" s="230"/>
      <c r="AJ785" s="230"/>
      <c r="AK785" s="230"/>
      <c r="AL785" s="230"/>
      <c r="AM785" s="230"/>
      <c r="AN785" s="230"/>
    </row>
    <row r="786">
      <c r="O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  <c r="AI786" s="230"/>
      <c r="AJ786" s="230"/>
      <c r="AK786" s="230"/>
      <c r="AL786" s="230"/>
      <c r="AM786" s="230"/>
      <c r="AN786" s="230"/>
    </row>
    <row r="787">
      <c r="O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  <c r="AI787" s="230"/>
      <c r="AJ787" s="230"/>
      <c r="AK787" s="230"/>
      <c r="AL787" s="230"/>
      <c r="AM787" s="230"/>
      <c r="AN787" s="230"/>
    </row>
    <row r="788">
      <c r="O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  <c r="AI788" s="230"/>
      <c r="AJ788" s="230"/>
      <c r="AK788" s="230"/>
      <c r="AL788" s="230"/>
      <c r="AM788" s="230"/>
      <c r="AN788" s="230"/>
    </row>
    <row r="789">
      <c r="O789" s="230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  <c r="AI789" s="230"/>
      <c r="AJ789" s="230"/>
      <c r="AK789" s="230"/>
      <c r="AL789" s="230"/>
      <c r="AM789" s="230"/>
      <c r="AN789" s="230"/>
    </row>
    <row r="790">
      <c r="O790" s="230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  <c r="AI790" s="230"/>
      <c r="AJ790" s="230"/>
      <c r="AK790" s="230"/>
      <c r="AL790" s="230"/>
      <c r="AM790" s="230"/>
      <c r="AN790" s="230"/>
    </row>
    <row r="791">
      <c r="O791" s="230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  <c r="AJ791" s="230"/>
      <c r="AK791" s="230"/>
      <c r="AL791" s="230"/>
      <c r="AM791" s="230"/>
      <c r="AN791" s="230"/>
    </row>
    <row r="792">
      <c r="O792" s="230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  <c r="AI792" s="230"/>
      <c r="AJ792" s="230"/>
      <c r="AK792" s="230"/>
      <c r="AL792" s="230"/>
      <c r="AM792" s="230"/>
      <c r="AN792" s="230"/>
    </row>
    <row r="793">
      <c r="O793" s="230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  <c r="AI793" s="230"/>
      <c r="AJ793" s="230"/>
      <c r="AK793" s="230"/>
      <c r="AL793" s="230"/>
      <c r="AM793" s="230"/>
      <c r="AN793" s="230"/>
    </row>
    <row r="794">
      <c r="O794" s="230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  <c r="AI794" s="230"/>
      <c r="AJ794" s="230"/>
      <c r="AK794" s="230"/>
      <c r="AL794" s="230"/>
      <c r="AM794" s="230"/>
      <c r="AN794" s="230"/>
    </row>
    <row r="795">
      <c r="O795" s="230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  <c r="AI795" s="230"/>
      <c r="AJ795" s="230"/>
      <c r="AK795" s="230"/>
      <c r="AL795" s="230"/>
      <c r="AM795" s="230"/>
      <c r="AN795" s="230"/>
    </row>
    <row r="796">
      <c r="O796" s="230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  <c r="AI796" s="230"/>
      <c r="AJ796" s="230"/>
      <c r="AK796" s="230"/>
      <c r="AL796" s="230"/>
      <c r="AM796" s="230"/>
      <c r="AN796" s="230"/>
    </row>
    <row r="797">
      <c r="O797" s="230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  <c r="AI797" s="230"/>
      <c r="AJ797" s="230"/>
      <c r="AK797" s="230"/>
      <c r="AL797" s="230"/>
      <c r="AM797" s="230"/>
      <c r="AN797" s="230"/>
    </row>
    <row r="798">
      <c r="O798" s="230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  <c r="AI798" s="230"/>
      <c r="AJ798" s="230"/>
      <c r="AK798" s="230"/>
      <c r="AL798" s="230"/>
      <c r="AM798" s="230"/>
      <c r="AN798" s="230"/>
    </row>
    <row r="799">
      <c r="O799" s="230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  <c r="AI799" s="230"/>
      <c r="AJ799" s="230"/>
      <c r="AK799" s="230"/>
      <c r="AL799" s="230"/>
      <c r="AM799" s="230"/>
      <c r="AN799" s="230"/>
    </row>
    <row r="800">
      <c r="O800" s="230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  <c r="AI800" s="230"/>
      <c r="AJ800" s="230"/>
      <c r="AK800" s="230"/>
      <c r="AL800" s="230"/>
      <c r="AM800" s="230"/>
      <c r="AN800" s="230"/>
    </row>
    <row r="801">
      <c r="O801" s="230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  <c r="AI801" s="230"/>
      <c r="AJ801" s="230"/>
      <c r="AK801" s="230"/>
      <c r="AL801" s="230"/>
      <c r="AM801" s="230"/>
      <c r="AN801" s="230"/>
    </row>
    <row r="802">
      <c r="O802" s="230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  <c r="AI802" s="230"/>
      <c r="AJ802" s="230"/>
      <c r="AK802" s="230"/>
      <c r="AL802" s="230"/>
      <c r="AM802" s="230"/>
      <c r="AN802" s="230"/>
    </row>
    <row r="803">
      <c r="O803" s="230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  <c r="AI803" s="230"/>
      <c r="AJ803" s="230"/>
      <c r="AK803" s="230"/>
      <c r="AL803" s="230"/>
      <c r="AM803" s="230"/>
      <c r="AN803" s="230"/>
    </row>
    <row r="804">
      <c r="O804" s="230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  <c r="AI804" s="230"/>
      <c r="AJ804" s="230"/>
      <c r="AK804" s="230"/>
      <c r="AL804" s="230"/>
      <c r="AM804" s="230"/>
      <c r="AN804" s="230"/>
    </row>
    <row r="805">
      <c r="O805" s="230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  <c r="AI805" s="230"/>
      <c r="AJ805" s="230"/>
      <c r="AK805" s="230"/>
      <c r="AL805" s="230"/>
      <c r="AM805" s="230"/>
      <c r="AN805" s="230"/>
    </row>
    <row r="806">
      <c r="O806" s="230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  <c r="AI806" s="230"/>
      <c r="AJ806" s="230"/>
      <c r="AK806" s="230"/>
      <c r="AL806" s="230"/>
      <c r="AM806" s="230"/>
      <c r="AN806" s="230"/>
    </row>
    <row r="807">
      <c r="O807" s="230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  <c r="AI807" s="230"/>
      <c r="AJ807" s="230"/>
      <c r="AK807" s="230"/>
      <c r="AL807" s="230"/>
      <c r="AM807" s="230"/>
      <c r="AN807" s="230"/>
    </row>
    <row r="808">
      <c r="O808" s="230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  <c r="AI808" s="230"/>
      <c r="AJ808" s="230"/>
      <c r="AK808" s="230"/>
      <c r="AL808" s="230"/>
      <c r="AM808" s="230"/>
      <c r="AN808" s="230"/>
    </row>
    <row r="809">
      <c r="O809" s="230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  <c r="AI809" s="230"/>
      <c r="AJ809" s="230"/>
      <c r="AK809" s="230"/>
      <c r="AL809" s="230"/>
      <c r="AM809" s="230"/>
      <c r="AN809" s="230"/>
    </row>
    <row r="810">
      <c r="O810" s="230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  <c r="AI810" s="230"/>
      <c r="AJ810" s="230"/>
      <c r="AK810" s="230"/>
      <c r="AL810" s="230"/>
      <c r="AM810" s="230"/>
      <c r="AN810" s="230"/>
    </row>
    <row r="811">
      <c r="O811" s="230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  <c r="AI811" s="230"/>
      <c r="AJ811" s="230"/>
      <c r="AK811" s="230"/>
      <c r="AL811" s="230"/>
      <c r="AM811" s="230"/>
      <c r="AN811" s="230"/>
    </row>
    <row r="812">
      <c r="O812" s="230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  <c r="AI812" s="230"/>
      <c r="AJ812" s="230"/>
      <c r="AK812" s="230"/>
      <c r="AL812" s="230"/>
      <c r="AM812" s="230"/>
      <c r="AN812" s="230"/>
    </row>
    <row r="813">
      <c r="O813" s="230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  <c r="AI813" s="230"/>
      <c r="AJ813" s="230"/>
      <c r="AK813" s="230"/>
      <c r="AL813" s="230"/>
      <c r="AM813" s="230"/>
      <c r="AN813" s="230"/>
    </row>
    <row r="814">
      <c r="O814" s="230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  <c r="AI814" s="230"/>
      <c r="AJ814" s="230"/>
      <c r="AK814" s="230"/>
      <c r="AL814" s="230"/>
      <c r="AM814" s="230"/>
      <c r="AN814" s="230"/>
    </row>
    <row r="815">
      <c r="O815" s="230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  <c r="AI815" s="230"/>
      <c r="AJ815" s="230"/>
      <c r="AK815" s="230"/>
      <c r="AL815" s="230"/>
      <c r="AM815" s="230"/>
      <c r="AN815" s="230"/>
    </row>
    <row r="816">
      <c r="O816" s="230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  <c r="AI816" s="230"/>
      <c r="AJ816" s="230"/>
      <c r="AK816" s="230"/>
      <c r="AL816" s="230"/>
      <c r="AM816" s="230"/>
      <c r="AN816" s="230"/>
    </row>
    <row r="817">
      <c r="O817" s="230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  <c r="AI817" s="230"/>
      <c r="AJ817" s="230"/>
      <c r="AK817" s="230"/>
      <c r="AL817" s="230"/>
      <c r="AM817" s="230"/>
      <c r="AN817" s="230"/>
    </row>
    <row r="818">
      <c r="O818" s="230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  <c r="AI818" s="230"/>
      <c r="AJ818" s="230"/>
      <c r="AK818" s="230"/>
      <c r="AL818" s="230"/>
      <c r="AM818" s="230"/>
      <c r="AN818" s="230"/>
    </row>
    <row r="819">
      <c r="O819" s="230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  <c r="AI819" s="230"/>
      <c r="AJ819" s="230"/>
      <c r="AK819" s="230"/>
      <c r="AL819" s="230"/>
      <c r="AM819" s="230"/>
      <c r="AN819" s="230"/>
    </row>
    <row r="820">
      <c r="O820" s="230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  <c r="AI820" s="230"/>
      <c r="AJ820" s="230"/>
      <c r="AK820" s="230"/>
      <c r="AL820" s="230"/>
      <c r="AM820" s="230"/>
      <c r="AN820" s="230"/>
    </row>
    <row r="821">
      <c r="O821" s="230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  <c r="AI821" s="230"/>
      <c r="AJ821" s="230"/>
      <c r="AK821" s="230"/>
      <c r="AL821" s="230"/>
      <c r="AM821" s="230"/>
      <c r="AN821" s="230"/>
    </row>
    <row r="822">
      <c r="O822" s="230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  <c r="AI822" s="230"/>
      <c r="AJ822" s="230"/>
      <c r="AK822" s="230"/>
      <c r="AL822" s="230"/>
      <c r="AM822" s="230"/>
      <c r="AN822" s="230"/>
    </row>
    <row r="823">
      <c r="O823" s="230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  <c r="AI823" s="230"/>
      <c r="AJ823" s="230"/>
      <c r="AK823" s="230"/>
      <c r="AL823" s="230"/>
      <c r="AM823" s="230"/>
      <c r="AN823" s="230"/>
    </row>
    <row r="824">
      <c r="O824" s="230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  <c r="AI824" s="230"/>
      <c r="AJ824" s="230"/>
      <c r="AK824" s="230"/>
      <c r="AL824" s="230"/>
      <c r="AM824" s="230"/>
      <c r="AN824" s="230"/>
    </row>
    <row r="825">
      <c r="O825" s="230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  <c r="AI825" s="230"/>
      <c r="AJ825" s="230"/>
      <c r="AK825" s="230"/>
      <c r="AL825" s="230"/>
      <c r="AM825" s="230"/>
      <c r="AN825" s="230"/>
    </row>
    <row r="826">
      <c r="O826" s="230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  <c r="AI826" s="230"/>
      <c r="AJ826" s="230"/>
      <c r="AK826" s="230"/>
      <c r="AL826" s="230"/>
      <c r="AM826" s="230"/>
      <c r="AN826" s="230"/>
    </row>
    <row r="827">
      <c r="O827" s="230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  <c r="AI827" s="230"/>
      <c r="AJ827" s="230"/>
      <c r="AK827" s="230"/>
      <c r="AL827" s="230"/>
      <c r="AM827" s="230"/>
      <c r="AN827" s="230"/>
    </row>
    <row r="828">
      <c r="O828" s="230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  <c r="AI828" s="230"/>
      <c r="AJ828" s="230"/>
      <c r="AK828" s="230"/>
      <c r="AL828" s="230"/>
      <c r="AM828" s="230"/>
      <c r="AN828" s="230"/>
    </row>
    <row r="829">
      <c r="O829" s="230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  <c r="AI829" s="230"/>
      <c r="AJ829" s="230"/>
      <c r="AK829" s="230"/>
      <c r="AL829" s="230"/>
      <c r="AM829" s="230"/>
      <c r="AN829" s="230"/>
    </row>
    <row r="830">
      <c r="O830" s="230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  <c r="AI830" s="230"/>
      <c r="AJ830" s="230"/>
      <c r="AK830" s="230"/>
      <c r="AL830" s="230"/>
      <c r="AM830" s="230"/>
      <c r="AN830" s="230"/>
    </row>
    <row r="831">
      <c r="O831" s="230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  <c r="AJ831" s="230"/>
      <c r="AK831" s="230"/>
      <c r="AL831" s="230"/>
      <c r="AM831" s="230"/>
      <c r="AN831" s="230"/>
    </row>
    <row r="832">
      <c r="O832" s="230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  <c r="AI832" s="230"/>
      <c r="AJ832" s="230"/>
      <c r="AK832" s="230"/>
      <c r="AL832" s="230"/>
      <c r="AM832" s="230"/>
      <c r="AN832" s="230"/>
    </row>
    <row r="833">
      <c r="O833" s="230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  <c r="AI833" s="230"/>
      <c r="AJ833" s="230"/>
      <c r="AK833" s="230"/>
      <c r="AL833" s="230"/>
      <c r="AM833" s="230"/>
      <c r="AN833" s="230"/>
    </row>
    <row r="834">
      <c r="O834" s="230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  <c r="AI834" s="230"/>
      <c r="AJ834" s="230"/>
      <c r="AK834" s="230"/>
      <c r="AL834" s="230"/>
      <c r="AM834" s="230"/>
      <c r="AN834" s="230"/>
    </row>
    <row r="835">
      <c r="O835" s="230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  <c r="AI835" s="230"/>
      <c r="AJ835" s="230"/>
      <c r="AK835" s="230"/>
      <c r="AL835" s="230"/>
      <c r="AM835" s="230"/>
      <c r="AN835" s="230"/>
    </row>
    <row r="836">
      <c r="O836" s="230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  <c r="AI836" s="230"/>
      <c r="AJ836" s="230"/>
      <c r="AK836" s="230"/>
      <c r="AL836" s="230"/>
      <c r="AM836" s="230"/>
      <c r="AN836" s="230"/>
    </row>
    <row r="837">
      <c r="O837" s="230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  <c r="AI837" s="230"/>
      <c r="AJ837" s="230"/>
      <c r="AK837" s="230"/>
      <c r="AL837" s="230"/>
      <c r="AM837" s="230"/>
      <c r="AN837" s="230"/>
    </row>
    <row r="838">
      <c r="O838" s="230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  <c r="AI838" s="230"/>
      <c r="AJ838" s="230"/>
      <c r="AK838" s="230"/>
      <c r="AL838" s="230"/>
      <c r="AM838" s="230"/>
      <c r="AN838" s="230"/>
    </row>
    <row r="839">
      <c r="O839" s="230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  <c r="AI839" s="230"/>
      <c r="AJ839" s="230"/>
      <c r="AK839" s="230"/>
      <c r="AL839" s="230"/>
      <c r="AM839" s="230"/>
      <c r="AN839" s="230"/>
    </row>
    <row r="840">
      <c r="O840" s="230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  <c r="AI840" s="230"/>
      <c r="AJ840" s="230"/>
      <c r="AK840" s="230"/>
      <c r="AL840" s="230"/>
      <c r="AM840" s="230"/>
      <c r="AN840" s="230"/>
    </row>
    <row r="841">
      <c r="O841" s="230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  <c r="AI841" s="230"/>
      <c r="AJ841" s="230"/>
      <c r="AK841" s="230"/>
      <c r="AL841" s="230"/>
      <c r="AM841" s="230"/>
      <c r="AN841" s="230"/>
    </row>
    <row r="842">
      <c r="O842" s="230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  <c r="AI842" s="230"/>
      <c r="AJ842" s="230"/>
      <c r="AK842" s="230"/>
      <c r="AL842" s="230"/>
      <c r="AM842" s="230"/>
      <c r="AN842" s="230"/>
    </row>
    <row r="843">
      <c r="O843" s="230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  <c r="AI843" s="230"/>
      <c r="AJ843" s="230"/>
      <c r="AK843" s="230"/>
      <c r="AL843" s="230"/>
      <c r="AM843" s="230"/>
      <c r="AN843" s="230"/>
    </row>
    <row r="844">
      <c r="O844" s="230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  <c r="AI844" s="230"/>
      <c r="AJ844" s="230"/>
      <c r="AK844" s="230"/>
      <c r="AL844" s="230"/>
      <c r="AM844" s="230"/>
      <c r="AN844" s="230"/>
    </row>
    <row r="845">
      <c r="O845" s="230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  <c r="AI845" s="230"/>
      <c r="AJ845" s="230"/>
      <c r="AK845" s="230"/>
      <c r="AL845" s="230"/>
      <c r="AM845" s="230"/>
      <c r="AN845" s="230"/>
    </row>
    <row r="846">
      <c r="O846" s="230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  <c r="AI846" s="230"/>
      <c r="AJ846" s="230"/>
      <c r="AK846" s="230"/>
      <c r="AL846" s="230"/>
      <c r="AM846" s="230"/>
      <c r="AN846" s="230"/>
    </row>
    <row r="847">
      <c r="O847" s="230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  <c r="AI847" s="230"/>
      <c r="AJ847" s="230"/>
      <c r="AK847" s="230"/>
      <c r="AL847" s="230"/>
      <c r="AM847" s="230"/>
      <c r="AN847" s="230"/>
    </row>
    <row r="848">
      <c r="O848" s="230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  <c r="AI848" s="230"/>
      <c r="AJ848" s="230"/>
      <c r="AK848" s="230"/>
      <c r="AL848" s="230"/>
      <c r="AM848" s="230"/>
      <c r="AN848" s="230"/>
    </row>
    <row r="849">
      <c r="O849" s="230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  <c r="AI849" s="230"/>
      <c r="AJ849" s="230"/>
      <c r="AK849" s="230"/>
      <c r="AL849" s="230"/>
      <c r="AM849" s="230"/>
      <c r="AN849" s="230"/>
    </row>
    <row r="850">
      <c r="O850" s="230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  <c r="AI850" s="230"/>
      <c r="AJ850" s="230"/>
      <c r="AK850" s="230"/>
      <c r="AL850" s="230"/>
      <c r="AM850" s="230"/>
      <c r="AN850" s="230"/>
    </row>
    <row r="851">
      <c r="O851" s="230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  <c r="AI851" s="230"/>
      <c r="AJ851" s="230"/>
      <c r="AK851" s="230"/>
      <c r="AL851" s="230"/>
      <c r="AM851" s="230"/>
      <c r="AN851" s="230"/>
    </row>
    <row r="852">
      <c r="O852" s="230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  <c r="AI852" s="230"/>
      <c r="AJ852" s="230"/>
      <c r="AK852" s="230"/>
      <c r="AL852" s="230"/>
      <c r="AM852" s="230"/>
      <c r="AN852" s="230"/>
    </row>
    <row r="853">
      <c r="O853" s="230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  <c r="AI853" s="230"/>
      <c r="AJ853" s="230"/>
      <c r="AK853" s="230"/>
      <c r="AL853" s="230"/>
      <c r="AM853" s="230"/>
      <c r="AN853" s="230"/>
    </row>
    <row r="854">
      <c r="O854" s="230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  <c r="AI854" s="230"/>
      <c r="AJ854" s="230"/>
      <c r="AK854" s="230"/>
      <c r="AL854" s="230"/>
      <c r="AM854" s="230"/>
      <c r="AN854" s="230"/>
    </row>
    <row r="855">
      <c r="O855" s="230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  <c r="AI855" s="230"/>
      <c r="AJ855" s="230"/>
      <c r="AK855" s="230"/>
      <c r="AL855" s="230"/>
      <c r="AM855" s="230"/>
      <c r="AN855" s="230"/>
    </row>
    <row r="856">
      <c r="O856" s="230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  <c r="AI856" s="230"/>
      <c r="AJ856" s="230"/>
      <c r="AK856" s="230"/>
      <c r="AL856" s="230"/>
      <c r="AM856" s="230"/>
      <c r="AN856" s="230"/>
    </row>
    <row r="857">
      <c r="O857" s="230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  <c r="AI857" s="230"/>
      <c r="AJ857" s="230"/>
      <c r="AK857" s="230"/>
      <c r="AL857" s="230"/>
      <c r="AM857" s="230"/>
      <c r="AN857" s="230"/>
    </row>
    <row r="858">
      <c r="O858" s="230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  <c r="AI858" s="230"/>
      <c r="AJ858" s="230"/>
      <c r="AK858" s="230"/>
      <c r="AL858" s="230"/>
      <c r="AM858" s="230"/>
      <c r="AN858" s="230"/>
    </row>
    <row r="859">
      <c r="O859" s="230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  <c r="AI859" s="230"/>
      <c r="AJ859" s="230"/>
      <c r="AK859" s="230"/>
      <c r="AL859" s="230"/>
      <c r="AM859" s="230"/>
      <c r="AN859" s="230"/>
    </row>
    <row r="860">
      <c r="O860" s="230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  <c r="AI860" s="230"/>
      <c r="AJ860" s="230"/>
      <c r="AK860" s="230"/>
      <c r="AL860" s="230"/>
      <c r="AM860" s="230"/>
      <c r="AN860" s="230"/>
    </row>
    <row r="861">
      <c r="O861" s="230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  <c r="AI861" s="230"/>
      <c r="AJ861" s="230"/>
      <c r="AK861" s="230"/>
      <c r="AL861" s="230"/>
      <c r="AM861" s="230"/>
      <c r="AN861" s="230"/>
    </row>
    <row r="862">
      <c r="O862" s="230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  <c r="AI862" s="230"/>
      <c r="AJ862" s="230"/>
      <c r="AK862" s="230"/>
      <c r="AL862" s="230"/>
      <c r="AM862" s="230"/>
      <c r="AN862" s="230"/>
    </row>
    <row r="863">
      <c r="O863" s="230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  <c r="AI863" s="230"/>
      <c r="AJ863" s="230"/>
      <c r="AK863" s="230"/>
      <c r="AL863" s="230"/>
      <c r="AM863" s="230"/>
      <c r="AN863" s="230"/>
    </row>
    <row r="864">
      <c r="O864" s="230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  <c r="AI864" s="230"/>
      <c r="AJ864" s="230"/>
      <c r="AK864" s="230"/>
      <c r="AL864" s="230"/>
      <c r="AM864" s="230"/>
      <c r="AN864" s="230"/>
    </row>
    <row r="865">
      <c r="O865" s="230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  <c r="AI865" s="230"/>
      <c r="AJ865" s="230"/>
      <c r="AK865" s="230"/>
      <c r="AL865" s="230"/>
      <c r="AM865" s="230"/>
      <c r="AN865" s="230"/>
    </row>
    <row r="866">
      <c r="O866" s="230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  <c r="AI866" s="230"/>
      <c r="AJ866" s="230"/>
      <c r="AK866" s="230"/>
      <c r="AL866" s="230"/>
      <c r="AM866" s="230"/>
      <c r="AN866" s="230"/>
    </row>
    <row r="867">
      <c r="O867" s="230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  <c r="AI867" s="230"/>
      <c r="AJ867" s="230"/>
      <c r="AK867" s="230"/>
      <c r="AL867" s="230"/>
      <c r="AM867" s="230"/>
      <c r="AN867" s="230"/>
    </row>
    <row r="868">
      <c r="O868" s="230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  <c r="AI868" s="230"/>
      <c r="AJ868" s="230"/>
      <c r="AK868" s="230"/>
      <c r="AL868" s="230"/>
      <c r="AM868" s="230"/>
      <c r="AN868" s="230"/>
    </row>
    <row r="869">
      <c r="O869" s="230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  <c r="AI869" s="230"/>
      <c r="AJ869" s="230"/>
      <c r="AK869" s="230"/>
      <c r="AL869" s="230"/>
      <c r="AM869" s="230"/>
      <c r="AN869" s="230"/>
    </row>
    <row r="870">
      <c r="O870" s="230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  <c r="AI870" s="230"/>
      <c r="AJ870" s="230"/>
      <c r="AK870" s="230"/>
      <c r="AL870" s="230"/>
      <c r="AM870" s="230"/>
      <c r="AN870" s="230"/>
    </row>
    <row r="871">
      <c r="O871" s="230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  <c r="AI871" s="230"/>
      <c r="AJ871" s="230"/>
      <c r="AK871" s="230"/>
      <c r="AL871" s="230"/>
      <c r="AM871" s="230"/>
      <c r="AN871" s="230"/>
    </row>
    <row r="872">
      <c r="O872" s="230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  <c r="AI872" s="230"/>
      <c r="AJ872" s="230"/>
      <c r="AK872" s="230"/>
      <c r="AL872" s="230"/>
      <c r="AM872" s="230"/>
      <c r="AN872" s="230"/>
    </row>
    <row r="873">
      <c r="O873" s="230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  <c r="AI873" s="230"/>
      <c r="AJ873" s="230"/>
      <c r="AK873" s="230"/>
      <c r="AL873" s="230"/>
      <c r="AM873" s="230"/>
      <c r="AN873" s="230"/>
    </row>
    <row r="874">
      <c r="O874" s="230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  <c r="AI874" s="230"/>
      <c r="AJ874" s="230"/>
      <c r="AK874" s="230"/>
      <c r="AL874" s="230"/>
      <c r="AM874" s="230"/>
      <c r="AN874" s="230"/>
    </row>
    <row r="875">
      <c r="O875" s="230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  <c r="AI875" s="230"/>
      <c r="AJ875" s="230"/>
      <c r="AK875" s="230"/>
      <c r="AL875" s="230"/>
      <c r="AM875" s="230"/>
      <c r="AN875" s="230"/>
    </row>
    <row r="876">
      <c r="O876" s="230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  <c r="AI876" s="230"/>
      <c r="AJ876" s="230"/>
      <c r="AK876" s="230"/>
      <c r="AL876" s="230"/>
      <c r="AM876" s="230"/>
      <c r="AN876" s="230"/>
    </row>
    <row r="877">
      <c r="O877" s="230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  <c r="AI877" s="230"/>
      <c r="AJ877" s="230"/>
      <c r="AK877" s="230"/>
      <c r="AL877" s="230"/>
      <c r="AM877" s="230"/>
      <c r="AN877" s="230"/>
    </row>
    <row r="878">
      <c r="O878" s="230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  <c r="AI878" s="230"/>
      <c r="AJ878" s="230"/>
      <c r="AK878" s="230"/>
      <c r="AL878" s="230"/>
      <c r="AM878" s="230"/>
      <c r="AN878" s="230"/>
    </row>
    <row r="879">
      <c r="O879" s="230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  <c r="AI879" s="230"/>
      <c r="AJ879" s="230"/>
      <c r="AK879" s="230"/>
      <c r="AL879" s="230"/>
      <c r="AM879" s="230"/>
      <c r="AN879" s="230"/>
    </row>
    <row r="880">
      <c r="O880" s="230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  <c r="AI880" s="230"/>
      <c r="AJ880" s="230"/>
      <c r="AK880" s="230"/>
      <c r="AL880" s="230"/>
      <c r="AM880" s="230"/>
      <c r="AN880" s="230"/>
    </row>
    <row r="881">
      <c r="O881" s="230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  <c r="AI881" s="230"/>
      <c r="AJ881" s="230"/>
      <c r="AK881" s="230"/>
      <c r="AL881" s="230"/>
      <c r="AM881" s="230"/>
      <c r="AN881" s="230"/>
    </row>
    <row r="882">
      <c r="O882" s="230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  <c r="AI882" s="230"/>
      <c r="AJ882" s="230"/>
      <c r="AK882" s="230"/>
      <c r="AL882" s="230"/>
      <c r="AM882" s="230"/>
      <c r="AN882" s="230"/>
    </row>
    <row r="883">
      <c r="O883" s="230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  <c r="AI883" s="230"/>
      <c r="AJ883" s="230"/>
      <c r="AK883" s="230"/>
      <c r="AL883" s="230"/>
      <c r="AM883" s="230"/>
      <c r="AN883" s="230"/>
    </row>
    <row r="884">
      <c r="O884" s="230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  <c r="AI884" s="230"/>
      <c r="AJ884" s="230"/>
      <c r="AK884" s="230"/>
      <c r="AL884" s="230"/>
      <c r="AM884" s="230"/>
      <c r="AN884" s="230"/>
    </row>
    <row r="885">
      <c r="O885" s="230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  <c r="AI885" s="230"/>
      <c r="AJ885" s="230"/>
      <c r="AK885" s="230"/>
      <c r="AL885" s="230"/>
      <c r="AM885" s="230"/>
      <c r="AN885" s="230"/>
    </row>
    <row r="886">
      <c r="O886" s="230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  <c r="AI886" s="230"/>
      <c r="AJ886" s="230"/>
      <c r="AK886" s="230"/>
      <c r="AL886" s="230"/>
      <c r="AM886" s="230"/>
      <c r="AN886" s="230"/>
    </row>
    <row r="887">
      <c r="O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  <c r="AI887" s="230"/>
      <c r="AJ887" s="230"/>
      <c r="AK887" s="230"/>
      <c r="AL887" s="230"/>
      <c r="AM887" s="230"/>
      <c r="AN887" s="230"/>
    </row>
    <row r="888">
      <c r="O888" s="230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  <c r="AI888" s="230"/>
      <c r="AJ888" s="230"/>
      <c r="AK888" s="230"/>
      <c r="AL888" s="230"/>
      <c r="AM888" s="230"/>
      <c r="AN888" s="230"/>
    </row>
    <row r="889">
      <c r="O889" s="230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  <c r="AI889" s="230"/>
      <c r="AJ889" s="230"/>
      <c r="AK889" s="230"/>
      <c r="AL889" s="230"/>
      <c r="AM889" s="230"/>
      <c r="AN889" s="230"/>
    </row>
    <row r="890">
      <c r="O890" s="230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  <c r="AI890" s="230"/>
      <c r="AJ890" s="230"/>
      <c r="AK890" s="230"/>
      <c r="AL890" s="230"/>
      <c r="AM890" s="230"/>
      <c r="AN890" s="230"/>
    </row>
    <row r="891">
      <c r="O891" s="230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  <c r="AI891" s="230"/>
      <c r="AJ891" s="230"/>
      <c r="AK891" s="230"/>
      <c r="AL891" s="230"/>
      <c r="AM891" s="230"/>
      <c r="AN891" s="230"/>
    </row>
    <row r="892">
      <c r="O892" s="230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  <c r="AI892" s="230"/>
      <c r="AJ892" s="230"/>
      <c r="AK892" s="230"/>
      <c r="AL892" s="230"/>
      <c r="AM892" s="230"/>
      <c r="AN892" s="230"/>
    </row>
    <row r="893">
      <c r="O893" s="230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  <c r="AI893" s="230"/>
      <c r="AJ893" s="230"/>
      <c r="AK893" s="230"/>
      <c r="AL893" s="230"/>
      <c r="AM893" s="230"/>
      <c r="AN893" s="230"/>
    </row>
    <row r="894">
      <c r="O894" s="230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  <c r="AI894" s="230"/>
      <c r="AJ894" s="230"/>
      <c r="AK894" s="230"/>
      <c r="AL894" s="230"/>
      <c r="AM894" s="230"/>
      <c r="AN894" s="230"/>
    </row>
    <row r="895">
      <c r="O895" s="230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  <c r="AI895" s="230"/>
      <c r="AJ895" s="230"/>
      <c r="AK895" s="230"/>
      <c r="AL895" s="230"/>
      <c r="AM895" s="230"/>
      <c r="AN895" s="230"/>
    </row>
    <row r="896">
      <c r="O896" s="230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  <c r="AI896" s="230"/>
      <c r="AJ896" s="230"/>
      <c r="AK896" s="230"/>
      <c r="AL896" s="230"/>
      <c r="AM896" s="230"/>
      <c r="AN896" s="230"/>
    </row>
    <row r="897">
      <c r="O897" s="230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  <c r="AI897" s="230"/>
      <c r="AJ897" s="230"/>
      <c r="AK897" s="230"/>
      <c r="AL897" s="230"/>
      <c r="AM897" s="230"/>
      <c r="AN897" s="230"/>
    </row>
    <row r="898">
      <c r="O898" s="230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  <c r="AI898" s="230"/>
      <c r="AJ898" s="230"/>
      <c r="AK898" s="230"/>
      <c r="AL898" s="230"/>
      <c r="AM898" s="230"/>
      <c r="AN898" s="230"/>
    </row>
    <row r="899">
      <c r="O899" s="230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  <c r="AI899" s="230"/>
      <c r="AJ899" s="230"/>
      <c r="AK899" s="230"/>
      <c r="AL899" s="230"/>
      <c r="AM899" s="230"/>
      <c r="AN899" s="230"/>
    </row>
    <row r="900">
      <c r="O900" s="230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  <c r="AI900" s="230"/>
      <c r="AJ900" s="230"/>
      <c r="AK900" s="230"/>
      <c r="AL900" s="230"/>
      <c r="AM900" s="230"/>
      <c r="AN900" s="230"/>
    </row>
    <row r="901">
      <c r="O901" s="230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  <c r="AI901" s="230"/>
      <c r="AJ901" s="230"/>
      <c r="AK901" s="230"/>
      <c r="AL901" s="230"/>
      <c r="AM901" s="230"/>
      <c r="AN901" s="230"/>
    </row>
    <row r="902">
      <c r="O902" s="230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  <c r="AI902" s="230"/>
      <c r="AJ902" s="230"/>
      <c r="AK902" s="230"/>
      <c r="AL902" s="230"/>
      <c r="AM902" s="230"/>
      <c r="AN902" s="230"/>
    </row>
    <row r="903">
      <c r="O903" s="230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  <c r="AI903" s="230"/>
      <c r="AJ903" s="230"/>
      <c r="AK903" s="230"/>
      <c r="AL903" s="230"/>
      <c r="AM903" s="230"/>
      <c r="AN903" s="230"/>
    </row>
    <row r="904">
      <c r="O904" s="230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  <c r="AI904" s="230"/>
      <c r="AJ904" s="230"/>
      <c r="AK904" s="230"/>
      <c r="AL904" s="230"/>
      <c r="AM904" s="230"/>
      <c r="AN904" s="230"/>
    </row>
    <row r="905">
      <c r="O905" s="230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  <c r="AI905" s="230"/>
      <c r="AJ905" s="230"/>
      <c r="AK905" s="230"/>
      <c r="AL905" s="230"/>
      <c r="AM905" s="230"/>
      <c r="AN905" s="230"/>
    </row>
    <row r="906">
      <c r="O906" s="230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  <c r="AI906" s="230"/>
      <c r="AJ906" s="230"/>
      <c r="AK906" s="230"/>
      <c r="AL906" s="230"/>
      <c r="AM906" s="230"/>
      <c r="AN906" s="230"/>
    </row>
    <row r="907">
      <c r="O907" s="230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  <c r="AI907" s="230"/>
      <c r="AJ907" s="230"/>
      <c r="AK907" s="230"/>
      <c r="AL907" s="230"/>
      <c r="AM907" s="230"/>
      <c r="AN907" s="230"/>
    </row>
    <row r="908">
      <c r="O908" s="230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  <c r="AI908" s="230"/>
      <c r="AJ908" s="230"/>
      <c r="AK908" s="230"/>
      <c r="AL908" s="230"/>
      <c r="AM908" s="230"/>
      <c r="AN908" s="230"/>
    </row>
    <row r="909">
      <c r="O909" s="230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  <c r="AI909" s="230"/>
      <c r="AJ909" s="230"/>
      <c r="AK909" s="230"/>
      <c r="AL909" s="230"/>
      <c r="AM909" s="230"/>
      <c r="AN909" s="230"/>
    </row>
    <row r="910">
      <c r="O910" s="230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  <c r="AI910" s="230"/>
      <c r="AJ910" s="230"/>
      <c r="AK910" s="230"/>
      <c r="AL910" s="230"/>
      <c r="AM910" s="230"/>
      <c r="AN910" s="230"/>
    </row>
    <row r="911">
      <c r="O911" s="230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  <c r="AI911" s="230"/>
      <c r="AJ911" s="230"/>
      <c r="AK911" s="230"/>
      <c r="AL911" s="230"/>
      <c r="AM911" s="230"/>
      <c r="AN911" s="230"/>
    </row>
    <row r="912">
      <c r="O912" s="230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  <c r="AI912" s="230"/>
      <c r="AJ912" s="230"/>
      <c r="AK912" s="230"/>
      <c r="AL912" s="230"/>
      <c r="AM912" s="230"/>
      <c r="AN912" s="230"/>
    </row>
    <row r="913">
      <c r="O913" s="230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  <c r="AI913" s="230"/>
      <c r="AJ913" s="230"/>
      <c r="AK913" s="230"/>
      <c r="AL913" s="230"/>
      <c r="AM913" s="230"/>
      <c r="AN913" s="230"/>
    </row>
    <row r="914">
      <c r="O914" s="230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  <c r="AI914" s="230"/>
      <c r="AJ914" s="230"/>
      <c r="AK914" s="230"/>
      <c r="AL914" s="230"/>
      <c r="AM914" s="230"/>
      <c r="AN914" s="230"/>
    </row>
    <row r="915">
      <c r="O915" s="230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  <c r="AI915" s="230"/>
      <c r="AJ915" s="230"/>
      <c r="AK915" s="230"/>
      <c r="AL915" s="230"/>
      <c r="AM915" s="230"/>
      <c r="AN915" s="230"/>
    </row>
    <row r="916">
      <c r="O916" s="230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  <c r="AI916" s="230"/>
      <c r="AJ916" s="230"/>
      <c r="AK916" s="230"/>
      <c r="AL916" s="230"/>
      <c r="AM916" s="230"/>
      <c r="AN916" s="230"/>
    </row>
    <row r="917">
      <c r="O917" s="230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  <c r="AI917" s="230"/>
      <c r="AJ917" s="230"/>
      <c r="AK917" s="230"/>
      <c r="AL917" s="230"/>
      <c r="AM917" s="230"/>
      <c r="AN917" s="230"/>
    </row>
    <row r="918">
      <c r="O918" s="230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  <c r="AI918" s="230"/>
      <c r="AJ918" s="230"/>
      <c r="AK918" s="230"/>
      <c r="AL918" s="230"/>
      <c r="AM918" s="230"/>
      <c r="AN918" s="230"/>
    </row>
    <row r="919">
      <c r="O919" s="230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  <c r="AI919" s="230"/>
      <c r="AJ919" s="230"/>
      <c r="AK919" s="230"/>
      <c r="AL919" s="230"/>
      <c r="AM919" s="230"/>
      <c r="AN919" s="230"/>
    </row>
    <row r="920">
      <c r="O920" s="230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  <c r="AI920" s="230"/>
      <c r="AJ920" s="230"/>
      <c r="AK920" s="230"/>
      <c r="AL920" s="230"/>
      <c r="AM920" s="230"/>
      <c r="AN920" s="230"/>
    </row>
    <row r="921">
      <c r="O921" s="230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  <c r="AI921" s="230"/>
      <c r="AJ921" s="230"/>
      <c r="AK921" s="230"/>
      <c r="AL921" s="230"/>
      <c r="AM921" s="230"/>
      <c r="AN921" s="230"/>
    </row>
    <row r="922">
      <c r="O922" s="230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  <c r="AI922" s="230"/>
      <c r="AJ922" s="230"/>
      <c r="AK922" s="230"/>
      <c r="AL922" s="230"/>
      <c r="AM922" s="230"/>
      <c r="AN922" s="230"/>
    </row>
    <row r="923">
      <c r="O923" s="230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  <c r="AJ923" s="230"/>
      <c r="AK923" s="230"/>
      <c r="AL923" s="230"/>
      <c r="AM923" s="230"/>
      <c r="AN923" s="230"/>
    </row>
    <row r="924">
      <c r="O924" s="230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  <c r="AI924" s="230"/>
      <c r="AJ924" s="230"/>
      <c r="AK924" s="230"/>
      <c r="AL924" s="230"/>
      <c r="AM924" s="230"/>
      <c r="AN924" s="230"/>
    </row>
    <row r="925">
      <c r="O925" s="230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  <c r="AI925" s="230"/>
      <c r="AJ925" s="230"/>
      <c r="AK925" s="230"/>
      <c r="AL925" s="230"/>
      <c r="AM925" s="230"/>
      <c r="AN925" s="230"/>
    </row>
    <row r="926">
      <c r="O926" s="230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  <c r="AI926" s="230"/>
      <c r="AJ926" s="230"/>
      <c r="AK926" s="230"/>
      <c r="AL926" s="230"/>
      <c r="AM926" s="230"/>
      <c r="AN926" s="230"/>
    </row>
    <row r="927">
      <c r="O927" s="230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  <c r="AI927" s="230"/>
      <c r="AJ927" s="230"/>
      <c r="AK927" s="230"/>
      <c r="AL927" s="230"/>
      <c r="AM927" s="230"/>
      <c r="AN927" s="230"/>
    </row>
    <row r="928">
      <c r="O928" s="230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  <c r="AI928" s="230"/>
      <c r="AJ928" s="230"/>
      <c r="AK928" s="230"/>
      <c r="AL928" s="230"/>
      <c r="AM928" s="230"/>
      <c r="AN928" s="230"/>
    </row>
    <row r="929">
      <c r="O929" s="230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  <c r="AI929" s="230"/>
      <c r="AJ929" s="230"/>
      <c r="AK929" s="230"/>
      <c r="AL929" s="230"/>
      <c r="AM929" s="230"/>
      <c r="AN929" s="230"/>
    </row>
    <row r="930">
      <c r="O930" s="230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  <c r="AI930" s="230"/>
      <c r="AJ930" s="230"/>
      <c r="AK930" s="230"/>
      <c r="AL930" s="230"/>
      <c r="AM930" s="230"/>
      <c r="AN930" s="230"/>
    </row>
    <row r="931">
      <c r="O931" s="230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  <c r="AI931" s="230"/>
      <c r="AJ931" s="230"/>
      <c r="AK931" s="230"/>
      <c r="AL931" s="230"/>
      <c r="AM931" s="230"/>
      <c r="AN931" s="230"/>
    </row>
    <row r="932">
      <c r="O932" s="230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  <c r="AI932" s="230"/>
      <c r="AJ932" s="230"/>
      <c r="AK932" s="230"/>
      <c r="AL932" s="230"/>
      <c r="AM932" s="230"/>
      <c r="AN932" s="230"/>
    </row>
    <row r="933">
      <c r="O933" s="230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  <c r="AJ933" s="230"/>
      <c r="AK933" s="230"/>
      <c r="AL933" s="230"/>
      <c r="AM933" s="230"/>
      <c r="AN933" s="230"/>
    </row>
    <row r="934">
      <c r="O934" s="230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  <c r="AJ934" s="230"/>
      <c r="AK934" s="230"/>
      <c r="AL934" s="230"/>
      <c r="AM934" s="230"/>
      <c r="AN934" s="230"/>
    </row>
    <row r="935">
      <c r="O935" s="230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  <c r="AJ935" s="230"/>
      <c r="AK935" s="230"/>
      <c r="AL935" s="230"/>
      <c r="AM935" s="230"/>
      <c r="AN935" s="230"/>
    </row>
    <row r="936">
      <c r="O936" s="230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  <c r="AJ936" s="230"/>
      <c r="AK936" s="230"/>
      <c r="AL936" s="230"/>
      <c r="AM936" s="230"/>
      <c r="AN936" s="230"/>
    </row>
    <row r="937">
      <c r="O937" s="230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  <c r="AJ937" s="230"/>
      <c r="AK937" s="230"/>
      <c r="AL937" s="230"/>
      <c r="AM937" s="230"/>
      <c r="AN937" s="230"/>
    </row>
    <row r="938">
      <c r="O938" s="230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  <c r="AJ938" s="230"/>
      <c r="AK938" s="230"/>
      <c r="AL938" s="230"/>
      <c r="AM938" s="230"/>
      <c r="AN938" s="230"/>
    </row>
    <row r="939">
      <c r="O939" s="230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  <c r="AJ939" s="230"/>
      <c r="AK939" s="230"/>
      <c r="AL939" s="230"/>
      <c r="AM939" s="230"/>
      <c r="AN939" s="230"/>
    </row>
    <row r="940">
      <c r="O940" s="230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  <c r="AJ940" s="230"/>
      <c r="AK940" s="230"/>
      <c r="AL940" s="230"/>
      <c r="AM940" s="230"/>
      <c r="AN940" s="230"/>
    </row>
    <row r="941">
      <c r="O941" s="230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  <c r="AJ941" s="230"/>
      <c r="AK941" s="230"/>
      <c r="AL941" s="230"/>
      <c r="AM941" s="230"/>
      <c r="AN941" s="230"/>
    </row>
    <row r="942">
      <c r="O942" s="230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  <c r="AJ942" s="230"/>
      <c r="AK942" s="230"/>
      <c r="AL942" s="230"/>
      <c r="AM942" s="230"/>
      <c r="AN942" s="230"/>
    </row>
    <row r="943">
      <c r="O943" s="230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  <c r="AJ943" s="230"/>
      <c r="AK943" s="230"/>
      <c r="AL943" s="230"/>
      <c r="AM943" s="230"/>
      <c r="AN943" s="230"/>
    </row>
    <row r="944">
      <c r="O944" s="230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  <c r="AJ944" s="230"/>
      <c r="AK944" s="230"/>
      <c r="AL944" s="230"/>
      <c r="AM944" s="230"/>
      <c r="AN944" s="230"/>
    </row>
    <row r="945">
      <c r="O945" s="230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  <c r="AJ945" s="230"/>
      <c r="AK945" s="230"/>
      <c r="AL945" s="230"/>
      <c r="AM945" s="230"/>
      <c r="AN945" s="230"/>
    </row>
    <row r="946">
      <c r="O946" s="230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  <c r="AJ946" s="230"/>
      <c r="AK946" s="230"/>
      <c r="AL946" s="230"/>
      <c r="AM946" s="230"/>
      <c r="AN946" s="230"/>
    </row>
    <row r="947">
      <c r="O947" s="230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  <c r="AJ947" s="230"/>
      <c r="AK947" s="230"/>
      <c r="AL947" s="230"/>
      <c r="AM947" s="230"/>
      <c r="AN947" s="230"/>
    </row>
    <row r="948">
      <c r="O948" s="230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  <c r="AI948" s="230"/>
      <c r="AJ948" s="230"/>
      <c r="AK948" s="230"/>
      <c r="AL948" s="230"/>
      <c r="AM948" s="230"/>
      <c r="AN948" s="230"/>
    </row>
    <row r="949">
      <c r="O949" s="230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  <c r="AI949" s="230"/>
      <c r="AJ949" s="230"/>
      <c r="AK949" s="230"/>
      <c r="AL949" s="230"/>
      <c r="AM949" s="230"/>
      <c r="AN949" s="230"/>
    </row>
    <row r="950">
      <c r="O950" s="230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  <c r="AI950" s="230"/>
      <c r="AJ950" s="230"/>
      <c r="AK950" s="230"/>
      <c r="AL950" s="230"/>
      <c r="AM950" s="230"/>
      <c r="AN950" s="230"/>
    </row>
    <row r="951">
      <c r="O951" s="230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  <c r="AI951" s="230"/>
      <c r="AJ951" s="230"/>
      <c r="AK951" s="230"/>
      <c r="AL951" s="230"/>
      <c r="AM951" s="230"/>
      <c r="AN951" s="230"/>
    </row>
    <row r="952">
      <c r="O952" s="230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  <c r="AI952" s="230"/>
      <c r="AJ952" s="230"/>
      <c r="AK952" s="230"/>
      <c r="AL952" s="230"/>
      <c r="AM952" s="230"/>
      <c r="AN952" s="230"/>
    </row>
    <row r="953">
      <c r="O953" s="230"/>
      <c r="R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  <c r="AI953" s="230"/>
      <c r="AJ953" s="230"/>
      <c r="AK953" s="230"/>
      <c r="AL953" s="230"/>
      <c r="AM953" s="230"/>
      <c r="AN953" s="230"/>
    </row>
    <row r="954">
      <c r="O954" s="230"/>
      <c r="R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  <c r="AI954" s="230"/>
      <c r="AJ954" s="230"/>
      <c r="AK954" s="230"/>
      <c r="AL954" s="230"/>
      <c r="AM954" s="230"/>
      <c r="AN954" s="230"/>
    </row>
    <row r="955">
      <c r="O955" s="230"/>
      <c r="R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  <c r="AI955" s="230"/>
      <c r="AJ955" s="230"/>
      <c r="AK955" s="230"/>
      <c r="AL955" s="230"/>
      <c r="AM955" s="230"/>
      <c r="AN955" s="230"/>
    </row>
    <row r="956">
      <c r="O956" s="230"/>
      <c r="R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  <c r="AI956" s="230"/>
      <c r="AJ956" s="230"/>
      <c r="AK956" s="230"/>
      <c r="AL956" s="230"/>
      <c r="AM956" s="230"/>
      <c r="AN956" s="230"/>
    </row>
    <row r="957">
      <c r="O957" s="230"/>
      <c r="R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  <c r="AI957" s="230"/>
      <c r="AJ957" s="230"/>
      <c r="AK957" s="230"/>
      <c r="AL957" s="230"/>
      <c r="AM957" s="230"/>
      <c r="AN957" s="230"/>
    </row>
    <row r="958">
      <c r="O958" s="230"/>
      <c r="R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  <c r="AI958" s="230"/>
      <c r="AJ958" s="230"/>
      <c r="AK958" s="230"/>
      <c r="AL958" s="230"/>
      <c r="AM958" s="230"/>
      <c r="AN958" s="230"/>
    </row>
    <row r="959">
      <c r="O959" s="230"/>
      <c r="R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  <c r="AI959" s="230"/>
      <c r="AJ959" s="230"/>
      <c r="AK959" s="230"/>
      <c r="AL959" s="230"/>
      <c r="AM959" s="230"/>
      <c r="AN959" s="230"/>
    </row>
    <row r="960">
      <c r="O960" s="230"/>
      <c r="R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  <c r="AI960" s="230"/>
      <c r="AJ960" s="230"/>
      <c r="AK960" s="230"/>
      <c r="AL960" s="230"/>
      <c r="AM960" s="230"/>
      <c r="AN960" s="230"/>
    </row>
    <row r="961">
      <c r="O961" s="230"/>
      <c r="R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  <c r="AI961" s="230"/>
      <c r="AJ961" s="230"/>
      <c r="AK961" s="230"/>
      <c r="AL961" s="230"/>
      <c r="AM961" s="230"/>
      <c r="AN961" s="230"/>
    </row>
    <row r="962">
      <c r="O962" s="230"/>
      <c r="R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  <c r="AI962" s="230"/>
      <c r="AJ962" s="230"/>
      <c r="AK962" s="230"/>
      <c r="AL962" s="230"/>
      <c r="AM962" s="230"/>
      <c r="AN962" s="230"/>
    </row>
    <row r="963">
      <c r="O963" s="230"/>
      <c r="R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  <c r="AI963" s="230"/>
      <c r="AJ963" s="230"/>
      <c r="AK963" s="230"/>
      <c r="AL963" s="230"/>
      <c r="AM963" s="230"/>
      <c r="AN963" s="230"/>
    </row>
    <row r="964">
      <c r="O964" s="230"/>
      <c r="R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  <c r="AI964" s="230"/>
      <c r="AJ964" s="230"/>
      <c r="AK964" s="230"/>
      <c r="AL964" s="230"/>
      <c r="AM964" s="230"/>
      <c r="AN964" s="230"/>
    </row>
    <row r="965">
      <c r="O965" s="230"/>
      <c r="R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  <c r="AI965" s="230"/>
      <c r="AJ965" s="230"/>
      <c r="AK965" s="230"/>
      <c r="AL965" s="230"/>
      <c r="AM965" s="230"/>
      <c r="AN965" s="230"/>
    </row>
    <row r="966">
      <c r="O966" s="230"/>
      <c r="R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  <c r="AI966" s="230"/>
      <c r="AJ966" s="230"/>
      <c r="AK966" s="230"/>
      <c r="AL966" s="230"/>
      <c r="AM966" s="230"/>
      <c r="AN966" s="230"/>
    </row>
    <row r="967">
      <c r="O967" s="230"/>
      <c r="R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  <c r="AI967" s="230"/>
      <c r="AJ967" s="230"/>
      <c r="AK967" s="230"/>
      <c r="AL967" s="230"/>
      <c r="AM967" s="230"/>
      <c r="AN967" s="230"/>
    </row>
    <row r="968">
      <c r="O968" s="230"/>
      <c r="R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  <c r="AI968" s="230"/>
      <c r="AJ968" s="230"/>
      <c r="AK968" s="230"/>
      <c r="AL968" s="230"/>
      <c r="AM968" s="230"/>
      <c r="AN968" s="230"/>
    </row>
    <row r="969">
      <c r="O969" s="230"/>
      <c r="R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  <c r="AI969" s="230"/>
      <c r="AJ969" s="230"/>
      <c r="AK969" s="230"/>
      <c r="AL969" s="230"/>
      <c r="AM969" s="230"/>
      <c r="AN969" s="230"/>
    </row>
    <row r="970">
      <c r="O970" s="230"/>
      <c r="R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  <c r="AI970" s="230"/>
      <c r="AJ970" s="230"/>
      <c r="AK970" s="230"/>
      <c r="AL970" s="230"/>
      <c r="AM970" s="230"/>
      <c r="AN970" s="230"/>
    </row>
    <row r="971">
      <c r="O971" s="230"/>
      <c r="R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  <c r="AI971" s="230"/>
      <c r="AJ971" s="230"/>
      <c r="AK971" s="230"/>
      <c r="AL971" s="230"/>
      <c r="AM971" s="230"/>
      <c r="AN971" s="230"/>
    </row>
    <row r="972">
      <c r="O972" s="230"/>
      <c r="R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  <c r="AI972" s="230"/>
      <c r="AJ972" s="230"/>
      <c r="AK972" s="230"/>
      <c r="AL972" s="230"/>
      <c r="AM972" s="230"/>
      <c r="AN972" s="230"/>
    </row>
    <row r="973">
      <c r="O973" s="230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  <c r="AI973" s="230"/>
      <c r="AJ973" s="230"/>
      <c r="AK973" s="230"/>
      <c r="AL973" s="230"/>
      <c r="AM973" s="230"/>
      <c r="AN973" s="230"/>
    </row>
    <row r="974">
      <c r="O974" s="230"/>
      <c r="R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  <c r="AI974" s="230"/>
      <c r="AJ974" s="230"/>
      <c r="AK974" s="230"/>
      <c r="AL974" s="230"/>
      <c r="AM974" s="230"/>
      <c r="AN974" s="230"/>
    </row>
    <row r="975">
      <c r="O975" s="230"/>
      <c r="R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  <c r="AI975" s="230"/>
      <c r="AJ975" s="230"/>
      <c r="AK975" s="230"/>
      <c r="AL975" s="230"/>
      <c r="AM975" s="230"/>
      <c r="AN975" s="230"/>
    </row>
    <row r="976">
      <c r="O976" s="230"/>
      <c r="R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  <c r="AI976" s="230"/>
      <c r="AJ976" s="230"/>
      <c r="AK976" s="230"/>
      <c r="AL976" s="230"/>
      <c r="AM976" s="230"/>
      <c r="AN976" s="230"/>
    </row>
    <row r="977">
      <c r="O977" s="230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  <c r="AI977" s="230"/>
      <c r="AJ977" s="230"/>
      <c r="AK977" s="230"/>
      <c r="AL977" s="230"/>
      <c r="AM977" s="230"/>
      <c r="AN977" s="230"/>
    </row>
    <row r="978">
      <c r="O978" s="230"/>
      <c r="R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  <c r="AI978" s="230"/>
      <c r="AJ978" s="230"/>
      <c r="AK978" s="230"/>
      <c r="AL978" s="230"/>
      <c r="AM978" s="230"/>
      <c r="AN978" s="230"/>
    </row>
    <row r="979">
      <c r="O979" s="230"/>
      <c r="R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  <c r="AI979" s="230"/>
      <c r="AJ979" s="230"/>
      <c r="AK979" s="230"/>
      <c r="AL979" s="230"/>
      <c r="AM979" s="230"/>
      <c r="AN979" s="230"/>
    </row>
    <row r="980">
      <c r="O980" s="230"/>
      <c r="R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  <c r="AI980" s="230"/>
      <c r="AJ980" s="230"/>
      <c r="AK980" s="230"/>
      <c r="AL980" s="230"/>
      <c r="AM980" s="230"/>
      <c r="AN980" s="230"/>
    </row>
    <row r="981">
      <c r="O981" s="230"/>
      <c r="R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  <c r="AI981" s="230"/>
      <c r="AJ981" s="230"/>
      <c r="AK981" s="230"/>
      <c r="AL981" s="230"/>
      <c r="AM981" s="230"/>
      <c r="AN981" s="230"/>
    </row>
    <row r="982">
      <c r="O982" s="230"/>
      <c r="R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  <c r="AI982" s="230"/>
      <c r="AJ982" s="230"/>
      <c r="AK982" s="230"/>
      <c r="AL982" s="230"/>
      <c r="AM982" s="230"/>
      <c r="AN982" s="230"/>
    </row>
    <row r="983">
      <c r="O983" s="230"/>
      <c r="R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  <c r="AI983" s="230"/>
      <c r="AJ983" s="230"/>
      <c r="AK983" s="230"/>
      <c r="AL983" s="230"/>
      <c r="AM983" s="230"/>
      <c r="AN983" s="230"/>
    </row>
    <row r="984">
      <c r="O984" s="230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  <c r="AI984" s="230"/>
      <c r="AJ984" s="230"/>
      <c r="AK984" s="230"/>
      <c r="AL984" s="230"/>
      <c r="AM984" s="230"/>
      <c r="AN984" s="230"/>
    </row>
    <row r="985">
      <c r="O985" s="230"/>
      <c r="R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  <c r="AI985" s="230"/>
      <c r="AJ985" s="230"/>
      <c r="AK985" s="230"/>
      <c r="AL985" s="230"/>
      <c r="AM985" s="230"/>
      <c r="AN985" s="230"/>
    </row>
    <row r="986">
      <c r="O986" s="230"/>
      <c r="R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  <c r="AI986" s="230"/>
      <c r="AJ986" s="230"/>
      <c r="AK986" s="230"/>
      <c r="AL986" s="230"/>
      <c r="AM986" s="230"/>
      <c r="AN986" s="230"/>
    </row>
    <row r="987">
      <c r="O987" s="230"/>
      <c r="R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  <c r="AI987" s="230"/>
      <c r="AJ987" s="230"/>
      <c r="AK987" s="230"/>
      <c r="AL987" s="230"/>
      <c r="AM987" s="230"/>
      <c r="AN987" s="230"/>
    </row>
    <row r="988">
      <c r="O988" s="230"/>
      <c r="R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  <c r="AI988" s="230"/>
      <c r="AJ988" s="230"/>
      <c r="AK988" s="230"/>
      <c r="AL988" s="230"/>
      <c r="AM988" s="230"/>
      <c r="AN988" s="230"/>
    </row>
    <row r="989">
      <c r="O989" s="230"/>
      <c r="R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  <c r="AI989" s="230"/>
      <c r="AJ989" s="230"/>
      <c r="AK989" s="230"/>
      <c r="AL989" s="230"/>
      <c r="AM989" s="230"/>
      <c r="AN989" s="230"/>
    </row>
    <row r="990">
      <c r="O990" s="230"/>
      <c r="R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  <c r="AI990" s="230"/>
      <c r="AJ990" s="230"/>
      <c r="AK990" s="230"/>
      <c r="AL990" s="230"/>
      <c r="AM990" s="230"/>
      <c r="AN990" s="230"/>
    </row>
    <row r="991">
      <c r="O991" s="230"/>
      <c r="R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  <c r="AI991" s="230"/>
      <c r="AJ991" s="230"/>
      <c r="AK991" s="230"/>
      <c r="AL991" s="230"/>
      <c r="AM991" s="230"/>
      <c r="AN991" s="230"/>
    </row>
    <row r="992">
      <c r="O992" s="230"/>
      <c r="R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  <c r="AI992" s="230"/>
      <c r="AJ992" s="230"/>
      <c r="AK992" s="230"/>
      <c r="AL992" s="230"/>
      <c r="AM992" s="230"/>
      <c r="AN992" s="230"/>
    </row>
    <row r="993">
      <c r="O993" s="230"/>
      <c r="R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  <c r="AI993" s="230"/>
      <c r="AJ993" s="230"/>
      <c r="AK993" s="230"/>
      <c r="AL993" s="230"/>
      <c r="AM993" s="230"/>
      <c r="AN993" s="230"/>
    </row>
    <row r="994">
      <c r="O994" s="230"/>
      <c r="R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  <c r="AI994" s="230"/>
      <c r="AJ994" s="230"/>
      <c r="AK994" s="230"/>
      <c r="AL994" s="230"/>
      <c r="AM994" s="230"/>
      <c r="AN994" s="230"/>
    </row>
    <row r="995">
      <c r="O995" s="230"/>
      <c r="R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  <c r="AI995" s="230"/>
      <c r="AJ995" s="230"/>
      <c r="AK995" s="230"/>
      <c r="AL995" s="230"/>
      <c r="AM995" s="230"/>
      <c r="AN995" s="230"/>
    </row>
    <row r="996">
      <c r="O996" s="230"/>
      <c r="R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  <c r="AI996" s="230"/>
      <c r="AJ996" s="230"/>
      <c r="AK996" s="230"/>
      <c r="AL996" s="230"/>
      <c r="AM996" s="230"/>
      <c r="AN996" s="230"/>
    </row>
    <row r="997">
      <c r="O997" s="230"/>
      <c r="R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  <c r="AI997" s="230"/>
      <c r="AJ997" s="230"/>
      <c r="AK997" s="230"/>
      <c r="AL997" s="230"/>
      <c r="AM997" s="230"/>
      <c r="AN997" s="230"/>
    </row>
    <row r="998">
      <c r="O998" s="230"/>
      <c r="R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  <c r="AI998" s="230"/>
      <c r="AJ998" s="230"/>
      <c r="AK998" s="230"/>
      <c r="AL998" s="230"/>
      <c r="AM998" s="230"/>
      <c r="AN998" s="230"/>
    </row>
    <row r="999">
      <c r="O999" s="230"/>
      <c r="R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  <c r="AI999" s="230"/>
      <c r="AJ999" s="230"/>
      <c r="AK999" s="230"/>
      <c r="AL999" s="230"/>
      <c r="AM999" s="230"/>
      <c r="AN999" s="230"/>
    </row>
    <row r="1000">
      <c r="O1000" s="230"/>
      <c r="R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  <c r="AI1000" s="230"/>
      <c r="AJ1000" s="230"/>
      <c r="AK1000" s="230"/>
      <c r="AL1000" s="230"/>
      <c r="AM1000" s="230"/>
      <c r="AN1000" s="230"/>
    </row>
    <row r="1001">
      <c r="O1001" s="230"/>
      <c r="R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  <c r="AI1001" s="230"/>
      <c r="AJ1001" s="230"/>
      <c r="AK1001" s="230"/>
      <c r="AL1001" s="230"/>
      <c r="AM1001" s="230"/>
      <c r="AN1001" s="230"/>
    </row>
    <row r="1002">
      <c r="O1002" s="230"/>
      <c r="R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  <c r="AI1002" s="230"/>
      <c r="AJ1002" s="230"/>
      <c r="AK1002" s="230"/>
      <c r="AL1002" s="230"/>
      <c r="AM1002" s="230"/>
      <c r="AN1002" s="230"/>
    </row>
    <row r="1003">
      <c r="O1003" s="230"/>
      <c r="R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  <c r="AI1003" s="230"/>
      <c r="AJ1003" s="230"/>
      <c r="AK1003" s="230"/>
      <c r="AL1003" s="230"/>
      <c r="AM1003" s="230"/>
      <c r="AN1003" s="230"/>
    </row>
    <row r="1004">
      <c r="O1004" s="230"/>
      <c r="R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  <c r="AI1004" s="230"/>
      <c r="AJ1004" s="230"/>
      <c r="AK1004" s="230"/>
      <c r="AL1004" s="230"/>
      <c r="AM1004" s="230"/>
      <c r="AN1004" s="230"/>
    </row>
    <row r="1005">
      <c r="O1005" s="230"/>
      <c r="R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  <c r="AI1005" s="230"/>
      <c r="AJ1005" s="230"/>
      <c r="AK1005" s="230"/>
      <c r="AL1005" s="230"/>
      <c r="AM1005" s="230"/>
      <c r="AN1005" s="230"/>
    </row>
    <row r="1006">
      <c r="O1006" s="230"/>
      <c r="R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  <c r="AI1006" s="230"/>
      <c r="AJ1006" s="230"/>
      <c r="AK1006" s="230"/>
      <c r="AL1006" s="230"/>
      <c r="AM1006" s="230"/>
      <c r="AN1006" s="230"/>
    </row>
    <row r="1007">
      <c r="O1007" s="230"/>
      <c r="R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  <c r="AI1007" s="230"/>
      <c r="AJ1007" s="230"/>
      <c r="AK1007" s="230"/>
      <c r="AL1007" s="230"/>
      <c r="AM1007" s="230"/>
      <c r="AN1007" s="230"/>
    </row>
    <row r="1008">
      <c r="O1008" s="230"/>
      <c r="R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  <c r="AI1008" s="230"/>
      <c r="AJ1008" s="230"/>
      <c r="AK1008" s="230"/>
      <c r="AL1008" s="230"/>
      <c r="AM1008" s="230"/>
      <c r="AN1008" s="230"/>
    </row>
    <row r="1009">
      <c r="O1009" s="230"/>
      <c r="R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  <c r="AI1009" s="230"/>
      <c r="AJ1009" s="230"/>
      <c r="AK1009" s="230"/>
      <c r="AL1009" s="230"/>
      <c r="AM1009" s="230"/>
      <c r="AN1009" s="230"/>
    </row>
    <row r="1010">
      <c r="O1010" s="230"/>
      <c r="R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  <c r="AI1010" s="230"/>
      <c r="AJ1010" s="230"/>
      <c r="AK1010" s="230"/>
      <c r="AL1010" s="230"/>
      <c r="AM1010" s="230"/>
      <c r="AN1010" s="230"/>
    </row>
    <row r="1011">
      <c r="O1011" s="230"/>
      <c r="R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  <c r="AI1011" s="230"/>
      <c r="AJ1011" s="230"/>
      <c r="AK1011" s="230"/>
      <c r="AL1011" s="230"/>
      <c r="AM1011" s="230"/>
      <c r="AN1011" s="230"/>
    </row>
    <row r="1012">
      <c r="O1012" s="230"/>
      <c r="R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  <c r="AI1012" s="230"/>
      <c r="AJ1012" s="230"/>
      <c r="AK1012" s="230"/>
      <c r="AL1012" s="230"/>
      <c r="AM1012" s="230"/>
      <c r="AN1012" s="230"/>
    </row>
    <row r="1013">
      <c r="O1013" s="230"/>
      <c r="R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  <c r="AI1013" s="230"/>
      <c r="AJ1013" s="230"/>
      <c r="AK1013" s="230"/>
      <c r="AL1013" s="230"/>
      <c r="AM1013" s="230"/>
      <c r="AN1013" s="230"/>
    </row>
    <row r="1014">
      <c r="O1014" s="230"/>
      <c r="R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  <c r="AI1014" s="230"/>
      <c r="AJ1014" s="230"/>
      <c r="AK1014" s="230"/>
      <c r="AL1014" s="230"/>
      <c r="AM1014" s="230"/>
      <c r="AN1014" s="230"/>
    </row>
    <row r="1015">
      <c r="O1015" s="230"/>
      <c r="R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  <c r="AI1015" s="230"/>
      <c r="AJ1015" s="230"/>
      <c r="AK1015" s="230"/>
      <c r="AL1015" s="230"/>
      <c r="AM1015" s="230"/>
      <c r="AN1015" s="230"/>
    </row>
    <row r="1016">
      <c r="O1016" s="230"/>
      <c r="R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  <c r="AI1016" s="230"/>
      <c r="AJ1016" s="230"/>
      <c r="AK1016" s="230"/>
      <c r="AL1016" s="230"/>
      <c r="AM1016" s="230"/>
      <c r="AN1016" s="230"/>
    </row>
    <row r="1017">
      <c r="O1017" s="230"/>
      <c r="R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  <c r="AI1017" s="230"/>
      <c r="AJ1017" s="230"/>
      <c r="AK1017" s="230"/>
      <c r="AL1017" s="230"/>
      <c r="AM1017" s="230"/>
      <c r="AN1017" s="230"/>
    </row>
    <row r="1018">
      <c r="O1018" s="230"/>
      <c r="R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  <c r="AI1018" s="230"/>
      <c r="AJ1018" s="230"/>
      <c r="AK1018" s="230"/>
      <c r="AL1018" s="230"/>
      <c r="AM1018" s="230"/>
      <c r="AN1018" s="230"/>
    </row>
    <row r="1019">
      <c r="O1019" s="230"/>
      <c r="R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  <c r="AI1019" s="230"/>
      <c r="AJ1019" s="230"/>
      <c r="AK1019" s="230"/>
      <c r="AL1019" s="230"/>
      <c r="AM1019" s="230"/>
      <c r="AN1019" s="230"/>
    </row>
    <row r="1020">
      <c r="O1020" s="230"/>
      <c r="R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  <c r="AI1020" s="230"/>
      <c r="AJ1020" s="230"/>
      <c r="AK1020" s="230"/>
      <c r="AL1020" s="230"/>
      <c r="AM1020" s="230"/>
      <c r="AN1020" s="230"/>
    </row>
    <row r="1021">
      <c r="O1021" s="230"/>
      <c r="R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  <c r="AI1021" s="230"/>
      <c r="AJ1021" s="230"/>
      <c r="AK1021" s="230"/>
      <c r="AL1021" s="230"/>
      <c r="AM1021" s="230"/>
      <c r="AN1021" s="230"/>
    </row>
    <row r="1022">
      <c r="O1022" s="230"/>
      <c r="R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  <c r="AI1022" s="230"/>
      <c r="AJ1022" s="230"/>
      <c r="AK1022" s="230"/>
      <c r="AL1022" s="230"/>
      <c r="AM1022" s="230"/>
      <c r="AN1022" s="230"/>
    </row>
    <row r="1023">
      <c r="O1023" s="230"/>
      <c r="R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  <c r="AI1023" s="230"/>
      <c r="AJ1023" s="230"/>
      <c r="AK1023" s="230"/>
      <c r="AL1023" s="230"/>
      <c r="AM1023" s="230"/>
      <c r="AN1023" s="230"/>
    </row>
    <row r="1024">
      <c r="O1024" s="230"/>
      <c r="R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  <c r="AI1024" s="230"/>
      <c r="AJ1024" s="230"/>
      <c r="AK1024" s="230"/>
      <c r="AL1024" s="230"/>
      <c r="AM1024" s="230"/>
      <c r="AN1024" s="230"/>
    </row>
    <row r="1025">
      <c r="O1025" s="230"/>
      <c r="R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  <c r="AI1025" s="230"/>
      <c r="AJ1025" s="230"/>
      <c r="AK1025" s="230"/>
      <c r="AL1025" s="230"/>
      <c r="AM1025" s="230"/>
      <c r="AN1025" s="230"/>
    </row>
    <row r="1026">
      <c r="O1026" s="230"/>
      <c r="R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  <c r="AI1026" s="230"/>
      <c r="AJ1026" s="230"/>
      <c r="AK1026" s="230"/>
      <c r="AL1026" s="230"/>
      <c r="AM1026" s="230"/>
      <c r="AN1026" s="230"/>
    </row>
    <row r="1027">
      <c r="O1027" s="230"/>
      <c r="R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  <c r="AI1027" s="230"/>
      <c r="AJ1027" s="230"/>
      <c r="AK1027" s="230"/>
      <c r="AL1027" s="230"/>
      <c r="AM1027" s="230"/>
      <c r="AN1027" s="230"/>
    </row>
    <row r="1028">
      <c r="O1028" s="230"/>
      <c r="R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  <c r="AI1028" s="230"/>
      <c r="AJ1028" s="230"/>
      <c r="AK1028" s="230"/>
      <c r="AL1028" s="230"/>
      <c r="AM1028" s="230"/>
      <c r="AN1028" s="230"/>
    </row>
    <row r="1029">
      <c r="O1029" s="230"/>
      <c r="R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  <c r="AI1029" s="230"/>
      <c r="AJ1029" s="230"/>
      <c r="AK1029" s="230"/>
      <c r="AL1029" s="230"/>
      <c r="AM1029" s="230"/>
      <c r="AN1029" s="230"/>
    </row>
    <row r="1030">
      <c r="O1030" s="230"/>
      <c r="R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  <c r="AI1030" s="230"/>
      <c r="AJ1030" s="230"/>
      <c r="AK1030" s="230"/>
      <c r="AL1030" s="230"/>
      <c r="AM1030" s="230"/>
      <c r="AN1030" s="230"/>
    </row>
    <row r="1031">
      <c r="O1031" s="230"/>
      <c r="R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  <c r="AI1031" s="230"/>
      <c r="AJ1031" s="230"/>
      <c r="AK1031" s="230"/>
      <c r="AL1031" s="230"/>
      <c r="AM1031" s="230"/>
      <c r="AN1031" s="230"/>
    </row>
    <row r="1032">
      <c r="O1032" s="230"/>
      <c r="R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  <c r="AI1032" s="230"/>
      <c r="AJ1032" s="230"/>
      <c r="AK1032" s="230"/>
      <c r="AL1032" s="230"/>
      <c r="AM1032" s="230"/>
      <c r="AN1032" s="230"/>
    </row>
    <row r="1033">
      <c r="O1033" s="230"/>
      <c r="R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  <c r="AI1033" s="230"/>
      <c r="AJ1033" s="230"/>
      <c r="AK1033" s="230"/>
      <c r="AL1033" s="230"/>
      <c r="AM1033" s="230"/>
      <c r="AN1033" s="230"/>
    </row>
    <row r="1034">
      <c r="O1034" s="230"/>
      <c r="R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  <c r="AI1034" s="230"/>
      <c r="AJ1034" s="230"/>
      <c r="AK1034" s="230"/>
      <c r="AL1034" s="230"/>
      <c r="AM1034" s="230"/>
      <c r="AN1034" s="230"/>
    </row>
    <row r="1035">
      <c r="O1035" s="230"/>
      <c r="R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  <c r="AI1035" s="230"/>
      <c r="AJ1035" s="230"/>
      <c r="AK1035" s="230"/>
      <c r="AL1035" s="230"/>
      <c r="AM1035" s="230"/>
      <c r="AN1035" s="230"/>
    </row>
    <row r="1036">
      <c r="O1036" s="230"/>
      <c r="R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  <c r="AI1036" s="230"/>
      <c r="AJ1036" s="230"/>
      <c r="AK1036" s="230"/>
      <c r="AL1036" s="230"/>
      <c r="AM1036" s="230"/>
      <c r="AN1036" s="230"/>
    </row>
    <row r="1037">
      <c r="O1037" s="230"/>
      <c r="R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  <c r="AI1037" s="230"/>
      <c r="AJ1037" s="230"/>
      <c r="AK1037" s="230"/>
      <c r="AL1037" s="230"/>
      <c r="AM1037" s="230"/>
      <c r="AN1037" s="230"/>
    </row>
    <row r="1038">
      <c r="O1038" s="230"/>
      <c r="R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  <c r="AI1038" s="230"/>
      <c r="AJ1038" s="230"/>
      <c r="AK1038" s="230"/>
      <c r="AL1038" s="230"/>
      <c r="AM1038" s="230"/>
      <c r="AN1038" s="230"/>
    </row>
    <row r="1039">
      <c r="O1039" s="230"/>
      <c r="R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  <c r="AI1039" s="230"/>
      <c r="AJ1039" s="230"/>
      <c r="AK1039" s="230"/>
      <c r="AL1039" s="230"/>
      <c r="AM1039" s="230"/>
      <c r="AN1039" s="230"/>
    </row>
    <row r="1040">
      <c r="O1040" s="230"/>
      <c r="R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  <c r="AI1040" s="230"/>
      <c r="AJ1040" s="230"/>
      <c r="AK1040" s="230"/>
      <c r="AL1040" s="230"/>
      <c r="AM1040" s="230"/>
      <c r="AN1040" s="230"/>
    </row>
    <row r="1041">
      <c r="O1041" s="230"/>
      <c r="R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  <c r="AI1041" s="230"/>
      <c r="AJ1041" s="230"/>
      <c r="AK1041" s="230"/>
      <c r="AL1041" s="230"/>
      <c r="AM1041" s="230"/>
      <c r="AN1041" s="230"/>
    </row>
    <row r="1042">
      <c r="O1042" s="230"/>
      <c r="R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  <c r="AI1042" s="230"/>
      <c r="AJ1042" s="230"/>
      <c r="AK1042" s="230"/>
      <c r="AL1042" s="230"/>
      <c r="AM1042" s="230"/>
      <c r="AN1042" s="230"/>
    </row>
    <row r="1043">
      <c r="O1043" s="230"/>
      <c r="R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  <c r="AI1043" s="230"/>
      <c r="AJ1043" s="230"/>
      <c r="AK1043" s="230"/>
      <c r="AL1043" s="230"/>
      <c r="AM1043" s="230"/>
      <c r="AN1043" s="230"/>
    </row>
    <row r="1044">
      <c r="O1044" s="230"/>
      <c r="R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  <c r="AI1044" s="230"/>
      <c r="AJ1044" s="230"/>
      <c r="AK1044" s="230"/>
      <c r="AL1044" s="230"/>
      <c r="AM1044" s="230"/>
      <c r="AN1044" s="230"/>
    </row>
    <row r="1045">
      <c r="O1045" s="230"/>
      <c r="R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  <c r="AI1045" s="230"/>
      <c r="AJ1045" s="230"/>
      <c r="AK1045" s="230"/>
      <c r="AL1045" s="230"/>
      <c r="AM1045" s="230"/>
      <c r="AN1045" s="230"/>
    </row>
    <row r="1046">
      <c r="O1046" s="230"/>
      <c r="R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  <c r="AI1046" s="230"/>
      <c r="AJ1046" s="230"/>
      <c r="AK1046" s="230"/>
      <c r="AL1046" s="230"/>
      <c r="AM1046" s="230"/>
      <c r="AN1046" s="230"/>
    </row>
    <row r="1047">
      <c r="O1047" s="230"/>
      <c r="R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  <c r="AI1047" s="230"/>
      <c r="AJ1047" s="230"/>
      <c r="AK1047" s="230"/>
      <c r="AL1047" s="230"/>
      <c r="AM1047" s="230"/>
      <c r="AN1047" s="230"/>
    </row>
    <row r="1048">
      <c r="O1048" s="230"/>
      <c r="R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  <c r="AI1048" s="230"/>
      <c r="AJ1048" s="230"/>
      <c r="AK1048" s="230"/>
      <c r="AL1048" s="230"/>
      <c r="AM1048" s="230"/>
      <c r="AN1048" s="230"/>
    </row>
    <row r="1049">
      <c r="O1049" s="230"/>
      <c r="R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  <c r="AI1049" s="230"/>
      <c r="AJ1049" s="230"/>
      <c r="AK1049" s="230"/>
      <c r="AL1049" s="230"/>
      <c r="AM1049" s="230"/>
      <c r="AN1049" s="230"/>
    </row>
    <row r="1050">
      <c r="O1050" s="230"/>
      <c r="R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  <c r="AI1050" s="230"/>
      <c r="AJ1050" s="230"/>
      <c r="AK1050" s="230"/>
      <c r="AL1050" s="230"/>
      <c r="AM1050" s="230"/>
      <c r="AN1050" s="230"/>
    </row>
    <row r="1051">
      <c r="O1051" s="230"/>
      <c r="R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  <c r="AI1051" s="230"/>
      <c r="AJ1051" s="230"/>
      <c r="AK1051" s="230"/>
      <c r="AL1051" s="230"/>
      <c r="AM1051" s="230"/>
      <c r="AN1051" s="230"/>
    </row>
    <row r="1052">
      <c r="O1052" s="230"/>
      <c r="R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  <c r="AI1052" s="230"/>
      <c r="AJ1052" s="230"/>
      <c r="AK1052" s="230"/>
      <c r="AL1052" s="230"/>
      <c r="AM1052" s="230"/>
      <c r="AN1052" s="230"/>
    </row>
    <row r="1053">
      <c r="O1053" s="230"/>
      <c r="R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  <c r="AI1053" s="230"/>
      <c r="AJ1053" s="230"/>
      <c r="AK1053" s="230"/>
      <c r="AL1053" s="230"/>
      <c r="AM1053" s="230"/>
      <c r="AN1053" s="230"/>
    </row>
    <row r="1054">
      <c r="O1054" s="230"/>
      <c r="R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  <c r="AI1054" s="230"/>
      <c r="AJ1054" s="230"/>
      <c r="AK1054" s="230"/>
      <c r="AL1054" s="230"/>
      <c r="AM1054" s="230"/>
      <c r="AN1054" s="230"/>
    </row>
    <row r="1055">
      <c r="O1055" s="230"/>
      <c r="R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  <c r="AI1055" s="230"/>
      <c r="AJ1055" s="230"/>
      <c r="AK1055" s="230"/>
      <c r="AL1055" s="230"/>
      <c r="AM1055" s="230"/>
      <c r="AN1055" s="230"/>
    </row>
    <row r="1056">
      <c r="O1056" s="230"/>
      <c r="R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  <c r="AI1056" s="230"/>
      <c r="AJ1056" s="230"/>
      <c r="AK1056" s="230"/>
      <c r="AL1056" s="230"/>
      <c r="AM1056" s="230"/>
      <c r="AN1056" s="230"/>
    </row>
    <row r="1057">
      <c r="O1057" s="230"/>
      <c r="R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  <c r="AI1057" s="230"/>
      <c r="AJ1057" s="230"/>
      <c r="AK1057" s="230"/>
      <c r="AL1057" s="230"/>
      <c r="AM1057" s="230"/>
      <c r="AN1057" s="230"/>
    </row>
    <row r="1058">
      <c r="O1058" s="230"/>
      <c r="R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  <c r="AI1058" s="230"/>
      <c r="AJ1058" s="230"/>
      <c r="AK1058" s="230"/>
      <c r="AL1058" s="230"/>
      <c r="AM1058" s="230"/>
      <c r="AN1058" s="230"/>
    </row>
    <row r="1059">
      <c r="O1059" s="230"/>
      <c r="R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  <c r="AI1059" s="230"/>
      <c r="AJ1059" s="230"/>
      <c r="AK1059" s="230"/>
      <c r="AL1059" s="230"/>
      <c r="AM1059" s="230"/>
      <c r="AN1059" s="230"/>
    </row>
    <row r="1060">
      <c r="O1060" s="230"/>
      <c r="R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  <c r="AI1060" s="230"/>
      <c r="AJ1060" s="230"/>
      <c r="AK1060" s="230"/>
      <c r="AL1060" s="230"/>
      <c r="AM1060" s="230"/>
      <c r="AN1060" s="230"/>
    </row>
    <row r="1061">
      <c r="O1061" s="230"/>
      <c r="R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  <c r="AI1061" s="230"/>
      <c r="AJ1061" s="230"/>
      <c r="AK1061" s="230"/>
      <c r="AL1061" s="230"/>
      <c r="AM1061" s="230"/>
      <c r="AN1061" s="230"/>
    </row>
    <row r="1062">
      <c r="O1062" s="230"/>
      <c r="R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  <c r="AI1062" s="230"/>
      <c r="AJ1062" s="230"/>
      <c r="AK1062" s="230"/>
      <c r="AL1062" s="230"/>
      <c r="AM1062" s="230"/>
      <c r="AN1062" s="230"/>
    </row>
    <row r="1063">
      <c r="O1063" s="230"/>
      <c r="R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  <c r="AI1063" s="230"/>
      <c r="AJ1063" s="230"/>
      <c r="AK1063" s="230"/>
      <c r="AL1063" s="230"/>
      <c r="AM1063" s="230"/>
      <c r="AN1063" s="230"/>
    </row>
    <row r="1064">
      <c r="O1064" s="230"/>
      <c r="R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  <c r="AI1064" s="230"/>
      <c r="AJ1064" s="230"/>
      <c r="AK1064" s="230"/>
      <c r="AL1064" s="230"/>
      <c r="AM1064" s="230"/>
      <c r="AN1064" s="230"/>
    </row>
    <row r="1065">
      <c r="O1065" s="230"/>
      <c r="R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  <c r="AI1065" s="230"/>
      <c r="AJ1065" s="230"/>
      <c r="AK1065" s="230"/>
      <c r="AL1065" s="230"/>
      <c r="AM1065" s="230"/>
      <c r="AN1065" s="230"/>
    </row>
    <row r="1066">
      <c r="O1066" s="230"/>
      <c r="R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  <c r="AI1066" s="230"/>
      <c r="AJ1066" s="230"/>
      <c r="AK1066" s="230"/>
      <c r="AL1066" s="230"/>
      <c r="AM1066" s="230"/>
      <c r="AN1066" s="230"/>
    </row>
    <row r="1067">
      <c r="O1067" s="230"/>
      <c r="R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  <c r="AI1067" s="230"/>
      <c r="AJ1067" s="230"/>
      <c r="AK1067" s="230"/>
      <c r="AL1067" s="230"/>
      <c r="AM1067" s="230"/>
      <c r="AN1067" s="230"/>
    </row>
    <row r="1068">
      <c r="O1068" s="230"/>
      <c r="R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  <c r="AI1068" s="230"/>
      <c r="AJ1068" s="230"/>
      <c r="AK1068" s="230"/>
      <c r="AL1068" s="230"/>
      <c r="AM1068" s="230"/>
      <c r="AN1068" s="230"/>
    </row>
    <row r="1069">
      <c r="O1069" s="230"/>
      <c r="R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  <c r="AI1069" s="230"/>
      <c r="AJ1069" s="230"/>
      <c r="AK1069" s="230"/>
      <c r="AL1069" s="230"/>
      <c r="AM1069" s="230"/>
      <c r="AN1069" s="230"/>
    </row>
    <row r="1070">
      <c r="O1070" s="230"/>
      <c r="R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  <c r="AI1070" s="230"/>
      <c r="AJ1070" s="230"/>
      <c r="AK1070" s="230"/>
      <c r="AL1070" s="230"/>
      <c r="AM1070" s="230"/>
      <c r="AN1070" s="230"/>
    </row>
    <row r="1071">
      <c r="O1071" s="230"/>
      <c r="R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  <c r="AI1071" s="230"/>
      <c r="AJ1071" s="230"/>
      <c r="AK1071" s="230"/>
      <c r="AL1071" s="230"/>
      <c r="AM1071" s="230"/>
      <c r="AN1071" s="230"/>
    </row>
    <row r="1072">
      <c r="O1072" s="230"/>
      <c r="R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  <c r="AI1072" s="230"/>
      <c r="AJ1072" s="230"/>
      <c r="AK1072" s="230"/>
      <c r="AL1072" s="230"/>
      <c r="AM1072" s="230"/>
      <c r="AN1072" s="230"/>
    </row>
    <row r="1073">
      <c r="O1073" s="230"/>
      <c r="R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  <c r="AI1073" s="230"/>
      <c r="AJ1073" s="230"/>
      <c r="AK1073" s="230"/>
      <c r="AL1073" s="230"/>
      <c r="AM1073" s="230"/>
      <c r="AN1073" s="230"/>
    </row>
    <row r="1074">
      <c r="O1074" s="230"/>
      <c r="R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  <c r="AI1074" s="230"/>
      <c r="AJ1074" s="230"/>
      <c r="AK1074" s="230"/>
      <c r="AL1074" s="230"/>
      <c r="AM1074" s="230"/>
      <c r="AN1074" s="230"/>
    </row>
    <row r="1075">
      <c r="O1075" s="230"/>
      <c r="R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  <c r="AI1075" s="230"/>
      <c r="AJ1075" s="230"/>
      <c r="AK1075" s="230"/>
      <c r="AL1075" s="230"/>
      <c r="AM1075" s="230"/>
      <c r="AN1075" s="230"/>
    </row>
    <row r="1076">
      <c r="O1076" s="230"/>
      <c r="R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  <c r="AI1076" s="230"/>
      <c r="AJ1076" s="230"/>
      <c r="AK1076" s="230"/>
      <c r="AL1076" s="230"/>
      <c r="AM1076" s="230"/>
      <c r="AN1076" s="230"/>
    </row>
    <row r="1077">
      <c r="O1077" s="230"/>
      <c r="R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  <c r="AI1077" s="230"/>
      <c r="AJ1077" s="230"/>
      <c r="AK1077" s="230"/>
      <c r="AL1077" s="230"/>
      <c r="AM1077" s="230"/>
      <c r="AN1077" s="230"/>
    </row>
    <row r="1078">
      <c r="O1078" s="230"/>
      <c r="R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  <c r="AI1078" s="230"/>
      <c r="AJ1078" s="230"/>
      <c r="AK1078" s="230"/>
      <c r="AL1078" s="230"/>
      <c r="AM1078" s="230"/>
      <c r="AN1078" s="230"/>
    </row>
    <row r="1079">
      <c r="O1079" s="230"/>
      <c r="R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  <c r="AI1079" s="230"/>
      <c r="AJ1079" s="230"/>
      <c r="AK1079" s="230"/>
      <c r="AL1079" s="230"/>
      <c r="AM1079" s="230"/>
      <c r="AN1079" s="230"/>
    </row>
    <row r="1080">
      <c r="O1080" s="230"/>
      <c r="R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  <c r="AI1080" s="230"/>
      <c r="AJ1080" s="230"/>
      <c r="AK1080" s="230"/>
      <c r="AL1080" s="230"/>
      <c r="AM1080" s="230"/>
      <c r="AN1080" s="230"/>
    </row>
    <row r="1081">
      <c r="O1081" s="230"/>
      <c r="R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  <c r="AI1081" s="230"/>
      <c r="AJ1081" s="230"/>
      <c r="AK1081" s="230"/>
      <c r="AL1081" s="230"/>
      <c r="AM1081" s="230"/>
      <c r="AN1081" s="230"/>
    </row>
    <row r="1082">
      <c r="O1082" s="230"/>
      <c r="R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  <c r="AI1082" s="230"/>
      <c r="AJ1082" s="230"/>
      <c r="AK1082" s="230"/>
      <c r="AL1082" s="230"/>
      <c r="AM1082" s="230"/>
      <c r="AN1082" s="230"/>
    </row>
    <row r="1083">
      <c r="O1083" s="230"/>
      <c r="R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  <c r="AI1083" s="230"/>
      <c r="AJ1083" s="230"/>
      <c r="AK1083" s="230"/>
      <c r="AL1083" s="230"/>
      <c r="AM1083" s="230"/>
      <c r="AN1083" s="230"/>
    </row>
    <row r="1084">
      <c r="O1084" s="230"/>
      <c r="R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  <c r="AI1084" s="230"/>
      <c r="AJ1084" s="230"/>
      <c r="AK1084" s="230"/>
      <c r="AL1084" s="230"/>
      <c r="AM1084" s="230"/>
      <c r="AN1084" s="230"/>
    </row>
    <row r="1085">
      <c r="O1085" s="230"/>
      <c r="R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  <c r="AI1085" s="230"/>
      <c r="AJ1085" s="230"/>
      <c r="AK1085" s="230"/>
      <c r="AL1085" s="230"/>
      <c r="AM1085" s="230"/>
      <c r="AN1085" s="230"/>
    </row>
    <row r="1086">
      <c r="O1086" s="230"/>
      <c r="R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  <c r="AI1086" s="230"/>
      <c r="AJ1086" s="230"/>
      <c r="AK1086" s="230"/>
      <c r="AL1086" s="230"/>
      <c r="AM1086" s="230"/>
      <c r="AN1086" s="230"/>
    </row>
    <row r="1087">
      <c r="O1087" s="230"/>
      <c r="R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  <c r="AI1087" s="230"/>
      <c r="AJ1087" s="230"/>
      <c r="AK1087" s="230"/>
      <c r="AL1087" s="230"/>
      <c r="AM1087" s="230"/>
      <c r="AN1087" s="230"/>
    </row>
    <row r="1088">
      <c r="O1088" s="230"/>
      <c r="R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  <c r="AI1088" s="230"/>
      <c r="AJ1088" s="230"/>
      <c r="AK1088" s="230"/>
      <c r="AL1088" s="230"/>
      <c r="AM1088" s="230"/>
      <c r="AN1088" s="230"/>
    </row>
    <row r="1089">
      <c r="O1089" s="230"/>
      <c r="R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  <c r="AI1089" s="230"/>
      <c r="AJ1089" s="230"/>
      <c r="AK1089" s="230"/>
      <c r="AL1089" s="230"/>
      <c r="AM1089" s="230"/>
      <c r="AN1089" s="230"/>
    </row>
    <row r="1090">
      <c r="O1090" s="230"/>
      <c r="R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  <c r="AI1090" s="230"/>
      <c r="AJ1090" s="230"/>
      <c r="AK1090" s="230"/>
      <c r="AL1090" s="230"/>
      <c r="AM1090" s="230"/>
      <c r="AN1090" s="230"/>
    </row>
    <row r="1091">
      <c r="O1091" s="230"/>
      <c r="R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  <c r="AI1091" s="230"/>
      <c r="AJ1091" s="230"/>
      <c r="AK1091" s="230"/>
      <c r="AL1091" s="230"/>
      <c r="AM1091" s="230"/>
      <c r="AN1091" s="230"/>
    </row>
    <row r="1092">
      <c r="O1092" s="230"/>
      <c r="R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  <c r="AI1092" s="230"/>
      <c r="AJ1092" s="230"/>
      <c r="AK1092" s="230"/>
      <c r="AL1092" s="230"/>
      <c r="AM1092" s="230"/>
      <c r="AN1092" s="230"/>
    </row>
    <row r="1093">
      <c r="O1093" s="230"/>
      <c r="R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  <c r="AI1093" s="230"/>
      <c r="AJ1093" s="230"/>
      <c r="AK1093" s="230"/>
      <c r="AL1093" s="230"/>
      <c r="AM1093" s="230"/>
      <c r="AN1093" s="230"/>
    </row>
    <row r="1094">
      <c r="O1094" s="230"/>
      <c r="R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  <c r="AI1094" s="230"/>
      <c r="AJ1094" s="230"/>
      <c r="AK1094" s="230"/>
      <c r="AL1094" s="230"/>
      <c r="AM1094" s="230"/>
      <c r="AN1094" s="230"/>
    </row>
    <row r="1095">
      <c r="O1095" s="230"/>
      <c r="R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  <c r="AI1095" s="230"/>
      <c r="AJ1095" s="230"/>
      <c r="AK1095" s="230"/>
      <c r="AL1095" s="230"/>
      <c r="AM1095" s="230"/>
      <c r="AN1095" s="230"/>
    </row>
    <row r="1096">
      <c r="O1096" s="230"/>
      <c r="R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  <c r="AI1096" s="230"/>
      <c r="AJ1096" s="230"/>
      <c r="AK1096" s="230"/>
      <c r="AL1096" s="230"/>
      <c r="AM1096" s="230"/>
      <c r="AN1096" s="230"/>
    </row>
    <row r="1097">
      <c r="O1097" s="230"/>
      <c r="R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  <c r="AI1097" s="230"/>
      <c r="AJ1097" s="230"/>
      <c r="AK1097" s="230"/>
      <c r="AL1097" s="230"/>
      <c r="AM1097" s="230"/>
      <c r="AN1097" s="230"/>
    </row>
    <row r="1098">
      <c r="O1098" s="230"/>
      <c r="R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  <c r="AI1098" s="230"/>
      <c r="AJ1098" s="230"/>
      <c r="AK1098" s="230"/>
      <c r="AL1098" s="230"/>
      <c r="AM1098" s="230"/>
      <c r="AN1098" s="230"/>
    </row>
    <row r="1099">
      <c r="O1099" s="230"/>
      <c r="R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  <c r="AI1099" s="230"/>
      <c r="AJ1099" s="230"/>
      <c r="AK1099" s="230"/>
      <c r="AL1099" s="230"/>
      <c r="AM1099" s="230"/>
      <c r="AN1099" s="230"/>
    </row>
    <row r="1100">
      <c r="O1100" s="230"/>
      <c r="R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  <c r="AI1100" s="230"/>
      <c r="AJ1100" s="230"/>
      <c r="AK1100" s="230"/>
      <c r="AL1100" s="230"/>
      <c r="AM1100" s="230"/>
      <c r="AN1100" s="230"/>
    </row>
    <row r="1101">
      <c r="O1101" s="230"/>
      <c r="R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  <c r="AI1101" s="230"/>
      <c r="AJ1101" s="230"/>
      <c r="AK1101" s="230"/>
      <c r="AL1101" s="230"/>
      <c r="AM1101" s="230"/>
      <c r="AN1101" s="230"/>
    </row>
    <row r="1102">
      <c r="O1102" s="230"/>
      <c r="R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  <c r="AI1102" s="230"/>
      <c r="AJ1102" s="230"/>
      <c r="AK1102" s="230"/>
      <c r="AL1102" s="230"/>
      <c r="AM1102" s="230"/>
      <c r="AN1102" s="230"/>
    </row>
    <row r="1103">
      <c r="O1103" s="230"/>
      <c r="R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  <c r="AI1103" s="230"/>
      <c r="AJ1103" s="230"/>
      <c r="AK1103" s="230"/>
      <c r="AL1103" s="230"/>
      <c r="AM1103" s="230"/>
      <c r="AN1103" s="230"/>
    </row>
    <row r="1104">
      <c r="O1104" s="230"/>
      <c r="R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  <c r="AI1104" s="230"/>
      <c r="AJ1104" s="230"/>
      <c r="AK1104" s="230"/>
      <c r="AL1104" s="230"/>
      <c r="AM1104" s="230"/>
      <c r="AN1104" s="230"/>
    </row>
    <row r="1105">
      <c r="O1105" s="230"/>
      <c r="R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  <c r="AI1105" s="230"/>
      <c r="AJ1105" s="230"/>
      <c r="AK1105" s="230"/>
      <c r="AL1105" s="230"/>
      <c r="AM1105" s="230"/>
      <c r="AN1105" s="230"/>
    </row>
    <row r="1106">
      <c r="O1106" s="230"/>
      <c r="R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  <c r="AI1106" s="230"/>
      <c r="AJ1106" s="230"/>
      <c r="AK1106" s="230"/>
      <c r="AL1106" s="230"/>
      <c r="AM1106" s="230"/>
      <c r="AN1106" s="230"/>
    </row>
    <row r="1107">
      <c r="O1107" s="230"/>
      <c r="R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  <c r="AI1107" s="230"/>
      <c r="AJ1107" s="230"/>
      <c r="AK1107" s="230"/>
      <c r="AL1107" s="230"/>
      <c r="AM1107" s="230"/>
      <c r="AN1107" s="230"/>
    </row>
    <row r="1108">
      <c r="O1108" s="230"/>
      <c r="R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  <c r="AI1108" s="230"/>
      <c r="AJ1108" s="230"/>
      <c r="AK1108" s="230"/>
      <c r="AL1108" s="230"/>
      <c r="AM1108" s="230"/>
      <c r="AN1108" s="230"/>
    </row>
    <row r="1109">
      <c r="O1109" s="230"/>
      <c r="R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  <c r="AI1109" s="230"/>
      <c r="AJ1109" s="230"/>
      <c r="AK1109" s="230"/>
      <c r="AL1109" s="230"/>
      <c r="AM1109" s="230"/>
      <c r="AN1109" s="230"/>
    </row>
    <row r="1110">
      <c r="O1110" s="230"/>
      <c r="R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  <c r="AI1110" s="230"/>
      <c r="AJ1110" s="230"/>
      <c r="AK1110" s="230"/>
      <c r="AL1110" s="230"/>
      <c r="AM1110" s="230"/>
      <c r="AN1110" s="230"/>
    </row>
    <row r="1111">
      <c r="O1111" s="230"/>
      <c r="R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  <c r="AI1111" s="230"/>
      <c r="AJ1111" s="230"/>
      <c r="AK1111" s="230"/>
      <c r="AL1111" s="230"/>
      <c r="AM1111" s="230"/>
      <c r="AN1111" s="230"/>
    </row>
    <row r="1112">
      <c r="O1112" s="230"/>
      <c r="R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  <c r="AI1112" s="230"/>
      <c r="AJ1112" s="230"/>
      <c r="AK1112" s="230"/>
      <c r="AL1112" s="230"/>
      <c r="AM1112" s="230"/>
      <c r="AN1112" s="230"/>
    </row>
    <row r="1113">
      <c r="O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  <c r="AI1113" s="230"/>
      <c r="AJ1113" s="230"/>
      <c r="AK1113" s="230"/>
      <c r="AL1113" s="230"/>
      <c r="AM1113" s="230"/>
      <c r="AN1113" s="230"/>
    </row>
    <row r="1114">
      <c r="O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  <c r="AI1114" s="230"/>
      <c r="AJ1114" s="230"/>
      <c r="AK1114" s="230"/>
      <c r="AL1114" s="230"/>
      <c r="AM1114" s="230"/>
      <c r="AN1114" s="230"/>
    </row>
    <row r="1115">
      <c r="O1115" s="230"/>
      <c r="R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  <c r="AI1115" s="230"/>
      <c r="AJ1115" s="230"/>
      <c r="AK1115" s="230"/>
      <c r="AL1115" s="230"/>
      <c r="AM1115" s="230"/>
      <c r="AN1115" s="230"/>
    </row>
    <row r="1116">
      <c r="O1116" s="230"/>
      <c r="R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  <c r="AI1116" s="230"/>
      <c r="AJ1116" s="230"/>
      <c r="AK1116" s="230"/>
      <c r="AL1116" s="230"/>
      <c r="AM1116" s="230"/>
      <c r="AN1116" s="230"/>
    </row>
    <row r="1117">
      <c r="O1117" s="230"/>
      <c r="R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  <c r="AI1117" s="230"/>
      <c r="AJ1117" s="230"/>
      <c r="AK1117" s="230"/>
      <c r="AL1117" s="230"/>
      <c r="AM1117" s="230"/>
      <c r="AN1117" s="230"/>
    </row>
    <row r="1118">
      <c r="O1118" s="230"/>
      <c r="R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  <c r="AI1118" s="230"/>
      <c r="AJ1118" s="230"/>
      <c r="AK1118" s="230"/>
      <c r="AL1118" s="230"/>
      <c r="AM1118" s="230"/>
      <c r="AN1118" s="230"/>
    </row>
    <row r="1119">
      <c r="O1119" s="230"/>
      <c r="R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  <c r="AI1119" s="230"/>
      <c r="AJ1119" s="230"/>
      <c r="AK1119" s="230"/>
      <c r="AL1119" s="230"/>
      <c r="AM1119" s="230"/>
      <c r="AN1119" s="230"/>
    </row>
    <row r="1120">
      <c r="O1120" s="230"/>
      <c r="R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  <c r="AI1120" s="230"/>
      <c r="AJ1120" s="230"/>
      <c r="AK1120" s="230"/>
      <c r="AL1120" s="230"/>
      <c r="AM1120" s="230"/>
      <c r="AN1120" s="230"/>
    </row>
    <row r="1121">
      <c r="O1121" s="230"/>
      <c r="R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  <c r="AI1121" s="230"/>
      <c r="AJ1121" s="230"/>
      <c r="AK1121" s="230"/>
      <c r="AL1121" s="230"/>
      <c r="AM1121" s="230"/>
      <c r="AN1121" s="230"/>
    </row>
    <row r="1122">
      <c r="O1122" s="230"/>
      <c r="R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  <c r="AI1122" s="230"/>
      <c r="AJ1122" s="230"/>
      <c r="AK1122" s="230"/>
      <c r="AL1122" s="230"/>
      <c r="AM1122" s="230"/>
      <c r="AN1122" s="230"/>
    </row>
    <row r="1123">
      <c r="O1123" s="230"/>
      <c r="R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  <c r="AI1123" s="230"/>
      <c r="AJ1123" s="230"/>
      <c r="AK1123" s="230"/>
      <c r="AL1123" s="230"/>
      <c r="AM1123" s="230"/>
      <c r="AN1123" s="230"/>
    </row>
    <row r="1124">
      <c r="O1124" s="230"/>
      <c r="R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  <c r="AI1124" s="230"/>
      <c r="AJ1124" s="230"/>
      <c r="AK1124" s="230"/>
      <c r="AL1124" s="230"/>
      <c r="AM1124" s="230"/>
      <c r="AN1124" s="230"/>
    </row>
    <row r="1125">
      <c r="O1125" s="230"/>
      <c r="R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  <c r="AI1125" s="230"/>
      <c r="AJ1125" s="230"/>
      <c r="AK1125" s="230"/>
      <c r="AL1125" s="230"/>
      <c r="AM1125" s="230"/>
      <c r="AN1125" s="230"/>
    </row>
    <row r="1126">
      <c r="O1126" s="230"/>
      <c r="R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  <c r="AI1126" s="230"/>
      <c r="AJ1126" s="230"/>
      <c r="AK1126" s="230"/>
      <c r="AL1126" s="230"/>
      <c r="AM1126" s="230"/>
      <c r="AN1126" s="230"/>
    </row>
    <row r="1127">
      <c r="O1127" s="230"/>
      <c r="R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  <c r="AI1127" s="230"/>
      <c r="AJ1127" s="230"/>
      <c r="AK1127" s="230"/>
      <c r="AL1127" s="230"/>
      <c r="AM1127" s="230"/>
      <c r="AN1127" s="230"/>
    </row>
    <row r="1128">
      <c r="O1128" s="230"/>
      <c r="R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  <c r="AI1128" s="230"/>
      <c r="AJ1128" s="230"/>
      <c r="AK1128" s="230"/>
      <c r="AL1128" s="230"/>
      <c r="AM1128" s="230"/>
      <c r="AN1128" s="230"/>
    </row>
    <row r="1129">
      <c r="O1129" s="230"/>
      <c r="R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  <c r="AI1129" s="230"/>
      <c r="AJ1129" s="230"/>
      <c r="AK1129" s="230"/>
      <c r="AL1129" s="230"/>
      <c r="AM1129" s="230"/>
      <c r="AN1129" s="230"/>
    </row>
    <row r="1130">
      <c r="O1130" s="230"/>
      <c r="R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  <c r="AI1130" s="230"/>
      <c r="AJ1130" s="230"/>
      <c r="AK1130" s="230"/>
      <c r="AL1130" s="230"/>
      <c r="AM1130" s="230"/>
      <c r="AN1130" s="230"/>
    </row>
    <row r="1131">
      <c r="O1131" s="230"/>
      <c r="R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  <c r="AI1131" s="230"/>
      <c r="AJ1131" s="230"/>
      <c r="AK1131" s="230"/>
      <c r="AL1131" s="230"/>
      <c r="AM1131" s="230"/>
      <c r="AN1131" s="230"/>
    </row>
    <row r="1132">
      <c r="O1132" s="230"/>
      <c r="R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  <c r="AI1132" s="230"/>
      <c r="AJ1132" s="230"/>
      <c r="AK1132" s="230"/>
      <c r="AL1132" s="230"/>
      <c r="AM1132" s="230"/>
      <c r="AN1132" s="230"/>
    </row>
    <row r="1133">
      <c r="O1133" s="230"/>
      <c r="R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  <c r="AI1133" s="230"/>
      <c r="AJ1133" s="230"/>
      <c r="AK1133" s="230"/>
      <c r="AL1133" s="230"/>
      <c r="AM1133" s="230"/>
      <c r="AN1133" s="230"/>
    </row>
    <row r="1134">
      <c r="O1134" s="230"/>
      <c r="R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  <c r="AI1134" s="230"/>
      <c r="AJ1134" s="230"/>
      <c r="AK1134" s="230"/>
      <c r="AL1134" s="230"/>
      <c r="AM1134" s="230"/>
      <c r="AN1134" s="230"/>
    </row>
    <row r="1135">
      <c r="O1135" s="230"/>
      <c r="R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  <c r="AI1135" s="230"/>
      <c r="AJ1135" s="230"/>
      <c r="AK1135" s="230"/>
      <c r="AL1135" s="230"/>
      <c r="AM1135" s="230"/>
      <c r="AN1135" s="230"/>
    </row>
    <row r="1136">
      <c r="O1136" s="230"/>
      <c r="R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  <c r="AI1136" s="230"/>
      <c r="AJ1136" s="230"/>
      <c r="AK1136" s="230"/>
      <c r="AL1136" s="230"/>
      <c r="AM1136" s="230"/>
      <c r="AN1136" s="230"/>
    </row>
    <row r="1137">
      <c r="O1137" s="230"/>
      <c r="R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  <c r="AI1137" s="230"/>
      <c r="AJ1137" s="230"/>
      <c r="AK1137" s="230"/>
      <c r="AL1137" s="230"/>
      <c r="AM1137" s="230"/>
      <c r="AN1137" s="230"/>
    </row>
    <row r="1138">
      <c r="O1138" s="230"/>
      <c r="R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  <c r="AI1138" s="230"/>
      <c r="AJ1138" s="230"/>
      <c r="AK1138" s="230"/>
      <c r="AL1138" s="230"/>
      <c r="AM1138" s="230"/>
      <c r="AN1138" s="230"/>
    </row>
    <row r="1139">
      <c r="O1139" s="230"/>
      <c r="R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  <c r="AI1139" s="230"/>
      <c r="AJ1139" s="230"/>
      <c r="AK1139" s="230"/>
      <c r="AL1139" s="230"/>
      <c r="AM1139" s="230"/>
      <c r="AN1139" s="230"/>
    </row>
    <row r="1140">
      <c r="O1140" s="230"/>
      <c r="R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  <c r="AI1140" s="230"/>
      <c r="AJ1140" s="230"/>
      <c r="AK1140" s="230"/>
      <c r="AL1140" s="230"/>
      <c r="AM1140" s="230"/>
      <c r="AN1140" s="230"/>
    </row>
    <row r="1141">
      <c r="O1141" s="230"/>
      <c r="R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  <c r="AI1141" s="230"/>
      <c r="AJ1141" s="230"/>
      <c r="AK1141" s="230"/>
      <c r="AL1141" s="230"/>
      <c r="AM1141" s="230"/>
      <c r="AN1141" s="230"/>
    </row>
    <row r="1142">
      <c r="O1142" s="230"/>
      <c r="R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  <c r="AI1142" s="230"/>
      <c r="AJ1142" s="230"/>
      <c r="AK1142" s="230"/>
      <c r="AL1142" s="230"/>
      <c r="AM1142" s="230"/>
      <c r="AN1142" s="230"/>
    </row>
    <row r="1143">
      <c r="O1143" s="230"/>
      <c r="R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  <c r="AI1143" s="230"/>
      <c r="AJ1143" s="230"/>
      <c r="AK1143" s="230"/>
      <c r="AL1143" s="230"/>
      <c r="AM1143" s="230"/>
      <c r="AN1143" s="230"/>
    </row>
    <row r="1144">
      <c r="O1144" s="230"/>
      <c r="R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  <c r="AI1144" s="230"/>
      <c r="AJ1144" s="230"/>
      <c r="AK1144" s="230"/>
      <c r="AL1144" s="230"/>
      <c r="AM1144" s="230"/>
      <c r="AN1144" s="230"/>
    </row>
    <row r="1145">
      <c r="O1145" s="230"/>
      <c r="R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  <c r="AI1145" s="230"/>
      <c r="AJ1145" s="230"/>
      <c r="AK1145" s="230"/>
      <c r="AL1145" s="230"/>
      <c r="AM1145" s="230"/>
      <c r="AN1145" s="230"/>
    </row>
    <row r="1146">
      <c r="O1146" s="230"/>
      <c r="R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  <c r="AI1146" s="230"/>
      <c r="AJ1146" s="230"/>
      <c r="AK1146" s="230"/>
      <c r="AL1146" s="230"/>
      <c r="AM1146" s="230"/>
      <c r="AN1146" s="230"/>
    </row>
    <row r="1147">
      <c r="O1147" s="230"/>
      <c r="R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  <c r="AI1147" s="230"/>
      <c r="AJ1147" s="230"/>
      <c r="AK1147" s="230"/>
      <c r="AL1147" s="230"/>
      <c r="AM1147" s="230"/>
      <c r="AN1147" s="230"/>
    </row>
    <row r="1148">
      <c r="O1148" s="230"/>
      <c r="R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  <c r="AI1148" s="230"/>
      <c r="AJ1148" s="230"/>
      <c r="AK1148" s="230"/>
      <c r="AL1148" s="230"/>
      <c r="AM1148" s="230"/>
      <c r="AN1148" s="230"/>
    </row>
    <row r="1149">
      <c r="O1149" s="230"/>
      <c r="R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  <c r="AI1149" s="230"/>
      <c r="AJ1149" s="230"/>
      <c r="AK1149" s="230"/>
      <c r="AL1149" s="230"/>
      <c r="AM1149" s="230"/>
      <c r="AN1149" s="230"/>
    </row>
    <row r="1150">
      <c r="O1150" s="230"/>
      <c r="R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  <c r="AI1150" s="230"/>
      <c r="AJ1150" s="230"/>
      <c r="AK1150" s="230"/>
      <c r="AL1150" s="230"/>
      <c r="AM1150" s="230"/>
      <c r="AN1150" s="230"/>
    </row>
    <row r="1151">
      <c r="O1151" s="230"/>
      <c r="R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  <c r="AI1151" s="230"/>
      <c r="AJ1151" s="230"/>
      <c r="AK1151" s="230"/>
      <c r="AL1151" s="230"/>
      <c r="AM1151" s="230"/>
      <c r="AN1151" s="230"/>
    </row>
    <row r="1152">
      <c r="O1152" s="230"/>
      <c r="R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  <c r="AI1152" s="230"/>
      <c r="AJ1152" s="230"/>
      <c r="AK1152" s="230"/>
      <c r="AL1152" s="230"/>
      <c r="AM1152" s="230"/>
      <c r="AN1152" s="230"/>
    </row>
    <row r="1153">
      <c r="O1153" s="230"/>
      <c r="R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  <c r="AI1153" s="230"/>
      <c r="AJ1153" s="230"/>
      <c r="AK1153" s="230"/>
      <c r="AL1153" s="230"/>
      <c r="AM1153" s="230"/>
      <c r="AN1153" s="230"/>
    </row>
    <row r="1154">
      <c r="O1154" s="230"/>
      <c r="R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  <c r="AI1154" s="230"/>
      <c r="AJ1154" s="230"/>
      <c r="AK1154" s="230"/>
      <c r="AL1154" s="230"/>
      <c r="AM1154" s="230"/>
      <c r="AN1154" s="230"/>
    </row>
    <row r="1155">
      <c r="O1155" s="230"/>
      <c r="R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  <c r="AI1155" s="230"/>
      <c r="AJ1155" s="230"/>
      <c r="AK1155" s="230"/>
      <c r="AL1155" s="230"/>
      <c r="AM1155" s="230"/>
      <c r="AN1155" s="230"/>
    </row>
    <row r="1156">
      <c r="O1156" s="230"/>
      <c r="R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  <c r="AI1156" s="230"/>
      <c r="AJ1156" s="230"/>
      <c r="AK1156" s="230"/>
      <c r="AL1156" s="230"/>
      <c r="AM1156" s="230"/>
      <c r="AN1156" s="230"/>
    </row>
    <row r="1157">
      <c r="O1157" s="230"/>
      <c r="R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  <c r="AI1157" s="230"/>
      <c r="AJ1157" s="230"/>
      <c r="AK1157" s="230"/>
      <c r="AL1157" s="230"/>
      <c r="AM1157" s="230"/>
      <c r="AN1157" s="230"/>
    </row>
    <row r="1158">
      <c r="O1158" s="230"/>
      <c r="R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  <c r="AI1158" s="230"/>
      <c r="AJ1158" s="230"/>
      <c r="AK1158" s="230"/>
      <c r="AL1158" s="230"/>
      <c r="AM1158" s="230"/>
      <c r="AN1158" s="230"/>
    </row>
    <row r="1159">
      <c r="O1159" s="230"/>
      <c r="R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  <c r="AI1159" s="230"/>
      <c r="AJ1159" s="230"/>
      <c r="AK1159" s="230"/>
      <c r="AL1159" s="230"/>
      <c r="AM1159" s="230"/>
      <c r="AN1159" s="230"/>
    </row>
    <row r="1160">
      <c r="O1160" s="230"/>
      <c r="R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  <c r="AI1160" s="230"/>
      <c r="AJ1160" s="230"/>
      <c r="AK1160" s="230"/>
      <c r="AL1160" s="230"/>
      <c r="AM1160" s="230"/>
      <c r="AN1160" s="230"/>
    </row>
    <row r="1161">
      <c r="O1161" s="230"/>
      <c r="R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  <c r="AI1161" s="230"/>
      <c r="AJ1161" s="230"/>
      <c r="AK1161" s="230"/>
      <c r="AL1161" s="230"/>
      <c r="AM1161" s="230"/>
      <c r="AN1161" s="230"/>
    </row>
    <row r="1162">
      <c r="O1162" s="230"/>
      <c r="R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  <c r="AI1162" s="230"/>
      <c r="AJ1162" s="230"/>
      <c r="AK1162" s="230"/>
      <c r="AL1162" s="230"/>
      <c r="AM1162" s="230"/>
      <c r="AN1162" s="230"/>
    </row>
    <row r="1163">
      <c r="O1163" s="230"/>
      <c r="R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  <c r="AI1163" s="230"/>
      <c r="AJ1163" s="230"/>
      <c r="AK1163" s="230"/>
      <c r="AL1163" s="230"/>
      <c r="AM1163" s="230"/>
      <c r="AN1163" s="230"/>
    </row>
    <row r="1164">
      <c r="O1164" s="230"/>
      <c r="R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  <c r="AI1164" s="230"/>
      <c r="AJ1164" s="230"/>
      <c r="AK1164" s="230"/>
      <c r="AL1164" s="230"/>
      <c r="AM1164" s="230"/>
      <c r="AN1164" s="230"/>
    </row>
    <row r="1165">
      <c r="O1165" s="230"/>
      <c r="R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  <c r="AI1165" s="230"/>
      <c r="AJ1165" s="230"/>
      <c r="AK1165" s="230"/>
      <c r="AL1165" s="230"/>
      <c r="AM1165" s="230"/>
      <c r="AN1165" s="230"/>
    </row>
    <row r="1166">
      <c r="O1166" s="230"/>
      <c r="R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  <c r="AI1166" s="230"/>
      <c r="AJ1166" s="230"/>
      <c r="AK1166" s="230"/>
      <c r="AL1166" s="230"/>
      <c r="AM1166" s="230"/>
      <c r="AN1166" s="230"/>
    </row>
    <row r="1167">
      <c r="O1167" s="230"/>
      <c r="R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  <c r="AI1167" s="230"/>
      <c r="AJ1167" s="230"/>
      <c r="AK1167" s="230"/>
      <c r="AL1167" s="230"/>
      <c r="AM1167" s="230"/>
      <c r="AN1167" s="230"/>
    </row>
    <row r="1168">
      <c r="O1168" s="230"/>
      <c r="R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  <c r="AI1168" s="230"/>
      <c r="AJ1168" s="230"/>
      <c r="AK1168" s="230"/>
      <c r="AL1168" s="230"/>
      <c r="AM1168" s="230"/>
      <c r="AN1168" s="230"/>
    </row>
    <row r="1169">
      <c r="O1169" s="230"/>
      <c r="R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  <c r="AI1169" s="230"/>
      <c r="AJ1169" s="230"/>
      <c r="AK1169" s="230"/>
      <c r="AL1169" s="230"/>
      <c r="AM1169" s="230"/>
      <c r="AN1169" s="230"/>
    </row>
    <row r="1170">
      <c r="O1170" s="230"/>
      <c r="R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  <c r="AI1170" s="230"/>
      <c r="AJ1170" s="230"/>
      <c r="AK1170" s="230"/>
      <c r="AL1170" s="230"/>
      <c r="AM1170" s="230"/>
      <c r="AN1170" s="230"/>
    </row>
    <row r="1171">
      <c r="O1171" s="230"/>
      <c r="R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  <c r="AI1171" s="230"/>
      <c r="AJ1171" s="230"/>
      <c r="AK1171" s="230"/>
      <c r="AL1171" s="230"/>
      <c r="AM1171" s="230"/>
      <c r="AN1171" s="230"/>
    </row>
    <row r="1172">
      <c r="O1172" s="230"/>
      <c r="R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  <c r="AI1172" s="230"/>
      <c r="AJ1172" s="230"/>
      <c r="AK1172" s="230"/>
      <c r="AL1172" s="230"/>
      <c r="AM1172" s="230"/>
      <c r="AN1172" s="230"/>
    </row>
    <row r="1173">
      <c r="O1173" s="230"/>
      <c r="R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  <c r="AI1173" s="230"/>
      <c r="AJ1173" s="230"/>
      <c r="AK1173" s="230"/>
      <c r="AL1173" s="230"/>
      <c r="AM1173" s="230"/>
      <c r="AN1173" s="230"/>
    </row>
    <row r="1174">
      <c r="O1174" s="230"/>
      <c r="R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  <c r="AI1174" s="230"/>
      <c r="AJ1174" s="230"/>
      <c r="AK1174" s="230"/>
      <c r="AL1174" s="230"/>
      <c r="AM1174" s="230"/>
      <c r="AN1174" s="230"/>
    </row>
    <row r="1175">
      <c r="O1175" s="230"/>
      <c r="R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  <c r="AI1175" s="230"/>
      <c r="AJ1175" s="230"/>
      <c r="AK1175" s="230"/>
      <c r="AL1175" s="230"/>
      <c r="AM1175" s="230"/>
      <c r="AN1175" s="230"/>
    </row>
    <row r="1176">
      <c r="O1176" s="230"/>
      <c r="R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  <c r="AI1176" s="230"/>
      <c r="AJ1176" s="230"/>
      <c r="AK1176" s="230"/>
      <c r="AL1176" s="230"/>
      <c r="AM1176" s="230"/>
      <c r="AN1176" s="230"/>
    </row>
    <row r="1177">
      <c r="O1177" s="230"/>
      <c r="R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  <c r="AI1177" s="230"/>
      <c r="AJ1177" s="230"/>
      <c r="AK1177" s="230"/>
      <c r="AL1177" s="230"/>
      <c r="AM1177" s="230"/>
      <c r="AN1177" s="230"/>
    </row>
    <row r="1178">
      <c r="O1178" s="230"/>
      <c r="R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  <c r="AI1178" s="230"/>
      <c r="AJ1178" s="230"/>
      <c r="AK1178" s="230"/>
      <c r="AL1178" s="230"/>
      <c r="AM1178" s="230"/>
      <c r="AN1178" s="230"/>
    </row>
    <row r="1179">
      <c r="O1179" s="230"/>
      <c r="R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  <c r="AI1179" s="230"/>
      <c r="AJ1179" s="230"/>
      <c r="AK1179" s="230"/>
      <c r="AL1179" s="230"/>
      <c r="AM1179" s="230"/>
      <c r="AN1179" s="230"/>
    </row>
    <row r="1180">
      <c r="O1180" s="230"/>
      <c r="R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  <c r="AI1180" s="230"/>
      <c r="AJ1180" s="230"/>
      <c r="AK1180" s="230"/>
      <c r="AL1180" s="230"/>
      <c r="AM1180" s="230"/>
      <c r="AN1180" s="230"/>
    </row>
    <row r="1181">
      <c r="O1181" s="230"/>
      <c r="R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  <c r="AI1181" s="230"/>
      <c r="AJ1181" s="230"/>
      <c r="AK1181" s="230"/>
      <c r="AL1181" s="230"/>
      <c r="AM1181" s="230"/>
      <c r="AN1181" s="230"/>
    </row>
    <row r="1182">
      <c r="O1182" s="230"/>
      <c r="R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  <c r="AI1182" s="230"/>
      <c r="AJ1182" s="230"/>
      <c r="AK1182" s="230"/>
      <c r="AL1182" s="230"/>
      <c r="AM1182" s="230"/>
      <c r="AN1182" s="230"/>
    </row>
    <row r="1183">
      <c r="O1183" s="230"/>
      <c r="R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  <c r="AI1183" s="230"/>
      <c r="AJ1183" s="230"/>
      <c r="AK1183" s="230"/>
      <c r="AL1183" s="230"/>
      <c r="AM1183" s="230"/>
      <c r="AN1183" s="230"/>
    </row>
    <row r="1184">
      <c r="O1184" s="230"/>
      <c r="R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  <c r="AI1184" s="230"/>
      <c r="AJ1184" s="230"/>
      <c r="AK1184" s="230"/>
      <c r="AL1184" s="230"/>
      <c r="AM1184" s="230"/>
      <c r="AN1184" s="230"/>
    </row>
    <row r="1185">
      <c r="O1185" s="230"/>
      <c r="R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  <c r="AI1185" s="230"/>
      <c r="AJ1185" s="230"/>
      <c r="AK1185" s="230"/>
      <c r="AL1185" s="230"/>
      <c r="AM1185" s="230"/>
      <c r="AN1185" s="230"/>
    </row>
    <row r="1186">
      <c r="O1186" s="230"/>
      <c r="R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  <c r="AI1186" s="230"/>
      <c r="AJ1186" s="230"/>
      <c r="AK1186" s="230"/>
      <c r="AL1186" s="230"/>
      <c r="AM1186" s="230"/>
      <c r="AN1186" s="230"/>
    </row>
    <row r="1187">
      <c r="O1187" s="230"/>
      <c r="R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  <c r="AI1187" s="230"/>
      <c r="AJ1187" s="230"/>
      <c r="AK1187" s="230"/>
      <c r="AL1187" s="230"/>
      <c r="AM1187" s="230"/>
      <c r="AN1187" s="230"/>
    </row>
    <row r="1188">
      <c r="O1188" s="230"/>
      <c r="R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  <c r="AI1188" s="230"/>
      <c r="AJ1188" s="230"/>
      <c r="AK1188" s="230"/>
      <c r="AL1188" s="230"/>
      <c r="AM1188" s="230"/>
      <c r="AN1188" s="230"/>
    </row>
    <row r="1189">
      <c r="O1189" s="230"/>
      <c r="R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  <c r="AI1189" s="230"/>
      <c r="AJ1189" s="230"/>
      <c r="AK1189" s="230"/>
      <c r="AL1189" s="230"/>
      <c r="AM1189" s="230"/>
      <c r="AN1189" s="230"/>
    </row>
    <row r="1190">
      <c r="O1190" s="230"/>
      <c r="R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  <c r="AI1190" s="230"/>
      <c r="AJ1190" s="230"/>
      <c r="AK1190" s="230"/>
      <c r="AL1190" s="230"/>
      <c r="AM1190" s="230"/>
      <c r="AN1190" s="230"/>
    </row>
    <row r="1191">
      <c r="O1191" s="230"/>
      <c r="R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  <c r="AI1191" s="230"/>
      <c r="AJ1191" s="230"/>
      <c r="AK1191" s="230"/>
      <c r="AL1191" s="230"/>
      <c r="AM1191" s="230"/>
      <c r="AN1191" s="230"/>
    </row>
    <row r="1192">
      <c r="O1192" s="230"/>
      <c r="R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  <c r="AI1192" s="230"/>
      <c r="AJ1192" s="230"/>
      <c r="AK1192" s="230"/>
      <c r="AL1192" s="230"/>
      <c r="AM1192" s="230"/>
      <c r="AN1192" s="230"/>
    </row>
    <row r="1193">
      <c r="O1193" s="230"/>
      <c r="R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  <c r="AI1193" s="230"/>
      <c r="AJ1193" s="230"/>
      <c r="AK1193" s="230"/>
      <c r="AL1193" s="230"/>
      <c r="AM1193" s="230"/>
      <c r="AN1193" s="230"/>
    </row>
    <row r="1194">
      <c r="O1194" s="230"/>
      <c r="R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  <c r="AI1194" s="230"/>
      <c r="AJ1194" s="230"/>
      <c r="AK1194" s="230"/>
      <c r="AL1194" s="230"/>
      <c r="AM1194" s="230"/>
      <c r="AN1194" s="230"/>
    </row>
    <row r="1195">
      <c r="O1195" s="230"/>
      <c r="R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  <c r="AI1195" s="230"/>
      <c r="AJ1195" s="230"/>
      <c r="AK1195" s="230"/>
      <c r="AL1195" s="230"/>
      <c r="AM1195" s="230"/>
      <c r="AN1195" s="230"/>
    </row>
    <row r="1196">
      <c r="O1196" s="230"/>
      <c r="R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  <c r="AI1196" s="230"/>
      <c r="AJ1196" s="230"/>
      <c r="AK1196" s="230"/>
      <c r="AL1196" s="230"/>
      <c r="AM1196" s="230"/>
      <c r="AN1196" s="230"/>
    </row>
    <row r="1197">
      <c r="O1197" s="230"/>
      <c r="R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  <c r="AI1197" s="230"/>
      <c r="AJ1197" s="230"/>
      <c r="AK1197" s="230"/>
      <c r="AL1197" s="230"/>
      <c r="AM1197" s="230"/>
      <c r="AN1197" s="230"/>
    </row>
    <row r="1198">
      <c r="O1198" s="230"/>
      <c r="R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  <c r="AI1198" s="230"/>
      <c r="AJ1198" s="230"/>
      <c r="AK1198" s="230"/>
      <c r="AL1198" s="230"/>
      <c r="AM1198" s="230"/>
      <c r="AN1198" s="230"/>
    </row>
    <row r="1199">
      <c r="O1199" s="230"/>
      <c r="R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  <c r="AI1199" s="230"/>
      <c r="AJ1199" s="230"/>
      <c r="AK1199" s="230"/>
      <c r="AL1199" s="230"/>
      <c r="AM1199" s="230"/>
      <c r="AN1199" s="230"/>
    </row>
    <row r="1200">
      <c r="O1200" s="230"/>
      <c r="R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  <c r="AI1200" s="230"/>
      <c r="AJ1200" s="230"/>
      <c r="AK1200" s="230"/>
      <c r="AL1200" s="230"/>
      <c r="AM1200" s="230"/>
      <c r="AN1200" s="230"/>
    </row>
    <row r="1201">
      <c r="O1201" s="230"/>
      <c r="R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  <c r="AI1201" s="230"/>
      <c r="AJ1201" s="230"/>
      <c r="AK1201" s="230"/>
      <c r="AL1201" s="230"/>
      <c r="AM1201" s="230"/>
      <c r="AN1201" s="230"/>
    </row>
    <row r="1202">
      <c r="O1202" s="230"/>
      <c r="R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  <c r="AI1202" s="230"/>
      <c r="AJ1202" s="230"/>
      <c r="AK1202" s="230"/>
      <c r="AL1202" s="230"/>
      <c r="AM1202" s="230"/>
      <c r="AN1202" s="230"/>
    </row>
    <row r="1203">
      <c r="O1203" s="230"/>
      <c r="R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  <c r="AI1203" s="230"/>
      <c r="AJ1203" s="230"/>
      <c r="AK1203" s="230"/>
      <c r="AL1203" s="230"/>
      <c r="AM1203" s="230"/>
      <c r="AN1203" s="230"/>
    </row>
    <row r="1204">
      <c r="O1204" s="230"/>
      <c r="R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  <c r="AI1204" s="230"/>
      <c r="AJ1204" s="230"/>
      <c r="AK1204" s="230"/>
      <c r="AL1204" s="230"/>
      <c r="AM1204" s="230"/>
      <c r="AN1204" s="230"/>
    </row>
    <row r="1205">
      <c r="O1205" s="230"/>
      <c r="R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  <c r="AI1205" s="230"/>
      <c r="AJ1205" s="230"/>
      <c r="AK1205" s="230"/>
      <c r="AL1205" s="230"/>
      <c r="AM1205" s="230"/>
      <c r="AN1205" s="230"/>
    </row>
    <row r="1206">
      <c r="O1206" s="230"/>
      <c r="R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  <c r="AI1206" s="230"/>
      <c r="AJ1206" s="230"/>
      <c r="AK1206" s="230"/>
      <c r="AL1206" s="230"/>
      <c r="AM1206" s="230"/>
      <c r="AN1206" s="230"/>
    </row>
    <row r="1207">
      <c r="O1207" s="230"/>
      <c r="R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  <c r="AI1207" s="230"/>
      <c r="AJ1207" s="230"/>
      <c r="AK1207" s="230"/>
      <c r="AL1207" s="230"/>
      <c r="AM1207" s="230"/>
      <c r="AN1207" s="230"/>
    </row>
    <row r="1208">
      <c r="O1208" s="230"/>
      <c r="R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  <c r="AI1208" s="230"/>
      <c r="AJ1208" s="230"/>
      <c r="AK1208" s="230"/>
      <c r="AL1208" s="230"/>
      <c r="AM1208" s="230"/>
      <c r="AN1208" s="230"/>
    </row>
    <row r="1209">
      <c r="O1209" s="230"/>
      <c r="R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  <c r="AI1209" s="230"/>
      <c r="AJ1209" s="230"/>
      <c r="AK1209" s="230"/>
      <c r="AL1209" s="230"/>
      <c r="AM1209" s="230"/>
      <c r="AN1209" s="230"/>
    </row>
    <row r="1210">
      <c r="O1210" s="230"/>
      <c r="R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  <c r="AI1210" s="230"/>
      <c r="AJ1210" s="230"/>
      <c r="AK1210" s="230"/>
      <c r="AL1210" s="230"/>
      <c r="AM1210" s="230"/>
      <c r="AN1210" s="230"/>
    </row>
    <row r="1211">
      <c r="O1211" s="230"/>
      <c r="R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  <c r="AI1211" s="230"/>
      <c r="AJ1211" s="230"/>
      <c r="AK1211" s="230"/>
      <c r="AL1211" s="230"/>
      <c r="AM1211" s="230"/>
      <c r="AN1211" s="230"/>
    </row>
    <row r="1212">
      <c r="O1212" s="230"/>
      <c r="R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  <c r="AI1212" s="230"/>
      <c r="AJ1212" s="230"/>
      <c r="AK1212" s="230"/>
      <c r="AL1212" s="230"/>
      <c r="AM1212" s="230"/>
      <c r="AN1212" s="230"/>
    </row>
    <row r="1213">
      <c r="O1213" s="230"/>
      <c r="R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  <c r="AI1213" s="230"/>
      <c r="AJ1213" s="230"/>
      <c r="AK1213" s="230"/>
      <c r="AL1213" s="230"/>
      <c r="AM1213" s="230"/>
      <c r="AN1213" s="230"/>
    </row>
    <row r="1214">
      <c r="O1214" s="230"/>
      <c r="R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  <c r="AI1214" s="230"/>
      <c r="AJ1214" s="230"/>
      <c r="AK1214" s="230"/>
      <c r="AL1214" s="230"/>
      <c r="AM1214" s="230"/>
      <c r="AN1214" s="230"/>
    </row>
    <row r="1215">
      <c r="O1215" s="230"/>
      <c r="R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  <c r="AI1215" s="230"/>
      <c r="AJ1215" s="230"/>
      <c r="AK1215" s="230"/>
      <c r="AL1215" s="230"/>
      <c r="AM1215" s="230"/>
      <c r="AN1215" s="230"/>
    </row>
    <row r="1216">
      <c r="O1216" s="230"/>
      <c r="R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  <c r="AI1216" s="230"/>
      <c r="AJ1216" s="230"/>
      <c r="AK1216" s="230"/>
      <c r="AL1216" s="230"/>
      <c r="AM1216" s="230"/>
      <c r="AN1216" s="230"/>
    </row>
    <row r="1217">
      <c r="O1217" s="230"/>
      <c r="R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  <c r="AI1217" s="230"/>
      <c r="AJ1217" s="230"/>
      <c r="AK1217" s="230"/>
      <c r="AL1217" s="230"/>
      <c r="AM1217" s="230"/>
      <c r="AN1217" s="230"/>
    </row>
    <row r="1218">
      <c r="O1218" s="230"/>
      <c r="R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  <c r="AI1218" s="230"/>
      <c r="AJ1218" s="230"/>
      <c r="AK1218" s="230"/>
      <c r="AL1218" s="230"/>
      <c r="AM1218" s="230"/>
      <c r="AN1218" s="230"/>
    </row>
    <row r="1219">
      <c r="O1219" s="230"/>
      <c r="R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  <c r="AI1219" s="230"/>
      <c r="AJ1219" s="230"/>
      <c r="AK1219" s="230"/>
      <c r="AL1219" s="230"/>
      <c r="AM1219" s="230"/>
      <c r="AN1219" s="230"/>
    </row>
    <row r="1220">
      <c r="O1220" s="230"/>
      <c r="R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  <c r="AI1220" s="230"/>
      <c r="AJ1220" s="230"/>
      <c r="AK1220" s="230"/>
      <c r="AL1220" s="230"/>
      <c r="AM1220" s="230"/>
      <c r="AN1220" s="230"/>
    </row>
    <row r="1221">
      <c r="O1221" s="230"/>
      <c r="R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  <c r="AI1221" s="230"/>
      <c r="AJ1221" s="230"/>
      <c r="AK1221" s="230"/>
      <c r="AL1221" s="230"/>
      <c r="AM1221" s="230"/>
      <c r="AN1221" s="230"/>
    </row>
    <row r="1222">
      <c r="O1222" s="230"/>
      <c r="R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  <c r="AI1222" s="230"/>
      <c r="AJ1222" s="230"/>
      <c r="AK1222" s="230"/>
      <c r="AL1222" s="230"/>
      <c r="AM1222" s="230"/>
      <c r="AN1222" s="230"/>
    </row>
    <row r="1223">
      <c r="O1223" s="230"/>
      <c r="R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  <c r="AI1223" s="230"/>
      <c r="AJ1223" s="230"/>
      <c r="AK1223" s="230"/>
      <c r="AL1223" s="230"/>
      <c r="AM1223" s="230"/>
      <c r="AN1223" s="230"/>
    </row>
    <row r="1224">
      <c r="O1224" s="230"/>
      <c r="R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  <c r="AI1224" s="230"/>
      <c r="AJ1224" s="230"/>
      <c r="AK1224" s="230"/>
      <c r="AL1224" s="230"/>
      <c r="AM1224" s="230"/>
      <c r="AN1224" s="230"/>
    </row>
    <row r="1225">
      <c r="O1225" s="230"/>
      <c r="R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  <c r="AI1225" s="230"/>
      <c r="AJ1225" s="230"/>
      <c r="AK1225" s="230"/>
      <c r="AL1225" s="230"/>
      <c r="AM1225" s="230"/>
      <c r="AN1225" s="230"/>
    </row>
    <row r="1226">
      <c r="O1226" s="230"/>
      <c r="R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  <c r="AI1226" s="230"/>
      <c r="AJ1226" s="230"/>
      <c r="AK1226" s="230"/>
      <c r="AL1226" s="230"/>
      <c r="AM1226" s="230"/>
      <c r="AN1226" s="230"/>
    </row>
    <row r="1227">
      <c r="O1227" s="230"/>
      <c r="R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  <c r="AI1227" s="230"/>
      <c r="AJ1227" s="230"/>
      <c r="AK1227" s="230"/>
      <c r="AL1227" s="230"/>
      <c r="AM1227" s="230"/>
      <c r="AN1227" s="230"/>
    </row>
    <row r="1228">
      <c r="O1228" s="230"/>
      <c r="R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  <c r="AI1228" s="230"/>
      <c r="AJ1228" s="230"/>
      <c r="AK1228" s="230"/>
      <c r="AL1228" s="230"/>
      <c r="AM1228" s="230"/>
      <c r="AN1228" s="230"/>
    </row>
    <row r="1229">
      <c r="O1229" s="230"/>
      <c r="R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  <c r="AI1229" s="230"/>
      <c r="AJ1229" s="230"/>
      <c r="AK1229" s="230"/>
      <c r="AL1229" s="230"/>
      <c r="AM1229" s="230"/>
      <c r="AN1229" s="230"/>
    </row>
    <row r="1230">
      <c r="O1230" s="230"/>
      <c r="R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  <c r="AI1230" s="230"/>
      <c r="AJ1230" s="230"/>
      <c r="AK1230" s="230"/>
      <c r="AL1230" s="230"/>
      <c r="AM1230" s="230"/>
      <c r="AN1230" s="230"/>
    </row>
    <row r="1231">
      <c r="O1231" s="230"/>
      <c r="R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  <c r="AI1231" s="230"/>
      <c r="AJ1231" s="230"/>
      <c r="AK1231" s="230"/>
      <c r="AL1231" s="230"/>
      <c r="AM1231" s="230"/>
      <c r="AN1231" s="230"/>
    </row>
    <row r="1232">
      <c r="O1232" s="230"/>
      <c r="R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  <c r="AI1232" s="230"/>
      <c r="AJ1232" s="230"/>
      <c r="AK1232" s="230"/>
      <c r="AL1232" s="230"/>
      <c r="AM1232" s="230"/>
      <c r="AN1232" s="230"/>
    </row>
    <row r="1233">
      <c r="O1233" s="230"/>
      <c r="R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  <c r="AI1233" s="230"/>
      <c r="AJ1233" s="230"/>
      <c r="AK1233" s="230"/>
      <c r="AL1233" s="230"/>
      <c r="AM1233" s="230"/>
      <c r="AN1233" s="230"/>
    </row>
    <row r="1234">
      <c r="O1234" s="230"/>
      <c r="R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  <c r="AI1234" s="230"/>
      <c r="AJ1234" s="230"/>
      <c r="AK1234" s="230"/>
      <c r="AL1234" s="230"/>
      <c r="AM1234" s="230"/>
      <c r="AN1234" s="230"/>
    </row>
    <row r="1235">
      <c r="O1235" s="230"/>
      <c r="R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  <c r="AI1235" s="230"/>
      <c r="AJ1235" s="230"/>
      <c r="AK1235" s="230"/>
      <c r="AL1235" s="230"/>
      <c r="AM1235" s="230"/>
      <c r="AN1235" s="230"/>
    </row>
    <row r="1236">
      <c r="O1236" s="230"/>
      <c r="R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  <c r="AI1236" s="230"/>
      <c r="AJ1236" s="230"/>
      <c r="AK1236" s="230"/>
      <c r="AL1236" s="230"/>
      <c r="AM1236" s="230"/>
      <c r="AN1236" s="230"/>
    </row>
    <row r="1237">
      <c r="O1237" s="230"/>
      <c r="R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  <c r="AI1237" s="230"/>
      <c r="AJ1237" s="230"/>
      <c r="AK1237" s="230"/>
      <c r="AL1237" s="230"/>
      <c r="AM1237" s="230"/>
      <c r="AN1237" s="230"/>
    </row>
    <row r="1238">
      <c r="O1238" s="230"/>
      <c r="R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  <c r="AI1238" s="230"/>
      <c r="AJ1238" s="230"/>
      <c r="AK1238" s="230"/>
      <c r="AL1238" s="230"/>
      <c r="AM1238" s="230"/>
      <c r="AN1238" s="230"/>
    </row>
    <row r="1239">
      <c r="O1239" s="230"/>
      <c r="R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  <c r="AI1239" s="230"/>
      <c r="AJ1239" s="230"/>
      <c r="AK1239" s="230"/>
      <c r="AL1239" s="230"/>
      <c r="AM1239" s="230"/>
      <c r="AN1239" s="230"/>
    </row>
    <row r="1240">
      <c r="O1240" s="230"/>
      <c r="R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  <c r="AI1240" s="230"/>
      <c r="AJ1240" s="230"/>
      <c r="AK1240" s="230"/>
      <c r="AL1240" s="230"/>
      <c r="AM1240" s="230"/>
      <c r="AN1240" s="230"/>
    </row>
    <row r="1241">
      <c r="O1241" s="230"/>
      <c r="R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  <c r="AI1241" s="230"/>
      <c r="AJ1241" s="230"/>
      <c r="AK1241" s="230"/>
      <c r="AL1241" s="230"/>
      <c r="AM1241" s="230"/>
      <c r="AN1241" s="230"/>
    </row>
    <row r="1242">
      <c r="O1242" s="230"/>
      <c r="R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  <c r="AI1242" s="230"/>
      <c r="AJ1242" s="230"/>
      <c r="AK1242" s="230"/>
      <c r="AL1242" s="230"/>
      <c r="AM1242" s="230"/>
      <c r="AN1242" s="230"/>
    </row>
    <row r="1243">
      <c r="O1243" s="230"/>
      <c r="R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  <c r="AI1243" s="230"/>
      <c r="AJ1243" s="230"/>
      <c r="AK1243" s="230"/>
      <c r="AL1243" s="230"/>
      <c r="AM1243" s="230"/>
      <c r="AN1243" s="230"/>
    </row>
    <row r="1244">
      <c r="O1244" s="230"/>
      <c r="R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  <c r="AI1244" s="230"/>
      <c r="AJ1244" s="230"/>
      <c r="AK1244" s="230"/>
      <c r="AL1244" s="230"/>
      <c r="AM1244" s="230"/>
      <c r="AN1244" s="230"/>
    </row>
    <row r="1245">
      <c r="O1245" s="230"/>
      <c r="R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  <c r="AI1245" s="230"/>
      <c r="AJ1245" s="230"/>
      <c r="AK1245" s="230"/>
      <c r="AL1245" s="230"/>
      <c r="AM1245" s="230"/>
      <c r="AN1245" s="230"/>
    </row>
    <row r="1246">
      <c r="O1246" s="230"/>
      <c r="R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  <c r="AI1246" s="230"/>
      <c r="AJ1246" s="230"/>
      <c r="AK1246" s="230"/>
      <c r="AL1246" s="230"/>
      <c r="AM1246" s="230"/>
      <c r="AN1246" s="230"/>
    </row>
    <row r="1247">
      <c r="O1247" s="230"/>
      <c r="R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  <c r="AI1247" s="230"/>
      <c r="AJ1247" s="230"/>
      <c r="AK1247" s="230"/>
      <c r="AL1247" s="230"/>
      <c r="AM1247" s="230"/>
      <c r="AN1247" s="230"/>
    </row>
    <row r="1248">
      <c r="O1248" s="230"/>
      <c r="R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  <c r="AI1248" s="230"/>
      <c r="AJ1248" s="230"/>
      <c r="AK1248" s="230"/>
      <c r="AL1248" s="230"/>
      <c r="AM1248" s="230"/>
      <c r="AN1248" s="230"/>
    </row>
    <row r="1249">
      <c r="O1249" s="230"/>
      <c r="R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  <c r="AI1249" s="230"/>
      <c r="AJ1249" s="230"/>
      <c r="AK1249" s="230"/>
      <c r="AL1249" s="230"/>
      <c r="AM1249" s="230"/>
      <c r="AN1249" s="230"/>
    </row>
    <row r="1250">
      <c r="O1250" s="230"/>
      <c r="R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  <c r="AI1250" s="230"/>
      <c r="AJ1250" s="230"/>
      <c r="AK1250" s="230"/>
      <c r="AL1250" s="230"/>
      <c r="AM1250" s="230"/>
      <c r="AN1250" s="230"/>
    </row>
    <row r="1251">
      <c r="O1251" s="230"/>
      <c r="R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  <c r="AI1251" s="230"/>
      <c r="AJ1251" s="230"/>
      <c r="AK1251" s="230"/>
      <c r="AL1251" s="230"/>
      <c r="AM1251" s="230"/>
      <c r="AN1251" s="230"/>
    </row>
    <row r="1252">
      <c r="O1252" s="230"/>
      <c r="R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  <c r="AI1252" s="230"/>
      <c r="AJ1252" s="230"/>
      <c r="AK1252" s="230"/>
      <c r="AL1252" s="230"/>
      <c r="AM1252" s="230"/>
      <c r="AN1252" s="230"/>
    </row>
    <row r="1253">
      <c r="O1253" s="230"/>
      <c r="R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  <c r="AI1253" s="230"/>
      <c r="AJ1253" s="230"/>
      <c r="AK1253" s="230"/>
      <c r="AL1253" s="230"/>
      <c r="AM1253" s="230"/>
      <c r="AN1253" s="230"/>
    </row>
    <row r="1254">
      <c r="O1254" s="230"/>
      <c r="R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  <c r="AI1254" s="230"/>
      <c r="AJ1254" s="230"/>
      <c r="AK1254" s="230"/>
      <c r="AL1254" s="230"/>
      <c r="AM1254" s="230"/>
      <c r="AN1254" s="230"/>
    </row>
    <row r="1255">
      <c r="O1255" s="230"/>
      <c r="R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  <c r="AI1255" s="230"/>
      <c r="AJ1255" s="230"/>
      <c r="AK1255" s="230"/>
      <c r="AL1255" s="230"/>
      <c r="AM1255" s="230"/>
      <c r="AN1255" s="230"/>
    </row>
    <row r="1256">
      <c r="O1256" s="230"/>
      <c r="R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  <c r="AI1256" s="230"/>
      <c r="AJ1256" s="230"/>
      <c r="AK1256" s="230"/>
      <c r="AL1256" s="230"/>
      <c r="AM1256" s="230"/>
      <c r="AN1256" s="230"/>
    </row>
    <row r="1257">
      <c r="O1257" s="230"/>
      <c r="R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  <c r="AI1257" s="230"/>
      <c r="AJ1257" s="230"/>
      <c r="AK1257" s="230"/>
      <c r="AL1257" s="230"/>
      <c r="AM1257" s="230"/>
      <c r="AN1257" s="230"/>
    </row>
    <row r="1258">
      <c r="O1258" s="230"/>
      <c r="R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  <c r="AI1258" s="230"/>
      <c r="AJ1258" s="230"/>
      <c r="AK1258" s="230"/>
      <c r="AL1258" s="230"/>
      <c r="AM1258" s="230"/>
      <c r="AN1258" s="230"/>
    </row>
    <row r="1259">
      <c r="O1259" s="230"/>
      <c r="R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  <c r="AI1259" s="230"/>
      <c r="AJ1259" s="230"/>
      <c r="AK1259" s="230"/>
      <c r="AL1259" s="230"/>
      <c r="AM1259" s="230"/>
      <c r="AN1259" s="230"/>
    </row>
    <row r="1260">
      <c r="O1260" s="230"/>
      <c r="R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  <c r="AI1260" s="230"/>
      <c r="AJ1260" s="230"/>
      <c r="AK1260" s="230"/>
      <c r="AL1260" s="230"/>
      <c r="AM1260" s="230"/>
      <c r="AN1260" s="230"/>
    </row>
    <row r="1261">
      <c r="O1261" s="230"/>
      <c r="R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  <c r="AI1261" s="230"/>
      <c r="AJ1261" s="230"/>
      <c r="AK1261" s="230"/>
      <c r="AL1261" s="230"/>
      <c r="AM1261" s="230"/>
      <c r="AN1261" s="230"/>
    </row>
    <row r="1262">
      <c r="O1262" s="230"/>
      <c r="R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  <c r="AI1262" s="230"/>
      <c r="AJ1262" s="230"/>
      <c r="AK1262" s="230"/>
      <c r="AL1262" s="230"/>
      <c r="AM1262" s="230"/>
      <c r="AN1262" s="230"/>
    </row>
    <row r="1263">
      <c r="O1263" s="230"/>
      <c r="R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  <c r="AI1263" s="230"/>
      <c r="AJ1263" s="230"/>
      <c r="AK1263" s="230"/>
      <c r="AL1263" s="230"/>
      <c r="AM1263" s="230"/>
      <c r="AN1263" s="230"/>
    </row>
    <row r="1264">
      <c r="O1264" s="230"/>
      <c r="R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  <c r="AI1264" s="230"/>
      <c r="AJ1264" s="230"/>
      <c r="AK1264" s="230"/>
      <c r="AL1264" s="230"/>
      <c r="AM1264" s="230"/>
      <c r="AN1264" s="230"/>
    </row>
    <row r="1265">
      <c r="O1265" s="230"/>
      <c r="R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  <c r="AI1265" s="230"/>
      <c r="AJ1265" s="230"/>
      <c r="AK1265" s="230"/>
      <c r="AL1265" s="230"/>
      <c r="AM1265" s="230"/>
      <c r="AN1265" s="230"/>
    </row>
    <row r="1266">
      <c r="O1266" s="230"/>
      <c r="R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  <c r="AI1266" s="230"/>
      <c r="AJ1266" s="230"/>
      <c r="AK1266" s="230"/>
      <c r="AL1266" s="230"/>
      <c r="AM1266" s="230"/>
      <c r="AN1266" s="230"/>
    </row>
    <row r="1267">
      <c r="O1267" s="230"/>
      <c r="R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  <c r="AI1267" s="230"/>
      <c r="AJ1267" s="230"/>
      <c r="AK1267" s="230"/>
      <c r="AL1267" s="230"/>
      <c r="AM1267" s="230"/>
      <c r="AN1267" s="230"/>
    </row>
    <row r="1268">
      <c r="O1268" s="230"/>
      <c r="R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  <c r="AI1268" s="230"/>
      <c r="AJ1268" s="230"/>
      <c r="AK1268" s="230"/>
      <c r="AL1268" s="230"/>
      <c r="AM1268" s="230"/>
      <c r="AN1268" s="230"/>
    </row>
    <row r="1269">
      <c r="O1269" s="230"/>
      <c r="R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  <c r="AI1269" s="230"/>
      <c r="AJ1269" s="230"/>
      <c r="AK1269" s="230"/>
      <c r="AL1269" s="230"/>
      <c r="AM1269" s="230"/>
      <c r="AN1269" s="230"/>
    </row>
    <row r="1270">
      <c r="O1270" s="230"/>
      <c r="R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  <c r="AI1270" s="230"/>
      <c r="AJ1270" s="230"/>
      <c r="AK1270" s="230"/>
      <c r="AL1270" s="230"/>
      <c r="AM1270" s="230"/>
      <c r="AN1270" s="230"/>
    </row>
    <row r="1271">
      <c r="O1271" s="230"/>
      <c r="R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  <c r="AI1271" s="230"/>
      <c r="AJ1271" s="230"/>
      <c r="AK1271" s="230"/>
      <c r="AL1271" s="230"/>
      <c r="AM1271" s="230"/>
      <c r="AN1271" s="230"/>
    </row>
    <row r="1272">
      <c r="O1272" s="230"/>
      <c r="R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  <c r="AI1272" s="230"/>
      <c r="AJ1272" s="230"/>
      <c r="AK1272" s="230"/>
      <c r="AL1272" s="230"/>
      <c r="AM1272" s="230"/>
      <c r="AN1272" s="230"/>
    </row>
    <row r="1273">
      <c r="O1273" s="230"/>
      <c r="R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  <c r="AI1273" s="230"/>
      <c r="AJ1273" s="230"/>
      <c r="AK1273" s="230"/>
      <c r="AL1273" s="230"/>
      <c r="AM1273" s="230"/>
      <c r="AN1273" s="230"/>
    </row>
    <row r="1274">
      <c r="O1274" s="230"/>
      <c r="R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  <c r="AI1274" s="230"/>
      <c r="AJ1274" s="230"/>
      <c r="AK1274" s="230"/>
      <c r="AL1274" s="230"/>
      <c r="AM1274" s="230"/>
      <c r="AN1274" s="230"/>
    </row>
    <row r="1275">
      <c r="O1275" s="230"/>
      <c r="R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  <c r="AI1275" s="230"/>
      <c r="AJ1275" s="230"/>
      <c r="AK1275" s="230"/>
      <c r="AL1275" s="230"/>
      <c r="AM1275" s="230"/>
      <c r="AN1275" s="230"/>
    </row>
    <row r="1276">
      <c r="O1276" s="230"/>
      <c r="R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  <c r="AI1276" s="230"/>
      <c r="AJ1276" s="230"/>
      <c r="AK1276" s="230"/>
      <c r="AL1276" s="230"/>
      <c r="AM1276" s="230"/>
      <c r="AN1276" s="230"/>
    </row>
    <row r="1277">
      <c r="O1277" s="230"/>
      <c r="R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  <c r="AI1277" s="230"/>
      <c r="AJ1277" s="230"/>
      <c r="AK1277" s="230"/>
      <c r="AL1277" s="230"/>
      <c r="AM1277" s="230"/>
      <c r="AN1277" s="230"/>
    </row>
    <row r="1278">
      <c r="O1278" s="230"/>
      <c r="R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  <c r="AI1278" s="230"/>
      <c r="AJ1278" s="230"/>
      <c r="AK1278" s="230"/>
      <c r="AL1278" s="230"/>
      <c r="AM1278" s="230"/>
      <c r="AN1278" s="230"/>
    </row>
    <row r="1279">
      <c r="O1279" s="230"/>
      <c r="R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  <c r="AI1279" s="230"/>
      <c r="AJ1279" s="230"/>
      <c r="AK1279" s="230"/>
      <c r="AL1279" s="230"/>
      <c r="AM1279" s="230"/>
      <c r="AN1279" s="230"/>
    </row>
    <row r="1280">
      <c r="O1280" s="230"/>
      <c r="R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  <c r="AI1280" s="230"/>
      <c r="AJ1280" s="230"/>
      <c r="AK1280" s="230"/>
      <c r="AL1280" s="230"/>
      <c r="AM1280" s="230"/>
      <c r="AN1280" s="230"/>
    </row>
    <row r="1281">
      <c r="O1281" s="230"/>
      <c r="R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  <c r="AI1281" s="230"/>
      <c r="AJ1281" s="230"/>
      <c r="AK1281" s="230"/>
      <c r="AL1281" s="230"/>
      <c r="AM1281" s="230"/>
      <c r="AN1281" s="230"/>
    </row>
    <row r="1282">
      <c r="O1282" s="230"/>
      <c r="R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  <c r="AI1282" s="230"/>
      <c r="AJ1282" s="230"/>
      <c r="AK1282" s="230"/>
      <c r="AL1282" s="230"/>
      <c r="AM1282" s="230"/>
      <c r="AN1282" s="230"/>
    </row>
    <row r="1283">
      <c r="O1283" s="230"/>
      <c r="R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  <c r="AI1283" s="230"/>
      <c r="AJ1283" s="230"/>
      <c r="AK1283" s="230"/>
      <c r="AL1283" s="230"/>
      <c r="AM1283" s="230"/>
      <c r="AN1283" s="230"/>
    </row>
    <row r="1284">
      <c r="O1284" s="230"/>
      <c r="R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  <c r="AI1284" s="230"/>
      <c r="AJ1284" s="230"/>
      <c r="AK1284" s="230"/>
      <c r="AL1284" s="230"/>
      <c r="AM1284" s="230"/>
      <c r="AN1284" s="230"/>
    </row>
    <row r="1285">
      <c r="O1285" s="230"/>
      <c r="R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  <c r="AI1285" s="230"/>
      <c r="AJ1285" s="230"/>
      <c r="AK1285" s="230"/>
      <c r="AL1285" s="230"/>
      <c r="AM1285" s="230"/>
      <c r="AN1285" s="230"/>
    </row>
    <row r="1286">
      <c r="O1286" s="230"/>
      <c r="R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  <c r="AI1286" s="230"/>
      <c r="AJ1286" s="230"/>
      <c r="AK1286" s="230"/>
      <c r="AL1286" s="230"/>
      <c r="AM1286" s="230"/>
      <c r="AN1286" s="230"/>
    </row>
    <row r="1287">
      <c r="O1287" s="230"/>
      <c r="R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  <c r="AI1287" s="230"/>
      <c r="AJ1287" s="230"/>
      <c r="AK1287" s="230"/>
      <c r="AL1287" s="230"/>
      <c r="AM1287" s="230"/>
      <c r="AN1287" s="230"/>
    </row>
    <row r="1288">
      <c r="O1288" s="230"/>
      <c r="R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  <c r="AI1288" s="230"/>
      <c r="AJ1288" s="230"/>
      <c r="AK1288" s="230"/>
      <c r="AL1288" s="230"/>
      <c r="AM1288" s="230"/>
      <c r="AN1288" s="230"/>
    </row>
    <row r="1289">
      <c r="O1289" s="230"/>
      <c r="R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  <c r="AI1289" s="230"/>
      <c r="AJ1289" s="230"/>
      <c r="AK1289" s="230"/>
      <c r="AL1289" s="230"/>
      <c r="AM1289" s="230"/>
      <c r="AN1289" s="230"/>
    </row>
    <row r="1290">
      <c r="O1290" s="230"/>
      <c r="R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  <c r="AI1290" s="230"/>
      <c r="AJ1290" s="230"/>
      <c r="AK1290" s="230"/>
      <c r="AL1290" s="230"/>
      <c r="AM1290" s="230"/>
      <c r="AN1290" s="230"/>
    </row>
    <row r="1291">
      <c r="O1291" s="230"/>
      <c r="R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  <c r="AI1291" s="230"/>
      <c r="AJ1291" s="230"/>
      <c r="AK1291" s="230"/>
      <c r="AL1291" s="230"/>
      <c r="AM1291" s="230"/>
      <c r="AN1291" s="230"/>
    </row>
    <row r="1292">
      <c r="O1292" s="230"/>
      <c r="R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  <c r="AI1292" s="230"/>
      <c r="AJ1292" s="230"/>
      <c r="AK1292" s="230"/>
      <c r="AL1292" s="230"/>
      <c r="AM1292" s="230"/>
      <c r="AN1292" s="230"/>
    </row>
    <row r="1293">
      <c r="O1293" s="230"/>
      <c r="R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  <c r="AI1293" s="230"/>
      <c r="AJ1293" s="230"/>
      <c r="AK1293" s="230"/>
      <c r="AL1293" s="230"/>
      <c r="AM1293" s="230"/>
      <c r="AN1293" s="230"/>
    </row>
    <row r="1294">
      <c r="O1294" s="230"/>
      <c r="R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  <c r="AI1294" s="230"/>
      <c r="AJ1294" s="230"/>
      <c r="AK1294" s="230"/>
      <c r="AL1294" s="230"/>
      <c r="AM1294" s="230"/>
      <c r="AN1294" s="230"/>
    </row>
    <row r="1295">
      <c r="O1295" s="230"/>
      <c r="R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  <c r="AI1295" s="230"/>
      <c r="AJ1295" s="230"/>
      <c r="AK1295" s="230"/>
      <c r="AL1295" s="230"/>
      <c r="AM1295" s="230"/>
      <c r="AN1295" s="230"/>
    </row>
    <row r="1296">
      <c r="O1296" s="230"/>
      <c r="R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  <c r="AI1296" s="230"/>
      <c r="AJ1296" s="230"/>
      <c r="AK1296" s="230"/>
      <c r="AL1296" s="230"/>
      <c r="AM1296" s="230"/>
      <c r="AN1296" s="230"/>
    </row>
    <row r="1297">
      <c r="O1297" s="230"/>
      <c r="R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  <c r="AI1297" s="230"/>
      <c r="AJ1297" s="230"/>
      <c r="AK1297" s="230"/>
      <c r="AL1297" s="230"/>
      <c r="AM1297" s="230"/>
      <c r="AN1297" s="230"/>
    </row>
    <row r="1298">
      <c r="O1298" s="230"/>
      <c r="R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  <c r="AI1298" s="230"/>
      <c r="AJ1298" s="230"/>
      <c r="AK1298" s="230"/>
      <c r="AL1298" s="230"/>
      <c r="AM1298" s="230"/>
      <c r="AN1298" s="230"/>
    </row>
    <row r="1299">
      <c r="O1299" s="230"/>
      <c r="R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  <c r="AI1299" s="230"/>
      <c r="AJ1299" s="230"/>
      <c r="AK1299" s="230"/>
      <c r="AL1299" s="230"/>
      <c r="AM1299" s="230"/>
      <c r="AN1299" s="230"/>
    </row>
    <row r="1300">
      <c r="O1300" s="230"/>
      <c r="R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  <c r="AI1300" s="230"/>
      <c r="AJ1300" s="230"/>
      <c r="AK1300" s="230"/>
      <c r="AL1300" s="230"/>
      <c r="AM1300" s="230"/>
      <c r="AN1300" s="230"/>
    </row>
    <row r="1301">
      <c r="O1301" s="230"/>
      <c r="R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  <c r="AI1301" s="230"/>
      <c r="AJ1301" s="230"/>
      <c r="AK1301" s="230"/>
      <c r="AL1301" s="230"/>
      <c r="AM1301" s="230"/>
      <c r="AN1301" s="230"/>
    </row>
    <row r="1302">
      <c r="O1302" s="230"/>
      <c r="R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  <c r="AI1302" s="230"/>
      <c r="AJ1302" s="230"/>
      <c r="AK1302" s="230"/>
      <c r="AL1302" s="230"/>
      <c r="AM1302" s="230"/>
      <c r="AN1302" s="230"/>
    </row>
    <row r="1303">
      <c r="O1303" s="230"/>
      <c r="R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  <c r="AI1303" s="230"/>
      <c r="AJ1303" s="230"/>
      <c r="AK1303" s="230"/>
      <c r="AL1303" s="230"/>
      <c r="AM1303" s="230"/>
      <c r="AN1303" s="230"/>
    </row>
    <row r="1304">
      <c r="O1304" s="230"/>
      <c r="R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  <c r="AI1304" s="230"/>
      <c r="AJ1304" s="230"/>
      <c r="AK1304" s="230"/>
      <c r="AL1304" s="230"/>
      <c r="AM1304" s="230"/>
      <c r="AN1304" s="230"/>
    </row>
    <row r="1305">
      <c r="O1305" s="230"/>
      <c r="R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  <c r="AI1305" s="230"/>
      <c r="AJ1305" s="230"/>
      <c r="AK1305" s="230"/>
      <c r="AL1305" s="230"/>
      <c r="AM1305" s="230"/>
      <c r="AN1305" s="230"/>
    </row>
    <row r="1306">
      <c r="O1306" s="230"/>
      <c r="R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  <c r="AI1306" s="230"/>
      <c r="AJ1306" s="230"/>
      <c r="AK1306" s="230"/>
      <c r="AL1306" s="230"/>
      <c r="AM1306" s="230"/>
      <c r="AN1306" s="230"/>
    </row>
    <row r="1307">
      <c r="O1307" s="230"/>
      <c r="R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  <c r="AI1307" s="230"/>
      <c r="AJ1307" s="230"/>
      <c r="AK1307" s="230"/>
      <c r="AL1307" s="230"/>
      <c r="AM1307" s="230"/>
      <c r="AN1307" s="230"/>
    </row>
    <row r="1308">
      <c r="O1308" s="230"/>
      <c r="R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  <c r="AI1308" s="230"/>
      <c r="AJ1308" s="230"/>
      <c r="AK1308" s="230"/>
      <c r="AL1308" s="230"/>
      <c r="AM1308" s="230"/>
      <c r="AN1308" s="230"/>
    </row>
    <row r="1309">
      <c r="O1309" s="230"/>
      <c r="R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  <c r="AI1309" s="230"/>
      <c r="AJ1309" s="230"/>
      <c r="AK1309" s="230"/>
      <c r="AL1309" s="230"/>
      <c r="AM1309" s="230"/>
      <c r="AN1309" s="230"/>
    </row>
    <row r="1310">
      <c r="O1310" s="230"/>
      <c r="R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  <c r="AI1310" s="230"/>
      <c r="AJ1310" s="230"/>
      <c r="AK1310" s="230"/>
      <c r="AL1310" s="230"/>
      <c r="AM1310" s="230"/>
      <c r="AN1310" s="230"/>
    </row>
    <row r="1311">
      <c r="O1311" s="230"/>
      <c r="R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  <c r="AI1311" s="230"/>
      <c r="AJ1311" s="230"/>
      <c r="AK1311" s="230"/>
      <c r="AL1311" s="230"/>
      <c r="AM1311" s="230"/>
      <c r="AN1311" s="230"/>
    </row>
    <row r="1312">
      <c r="O1312" s="230"/>
      <c r="R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  <c r="AI1312" s="230"/>
      <c r="AJ1312" s="230"/>
      <c r="AK1312" s="230"/>
      <c r="AL1312" s="230"/>
      <c r="AM1312" s="230"/>
      <c r="AN1312" s="230"/>
    </row>
    <row r="1313">
      <c r="O1313" s="230"/>
      <c r="R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  <c r="AI1313" s="230"/>
      <c r="AJ1313" s="230"/>
      <c r="AK1313" s="230"/>
      <c r="AL1313" s="230"/>
      <c r="AM1313" s="230"/>
      <c r="AN1313" s="230"/>
    </row>
    <row r="1314">
      <c r="O1314" s="230"/>
      <c r="R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  <c r="AI1314" s="230"/>
      <c r="AJ1314" s="230"/>
      <c r="AK1314" s="230"/>
      <c r="AL1314" s="230"/>
      <c r="AM1314" s="230"/>
      <c r="AN1314" s="230"/>
    </row>
    <row r="1315">
      <c r="O1315" s="230"/>
      <c r="R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  <c r="AI1315" s="230"/>
      <c r="AJ1315" s="230"/>
      <c r="AK1315" s="230"/>
      <c r="AL1315" s="230"/>
      <c r="AM1315" s="230"/>
      <c r="AN1315" s="230"/>
    </row>
    <row r="1316">
      <c r="O1316" s="230"/>
      <c r="R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  <c r="AI1316" s="230"/>
      <c r="AJ1316" s="230"/>
      <c r="AK1316" s="230"/>
      <c r="AL1316" s="230"/>
      <c r="AM1316" s="230"/>
      <c r="AN1316" s="230"/>
    </row>
    <row r="1317">
      <c r="O1317" s="230"/>
      <c r="R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  <c r="AI1317" s="230"/>
      <c r="AJ1317" s="230"/>
      <c r="AK1317" s="230"/>
      <c r="AL1317" s="230"/>
      <c r="AM1317" s="230"/>
      <c r="AN1317" s="230"/>
    </row>
    <row r="1318">
      <c r="O1318" s="230"/>
      <c r="R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  <c r="AI1318" s="230"/>
      <c r="AJ1318" s="230"/>
      <c r="AK1318" s="230"/>
      <c r="AL1318" s="230"/>
      <c r="AM1318" s="230"/>
      <c r="AN1318" s="230"/>
    </row>
    <row r="1319">
      <c r="O1319" s="230"/>
      <c r="R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  <c r="AI1319" s="230"/>
      <c r="AJ1319" s="230"/>
      <c r="AK1319" s="230"/>
      <c r="AL1319" s="230"/>
      <c r="AM1319" s="230"/>
      <c r="AN1319" s="230"/>
    </row>
    <row r="1320">
      <c r="O1320" s="230"/>
      <c r="R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  <c r="AI1320" s="230"/>
      <c r="AJ1320" s="230"/>
      <c r="AK1320" s="230"/>
      <c r="AL1320" s="230"/>
      <c r="AM1320" s="230"/>
      <c r="AN1320" s="230"/>
    </row>
    <row r="1321">
      <c r="O1321" s="230"/>
      <c r="R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  <c r="AI1321" s="230"/>
      <c r="AJ1321" s="230"/>
      <c r="AK1321" s="230"/>
      <c r="AL1321" s="230"/>
      <c r="AM1321" s="230"/>
      <c r="AN1321" s="230"/>
    </row>
    <row r="1322">
      <c r="O1322" s="230"/>
      <c r="R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  <c r="AI1322" s="230"/>
      <c r="AJ1322" s="230"/>
      <c r="AK1322" s="230"/>
      <c r="AL1322" s="230"/>
      <c r="AM1322" s="230"/>
      <c r="AN1322" s="230"/>
    </row>
    <row r="1323">
      <c r="O1323" s="230"/>
      <c r="R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  <c r="AI1323" s="230"/>
      <c r="AJ1323" s="230"/>
      <c r="AK1323" s="230"/>
      <c r="AL1323" s="230"/>
      <c r="AM1323" s="230"/>
      <c r="AN1323" s="230"/>
    </row>
    <row r="1324">
      <c r="O1324" s="230"/>
      <c r="R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  <c r="AI1324" s="230"/>
      <c r="AJ1324" s="230"/>
      <c r="AK1324" s="230"/>
      <c r="AL1324" s="230"/>
      <c r="AM1324" s="230"/>
      <c r="AN1324" s="230"/>
    </row>
    <row r="1325">
      <c r="O1325" s="230"/>
      <c r="R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  <c r="AI1325" s="230"/>
      <c r="AJ1325" s="230"/>
      <c r="AK1325" s="230"/>
      <c r="AL1325" s="230"/>
      <c r="AM1325" s="230"/>
      <c r="AN1325" s="230"/>
    </row>
    <row r="1326">
      <c r="O1326" s="230"/>
      <c r="R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  <c r="AI1326" s="230"/>
      <c r="AJ1326" s="230"/>
      <c r="AK1326" s="230"/>
      <c r="AL1326" s="230"/>
      <c r="AM1326" s="230"/>
      <c r="AN1326" s="230"/>
    </row>
    <row r="1327">
      <c r="O1327" s="230"/>
      <c r="R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  <c r="AI1327" s="230"/>
      <c r="AJ1327" s="230"/>
      <c r="AK1327" s="230"/>
      <c r="AL1327" s="230"/>
      <c r="AM1327" s="230"/>
      <c r="AN1327" s="230"/>
    </row>
    <row r="1328">
      <c r="O1328" s="230"/>
      <c r="R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  <c r="AI1328" s="230"/>
      <c r="AJ1328" s="230"/>
      <c r="AK1328" s="230"/>
      <c r="AL1328" s="230"/>
      <c r="AM1328" s="230"/>
      <c r="AN1328" s="230"/>
    </row>
    <row r="1329">
      <c r="O1329" s="230"/>
      <c r="R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  <c r="AI1329" s="230"/>
      <c r="AJ1329" s="230"/>
      <c r="AK1329" s="230"/>
      <c r="AL1329" s="230"/>
      <c r="AM1329" s="230"/>
      <c r="AN1329" s="230"/>
    </row>
    <row r="1330">
      <c r="O1330" s="230"/>
      <c r="R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  <c r="AI1330" s="230"/>
      <c r="AJ1330" s="230"/>
      <c r="AK1330" s="230"/>
      <c r="AL1330" s="230"/>
      <c r="AM1330" s="230"/>
      <c r="AN1330" s="230"/>
    </row>
    <row r="1331">
      <c r="O1331" s="230"/>
      <c r="R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  <c r="AI1331" s="230"/>
      <c r="AJ1331" s="230"/>
      <c r="AK1331" s="230"/>
      <c r="AL1331" s="230"/>
      <c r="AM1331" s="230"/>
      <c r="AN1331" s="230"/>
    </row>
    <row r="1332">
      <c r="O1332" s="230"/>
      <c r="R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  <c r="AI1332" s="230"/>
      <c r="AJ1332" s="230"/>
      <c r="AK1332" s="230"/>
      <c r="AL1332" s="230"/>
      <c r="AM1332" s="230"/>
      <c r="AN1332" s="230"/>
    </row>
    <row r="1333">
      <c r="O1333" s="230"/>
      <c r="R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  <c r="AI1333" s="230"/>
      <c r="AJ1333" s="230"/>
      <c r="AK1333" s="230"/>
      <c r="AL1333" s="230"/>
      <c r="AM1333" s="230"/>
      <c r="AN1333" s="230"/>
    </row>
    <row r="1334">
      <c r="O1334" s="230"/>
      <c r="R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  <c r="AI1334" s="230"/>
      <c r="AJ1334" s="230"/>
      <c r="AK1334" s="230"/>
      <c r="AL1334" s="230"/>
      <c r="AM1334" s="230"/>
      <c r="AN1334" s="230"/>
    </row>
    <row r="1335">
      <c r="O1335" s="230"/>
      <c r="R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  <c r="AI1335" s="230"/>
      <c r="AJ1335" s="230"/>
      <c r="AK1335" s="230"/>
      <c r="AL1335" s="230"/>
      <c r="AM1335" s="230"/>
      <c r="AN1335" s="230"/>
    </row>
    <row r="1336">
      <c r="O1336" s="230"/>
      <c r="R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  <c r="AI1336" s="230"/>
      <c r="AJ1336" s="230"/>
      <c r="AK1336" s="230"/>
      <c r="AL1336" s="230"/>
      <c r="AM1336" s="230"/>
      <c r="AN1336" s="230"/>
    </row>
    <row r="1337">
      <c r="O1337" s="230"/>
      <c r="R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  <c r="AI1337" s="230"/>
      <c r="AJ1337" s="230"/>
      <c r="AK1337" s="230"/>
      <c r="AL1337" s="230"/>
      <c r="AM1337" s="230"/>
      <c r="AN1337" s="230"/>
    </row>
    <row r="1338">
      <c r="O1338" s="230"/>
      <c r="R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  <c r="AI1338" s="230"/>
      <c r="AJ1338" s="230"/>
      <c r="AK1338" s="230"/>
      <c r="AL1338" s="230"/>
      <c r="AM1338" s="230"/>
      <c r="AN1338" s="230"/>
    </row>
    <row r="1339">
      <c r="O1339" s="230"/>
      <c r="R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  <c r="AI1339" s="230"/>
      <c r="AJ1339" s="230"/>
      <c r="AK1339" s="230"/>
      <c r="AL1339" s="230"/>
      <c r="AM1339" s="230"/>
      <c r="AN1339" s="230"/>
    </row>
    <row r="1340">
      <c r="O1340" s="230"/>
      <c r="R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  <c r="AI1340" s="230"/>
      <c r="AJ1340" s="230"/>
      <c r="AK1340" s="230"/>
      <c r="AL1340" s="230"/>
      <c r="AM1340" s="230"/>
      <c r="AN1340" s="230"/>
    </row>
    <row r="1341">
      <c r="O1341" s="230"/>
      <c r="R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  <c r="AI1341" s="230"/>
      <c r="AJ1341" s="230"/>
      <c r="AK1341" s="230"/>
      <c r="AL1341" s="230"/>
      <c r="AM1341" s="230"/>
      <c r="AN1341" s="230"/>
    </row>
    <row r="1342">
      <c r="O1342" s="230"/>
      <c r="R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  <c r="AI1342" s="230"/>
      <c r="AJ1342" s="230"/>
      <c r="AK1342" s="230"/>
      <c r="AL1342" s="230"/>
      <c r="AM1342" s="230"/>
      <c r="AN1342" s="230"/>
    </row>
    <row r="1343">
      <c r="O1343" s="230"/>
      <c r="R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  <c r="AI1343" s="230"/>
      <c r="AJ1343" s="230"/>
      <c r="AK1343" s="230"/>
      <c r="AL1343" s="230"/>
      <c r="AM1343" s="230"/>
      <c r="AN1343" s="230"/>
    </row>
    <row r="1344">
      <c r="O1344" s="230"/>
      <c r="R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  <c r="AI1344" s="230"/>
      <c r="AJ1344" s="230"/>
      <c r="AK1344" s="230"/>
      <c r="AL1344" s="230"/>
      <c r="AM1344" s="230"/>
      <c r="AN1344" s="230"/>
    </row>
    <row r="1345">
      <c r="O1345" s="230"/>
      <c r="R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  <c r="AI1345" s="230"/>
      <c r="AJ1345" s="230"/>
      <c r="AK1345" s="230"/>
      <c r="AL1345" s="230"/>
      <c r="AM1345" s="230"/>
      <c r="AN1345" s="230"/>
    </row>
    <row r="1346">
      <c r="O1346" s="230"/>
      <c r="R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  <c r="AI1346" s="230"/>
      <c r="AJ1346" s="230"/>
      <c r="AK1346" s="230"/>
      <c r="AL1346" s="230"/>
      <c r="AM1346" s="230"/>
      <c r="AN1346" s="230"/>
    </row>
    <row r="1347">
      <c r="O1347" s="230"/>
      <c r="R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  <c r="AI1347" s="230"/>
      <c r="AJ1347" s="230"/>
      <c r="AK1347" s="230"/>
      <c r="AL1347" s="230"/>
      <c r="AM1347" s="230"/>
      <c r="AN1347" s="230"/>
    </row>
    <row r="1348">
      <c r="O1348" s="230"/>
      <c r="R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  <c r="AI1348" s="230"/>
      <c r="AJ1348" s="230"/>
      <c r="AK1348" s="230"/>
      <c r="AL1348" s="230"/>
      <c r="AM1348" s="230"/>
      <c r="AN1348" s="230"/>
    </row>
    <row r="1349">
      <c r="O1349" s="230"/>
      <c r="R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  <c r="AI1349" s="230"/>
      <c r="AJ1349" s="230"/>
      <c r="AK1349" s="230"/>
      <c r="AL1349" s="230"/>
      <c r="AM1349" s="230"/>
      <c r="AN1349" s="230"/>
    </row>
    <row r="1350">
      <c r="O1350" s="230"/>
      <c r="R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  <c r="AI1350" s="230"/>
      <c r="AJ1350" s="230"/>
      <c r="AK1350" s="230"/>
      <c r="AL1350" s="230"/>
      <c r="AM1350" s="230"/>
      <c r="AN1350" s="230"/>
    </row>
    <row r="1351">
      <c r="O1351" s="230"/>
      <c r="R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  <c r="AI1351" s="230"/>
      <c r="AJ1351" s="230"/>
      <c r="AK1351" s="230"/>
      <c r="AL1351" s="230"/>
      <c r="AM1351" s="230"/>
      <c r="AN1351" s="230"/>
    </row>
    <row r="1352">
      <c r="O1352" s="230"/>
      <c r="R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  <c r="AI1352" s="230"/>
      <c r="AJ1352" s="230"/>
      <c r="AK1352" s="230"/>
      <c r="AL1352" s="230"/>
      <c r="AM1352" s="230"/>
      <c r="AN1352" s="230"/>
    </row>
    <row r="1353">
      <c r="O1353" s="230"/>
      <c r="R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  <c r="AI1353" s="230"/>
      <c r="AJ1353" s="230"/>
      <c r="AK1353" s="230"/>
      <c r="AL1353" s="230"/>
      <c r="AM1353" s="230"/>
      <c r="AN1353" s="230"/>
    </row>
    <row r="1354">
      <c r="O1354" s="230"/>
      <c r="R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  <c r="AI1354" s="230"/>
      <c r="AJ1354" s="230"/>
      <c r="AK1354" s="230"/>
      <c r="AL1354" s="230"/>
      <c r="AM1354" s="230"/>
      <c r="AN1354" s="230"/>
    </row>
    <row r="1355">
      <c r="O1355" s="230"/>
      <c r="R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  <c r="AI1355" s="230"/>
      <c r="AJ1355" s="230"/>
      <c r="AK1355" s="230"/>
      <c r="AL1355" s="230"/>
      <c r="AM1355" s="230"/>
      <c r="AN1355" s="230"/>
    </row>
    <row r="1356">
      <c r="O1356" s="230"/>
      <c r="R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  <c r="AI1356" s="230"/>
      <c r="AJ1356" s="230"/>
      <c r="AK1356" s="230"/>
      <c r="AL1356" s="230"/>
      <c r="AM1356" s="230"/>
      <c r="AN1356" s="230"/>
    </row>
    <row r="1357">
      <c r="O1357" s="230"/>
      <c r="R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  <c r="AI1357" s="230"/>
      <c r="AJ1357" s="230"/>
      <c r="AK1357" s="230"/>
      <c r="AL1357" s="230"/>
      <c r="AM1357" s="230"/>
      <c r="AN1357" s="230"/>
    </row>
    <row r="1358">
      <c r="O1358" s="230"/>
      <c r="R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  <c r="AI1358" s="230"/>
      <c r="AJ1358" s="230"/>
      <c r="AK1358" s="230"/>
      <c r="AL1358" s="230"/>
      <c r="AM1358" s="230"/>
      <c r="AN1358" s="230"/>
    </row>
    <row r="1359">
      <c r="O1359" s="230"/>
      <c r="R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  <c r="AI1359" s="230"/>
      <c r="AJ1359" s="230"/>
      <c r="AK1359" s="230"/>
      <c r="AL1359" s="230"/>
      <c r="AM1359" s="230"/>
      <c r="AN1359" s="230"/>
    </row>
    <row r="1360">
      <c r="O1360" s="230"/>
      <c r="R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  <c r="AI1360" s="230"/>
      <c r="AJ1360" s="230"/>
      <c r="AK1360" s="230"/>
      <c r="AL1360" s="230"/>
      <c r="AM1360" s="230"/>
      <c r="AN1360" s="230"/>
    </row>
    <row r="1361">
      <c r="O1361" s="230"/>
      <c r="R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  <c r="AI1361" s="230"/>
      <c r="AJ1361" s="230"/>
      <c r="AK1361" s="230"/>
      <c r="AL1361" s="230"/>
      <c r="AM1361" s="230"/>
      <c r="AN1361" s="230"/>
    </row>
    <row r="1362">
      <c r="O1362" s="230"/>
      <c r="R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  <c r="AI1362" s="230"/>
      <c r="AJ1362" s="230"/>
      <c r="AK1362" s="230"/>
      <c r="AL1362" s="230"/>
      <c r="AM1362" s="230"/>
      <c r="AN1362" s="230"/>
    </row>
    <row r="1363">
      <c r="O1363" s="230"/>
      <c r="R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  <c r="AI1363" s="230"/>
      <c r="AJ1363" s="230"/>
      <c r="AK1363" s="230"/>
      <c r="AL1363" s="230"/>
      <c r="AM1363" s="230"/>
      <c r="AN1363" s="230"/>
    </row>
    <row r="1364">
      <c r="O1364" s="230"/>
      <c r="R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  <c r="AI1364" s="230"/>
      <c r="AJ1364" s="230"/>
      <c r="AK1364" s="230"/>
      <c r="AL1364" s="230"/>
      <c r="AM1364" s="230"/>
      <c r="AN1364" s="230"/>
    </row>
    <row r="1365">
      <c r="O1365" s="230"/>
      <c r="R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  <c r="AI1365" s="230"/>
      <c r="AJ1365" s="230"/>
      <c r="AK1365" s="230"/>
      <c r="AL1365" s="230"/>
      <c r="AM1365" s="230"/>
      <c r="AN1365" s="230"/>
    </row>
    <row r="1366">
      <c r="O1366" s="230"/>
      <c r="R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  <c r="AI1366" s="230"/>
      <c r="AJ1366" s="230"/>
      <c r="AK1366" s="230"/>
      <c r="AL1366" s="230"/>
      <c r="AM1366" s="230"/>
      <c r="AN1366" s="230"/>
    </row>
    <row r="1367">
      <c r="O1367" s="230"/>
      <c r="R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  <c r="AI1367" s="230"/>
      <c r="AJ1367" s="230"/>
      <c r="AK1367" s="230"/>
      <c r="AL1367" s="230"/>
      <c r="AM1367" s="230"/>
      <c r="AN1367" s="230"/>
    </row>
    <row r="1368">
      <c r="O1368" s="230"/>
      <c r="R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  <c r="AI1368" s="230"/>
      <c r="AJ1368" s="230"/>
      <c r="AK1368" s="230"/>
      <c r="AL1368" s="230"/>
      <c r="AM1368" s="230"/>
      <c r="AN1368" s="230"/>
    </row>
    <row r="1369">
      <c r="O1369" s="230"/>
      <c r="R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  <c r="AI1369" s="230"/>
      <c r="AJ1369" s="230"/>
      <c r="AK1369" s="230"/>
      <c r="AL1369" s="230"/>
      <c r="AM1369" s="230"/>
      <c r="AN1369" s="230"/>
    </row>
    <row r="1370">
      <c r="O1370" s="230"/>
      <c r="R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  <c r="AI1370" s="230"/>
      <c r="AJ1370" s="230"/>
      <c r="AK1370" s="230"/>
      <c r="AL1370" s="230"/>
      <c r="AM1370" s="230"/>
      <c r="AN1370" s="230"/>
    </row>
    <row r="1371">
      <c r="O1371" s="230"/>
      <c r="R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  <c r="AI1371" s="230"/>
      <c r="AJ1371" s="230"/>
      <c r="AK1371" s="230"/>
      <c r="AL1371" s="230"/>
      <c r="AM1371" s="230"/>
      <c r="AN1371" s="230"/>
    </row>
    <row r="1372">
      <c r="O1372" s="230"/>
      <c r="R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  <c r="AI1372" s="230"/>
      <c r="AJ1372" s="230"/>
      <c r="AK1372" s="230"/>
      <c r="AL1372" s="230"/>
      <c r="AM1372" s="230"/>
      <c r="AN1372" s="230"/>
    </row>
    <row r="1373">
      <c r="O1373" s="230"/>
      <c r="R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  <c r="AI1373" s="230"/>
      <c r="AJ1373" s="230"/>
      <c r="AK1373" s="230"/>
      <c r="AL1373" s="230"/>
      <c r="AM1373" s="230"/>
      <c r="AN1373" s="230"/>
    </row>
    <row r="1374">
      <c r="O1374" s="230"/>
      <c r="R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  <c r="AI1374" s="230"/>
      <c r="AJ1374" s="230"/>
      <c r="AK1374" s="230"/>
      <c r="AL1374" s="230"/>
      <c r="AM1374" s="230"/>
      <c r="AN1374" s="230"/>
    </row>
    <row r="1375">
      <c r="O1375" s="230"/>
      <c r="R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  <c r="AI1375" s="230"/>
      <c r="AJ1375" s="230"/>
      <c r="AK1375" s="230"/>
      <c r="AL1375" s="230"/>
      <c r="AM1375" s="230"/>
      <c r="AN1375" s="230"/>
    </row>
    <row r="1376">
      <c r="O1376" s="230"/>
      <c r="R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  <c r="AI1376" s="230"/>
      <c r="AJ1376" s="230"/>
      <c r="AK1376" s="230"/>
      <c r="AL1376" s="230"/>
      <c r="AM1376" s="230"/>
      <c r="AN1376" s="230"/>
    </row>
    <row r="1377">
      <c r="O1377" s="230"/>
      <c r="R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  <c r="AI1377" s="230"/>
      <c r="AJ1377" s="230"/>
      <c r="AK1377" s="230"/>
      <c r="AL1377" s="230"/>
      <c r="AM1377" s="230"/>
      <c r="AN1377" s="230"/>
    </row>
    <row r="1378">
      <c r="O1378" s="230"/>
      <c r="R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  <c r="AI1378" s="230"/>
      <c r="AJ1378" s="230"/>
      <c r="AK1378" s="230"/>
      <c r="AL1378" s="230"/>
      <c r="AM1378" s="230"/>
      <c r="AN1378" s="230"/>
    </row>
    <row r="1379">
      <c r="O1379" s="230"/>
      <c r="R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  <c r="AI1379" s="230"/>
      <c r="AJ1379" s="230"/>
      <c r="AK1379" s="230"/>
      <c r="AL1379" s="230"/>
      <c r="AM1379" s="230"/>
      <c r="AN1379" s="230"/>
    </row>
    <row r="1380">
      <c r="O1380" s="230"/>
      <c r="R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  <c r="AI1380" s="230"/>
      <c r="AJ1380" s="230"/>
      <c r="AK1380" s="230"/>
      <c r="AL1380" s="230"/>
      <c r="AM1380" s="230"/>
      <c r="AN1380" s="230"/>
    </row>
    <row r="1381">
      <c r="O1381" s="230"/>
      <c r="R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  <c r="AI1381" s="230"/>
      <c r="AJ1381" s="230"/>
      <c r="AK1381" s="230"/>
      <c r="AL1381" s="230"/>
      <c r="AM1381" s="230"/>
      <c r="AN1381" s="230"/>
    </row>
    <row r="1382">
      <c r="O1382" s="230"/>
      <c r="R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  <c r="AI1382" s="230"/>
      <c r="AJ1382" s="230"/>
      <c r="AK1382" s="230"/>
      <c r="AL1382" s="230"/>
      <c r="AM1382" s="230"/>
      <c r="AN1382" s="230"/>
    </row>
    <row r="1383">
      <c r="O1383" s="230"/>
      <c r="R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  <c r="AI1383" s="230"/>
      <c r="AJ1383" s="230"/>
      <c r="AK1383" s="230"/>
      <c r="AL1383" s="230"/>
      <c r="AM1383" s="230"/>
      <c r="AN1383" s="230"/>
    </row>
    <row r="1384">
      <c r="O1384" s="230"/>
      <c r="R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  <c r="AI1384" s="230"/>
      <c r="AJ1384" s="230"/>
      <c r="AK1384" s="230"/>
      <c r="AL1384" s="230"/>
      <c r="AM1384" s="230"/>
      <c r="AN1384" s="230"/>
    </row>
    <row r="1385">
      <c r="O1385" s="230"/>
      <c r="R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  <c r="AI1385" s="230"/>
      <c r="AJ1385" s="230"/>
      <c r="AK1385" s="230"/>
      <c r="AL1385" s="230"/>
      <c r="AM1385" s="230"/>
      <c r="AN1385" s="230"/>
    </row>
    <row r="1386">
      <c r="O1386" s="230"/>
      <c r="R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  <c r="AI1386" s="230"/>
      <c r="AJ1386" s="230"/>
      <c r="AK1386" s="230"/>
      <c r="AL1386" s="230"/>
      <c r="AM1386" s="230"/>
      <c r="AN1386" s="230"/>
    </row>
    <row r="1387">
      <c r="O1387" s="230"/>
      <c r="R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  <c r="AI1387" s="230"/>
      <c r="AJ1387" s="230"/>
      <c r="AK1387" s="230"/>
      <c r="AL1387" s="230"/>
      <c r="AM1387" s="230"/>
      <c r="AN1387" s="230"/>
    </row>
    <row r="1388">
      <c r="O1388" s="230"/>
      <c r="R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  <c r="AI1388" s="230"/>
      <c r="AJ1388" s="230"/>
      <c r="AK1388" s="230"/>
      <c r="AL1388" s="230"/>
      <c r="AM1388" s="230"/>
      <c r="AN1388" s="230"/>
    </row>
    <row r="1389">
      <c r="O1389" s="230"/>
      <c r="R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  <c r="AI1389" s="230"/>
      <c r="AJ1389" s="230"/>
      <c r="AK1389" s="230"/>
      <c r="AL1389" s="230"/>
      <c r="AM1389" s="230"/>
      <c r="AN1389" s="230"/>
    </row>
    <row r="1390">
      <c r="O1390" s="230"/>
      <c r="R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  <c r="AI1390" s="230"/>
      <c r="AJ1390" s="230"/>
      <c r="AK1390" s="230"/>
      <c r="AL1390" s="230"/>
      <c r="AM1390" s="230"/>
      <c r="AN1390" s="230"/>
    </row>
    <row r="1391">
      <c r="O1391" s="230"/>
      <c r="R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  <c r="AI1391" s="230"/>
      <c r="AJ1391" s="230"/>
      <c r="AK1391" s="230"/>
      <c r="AL1391" s="230"/>
      <c r="AM1391" s="230"/>
      <c r="AN1391" s="230"/>
    </row>
    <row r="1392">
      <c r="O1392" s="230"/>
      <c r="R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  <c r="AI1392" s="230"/>
      <c r="AJ1392" s="230"/>
      <c r="AK1392" s="230"/>
      <c r="AL1392" s="230"/>
      <c r="AM1392" s="230"/>
      <c r="AN1392" s="230"/>
    </row>
    <row r="1393">
      <c r="O1393" s="230"/>
      <c r="R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  <c r="AI1393" s="230"/>
      <c r="AJ1393" s="230"/>
      <c r="AK1393" s="230"/>
      <c r="AL1393" s="230"/>
      <c r="AM1393" s="230"/>
      <c r="AN1393" s="230"/>
    </row>
    <row r="1394">
      <c r="O1394" s="230"/>
      <c r="R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  <c r="AI1394" s="230"/>
      <c r="AJ1394" s="230"/>
      <c r="AK1394" s="230"/>
      <c r="AL1394" s="230"/>
      <c r="AM1394" s="230"/>
      <c r="AN1394" s="230"/>
    </row>
    <row r="1395">
      <c r="O1395" s="230"/>
      <c r="R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  <c r="AI1395" s="230"/>
      <c r="AJ1395" s="230"/>
      <c r="AK1395" s="230"/>
      <c r="AL1395" s="230"/>
      <c r="AM1395" s="230"/>
      <c r="AN1395" s="230"/>
    </row>
    <row r="1396">
      <c r="O1396" s="230"/>
      <c r="R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  <c r="AI1396" s="230"/>
      <c r="AJ1396" s="230"/>
      <c r="AK1396" s="230"/>
      <c r="AL1396" s="230"/>
      <c r="AM1396" s="230"/>
      <c r="AN1396" s="230"/>
    </row>
    <row r="1397">
      <c r="O1397" s="230"/>
      <c r="R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  <c r="AI1397" s="230"/>
      <c r="AJ1397" s="230"/>
      <c r="AK1397" s="230"/>
      <c r="AL1397" s="230"/>
      <c r="AM1397" s="230"/>
      <c r="AN1397" s="230"/>
    </row>
    <row r="1398">
      <c r="O1398" s="230"/>
      <c r="R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  <c r="AI1398" s="230"/>
      <c r="AJ1398" s="230"/>
      <c r="AK1398" s="230"/>
      <c r="AL1398" s="230"/>
      <c r="AM1398" s="230"/>
      <c r="AN1398" s="230"/>
    </row>
    <row r="1399">
      <c r="O1399" s="230"/>
      <c r="R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  <c r="AI1399" s="230"/>
      <c r="AJ1399" s="230"/>
      <c r="AK1399" s="230"/>
      <c r="AL1399" s="230"/>
      <c r="AM1399" s="230"/>
      <c r="AN1399" s="230"/>
    </row>
    <row r="1400">
      <c r="O1400" s="230"/>
      <c r="R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  <c r="AI1400" s="230"/>
      <c r="AJ1400" s="230"/>
      <c r="AK1400" s="230"/>
      <c r="AL1400" s="230"/>
      <c r="AM1400" s="230"/>
      <c r="AN1400" s="230"/>
    </row>
    <row r="1401">
      <c r="O1401" s="230"/>
      <c r="R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  <c r="AI1401" s="230"/>
      <c r="AJ1401" s="230"/>
      <c r="AK1401" s="230"/>
      <c r="AL1401" s="230"/>
      <c r="AM1401" s="230"/>
      <c r="AN1401" s="230"/>
    </row>
    <row r="1402">
      <c r="O1402" s="230"/>
      <c r="R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  <c r="AI1402" s="230"/>
      <c r="AJ1402" s="230"/>
      <c r="AK1402" s="230"/>
      <c r="AL1402" s="230"/>
      <c r="AM1402" s="230"/>
      <c r="AN1402" s="230"/>
    </row>
    <row r="1403">
      <c r="O1403" s="230"/>
      <c r="R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  <c r="AI1403" s="230"/>
      <c r="AJ1403" s="230"/>
      <c r="AK1403" s="230"/>
      <c r="AL1403" s="230"/>
      <c r="AM1403" s="230"/>
      <c r="AN1403" s="230"/>
    </row>
    <row r="1404">
      <c r="O1404" s="230"/>
      <c r="R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  <c r="AI1404" s="230"/>
      <c r="AJ1404" s="230"/>
      <c r="AK1404" s="230"/>
      <c r="AL1404" s="230"/>
      <c r="AM1404" s="230"/>
      <c r="AN1404" s="230"/>
    </row>
    <row r="1405">
      <c r="O1405" s="230"/>
      <c r="R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  <c r="AI1405" s="230"/>
      <c r="AJ1405" s="230"/>
      <c r="AK1405" s="230"/>
      <c r="AL1405" s="230"/>
      <c r="AM1405" s="230"/>
      <c r="AN1405" s="230"/>
    </row>
    <row r="1406">
      <c r="O1406" s="230"/>
      <c r="R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  <c r="AI1406" s="230"/>
      <c r="AJ1406" s="230"/>
      <c r="AK1406" s="230"/>
      <c r="AL1406" s="230"/>
      <c r="AM1406" s="230"/>
      <c r="AN1406" s="230"/>
    </row>
    <row r="1407">
      <c r="O1407" s="230"/>
      <c r="R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  <c r="AI1407" s="230"/>
      <c r="AJ1407" s="230"/>
      <c r="AK1407" s="230"/>
      <c r="AL1407" s="230"/>
      <c r="AM1407" s="230"/>
      <c r="AN1407" s="230"/>
    </row>
    <row r="1408">
      <c r="O1408" s="230"/>
      <c r="R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  <c r="AI1408" s="230"/>
      <c r="AJ1408" s="230"/>
      <c r="AK1408" s="230"/>
      <c r="AL1408" s="230"/>
      <c r="AM1408" s="230"/>
      <c r="AN1408" s="230"/>
    </row>
    <row r="1409">
      <c r="O1409" s="230"/>
      <c r="R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  <c r="AI1409" s="230"/>
      <c r="AJ1409" s="230"/>
      <c r="AK1409" s="230"/>
      <c r="AL1409" s="230"/>
      <c r="AM1409" s="230"/>
      <c r="AN1409" s="230"/>
    </row>
    <row r="1410">
      <c r="O1410" s="230"/>
      <c r="R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  <c r="AI1410" s="230"/>
      <c r="AJ1410" s="230"/>
      <c r="AK1410" s="230"/>
      <c r="AL1410" s="230"/>
      <c r="AM1410" s="230"/>
      <c r="AN1410" s="230"/>
    </row>
    <row r="1411">
      <c r="O1411" s="230"/>
      <c r="R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  <c r="AI1411" s="230"/>
      <c r="AJ1411" s="230"/>
      <c r="AK1411" s="230"/>
      <c r="AL1411" s="230"/>
      <c r="AM1411" s="230"/>
      <c r="AN1411" s="230"/>
    </row>
    <row r="1412">
      <c r="O1412" s="230"/>
      <c r="R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  <c r="AI1412" s="230"/>
      <c r="AJ1412" s="230"/>
      <c r="AK1412" s="230"/>
      <c r="AL1412" s="230"/>
      <c r="AM1412" s="230"/>
      <c r="AN1412" s="230"/>
    </row>
    <row r="1413">
      <c r="O1413" s="230"/>
      <c r="R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  <c r="AI1413" s="230"/>
      <c r="AJ1413" s="230"/>
      <c r="AK1413" s="230"/>
      <c r="AL1413" s="230"/>
      <c r="AM1413" s="230"/>
      <c r="AN1413" s="230"/>
    </row>
    <row r="1414">
      <c r="O1414" s="230"/>
      <c r="R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  <c r="AI1414" s="230"/>
      <c r="AJ1414" s="230"/>
      <c r="AK1414" s="230"/>
      <c r="AL1414" s="230"/>
      <c r="AM1414" s="230"/>
      <c r="AN1414" s="230"/>
    </row>
    <row r="1415">
      <c r="O1415" s="230"/>
      <c r="R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  <c r="AI1415" s="230"/>
      <c r="AJ1415" s="230"/>
      <c r="AK1415" s="230"/>
      <c r="AL1415" s="230"/>
      <c r="AM1415" s="230"/>
      <c r="AN1415" s="230"/>
    </row>
    <row r="1416">
      <c r="O1416" s="230"/>
      <c r="R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  <c r="AI1416" s="230"/>
      <c r="AJ1416" s="230"/>
      <c r="AK1416" s="230"/>
      <c r="AL1416" s="230"/>
      <c r="AM1416" s="230"/>
      <c r="AN1416" s="230"/>
    </row>
    <row r="1417">
      <c r="O1417" s="230"/>
      <c r="R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  <c r="AI1417" s="230"/>
      <c r="AJ1417" s="230"/>
      <c r="AK1417" s="230"/>
      <c r="AL1417" s="230"/>
      <c r="AM1417" s="230"/>
      <c r="AN1417" s="230"/>
    </row>
    <row r="1418">
      <c r="O1418" s="230"/>
      <c r="R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  <c r="AI1418" s="230"/>
      <c r="AJ1418" s="230"/>
      <c r="AK1418" s="230"/>
      <c r="AL1418" s="230"/>
      <c r="AM1418" s="230"/>
      <c r="AN1418" s="230"/>
    </row>
    <row r="1419">
      <c r="O1419" s="230"/>
      <c r="R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  <c r="AI1419" s="230"/>
      <c r="AJ1419" s="230"/>
      <c r="AK1419" s="230"/>
      <c r="AL1419" s="230"/>
      <c r="AM1419" s="230"/>
      <c r="AN1419" s="230"/>
    </row>
    <row r="1420">
      <c r="O1420" s="230"/>
      <c r="R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  <c r="AI1420" s="230"/>
      <c r="AJ1420" s="230"/>
      <c r="AK1420" s="230"/>
      <c r="AL1420" s="230"/>
      <c r="AM1420" s="230"/>
      <c r="AN1420" s="230"/>
    </row>
    <row r="1421">
      <c r="O1421" s="230"/>
      <c r="R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  <c r="AI1421" s="230"/>
      <c r="AJ1421" s="230"/>
      <c r="AK1421" s="230"/>
      <c r="AL1421" s="230"/>
      <c r="AM1421" s="230"/>
      <c r="AN1421" s="230"/>
    </row>
    <row r="1422">
      <c r="O1422" s="230"/>
      <c r="R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  <c r="AI1422" s="230"/>
      <c r="AJ1422" s="230"/>
      <c r="AK1422" s="230"/>
      <c r="AL1422" s="230"/>
      <c r="AM1422" s="230"/>
      <c r="AN1422" s="230"/>
    </row>
    <row r="1423">
      <c r="O1423" s="230"/>
      <c r="R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  <c r="AI1423" s="230"/>
      <c r="AJ1423" s="230"/>
      <c r="AK1423" s="230"/>
      <c r="AL1423" s="230"/>
      <c r="AM1423" s="230"/>
      <c r="AN1423" s="230"/>
    </row>
    <row r="1424">
      <c r="O1424" s="230"/>
      <c r="R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  <c r="AI1424" s="230"/>
      <c r="AJ1424" s="230"/>
      <c r="AK1424" s="230"/>
      <c r="AL1424" s="230"/>
      <c r="AM1424" s="230"/>
      <c r="AN1424" s="230"/>
    </row>
    <row r="1425">
      <c r="O1425" s="230"/>
      <c r="R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  <c r="AI1425" s="230"/>
      <c r="AJ1425" s="230"/>
      <c r="AK1425" s="230"/>
      <c r="AL1425" s="230"/>
      <c r="AM1425" s="230"/>
      <c r="AN1425" s="230"/>
    </row>
    <row r="1426">
      <c r="O1426" s="230"/>
      <c r="R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  <c r="AI1426" s="230"/>
      <c r="AJ1426" s="230"/>
      <c r="AK1426" s="230"/>
      <c r="AL1426" s="230"/>
      <c r="AM1426" s="230"/>
      <c r="AN1426" s="230"/>
    </row>
    <row r="1427">
      <c r="O1427" s="230"/>
      <c r="R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  <c r="AI1427" s="230"/>
      <c r="AJ1427" s="230"/>
      <c r="AK1427" s="230"/>
      <c r="AL1427" s="230"/>
      <c r="AM1427" s="230"/>
      <c r="AN1427" s="230"/>
    </row>
    <row r="1428">
      <c r="O1428" s="230"/>
      <c r="R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  <c r="AI1428" s="230"/>
      <c r="AJ1428" s="230"/>
      <c r="AK1428" s="230"/>
      <c r="AL1428" s="230"/>
      <c r="AM1428" s="230"/>
      <c r="AN1428" s="230"/>
    </row>
    <row r="1429">
      <c r="O1429" s="230"/>
      <c r="R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  <c r="AI1429" s="230"/>
      <c r="AJ1429" s="230"/>
      <c r="AK1429" s="230"/>
      <c r="AL1429" s="230"/>
      <c r="AM1429" s="230"/>
      <c r="AN1429" s="230"/>
    </row>
    <row r="1430">
      <c r="O1430" s="230"/>
      <c r="R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  <c r="AI1430" s="230"/>
      <c r="AJ1430" s="230"/>
      <c r="AK1430" s="230"/>
      <c r="AL1430" s="230"/>
      <c r="AM1430" s="230"/>
      <c r="AN1430" s="230"/>
    </row>
    <row r="1431">
      <c r="O1431" s="230"/>
      <c r="R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  <c r="AI1431" s="230"/>
      <c r="AJ1431" s="230"/>
      <c r="AK1431" s="230"/>
      <c r="AL1431" s="230"/>
      <c r="AM1431" s="230"/>
      <c r="AN1431" s="230"/>
    </row>
    <row r="1432">
      <c r="O1432" s="230"/>
      <c r="R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  <c r="AI1432" s="230"/>
      <c r="AJ1432" s="230"/>
      <c r="AK1432" s="230"/>
      <c r="AL1432" s="230"/>
      <c r="AM1432" s="230"/>
      <c r="AN1432" s="230"/>
    </row>
    <row r="1433">
      <c r="O1433" s="230"/>
      <c r="R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  <c r="AI1433" s="230"/>
      <c r="AJ1433" s="230"/>
      <c r="AK1433" s="230"/>
      <c r="AL1433" s="230"/>
      <c r="AM1433" s="230"/>
      <c r="AN1433" s="230"/>
    </row>
    <row r="1434">
      <c r="O1434" s="230"/>
      <c r="R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  <c r="AI1434" s="230"/>
      <c r="AJ1434" s="230"/>
      <c r="AK1434" s="230"/>
      <c r="AL1434" s="230"/>
      <c r="AM1434" s="230"/>
      <c r="AN1434" s="230"/>
    </row>
    <row r="1435">
      <c r="O1435" s="230"/>
      <c r="R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  <c r="AI1435" s="230"/>
      <c r="AJ1435" s="230"/>
      <c r="AK1435" s="230"/>
      <c r="AL1435" s="230"/>
      <c r="AM1435" s="230"/>
      <c r="AN1435" s="230"/>
    </row>
    <row r="1436">
      <c r="O1436" s="230"/>
      <c r="R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  <c r="AI1436" s="230"/>
      <c r="AJ1436" s="230"/>
      <c r="AK1436" s="230"/>
      <c r="AL1436" s="230"/>
      <c r="AM1436" s="230"/>
      <c r="AN1436" s="230"/>
    </row>
    <row r="1437">
      <c r="O1437" s="230"/>
      <c r="R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  <c r="AI1437" s="230"/>
      <c r="AJ1437" s="230"/>
      <c r="AK1437" s="230"/>
      <c r="AL1437" s="230"/>
      <c r="AM1437" s="230"/>
      <c r="AN1437" s="230"/>
    </row>
    <row r="1438">
      <c r="O1438" s="230"/>
      <c r="R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  <c r="AI1438" s="230"/>
      <c r="AJ1438" s="230"/>
      <c r="AK1438" s="230"/>
      <c r="AL1438" s="230"/>
      <c r="AM1438" s="230"/>
      <c r="AN1438" s="230"/>
    </row>
    <row r="1439">
      <c r="O1439" s="230"/>
      <c r="R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  <c r="AI1439" s="230"/>
      <c r="AJ1439" s="230"/>
      <c r="AK1439" s="230"/>
      <c r="AL1439" s="230"/>
      <c r="AM1439" s="230"/>
      <c r="AN1439" s="230"/>
    </row>
    <row r="1440">
      <c r="O1440" s="230"/>
      <c r="R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  <c r="AI1440" s="230"/>
      <c r="AJ1440" s="230"/>
      <c r="AK1440" s="230"/>
      <c r="AL1440" s="230"/>
      <c r="AM1440" s="230"/>
      <c r="AN1440" s="230"/>
    </row>
    <row r="1441">
      <c r="O1441" s="230"/>
      <c r="R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  <c r="AI1441" s="230"/>
      <c r="AJ1441" s="230"/>
      <c r="AK1441" s="230"/>
      <c r="AL1441" s="230"/>
      <c r="AM1441" s="230"/>
      <c r="AN1441" s="230"/>
    </row>
    <row r="1442">
      <c r="O1442" s="230"/>
      <c r="R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  <c r="AI1442" s="230"/>
      <c r="AJ1442" s="230"/>
      <c r="AK1442" s="230"/>
      <c r="AL1442" s="230"/>
      <c r="AM1442" s="230"/>
      <c r="AN1442" s="230"/>
    </row>
    <row r="1443">
      <c r="O1443" s="230"/>
      <c r="R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  <c r="AI1443" s="230"/>
      <c r="AJ1443" s="230"/>
      <c r="AK1443" s="230"/>
      <c r="AL1443" s="230"/>
      <c r="AM1443" s="230"/>
      <c r="AN1443" s="230"/>
    </row>
    <row r="1444">
      <c r="O1444" s="230"/>
      <c r="R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  <c r="AI1444" s="230"/>
      <c r="AJ1444" s="230"/>
      <c r="AK1444" s="230"/>
      <c r="AL1444" s="230"/>
      <c r="AM1444" s="230"/>
      <c r="AN1444" s="230"/>
    </row>
    <row r="1445">
      <c r="O1445" s="230"/>
      <c r="R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  <c r="AI1445" s="230"/>
      <c r="AJ1445" s="230"/>
      <c r="AK1445" s="230"/>
      <c r="AL1445" s="230"/>
      <c r="AM1445" s="230"/>
      <c r="AN1445" s="230"/>
    </row>
    <row r="1446">
      <c r="O1446" s="230"/>
      <c r="R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  <c r="AI1446" s="230"/>
      <c r="AJ1446" s="230"/>
      <c r="AK1446" s="230"/>
      <c r="AL1446" s="230"/>
      <c r="AM1446" s="230"/>
      <c r="AN1446" s="230"/>
    </row>
    <row r="1447">
      <c r="O1447" s="230"/>
      <c r="R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  <c r="AI1447" s="230"/>
      <c r="AJ1447" s="230"/>
      <c r="AK1447" s="230"/>
      <c r="AL1447" s="230"/>
      <c r="AM1447" s="230"/>
      <c r="AN1447" s="230"/>
    </row>
    <row r="1448">
      <c r="O1448" s="230"/>
      <c r="R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  <c r="AI1448" s="230"/>
      <c r="AJ1448" s="230"/>
      <c r="AK1448" s="230"/>
      <c r="AL1448" s="230"/>
      <c r="AM1448" s="230"/>
      <c r="AN1448" s="230"/>
    </row>
    <row r="1449">
      <c r="O1449" s="230"/>
      <c r="R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  <c r="AI1449" s="230"/>
      <c r="AJ1449" s="230"/>
      <c r="AK1449" s="230"/>
      <c r="AL1449" s="230"/>
      <c r="AM1449" s="230"/>
      <c r="AN1449" s="230"/>
    </row>
    <row r="1450">
      <c r="O1450" s="230"/>
      <c r="R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  <c r="AI1450" s="230"/>
      <c r="AJ1450" s="230"/>
      <c r="AK1450" s="230"/>
      <c r="AL1450" s="230"/>
      <c r="AM1450" s="230"/>
      <c r="AN1450" s="230"/>
    </row>
    <row r="1451">
      <c r="O1451" s="230"/>
      <c r="R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  <c r="AI1451" s="230"/>
      <c r="AJ1451" s="230"/>
      <c r="AK1451" s="230"/>
      <c r="AL1451" s="230"/>
      <c r="AM1451" s="230"/>
      <c r="AN1451" s="230"/>
    </row>
    <row r="1452">
      <c r="O1452" s="230"/>
      <c r="R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  <c r="AI1452" s="230"/>
      <c r="AJ1452" s="230"/>
      <c r="AK1452" s="230"/>
      <c r="AL1452" s="230"/>
      <c r="AM1452" s="230"/>
      <c r="AN1452" s="230"/>
    </row>
    <row r="1453">
      <c r="O1453" s="230"/>
      <c r="R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  <c r="AI1453" s="230"/>
      <c r="AJ1453" s="230"/>
      <c r="AK1453" s="230"/>
      <c r="AL1453" s="230"/>
      <c r="AM1453" s="230"/>
      <c r="AN1453" s="230"/>
    </row>
    <row r="1454">
      <c r="O1454" s="230"/>
      <c r="R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  <c r="AI1454" s="230"/>
      <c r="AJ1454" s="230"/>
      <c r="AK1454" s="230"/>
      <c r="AL1454" s="230"/>
      <c r="AM1454" s="230"/>
      <c r="AN1454" s="230"/>
    </row>
    <row r="1455">
      <c r="O1455" s="230"/>
      <c r="R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  <c r="AI1455" s="230"/>
      <c r="AJ1455" s="230"/>
      <c r="AK1455" s="230"/>
      <c r="AL1455" s="230"/>
      <c r="AM1455" s="230"/>
      <c r="AN1455" s="230"/>
    </row>
    <row r="1456">
      <c r="O1456" s="230"/>
      <c r="R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  <c r="AI1456" s="230"/>
      <c r="AJ1456" s="230"/>
      <c r="AK1456" s="230"/>
      <c r="AL1456" s="230"/>
      <c r="AM1456" s="230"/>
      <c r="AN1456" s="230"/>
    </row>
    <row r="1457">
      <c r="O1457" s="230"/>
      <c r="R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  <c r="AI1457" s="230"/>
      <c r="AJ1457" s="230"/>
      <c r="AK1457" s="230"/>
      <c r="AL1457" s="230"/>
      <c r="AM1457" s="230"/>
      <c r="AN1457" s="230"/>
    </row>
    <row r="1458">
      <c r="O1458" s="230"/>
      <c r="R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  <c r="AI1458" s="230"/>
      <c r="AJ1458" s="230"/>
      <c r="AK1458" s="230"/>
      <c r="AL1458" s="230"/>
      <c r="AM1458" s="230"/>
      <c r="AN1458" s="230"/>
    </row>
    <row r="1459">
      <c r="O1459" s="230"/>
      <c r="R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  <c r="AI1459" s="230"/>
      <c r="AJ1459" s="230"/>
      <c r="AK1459" s="230"/>
      <c r="AL1459" s="230"/>
      <c r="AM1459" s="230"/>
      <c r="AN1459" s="230"/>
    </row>
    <row r="1460">
      <c r="O1460" s="230"/>
      <c r="R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  <c r="AI1460" s="230"/>
      <c r="AJ1460" s="230"/>
      <c r="AK1460" s="230"/>
      <c r="AL1460" s="230"/>
      <c r="AM1460" s="230"/>
      <c r="AN1460" s="230"/>
    </row>
    <row r="1461">
      <c r="O1461" s="230"/>
      <c r="R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  <c r="AI1461" s="230"/>
      <c r="AJ1461" s="230"/>
      <c r="AK1461" s="230"/>
      <c r="AL1461" s="230"/>
      <c r="AM1461" s="230"/>
      <c r="AN1461" s="230"/>
    </row>
    <row r="1462">
      <c r="O1462" s="230"/>
      <c r="R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  <c r="AI1462" s="230"/>
      <c r="AJ1462" s="230"/>
      <c r="AK1462" s="230"/>
      <c r="AL1462" s="230"/>
      <c r="AM1462" s="230"/>
      <c r="AN1462" s="230"/>
    </row>
    <row r="1463">
      <c r="O1463" s="230"/>
      <c r="R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  <c r="AI1463" s="230"/>
      <c r="AJ1463" s="230"/>
      <c r="AK1463" s="230"/>
      <c r="AL1463" s="230"/>
      <c r="AM1463" s="230"/>
      <c r="AN1463" s="230"/>
    </row>
    <row r="1464">
      <c r="O1464" s="230"/>
      <c r="R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  <c r="AI1464" s="230"/>
      <c r="AJ1464" s="230"/>
      <c r="AK1464" s="230"/>
      <c r="AL1464" s="230"/>
      <c r="AM1464" s="230"/>
      <c r="AN1464" s="230"/>
    </row>
    <row r="1465">
      <c r="O1465" s="230"/>
      <c r="R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  <c r="AI1465" s="230"/>
      <c r="AJ1465" s="230"/>
      <c r="AK1465" s="230"/>
      <c r="AL1465" s="230"/>
      <c r="AM1465" s="230"/>
      <c r="AN1465" s="230"/>
    </row>
    <row r="1466">
      <c r="O1466" s="230"/>
      <c r="R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  <c r="AI1466" s="230"/>
      <c r="AJ1466" s="230"/>
      <c r="AK1466" s="230"/>
      <c r="AL1466" s="230"/>
      <c r="AM1466" s="230"/>
      <c r="AN1466" s="230"/>
    </row>
    <row r="1467">
      <c r="O1467" s="230"/>
      <c r="R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  <c r="AI1467" s="230"/>
      <c r="AJ1467" s="230"/>
      <c r="AK1467" s="230"/>
      <c r="AL1467" s="230"/>
      <c r="AM1467" s="230"/>
      <c r="AN1467" s="230"/>
    </row>
    <row r="1468">
      <c r="O1468" s="230"/>
      <c r="R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  <c r="AI1468" s="230"/>
      <c r="AJ1468" s="230"/>
      <c r="AK1468" s="230"/>
      <c r="AL1468" s="230"/>
      <c r="AM1468" s="230"/>
      <c r="AN1468" s="230"/>
    </row>
    <row r="1469">
      <c r="O1469" s="230"/>
      <c r="R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  <c r="AI1469" s="230"/>
      <c r="AJ1469" s="230"/>
      <c r="AK1469" s="230"/>
      <c r="AL1469" s="230"/>
      <c r="AM1469" s="230"/>
      <c r="AN1469" s="230"/>
    </row>
    <row r="1470">
      <c r="O1470" s="230"/>
      <c r="R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  <c r="AI1470" s="230"/>
      <c r="AJ1470" s="230"/>
      <c r="AK1470" s="230"/>
      <c r="AL1470" s="230"/>
      <c r="AM1470" s="230"/>
      <c r="AN1470" s="230"/>
    </row>
    <row r="1471">
      <c r="O1471" s="230"/>
      <c r="R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  <c r="AI1471" s="230"/>
      <c r="AJ1471" s="230"/>
      <c r="AK1471" s="230"/>
      <c r="AL1471" s="230"/>
      <c r="AM1471" s="230"/>
      <c r="AN1471" s="230"/>
    </row>
    <row r="1472">
      <c r="O1472" s="230"/>
      <c r="R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  <c r="AI1472" s="230"/>
      <c r="AJ1472" s="230"/>
      <c r="AK1472" s="230"/>
      <c r="AL1472" s="230"/>
      <c r="AM1472" s="230"/>
      <c r="AN1472" s="230"/>
    </row>
    <row r="1473">
      <c r="O1473" s="230"/>
      <c r="R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  <c r="AI1473" s="230"/>
      <c r="AJ1473" s="230"/>
      <c r="AK1473" s="230"/>
      <c r="AL1473" s="230"/>
      <c r="AM1473" s="230"/>
      <c r="AN1473" s="230"/>
    </row>
    <row r="1474">
      <c r="O1474" s="230"/>
      <c r="R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  <c r="AI1474" s="230"/>
      <c r="AJ1474" s="230"/>
      <c r="AK1474" s="230"/>
      <c r="AL1474" s="230"/>
      <c r="AM1474" s="230"/>
      <c r="AN1474" s="230"/>
    </row>
    <row r="1475">
      <c r="O1475" s="230"/>
      <c r="R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  <c r="AI1475" s="230"/>
      <c r="AJ1475" s="230"/>
      <c r="AK1475" s="230"/>
      <c r="AL1475" s="230"/>
      <c r="AM1475" s="230"/>
      <c r="AN1475" s="230"/>
    </row>
    <row r="1476">
      <c r="O1476" s="230"/>
      <c r="R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  <c r="AI1476" s="230"/>
      <c r="AJ1476" s="230"/>
      <c r="AK1476" s="230"/>
      <c r="AL1476" s="230"/>
      <c r="AM1476" s="230"/>
      <c r="AN1476" s="230"/>
    </row>
    <row r="1477">
      <c r="O1477" s="230"/>
      <c r="R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  <c r="AI1477" s="230"/>
      <c r="AJ1477" s="230"/>
      <c r="AK1477" s="230"/>
      <c r="AL1477" s="230"/>
      <c r="AM1477" s="230"/>
      <c r="AN1477" s="230"/>
    </row>
    <row r="1478">
      <c r="O1478" s="230"/>
      <c r="R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  <c r="AI1478" s="230"/>
      <c r="AJ1478" s="230"/>
      <c r="AK1478" s="230"/>
      <c r="AL1478" s="230"/>
      <c r="AM1478" s="230"/>
      <c r="AN1478" s="230"/>
    </row>
    <row r="1479">
      <c r="O1479" s="230"/>
      <c r="R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  <c r="AI1479" s="230"/>
      <c r="AJ1479" s="230"/>
      <c r="AK1479" s="230"/>
      <c r="AL1479" s="230"/>
      <c r="AM1479" s="230"/>
      <c r="AN1479" s="230"/>
    </row>
    <row r="1480">
      <c r="O1480" s="230"/>
      <c r="R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  <c r="AI1480" s="230"/>
      <c r="AJ1480" s="230"/>
      <c r="AK1480" s="230"/>
      <c r="AL1480" s="230"/>
      <c r="AM1480" s="230"/>
      <c r="AN1480" s="230"/>
    </row>
    <row r="1481">
      <c r="O1481" s="230"/>
      <c r="R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  <c r="AI1481" s="230"/>
      <c r="AJ1481" s="230"/>
      <c r="AK1481" s="230"/>
      <c r="AL1481" s="230"/>
      <c r="AM1481" s="230"/>
      <c r="AN1481" s="230"/>
    </row>
    <row r="1482">
      <c r="O1482" s="230"/>
      <c r="R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  <c r="AI1482" s="230"/>
      <c r="AJ1482" s="230"/>
      <c r="AK1482" s="230"/>
      <c r="AL1482" s="230"/>
      <c r="AM1482" s="230"/>
      <c r="AN1482" s="230"/>
    </row>
    <row r="1483">
      <c r="O1483" s="230"/>
      <c r="R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  <c r="AI1483" s="230"/>
      <c r="AJ1483" s="230"/>
      <c r="AK1483" s="230"/>
      <c r="AL1483" s="230"/>
      <c r="AM1483" s="230"/>
      <c r="AN1483" s="230"/>
    </row>
    <row r="1484">
      <c r="O1484" s="230"/>
      <c r="R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  <c r="AI1484" s="230"/>
      <c r="AJ1484" s="230"/>
      <c r="AK1484" s="230"/>
      <c r="AL1484" s="230"/>
      <c r="AM1484" s="230"/>
      <c r="AN1484" s="230"/>
    </row>
    <row r="1485">
      <c r="O1485" s="230"/>
      <c r="R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  <c r="AI1485" s="230"/>
      <c r="AJ1485" s="230"/>
      <c r="AK1485" s="230"/>
      <c r="AL1485" s="230"/>
      <c r="AM1485" s="230"/>
      <c r="AN1485" s="230"/>
    </row>
    <row r="1486">
      <c r="O1486" s="230"/>
      <c r="R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  <c r="AI1486" s="230"/>
      <c r="AJ1486" s="230"/>
      <c r="AK1486" s="230"/>
      <c r="AL1486" s="230"/>
      <c r="AM1486" s="230"/>
      <c r="AN1486" s="230"/>
    </row>
    <row r="1487">
      <c r="O1487" s="230"/>
      <c r="R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  <c r="AI1487" s="230"/>
      <c r="AJ1487" s="230"/>
      <c r="AK1487" s="230"/>
      <c r="AL1487" s="230"/>
      <c r="AM1487" s="230"/>
      <c r="AN1487" s="230"/>
    </row>
    <row r="1488">
      <c r="O1488" s="230"/>
      <c r="R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  <c r="AI1488" s="230"/>
      <c r="AJ1488" s="230"/>
      <c r="AK1488" s="230"/>
      <c r="AL1488" s="230"/>
      <c r="AM1488" s="230"/>
      <c r="AN1488" s="230"/>
    </row>
    <row r="1489">
      <c r="O1489" s="230"/>
      <c r="R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  <c r="AI1489" s="230"/>
      <c r="AJ1489" s="230"/>
      <c r="AK1489" s="230"/>
      <c r="AL1489" s="230"/>
      <c r="AM1489" s="230"/>
      <c r="AN1489" s="230"/>
    </row>
    <row r="1490">
      <c r="O1490" s="230"/>
      <c r="R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  <c r="AI1490" s="230"/>
      <c r="AJ1490" s="230"/>
      <c r="AK1490" s="230"/>
      <c r="AL1490" s="230"/>
      <c r="AM1490" s="230"/>
      <c r="AN1490" s="230"/>
    </row>
    <row r="1491">
      <c r="O1491" s="230"/>
      <c r="R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  <c r="AI1491" s="230"/>
      <c r="AJ1491" s="230"/>
      <c r="AK1491" s="230"/>
      <c r="AL1491" s="230"/>
      <c r="AM1491" s="230"/>
      <c r="AN1491" s="230"/>
    </row>
    <row r="1492">
      <c r="O1492" s="230"/>
      <c r="R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  <c r="AI1492" s="230"/>
      <c r="AJ1492" s="230"/>
      <c r="AK1492" s="230"/>
      <c r="AL1492" s="230"/>
      <c r="AM1492" s="230"/>
      <c r="AN1492" s="230"/>
    </row>
    <row r="1493">
      <c r="O1493" s="230"/>
      <c r="R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  <c r="AI1493" s="230"/>
      <c r="AJ1493" s="230"/>
      <c r="AK1493" s="230"/>
      <c r="AL1493" s="230"/>
      <c r="AM1493" s="230"/>
      <c r="AN1493" s="230"/>
    </row>
    <row r="1494">
      <c r="O1494" s="230"/>
      <c r="R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  <c r="AI1494" s="230"/>
      <c r="AJ1494" s="230"/>
      <c r="AK1494" s="230"/>
      <c r="AL1494" s="230"/>
      <c r="AM1494" s="230"/>
      <c r="AN1494" s="230"/>
    </row>
    <row r="1495">
      <c r="O1495" s="230"/>
      <c r="R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  <c r="AI1495" s="230"/>
      <c r="AJ1495" s="230"/>
      <c r="AK1495" s="230"/>
      <c r="AL1495" s="230"/>
      <c r="AM1495" s="230"/>
      <c r="AN1495" s="230"/>
    </row>
    <row r="1496">
      <c r="O1496" s="230"/>
      <c r="R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  <c r="AI1496" s="230"/>
      <c r="AJ1496" s="230"/>
      <c r="AK1496" s="230"/>
      <c r="AL1496" s="230"/>
      <c r="AM1496" s="230"/>
      <c r="AN1496" s="230"/>
    </row>
    <row r="1497">
      <c r="O1497" s="230"/>
      <c r="R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  <c r="AI1497" s="230"/>
      <c r="AJ1497" s="230"/>
      <c r="AK1497" s="230"/>
      <c r="AL1497" s="230"/>
      <c r="AM1497" s="230"/>
      <c r="AN1497" s="230"/>
    </row>
    <row r="1498">
      <c r="O1498" s="230"/>
      <c r="R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  <c r="AI1498" s="230"/>
      <c r="AJ1498" s="230"/>
      <c r="AK1498" s="230"/>
      <c r="AL1498" s="230"/>
      <c r="AM1498" s="230"/>
      <c r="AN1498" s="230"/>
    </row>
    <row r="1499">
      <c r="O1499" s="230"/>
      <c r="R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  <c r="AI1499" s="230"/>
      <c r="AJ1499" s="230"/>
      <c r="AK1499" s="230"/>
      <c r="AL1499" s="230"/>
      <c r="AM1499" s="230"/>
      <c r="AN1499" s="230"/>
    </row>
    <row r="1500">
      <c r="O1500" s="230"/>
      <c r="R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  <c r="AI1500" s="230"/>
      <c r="AJ1500" s="230"/>
      <c r="AK1500" s="230"/>
      <c r="AL1500" s="230"/>
      <c r="AM1500" s="230"/>
      <c r="AN1500" s="230"/>
    </row>
    <row r="1501">
      <c r="O1501" s="230"/>
      <c r="R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  <c r="AI1501" s="230"/>
      <c r="AJ1501" s="230"/>
      <c r="AK1501" s="230"/>
      <c r="AL1501" s="230"/>
      <c r="AM1501" s="230"/>
      <c r="AN1501" s="230"/>
    </row>
    <row r="1502">
      <c r="O1502" s="230"/>
      <c r="R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  <c r="AI1502" s="230"/>
      <c r="AJ1502" s="230"/>
      <c r="AK1502" s="230"/>
      <c r="AL1502" s="230"/>
      <c r="AM1502" s="230"/>
      <c r="AN1502" s="230"/>
    </row>
    <row r="1503">
      <c r="O1503" s="230"/>
      <c r="R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  <c r="AI1503" s="230"/>
      <c r="AJ1503" s="230"/>
      <c r="AK1503" s="230"/>
      <c r="AL1503" s="230"/>
      <c r="AM1503" s="230"/>
      <c r="AN1503" s="230"/>
    </row>
    <row r="1504">
      <c r="O1504" s="230"/>
      <c r="R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  <c r="AI1504" s="230"/>
      <c r="AJ1504" s="230"/>
      <c r="AK1504" s="230"/>
      <c r="AL1504" s="230"/>
      <c r="AM1504" s="230"/>
      <c r="AN1504" s="230"/>
    </row>
    <row r="1505">
      <c r="O1505" s="230"/>
      <c r="R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  <c r="AI1505" s="230"/>
      <c r="AJ1505" s="230"/>
      <c r="AK1505" s="230"/>
      <c r="AL1505" s="230"/>
      <c r="AM1505" s="230"/>
      <c r="AN1505" s="230"/>
    </row>
    <row r="1506">
      <c r="O1506" s="230"/>
      <c r="R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  <c r="AI1506" s="230"/>
      <c r="AJ1506" s="230"/>
      <c r="AK1506" s="230"/>
      <c r="AL1506" s="230"/>
      <c r="AM1506" s="230"/>
      <c r="AN1506" s="230"/>
    </row>
    <row r="1507">
      <c r="O1507" s="230"/>
      <c r="R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  <c r="AI1507" s="230"/>
      <c r="AJ1507" s="230"/>
      <c r="AK1507" s="230"/>
      <c r="AL1507" s="230"/>
      <c r="AM1507" s="230"/>
      <c r="AN1507" s="230"/>
    </row>
    <row r="1508">
      <c r="O1508" s="230"/>
      <c r="R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  <c r="AI1508" s="230"/>
      <c r="AJ1508" s="230"/>
      <c r="AK1508" s="230"/>
      <c r="AL1508" s="230"/>
      <c r="AM1508" s="230"/>
      <c r="AN1508" s="230"/>
    </row>
    <row r="1509">
      <c r="O1509" s="230"/>
      <c r="R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  <c r="AI1509" s="230"/>
      <c r="AJ1509" s="230"/>
      <c r="AK1509" s="230"/>
      <c r="AL1509" s="230"/>
      <c r="AM1509" s="230"/>
      <c r="AN1509" s="230"/>
    </row>
    <row r="1510">
      <c r="O1510" s="230"/>
      <c r="R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  <c r="AI1510" s="230"/>
      <c r="AJ1510" s="230"/>
      <c r="AK1510" s="230"/>
      <c r="AL1510" s="230"/>
      <c r="AM1510" s="230"/>
      <c r="AN1510" s="230"/>
    </row>
    <row r="1511">
      <c r="O1511" s="230"/>
      <c r="R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  <c r="AI1511" s="230"/>
      <c r="AJ1511" s="230"/>
      <c r="AK1511" s="230"/>
      <c r="AL1511" s="230"/>
      <c r="AM1511" s="230"/>
      <c r="AN1511" s="230"/>
    </row>
    <row r="1512">
      <c r="O1512" s="230"/>
      <c r="R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  <c r="AI1512" s="230"/>
      <c r="AJ1512" s="230"/>
      <c r="AK1512" s="230"/>
      <c r="AL1512" s="230"/>
      <c r="AM1512" s="230"/>
      <c r="AN1512" s="230"/>
    </row>
    <row r="1513">
      <c r="O1513" s="230"/>
      <c r="R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  <c r="AI1513" s="230"/>
      <c r="AJ1513" s="230"/>
      <c r="AK1513" s="230"/>
      <c r="AL1513" s="230"/>
      <c r="AM1513" s="230"/>
      <c r="AN1513" s="230"/>
    </row>
    <row r="1514">
      <c r="O1514" s="230"/>
      <c r="R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  <c r="AI1514" s="230"/>
      <c r="AJ1514" s="230"/>
      <c r="AK1514" s="230"/>
      <c r="AL1514" s="230"/>
      <c r="AM1514" s="230"/>
      <c r="AN1514" s="230"/>
    </row>
    <row r="1515">
      <c r="O1515" s="230"/>
      <c r="R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  <c r="AI1515" s="230"/>
      <c r="AJ1515" s="230"/>
      <c r="AK1515" s="230"/>
      <c r="AL1515" s="230"/>
      <c r="AM1515" s="230"/>
      <c r="AN1515" s="230"/>
    </row>
    <row r="1516">
      <c r="O1516" s="230"/>
      <c r="R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  <c r="AI1516" s="230"/>
      <c r="AJ1516" s="230"/>
      <c r="AK1516" s="230"/>
      <c r="AL1516" s="230"/>
      <c r="AM1516" s="230"/>
      <c r="AN1516" s="230"/>
    </row>
    <row r="1517">
      <c r="O1517" s="230"/>
      <c r="R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  <c r="AI1517" s="230"/>
      <c r="AJ1517" s="230"/>
      <c r="AK1517" s="230"/>
      <c r="AL1517" s="230"/>
      <c r="AM1517" s="230"/>
      <c r="AN1517" s="230"/>
    </row>
    <row r="1518">
      <c r="O1518" s="230"/>
      <c r="R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  <c r="AI1518" s="230"/>
      <c r="AJ1518" s="230"/>
      <c r="AK1518" s="230"/>
      <c r="AL1518" s="230"/>
      <c r="AM1518" s="230"/>
      <c r="AN1518" s="230"/>
    </row>
    <row r="1519">
      <c r="O1519" s="230"/>
      <c r="R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  <c r="AI1519" s="230"/>
      <c r="AJ1519" s="230"/>
      <c r="AK1519" s="230"/>
      <c r="AL1519" s="230"/>
      <c r="AM1519" s="230"/>
      <c r="AN1519" s="230"/>
    </row>
    <row r="1520">
      <c r="O1520" s="230"/>
      <c r="R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  <c r="AI1520" s="230"/>
      <c r="AJ1520" s="230"/>
      <c r="AK1520" s="230"/>
      <c r="AL1520" s="230"/>
      <c r="AM1520" s="230"/>
      <c r="AN1520" s="230"/>
    </row>
    <row r="1521">
      <c r="O1521" s="230"/>
      <c r="R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  <c r="AI1521" s="230"/>
      <c r="AJ1521" s="230"/>
      <c r="AK1521" s="230"/>
      <c r="AL1521" s="230"/>
      <c r="AM1521" s="230"/>
      <c r="AN1521" s="230"/>
    </row>
    <row r="1522">
      <c r="O1522" s="230"/>
      <c r="R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  <c r="AI1522" s="230"/>
      <c r="AJ1522" s="230"/>
      <c r="AK1522" s="230"/>
      <c r="AL1522" s="230"/>
      <c r="AM1522" s="230"/>
      <c r="AN1522" s="230"/>
    </row>
    <row r="1523">
      <c r="O1523" s="230"/>
      <c r="R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  <c r="AI1523" s="230"/>
      <c r="AJ1523" s="230"/>
      <c r="AK1523" s="230"/>
      <c r="AL1523" s="230"/>
      <c r="AM1523" s="230"/>
      <c r="AN1523" s="230"/>
    </row>
    <row r="1524">
      <c r="O1524" s="230"/>
      <c r="R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  <c r="AI1524" s="230"/>
      <c r="AJ1524" s="230"/>
      <c r="AK1524" s="230"/>
      <c r="AL1524" s="230"/>
      <c r="AM1524" s="230"/>
      <c r="AN1524" s="230"/>
    </row>
    <row r="1525">
      <c r="O1525" s="230"/>
      <c r="R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  <c r="AI1525" s="230"/>
      <c r="AJ1525" s="230"/>
      <c r="AK1525" s="230"/>
      <c r="AL1525" s="230"/>
      <c r="AM1525" s="230"/>
      <c r="AN1525" s="230"/>
    </row>
    <row r="1526">
      <c r="O1526" s="230"/>
      <c r="R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  <c r="AI1526" s="230"/>
      <c r="AJ1526" s="230"/>
      <c r="AK1526" s="230"/>
      <c r="AL1526" s="230"/>
      <c r="AM1526" s="230"/>
      <c r="AN1526" s="230"/>
    </row>
    <row r="1527">
      <c r="O1527" s="230"/>
      <c r="R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  <c r="AI1527" s="230"/>
      <c r="AJ1527" s="230"/>
      <c r="AK1527" s="230"/>
      <c r="AL1527" s="230"/>
      <c r="AM1527" s="230"/>
      <c r="AN1527" s="230"/>
    </row>
    <row r="1528">
      <c r="O1528" s="230"/>
      <c r="R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  <c r="AI1528" s="230"/>
      <c r="AJ1528" s="230"/>
      <c r="AK1528" s="230"/>
      <c r="AL1528" s="230"/>
      <c r="AM1528" s="230"/>
      <c r="AN1528" s="230"/>
    </row>
    <row r="1529">
      <c r="O1529" s="230"/>
      <c r="R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  <c r="AI1529" s="230"/>
      <c r="AJ1529" s="230"/>
      <c r="AK1529" s="230"/>
      <c r="AL1529" s="230"/>
      <c r="AM1529" s="230"/>
      <c r="AN1529" s="230"/>
    </row>
    <row r="1530">
      <c r="O1530" s="230"/>
      <c r="R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  <c r="AI1530" s="230"/>
      <c r="AJ1530" s="230"/>
      <c r="AK1530" s="230"/>
      <c r="AL1530" s="230"/>
      <c r="AM1530" s="230"/>
      <c r="AN1530" s="230"/>
    </row>
    <row r="1531">
      <c r="O1531" s="230"/>
      <c r="R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  <c r="AI1531" s="230"/>
      <c r="AJ1531" s="230"/>
      <c r="AK1531" s="230"/>
      <c r="AL1531" s="230"/>
      <c r="AM1531" s="230"/>
      <c r="AN1531" s="230"/>
    </row>
    <row r="1532">
      <c r="O1532" s="230"/>
      <c r="R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  <c r="AI1532" s="230"/>
      <c r="AJ1532" s="230"/>
      <c r="AK1532" s="230"/>
      <c r="AL1532" s="230"/>
      <c r="AM1532" s="230"/>
      <c r="AN1532" s="230"/>
    </row>
    <row r="1533">
      <c r="O1533" s="230"/>
      <c r="R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  <c r="AI1533" s="230"/>
      <c r="AJ1533" s="230"/>
      <c r="AK1533" s="230"/>
      <c r="AL1533" s="230"/>
      <c r="AM1533" s="230"/>
      <c r="AN1533" s="230"/>
    </row>
    <row r="1534">
      <c r="O1534" s="230"/>
      <c r="R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  <c r="AI1534" s="230"/>
      <c r="AJ1534" s="230"/>
      <c r="AK1534" s="230"/>
      <c r="AL1534" s="230"/>
      <c r="AM1534" s="230"/>
      <c r="AN1534" s="230"/>
    </row>
    <row r="1535">
      <c r="O1535" s="230"/>
      <c r="R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  <c r="AI1535" s="230"/>
      <c r="AJ1535" s="230"/>
      <c r="AK1535" s="230"/>
      <c r="AL1535" s="230"/>
      <c r="AM1535" s="230"/>
      <c r="AN1535" s="230"/>
    </row>
    <row r="1536">
      <c r="O1536" s="230"/>
      <c r="R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  <c r="AI1536" s="230"/>
      <c r="AJ1536" s="230"/>
      <c r="AK1536" s="230"/>
      <c r="AL1536" s="230"/>
      <c r="AM1536" s="230"/>
      <c r="AN1536" s="230"/>
    </row>
    <row r="1537">
      <c r="O1537" s="230"/>
      <c r="R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  <c r="AI1537" s="230"/>
      <c r="AJ1537" s="230"/>
      <c r="AK1537" s="230"/>
      <c r="AL1537" s="230"/>
      <c r="AM1537" s="230"/>
      <c r="AN1537" s="230"/>
    </row>
    <row r="1538">
      <c r="O1538" s="230"/>
      <c r="R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  <c r="AI1538" s="230"/>
      <c r="AJ1538" s="230"/>
      <c r="AK1538" s="230"/>
      <c r="AL1538" s="230"/>
      <c r="AM1538" s="230"/>
      <c r="AN1538" s="230"/>
    </row>
    <row r="1539">
      <c r="O1539" s="230"/>
      <c r="R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  <c r="AI1539" s="230"/>
      <c r="AJ1539" s="230"/>
      <c r="AK1539" s="230"/>
      <c r="AL1539" s="230"/>
      <c r="AM1539" s="230"/>
      <c r="AN1539" s="230"/>
    </row>
    <row r="1540">
      <c r="O1540" s="230"/>
      <c r="R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  <c r="AI1540" s="230"/>
      <c r="AJ1540" s="230"/>
      <c r="AK1540" s="230"/>
      <c r="AL1540" s="230"/>
      <c r="AM1540" s="230"/>
      <c r="AN1540" s="230"/>
    </row>
    <row r="1541">
      <c r="O1541" s="230"/>
      <c r="R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  <c r="AI1541" s="230"/>
      <c r="AJ1541" s="230"/>
      <c r="AK1541" s="230"/>
      <c r="AL1541" s="230"/>
      <c r="AM1541" s="230"/>
      <c r="AN1541" s="230"/>
    </row>
    <row r="1542">
      <c r="O1542" s="230"/>
      <c r="R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  <c r="AI1542" s="230"/>
      <c r="AJ1542" s="230"/>
      <c r="AK1542" s="230"/>
      <c r="AL1542" s="230"/>
      <c r="AM1542" s="230"/>
      <c r="AN1542" s="230"/>
    </row>
    <row r="1543">
      <c r="O1543" s="230"/>
      <c r="R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  <c r="AI1543" s="230"/>
      <c r="AJ1543" s="230"/>
      <c r="AK1543" s="230"/>
      <c r="AL1543" s="230"/>
      <c r="AM1543" s="230"/>
      <c r="AN1543" s="230"/>
    </row>
    <row r="1544">
      <c r="O1544" s="230"/>
      <c r="R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  <c r="AI1544" s="230"/>
      <c r="AJ1544" s="230"/>
      <c r="AK1544" s="230"/>
      <c r="AL1544" s="230"/>
      <c r="AM1544" s="230"/>
      <c r="AN1544" s="230"/>
    </row>
    <row r="1545">
      <c r="O1545" s="230"/>
      <c r="R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  <c r="AI1545" s="230"/>
      <c r="AJ1545" s="230"/>
      <c r="AK1545" s="230"/>
      <c r="AL1545" s="230"/>
      <c r="AM1545" s="230"/>
      <c r="AN1545" s="230"/>
    </row>
    <row r="1546">
      <c r="O1546" s="230"/>
      <c r="R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  <c r="AI1546" s="230"/>
      <c r="AJ1546" s="230"/>
      <c r="AK1546" s="230"/>
      <c r="AL1546" s="230"/>
      <c r="AM1546" s="230"/>
      <c r="AN1546" s="230"/>
    </row>
    <row r="1547">
      <c r="O1547" s="230"/>
      <c r="R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  <c r="AI1547" s="230"/>
      <c r="AJ1547" s="230"/>
      <c r="AK1547" s="230"/>
      <c r="AL1547" s="230"/>
      <c r="AM1547" s="230"/>
      <c r="AN1547" s="230"/>
    </row>
    <row r="1548">
      <c r="O1548" s="230"/>
      <c r="R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  <c r="AI1548" s="230"/>
      <c r="AJ1548" s="230"/>
      <c r="AK1548" s="230"/>
      <c r="AL1548" s="230"/>
      <c r="AM1548" s="230"/>
      <c r="AN1548" s="230"/>
    </row>
    <row r="1549">
      <c r="O1549" s="230"/>
      <c r="R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  <c r="AI1549" s="230"/>
      <c r="AJ1549" s="230"/>
      <c r="AK1549" s="230"/>
      <c r="AL1549" s="230"/>
      <c r="AM1549" s="230"/>
      <c r="AN1549" s="230"/>
    </row>
    <row r="1550">
      <c r="O1550" s="230"/>
      <c r="R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  <c r="AI1550" s="230"/>
      <c r="AJ1550" s="230"/>
      <c r="AK1550" s="230"/>
      <c r="AL1550" s="230"/>
      <c r="AM1550" s="230"/>
      <c r="AN1550" s="230"/>
    </row>
    <row r="1551">
      <c r="O1551" s="230"/>
      <c r="R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  <c r="AI1551" s="230"/>
      <c r="AJ1551" s="230"/>
      <c r="AK1551" s="230"/>
      <c r="AL1551" s="230"/>
      <c r="AM1551" s="230"/>
      <c r="AN1551" s="230"/>
    </row>
    <row r="1552">
      <c r="O1552" s="230"/>
      <c r="R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  <c r="AI1552" s="230"/>
      <c r="AJ1552" s="230"/>
      <c r="AK1552" s="230"/>
      <c r="AL1552" s="230"/>
      <c r="AM1552" s="230"/>
      <c r="AN1552" s="230"/>
    </row>
    <row r="1553">
      <c r="O1553" s="230"/>
      <c r="R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  <c r="AI1553" s="230"/>
      <c r="AJ1553" s="230"/>
      <c r="AK1553" s="230"/>
      <c r="AL1553" s="230"/>
      <c r="AM1553" s="230"/>
      <c r="AN1553" s="230"/>
    </row>
    <row r="1554">
      <c r="O1554" s="230"/>
      <c r="R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  <c r="AI1554" s="230"/>
      <c r="AJ1554" s="230"/>
      <c r="AK1554" s="230"/>
      <c r="AL1554" s="230"/>
      <c r="AM1554" s="230"/>
      <c r="AN1554" s="230"/>
    </row>
    <row r="1555">
      <c r="O1555" s="230"/>
      <c r="R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  <c r="AI1555" s="230"/>
      <c r="AJ1555" s="230"/>
      <c r="AK1555" s="230"/>
      <c r="AL1555" s="230"/>
      <c r="AM1555" s="230"/>
      <c r="AN1555" s="230"/>
    </row>
    <row r="1556">
      <c r="O1556" s="230"/>
      <c r="R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  <c r="AI1556" s="230"/>
      <c r="AJ1556" s="230"/>
      <c r="AK1556" s="230"/>
      <c r="AL1556" s="230"/>
      <c r="AM1556" s="230"/>
      <c r="AN1556" s="230"/>
    </row>
    <row r="1557">
      <c r="O1557" s="230"/>
      <c r="R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  <c r="AI1557" s="230"/>
      <c r="AJ1557" s="230"/>
      <c r="AK1557" s="230"/>
      <c r="AL1557" s="230"/>
      <c r="AM1557" s="230"/>
      <c r="AN1557" s="230"/>
    </row>
    <row r="1558">
      <c r="O1558" s="230"/>
      <c r="R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  <c r="AI1558" s="230"/>
      <c r="AJ1558" s="230"/>
      <c r="AK1558" s="230"/>
      <c r="AL1558" s="230"/>
      <c r="AM1558" s="230"/>
      <c r="AN1558" s="230"/>
    </row>
    <row r="1559">
      <c r="O1559" s="230"/>
      <c r="R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  <c r="AI1559" s="230"/>
      <c r="AJ1559" s="230"/>
      <c r="AK1559" s="230"/>
      <c r="AL1559" s="230"/>
      <c r="AM1559" s="230"/>
      <c r="AN1559" s="230"/>
    </row>
    <row r="1560">
      <c r="O1560" s="230"/>
      <c r="R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  <c r="AI1560" s="230"/>
      <c r="AJ1560" s="230"/>
      <c r="AK1560" s="230"/>
      <c r="AL1560" s="230"/>
      <c r="AM1560" s="230"/>
      <c r="AN1560" s="230"/>
    </row>
    <row r="1561">
      <c r="O1561" s="230"/>
      <c r="R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  <c r="AI1561" s="230"/>
      <c r="AJ1561" s="230"/>
      <c r="AK1561" s="230"/>
      <c r="AL1561" s="230"/>
      <c r="AM1561" s="230"/>
      <c r="AN1561" s="230"/>
    </row>
    <row r="1562">
      <c r="O1562" s="230"/>
      <c r="R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  <c r="AI1562" s="230"/>
      <c r="AJ1562" s="230"/>
      <c r="AK1562" s="230"/>
      <c r="AL1562" s="230"/>
      <c r="AM1562" s="230"/>
      <c r="AN1562" s="230"/>
    </row>
    <row r="1563">
      <c r="O1563" s="230"/>
      <c r="R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  <c r="AI1563" s="230"/>
      <c r="AJ1563" s="230"/>
      <c r="AK1563" s="230"/>
      <c r="AL1563" s="230"/>
      <c r="AM1563" s="230"/>
      <c r="AN1563" s="230"/>
    </row>
    <row r="1564">
      <c r="O1564" s="230"/>
      <c r="R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  <c r="AI1564" s="230"/>
      <c r="AJ1564" s="230"/>
      <c r="AK1564" s="230"/>
      <c r="AL1564" s="230"/>
      <c r="AM1564" s="230"/>
      <c r="AN1564" s="230"/>
    </row>
    <row r="1565">
      <c r="O1565" s="230"/>
      <c r="R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  <c r="AI1565" s="230"/>
      <c r="AJ1565" s="230"/>
      <c r="AK1565" s="230"/>
      <c r="AL1565" s="230"/>
      <c r="AM1565" s="230"/>
      <c r="AN1565" s="230"/>
    </row>
    <row r="1566">
      <c r="O1566" s="230"/>
      <c r="R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  <c r="AI1566" s="230"/>
      <c r="AJ1566" s="230"/>
      <c r="AK1566" s="230"/>
      <c r="AL1566" s="230"/>
      <c r="AM1566" s="230"/>
      <c r="AN1566" s="230"/>
    </row>
    <row r="1567">
      <c r="O1567" s="230"/>
      <c r="R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  <c r="AI1567" s="230"/>
      <c r="AJ1567" s="230"/>
      <c r="AK1567" s="230"/>
      <c r="AL1567" s="230"/>
      <c r="AM1567" s="230"/>
      <c r="AN1567" s="230"/>
    </row>
    <row r="1568">
      <c r="O1568" s="230"/>
      <c r="R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  <c r="AI1568" s="230"/>
      <c r="AJ1568" s="230"/>
      <c r="AK1568" s="230"/>
      <c r="AL1568" s="230"/>
      <c r="AM1568" s="230"/>
      <c r="AN1568" s="230"/>
    </row>
    <row r="1569">
      <c r="O1569" s="230"/>
      <c r="R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  <c r="AI1569" s="230"/>
      <c r="AJ1569" s="230"/>
      <c r="AK1569" s="230"/>
      <c r="AL1569" s="230"/>
      <c r="AM1569" s="230"/>
      <c r="AN1569" s="230"/>
    </row>
    <row r="1570">
      <c r="O1570" s="230"/>
      <c r="R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  <c r="AI1570" s="230"/>
      <c r="AJ1570" s="230"/>
      <c r="AK1570" s="230"/>
      <c r="AL1570" s="230"/>
      <c r="AM1570" s="230"/>
      <c r="AN1570" s="230"/>
    </row>
    <row r="1571">
      <c r="O1571" s="230"/>
      <c r="R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  <c r="AI1571" s="230"/>
      <c r="AJ1571" s="230"/>
      <c r="AK1571" s="230"/>
      <c r="AL1571" s="230"/>
      <c r="AM1571" s="230"/>
      <c r="AN1571" s="230"/>
    </row>
    <row r="1572">
      <c r="O1572" s="230"/>
      <c r="R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  <c r="AI1572" s="230"/>
      <c r="AJ1572" s="230"/>
      <c r="AK1572" s="230"/>
      <c r="AL1572" s="230"/>
      <c r="AM1572" s="230"/>
      <c r="AN1572" s="230"/>
    </row>
    <row r="1573">
      <c r="O1573" s="230"/>
      <c r="R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  <c r="AI1573" s="230"/>
      <c r="AJ1573" s="230"/>
      <c r="AK1573" s="230"/>
      <c r="AL1573" s="230"/>
      <c r="AM1573" s="230"/>
      <c r="AN1573" s="230"/>
    </row>
    <row r="1574">
      <c r="O1574" s="230"/>
      <c r="R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  <c r="AI1574" s="230"/>
      <c r="AJ1574" s="230"/>
      <c r="AK1574" s="230"/>
      <c r="AL1574" s="230"/>
      <c r="AM1574" s="230"/>
      <c r="AN1574" s="230"/>
    </row>
    <row r="1575">
      <c r="O1575" s="230"/>
      <c r="R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  <c r="AI1575" s="230"/>
      <c r="AJ1575" s="230"/>
      <c r="AK1575" s="230"/>
      <c r="AL1575" s="230"/>
      <c r="AM1575" s="230"/>
      <c r="AN1575" s="230"/>
    </row>
    <row r="1576">
      <c r="O1576" s="230"/>
      <c r="R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  <c r="AI1576" s="230"/>
      <c r="AJ1576" s="230"/>
      <c r="AK1576" s="230"/>
      <c r="AL1576" s="230"/>
      <c r="AM1576" s="230"/>
      <c r="AN1576" s="230"/>
    </row>
    <row r="1577">
      <c r="O1577" s="230"/>
      <c r="R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  <c r="AI1577" s="230"/>
      <c r="AJ1577" s="230"/>
      <c r="AK1577" s="230"/>
      <c r="AL1577" s="230"/>
      <c r="AM1577" s="230"/>
      <c r="AN1577" s="230"/>
    </row>
    <row r="1578">
      <c r="O1578" s="230"/>
      <c r="R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  <c r="AI1578" s="230"/>
      <c r="AJ1578" s="230"/>
      <c r="AK1578" s="230"/>
      <c r="AL1578" s="230"/>
      <c r="AM1578" s="230"/>
      <c r="AN1578" s="230"/>
    </row>
    <row r="1579">
      <c r="O1579" s="230"/>
      <c r="R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  <c r="AI1579" s="230"/>
      <c r="AJ1579" s="230"/>
      <c r="AK1579" s="230"/>
      <c r="AL1579" s="230"/>
      <c r="AM1579" s="230"/>
      <c r="AN1579" s="230"/>
    </row>
    <row r="1580">
      <c r="O1580" s="230"/>
      <c r="R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  <c r="AI1580" s="230"/>
      <c r="AJ1580" s="230"/>
      <c r="AK1580" s="230"/>
      <c r="AL1580" s="230"/>
      <c r="AM1580" s="230"/>
      <c r="AN1580" s="230"/>
    </row>
    <row r="1581">
      <c r="O1581" s="230"/>
      <c r="R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  <c r="AI1581" s="230"/>
      <c r="AJ1581" s="230"/>
      <c r="AK1581" s="230"/>
      <c r="AL1581" s="230"/>
      <c r="AM1581" s="230"/>
      <c r="AN1581" s="230"/>
    </row>
    <row r="1582">
      <c r="O1582" s="230"/>
      <c r="R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  <c r="AI1582" s="230"/>
      <c r="AJ1582" s="230"/>
      <c r="AK1582" s="230"/>
      <c r="AL1582" s="230"/>
      <c r="AM1582" s="230"/>
      <c r="AN1582" s="230"/>
    </row>
    <row r="1583">
      <c r="O1583" s="230"/>
      <c r="R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  <c r="AI1583" s="230"/>
      <c r="AJ1583" s="230"/>
      <c r="AK1583" s="230"/>
      <c r="AL1583" s="230"/>
      <c r="AM1583" s="230"/>
      <c r="AN1583" s="230"/>
    </row>
    <row r="1584">
      <c r="O1584" s="230"/>
      <c r="R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  <c r="AI1584" s="230"/>
      <c r="AJ1584" s="230"/>
      <c r="AK1584" s="230"/>
      <c r="AL1584" s="230"/>
      <c r="AM1584" s="230"/>
      <c r="AN1584" s="230"/>
    </row>
    <row r="1585">
      <c r="O1585" s="230"/>
      <c r="R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  <c r="AI1585" s="230"/>
      <c r="AJ1585" s="230"/>
      <c r="AK1585" s="230"/>
      <c r="AL1585" s="230"/>
      <c r="AM1585" s="230"/>
      <c r="AN1585" s="230"/>
    </row>
    <row r="1586">
      <c r="O1586" s="230"/>
      <c r="R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  <c r="AI1586" s="230"/>
      <c r="AJ1586" s="230"/>
      <c r="AK1586" s="230"/>
      <c r="AL1586" s="230"/>
      <c r="AM1586" s="230"/>
      <c r="AN1586" s="230"/>
    </row>
    <row r="1587">
      <c r="O1587" s="230"/>
      <c r="R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  <c r="AI1587" s="230"/>
      <c r="AJ1587" s="230"/>
      <c r="AK1587" s="230"/>
      <c r="AL1587" s="230"/>
      <c r="AM1587" s="230"/>
      <c r="AN1587" s="230"/>
    </row>
    <row r="1588">
      <c r="O1588" s="230"/>
      <c r="R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  <c r="AI1588" s="230"/>
      <c r="AJ1588" s="230"/>
      <c r="AK1588" s="230"/>
      <c r="AL1588" s="230"/>
      <c r="AM1588" s="230"/>
      <c r="AN1588" s="230"/>
    </row>
    <row r="1589">
      <c r="O1589" s="230"/>
      <c r="R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  <c r="AI1589" s="230"/>
      <c r="AJ1589" s="230"/>
      <c r="AK1589" s="230"/>
      <c r="AL1589" s="230"/>
      <c r="AM1589" s="230"/>
      <c r="AN1589" s="230"/>
    </row>
    <row r="1590">
      <c r="O1590" s="230"/>
      <c r="R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  <c r="AI1590" s="230"/>
      <c r="AJ1590" s="230"/>
      <c r="AK1590" s="230"/>
      <c r="AL1590" s="230"/>
      <c r="AM1590" s="230"/>
      <c r="AN1590" s="230"/>
    </row>
    <row r="1591">
      <c r="O1591" s="230"/>
      <c r="R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  <c r="AI1591" s="230"/>
      <c r="AJ1591" s="230"/>
      <c r="AK1591" s="230"/>
      <c r="AL1591" s="230"/>
      <c r="AM1591" s="230"/>
      <c r="AN1591" s="230"/>
    </row>
    <row r="1592">
      <c r="O1592" s="230"/>
      <c r="R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  <c r="AI1592" s="230"/>
      <c r="AJ1592" s="230"/>
      <c r="AK1592" s="230"/>
      <c r="AL1592" s="230"/>
      <c r="AM1592" s="230"/>
      <c r="AN1592" s="230"/>
    </row>
    <row r="1593">
      <c r="O1593" s="230"/>
      <c r="R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  <c r="AI1593" s="230"/>
      <c r="AJ1593" s="230"/>
      <c r="AK1593" s="230"/>
      <c r="AL1593" s="230"/>
      <c r="AM1593" s="230"/>
      <c r="AN1593" s="230"/>
    </row>
    <row r="1594">
      <c r="O1594" s="230"/>
      <c r="R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  <c r="AI1594" s="230"/>
      <c r="AJ1594" s="230"/>
      <c r="AK1594" s="230"/>
      <c r="AL1594" s="230"/>
      <c r="AM1594" s="230"/>
      <c r="AN1594" s="230"/>
    </row>
    <row r="1595">
      <c r="O1595" s="230"/>
      <c r="R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  <c r="AI1595" s="230"/>
      <c r="AJ1595" s="230"/>
      <c r="AK1595" s="230"/>
      <c r="AL1595" s="230"/>
      <c r="AM1595" s="230"/>
      <c r="AN1595" s="230"/>
    </row>
    <row r="1596">
      <c r="O1596" s="230"/>
      <c r="R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  <c r="AI1596" s="230"/>
      <c r="AJ1596" s="230"/>
      <c r="AK1596" s="230"/>
      <c r="AL1596" s="230"/>
      <c r="AM1596" s="230"/>
      <c r="AN1596" s="230"/>
    </row>
    <row r="1597">
      <c r="O1597" s="230"/>
      <c r="R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  <c r="AI1597" s="230"/>
      <c r="AJ1597" s="230"/>
      <c r="AK1597" s="230"/>
      <c r="AL1597" s="230"/>
      <c r="AM1597" s="230"/>
      <c r="AN1597" s="230"/>
    </row>
    <row r="1598">
      <c r="O1598" s="230"/>
      <c r="R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  <c r="AI1598" s="230"/>
      <c r="AJ1598" s="230"/>
      <c r="AK1598" s="230"/>
      <c r="AL1598" s="230"/>
      <c r="AM1598" s="230"/>
      <c r="AN1598" s="230"/>
    </row>
    <row r="1599">
      <c r="O1599" s="230"/>
      <c r="R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  <c r="AI1599" s="230"/>
      <c r="AJ1599" s="230"/>
      <c r="AK1599" s="230"/>
      <c r="AL1599" s="230"/>
      <c r="AM1599" s="230"/>
      <c r="AN1599" s="230"/>
    </row>
    <row r="1600">
      <c r="O1600" s="230"/>
      <c r="R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  <c r="AI1600" s="230"/>
      <c r="AJ1600" s="230"/>
      <c r="AK1600" s="230"/>
      <c r="AL1600" s="230"/>
      <c r="AM1600" s="230"/>
      <c r="AN1600" s="230"/>
    </row>
    <row r="1601">
      <c r="O1601" s="230"/>
      <c r="R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  <c r="AI1601" s="230"/>
      <c r="AJ1601" s="230"/>
      <c r="AK1601" s="230"/>
      <c r="AL1601" s="230"/>
      <c r="AM1601" s="230"/>
      <c r="AN1601" s="230"/>
    </row>
    <row r="1602">
      <c r="O1602" s="230"/>
      <c r="R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  <c r="AI1602" s="230"/>
      <c r="AJ1602" s="230"/>
      <c r="AK1602" s="230"/>
      <c r="AL1602" s="230"/>
      <c r="AM1602" s="230"/>
      <c r="AN1602" s="230"/>
    </row>
    <row r="1603">
      <c r="O1603" s="230"/>
      <c r="R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  <c r="AI1603" s="230"/>
      <c r="AJ1603" s="230"/>
      <c r="AK1603" s="230"/>
      <c r="AL1603" s="230"/>
      <c r="AM1603" s="230"/>
      <c r="AN1603" s="230"/>
    </row>
    <row r="1604">
      <c r="O1604" s="230"/>
      <c r="R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  <c r="AI1604" s="230"/>
      <c r="AJ1604" s="230"/>
      <c r="AK1604" s="230"/>
      <c r="AL1604" s="230"/>
      <c r="AM1604" s="230"/>
      <c r="AN1604" s="230"/>
    </row>
    <row r="1605">
      <c r="O1605" s="230"/>
      <c r="R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  <c r="AI1605" s="230"/>
      <c r="AJ1605" s="230"/>
      <c r="AK1605" s="230"/>
      <c r="AL1605" s="230"/>
      <c r="AM1605" s="230"/>
      <c r="AN1605" s="230"/>
    </row>
    <row r="1606">
      <c r="O1606" s="230"/>
      <c r="R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  <c r="AI1606" s="230"/>
      <c r="AJ1606" s="230"/>
      <c r="AK1606" s="230"/>
      <c r="AL1606" s="230"/>
      <c r="AM1606" s="230"/>
      <c r="AN1606" s="230"/>
    </row>
    <row r="1607">
      <c r="O1607" s="230"/>
      <c r="R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  <c r="AI1607" s="230"/>
      <c r="AJ1607" s="230"/>
      <c r="AK1607" s="230"/>
      <c r="AL1607" s="230"/>
      <c r="AM1607" s="230"/>
      <c r="AN1607" s="230"/>
    </row>
    <row r="1608">
      <c r="O1608" s="230"/>
      <c r="R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  <c r="AI1608" s="230"/>
      <c r="AJ1608" s="230"/>
      <c r="AK1608" s="230"/>
      <c r="AL1608" s="230"/>
      <c r="AM1608" s="230"/>
      <c r="AN1608" s="230"/>
    </row>
    <row r="1609">
      <c r="O1609" s="230"/>
      <c r="R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  <c r="AI1609" s="230"/>
      <c r="AJ1609" s="230"/>
      <c r="AK1609" s="230"/>
      <c r="AL1609" s="230"/>
      <c r="AM1609" s="230"/>
      <c r="AN1609" s="230"/>
    </row>
    <row r="1610">
      <c r="O1610" s="230"/>
      <c r="R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  <c r="AI1610" s="230"/>
      <c r="AJ1610" s="230"/>
      <c r="AK1610" s="230"/>
      <c r="AL1610" s="230"/>
      <c r="AM1610" s="230"/>
      <c r="AN1610" s="230"/>
    </row>
    <row r="1611">
      <c r="O1611" s="230"/>
      <c r="R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  <c r="AI1611" s="230"/>
      <c r="AJ1611" s="230"/>
      <c r="AK1611" s="230"/>
      <c r="AL1611" s="230"/>
      <c r="AM1611" s="230"/>
      <c r="AN1611" s="230"/>
    </row>
    <row r="1612">
      <c r="O1612" s="230"/>
      <c r="R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  <c r="AI1612" s="230"/>
      <c r="AJ1612" s="230"/>
      <c r="AK1612" s="230"/>
      <c r="AL1612" s="230"/>
      <c r="AM1612" s="230"/>
      <c r="AN1612" s="230"/>
    </row>
    <row r="1613">
      <c r="O1613" s="230"/>
      <c r="R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  <c r="AI1613" s="230"/>
      <c r="AJ1613" s="230"/>
      <c r="AK1613" s="230"/>
      <c r="AL1613" s="230"/>
      <c r="AM1613" s="230"/>
      <c r="AN1613" s="230"/>
    </row>
    <row r="1614">
      <c r="O1614" s="230"/>
      <c r="R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  <c r="AI1614" s="230"/>
      <c r="AJ1614" s="230"/>
      <c r="AK1614" s="230"/>
      <c r="AL1614" s="230"/>
      <c r="AM1614" s="230"/>
      <c r="AN1614" s="230"/>
    </row>
    <row r="1615">
      <c r="O1615" s="230"/>
      <c r="R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  <c r="AI1615" s="230"/>
      <c r="AJ1615" s="230"/>
      <c r="AK1615" s="230"/>
      <c r="AL1615" s="230"/>
      <c r="AM1615" s="230"/>
      <c r="AN1615" s="230"/>
    </row>
    <row r="1616">
      <c r="O1616" s="230"/>
      <c r="R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  <c r="AI1616" s="230"/>
      <c r="AJ1616" s="230"/>
      <c r="AK1616" s="230"/>
      <c r="AL1616" s="230"/>
      <c r="AM1616" s="230"/>
      <c r="AN1616" s="230"/>
    </row>
    <row r="1617">
      <c r="O1617" s="230"/>
      <c r="R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  <c r="AI1617" s="230"/>
      <c r="AJ1617" s="230"/>
      <c r="AK1617" s="230"/>
      <c r="AL1617" s="230"/>
      <c r="AM1617" s="230"/>
      <c r="AN1617" s="230"/>
    </row>
    <row r="1618">
      <c r="O1618" s="230"/>
      <c r="R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  <c r="AI1618" s="230"/>
      <c r="AJ1618" s="230"/>
      <c r="AK1618" s="230"/>
      <c r="AL1618" s="230"/>
      <c r="AM1618" s="230"/>
      <c r="AN1618" s="230"/>
    </row>
    <row r="1619">
      <c r="O1619" s="230"/>
      <c r="R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  <c r="AI1619" s="230"/>
      <c r="AJ1619" s="230"/>
      <c r="AK1619" s="230"/>
      <c r="AL1619" s="230"/>
      <c r="AM1619" s="230"/>
      <c r="AN1619" s="230"/>
    </row>
    <row r="1620">
      <c r="O1620" s="230"/>
      <c r="R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  <c r="AI1620" s="230"/>
      <c r="AJ1620" s="230"/>
      <c r="AK1620" s="230"/>
      <c r="AL1620" s="230"/>
      <c r="AM1620" s="230"/>
      <c r="AN1620" s="230"/>
    </row>
    <row r="1621">
      <c r="O1621" s="230"/>
      <c r="R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  <c r="AI1621" s="230"/>
      <c r="AJ1621" s="230"/>
      <c r="AK1621" s="230"/>
      <c r="AL1621" s="230"/>
      <c r="AM1621" s="230"/>
      <c r="AN1621" s="230"/>
    </row>
    <row r="1622">
      <c r="O1622" s="230"/>
      <c r="R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  <c r="AI1622" s="230"/>
      <c r="AJ1622" s="230"/>
      <c r="AK1622" s="230"/>
      <c r="AL1622" s="230"/>
      <c r="AM1622" s="230"/>
      <c r="AN1622" s="230"/>
    </row>
    <row r="1623">
      <c r="O1623" s="230"/>
      <c r="R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  <c r="AI1623" s="230"/>
      <c r="AJ1623" s="230"/>
      <c r="AK1623" s="230"/>
      <c r="AL1623" s="230"/>
      <c r="AM1623" s="230"/>
      <c r="AN1623" s="230"/>
    </row>
    <row r="1624">
      <c r="O1624" s="230"/>
      <c r="R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  <c r="AI1624" s="230"/>
      <c r="AJ1624" s="230"/>
      <c r="AK1624" s="230"/>
      <c r="AL1624" s="230"/>
      <c r="AM1624" s="230"/>
      <c r="AN1624" s="230"/>
    </row>
    <row r="1625">
      <c r="O1625" s="230"/>
      <c r="R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  <c r="AI1625" s="230"/>
      <c r="AJ1625" s="230"/>
      <c r="AK1625" s="230"/>
      <c r="AL1625" s="230"/>
      <c r="AM1625" s="230"/>
      <c r="AN1625" s="230"/>
    </row>
    <row r="1626">
      <c r="O1626" s="230"/>
      <c r="R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  <c r="AI1626" s="230"/>
      <c r="AJ1626" s="230"/>
      <c r="AK1626" s="230"/>
      <c r="AL1626" s="230"/>
      <c r="AM1626" s="230"/>
      <c r="AN1626" s="230"/>
    </row>
    <row r="1627">
      <c r="O1627" s="230"/>
      <c r="R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  <c r="AI1627" s="230"/>
      <c r="AJ1627" s="230"/>
      <c r="AK1627" s="230"/>
      <c r="AL1627" s="230"/>
      <c r="AM1627" s="230"/>
      <c r="AN1627" s="230"/>
    </row>
    <row r="1628">
      <c r="O1628" s="230"/>
      <c r="R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  <c r="AI1628" s="230"/>
      <c r="AJ1628" s="230"/>
      <c r="AK1628" s="230"/>
      <c r="AL1628" s="230"/>
      <c r="AM1628" s="230"/>
      <c r="AN1628" s="230"/>
    </row>
    <row r="1629">
      <c r="O1629" s="230"/>
      <c r="R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  <c r="AI1629" s="230"/>
      <c r="AJ1629" s="230"/>
      <c r="AK1629" s="230"/>
      <c r="AL1629" s="230"/>
      <c r="AM1629" s="230"/>
      <c r="AN1629" s="230"/>
    </row>
    <row r="1630">
      <c r="O1630" s="230"/>
      <c r="R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  <c r="AI1630" s="230"/>
      <c r="AJ1630" s="230"/>
      <c r="AK1630" s="230"/>
      <c r="AL1630" s="230"/>
      <c r="AM1630" s="230"/>
      <c r="AN1630" s="230"/>
    </row>
    <row r="1631">
      <c r="O1631" s="230"/>
      <c r="R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  <c r="AI1631" s="230"/>
      <c r="AJ1631" s="230"/>
      <c r="AK1631" s="230"/>
      <c r="AL1631" s="230"/>
      <c r="AM1631" s="230"/>
      <c r="AN1631" s="230"/>
    </row>
    <row r="1632">
      <c r="O1632" s="230"/>
      <c r="R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  <c r="AI1632" s="230"/>
      <c r="AJ1632" s="230"/>
      <c r="AK1632" s="230"/>
      <c r="AL1632" s="230"/>
      <c r="AM1632" s="230"/>
      <c r="AN1632" s="230"/>
    </row>
    <row r="1633">
      <c r="O1633" s="230"/>
      <c r="R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  <c r="AI1633" s="230"/>
      <c r="AJ1633" s="230"/>
      <c r="AK1633" s="230"/>
      <c r="AL1633" s="230"/>
      <c r="AM1633" s="230"/>
      <c r="AN1633" s="230"/>
    </row>
    <row r="1634">
      <c r="O1634" s="230"/>
      <c r="R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  <c r="AI1634" s="230"/>
      <c r="AJ1634" s="230"/>
      <c r="AK1634" s="230"/>
      <c r="AL1634" s="230"/>
      <c r="AM1634" s="230"/>
      <c r="AN1634" s="230"/>
    </row>
    <row r="1635">
      <c r="O1635" s="230"/>
      <c r="R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  <c r="AI1635" s="230"/>
      <c r="AJ1635" s="230"/>
      <c r="AK1635" s="230"/>
      <c r="AL1635" s="230"/>
      <c r="AM1635" s="230"/>
      <c r="AN1635" s="230"/>
    </row>
    <row r="1636">
      <c r="O1636" s="230"/>
      <c r="R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  <c r="AI1636" s="230"/>
      <c r="AJ1636" s="230"/>
      <c r="AK1636" s="230"/>
      <c r="AL1636" s="230"/>
      <c r="AM1636" s="230"/>
      <c r="AN1636" s="230"/>
    </row>
    <row r="1637">
      <c r="O1637" s="230"/>
      <c r="R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  <c r="AI1637" s="230"/>
      <c r="AJ1637" s="230"/>
      <c r="AK1637" s="230"/>
      <c r="AL1637" s="230"/>
      <c r="AM1637" s="230"/>
      <c r="AN1637" s="230"/>
    </row>
    <row r="1638">
      <c r="O1638" s="230"/>
      <c r="R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  <c r="AI1638" s="230"/>
      <c r="AJ1638" s="230"/>
      <c r="AK1638" s="230"/>
      <c r="AL1638" s="230"/>
      <c r="AM1638" s="230"/>
      <c r="AN1638" s="230"/>
    </row>
    <row r="1639">
      <c r="O1639" s="230"/>
      <c r="R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  <c r="AI1639" s="230"/>
      <c r="AJ1639" s="230"/>
      <c r="AK1639" s="230"/>
      <c r="AL1639" s="230"/>
      <c r="AM1639" s="230"/>
      <c r="AN1639" s="230"/>
    </row>
    <row r="1640">
      <c r="O1640" s="230"/>
      <c r="R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  <c r="AI1640" s="230"/>
      <c r="AJ1640" s="230"/>
      <c r="AK1640" s="230"/>
      <c r="AL1640" s="230"/>
      <c r="AM1640" s="230"/>
      <c r="AN1640" s="230"/>
    </row>
    <row r="1641">
      <c r="O1641" s="230"/>
      <c r="R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  <c r="AI1641" s="230"/>
      <c r="AJ1641" s="230"/>
      <c r="AK1641" s="230"/>
      <c r="AL1641" s="230"/>
      <c r="AM1641" s="230"/>
      <c r="AN1641" s="230"/>
    </row>
    <row r="1642">
      <c r="O1642" s="230"/>
      <c r="R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  <c r="AI1642" s="230"/>
      <c r="AJ1642" s="230"/>
      <c r="AK1642" s="230"/>
      <c r="AL1642" s="230"/>
      <c r="AM1642" s="230"/>
      <c r="AN1642" s="230"/>
    </row>
    <row r="1643">
      <c r="O1643" s="230"/>
      <c r="R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  <c r="AI1643" s="230"/>
      <c r="AJ1643" s="230"/>
      <c r="AK1643" s="230"/>
      <c r="AL1643" s="230"/>
      <c r="AM1643" s="230"/>
      <c r="AN1643" s="230"/>
    </row>
    <row r="1644">
      <c r="O1644" s="230"/>
      <c r="R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  <c r="AI1644" s="230"/>
      <c r="AJ1644" s="230"/>
      <c r="AK1644" s="230"/>
      <c r="AL1644" s="230"/>
      <c r="AM1644" s="230"/>
      <c r="AN1644" s="230"/>
    </row>
    <row r="1645">
      <c r="O1645" s="230"/>
      <c r="R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  <c r="AI1645" s="230"/>
      <c r="AJ1645" s="230"/>
      <c r="AK1645" s="230"/>
      <c r="AL1645" s="230"/>
      <c r="AM1645" s="230"/>
      <c r="AN1645" s="230"/>
    </row>
    <row r="1646">
      <c r="O1646" s="230"/>
      <c r="R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  <c r="AI1646" s="230"/>
      <c r="AJ1646" s="230"/>
      <c r="AK1646" s="230"/>
      <c r="AL1646" s="230"/>
      <c r="AM1646" s="230"/>
      <c r="AN1646" s="230"/>
    </row>
    <row r="1647">
      <c r="O1647" s="230"/>
      <c r="R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  <c r="AI1647" s="230"/>
      <c r="AJ1647" s="230"/>
      <c r="AK1647" s="230"/>
      <c r="AL1647" s="230"/>
      <c r="AM1647" s="230"/>
      <c r="AN1647" s="230"/>
    </row>
    <row r="1648">
      <c r="O1648" s="230"/>
      <c r="R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  <c r="AI1648" s="230"/>
      <c r="AJ1648" s="230"/>
      <c r="AK1648" s="230"/>
      <c r="AL1648" s="230"/>
      <c r="AM1648" s="230"/>
      <c r="AN1648" s="230"/>
    </row>
    <row r="1649">
      <c r="O1649" s="230"/>
      <c r="R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  <c r="AI1649" s="230"/>
      <c r="AJ1649" s="230"/>
      <c r="AK1649" s="230"/>
      <c r="AL1649" s="230"/>
      <c r="AM1649" s="230"/>
      <c r="AN1649" s="230"/>
    </row>
    <row r="1650">
      <c r="O1650" s="230"/>
      <c r="R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  <c r="AI1650" s="230"/>
      <c r="AJ1650" s="230"/>
      <c r="AK1650" s="230"/>
      <c r="AL1650" s="230"/>
      <c r="AM1650" s="230"/>
      <c r="AN1650" s="230"/>
    </row>
    <row r="1651">
      <c r="O1651" s="230"/>
      <c r="R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  <c r="AI1651" s="230"/>
      <c r="AJ1651" s="230"/>
      <c r="AK1651" s="230"/>
      <c r="AL1651" s="230"/>
      <c r="AM1651" s="230"/>
      <c r="AN1651" s="230"/>
    </row>
    <row r="1652">
      <c r="O1652" s="230"/>
      <c r="R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  <c r="AI1652" s="230"/>
      <c r="AJ1652" s="230"/>
      <c r="AK1652" s="230"/>
      <c r="AL1652" s="230"/>
      <c r="AM1652" s="230"/>
      <c r="AN1652" s="230"/>
    </row>
    <row r="1653">
      <c r="O1653" s="230"/>
      <c r="R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  <c r="AI1653" s="230"/>
      <c r="AJ1653" s="230"/>
      <c r="AK1653" s="230"/>
      <c r="AL1653" s="230"/>
      <c r="AM1653" s="230"/>
      <c r="AN1653" s="230"/>
    </row>
    <row r="1654">
      <c r="O1654" s="230"/>
      <c r="R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  <c r="AI1654" s="230"/>
      <c r="AJ1654" s="230"/>
      <c r="AK1654" s="230"/>
      <c r="AL1654" s="230"/>
      <c r="AM1654" s="230"/>
      <c r="AN1654" s="230"/>
    </row>
    <row r="1655">
      <c r="O1655" s="230"/>
      <c r="R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  <c r="AI1655" s="230"/>
      <c r="AJ1655" s="230"/>
      <c r="AK1655" s="230"/>
      <c r="AL1655" s="230"/>
      <c r="AM1655" s="230"/>
      <c r="AN1655" s="230"/>
    </row>
    <row r="1656">
      <c r="O1656" s="230"/>
      <c r="R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  <c r="AI1656" s="230"/>
      <c r="AJ1656" s="230"/>
      <c r="AK1656" s="230"/>
      <c r="AL1656" s="230"/>
      <c r="AM1656" s="230"/>
      <c r="AN1656" s="230"/>
    </row>
    <row r="1657">
      <c r="O1657" s="230"/>
      <c r="R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  <c r="AI1657" s="230"/>
      <c r="AJ1657" s="230"/>
      <c r="AK1657" s="230"/>
      <c r="AL1657" s="230"/>
      <c r="AM1657" s="230"/>
      <c r="AN1657" s="230"/>
    </row>
    <row r="1658">
      <c r="O1658" s="230"/>
      <c r="R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  <c r="AI1658" s="230"/>
      <c r="AJ1658" s="230"/>
      <c r="AK1658" s="230"/>
      <c r="AL1658" s="230"/>
      <c r="AM1658" s="230"/>
      <c r="AN1658" s="230"/>
    </row>
    <row r="1659">
      <c r="O1659" s="230"/>
      <c r="R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  <c r="AI1659" s="230"/>
      <c r="AJ1659" s="230"/>
      <c r="AK1659" s="230"/>
      <c r="AL1659" s="230"/>
      <c r="AM1659" s="230"/>
      <c r="AN1659" s="230"/>
    </row>
    <row r="1660">
      <c r="O1660" s="230"/>
      <c r="R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  <c r="AI1660" s="230"/>
      <c r="AJ1660" s="230"/>
      <c r="AK1660" s="230"/>
      <c r="AL1660" s="230"/>
      <c r="AM1660" s="230"/>
      <c r="AN1660" s="230"/>
    </row>
    <row r="1661">
      <c r="O1661" s="230"/>
      <c r="R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  <c r="AI1661" s="230"/>
      <c r="AJ1661" s="230"/>
      <c r="AK1661" s="230"/>
      <c r="AL1661" s="230"/>
      <c r="AM1661" s="230"/>
      <c r="AN1661" s="230"/>
    </row>
    <row r="1662">
      <c r="O1662" s="230"/>
      <c r="R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  <c r="AI1662" s="230"/>
      <c r="AJ1662" s="230"/>
      <c r="AK1662" s="230"/>
      <c r="AL1662" s="230"/>
      <c r="AM1662" s="230"/>
      <c r="AN1662" s="230"/>
    </row>
    <row r="1663">
      <c r="O1663" s="230"/>
      <c r="R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  <c r="AI1663" s="230"/>
      <c r="AJ1663" s="230"/>
      <c r="AK1663" s="230"/>
      <c r="AL1663" s="230"/>
      <c r="AM1663" s="230"/>
      <c r="AN1663" s="230"/>
    </row>
    <row r="1664">
      <c r="O1664" s="230"/>
      <c r="R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  <c r="AI1664" s="230"/>
      <c r="AJ1664" s="230"/>
      <c r="AK1664" s="230"/>
      <c r="AL1664" s="230"/>
      <c r="AM1664" s="230"/>
      <c r="AN1664" s="230"/>
    </row>
    <row r="1665">
      <c r="O1665" s="230"/>
      <c r="R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  <c r="AI1665" s="230"/>
      <c r="AJ1665" s="230"/>
      <c r="AK1665" s="230"/>
      <c r="AL1665" s="230"/>
      <c r="AM1665" s="230"/>
      <c r="AN1665" s="230"/>
    </row>
    <row r="1666">
      <c r="O1666" s="230"/>
      <c r="R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  <c r="AI1666" s="230"/>
      <c r="AJ1666" s="230"/>
      <c r="AK1666" s="230"/>
      <c r="AL1666" s="230"/>
      <c r="AM1666" s="230"/>
      <c r="AN1666" s="230"/>
    </row>
    <row r="1667">
      <c r="O1667" s="230"/>
      <c r="R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  <c r="AI1667" s="230"/>
      <c r="AJ1667" s="230"/>
      <c r="AK1667" s="230"/>
      <c r="AL1667" s="230"/>
      <c r="AM1667" s="230"/>
      <c r="AN1667" s="230"/>
    </row>
    <row r="1668">
      <c r="O1668" s="230"/>
      <c r="R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  <c r="AI1668" s="230"/>
      <c r="AJ1668" s="230"/>
      <c r="AK1668" s="230"/>
      <c r="AL1668" s="230"/>
      <c r="AM1668" s="230"/>
      <c r="AN1668" s="230"/>
    </row>
    <row r="1669">
      <c r="O1669" s="230"/>
      <c r="R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  <c r="AI1669" s="230"/>
      <c r="AJ1669" s="230"/>
      <c r="AK1669" s="230"/>
      <c r="AL1669" s="230"/>
      <c r="AM1669" s="230"/>
      <c r="AN1669" s="230"/>
    </row>
    <row r="1670">
      <c r="O1670" s="230"/>
      <c r="R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  <c r="AI1670" s="230"/>
      <c r="AJ1670" s="230"/>
      <c r="AK1670" s="230"/>
      <c r="AL1670" s="230"/>
      <c r="AM1670" s="230"/>
      <c r="AN1670" s="230"/>
    </row>
    <row r="1671">
      <c r="O1671" s="230"/>
      <c r="R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  <c r="AI1671" s="230"/>
      <c r="AJ1671" s="230"/>
      <c r="AK1671" s="230"/>
      <c r="AL1671" s="230"/>
      <c r="AM1671" s="230"/>
      <c r="AN1671" s="230"/>
    </row>
    <row r="1672">
      <c r="O1672" s="230"/>
      <c r="R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  <c r="AI1672" s="230"/>
      <c r="AJ1672" s="230"/>
      <c r="AK1672" s="230"/>
      <c r="AL1672" s="230"/>
      <c r="AM1672" s="230"/>
      <c r="AN1672" s="230"/>
    </row>
    <row r="1673">
      <c r="O1673" s="230"/>
      <c r="R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  <c r="AI1673" s="230"/>
      <c r="AJ1673" s="230"/>
      <c r="AK1673" s="230"/>
      <c r="AL1673" s="230"/>
      <c r="AM1673" s="230"/>
      <c r="AN1673" s="230"/>
    </row>
    <row r="1674">
      <c r="O1674" s="230"/>
      <c r="R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  <c r="AI1674" s="230"/>
      <c r="AJ1674" s="230"/>
      <c r="AK1674" s="230"/>
      <c r="AL1674" s="230"/>
      <c r="AM1674" s="230"/>
      <c r="AN1674" s="230"/>
    </row>
    <row r="1675">
      <c r="O1675" s="230"/>
      <c r="R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  <c r="AI1675" s="230"/>
      <c r="AJ1675" s="230"/>
      <c r="AK1675" s="230"/>
      <c r="AL1675" s="230"/>
      <c r="AM1675" s="230"/>
      <c r="AN1675" s="230"/>
    </row>
    <row r="1676">
      <c r="O1676" s="230"/>
      <c r="R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  <c r="AI1676" s="230"/>
      <c r="AJ1676" s="230"/>
      <c r="AK1676" s="230"/>
      <c r="AL1676" s="230"/>
      <c r="AM1676" s="230"/>
      <c r="AN1676" s="230"/>
    </row>
    <row r="1677">
      <c r="O1677" s="230"/>
      <c r="R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  <c r="AI1677" s="230"/>
      <c r="AJ1677" s="230"/>
      <c r="AK1677" s="230"/>
      <c r="AL1677" s="230"/>
      <c r="AM1677" s="230"/>
      <c r="AN1677" s="230"/>
    </row>
    <row r="1678">
      <c r="O1678" s="230"/>
      <c r="R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  <c r="AI1678" s="230"/>
      <c r="AJ1678" s="230"/>
      <c r="AK1678" s="230"/>
      <c r="AL1678" s="230"/>
      <c r="AM1678" s="230"/>
      <c r="AN1678" s="230"/>
    </row>
    <row r="1679">
      <c r="O1679" s="230"/>
      <c r="R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  <c r="AI1679" s="230"/>
      <c r="AJ1679" s="230"/>
      <c r="AK1679" s="230"/>
      <c r="AL1679" s="230"/>
      <c r="AM1679" s="230"/>
      <c r="AN1679" s="230"/>
    </row>
    <row r="1680">
      <c r="O1680" s="230"/>
      <c r="R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  <c r="AI1680" s="230"/>
      <c r="AJ1680" s="230"/>
      <c r="AK1680" s="230"/>
      <c r="AL1680" s="230"/>
      <c r="AM1680" s="230"/>
      <c r="AN1680" s="230"/>
    </row>
    <row r="1681">
      <c r="O1681" s="230"/>
      <c r="R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  <c r="AI1681" s="230"/>
      <c r="AJ1681" s="230"/>
      <c r="AK1681" s="230"/>
      <c r="AL1681" s="230"/>
      <c r="AM1681" s="230"/>
      <c r="AN1681" s="230"/>
    </row>
    <row r="1682">
      <c r="O1682" s="230"/>
      <c r="R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  <c r="AI1682" s="230"/>
      <c r="AJ1682" s="230"/>
      <c r="AK1682" s="230"/>
      <c r="AL1682" s="230"/>
      <c r="AM1682" s="230"/>
      <c r="AN1682" s="230"/>
    </row>
    <row r="1683">
      <c r="O1683" s="230"/>
      <c r="R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  <c r="AI1683" s="230"/>
      <c r="AJ1683" s="230"/>
      <c r="AK1683" s="230"/>
      <c r="AL1683" s="230"/>
      <c r="AM1683" s="230"/>
      <c r="AN1683" s="230"/>
    </row>
    <row r="1684">
      <c r="O1684" s="230"/>
      <c r="R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  <c r="AI1684" s="230"/>
      <c r="AJ1684" s="230"/>
      <c r="AK1684" s="230"/>
      <c r="AL1684" s="230"/>
      <c r="AM1684" s="230"/>
      <c r="AN1684" s="230"/>
    </row>
    <row r="1685">
      <c r="O1685" s="230"/>
      <c r="R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  <c r="AI1685" s="230"/>
      <c r="AJ1685" s="230"/>
      <c r="AK1685" s="230"/>
      <c r="AL1685" s="230"/>
      <c r="AM1685" s="230"/>
      <c r="AN1685" s="230"/>
    </row>
    <row r="1686">
      <c r="O1686" s="230"/>
      <c r="R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  <c r="AI1686" s="230"/>
      <c r="AJ1686" s="230"/>
      <c r="AK1686" s="230"/>
      <c r="AL1686" s="230"/>
      <c r="AM1686" s="230"/>
      <c r="AN1686" s="230"/>
    </row>
    <row r="1687">
      <c r="O1687" s="230"/>
      <c r="R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  <c r="AI1687" s="230"/>
      <c r="AJ1687" s="230"/>
      <c r="AK1687" s="230"/>
      <c r="AL1687" s="230"/>
      <c r="AM1687" s="230"/>
      <c r="AN1687" s="230"/>
    </row>
    <row r="1688">
      <c r="O1688" s="230"/>
      <c r="R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  <c r="AI1688" s="230"/>
      <c r="AJ1688" s="230"/>
      <c r="AK1688" s="230"/>
      <c r="AL1688" s="230"/>
      <c r="AM1688" s="230"/>
      <c r="AN1688" s="230"/>
    </row>
    <row r="1689">
      <c r="O1689" s="230"/>
      <c r="R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  <c r="AI1689" s="230"/>
      <c r="AJ1689" s="230"/>
      <c r="AK1689" s="230"/>
      <c r="AL1689" s="230"/>
      <c r="AM1689" s="230"/>
      <c r="AN1689" s="230"/>
    </row>
    <row r="1690">
      <c r="O1690" s="230"/>
      <c r="R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  <c r="AI1690" s="230"/>
      <c r="AJ1690" s="230"/>
      <c r="AK1690" s="230"/>
      <c r="AL1690" s="230"/>
      <c r="AM1690" s="230"/>
      <c r="AN1690" s="230"/>
    </row>
    <row r="1691">
      <c r="O1691" s="230"/>
      <c r="R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  <c r="AI1691" s="230"/>
      <c r="AJ1691" s="230"/>
      <c r="AK1691" s="230"/>
      <c r="AL1691" s="230"/>
      <c r="AM1691" s="230"/>
      <c r="AN1691" s="230"/>
    </row>
    <row r="1692">
      <c r="O1692" s="230"/>
      <c r="R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  <c r="AI1692" s="230"/>
      <c r="AJ1692" s="230"/>
      <c r="AK1692" s="230"/>
      <c r="AL1692" s="230"/>
      <c r="AM1692" s="230"/>
      <c r="AN1692" s="230"/>
    </row>
    <row r="1693">
      <c r="O1693" s="230"/>
      <c r="R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  <c r="AI1693" s="230"/>
      <c r="AJ1693" s="230"/>
      <c r="AK1693" s="230"/>
      <c r="AL1693" s="230"/>
      <c r="AM1693" s="230"/>
      <c r="AN1693" s="230"/>
    </row>
    <row r="1694">
      <c r="O1694" s="230"/>
      <c r="R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  <c r="AI1694" s="230"/>
      <c r="AJ1694" s="230"/>
      <c r="AK1694" s="230"/>
      <c r="AL1694" s="230"/>
      <c r="AM1694" s="230"/>
      <c r="AN1694" s="230"/>
    </row>
    <row r="1695">
      <c r="O1695" s="230"/>
      <c r="R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  <c r="AI1695" s="230"/>
      <c r="AJ1695" s="230"/>
      <c r="AK1695" s="230"/>
      <c r="AL1695" s="230"/>
      <c r="AM1695" s="230"/>
      <c r="AN1695" s="230"/>
    </row>
    <row r="1696">
      <c r="O1696" s="230"/>
      <c r="R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  <c r="AI1696" s="230"/>
      <c r="AJ1696" s="230"/>
      <c r="AK1696" s="230"/>
      <c r="AL1696" s="230"/>
      <c r="AM1696" s="230"/>
      <c r="AN1696" s="230"/>
    </row>
    <row r="1697">
      <c r="O1697" s="230"/>
      <c r="R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  <c r="AI1697" s="230"/>
      <c r="AJ1697" s="230"/>
      <c r="AK1697" s="230"/>
      <c r="AL1697" s="230"/>
      <c r="AM1697" s="230"/>
      <c r="AN1697" s="230"/>
    </row>
    <row r="1698">
      <c r="O1698" s="230"/>
      <c r="R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  <c r="AI1698" s="230"/>
      <c r="AJ1698" s="230"/>
      <c r="AK1698" s="230"/>
      <c r="AL1698" s="230"/>
      <c r="AM1698" s="230"/>
      <c r="AN1698" s="230"/>
    </row>
    <row r="1699">
      <c r="O1699" s="230"/>
      <c r="R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  <c r="AI1699" s="230"/>
      <c r="AJ1699" s="230"/>
      <c r="AK1699" s="230"/>
      <c r="AL1699" s="230"/>
      <c r="AM1699" s="230"/>
      <c r="AN1699" s="230"/>
    </row>
    <row r="1700">
      <c r="O1700" s="230"/>
      <c r="R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  <c r="AI1700" s="230"/>
      <c r="AJ1700" s="230"/>
      <c r="AK1700" s="230"/>
      <c r="AL1700" s="230"/>
      <c r="AM1700" s="230"/>
      <c r="AN1700" s="230"/>
    </row>
    <row r="1701">
      <c r="O1701" s="230"/>
      <c r="R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  <c r="AI1701" s="230"/>
      <c r="AJ1701" s="230"/>
      <c r="AK1701" s="230"/>
      <c r="AL1701" s="230"/>
      <c r="AM1701" s="230"/>
      <c r="AN1701" s="230"/>
    </row>
    <row r="1702">
      <c r="O1702" s="230"/>
      <c r="R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  <c r="AI1702" s="230"/>
      <c r="AJ1702" s="230"/>
      <c r="AK1702" s="230"/>
      <c r="AL1702" s="230"/>
      <c r="AM1702" s="230"/>
      <c r="AN1702" s="230"/>
    </row>
    <row r="1703">
      <c r="O1703" s="230"/>
      <c r="R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  <c r="AI1703" s="230"/>
      <c r="AJ1703" s="230"/>
      <c r="AK1703" s="230"/>
      <c r="AL1703" s="230"/>
      <c r="AM1703" s="230"/>
      <c r="AN1703" s="230"/>
    </row>
    <row r="1704">
      <c r="O1704" s="230"/>
      <c r="R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  <c r="AI1704" s="230"/>
      <c r="AJ1704" s="230"/>
      <c r="AK1704" s="230"/>
      <c r="AL1704" s="230"/>
      <c r="AM1704" s="230"/>
      <c r="AN1704" s="230"/>
    </row>
    <row r="1705">
      <c r="O1705" s="230"/>
      <c r="R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  <c r="AI1705" s="230"/>
      <c r="AJ1705" s="230"/>
      <c r="AK1705" s="230"/>
      <c r="AL1705" s="230"/>
      <c r="AM1705" s="230"/>
      <c r="AN1705" s="230"/>
    </row>
    <row r="1706">
      <c r="O1706" s="230"/>
      <c r="R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  <c r="AI1706" s="230"/>
      <c r="AJ1706" s="230"/>
      <c r="AK1706" s="230"/>
      <c r="AL1706" s="230"/>
      <c r="AM1706" s="230"/>
      <c r="AN1706" s="230"/>
    </row>
    <row r="1707">
      <c r="O1707" s="230"/>
      <c r="R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  <c r="AI1707" s="230"/>
      <c r="AJ1707" s="230"/>
      <c r="AK1707" s="230"/>
      <c r="AL1707" s="230"/>
      <c r="AM1707" s="230"/>
      <c r="AN1707" s="230"/>
    </row>
    <row r="1708">
      <c r="O1708" s="230"/>
      <c r="R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  <c r="AI1708" s="230"/>
      <c r="AJ1708" s="230"/>
      <c r="AK1708" s="230"/>
      <c r="AL1708" s="230"/>
      <c r="AM1708" s="230"/>
      <c r="AN1708" s="230"/>
    </row>
    <row r="1709">
      <c r="O1709" s="230"/>
      <c r="R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  <c r="AI1709" s="230"/>
      <c r="AJ1709" s="230"/>
      <c r="AK1709" s="230"/>
      <c r="AL1709" s="230"/>
      <c r="AM1709" s="230"/>
      <c r="AN1709" s="230"/>
    </row>
    <row r="1710">
      <c r="O1710" s="230"/>
      <c r="R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  <c r="AI1710" s="230"/>
      <c r="AJ1710" s="230"/>
      <c r="AK1710" s="230"/>
      <c r="AL1710" s="230"/>
      <c r="AM1710" s="230"/>
      <c r="AN1710" s="230"/>
    </row>
    <row r="1711">
      <c r="O1711" s="230"/>
      <c r="R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  <c r="AI1711" s="230"/>
      <c r="AJ1711" s="230"/>
      <c r="AK1711" s="230"/>
      <c r="AL1711" s="230"/>
      <c r="AM1711" s="230"/>
      <c r="AN1711" s="230"/>
    </row>
    <row r="1712">
      <c r="O1712" s="230"/>
      <c r="R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  <c r="AI1712" s="230"/>
      <c r="AJ1712" s="230"/>
      <c r="AK1712" s="230"/>
      <c r="AL1712" s="230"/>
      <c r="AM1712" s="230"/>
      <c r="AN1712" s="230"/>
    </row>
    <row r="1713">
      <c r="O1713" s="230"/>
      <c r="R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  <c r="AI1713" s="230"/>
      <c r="AJ1713" s="230"/>
      <c r="AK1713" s="230"/>
      <c r="AL1713" s="230"/>
      <c r="AM1713" s="230"/>
      <c r="AN1713" s="230"/>
    </row>
    <row r="1714">
      <c r="O1714" s="230"/>
      <c r="R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  <c r="AI1714" s="230"/>
      <c r="AJ1714" s="230"/>
      <c r="AK1714" s="230"/>
      <c r="AL1714" s="230"/>
      <c r="AM1714" s="230"/>
      <c r="AN1714" s="230"/>
    </row>
    <row r="1715">
      <c r="O1715" s="230"/>
      <c r="R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  <c r="AI1715" s="230"/>
      <c r="AJ1715" s="230"/>
      <c r="AK1715" s="230"/>
      <c r="AL1715" s="230"/>
      <c r="AM1715" s="230"/>
      <c r="AN1715" s="230"/>
    </row>
    <row r="1716">
      <c r="O1716" s="230"/>
      <c r="R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  <c r="AI1716" s="230"/>
      <c r="AJ1716" s="230"/>
      <c r="AK1716" s="230"/>
      <c r="AL1716" s="230"/>
      <c r="AM1716" s="230"/>
      <c r="AN1716" s="230"/>
    </row>
    <row r="1717">
      <c r="O1717" s="230"/>
      <c r="R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  <c r="AI1717" s="230"/>
      <c r="AJ1717" s="230"/>
      <c r="AK1717" s="230"/>
      <c r="AL1717" s="230"/>
      <c r="AM1717" s="230"/>
      <c r="AN1717" s="230"/>
    </row>
    <row r="1718">
      <c r="O1718" s="230"/>
      <c r="R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  <c r="AI1718" s="230"/>
      <c r="AJ1718" s="230"/>
      <c r="AK1718" s="230"/>
      <c r="AL1718" s="230"/>
      <c r="AM1718" s="230"/>
      <c r="AN1718" s="230"/>
    </row>
    <row r="1719">
      <c r="O1719" s="230"/>
      <c r="R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  <c r="AI1719" s="230"/>
      <c r="AJ1719" s="230"/>
      <c r="AK1719" s="230"/>
      <c r="AL1719" s="230"/>
      <c r="AM1719" s="230"/>
      <c r="AN1719" s="230"/>
    </row>
    <row r="1720">
      <c r="O1720" s="230"/>
      <c r="R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  <c r="AI1720" s="230"/>
      <c r="AJ1720" s="230"/>
      <c r="AK1720" s="230"/>
      <c r="AL1720" s="230"/>
      <c r="AM1720" s="230"/>
      <c r="AN1720" s="230"/>
    </row>
    <row r="1721">
      <c r="O1721" s="230"/>
      <c r="R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  <c r="AI1721" s="230"/>
      <c r="AJ1721" s="230"/>
      <c r="AK1721" s="230"/>
      <c r="AL1721" s="230"/>
      <c r="AM1721" s="230"/>
      <c r="AN1721" s="230"/>
    </row>
    <row r="1722">
      <c r="O1722" s="230"/>
      <c r="R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  <c r="AI1722" s="230"/>
      <c r="AJ1722" s="230"/>
      <c r="AK1722" s="230"/>
      <c r="AL1722" s="230"/>
      <c r="AM1722" s="230"/>
      <c r="AN1722" s="230"/>
    </row>
    <row r="1723">
      <c r="O1723" s="230"/>
      <c r="R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  <c r="AI1723" s="230"/>
      <c r="AJ1723" s="230"/>
      <c r="AK1723" s="230"/>
      <c r="AL1723" s="230"/>
      <c r="AM1723" s="230"/>
      <c r="AN1723" s="230"/>
    </row>
    <row r="1724">
      <c r="O1724" s="230"/>
      <c r="R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  <c r="AI1724" s="230"/>
      <c r="AJ1724" s="230"/>
      <c r="AK1724" s="230"/>
      <c r="AL1724" s="230"/>
      <c r="AM1724" s="230"/>
      <c r="AN1724" s="230"/>
    </row>
    <row r="1725">
      <c r="O1725" s="230"/>
      <c r="R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  <c r="AI1725" s="230"/>
      <c r="AJ1725" s="230"/>
      <c r="AK1725" s="230"/>
      <c r="AL1725" s="230"/>
      <c r="AM1725" s="230"/>
      <c r="AN1725" s="230"/>
    </row>
    <row r="1726">
      <c r="O1726" s="230"/>
      <c r="R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  <c r="AI1726" s="230"/>
      <c r="AJ1726" s="230"/>
      <c r="AK1726" s="230"/>
      <c r="AL1726" s="230"/>
      <c r="AM1726" s="230"/>
      <c r="AN1726" s="230"/>
    </row>
    <row r="1727">
      <c r="O1727" s="230"/>
      <c r="R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  <c r="AI1727" s="230"/>
      <c r="AJ1727" s="230"/>
      <c r="AK1727" s="230"/>
      <c r="AL1727" s="230"/>
      <c r="AM1727" s="230"/>
      <c r="AN1727" s="230"/>
    </row>
    <row r="1728">
      <c r="O1728" s="230"/>
      <c r="R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  <c r="AI1728" s="230"/>
      <c r="AJ1728" s="230"/>
      <c r="AK1728" s="230"/>
      <c r="AL1728" s="230"/>
      <c r="AM1728" s="230"/>
      <c r="AN1728" s="230"/>
    </row>
    <row r="1729">
      <c r="O1729" s="230"/>
      <c r="R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  <c r="AI1729" s="230"/>
      <c r="AJ1729" s="230"/>
      <c r="AK1729" s="230"/>
      <c r="AL1729" s="230"/>
      <c r="AM1729" s="230"/>
      <c r="AN1729" s="230"/>
    </row>
    <row r="1730">
      <c r="O1730" s="230"/>
      <c r="R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  <c r="AI1730" s="230"/>
      <c r="AJ1730" s="230"/>
      <c r="AK1730" s="230"/>
      <c r="AL1730" s="230"/>
      <c r="AM1730" s="230"/>
      <c r="AN1730" s="230"/>
    </row>
    <row r="1731">
      <c r="O1731" s="230"/>
      <c r="R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  <c r="AI1731" s="230"/>
      <c r="AJ1731" s="230"/>
      <c r="AK1731" s="230"/>
      <c r="AL1731" s="230"/>
      <c r="AM1731" s="230"/>
      <c r="AN1731" s="230"/>
    </row>
    <row r="1732">
      <c r="O1732" s="230"/>
      <c r="R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  <c r="AI1732" s="230"/>
      <c r="AJ1732" s="230"/>
      <c r="AK1732" s="230"/>
      <c r="AL1732" s="230"/>
      <c r="AM1732" s="230"/>
      <c r="AN1732" s="230"/>
    </row>
    <row r="1733">
      <c r="O1733" s="230"/>
      <c r="R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  <c r="AI1733" s="230"/>
      <c r="AJ1733" s="230"/>
      <c r="AK1733" s="230"/>
      <c r="AL1733" s="230"/>
      <c r="AM1733" s="230"/>
      <c r="AN1733" s="230"/>
    </row>
    <row r="1734">
      <c r="O1734" s="230"/>
      <c r="R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  <c r="AI1734" s="230"/>
      <c r="AJ1734" s="230"/>
      <c r="AK1734" s="230"/>
      <c r="AL1734" s="230"/>
      <c r="AM1734" s="230"/>
      <c r="AN1734" s="230"/>
    </row>
    <row r="1735">
      <c r="O1735" s="230"/>
      <c r="R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  <c r="AI1735" s="230"/>
      <c r="AJ1735" s="230"/>
      <c r="AK1735" s="230"/>
      <c r="AL1735" s="230"/>
      <c r="AM1735" s="230"/>
      <c r="AN1735" s="230"/>
    </row>
    <row r="1736">
      <c r="O1736" s="230"/>
      <c r="R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  <c r="AI1736" s="230"/>
      <c r="AJ1736" s="230"/>
      <c r="AK1736" s="230"/>
      <c r="AL1736" s="230"/>
      <c r="AM1736" s="230"/>
      <c r="AN1736" s="230"/>
    </row>
    <row r="1737">
      <c r="O1737" s="230"/>
      <c r="R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  <c r="AI1737" s="230"/>
      <c r="AJ1737" s="230"/>
      <c r="AK1737" s="230"/>
      <c r="AL1737" s="230"/>
      <c r="AM1737" s="230"/>
      <c r="AN1737" s="230"/>
    </row>
    <row r="1738">
      <c r="O1738" s="230"/>
      <c r="R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  <c r="AI1738" s="230"/>
      <c r="AJ1738" s="230"/>
      <c r="AK1738" s="230"/>
      <c r="AL1738" s="230"/>
      <c r="AM1738" s="230"/>
      <c r="AN1738" s="230"/>
    </row>
    <row r="1739">
      <c r="O1739" s="230"/>
      <c r="R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  <c r="AI1739" s="230"/>
      <c r="AJ1739" s="230"/>
      <c r="AK1739" s="230"/>
      <c r="AL1739" s="230"/>
      <c r="AM1739" s="230"/>
      <c r="AN1739" s="230"/>
    </row>
    <row r="1740">
      <c r="O1740" s="230"/>
      <c r="R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  <c r="AI1740" s="230"/>
      <c r="AJ1740" s="230"/>
      <c r="AK1740" s="230"/>
      <c r="AL1740" s="230"/>
      <c r="AM1740" s="230"/>
      <c r="AN1740" s="230"/>
    </row>
    <row r="1741">
      <c r="O1741" s="230"/>
      <c r="R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  <c r="AI1741" s="230"/>
      <c r="AJ1741" s="230"/>
      <c r="AK1741" s="230"/>
      <c r="AL1741" s="230"/>
      <c r="AM1741" s="230"/>
      <c r="AN1741" s="230"/>
    </row>
    <row r="1742">
      <c r="O1742" s="230"/>
      <c r="R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  <c r="AI1742" s="230"/>
      <c r="AJ1742" s="230"/>
      <c r="AK1742" s="230"/>
      <c r="AL1742" s="230"/>
      <c r="AM1742" s="230"/>
      <c r="AN1742" s="230"/>
    </row>
    <row r="1743">
      <c r="O1743" s="230"/>
      <c r="R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  <c r="AI1743" s="230"/>
      <c r="AJ1743" s="230"/>
      <c r="AK1743" s="230"/>
      <c r="AL1743" s="230"/>
      <c r="AM1743" s="230"/>
      <c r="AN1743" s="230"/>
    </row>
    <row r="1744">
      <c r="O1744" s="230"/>
      <c r="R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  <c r="AI1744" s="230"/>
      <c r="AJ1744" s="230"/>
      <c r="AK1744" s="230"/>
      <c r="AL1744" s="230"/>
      <c r="AM1744" s="230"/>
      <c r="AN1744" s="230"/>
    </row>
    <row r="1745">
      <c r="O1745" s="230"/>
      <c r="R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  <c r="AI1745" s="230"/>
      <c r="AJ1745" s="230"/>
      <c r="AK1745" s="230"/>
      <c r="AL1745" s="230"/>
      <c r="AM1745" s="230"/>
      <c r="AN1745" s="230"/>
    </row>
    <row r="1746">
      <c r="O1746" s="230"/>
      <c r="R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  <c r="AI1746" s="230"/>
      <c r="AJ1746" s="230"/>
      <c r="AK1746" s="230"/>
      <c r="AL1746" s="230"/>
      <c r="AM1746" s="230"/>
      <c r="AN1746" s="230"/>
    </row>
    <row r="1747">
      <c r="O1747" s="230"/>
      <c r="R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  <c r="AI1747" s="230"/>
      <c r="AJ1747" s="230"/>
      <c r="AK1747" s="230"/>
      <c r="AL1747" s="230"/>
      <c r="AM1747" s="230"/>
      <c r="AN1747" s="230"/>
    </row>
    <row r="1748">
      <c r="O1748" s="230"/>
      <c r="R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  <c r="AI1748" s="230"/>
      <c r="AJ1748" s="230"/>
      <c r="AK1748" s="230"/>
      <c r="AL1748" s="230"/>
      <c r="AM1748" s="230"/>
      <c r="AN1748" s="230"/>
    </row>
    <row r="1749">
      <c r="O1749" s="230"/>
      <c r="R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  <c r="AI1749" s="230"/>
      <c r="AJ1749" s="230"/>
      <c r="AK1749" s="230"/>
      <c r="AL1749" s="230"/>
      <c r="AM1749" s="230"/>
      <c r="AN1749" s="230"/>
    </row>
    <row r="1750">
      <c r="O1750" s="230"/>
      <c r="R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  <c r="AI1750" s="230"/>
      <c r="AJ1750" s="230"/>
      <c r="AK1750" s="230"/>
      <c r="AL1750" s="230"/>
      <c r="AM1750" s="230"/>
      <c r="AN1750" s="230"/>
    </row>
    <row r="1751">
      <c r="O1751" s="230"/>
      <c r="R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  <c r="AI1751" s="230"/>
      <c r="AJ1751" s="230"/>
      <c r="AK1751" s="230"/>
      <c r="AL1751" s="230"/>
      <c r="AM1751" s="230"/>
      <c r="AN1751" s="230"/>
    </row>
    <row r="1752">
      <c r="O1752" s="230"/>
      <c r="R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  <c r="AI1752" s="230"/>
      <c r="AJ1752" s="230"/>
      <c r="AK1752" s="230"/>
      <c r="AL1752" s="230"/>
      <c r="AM1752" s="230"/>
      <c r="AN1752" s="230"/>
    </row>
    <row r="1753">
      <c r="O1753" s="230"/>
      <c r="R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  <c r="AI1753" s="230"/>
      <c r="AJ1753" s="230"/>
      <c r="AK1753" s="230"/>
      <c r="AL1753" s="230"/>
      <c r="AM1753" s="230"/>
      <c r="AN1753" s="230"/>
    </row>
    <row r="1754">
      <c r="O1754" s="230"/>
      <c r="R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  <c r="AI1754" s="230"/>
      <c r="AJ1754" s="230"/>
      <c r="AK1754" s="230"/>
      <c r="AL1754" s="230"/>
      <c r="AM1754" s="230"/>
      <c r="AN1754" s="230"/>
    </row>
    <row r="1755">
      <c r="O1755" s="230"/>
      <c r="R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  <c r="AI1755" s="230"/>
      <c r="AJ1755" s="230"/>
      <c r="AK1755" s="230"/>
      <c r="AL1755" s="230"/>
      <c r="AM1755" s="230"/>
      <c r="AN1755" s="230"/>
    </row>
    <row r="1756">
      <c r="O1756" s="230"/>
      <c r="R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  <c r="AI1756" s="230"/>
      <c r="AJ1756" s="230"/>
      <c r="AK1756" s="230"/>
      <c r="AL1756" s="230"/>
      <c r="AM1756" s="230"/>
      <c r="AN1756" s="230"/>
    </row>
    <row r="1757">
      <c r="O1757" s="230"/>
      <c r="R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  <c r="AI1757" s="230"/>
      <c r="AJ1757" s="230"/>
      <c r="AK1757" s="230"/>
      <c r="AL1757" s="230"/>
      <c r="AM1757" s="230"/>
      <c r="AN1757" s="230"/>
    </row>
    <row r="1758">
      <c r="O1758" s="230"/>
      <c r="R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  <c r="AI1758" s="230"/>
      <c r="AJ1758" s="230"/>
      <c r="AK1758" s="230"/>
      <c r="AL1758" s="230"/>
      <c r="AM1758" s="230"/>
      <c r="AN1758" s="230"/>
    </row>
    <row r="1759">
      <c r="O1759" s="230"/>
      <c r="R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  <c r="AI1759" s="230"/>
      <c r="AJ1759" s="230"/>
      <c r="AK1759" s="230"/>
      <c r="AL1759" s="230"/>
      <c r="AM1759" s="230"/>
      <c r="AN1759" s="230"/>
    </row>
    <row r="1760">
      <c r="O1760" s="230"/>
      <c r="R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  <c r="AI1760" s="230"/>
      <c r="AJ1760" s="230"/>
      <c r="AK1760" s="230"/>
      <c r="AL1760" s="230"/>
      <c r="AM1760" s="230"/>
      <c r="AN1760" s="230"/>
    </row>
    <row r="1761">
      <c r="O1761" s="230"/>
      <c r="R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  <c r="AI1761" s="230"/>
      <c r="AJ1761" s="230"/>
      <c r="AK1761" s="230"/>
      <c r="AL1761" s="230"/>
      <c r="AM1761" s="230"/>
      <c r="AN1761" s="230"/>
    </row>
    <row r="1762">
      <c r="O1762" s="230"/>
      <c r="R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  <c r="AI1762" s="230"/>
      <c r="AJ1762" s="230"/>
      <c r="AK1762" s="230"/>
      <c r="AL1762" s="230"/>
      <c r="AM1762" s="230"/>
      <c r="AN1762" s="230"/>
    </row>
    <row r="1763">
      <c r="O1763" s="230"/>
      <c r="R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  <c r="AI1763" s="230"/>
      <c r="AJ1763" s="230"/>
      <c r="AK1763" s="230"/>
      <c r="AL1763" s="230"/>
      <c r="AM1763" s="230"/>
      <c r="AN1763" s="230"/>
    </row>
    <row r="1764">
      <c r="O1764" s="230"/>
      <c r="R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  <c r="AI1764" s="230"/>
      <c r="AJ1764" s="230"/>
      <c r="AK1764" s="230"/>
      <c r="AL1764" s="230"/>
      <c r="AM1764" s="230"/>
      <c r="AN1764" s="230"/>
    </row>
    <row r="1765">
      <c r="O1765" s="230"/>
      <c r="R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  <c r="AI1765" s="230"/>
      <c r="AJ1765" s="230"/>
      <c r="AK1765" s="230"/>
      <c r="AL1765" s="230"/>
      <c r="AM1765" s="230"/>
      <c r="AN1765" s="230"/>
    </row>
    <row r="1766">
      <c r="O1766" s="230"/>
      <c r="R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  <c r="AI1766" s="230"/>
      <c r="AJ1766" s="230"/>
      <c r="AK1766" s="230"/>
      <c r="AL1766" s="230"/>
      <c r="AM1766" s="230"/>
      <c r="AN1766" s="230"/>
    </row>
    <row r="1767">
      <c r="O1767" s="230"/>
      <c r="R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  <c r="AI1767" s="230"/>
      <c r="AJ1767" s="230"/>
      <c r="AK1767" s="230"/>
      <c r="AL1767" s="230"/>
      <c r="AM1767" s="230"/>
      <c r="AN1767" s="230"/>
    </row>
    <row r="1768">
      <c r="O1768" s="230"/>
      <c r="R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  <c r="AI1768" s="230"/>
      <c r="AJ1768" s="230"/>
      <c r="AK1768" s="230"/>
      <c r="AL1768" s="230"/>
      <c r="AM1768" s="230"/>
      <c r="AN1768" s="230"/>
    </row>
    <row r="1769">
      <c r="O1769" s="230"/>
      <c r="R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  <c r="AI1769" s="230"/>
      <c r="AJ1769" s="230"/>
      <c r="AK1769" s="230"/>
      <c r="AL1769" s="230"/>
      <c r="AM1769" s="230"/>
      <c r="AN1769" s="230"/>
    </row>
    <row r="1770">
      <c r="O1770" s="230"/>
      <c r="R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  <c r="AI1770" s="230"/>
      <c r="AJ1770" s="230"/>
      <c r="AK1770" s="230"/>
      <c r="AL1770" s="230"/>
      <c r="AM1770" s="230"/>
      <c r="AN1770" s="230"/>
    </row>
    <row r="1771">
      <c r="O1771" s="230"/>
      <c r="R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  <c r="AI1771" s="230"/>
      <c r="AJ1771" s="230"/>
      <c r="AK1771" s="230"/>
      <c r="AL1771" s="230"/>
      <c r="AM1771" s="230"/>
      <c r="AN1771" s="230"/>
    </row>
    <row r="1772">
      <c r="O1772" s="230"/>
      <c r="R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  <c r="AI1772" s="230"/>
      <c r="AJ1772" s="230"/>
      <c r="AK1772" s="230"/>
      <c r="AL1772" s="230"/>
      <c r="AM1772" s="230"/>
      <c r="AN1772" s="230"/>
    </row>
    <row r="1773">
      <c r="O1773" s="230"/>
      <c r="R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  <c r="AI1773" s="230"/>
      <c r="AJ1773" s="230"/>
      <c r="AK1773" s="230"/>
      <c r="AL1773" s="230"/>
      <c r="AM1773" s="230"/>
      <c r="AN1773" s="230"/>
    </row>
    <row r="1774">
      <c r="O1774" s="230"/>
      <c r="R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  <c r="AI1774" s="230"/>
      <c r="AJ1774" s="230"/>
      <c r="AK1774" s="230"/>
      <c r="AL1774" s="230"/>
      <c r="AM1774" s="230"/>
      <c r="AN1774" s="230"/>
    </row>
    <row r="1775">
      <c r="O1775" s="230"/>
      <c r="R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  <c r="AI1775" s="230"/>
      <c r="AJ1775" s="230"/>
      <c r="AK1775" s="230"/>
      <c r="AL1775" s="230"/>
      <c r="AM1775" s="230"/>
      <c r="AN1775" s="230"/>
    </row>
    <row r="1776">
      <c r="O1776" s="230"/>
      <c r="R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  <c r="AI1776" s="230"/>
      <c r="AJ1776" s="230"/>
      <c r="AK1776" s="230"/>
      <c r="AL1776" s="230"/>
      <c r="AM1776" s="230"/>
      <c r="AN1776" s="230"/>
    </row>
    <row r="1777">
      <c r="O1777" s="230"/>
      <c r="R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  <c r="AI1777" s="230"/>
      <c r="AJ1777" s="230"/>
      <c r="AK1777" s="230"/>
      <c r="AL1777" s="230"/>
      <c r="AM1777" s="230"/>
      <c r="AN1777" s="230"/>
    </row>
    <row r="1778">
      <c r="O1778" s="230"/>
      <c r="R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  <c r="AI1778" s="230"/>
      <c r="AJ1778" s="230"/>
      <c r="AK1778" s="230"/>
      <c r="AL1778" s="230"/>
      <c r="AM1778" s="230"/>
      <c r="AN1778" s="230"/>
    </row>
    <row r="1779">
      <c r="O1779" s="230"/>
      <c r="R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  <c r="AI1779" s="230"/>
      <c r="AJ1779" s="230"/>
      <c r="AK1779" s="230"/>
      <c r="AL1779" s="230"/>
      <c r="AM1779" s="230"/>
      <c r="AN1779" s="230"/>
    </row>
    <row r="1780">
      <c r="O1780" s="230"/>
      <c r="R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  <c r="AI1780" s="230"/>
      <c r="AJ1780" s="230"/>
      <c r="AK1780" s="230"/>
      <c r="AL1780" s="230"/>
      <c r="AM1780" s="230"/>
      <c r="AN1780" s="230"/>
    </row>
    <row r="1781">
      <c r="O1781" s="230"/>
      <c r="R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  <c r="AI1781" s="230"/>
      <c r="AJ1781" s="230"/>
      <c r="AK1781" s="230"/>
      <c r="AL1781" s="230"/>
      <c r="AM1781" s="230"/>
      <c r="AN1781" s="230"/>
    </row>
    <row r="1782">
      <c r="O1782" s="230"/>
      <c r="R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  <c r="AI1782" s="230"/>
      <c r="AJ1782" s="230"/>
      <c r="AK1782" s="230"/>
      <c r="AL1782" s="230"/>
      <c r="AM1782" s="230"/>
      <c r="AN1782" s="230"/>
    </row>
    <row r="1783">
      <c r="O1783" s="230"/>
      <c r="R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  <c r="AI1783" s="230"/>
      <c r="AJ1783" s="230"/>
      <c r="AK1783" s="230"/>
      <c r="AL1783" s="230"/>
      <c r="AM1783" s="230"/>
      <c r="AN1783" s="230"/>
    </row>
    <row r="1784">
      <c r="O1784" s="230"/>
      <c r="R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  <c r="AI1784" s="230"/>
      <c r="AJ1784" s="230"/>
      <c r="AK1784" s="230"/>
      <c r="AL1784" s="230"/>
      <c r="AM1784" s="230"/>
      <c r="AN1784" s="230"/>
    </row>
    <row r="1785">
      <c r="O1785" s="230"/>
      <c r="R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  <c r="AI1785" s="230"/>
      <c r="AJ1785" s="230"/>
      <c r="AK1785" s="230"/>
      <c r="AL1785" s="230"/>
      <c r="AM1785" s="230"/>
      <c r="AN1785" s="230"/>
    </row>
    <row r="1786">
      <c r="O1786" s="230"/>
      <c r="R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  <c r="AI1786" s="230"/>
      <c r="AJ1786" s="230"/>
      <c r="AK1786" s="230"/>
      <c r="AL1786" s="230"/>
      <c r="AM1786" s="230"/>
      <c r="AN1786" s="230"/>
    </row>
    <row r="1787">
      <c r="O1787" s="230"/>
      <c r="R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  <c r="AI1787" s="230"/>
      <c r="AJ1787" s="230"/>
      <c r="AK1787" s="230"/>
      <c r="AL1787" s="230"/>
      <c r="AM1787" s="230"/>
      <c r="AN1787" s="230"/>
    </row>
    <row r="1788">
      <c r="O1788" s="230"/>
      <c r="R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  <c r="AI1788" s="230"/>
      <c r="AJ1788" s="230"/>
      <c r="AK1788" s="230"/>
      <c r="AL1788" s="230"/>
      <c r="AM1788" s="230"/>
      <c r="AN1788" s="230"/>
    </row>
    <row r="1789">
      <c r="O1789" s="230"/>
      <c r="R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  <c r="AI1789" s="230"/>
      <c r="AJ1789" s="230"/>
      <c r="AK1789" s="230"/>
      <c r="AL1789" s="230"/>
      <c r="AM1789" s="230"/>
      <c r="AN1789" s="230"/>
    </row>
    <row r="1790">
      <c r="O1790" s="230"/>
      <c r="R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  <c r="AI1790" s="230"/>
      <c r="AJ1790" s="230"/>
      <c r="AK1790" s="230"/>
      <c r="AL1790" s="230"/>
      <c r="AM1790" s="230"/>
      <c r="AN1790" s="230"/>
    </row>
    <row r="1791">
      <c r="O1791" s="230"/>
      <c r="R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  <c r="AI1791" s="230"/>
      <c r="AJ1791" s="230"/>
      <c r="AK1791" s="230"/>
      <c r="AL1791" s="230"/>
      <c r="AM1791" s="230"/>
      <c r="AN1791" s="230"/>
    </row>
    <row r="1792">
      <c r="O1792" s="230"/>
      <c r="R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  <c r="AI1792" s="230"/>
      <c r="AJ1792" s="230"/>
      <c r="AK1792" s="230"/>
      <c r="AL1792" s="230"/>
      <c r="AM1792" s="230"/>
      <c r="AN1792" s="230"/>
    </row>
    <row r="1793">
      <c r="O1793" s="230"/>
      <c r="R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  <c r="AI1793" s="230"/>
      <c r="AJ1793" s="230"/>
      <c r="AK1793" s="230"/>
      <c r="AL1793" s="230"/>
      <c r="AM1793" s="230"/>
      <c r="AN1793" s="230"/>
    </row>
    <row r="1794">
      <c r="O1794" s="230"/>
      <c r="R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  <c r="AI1794" s="230"/>
      <c r="AJ1794" s="230"/>
      <c r="AK1794" s="230"/>
      <c r="AL1794" s="230"/>
      <c r="AM1794" s="230"/>
      <c r="AN1794" s="230"/>
    </row>
    <row r="1795">
      <c r="O1795" s="230"/>
      <c r="R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  <c r="AI1795" s="230"/>
      <c r="AJ1795" s="230"/>
      <c r="AK1795" s="230"/>
      <c r="AL1795" s="230"/>
      <c r="AM1795" s="230"/>
      <c r="AN1795" s="230"/>
    </row>
    <row r="1796">
      <c r="O1796" s="230"/>
      <c r="R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  <c r="AI1796" s="230"/>
      <c r="AJ1796" s="230"/>
      <c r="AK1796" s="230"/>
      <c r="AL1796" s="230"/>
      <c r="AM1796" s="230"/>
      <c r="AN1796" s="230"/>
    </row>
    <row r="1797">
      <c r="O1797" s="230"/>
      <c r="R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  <c r="AI1797" s="230"/>
      <c r="AJ1797" s="230"/>
      <c r="AK1797" s="230"/>
      <c r="AL1797" s="230"/>
      <c r="AM1797" s="230"/>
      <c r="AN1797" s="230"/>
    </row>
    <row r="1798">
      <c r="O1798" s="230"/>
      <c r="R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  <c r="AI1798" s="230"/>
      <c r="AJ1798" s="230"/>
      <c r="AK1798" s="230"/>
      <c r="AL1798" s="230"/>
      <c r="AM1798" s="230"/>
      <c r="AN1798" s="230"/>
    </row>
    <row r="1799">
      <c r="O1799" s="230"/>
      <c r="R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  <c r="AI1799" s="230"/>
      <c r="AJ1799" s="230"/>
      <c r="AK1799" s="230"/>
      <c r="AL1799" s="230"/>
      <c r="AM1799" s="230"/>
      <c r="AN1799" s="230"/>
    </row>
    <row r="1800">
      <c r="O1800" s="230"/>
      <c r="R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  <c r="AI1800" s="230"/>
      <c r="AJ1800" s="230"/>
      <c r="AK1800" s="230"/>
      <c r="AL1800" s="230"/>
      <c r="AM1800" s="230"/>
      <c r="AN1800" s="230"/>
    </row>
    <row r="1801">
      <c r="O1801" s="230"/>
      <c r="R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  <c r="AI1801" s="230"/>
      <c r="AJ1801" s="230"/>
      <c r="AK1801" s="230"/>
      <c r="AL1801" s="230"/>
      <c r="AM1801" s="230"/>
      <c r="AN1801" s="230"/>
    </row>
    <row r="1802">
      <c r="O1802" s="230"/>
      <c r="R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  <c r="AI1802" s="230"/>
      <c r="AJ1802" s="230"/>
      <c r="AK1802" s="230"/>
      <c r="AL1802" s="230"/>
      <c r="AM1802" s="230"/>
      <c r="AN1802" s="230"/>
    </row>
    <row r="1803">
      <c r="O1803" s="230"/>
      <c r="R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  <c r="AI1803" s="230"/>
      <c r="AJ1803" s="230"/>
      <c r="AK1803" s="230"/>
      <c r="AL1803" s="230"/>
      <c r="AM1803" s="230"/>
      <c r="AN1803" s="230"/>
    </row>
    <row r="1804">
      <c r="O1804" s="230"/>
      <c r="R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  <c r="AI1804" s="230"/>
      <c r="AJ1804" s="230"/>
      <c r="AK1804" s="230"/>
      <c r="AL1804" s="230"/>
      <c r="AM1804" s="230"/>
      <c r="AN1804" s="230"/>
    </row>
    <row r="1805">
      <c r="O1805" s="230"/>
      <c r="R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  <c r="AI1805" s="230"/>
      <c r="AJ1805" s="230"/>
      <c r="AK1805" s="230"/>
      <c r="AL1805" s="230"/>
      <c r="AM1805" s="230"/>
      <c r="AN1805" s="230"/>
    </row>
    <row r="1806">
      <c r="O1806" s="230"/>
      <c r="R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  <c r="AI1806" s="230"/>
      <c r="AJ1806" s="230"/>
      <c r="AK1806" s="230"/>
      <c r="AL1806" s="230"/>
      <c r="AM1806" s="230"/>
      <c r="AN1806" s="230"/>
    </row>
    <row r="1807">
      <c r="O1807" s="230"/>
      <c r="R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  <c r="AI1807" s="230"/>
      <c r="AJ1807" s="230"/>
      <c r="AK1807" s="230"/>
      <c r="AL1807" s="230"/>
      <c r="AM1807" s="230"/>
      <c r="AN1807" s="230"/>
    </row>
    <row r="1808">
      <c r="O1808" s="230"/>
      <c r="R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  <c r="AI1808" s="230"/>
      <c r="AJ1808" s="230"/>
      <c r="AK1808" s="230"/>
      <c r="AL1808" s="230"/>
      <c r="AM1808" s="230"/>
      <c r="AN1808" s="230"/>
    </row>
    <row r="1809">
      <c r="O1809" s="230"/>
      <c r="R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  <c r="AI1809" s="230"/>
      <c r="AJ1809" s="230"/>
      <c r="AK1809" s="230"/>
      <c r="AL1809" s="230"/>
      <c r="AM1809" s="230"/>
      <c r="AN1809" s="230"/>
    </row>
    <row r="1810">
      <c r="O1810" s="230"/>
      <c r="R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  <c r="AI1810" s="230"/>
      <c r="AJ1810" s="230"/>
      <c r="AK1810" s="230"/>
      <c r="AL1810" s="230"/>
      <c r="AM1810" s="230"/>
      <c r="AN1810" s="230"/>
    </row>
    <row r="1811">
      <c r="O1811" s="230"/>
      <c r="R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  <c r="AI1811" s="230"/>
      <c r="AJ1811" s="230"/>
      <c r="AK1811" s="230"/>
      <c r="AL1811" s="230"/>
      <c r="AM1811" s="230"/>
      <c r="AN1811" s="230"/>
    </row>
    <row r="1812">
      <c r="O1812" s="230"/>
      <c r="R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  <c r="AI1812" s="230"/>
      <c r="AJ1812" s="230"/>
      <c r="AK1812" s="230"/>
      <c r="AL1812" s="230"/>
      <c r="AM1812" s="230"/>
      <c r="AN1812" s="230"/>
    </row>
    <row r="1813">
      <c r="O1813" s="230"/>
      <c r="R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  <c r="AI1813" s="230"/>
      <c r="AJ1813" s="230"/>
      <c r="AK1813" s="230"/>
      <c r="AL1813" s="230"/>
      <c r="AM1813" s="230"/>
      <c r="AN1813" s="230"/>
    </row>
    <row r="1814">
      <c r="O1814" s="230"/>
      <c r="R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  <c r="AI1814" s="230"/>
      <c r="AJ1814" s="230"/>
      <c r="AK1814" s="230"/>
      <c r="AL1814" s="230"/>
      <c r="AM1814" s="230"/>
      <c r="AN1814" s="230"/>
    </row>
    <row r="1815">
      <c r="O1815" s="230"/>
      <c r="R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  <c r="AI1815" s="230"/>
      <c r="AJ1815" s="230"/>
      <c r="AK1815" s="230"/>
      <c r="AL1815" s="230"/>
      <c r="AM1815" s="230"/>
      <c r="AN1815" s="230"/>
    </row>
    <row r="1816">
      <c r="O1816" s="230"/>
      <c r="R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  <c r="AI1816" s="230"/>
      <c r="AJ1816" s="230"/>
      <c r="AK1816" s="230"/>
      <c r="AL1816" s="230"/>
      <c r="AM1816" s="230"/>
      <c r="AN1816" s="230"/>
    </row>
    <row r="1817">
      <c r="O1817" s="230"/>
      <c r="R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  <c r="AI1817" s="230"/>
      <c r="AJ1817" s="230"/>
      <c r="AK1817" s="230"/>
      <c r="AL1817" s="230"/>
      <c r="AM1817" s="230"/>
      <c r="AN1817" s="230"/>
    </row>
    <row r="1818">
      <c r="O1818" s="230"/>
      <c r="R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  <c r="AI1818" s="230"/>
      <c r="AJ1818" s="230"/>
      <c r="AK1818" s="230"/>
      <c r="AL1818" s="230"/>
      <c r="AM1818" s="230"/>
      <c r="AN1818" s="230"/>
    </row>
    <row r="1819">
      <c r="O1819" s="230"/>
      <c r="R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  <c r="AI1819" s="230"/>
      <c r="AJ1819" s="230"/>
      <c r="AK1819" s="230"/>
      <c r="AL1819" s="230"/>
      <c r="AM1819" s="230"/>
      <c r="AN1819" s="230"/>
    </row>
    <row r="1820">
      <c r="O1820" s="230"/>
      <c r="R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  <c r="AI1820" s="230"/>
      <c r="AJ1820" s="230"/>
      <c r="AK1820" s="230"/>
      <c r="AL1820" s="230"/>
      <c r="AM1820" s="230"/>
      <c r="AN1820" s="230"/>
    </row>
    <row r="1821">
      <c r="O1821" s="230"/>
      <c r="R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  <c r="AI1821" s="230"/>
      <c r="AJ1821" s="230"/>
      <c r="AK1821" s="230"/>
      <c r="AL1821" s="230"/>
      <c r="AM1821" s="230"/>
      <c r="AN1821" s="230"/>
    </row>
    <row r="1822">
      <c r="O1822" s="230"/>
      <c r="R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  <c r="AI1822" s="230"/>
      <c r="AJ1822" s="230"/>
      <c r="AK1822" s="230"/>
      <c r="AL1822" s="230"/>
      <c r="AM1822" s="230"/>
      <c r="AN1822" s="230"/>
    </row>
    <row r="1823">
      <c r="O1823" s="230"/>
      <c r="R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  <c r="AI1823" s="230"/>
      <c r="AJ1823" s="230"/>
      <c r="AK1823" s="230"/>
      <c r="AL1823" s="230"/>
      <c r="AM1823" s="230"/>
      <c r="AN1823" s="230"/>
    </row>
    <row r="1824">
      <c r="O1824" s="230"/>
      <c r="R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  <c r="AI1824" s="230"/>
      <c r="AJ1824" s="230"/>
      <c r="AK1824" s="230"/>
      <c r="AL1824" s="230"/>
      <c r="AM1824" s="230"/>
      <c r="AN1824" s="230"/>
    </row>
    <row r="1825">
      <c r="O1825" s="230"/>
      <c r="R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  <c r="AI1825" s="230"/>
      <c r="AJ1825" s="230"/>
      <c r="AK1825" s="230"/>
      <c r="AL1825" s="230"/>
      <c r="AM1825" s="230"/>
      <c r="AN1825" s="230"/>
    </row>
    <row r="1826">
      <c r="O1826" s="230"/>
      <c r="R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  <c r="AI1826" s="230"/>
      <c r="AJ1826" s="230"/>
      <c r="AK1826" s="230"/>
      <c r="AL1826" s="230"/>
      <c r="AM1826" s="230"/>
      <c r="AN1826" s="230"/>
    </row>
    <row r="1827">
      <c r="O1827" s="230"/>
      <c r="R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  <c r="AI1827" s="230"/>
      <c r="AJ1827" s="230"/>
      <c r="AK1827" s="230"/>
      <c r="AL1827" s="230"/>
      <c r="AM1827" s="230"/>
      <c r="AN1827" s="230"/>
    </row>
    <row r="1828">
      <c r="O1828" s="230"/>
      <c r="R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  <c r="AI1828" s="230"/>
      <c r="AJ1828" s="230"/>
      <c r="AK1828" s="230"/>
      <c r="AL1828" s="230"/>
      <c r="AM1828" s="230"/>
      <c r="AN1828" s="230"/>
    </row>
    <row r="1829">
      <c r="O1829" s="230"/>
      <c r="R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  <c r="AI1829" s="230"/>
      <c r="AJ1829" s="230"/>
      <c r="AK1829" s="230"/>
      <c r="AL1829" s="230"/>
      <c r="AM1829" s="230"/>
      <c r="AN1829" s="230"/>
    </row>
    <row r="1830">
      <c r="O1830" s="230"/>
      <c r="R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  <c r="AI1830" s="230"/>
      <c r="AJ1830" s="230"/>
      <c r="AK1830" s="230"/>
      <c r="AL1830" s="230"/>
      <c r="AM1830" s="230"/>
      <c r="AN1830" s="230"/>
    </row>
    <row r="1831">
      <c r="O1831" s="230"/>
      <c r="R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  <c r="AI1831" s="230"/>
      <c r="AJ1831" s="230"/>
      <c r="AK1831" s="230"/>
      <c r="AL1831" s="230"/>
      <c r="AM1831" s="230"/>
      <c r="AN1831" s="230"/>
    </row>
    <row r="1832">
      <c r="O1832" s="230"/>
      <c r="R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  <c r="AI1832" s="230"/>
      <c r="AJ1832" s="230"/>
      <c r="AK1832" s="230"/>
      <c r="AL1832" s="230"/>
      <c r="AM1832" s="230"/>
      <c r="AN1832" s="230"/>
    </row>
    <row r="1833">
      <c r="O1833" s="230"/>
      <c r="R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  <c r="AI1833" s="230"/>
      <c r="AJ1833" s="230"/>
      <c r="AK1833" s="230"/>
      <c r="AL1833" s="230"/>
      <c r="AM1833" s="230"/>
      <c r="AN1833" s="230"/>
    </row>
    <row r="1834">
      <c r="O1834" s="230"/>
      <c r="R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  <c r="AI1834" s="230"/>
      <c r="AJ1834" s="230"/>
      <c r="AK1834" s="230"/>
      <c r="AL1834" s="230"/>
      <c r="AM1834" s="230"/>
      <c r="AN1834" s="230"/>
    </row>
    <row r="1835">
      <c r="O1835" s="230"/>
      <c r="R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  <c r="AI1835" s="230"/>
      <c r="AJ1835" s="230"/>
      <c r="AK1835" s="230"/>
      <c r="AL1835" s="230"/>
      <c r="AM1835" s="230"/>
      <c r="AN1835" s="230"/>
    </row>
    <row r="1836">
      <c r="O1836" s="230"/>
      <c r="R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  <c r="AI1836" s="230"/>
      <c r="AJ1836" s="230"/>
      <c r="AK1836" s="230"/>
      <c r="AL1836" s="230"/>
      <c r="AM1836" s="230"/>
      <c r="AN1836" s="230"/>
    </row>
    <row r="1837">
      <c r="O1837" s="230"/>
      <c r="R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  <c r="AI1837" s="230"/>
      <c r="AJ1837" s="230"/>
      <c r="AK1837" s="230"/>
      <c r="AL1837" s="230"/>
      <c r="AM1837" s="230"/>
      <c r="AN1837" s="230"/>
    </row>
    <row r="1838">
      <c r="O1838" s="230"/>
      <c r="R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  <c r="AI1838" s="230"/>
      <c r="AJ1838" s="230"/>
      <c r="AK1838" s="230"/>
      <c r="AL1838" s="230"/>
      <c r="AM1838" s="230"/>
      <c r="AN1838" s="230"/>
    </row>
    <row r="1839">
      <c r="O1839" s="230"/>
      <c r="R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  <c r="AI1839" s="230"/>
      <c r="AJ1839" s="230"/>
      <c r="AK1839" s="230"/>
      <c r="AL1839" s="230"/>
      <c r="AM1839" s="230"/>
      <c r="AN1839" s="230"/>
    </row>
    <row r="1840">
      <c r="O1840" s="230"/>
      <c r="R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  <c r="AI1840" s="230"/>
      <c r="AJ1840" s="230"/>
      <c r="AK1840" s="230"/>
      <c r="AL1840" s="230"/>
      <c r="AM1840" s="230"/>
      <c r="AN1840" s="230"/>
    </row>
    <row r="1841">
      <c r="O1841" s="230"/>
      <c r="R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  <c r="AI1841" s="230"/>
      <c r="AJ1841" s="230"/>
      <c r="AK1841" s="230"/>
      <c r="AL1841" s="230"/>
      <c r="AM1841" s="230"/>
      <c r="AN1841" s="230"/>
    </row>
    <row r="1842">
      <c r="O1842" s="230"/>
      <c r="R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  <c r="AI1842" s="230"/>
      <c r="AJ1842" s="230"/>
      <c r="AK1842" s="230"/>
      <c r="AL1842" s="230"/>
      <c r="AM1842" s="230"/>
      <c r="AN1842" s="230"/>
    </row>
    <row r="1843">
      <c r="O1843" s="230"/>
      <c r="R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  <c r="AI1843" s="230"/>
      <c r="AJ1843" s="230"/>
      <c r="AK1843" s="230"/>
      <c r="AL1843" s="230"/>
      <c r="AM1843" s="230"/>
      <c r="AN1843" s="230"/>
    </row>
    <row r="1844">
      <c r="O1844" s="230"/>
      <c r="R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  <c r="AI1844" s="230"/>
      <c r="AJ1844" s="230"/>
      <c r="AK1844" s="230"/>
      <c r="AL1844" s="230"/>
      <c r="AM1844" s="230"/>
      <c r="AN1844" s="230"/>
    </row>
    <row r="1845">
      <c r="O1845" s="230"/>
      <c r="R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  <c r="AI1845" s="230"/>
      <c r="AJ1845" s="230"/>
      <c r="AK1845" s="230"/>
      <c r="AL1845" s="230"/>
      <c r="AM1845" s="230"/>
      <c r="AN1845" s="230"/>
    </row>
    <row r="1846">
      <c r="O1846" s="230"/>
      <c r="R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  <c r="AI1846" s="230"/>
      <c r="AJ1846" s="230"/>
      <c r="AK1846" s="230"/>
      <c r="AL1846" s="230"/>
      <c r="AM1846" s="230"/>
      <c r="AN1846" s="230"/>
    </row>
    <row r="1847">
      <c r="O1847" s="230"/>
      <c r="R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  <c r="AI1847" s="230"/>
      <c r="AJ1847" s="230"/>
      <c r="AK1847" s="230"/>
      <c r="AL1847" s="230"/>
      <c r="AM1847" s="230"/>
      <c r="AN1847" s="230"/>
    </row>
    <row r="1848">
      <c r="O1848" s="230"/>
      <c r="R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  <c r="AI1848" s="230"/>
      <c r="AJ1848" s="230"/>
      <c r="AK1848" s="230"/>
      <c r="AL1848" s="230"/>
      <c r="AM1848" s="230"/>
      <c r="AN1848" s="230"/>
    </row>
    <row r="1849">
      <c r="O1849" s="230"/>
      <c r="R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  <c r="AI1849" s="230"/>
      <c r="AJ1849" s="230"/>
      <c r="AK1849" s="230"/>
      <c r="AL1849" s="230"/>
      <c r="AM1849" s="230"/>
      <c r="AN1849" s="230"/>
    </row>
    <row r="1850">
      <c r="O1850" s="230"/>
      <c r="R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  <c r="AI1850" s="230"/>
      <c r="AJ1850" s="230"/>
      <c r="AK1850" s="230"/>
      <c r="AL1850" s="230"/>
      <c r="AM1850" s="230"/>
      <c r="AN1850" s="230"/>
    </row>
    <row r="1851">
      <c r="O1851" s="230"/>
      <c r="R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  <c r="AI1851" s="230"/>
      <c r="AJ1851" s="230"/>
      <c r="AK1851" s="230"/>
      <c r="AL1851" s="230"/>
      <c r="AM1851" s="230"/>
      <c r="AN1851" s="230"/>
    </row>
    <row r="1852">
      <c r="O1852" s="230"/>
      <c r="R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  <c r="AI1852" s="230"/>
      <c r="AJ1852" s="230"/>
      <c r="AK1852" s="230"/>
      <c r="AL1852" s="230"/>
      <c r="AM1852" s="230"/>
      <c r="AN1852" s="230"/>
    </row>
    <row r="1853">
      <c r="O1853" s="230"/>
      <c r="R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  <c r="AI1853" s="230"/>
      <c r="AJ1853" s="230"/>
      <c r="AK1853" s="230"/>
      <c r="AL1853" s="230"/>
      <c r="AM1853" s="230"/>
      <c r="AN1853" s="230"/>
    </row>
    <row r="1854">
      <c r="O1854" s="230"/>
      <c r="R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  <c r="AI1854" s="230"/>
      <c r="AJ1854" s="230"/>
      <c r="AK1854" s="230"/>
      <c r="AL1854" s="230"/>
      <c r="AM1854" s="230"/>
      <c r="AN1854" s="230"/>
    </row>
    <row r="1855">
      <c r="O1855" s="230"/>
      <c r="R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  <c r="AI1855" s="230"/>
      <c r="AJ1855" s="230"/>
      <c r="AK1855" s="230"/>
      <c r="AL1855" s="230"/>
      <c r="AM1855" s="230"/>
      <c r="AN1855" s="230"/>
    </row>
    <row r="1856">
      <c r="O1856" s="230"/>
      <c r="R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  <c r="AI1856" s="230"/>
      <c r="AJ1856" s="230"/>
      <c r="AK1856" s="230"/>
      <c r="AL1856" s="230"/>
      <c r="AM1856" s="230"/>
      <c r="AN1856" s="230"/>
    </row>
    <row r="1857">
      <c r="O1857" s="230"/>
      <c r="R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  <c r="AI1857" s="230"/>
      <c r="AJ1857" s="230"/>
      <c r="AK1857" s="230"/>
      <c r="AL1857" s="230"/>
      <c r="AM1857" s="230"/>
      <c r="AN1857" s="230"/>
    </row>
    <row r="1858">
      <c r="O1858" s="230"/>
      <c r="R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  <c r="AI1858" s="230"/>
      <c r="AJ1858" s="230"/>
      <c r="AK1858" s="230"/>
      <c r="AL1858" s="230"/>
      <c r="AM1858" s="230"/>
      <c r="AN1858" s="230"/>
    </row>
    <row r="1859">
      <c r="O1859" s="230"/>
      <c r="R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  <c r="AI1859" s="230"/>
      <c r="AJ1859" s="230"/>
      <c r="AK1859" s="230"/>
      <c r="AL1859" s="230"/>
      <c r="AM1859" s="230"/>
      <c r="AN1859" s="230"/>
    </row>
    <row r="1860">
      <c r="O1860" s="230"/>
      <c r="R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  <c r="AI1860" s="230"/>
      <c r="AJ1860" s="230"/>
      <c r="AK1860" s="230"/>
      <c r="AL1860" s="230"/>
      <c r="AM1860" s="230"/>
      <c r="AN1860" s="230"/>
    </row>
    <row r="1861">
      <c r="O1861" s="230"/>
      <c r="R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  <c r="AI1861" s="230"/>
      <c r="AJ1861" s="230"/>
      <c r="AK1861" s="230"/>
      <c r="AL1861" s="230"/>
      <c r="AM1861" s="230"/>
      <c r="AN1861" s="230"/>
    </row>
    <row r="1862">
      <c r="O1862" s="230"/>
      <c r="R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  <c r="AI1862" s="230"/>
      <c r="AJ1862" s="230"/>
      <c r="AK1862" s="230"/>
      <c r="AL1862" s="230"/>
      <c r="AM1862" s="230"/>
      <c r="AN1862" s="230"/>
    </row>
    <row r="1863">
      <c r="O1863" s="230"/>
      <c r="R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  <c r="AI1863" s="230"/>
      <c r="AJ1863" s="230"/>
      <c r="AK1863" s="230"/>
      <c r="AL1863" s="230"/>
      <c r="AM1863" s="230"/>
      <c r="AN1863" s="230"/>
    </row>
    <row r="1864">
      <c r="O1864" s="230"/>
      <c r="R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  <c r="AI1864" s="230"/>
      <c r="AJ1864" s="230"/>
      <c r="AK1864" s="230"/>
      <c r="AL1864" s="230"/>
      <c r="AM1864" s="230"/>
      <c r="AN1864" s="230"/>
    </row>
    <row r="1865">
      <c r="O1865" s="230"/>
      <c r="R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  <c r="AI1865" s="230"/>
      <c r="AJ1865" s="230"/>
      <c r="AK1865" s="230"/>
      <c r="AL1865" s="230"/>
      <c r="AM1865" s="230"/>
      <c r="AN1865" s="230"/>
    </row>
    <row r="1866">
      <c r="O1866" s="230"/>
      <c r="R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  <c r="AI1866" s="230"/>
      <c r="AJ1866" s="230"/>
      <c r="AK1866" s="230"/>
      <c r="AL1866" s="230"/>
      <c r="AM1866" s="230"/>
      <c r="AN1866" s="230"/>
    </row>
    <row r="1867">
      <c r="O1867" s="230"/>
      <c r="R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  <c r="AI1867" s="230"/>
      <c r="AJ1867" s="230"/>
      <c r="AK1867" s="230"/>
      <c r="AL1867" s="230"/>
      <c r="AM1867" s="230"/>
      <c r="AN1867" s="230"/>
    </row>
    <row r="1868">
      <c r="O1868" s="230"/>
      <c r="R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  <c r="AI1868" s="230"/>
      <c r="AJ1868" s="230"/>
      <c r="AK1868" s="230"/>
      <c r="AL1868" s="230"/>
      <c r="AM1868" s="230"/>
      <c r="AN1868" s="230"/>
    </row>
    <row r="1869">
      <c r="O1869" s="230"/>
      <c r="R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  <c r="AI1869" s="230"/>
      <c r="AJ1869" s="230"/>
      <c r="AK1869" s="230"/>
      <c r="AL1869" s="230"/>
      <c r="AM1869" s="230"/>
      <c r="AN1869" s="230"/>
    </row>
    <row r="1870">
      <c r="O1870" s="230"/>
      <c r="R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  <c r="AI1870" s="230"/>
      <c r="AJ1870" s="230"/>
      <c r="AK1870" s="230"/>
      <c r="AL1870" s="230"/>
      <c r="AM1870" s="230"/>
      <c r="AN1870" s="230"/>
    </row>
    <row r="1871">
      <c r="O1871" s="230"/>
      <c r="R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  <c r="AI1871" s="230"/>
      <c r="AJ1871" s="230"/>
      <c r="AK1871" s="230"/>
      <c r="AL1871" s="230"/>
      <c r="AM1871" s="230"/>
      <c r="AN1871" s="230"/>
    </row>
    <row r="1872">
      <c r="O1872" s="230"/>
      <c r="R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  <c r="AI1872" s="230"/>
      <c r="AJ1872" s="230"/>
      <c r="AK1872" s="230"/>
      <c r="AL1872" s="230"/>
      <c r="AM1872" s="230"/>
      <c r="AN1872" s="230"/>
    </row>
    <row r="1873">
      <c r="O1873" s="230"/>
      <c r="R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  <c r="AI1873" s="230"/>
      <c r="AJ1873" s="230"/>
      <c r="AK1873" s="230"/>
      <c r="AL1873" s="230"/>
      <c r="AM1873" s="230"/>
      <c r="AN1873" s="230"/>
    </row>
    <row r="1874">
      <c r="O1874" s="230"/>
      <c r="R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  <c r="AI1874" s="230"/>
      <c r="AJ1874" s="230"/>
      <c r="AK1874" s="230"/>
      <c r="AL1874" s="230"/>
      <c r="AM1874" s="230"/>
      <c r="AN1874" s="230"/>
    </row>
    <row r="1875">
      <c r="O1875" s="230"/>
      <c r="R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  <c r="AI1875" s="230"/>
      <c r="AJ1875" s="230"/>
      <c r="AK1875" s="230"/>
      <c r="AL1875" s="230"/>
      <c r="AM1875" s="230"/>
      <c r="AN1875" s="230"/>
    </row>
    <row r="1876">
      <c r="O1876" s="230"/>
      <c r="R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  <c r="AI1876" s="230"/>
      <c r="AJ1876" s="230"/>
      <c r="AK1876" s="230"/>
      <c r="AL1876" s="230"/>
      <c r="AM1876" s="230"/>
      <c r="AN1876" s="230"/>
    </row>
    <row r="1877">
      <c r="O1877" s="230"/>
      <c r="R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  <c r="AI1877" s="230"/>
      <c r="AJ1877" s="230"/>
      <c r="AK1877" s="230"/>
      <c r="AL1877" s="230"/>
      <c r="AM1877" s="230"/>
      <c r="AN1877" s="230"/>
    </row>
    <row r="1878">
      <c r="O1878" s="230"/>
      <c r="R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  <c r="AI1878" s="230"/>
      <c r="AJ1878" s="230"/>
      <c r="AK1878" s="230"/>
      <c r="AL1878" s="230"/>
      <c r="AM1878" s="230"/>
      <c r="AN1878" s="230"/>
    </row>
    <row r="1879">
      <c r="O1879" s="230"/>
      <c r="R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  <c r="AI1879" s="230"/>
      <c r="AJ1879" s="230"/>
      <c r="AK1879" s="230"/>
      <c r="AL1879" s="230"/>
      <c r="AM1879" s="230"/>
      <c r="AN1879" s="230"/>
    </row>
    <row r="1880">
      <c r="O1880" s="230"/>
      <c r="R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  <c r="AI1880" s="230"/>
      <c r="AJ1880" s="230"/>
      <c r="AK1880" s="230"/>
      <c r="AL1880" s="230"/>
      <c r="AM1880" s="230"/>
      <c r="AN1880" s="230"/>
    </row>
    <row r="1881">
      <c r="O1881" s="230"/>
      <c r="R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  <c r="AI1881" s="230"/>
      <c r="AJ1881" s="230"/>
      <c r="AK1881" s="230"/>
      <c r="AL1881" s="230"/>
      <c r="AM1881" s="230"/>
      <c r="AN1881" s="230"/>
    </row>
    <row r="1882">
      <c r="O1882" s="230"/>
      <c r="R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  <c r="AI1882" s="230"/>
      <c r="AJ1882" s="230"/>
      <c r="AK1882" s="230"/>
      <c r="AL1882" s="230"/>
      <c r="AM1882" s="230"/>
      <c r="AN1882" s="230"/>
    </row>
    <row r="1883">
      <c r="O1883" s="230"/>
      <c r="R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  <c r="AI1883" s="230"/>
      <c r="AJ1883" s="230"/>
      <c r="AK1883" s="230"/>
      <c r="AL1883" s="230"/>
      <c r="AM1883" s="230"/>
      <c r="AN1883" s="230"/>
    </row>
    <row r="1884">
      <c r="O1884" s="230"/>
      <c r="R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  <c r="AI1884" s="230"/>
      <c r="AJ1884" s="230"/>
      <c r="AK1884" s="230"/>
      <c r="AL1884" s="230"/>
      <c r="AM1884" s="230"/>
      <c r="AN1884" s="230"/>
    </row>
    <row r="1885">
      <c r="O1885" s="230"/>
      <c r="R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  <c r="AI1885" s="230"/>
      <c r="AJ1885" s="230"/>
      <c r="AK1885" s="230"/>
      <c r="AL1885" s="230"/>
      <c r="AM1885" s="230"/>
      <c r="AN1885" s="230"/>
    </row>
    <row r="1886">
      <c r="O1886" s="230"/>
      <c r="R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  <c r="AI1886" s="230"/>
      <c r="AJ1886" s="230"/>
      <c r="AK1886" s="230"/>
      <c r="AL1886" s="230"/>
      <c r="AM1886" s="230"/>
      <c r="AN1886" s="230"/>
    </row>
    <row r="1887">
      <c r="O1887" s="230"/>
      <c r="R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  <c r="AI1887" s="230"/>
      <c r="AJ1887" s="230"/>
      <c r="AK1887" s="230"/>
      <c r="AL1887" s="230"/>
      <c r="AM1887" s="230"/>
      <c r="AN1887" s="230"/>
    </row>
    <row r="1888">
      <c r="O1888" s="230"/>
      <c r="R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  <c r="AI1888" s="230"/>
      <c r="AJ1888" s="230"/>
      <c r="AK1888" s="230"/>
      <c r="AL1888" s="230"/>
      <c r="AM1888" s="230"/>
      <c r="AN1888" s="230"/>
    </row>
    <row r="1889">
      <c r="O1889" s="230"/>
      <c r="R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  <c r="AI1889" s="230"/>
      <c r="AJ1889" s="230"/>
      <c r="AK1889" s="230"/>
      <c r="AL1889" s="230"/>
      <c r="AM1889" s="230"/>
      <c r="AN1889" s="230"/>
    </row>
    <row r="1890">
      <c r="O1890" s="230"/>
      <c r="R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  <c r="AI1890" s="230"/>
      <c r="AJ1890" s="230"/>
      <c r="AK1890" s="230"/>
      <c r="AL1890" s="230"/>
      <c r="AM1890" s="230"/>
      <c r="AN1890" s="230"/>
    </row>
    <row r="1891">
      <c r="O1891" s="230"/>
      <c r="R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  <c r="AI1891" s="230"/>
      <c r="AJ1891" s="230"/>
      <c r="AK1891" s="230"/>
      <c r="AL1891" s="230"/>
      <c r="AM1891" s="230"/>
      <c r="AN1891" s="230"/>
    </row>
    <row r="1892">
      <c r="O1892" s="230"/>
      <c r="R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  <c r="AI1892" s="230"/>
      <c r="AJ1892" s="230"/>
      <c r="AK1892" s="230"/>
      <c r="AL1892" s="230"/>
      <c r="AM1892" s="230"/>
      <c r="AN1892" s="230"/>
    </row>
    <row r="1893">
      <c r="O1893" s="230"/>
      <c r="R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  <c r="AI1893" s="230"/>
      <c r="AJ1893" s="230"/>
      <c r="AK1893" s="230"/>
      <c r="AL1893" s="230"/>
      <c r="AM1893" s="230"/>
      <c r="AN1893" s="230"/>
    </row>
    <row r="1894">
      <c r="O1894" s="230"/>
      <c r="R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  <c r="AI1894" s="230"/>
      <c r="AJ1894" s="230"/>
      <c r="AK1894" s="230"/>
      <c r="AL1894" s="230"/>
      <c r="AM1894" s="230"/>
      <c r="AN1894" s="230"/>
    </row>
    <row r="1895">
      <c r="O1895" s="230"/>
      <c r="R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  <c r="AI1895" s="230"/>
      <c r="AJ1895" s="230"/>
      <c r="AK1895" s="230"/>
      <c r="AL1895" s="230"/>
      <c r="AM1895" s="230"/>
      <c r="AN1895" s="230"/>
    </row>
    <row r="1896">
      <c r="O1896" s="230"/>
      <c r="R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  <c r="AI1896" s="230"/>
      <c r="AJ1896" s="230"/>
      <c r="AK1896" s="230"/>
      <c r="AL1896" s="230"/>
      <c r="AM1896" s="230"/>
      <c r="AN1896" s="230"/>
    </row>
    <row r="1897">
      <c r="O1897" s="230"/>
      <c r="R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  <c r="AI1897" s="230"/>
      <c r="AJ1897" s="230"/>
      <c r="AK1897" s="230"/>
      <c r="AL1897" s="230"/>
      <c r="AM1897" s="230"/>
      <c r="AN1897" s="230"/>
    </row>
    <row r="1898">
      <c r="O1898" s="230"/>
      <c r="R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  <c r="AI1898" s="230"/>
      <c r="AJ1898" s="230"/>
      <c r="AK1898" s="230"/>
      <c r="AL1898" s="230"/>
      <c r="AM1898" s="230"/>
      <c r="AN1898" s="230"/>
    </row>
    <row r="1899">
      <c r="O1899" s="230"/>
      <c r="R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  <c r="AI1899" s="230"/>
      <c r="AJ1899" s="230"/>
      <c r="AK1899" s="230"/>
      <c r="AL1899" s="230"/>
      <c r="AM1899" s="230"/>
      <c r="AN1899" s="230"/>
    </row>
    <row r="1900">
      <c r="O1900" s="230"/>
      <c r="R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  <c r="AI1900" s="230"/>
      <c r="AJ1900" s="230"/>
      <c r="AK1900" s="230"/>
      <c r="AL1900" s="230"/>
      <c r="AM1900" s="230"/>
      <c r="AN1900" s="230"/>
    </row>
    <row r="1901">
      <c r="O1901" s="230"/>
      <c r="R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  <c r="AI1901" s="230"/>
      <c r="AJ1901" s="230"/>
      <c r="AK1901" s="230"/>
      <c r="AL1901" s="230"/>
      <c r="AM1901" s="230"/>
      <c r="AN1901" s="230"/>
    </row>
    <row r="1902">
      <c r="O1902" s="230"/>
      <c r="R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  <c r="AI1902" s="230"/>
      <c r="AJ1902" s="230"/>
      <c r="AK1902" s="230"/>
      <c r="AL1902" s="230"/>
      <c r="AM1902" s="230"/>
      <c r="AN1902" s="230"/>
    </row>
    <row r="1903">
      <c r="O1903" s="230"/>
      <c r="R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  <c r="AI1903" s="230"/>
      <c r="AJ1903" s="230"/>
      <c r="AK1903" s="230"/>
      <c r="AL1903" s="230"/>
      <c r="AM1903" s="230"/>
      <c r="AN1903" s="230"/>
    </row>
    <row r="1904">
      <c r="O1904" s="230"/>
      <c r="R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  <c r="AI1904" s="230"/>
      <c r="AJ1904" s="230"/>
      <c r="AK1904" s="230"/>
      <c r="AL1904" s="230"/>
      <c r="AM1904" s="230"/>
      <c r="AN1904" s="230"/>
    </row>
    <row r="1905">
      <c r="O1905" s="230"/>
      <c r="R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  <c r="AI1905" s="230"/>
      <c r="AJ1905" s="230"/>
      <c r="AK1905" s="230"/>
      <c r="AL1905" s="230"/>
      <c r="AM1905" s="230"/>
      <c r="AN1905" s="230"/>
    </row>
    <row r="1906">
      <c r="O1906" s="230"/>
      <c r="R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  <c r="AI1906" s="230"/>
      <c r="AJ1906" s="230"/>
      <c r="AK1906" s="230"/>
      <c r="AL1906" s="230"/>
      <c r="AM1906" s="230"/>
      <c r="AN1906" s="230"/>
    </row>
    <row r="1907">
      <c r="O1907" s="230"/>
      <c r="R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  <c r="AI1907" s="230"/>
      <c r="AJ1907" s="230"/>
      <c r="AK1907" s="230"/>
      <c r="AL1907" s="230"/>
      <c r="AM1907" s="230"/>
      <c r="AN1907" s="230"/>
    </row>
    <row r="1908">
      <c r="O1908" s="230"/>
      <c r="R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  <c r="AI1908" s="230"/>
      <c r="AJ1908" s="230"/>
      <c r="AK1908" s="230"/>
      <c r="AL1908" s="230"/>
      <c r="AM1908" s="230"/>
      <c r="AN1908" s="230"/>
    </row>
    <row r="1909">
      <c r="O1909" s="230"/>
      <c r="R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  <c r="AI1909" s="230"/>
      <c r="AJ1909" s="230"/>
      <c r="AK1909" s="230"/>
      <c r="AL1909" s="230"/>
      <c r="AM1909" s="230"/>
      <c r="AN1909" s="230"/>
    </row>
    <row r="1910">
      <c r="O1910" s="230"/>
      <c r="R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  <c r="AI1910" s="230"/>
      <c r="AJ1910" s="230"/>
      <c r="AK1910" s="230"/>
      <c r="AL1910" s="230"/>
      <c r="AM1910" s="230"/>
      <c r="AN1910" s="230"/>
    </row>
    <row r="1911">
      <c r="O1911" s="230"/>
      <c r="R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  <c r="AI1911" s="230"/>
      <c r="AJ1911" s="230"/>
      <c r="AK1911" s="230"/>
      <c r="AL1911" s="230"/>
      <c r="AM1911" s="230"/>
      <c r="AN1911" s="230"/>
    </row>
    <row r="1912">
      <c r="O1912" s="230"/>
      <c r="R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  <c r="AI1912" s="230"/>
      <c r="AJ1912" s="230"/>
      <c r="AK1912" s="230"/>
      <c r="AL1912" s="230"/>
      <c r="AM1912" s="230"/>
      <c r="AN1912" s="230"/>
    </row>
    <row r="1913">
      <c r="O1913" s="230"/>
      <c r="R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  <c r="AI1913" s="230"/>
      <c r="AJ1913" s="230"/>
      <c r="AK1913" s="230"/>
      <c r="AL1913" s="230"/>
      <c r="AM1913" s="230"/>
      <c r="AN1913" s="230"/>
    </row>
    <row r="1914">
      <c r="O1914" s="230"/>
      <c r="R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  <c r="AI1914" s="230"/>
      <c r="AJ1914" s="230"/>
      <c r="AK1914" s="230"/>
      <c r="AL1914" s="230"/>
      <c r="AM1914" s="230"/>
      <c r="AN1914" s="230"/>
    </row>
    <row r="1915">
      <c r="O1915" s="230"/>
      <c r="R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  <c r="AI1915" s="230"/>
      <c r="AJ1915" s="230"/>
      <c r="AK1915" s="230"/>
      <c r="AL1915" s="230"/>
      <c r="AM1915" s="230"/>
      <c r="AN1915" s="230"/>
    </row>
    <row r="1916">
      <c r="O1916" s="230"/>
      <c r="R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  <c r="AI1916" s="230"/>
      <c r="AJ1916" s="230"/>
      <c r="AK1916" s="230"/>
      <c r="AL1916" s="230"/>
      <c r="AM1916" s="230"/>
      <c r="AN1916" s="230"/>
    </row>
    <row r="1917">
      <c r="O1917" s="230"/>
      <c r="R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  <c r="AI1917" s="230"/>
      <c r="AJ1917" s="230"/>
      <c r="AK1917" s="230"/>
      <c r="AL1917" s="230"/>
      <c r="AM1917" s="230"/>
      <c r="AN1917" s="230"/>
    </row>
    <row r="1918">
      <c r="O1918" s="230"/>
      <c r="R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  <c r="AI1918" s="230"/>
      <c r="AJ1918" s="230"/>
      <c r="AK1918" s="230"/>
      <c r="AL1918" s="230"/>
      <c r="AM1918" s="230"/>
      <c r="AN1918" s="230"/>
    </row>
    <row r="1919">
      <c r="O1919" s="230"/>
      <c r="R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  <c r="AI1919" s="230"/>
      <c r="AJ1919" s="230"/>
      <c r="AK1919" s="230"/>
      <c r="AL1919" s="230"/>
      <c r="AM1919" s="230"/>
      <c r="AN1919" s="230"/>
    </row>
    <row r="1920">
      <c r="O1920" s="230"/>
      <c r="R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  <c r="AI1920" s="230"/>
      <c r="AJ1920" s="230"/>
      <c r="AK1920" s="230"/>
      <c r="AL1920" s="230"/>
      <c r="AM1920" s="230"/>
      <c r="AN1920" s="230"/>
    </row>
    <row r="1921">
      <c r="O1921" s="230"/>
      <c r="R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  <c r="AI1921" s="230"/>
      <c r="AJ1921" s="230"/>
      <c r="AK1921" s="230"/>
      <c r="AL1921" s="230"/>
      <c r="AM1921" s="230"/>
      <c r="AN1921" s="230"/>
    </row>
    <row r="1922">
      <c r="O1922" s="230"/>
      <c r="R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  <c r="AI1922" s="230"/>
      <c r="AJ1922" s="230"/>
      <c r="AK1922" s="230"/>
      <c r="AL1922" s="230"/>
      <c r="AM1922" s="230"/>
      <c r="AN1922" s="230"/>
    </row>
    <row r="1923">
      <c r="O1923" s="230"/>
      <c r="R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  <c r="AI1923" s="230"/>
      <c r="AJ1923" s="230"/>
      <c r="AK1923" s="230"/>
      <c r="AL1923" s="230"/>
      <c r="AM1923" s="230"/>
      <c r="AN1923" s="230"/>
    </row>
    <row r="1924">
      <c r="O1924" s="230"/>
      <c r="R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  <c r="AI1924" s="230"/>
      <c r="AJ1924" s="230"/>
      <c r="AK1924" s="230"/>
      <c r="AL1924" s="230"/>
      <c r="AM1924" s="230"/>
      <c r="AN1924" s="230"/>
    </row>
    <row r="1925">
      <c r="O1925" s="230"/>
      <c r="R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  <c r="AI1925" s="230"/>
      <c r="AJ1925" s="230"/>
      <c r="AK1925" s="230"/>
      <c r="AL1925" s="230"/>
      <c r="AM1925" s="230"/>
      <c r="AN1925" s="230"/>
    </row>
    <row r="1926">
      <c r="O1926" s="230"/>
      <c r="R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  <c r="AI1926" s="230"/>
      <c r="AJ1926" s="230"/>
      <c r="AK1926" s="230"/>
      <c r="AL1926" s="230"/>
      <c r="AM1926" s="230"/>
      <c r="AN1926" s="230"/>
    </row>
    <row r="1927">
      <c r="O1927" s="230"/>
      <c r="R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  <c r="AI1927" s="230"/>
      <c r="AJ1927" s="230"/>
      <c r="AK1927" s="230"/>
      <c r="AL1927" s="230"/>
      <c r="AM1927" s="230"/>
      <c r="AN1927" s="230"/>
    </row>
    <row r="1928">
      <c r="O1928" s="230"/>
      <c r="R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  <c r="AI1928" s="230"/>
      <c r="AJ1928" s="230"/>
      <c r="AK1928" s="230"/>
      <c r="AL1928" s="230"/>
      <c r="AM1928" s="230"/>
      <c r="AN1928" s="230"/>
    </row>
    <row r="1929">
      <c r="O1929" s="230"/>
      <c r="R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  <c r="AI1929" s="230"/>
      <c r="AJ1929" s="230"/>
      <c r="AK1929" s="230"/>
      <c r="AL1929" s="230"/>
      <c r="AM1929" s="230"/>
      <c r="AN1929" s="230"/>
    </row>
    <row r="1930">
      <c r="O1930" s="230"/>
      <c r="R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  <c r="AI1930" s="230"/>
      <c r="AJ1930" s="230"/>
      <c r="AK1930" s="230"/>
      <c r="AL1930" s="230"/>
      <c r="AM1930" s="230"/>
      <c r="AN1930" s="230"/>
    </row>
    <row r="1931">
      <c r="O1931" s="230"/>
      <c r="R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  <c r="AI1931" s="230"/>
      <c r="AJ1931" s="230"/>
      <c r="AK1931" s="230"/>
      <c r="AL1931" s="230"/>
      <c r="AM1931" s="230"/>
      <c r="AN1931" s="230"/>
    </row>
    <row r="1932">
      <c r="O1932" s="230"/>
      <c r="R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  <c r="AI1932" s="230"/>
      <c r="AJ1932" s="230"/>
      <c r="AK1932" s="230"/>
      <c r="AL1932" s="230"/>
      <c r="AM1932" s="230"/>
      <c r="AN1932" s="230"/>
    </row>
    <row r="1933">
      <c r="O1933" s="230"/>
      <c r="R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  <c r="AI1933" s="230"/>
      <c r="AJ1933" s="230"/>
      <c r="AK1933" s="230"/>
      <c r="AL1933" s="230"/>
      <c r="AM1933" s="230"/>
      <c r="AN1933" s="230"/>
    </row>
    <row r="1934">
      <c r="O1934" s="230"/>
      <c r="R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  <c r="AI1934" s="230"/>
      <c r="AJ1934" s="230"/>
      <c r="AK1934" s="230"/>
      <c r="AL1934" s="230"/>
      <c r="AM1934" s="230"/>
      <c r="AN1934" s="230"/>
    </row>
    <row r="1935">
      <c r="O1935" s="230"/>
      <c r="R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  <c r="AI1935" s="230"/>
      <c r="AJ1935" s="230"/>
      <c r="AK1935" s="230"/>
      <c r="AL1935" s="230"/>
      <c r="AM1935" s="230"/>
      <c r="AN1935" s="230"/>
    </row>
    <row r="1936">
      <c r="O1936" s="230"/>
      <c r="R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  <c r="AI1936" s="230"/>
      <c r="AJ1936" s="230"/>
      <c r="AK1936" s="230"/>
      <c r="AL1936" s="230"/>
      <c r="AM1936" s="230"/>
      <c r="AN1936" s="230"/>
    </row>
    <row r="1937">
      <c r="O1937" s="230"/>
      <c r="R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  <c r="AI1937" s="230"/>
      <c r="AJ1937" s="230"/>
      <c r="AK1937" s="230"/>
      <c r="AL1937" s="230"/>
      <c r="AM1937" s="230"/>
      <c r="AN1937" s="230"/>
    </row>
    <row r="1938">
      <c r="O1938" s="230"/>
      <c r="R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  <c r="AI1938" s="230"/>
      <c r="AJ1938" s="230"/>
      <c r="AK1938" s="230"/>
      <c r="AL1938" s="230"/>
      <c r="AM1938" s="230"/>
      <c r="AN1938" s="230"/>
    </row>
    <row r="1939">
      <c r="O1939" s="230"/>
      <c r="R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  <c r="AI1939" s="230"/>
      <c r="AJ1939" s="230"/>
      <c r="AK1939" s="230"/>
      <c r="AL1939" s="230"/>
      <c r="AM1939" s="230"/>
      <c r="AN1939" s="230"/>
    </row>
    <row r="1940">
      <c r="O1940" s="230"/>
      <c r="R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  <c r="AI1940" s="230"/>
      <c r="AJ1940" s="230"/>
      <c r="AK1940" s="230"/>
      <c r="AL1940" s="230"/>
      <c r="AM1940" s="230"/>
      <c r="AN1940" s="230"/>
    </row>
    <row r="1941">
      <c r="O1941" s="230"/>
      <c r="R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  <c r="AI1941" s="230"/>
      <c r="AJ1941" s="230"/>
      <c r="AK1941" s="230"/>
      <c r="AL1941" s="230"/>
      <c r="AM1941" s="230"/>
      <c r="AN1941" s="230"/>
    </row>
    <row r="1942">
      <c r="O1942" s="230"/>
      <c r="R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  <c r="AI1942" s="230"/>
      <c r="AJ1942" s="230"/>
      <c r="AK1942" s="230"/>
      <c r="AL1942" s="230"/>
      <c r="AM1942" s="230"/>
      <c r="AN1942" s="230"/>
    </row>
    <row r="1943">
      <c r="O1943" s="230"/>
      <c r="R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  <c r="AI1943" s="230"/>
      <c r="AJ1943" s="230"/>
      <c r="AK1943" s="230"/>
      <c r="AL1943" s="230"/>
      <c r="AM1943" s="230"/>
      <c r="AN1943" s="230"/>
    </row>
    <row r="1944">
      <c r="O1944" s="230"/>
      <c r="R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  <c r="AI1944" s="230"/>
      <c r="AJ1944" s="230"/>
      <c r="AK1944" s="230"/>
      <c r="AL1944" s="230"/>
      <c r="AM1944" s="230"/>
      <c r="AN1944" s="230"/>
    </row>
    <row r="1945">
      <c r="O1945" s="230"/>
      <c r="R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  <c r="AI1945" s="230"/>
      <c r="AJ1945" s="230"/>
      <c r="AK1945" s="230"/>
      <c r="AL1945" s="230"/>
      <c r="AM1945" s="230"/>
      <c r="AN1945" s="230"/>
    </row>
    <row r="1946">
      <c r="O1946" s="230"/>
      <c r="R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  <c r="AI1946" s="230"/>
      <c r="AJ1946" s="230"/>
      <c r="AK1946" s="230"/>
      <c r="AL1946" s="230"/>
      <c r="AM1946" s="230"/>
      <c r="AN1946" s="230"/>
    </row>
    <row r="1947">
      <c r="O1947" s="230"/>
      <c r="R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  <c r="AI1947" s="230"/>
      <c r="AJ1947" s="230"/>
      <c r="AK1947" s="230"/>
      <c r="AL1947" s="230"/>
      <c r="AM1947" s="230"/>
      <c r="AN1947" s="230"/>
    </row>
    <row r="1948">
      <c r="O1948" s="230"/>
      <c r="R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  <c r="AI1948" s="230"/>
      <c r="AJ1948" s="230"/>
      <c r="AK1948" s="230"/>
      <c r="AL1948" s="230"/>
      <c r="AM1948" s="230"/>
      <c r="AN1948" s="230"/>
    </row>
    <row r="1949">
      <c r="O1949" s="230"/>
      <c r="R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  <c r="AI1949" s="230"/>
      <c r="AJ1949" s="230"/>
      <c r="AK1949" s="230"/>
      <c r="AL1949" s="230"/>
      <c r="AM1949" s="230"/>
      <c r="AN1949" s="230"/>
    </row>
    <row r="1950">
      <c r="O1950" s="230"/>
      <c r="R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  <c r="AI1950" s="230"/>
      <c r="AJ1950" s="230"/>
      <c r="AK1950" s="230"/>
      <c r="AL1950" s="230"/>
      <c r="AM1950" s="230"/>
      <c r="AN1950" s="230"/>
    </row>
    <row r="1951">
      <c r="O1951" s="230"/>
      <c r="R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  <c r="AI1951" s="230"/>
      <c r="AJ1951" s="230"/>
      <c r="AK1951" s="230"/>
      <c r="AL1951" s="230"/>
      <c r="AM1951" s="230"/>
      <c r="AN1951" s="230"/>
    </row>
    <row r="1952">
      <c r="O1952" s="230"/>
      <c r="R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  <c r="AI1952" s="230"/>
      <c r="AJ1952" s="230"/>
      <c r="AK1952" s="230"/>
      <c r="AL1952" s="230"/>
      <c r="AM1952" s="230"/>
      <c r="AN1952" s="230"/>
    </row>
    <row r="1953">
      <c r="O1953" s="230"/>
      <c r="R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  <c r="AI1953" s="230"/>
      <c r="AJ1953" s="230"/>
      <c r="AK1953" s="230"/>
      <c r="AL1953" s="230"/>
      <c r="AM1953" s="230"/>
      <c r="AN1953" s="230"/>
    </row>
    <row r="1954">
      <c r="O1954" s="230"/>
      <c r="R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  <c r="AI1954" s="230"/>
      <c r="AJ1954" s="230"/>
      <c r="AK1954" s="230"/>
      <c r="AL1954" s="230"/>
      <c r="AM1954" s="230"/>
      <c r="AN1954" s="230"/>
    </row>
    <row r="1955">
      <c r="O1955" s="230"/>
      <c r="R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  <c r="AI1955" s="230"/>
      <c r="AJ1955" s="230"/>
      <c r="AK1955" s="230"/>
      <c r="AL1955" s="230"/>
      <c r="AM1955" s="230"/>
      <c r="AN1955" s="230"/>
    </row>
    <row r="1956">
      <c r="O1956" s="230"/>
      <c r="R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  <c r="AI1956" s="230"/>
      <c r="AJ1956" s="230"/>
      <c r="AK1956" s="230"/>
      <c r="AL1956" s="230"/>
      <c r="AM1956" s="230"/>
      <c r="AN1956" s="230"/>
    </row>
    <row r="1957">
      <c r="O1957" s="230"/>
      <c r="R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  <c r="AI1957" s="230"/>
      <c r="AJ1957" s="230"/>
      <c r="AK1957" s="230"/>
      <c r="AL1957" s="230"/>
      <c r="AM1957" s="230"/>
      <c r="AN1957" s="230"/>
    </row>
    <row r="1958">
      <c r="O1958" s="230"/>
      <c r="R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  <c r="AI1958" s="230"/>
      <c r="AJ1958" s="230"/>
      <c r="AK1958" s="230"/>
      <c r="AL1958" s="230"/>
      <c r="AM1958" s="230"/>
      <c r="AN1958" s="230"/>
    </row>
    <row r="1959">
      <c r="O1959" s="230"/>
      <c r="R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  <c r="AI1959" s="230"/>
      <c r="AJ1959" s="230"/>
      <c r="AK1959" s="230"/>
      <c r="AL1959" s="230"/>
      <c r="AM1959" s="230"/>
      <c r="AN1959" s="230"/>
    </row>
    <row r="1960">
      <c r="O1960" s="230"/>
      <c r="R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  <c r="AI1960" s="230"/>
      <c r="AJ1960" s="230"/>
      <c r="AK1960" s="230"/>
      <c r="AL1960" s="230"/>
      <c r="AM1960" s="230"/>
      <c r="AN1960" s="230"/>
    </row>
    <row r="1961">
      <c r="O1961" s="230"/>
      <c r="R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  <c r="AI1961" s="230"/>
      <c r="AJ1961" s="230"/>
      <c r="AK1961" s="230"/>
      <c r="AL1961" s="230"/>
      <c r="AM1961" s="230"/>
      <c r="AN1961" s="230"/>
    </row>
    <row r="1962">
      <c r="O1962" s="230"/>
      <c r="R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  <c r="AI1962" s="230"/>
      <c r="AJ1962" s="230"/>
      <c r="AK1962" s="230"/>
      <c r="AL1962" s="230"/>
      <c r="AM1962" s="230"/>
      <c r="AN1962" s="230"/>
    </row>
    <row r="1963">
      <c r="O1963" s="230"/>
      <c r="R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  <c r="AI1963" s="230"/>
      <c r="AJ1963" s="230"/>
      <c r="AK1963" s="230"/>
      <c r="AL1963" s="230"/>
      <c r="AM1963" s="230"/>
      <c r="AN1963" s="230"/>
    </row>
    <row r="1964">
      <c r="O1964" s="230"/>
      <c r="R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  <c r="AI1964" s="230"/>
      <c r="AJ1964" s="230"/>
      <c r="AK1964" s="230"/>
      <c r="AL1964" s="230"/>
      <c r="AM1964" s="230"/>
      <c r="AN1964" s="230"/>
    </row>
    <row r="1965">
      <c r="O1965" s="230"/>
      <c r="R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  <c r="AI1965" s="230"/>
      <c r="AJ1965" s="230"/>
      <c r="AK1965" s="230"/>
      <c r="AL1965" s="230"/>
      <c r="AM1965" s="230"/>
      <c r="AN1965" s="230"/>
    </row>
    <row r="1966">
      <c r="O1966" s="230"/>
      <c r="R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  <c r="AI1966" s="230"/>
      <c r="AJ1966" s="230"/>
      <c r="AK1966" s="230"/>
      <c r="AL1966" s="230"/>
      <c r="AM1966" s="230"/>
      <c r="AN1966" s="230"/>
    </row>
    <row r="1967">
      <c r="O1967" s="230"/>
      <c r="R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  <c r="AI1967" s="230"/>
      <c r="AJ1967" s="230"/>
      <c r="AK1967" s="230"/>
      <c r="AL1967" s="230"/>
      <c r="AM1967" s="230"/>
      <c r="AN1967" s="230"/>
    </row>
    <row r="1968">
      <c r="O1968" s="230"/>
      <c r="R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  <c r="AI1968" s="230"/>
      <c r="AJ1968" s="230"/>
      <c r="AK1968" s="230"/>
      <c r="AL1968" s="230"/>
      <c r="AM1968" s="230"/>
      <c r="AN1968" s="230"/>
    </row>
    <row r="1969">
      <c r="O1969" s="230"/>
      <c r="R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  <c r="AI1969" s="230"/>
      <c r="AJ1969" s="230"/>
      <c r="AK1969" s="230"/>
      <c r="AL1969" s="230"/>
      <c r="AM1969" s="230"/>
      <c r="AN1969" s="230"/>
    </row>
    <row r="1970">
      <c r="O1970" s="230"/>
      <c r="R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  <c r="AI1970" s="230"/>
      <c r="AJ1970" s="230"/>
      <c r="AK1970" s="230"/>
      <c r="AL1970" s="230"/>
      <c r="AM1970" s="230"/>
      <c r="AN1970" s="230"/>
    </row>
    <row r="1971">
      <c r="O1971" s="230"/>
      <c r="R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  <c r="AI1971" s="230"/>
      <c r="AJ1971" s="230"/>
      <c r="AK1971" s="230"/>
      <c r="AL1971" s="230"/>
      <c r="AM1971" s="230"/>
      <c r="AN1971" s="230"/>
    </row>
    <row r="1972">
      <c r="O1972" s="230"/>
      <c r="R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  <c r="AI1972" s="230"/>
      <c r="AJ1972" s="230"/>
      <c r="AK1972" s="230"/>
      <c r="AL1972" s="230"/>
      <c r="AM1972" s="230"/>
      <c r="AN1972" s="230"/>
    </row>
    <row r="1973">
      <c r="O1973" s="230"/>
      <c r="R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  <c r="AI1973" s="230"/>
      <c r="AJ1973" s="230"/>
      <c r="AK1973" s="230"/>
      <c r="AL1973" s="230"/>
      <c r="AM1973" s="230"/>
      <c r="AN1973" s="230"/>
    </row>
    <row r="1974">
      <c r="O1974" s="230"/>
      <c r="R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  <c r="AI1974" s="230"/>
      <c r="AJ1974" s="230"/>
      <c r="AK1974" s="230"/>
      <c r="AL1974" s="230"/>
      <c r="AM1974" s="230"/>
      <c r="AN1974" s="230"/>
    </row>
    <row r="1975">
      <c r="O1975" s="230"/>
      <c r="R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  <c r="AI1975" s="230"/>
      <c r="AJ1975" s="230"/>
      <c r="AK1975" s="230"/>
      <c r="AL1975" s="230"/>
      <c r="AM1975" s="230"/>
      <c r="AN1975" s="230"/>
    </row>
    <row r="1976">
      <c r="O1976" s="230"/>
      <c r="R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  <c r="AI1976" s="230"/>
      <c r="AJ1976" s="230"/>
      <c r="AK1976" s="230"/>
      <c r="AL1976" s="230"/>
      <c r="AM1976" s="230"/>
      <c r="AN1976" s="230"/>
    </row>
    <row r="1977">
      <c r="O1977" s="230"/>
      <c r="R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  <c r="AI1977" s="230"/>
      <c r="AJ1977" s="230"/>
      <c r="AK1977" s="230"/>
      <c r="AL1977" s="230"/>
      <c r="AM1977" s="230"/>
      <c r="AN1977" s="230"/>
    </row>
    <row r="1978">
      <c r="O1978" s="230"/>
      <c r="R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  <c r="AI1978" s="230"/>
      <c r="AJ1978" s="230"/>
      <c r="AK1978" s="230"/>
      <c r="AL1978" s="230"/>
      <c r="AM1978" s="230"/>
      <c r="AN1978" s="230"/>
    </row>
    <row r="1979">
      <c r="O1979" s="230"/>
      <c r="R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  <c r="AI1979" s="230"/>
      <c r="AJ1979" s="230"/>
      <c r="AK1979" s="230"/>
      <c r="AL1979" s="230"/>
      <c r="AM1979" s="230"/>
      <c r="AN1979" s="230"/>
    </row>
    <row r="1980">
      <c r="O1980" s="230"/>
      <c r="R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  <c r="AI1980" s="230"/>
      <c r="AJ1980" s="230"/>
      <c r="AK1980" s="230"/>
      <c r="AL1980" s="230"/>
      <c r="AM1980" s="230"/>
      <c r="AN1980" s="230"/>
    </row>
    <row r="1981">
      <c r="O1981" s="230"/>
      <c r="R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  <c r="AI1981" s="230"/>
      <c r="AJ1981" s="230"/>
      <c r="AK1981" s="230"/>
      <c r="AL1981" s="230"/>
      <c r="AM1981" s="230"/>
      <c r="AN1981" s="230"/>
    </row>
    <row r="1982">
      <c r="O1982" s="230"/>
      <c r="R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  <c r="AI1982" s="230"/>
      <c r="AJ1982" s="230"/>
      <c r="AK1982" s="230"/>
      <c r="AL1982" s="230"/>
      <c r="AM1982" s="230"/>
      <c r="AN1982" s="230"/>
    </row>
    <row r="1983">
      <c r="O1983" s="230"/>
      <c r="R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  <c r="AI1983" s="230"/>
      <c r="AJ1983" s="230"/>
      <c r="AK1983" s="230"/>
      <c r="AL1983" s="230"/>
      <c r="AM1983" s="230"/>
      <c r="AN1983" s="230"/>
    </row>
    <row r="1984">
      <c r="O1984" s="230"/>
      <c r="R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  <c r="AI1984" s="230"/>
      <c r="AJ1984" s="230"/>
      <c r="AK1984" s="230"/>
      <c r="AL1984" s="230"/>
      <c r="AM1984" s="230"/>
      <c r="AN1984" s="230"/>
    </row>
    <row r="1985">
      <c r="O1985" s="230"/>
      <c r="R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  <c r="AI1985" s="230"/>
      <c r="AJ1985" s="230"/>
      <c r="AK1985" s="230"/>
      <c r="AL1985" s="230"/>
      <c r="AM1985" s="230"/>
      <c r="AN1985" s="230"/>
    </row>
    <row r="1986">
      <c r="O1986" s="230"/>
      <c r="R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  <c r="AI1986" s="230"/>
      <c r="AJ1986" s="230"/>
      <c r="AK1986" s="230"/>
      <c r="AL1986" s="230"/>
      <c r="AM1986" s="230"/>
      <c r="AN1986" s="230"/>
    </row>
    <row r="1987">
      <c r="O1987" s="230"/>
      <c r="R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  <c r="AI1987" s="230"/>
      <c r="AJ1987" s="230"/>
      <c r="AK1987" s="230"/>
      <c r="AL1987" s="230"/>
      <c r="AM1987" s="230"/>
      <c r="AN1987" s="230"/>
    </row>
    <row r="1988">
      <c r="O1988" s="230"/>
      <c r="R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  <c r="AI1988" s="230"/>
      <c r="AJ1988" s="230"/>
      <c r="AK1988" s="230"/>
      <c r="AL1988" s="230"/>
      <c r="AM1988" s="230"/>
      <c r="AN1988" s="230"/>
    </row>
    <row r="1989">
      <c r="O1989" s="230"/>
      <c r="R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  <c r="AI1989" s="230"/>
      <c r="AJ1989" s="230"/>
      <c r="AK1989" s="230"/>
      <c r="AL1989" s="230"/>
      <c r="AM1989" s="230"/>
      <c r="AN1989" s="230"/>
    </row>
    <row r="1990">
      <c r="O1990" s="230"/>
      <c r="R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  <c r="AI1990" s="230"/>
      <c r="AJ1990" s="230"/>
      <c r="AK1990" s="230"/>
      <c r="AL1990" s="230"/>
      <c r="AM1990" s="230"/>
      <c r="AN1990" s="230"/>
    </row>
    <row r="1991">
      <c r="O1991" s="230"/>
      <c r="R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  <c r="AI1991" s="230"/>
      <c r="AJ1991" s="230"/>
      <c r="AK1991" s="230"/>
      <c r="AL1991" s="230"/>
      <c r="AM1991" s="230"/>
      <c r="AN1991" s="230"/>
    </row>
    <row r="1992">
      <c r="O1992" s="230"/>
      <c r="R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  <c r="AI1992" s="230"/>
      <c r="AJ1992" s="230"/>
      <c r="AK1992" s="230"/>
      <c r="AL1992" s="230"/>
      <c r="AM1992" s="230"/>
      <c r="AN1992" s="230"/>
    </row>
    <row r="1993">
      <c r="O1993" s="230"/>
      <c r="R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  <c r="AI1993" s="230"/>
      <c r="AJ1993" s="230"/>
      <c r="AK1993" s="230"/>
      <c r="AL1993" s="230"/>
      <c r="AM1993" s="230"/>
      <c r="AN1993" s="230"/>
    </row>
    <row r="1994">
      <c r="O1994" s="230"/>
      <c r="R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  <c r="AI1994" s="230"/>
      <c r="AJ1994" s="230"/>
      <c r="AK1994" s="230"/>
      <c r="AL1994" s="230"/>
      <c r="AM1994" s="230"/>
      <c r="AN1994" s="230"/>
    </row>
    <row r="1995">
      <c r="O1995" s="230"/>
      <c r="R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  <c r="AI1995" s="230"/>
      <c r="AJ1995" s="230"/>
      <c r="AK1995" s="230"/>
      <c r="AL1995" s="230"/>
      <c r="AM1995" s="230"/>
      <c r="AN1995" s="230"/>
    </row>
    <row r="1996">
      <c r="O1996" s="230"/>
      <c r="R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  <c r="AI1996" s="230"/>
      <c r="AJ1996" s="230"/>
      <c r="AK1996" s="230"/>
      <c r="AL1996" s="230"/>
      <c r="AM1996" s="230"/>
      <c r="AN1996" s="230"/>
    </row>
    <row r="1997">
      <c r="O1997" s="230"/>
      <c r="R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  <c r="AI1997" s="230"/>
      <c r="AJ1997" s="230"/>
      <c r="AK1997" s="230"/>
      <c r="AL1997" s="230"/>
      <c r="AM1997" s="230"/>
      <c r="AN1997" s="230"/>
    </row>
    <row r="1998">
      <c r="O1998" s="230"/>
      <c r="R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  <c r="AI1998" s="230"/>
      <c r="AJ1998" s="230"/>
      <c r="AK1998" s="230"/>
      <c r="AL1998" s="230"/>
      <c r="AM1998" s="230"/>
      <c r="AN1998" s="230"/>
    </row>
    <row r="1999">
      <c r="O1999" s="230"/>
      <c r="R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  <c r="AI1999" s="230"/>
      <c r="AJ1999" s="230"/>
      <c r="AK1999" s="230"/>
      <c r="AL1999" s="230"/>
      <c r="AM1999" s="230"/>
      <c r="AN1999" s="230"/>
    </row>
    <row r="2000">
      <c r="O2000" s="230"/>
      <c r="R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  <c r="AI2000" s="230"/>
      <c r="AJ2000" s="230"/>
      <c r="AK2000" s="230"/>
      <c r="AL2000" s="230"/>
      <c r="AM2000" s="230"/>
      <c r="AN2000" s="230"/>
    </row>
    <row r="2001">
      <c r="O2001" s="230"/>
      <c r="R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  <c r="AI2001" s="230"/>
      <c r="AJ2001" s="230"/>
      <c r="AK2001" s="230"/>
      <c r="AL2001" s="230"/>
      <c r="AM2001" s="230"/>
      <c r="AN2001" s="230"/>
    </row>
    <row r="2002">
      <c r="O2002" s="230"/>
      <c r="R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  <c r="AI2002" s="230"/>
      <c r="AJ2002" s="230"/>
      <c r="AK2002" s="230"/>
      <c r="AL2002" s="230"/>
      <c r="AM2002" s="230"/>
      <c r="AN2002" s="230"/>
    </row>
    <row r="2003">
      <c r="O2003" s="230"/>
      <c r="R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  <c r="AI2003" s="230"/>
      <c r="AJ2003" s="230"/>
      <c r="AK2003" s="230"/>
      <c r="AL2003" s="230"/>
      <c r="AM2003" s="230"/>
      <c r="AN2003" s="230"/>
    </row>
    <row r="2004">
      <c r="O2004" s="230"/>
      <c r="R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  <c r="AI2004" s="230"/>
      <c r="AJ2004" s="230"/>
      <c r="AK2004" s="230"/>
      <c r="AL2004" s="230"/>
      <c r="AM2004" s="230"/>
      <c r="AN2004" s="230"/>
    </row>
  </sheetData>
  <autoFilter ref="$A$1:$AX$2004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109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14.0</v>
      </c>
      <c r="C3" s="219">
        <v>438.75</v>
      </c>
      <c r="D3" s="216"/>
      <c r="E3" s="212"/>
      <c r="F3" s="217"/>
    </row>
    <row r="4" ht="22.5" customHeight="1">
      <c r="A4" s="218" t="s">
        <v>250</v>
      </c>
      <c r="B4" s="216"/>
      <c r="C4" s="212"/>
      <c r="D4" s="216"/>
      <c r="E4" s="212"/>
      <c r="F4" s="220" t="s">
        <v>251</v>
      </c>
    </row>
    <row r="5" ht="22.5" customHeight="1">
      <c r="A5" s="218" t="s">
        <v>252</v>
      </c>
      <c r="B5" s="216"/>
      <c r="C5" s="212"/>
      <c r="D5" s="216"/>
      <c r="E5" s="212"/>
      <c r="F5" s="220" t="s">
        <v>251</v>
      </c>
    </row>
    <row r="6" ht="22.5" customHeight="1">
      <c r="A6" s="218" t="s">
        <v>253</v>
      </c>
      <c r="B6" s="212"/>
      <c r="C6" s="212">
        <v>9.0</v>
      </c>
      <c r="D6" s="212"/>
      <c r="E6" s="212"/>
      <c r="F6" s="221" t="s">
        <v>6482</v>
      </c>
    </row>
    <row r="7" ht="22.5" customHeight="1">
      <c r="A7" s="218" t="s">
        <v>255</v>
      </c>
      <c r="B7" s="216">
        <f>SUM('Sprint 13'!O:O)</f>
        <v>325</v>
      </c>
      <c r="C7" s="212">
        <f>ROUND(SUM('Sprint 13'!T:T)/3600,2)</f>
        <v>360.5</v>
      </c>
      <c r="D7" s="216">
        <f>SUMIF('Sprint 13'!J:J, "Done", 'Sprint 13'!O:O)</f>
        <v>139</v>
      </c>
      <c r="E7" s="212">
        <f>ROUND(SUMIF('Sprint 13'!J:J, "Done", 'Sprint 13'!T:T)/3600,2)</f>
        <v>118.5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0.0</v>
      </c>
      <c r="C9" s="212">
        <f>IFERROR(__xludf.DUMMYFUNCTION("ROUND(IFERROR(SUM(FILTER('Sprint 13'!T:T, ('Sprint 13'!Q:Q = ""mid-sprint"")))/3600,0),2)"),0.0)</f>
        <v>0</v>
      </c>
      <c r="D9" s="212">
        <f>IFERROR(__xludf.DUMMYFUNCTION("IFERROR(SUM(FILTER('Sprint 13'!O:O, (('Sprint 13'!J:J = ""Done"")) * ('Sprint 13'!Q:Q = ""mid-sprint""))),0)"),0.0)</f>
        <v>0</v>
      </c>
      <c r="E9" s="212">
        <f>IFERROR(__xludf.DUMMYFUNCTION("ROUND(IFERROR(SUM(FILTER('Sprint 13'!T:T, (('Sprint 13'!J:J = ""Done"")) * ('Sprint 13'!P:P = ""mid-sprint"")))/3600,0),2)"),0.5)</f>
        <v>0.5</v>
      </c>
      <c r="F9" s="225" t="s">
        <v>259</v>
      </c>
    </row>
    <row r="10" ht="22.5" customHeight="1">
      <c r="A10" s="218" t="s">
        <v>258</v>
      </c>
      <c r="B10" s="212">
        <f>IFERROR(__xludf.DUMMYFUNCTION("ROUND(IFERROR(SUM(FILTER('Sprint 13'!T:T, ('Sprint 13'!Q:Q = ""change-request"")))/3600,0),2)"),0.0)</f>
        <v>0</v>
      </c>
      <c r="D10" s="212">
        <f>IFERROR(__xludf.DUMMYFUNCTION("IFERROR(SUM(FILTER('Sprint 13'!O:O, (('Sprint 13'!J:J = ""Done"")) * ('Sprint 13'!Q:Q = ""change-request""))),0)"),0.0)</f>
        <v>0</v>
      </c>
      <c r="E10" s="212">
        <f>IFERROR(__xludf.DUMMYFUNCTION("ROUND(IFERROR(SUM(FILTER('Sprint 13'!T:T, (('Sprint 13'!J:J = ""Done"")) * ('Sprint 13'!Q:Q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13'!O:O, ('Sprint 13'!E:E = ""Aek:Atiphat Nanthachitvanich""))),0)"),26.0)</f>
        <v>26</v>
      </c>
      <c r="C12" s="223">
        <f>IFERROR(__xludf.DUMMYFUNCTION("ROUND(IFERROR(SUM(FILTER('Sprint 13'!T:T, ('Sprint 13'!E:E = ""Aek:Atiphat Nanthachitvanich"")))/3600,0),2)"),22.0)</f>
        <v>22</v>
      </c>
      <c r="D12" s="216">
        <f>IFERROR(__xludf.DUMMYFUNCTION("IFERROR(SUM(FILTER('Sprint 13'!O:O, (('Sprint 13'!J:J = ""Done"")) * ('Sprint 13'!E:E = ""Aek:Atiphat Nanthachitvanich""))),0)"),23.0)</f>
        <v>23</v>
      </c>
      <c r="E12" s="223">
        <f>IFERROR(__xludf.DUMMYFUNCTION("ROUND(IFERROR(SUM(FILTER('Sprint 13'!T:T, (('Sprint 13'!J:J = ""Done"")) * ('Sprint 13'!E:E = ""Aek:Atiphat Nanthachitvanich"")))/3600,0),2)"),18.0)</f>
        <v>18</v>
      </c>
      <c r="F12" s="224"/>
    </row>
    <row r="13" ht="22.5" customHeight="1">
      <c r="A13" s="218" t="s">
        <v>32</v>
      </c>
      <c r="B13" s="216">
        <f>IFERROR(__xludf.DUMMYFUNCTION("IFERROR(SUM(FILTER('Sprint 13'!O:O, ('Sprint 13'!E:E = ""A:Phongthorn""))),0)"),46.0)</f>
        <v>46</v>
      </c>
      <c r="C13" s="223">
        <f>IFERROR(__xludf.DUMMYFUNCTION("ROUND(IFERROR(SUM(FILTER('Sprint 13'!T:T, ('Sprint 13'!E:E = ""A:Phongthorn"")))/3600,0),2)"),76.0)</f>
        <v>76</v>
      </c>
      <c r="D13" s="216">
        <f>IFERROR(__xludf.DUMMYFUNCTION("IFERROR(SUM(FILTER('Sprint 13'!O:O, (('Sprint 13'!J:J = ""Done"")) * ('Sprint 13'!E:E = ""A:Phongthorn""))),0)"),40.0)</f>
        <v>40</v>
      </c>
      <c r="E13" s="223">
        <f>IFERROR(__xludf.DUMMYFUNCTION("ROUND(IFERROR(SUM(FILTER('Sprint 13'!T:T, (('Sprint 13'!J:J = ""Done"")) * ('Sprint 13'!E:E = ""A:Phongthorn"")))/3600,0),2)"),76.0)</f>
        <v>76</v>
      </c>
      <c r="F13" s="224"/>
    </row>
    <row r="14" ht="22.5" customHeight="1">
      <c r="A14" s="218" t="s">
        <v>72</v>
      </c>
      <c r="B14" s="216">
        <f>IFERROR(__xludf.DUMMYFUNCTION("IFERROR(SUM(FILTER('Sprint 13'!O:O, ('Sprint 13'!E:E = ""Aom: Pornsawan Polnyiem""))),0)"),54.0)</f>
        <v>54</v>
      </c>
      <c r="C14" s="223">
        <f>IFERROR(__xludf.DUMMYFUNCTION("ROUND(IFERROR(SUM(FILTER('Sprint 13'!T:T, ('Sprint 13'!E:E = ""Aom: Pornsawan Polnyiem"")))/3600,0),2)"),32.5)</f>
        <v>32.5</v>
      </c>
      <c r="D14" s="216">
        <f>IFERROR(__xludf.DUMMYFUNCTION("IFERROR(SUM(FILTER('Sprint 13'!O:O, (('Sprint 13'!J:J = ""Done"")) * ('Sprint 13'!E:E = ""Aom: Pornsawan Polnyiem""))),0)"),8.0)</f>
        <v>8</v>
      </c>
      <c r="E14" s="223">
        <f>IFERROR(__xludf.DUMMYFUNCTION("ROUND(IFERROR(SUM(FILTER('Sprint 13'!T:T, (('Sprint 13'!J:J = ""Done"")) * ('Sprint 13'!E:E = ""Aom: Pornsawan Polnyiem"")))/3600,0),2)"),0.5)</f>
        <v>0.5</v>
      </c>
      <c r="F14" s="224"/>
    </row>
    <row r="15" ht="22.5" customHeight="1">
      <c r="A15" s="218" t="s">
        <v>24</v>
      </c>
      <c r="B15" s="216">
        <f>IFERROR(__xludf.DUMMYFUNCTION("IFERROR(SUM(FILTER('Sprint 13'!O:O, ('Sprint 13'!E:E = ""Zan : Isarapong Bulan""))),0)"),10.0)</f>
        <v>10</v>
      </c>
      <c r="C15" s="223">
        <f>IFERROR(__xludf.DUMMYFUNCTION("ROUND(IFERROR(SUM(FILTER('Sprint 13'!T:T, ('Sprint 13'!E:E = ""Zan : Isarapong Bulan"")))/3600,0),2)"),2.0)</f>
        <v>2</v>
      </c>
      <c r="D15" s="216">
        <f>IFERROR(__xludf.DUMMYFUNCTION("IFERROR(SUM(FILTER('Sprint 13'!O:O, (('Sprint 13'!J:J = ""Done"")) * ('Sprint 13'!E:E = ""Zan : Isarapong Bulan""))),0)"),0.0)</f>
        <v>0</v>
      </c>
      <c r="E15" s="223">
        <f>IFERROR(__xludf.DUMMYFUNCTION("ROUND(IFERROR(SUM(FILTER('Sprint 13'!T:T, (('Sprint 13'!J:J = ""Done"")) * ('Sprint 13'!E:E = ""Zan : Isarapong Bulan"")))/3600,0),2)"),2.0)</f>
        <v>2</v>
      </c>
      <c r="F15" s="224"/>
    </row>
    <row r="16" ht="22.5" customHeight="1">
      <c r="A16" s="218" t="s">
        <v>73</v>
      </c>
      <c r="B16" s="216">
        <f>IFERROR(__xludf.DUMMYFUNCTION("IFERROR(SUM(FILTER('Sprint 13'!O:O, ('Sprint 13'!E:E = ""Mai:Sateta Abvanawong""))),0)"),38.0)</f>
        <v>38</v>
      </c>
      <c r="C16" s="223">
        <f>IFERROR(__xludf.DUMMYFUNCTION("ROUND(IFERROR(SUM(FILTER('Sprint 13'!T:T, ('Sprint 13'!E:E = ""Mai:Sateta Abvanawong"")))/3600,0),2)"),30.0)</f>
        <v>30</v>
      </c>
      <c r="D16" s="216">
        <f>IFERROR(__xludf.DUMMYFUNCTION("IFERROR(SUM(FILTER('Sprint 13'!O:O, (('Sprint 13'!J:J = ""Done"")) * ('Sprint 13'!E:E = ""Mai:Sateta Abvanawong""))),0)"),16.0)</f>
        <v>16</v>
      </c>
      <c r="E16" s="223">
        <f>IFERROR(__xludf.DUMMYFUNCTION("ROUND(IFERROR(SUM(FILTER('Sprint 13'!T:T, (('Sprint 13'!J:J = ""Done"")) * ('Sprint 13'!E:E = ""Mai:Sateta Abvanawong""))),0)/3600,2)"),4.0)</f>
        <v>4</v>
      </c>
      <c r="F16" s="224"/>
    </row>
    <row r="17" ht="22.5" customHeight="1">
      <c r="A17" s="218" t="s">
        <v>74</v>
      </c>
      <c r="B17" s="216">
        <f>IFERROR(__xludf.DUMMYFUNCTION("IFERROR(SUM(FILTER('Sprint 13'!O:O, ('Sprint 13'!E:E = ""Mac: Jarupong Pawichpongkul""))),0)"),32.0)</f>
        <v>32</v>
      </c>
      <c r="C17" s="223">
        <f>IFERROR(__xludf.DUMMYFUNCTION("ROUND(IFERROR(SUM(FILTER('Sprint 13'!T:T, ('Sprint 13'!E:E = ""Mac: Jarupong Pawichpongkul"")))/3600,0),2)"),51.0)</f>
        <v>51</v>
      </c>
      <c r="D17" s="216">
        <f>IFERROR(__xludf.DUMMYFUNCTION("IFERROR(SUM(FILTER('Sprint 13'!O:O, (('Sprint 13'!J:J = ""Done"")) * ('Sprint 13'!E:E = ""Mac: Jarupong Pawichpongkul""))),0)"),3.0)</f>
        <v>3</v>
      </c>
      <c r="E17" s="223">
        <f>IFERROR(__xludf.DUMMYFUNCTION("ROUND(IFERROR(SUM(FILTER('Sprint 13'!T:T, (('Sprint 13'!J:J = ""Done"")) * ('Sprint 13'!E:E = ""Mac: Jarupong Pawichpongkul"")))/3600,0),2)"),3.0)</f>
        <v>3</v>
      </c>
      <c r="F17" s="224"/>
    </row>
    <row r="18" ht="22.5" customHeight="1">
      <c r="A18" s="218" t="s">
        <v>75</v>
      </c>
      <c r="B18" s="216">
        <f>IFERROR(__xludf.DUMMYFUNCTION("IFERROR(SUM(FILTER('Sprint 13'!O:O, ('Sprint 13'!E:E = ""Moss : Kittapath Sangvikukit""))),0)"),19.0)</f>
        <v>19</v>
      </c>
      <c r="C18" s="223">
        <f>IFERROR(__xludf.DUMMYFUNCTION("ROUND(IFERROR(SUM(FILTER('Sprint 13'!T:T, ('Sprint 13'!E:E = ""Moss : Kittapath Sangvikukit"")))/3600,0),2)"),44.0)</f>
        <v>44</v>
      </c>
      <c r="D18" s="216">
        <f>IFERROR(__xludf.DUMMYFUNCTION("IFERROR(SUM(FILTER('Sprint 13'!O:O, (('Sprint 13'!J:J = ""Done"")) * ('Sprint 13'!E:E = ""Moss : Kittapath Sangvikukit""))),0)"),5.0)</f>
        <v>5</v>
      </c>
      <c r="E18" s="223">
        <f>IFERROR(__xludf.DUMMYFUNCTION("ROUND(IFERROR(SUM(FILTER('Sprint 13'!T:T, (('Sprint 13'!J:J = ""Done"")) * ('Sprint 13'!E:E = ""Moss : Kittapath Sangvikukit"")))/3600,0),2)"),8.0)</f>
        <v>8</v>
      </c>
      <c r="F18" s="224"/>
    </row>
    <row r="19" ht="22.5" customHeight="1">
      <c r="A19" s="218" t="s">
        <v>28</v>
      </c>
      <c r="B19" s="216">
        <f>IFERROR(__xludf.DUMMYFUNCTION("IFERROR(SUM(FILTER('Sprint 13'!O:O, ('Sprint 13'!E:E = ""Jack: Warin Kesorn""))),0)"),16.0)</f>
        <v>16</v>
      </c>
      <c r="C19" s="223">
        <f>IFERROR(__xludf.DUMMYFUNCTION("ROUND(IFERROR(SUM(FILTER('Sprint 13'!T:T, ('Sprint 13'!E:E = ""Jack: Warin Kesorn"")))/3600,0),2)"),27.0)</f>
        <v>27</v>
      </c>
      <c r="D19" s="216">
        <f>IFERROR(__xludf.DUMMYFUNCTION("IFERROR(SUM(FILTER('Sprint 13'!O:O, (('Sprint 13'!J:J = ""Done"")) * ('Sprint 13'!E:E = ""Jack: Warin Kesorn""))),0)"),2.0)</f>
        <v>2</v>
      </c>
      <c r="E19" s="223">
        <f>IFERROR(__xludf.DUMMYFUNCTION("ROUND(IFERROR(SUM(FILTER('Sprint 13'!T:T, (('Sprint 13'!J:J = ""Done"")) * ('Sprint 13'!E:E = ""Jack: Warin Kesorn"")))/3600,0),2)"),3.0)</f>
        <v>3</v>
      </c>
      <c r="F19" s="224"/>
    </row>
    <row r="20" ht="22.5" customHeight="1">
      <c r="A20" s="218" t="s">
        <v>3616</v>
      </c>
      <c r="B20" s="216">
        <f>IFERROR(__xludf.DUMMYFUNCTION("IFERROR(SUM(FILTER('Sprint 13'!O:O, ('Sprint 13'!E:E = ""Art: Narupontp""))),0)"),20.0)</f>
        <v>20</v>
      </c>
      <c r="C20" s="223">
        <f>IFERROR(__xludf.DUMMYFUNCTION("ROUND(IFERROR(SUM(FILTER('Sprint 13'!T:T, ('Sprint 13'!E:E = ""Art: Narupontp"")))/3600,0),2)"),0.0)</f>
        <v>0</v>
      </c>
      <c r="D20" s="216">
        <f>IFERROR(__xludf.DUMMYFUNCTION("IFERROR(SUM(FILTER('Sprint 13'!O:O, (('Sprint 13'!J:J = ""Done"")) * ('Sprint 13'!E:E = ""Art: Narupontp""))),0)"),20.0)</f>
        <v>20</v>
      </c>
      <c r="E20" s="223">
        <f>IFERROR(__xludf.DUMMYFUNCTION("ROUND(IFERROR(SUM(FILTER('Sprint 13'!T:T, (('Sprint 13'!J:J = ""Done"")) * ('Sprint 13'!E:E = ""Art: Narupontp"")))/3600,0),2)"),0.0)</f>
        <v>0</v>
      </c>
      <c r="F20" s="224"/>
    </row>
    <row r="21" ht="22.5" customHeight="1">
      <c r="A21" s="218" t="s">
        <v>3617</v>
      </c>
      <c r="B21" s="216">
        <f>IFERROR(__xludf.DUMMYFUNCTION("IFERROR(SUM(FILTER('Sprint 13'!O:O, ('Sprint 13'!E:E = ""Kae: Pimonrath Jaiyen""))),0)"),10.0)</f>
        <v>10</v>
      </c>
      <c r="C21" s="223">
        <f>IFERROR(__xludf.DUMMYFUNCTION("ROUND(IFERROR(SUM(FILTER('Sprint 13'!T:T, ('Sprint 13'!E:E = ""Kae: Pimonrath Jaiyen"")))/3600,0),2)"),0.0)</f>
        <v>0</v>
      </c>
      <c r="D21" s="216">
        <f>IFERROR(__xludf.DUMMYFUNCTION("IFERROR(SUM(FILTER('Sprint 13'!O:O, (('Sprint 13'!J:J = ""Done"")) * ('Sprint 13'!E:E = ""Kae: Pimonrath Jaiyen""))),0)"),2.0)</f>
        <v>2</v>
      </c>
      <c r="E21" s="223">
        <f>IFERROR(__xludf.DUMMYFUNCTION("ROUND(IFERROR(SUM(FILTER('Sprint 13'!T:T, (('Sprint 13'!J:J = ""Done"")) * ('Sprint 13'!E:E = ""Kae: Pimonrath Jaiyen"")))/3600,0),2)"),0.0)</f>
        <v>0</v>
      </c>
      <c r="F21" s="224"/>
    </row>
    <row r="22" ht="22.5" customHeight="1">
      <c r="A22" s="218" t="s">
        <v>76</v>
      </c>
      <c r="B22" s="216">
        <f>IFERROR(__xludf.DUMMYFUNCTION("IFERROR(SUM(FILTER('Sprint 13'!O:O, ('Sprint 13'!E:E = ""Nim : muthita munmueang""))),0)"),26.0)</f>
        <v>26</v>
      </c>
      <c r="C22" s="223">
        <f>IFERROR(__xludf.DUMMYFUNCTION("ROUND(IFERROR(SUM(FILTER('Sprint 13'!T:T, ('Sprint 13'!E:E = ""Nim : muthita munmueang"")))/3600,0),2)"),32.0)</f>
        <v>32</v>
      </c>
      <c r="D22" s="216">
        <f>IFERROR(__xludf.DUMMYFUNCTION("IFERROR(SUM(FILTER('Sprint 13'!O:O, (('Sprint 13'!J:J = ""Done"")) * ('Sprint 13'!E:E = ""Nim : muthita munmueang""))),0)"),8.0)</f>
        <v>8</v>
      </c>
      <c r="E22" s="223">
        <f>IFERROR(__xludf.DUMMYFUNCTION("ROUND(IFERROR(SUM(FILTER('Sprint 13'!T:T, (('Sprint 13'!J:J = ""Done"")) * ('Sprint 13'!E:E = ""Nim : muthita munmueang"")))/3600,0),2)"),0.0)</f>
        <v>0</v>
      </c>
      <c r="F22" s="224"/>
    </row>
    <row r="23" ht="22.5" customHeight="1">
      <c r="A23" s="221" t="s">
        <v>77</v>
      </c>
      <c r="B23" s="224">
        <f>IFERROR(__xludf.DUMMYFUNCTION("IFERROR(SUM(FILTER('Sprint 13'!O:O, ('Sprint 13'!E:E = ""Arm:Worawat Chotipongchoawalit""))),0)"),28.0)</f>
        <v>28</v>
      </c>
      <c r="C23" s="223">
        <f>IFERROR(__xludf.DUMMYFUNCTION("ROUND(IFERROR(SUM(FILTER('Sprint 13'!T:T, ('Sprint 13'!E:E = ""Arm:Worawat Chotipongchoawalit"")))/3600,0),2)"),44.0)</f>
        <v>44</v>
      </c>
      <c r="D23" s="216">
        <f>IFERROR(__xludf.DUMMYFUNCTION("IFERROR(SUM(FILTER('Sprint 13'!O:O, (('Sprint 13'!J:J = ""Done"")) * ('Sprint 13'!E:E = ""Arm:Worawat Chotipongchoawalit""))),0)"),12.0)</f>
        <v>12</v>
      </c>
      <c r="E23" s="223">
        <f>IFERROR(__xludf.DUMMYFUNCTION("ROUND(IFERROR(SUM(FILTER('Sprint 13'!T:T, (('Sprint 13'!J:J = ""Done"")) * ('Sprint 13'!E:E = ""Arm:Worawat Chotipongchoawalit"")))/3600,0),2)"),4.0)</f>
        <v>4</v>
      </c>
      <c r="F23" s="224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42" t="s">
        <v>3615</v>
      </c>
      <c r="J25" s="234"/>
      <c r="K25" s="234"/>
      <c r="L25" s="234"/>
      <c r="M25" s="235"/>
    </row>
    <row r="26" ht="20.25" customHeight="1">
      <c r="A26" s="239" t="s">
        <v>2214</v>
      </c>
      <c r="B26" s="243" t="s">
        <v>30</v>
      </c>
      <c r="C26" s="243" t="s">
        <v>24</v>
      </c>
      <c r="D26" s="243" t="s">
        <v>72</v>
      </c>
      <c r="E26" s="243" t="s">
        <v>28</v>
      </c>
      <c r="F26" s="243" t="s">
        <v>32</v>
      </c>
      <c r="G26" s="243" t="s">
        <v>3616</v>
      </c>
      <c r="H26" s="243" t="s">
        <v>73</v>
      </c>
      <c r="I26" s="243" t="s">
        <v>3617</v>
      </c>
      <c r="J26" s="243" t="s">
        <v>74</v>
      </c>
      <c r="K26" s="243" t="s">
        <v>76</v>
      </c>
      <c r="L26" s="243" t="s">
        <v>75</v>
      </c>
      <c r="M26" s="243" t="s">
        <v>77</v>
      </c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101" t="s">
        <v>4665</v>
      </c>
      <c r="B27" s="99">
        <f>IFERROR(__xludf.DUMMYFUNCTION("IFERROR(
  SUM(
    FILTER(
      'Sprint 13'!O:O,
      ('Sprint 13'!E:E = ""Aek:Atiphat Nanthachitvanich"") *
      (LEFT('Sprint 13'!B:B,7) = ""RDTHANA"")
    )
  ),
0)"),0.0)</f>
        <v>0</v>
      </c>
      <c r="C27" s="99">
        <f>IFERROR(__xludf.DUMMYFUNCTION("IFERROR(
  SUM(
    FILTER(
      'Sprint 13'!O:O,
      ('Sprint 13'!E:E = ""Zan : Isarapong Bulan"") *
      (LEFT('Sprint 13'!B:B,7) = ""RDTHANA"")
    )
  ),
0)"),0.0)</f>
        <v>0</v>
      </c>
      <c r="D27" s="99">
        <f>IFERROR(__xludf.DUMMYFUNCTION("IFERROR(
  SUM(
    FILTER(
      'Sprint 13'!O:O,
      ('Sprint 13'!E:E = ""Aom: Pornsawan Polnyiem"") *
      (LEFT('Sprint 13'!B:B,7) = ""RDTHANA"")
    )
  ),
0)"),0.0)</f>
        <v>0</v>
      </c>
      <c r="E27" s="99">
        <f>IFERROR(__xludf.DUMMYFUNCTION("IFERROR(
  SUM(
    FILTER(
      'Sprint 13'!O:O,
      ('Sprint 13'!E:E = ""Jack: Warin Kesorn"") *
      (LEFT('Sprint 13'!B:B,7) = ""RDTHANA"")
    )
  ),
0)"),3.0)</f>
        <v>3</v>
      </c>
      <c r="F27" s="99">
        <f>IFERROR(__xludf.DUMMYFUNCTION("IFERROR(
  SUM(
    FILTER(
      'Sprint 13'!O:O,
      ('Sprint 13'!E:E = ""A:Phongthorn"") *
      (LEFT('Sprint 13'!B:B,7) = ""RDTHANA"")
    )
  ),
0)"),6.0)</f>
        <v>6</v>
      </c>
      <c r="G27" s="99">
        <f>IFERROR(__xludf.DUMMYFUNCTION("IFERROR(
  SUM(
    FILTER(
      'Sprint 13'!O:O,
      ('Sprint 13'!E:E = ""Art: Narupontp"") *
      (LEFT('Sprint 13'!B:B,7) = ""RDTHANA"")
    )
  ),
0)"),3.0)</f>
        <v>3</v>
      </c>
      <c r="H27" s="99">
        <f>IFERROR(__xludf.DUMMYFUNCTION("IFERROR(
  SUM(
    FILTER(
      'Sprint 13'!O:O,
      ('Sprint 13'!E:E = ""Mai:Sateta Abvanawong"") *
      (LEFT('Sprint 13'!B:B,7) = ""RDTHANA"")
    )
  ),
0)"),22.0)</f>
        <v>22</v>
      </c>
      <c r="I27" s="99">
        <f>IFERROR(__xludf.DUMMYFUNCTION("IFERROR(
  SUM(
    FILTER(
      'Sprint 13'!O:O,
      ('Sprint 13'!E:E = ""Kae: Pimonrath Jaiyen"") *
      (LEFT('Sprint 13'!B:B,7) = ""RDTHANA"")
    )
  ),
0)"),0.0)</f>
        <v>0</v>
      </c>
      <c r="J27" s="99">
        <f>IFERROR(__xludf.DUMMYFUNCTION("IFERROR(
  SUM(
    FILTER(
      'Sprint 13'!O:O,
      ('Sprint 13'!E:E = ""Mac: Jarupong Pawichpongkul"") *
      (LEFT('Sprint 13'!B:B,7) = ""RDTHANA"")
    )
  ),
0)"),5.0)</f>
        <v>5</v>
      </c>
      <c r="K27" s="99">
        <f>IFERROR(__xludf.DUMMYFUNCTION("IFERROR(
  SUM(
    FILTER(
      'Sprint 13'!O:O,
      ('Sprint 13'!E:E = ""Nim : muthita munmueang"") *
      (LEFT('Sprint 13'!B:B,7) = ""RDTHANA"")
    )
  ),
0)"),5.0)</f>
        <v>5</v>
      </c>
      <c r="L27" s="99">
        <f>IFERROR(__xludf.DUMMYFUNCTION("IFERROR(
  SUM(
    FILTER(
      'Sprint 13'!O:O,
      ('Sprint 13'!E:E = ""Moss : Kittapath Sangvikukit"") *
      (LEFT('Sprint 13'!B:B,7) = ""RDTHANA"")
    )
  ),
0)"),0.0)</f>
        <v>0</v>
      </c>
      <c r="M27" s="99">
        <f>IFERROR(__xludf.DUMMYFUNCTION("IFERROR(
  SUM(
    FILTER(
      'Sprint 13'!O:O,
      ('Sprint 13'!E:E = ""Arm:Worawat Chotipongchoawalit"") *
      (LEFT('Sprint 13'!B:B,7) = ""RDTHANA"")
    )
  ),
0)"),2.0)</f>
        <v>2</v>
      </c>
    </row>
    <row r="28">
      <c r="A28" s="101" t="s">
        <v>4666</v>
      </c>
      <c r="B28" s="99">
        <f>IFERROR(__xludf.DUMMYFUNCTION("IFERROR(
  SUM(
    FILTER(
      'Sprint 13'!O:O,
      ('Sprint 13'!E:E = ""Aek:Atiphat Nanthachitvanich"") *
      (LEFT('Sprint 13'!B:B,9) = ""DEVRDECOM"")
    )
  ),
0)"),18.0)</f>
        <v>18</v>
      </c>
      <c r="C28" s="99">
        <f>IFERROR(__xludf.DUMMYFUNCTION("IFERROR(
  SUM(
    FILTER(
      'Sprint 13'!O:O,
      ('Sprint 13'!E:E = ""Zan : Isarapong Bulan"") *
      (LEFT('Sprint 13'!B:B,9) = ""DEVRDECOM"")
    )
  ),
0)"),0.0)</f>
        <v>0</v>
      </c>
      <c r="D28" s="99">
        <f>IFERROR(__xludf.DUMMYFUNCTION("IFERROR(
  SUM(
    FILTER(
      'Sprint 13'!O:O,
      ('Sprint 13'!E:E = ""Aom: Pornsawan Polnyiem"") *
      (LEFT('Sprint 13'!B:B,9) = ""DEVRDECOM"")
    )
  ),
0)"),0.0)</f>
        <v>0</v>
      </c>
      <c r="E28" s="99">
        <f>IFERROR(__xludf.DUMMYFUNCTION("IFERROR(
  SUM(
    FILTER(
      'Sprint 13'!O:O,
      ('Sprint 13'!E:E = ""Jack: Warin Kesorn"") *
      (LEFT('Sprint 13'!B:B,9) = ""DEVRDECOM"")
    )
  ),
0)"),3.0)</f>
        <v>3</v>
      </c>
      <c r="F28" s="99">
        <f>IFERROR(__xludf.DUMMYFUNCTION("IFERROR(
  SUM(
    FILTER(
      'Sprint 13'!O:O,
      ('Sprint 13'!E:E = ""A:Phongthorn"") *
      (LEFT('Sprint 13'!B:B,9) = ""DEVRDECOM"")
    )
  ),
0)"),0.0)</f>
        <v>0</v>
      </c>
      <c r="G28" s="99">
        <f>IFERROR(__xludf.DUMMYFUNCTION("IFERROR(
  SUM(
    FILTER(
      'Sprint 13'!O:O,
      ('Sprint 13'!E:E = ""Art: Narupontp"") *
      (LEFT('Sprint 13'!B:B,9) = ""DEVRDECOM"")
    )
  ),
0)"),1.0)</f>
        <v>1</v>
      </c>
      <c r="H28" s="99">
        <f>IFERROR(__xludf.DUMMYFUNCTION("IFERROR(
  SUM(
    FILTER(
      'Sprint 13'!O:O,
      ('Sprint 13'!E:E = ""Mai:Sateta Abvanawong"") *
      (LEFT('Sprint 13'!B:B,9) = ""DEVRDECOM"")
    )
  ),
0)"),2.0)</f>
        <v>2</v>
      </c>
      <c r="I28" s="99">
        <f>IFERROR(__xludf.DUMMYFUNCTION("IFERROR(
  SUM(
    FILTER(
      'Sprint 13'!O:O,
      ('Sprint 13'!E:E = ""Kae: Pimonrath Jaiyen"") *
      (LEFT('Sprint 13'!B:B,9) = ""DEVRDECOM"")
    )
  ),
0)"),2.0)</f>
        <v>2</v>
      </c>
      <c r="J28" s="99">
        <f>IFERROR(__xludf.DUMMYFUNCTION("IFERROR(
  SUM(
    FILTER(
      'Sprint 13'!O:O,
      ('Sprint 13'!E:E = ""Mac: Jarupong Pawichpongkul"") *
      (LEFT('Sprint 13'!B:B,9) = ""DEVRDECOM"")
    )
  ),
0)"),0.0)</f>
        <v>0</v>
      </c>
      <c r="K28" s="99">
        <f>IFERROR(__xludf.DUMMYFUNCTION("IFERROR(
  SUM(
    FILTER(
      'Sprint 13'!O:O,
      ('Sprint 13'!E:E = ""Nim : muthita munmueang"") *
      (LEFT('Sprint 13'!B:B,9) = ""DEVRDECOM"")
    )
  ),
0)"),0.0)</f>
        <v>0</v>
      </c>
      <c r="L28" s="99">
        <f>IFERROR(__xludf.DUMMYFUNCTION("IFERROR(
  SUM(
    FILTER(
      'Sprint 13'!O:O,
      ('Sprint 13'!E:E = ""Moss : Kittapath Sangvikukit"") *
      (LEFT('Sprint 13'!B:B,9) = ""DEVRDECOM"")
    )
  ),
0)"),2.0)</f>
        <v>2</v>
      </c>
      <c r="M28" s="99">
        <f>IFERROR(__xludf.DUMMYFUNCTION("IFERROR(
  SUM(
    FILTER(
      'Sprint 13'!O:O,
      ('Sprint 13'!E:E = ""Arm:Worawat Chotipongchoawalit"") *
      (LEFT('Sprint 13'!B:B,9) = ""DEVRDECOM"")
    )
  ),
0)"),2.0)</f>
        <v>2</v>
      </c>
    </row>
    <row r="29" ht="32.25" customHeight="1">
      <c r="A29" s="101" t="s">
        <v>4667</v>
      </c>
      <c r="B29" s="99">
        <f>IFERROR(__xludf.DUMMYFUNCTION("IFERROR(
  SUM(
    FILTER(
      'Sprint 13'!O:O,
      ('Sprint 13'!E:E = ""Aek:Atiphat Nanthachitvanich"") *
      (LEFT('Sprint 13'!B:B,7) = ""DEVRDCT"")
    )
  ),
0)"),8.0)</f>
        <v>8</v>
      </c>
      <c r="C29" s="99">
        <f>IFERROR(__xludf.DUMMYFUNCTION("IFERROR(
  SUM(
    FILTER(
      'Sprint 13'!O:O,
      ('Sprint 13'!E:E = ""Zan : Isarapong Bulan"") *
      (LEFT('Sprint 13'!B:B,7) = ""DEVRDCT"")
    )
  ),
0)"),0.0)</f>
        <v>0</v>
      </c>
      <c r="D29" s="99">
        <f>IFERROR(__xludf.DUMMYFUNCTION("IFERROR(
  SUM(
    FILTER(
      'Sprint 13'!O:O,
      ('Sprint 13'!E:E = ""Aom: Pornsawan Polnyiem"") *
      (LEFT('Sprint 13'!B:B,7) = ""DEVRDCT"")
    )
  ),
0)"),0.0)</f>
        <v>0</v>
      </c>
      <c r="E29" s="99">
        <f>IFERROR(__xludf.DUMMYFUNCTION("IFERROR(
  SUM(
    FILTER(
      'Sprint 13'!O:O,
      ('Sprint 13'!E:E = ""Jack: Warin Kesorn"") *
      (LEFT('Sprint 13'!B:B,7) = ""DEVRDCT"")
    )
  ),
0)"),10.0)</f>
        <v>10</v>
      </c>
      <c r="F29" s="99">
        <f>IFERROR(__xludf.DUMMYFUNCTION("IFERROR(
  SUM(
    FILTER(
      'Sprint 13'!O:O,
      ('Sprint 13'!E:E = ""A:Phongthorn"") *
      (LEFT('Sprint 13'!B:B,7) = ""DEVRDCT"")
    )
  ),
0)"),0.0)</f>
        <v>0</v>
      </c>
      <c r="G29" s="99">
        <f>IFERROR(__xludf.DUMMYFUNCTION("IFERROR(
  SUM(
    FILTER(
      'Sprint 13'!O:O,
      ('Sprint 13'!E:E = ""Art: Narupontp"") *
      (LEFT('Sprint 13'!B:B,7) = ""DEVRDCT"")
    )
  ),
0)"),13.0)</f>
        <v>13</v>
      </c>
      <c r="H29" s="99">
        <f>IFERROR(__xludf.DUMMYFUNCTION("IFERROR(
  SUM(
    FILTER(
      'Sprint 13'!O:O,
      ('Sprint 13'!E:E = ""Mai:Sateta Abvanawong"") *
      (LEFT('Sprint 13'!B:B,7) = ""DEVRDCT"")
    )
  ),
0)"),0.0)</f>
        <v>0</v>
      </c>
      <c r="I29" s="99">
        <f>IFERROR(__xludf.DUMMYFUNCTION("IFERROR(
  SUM(
    FILTER(
      'Sprint 13'!O:O,
      ('Sprint 13'!E:E = ""Moss : Kittapath Sangvikukit"") *
      (LEFT('Sprint 13'!B:B,7) = ""DEVRDCT"")
    )
  ),
0)"),6.0)</f>
        <v>6</v>
      </c>
      <c r="J29" s="99">
        <f>IFERROR(__xludf.DUMMYFUNCTION("IFERROR(
  SUM(
    FILTER(
      'Sprint 13'!O:O,
      ('Sprint 13'!E:E = ""Mac: Jarupong Pawichpongkul"") *
      (LEFT('Sprint 13'!B:B,7) = ""DEVRDCT"")
    )
  ),
0)"),18.0)</f>
        <v>18</v>
      </c>
      <c r="K29" s="99">
        <f>IFERROR(__xludf.DUMMYFUNCTION("IFERROR(
  SUM(
    FILTER(
      'Sprint 13'!O:O,
      ('Sprint 13'!E:E = ""Moss : Kittapath Sangvikukit"") *
      (LEFT('Sprint 13'!B:B,7) = ""DEVRDCT"")
    )
  ),
0)"),6.0)</f>
        <v>6</v>
      </c>
      <c r="L29" s="99">
        <f>IFERROR(__xludf.DUMMYFUNCTION("IFERROR(
  SUM(
    FILTER(
      'Sprint 13'!O:O,
      ('Sprint 13'!E:E = ""Moss : Kittapath Sangvikukit"") *
      (LEFT('Sprint 13'!B:B,7) = ""DEVRDCT"")
    )
  ),
0)"),6.0)</f>
        <v>6</v>
      </c>
      <c r="M29" s="99">
        <f>IFERROR(__xludf.DUMMYFUNCTION("IFERROR(
  SUM(
    FILTER(
      'Sprint 13'!O:O,
      ('Sprint 13'!E:E = ""Arm:Worawat Chotipongchoawalit"") *
      (LEFT('Sprint 13'!B:B,7) = ""DEVRDCT"")
    )
  ),
0)"),4.0)</f>
        <v>4</v>
      </c>
    </row>
    <row r="30" ht="22.5" customHeight="1">
      <c r="A30" s="101" t="s">
        <v>4668</v>
      </c>
      <c r="B30" s="99">
        <f>IFERROR(__xludf.DUMMYFUNCTION("IFERROR(
  SUM(
    FILTER(
      'Sprint 13'!O:O,
      ('Sprint 13'!E:E = ""Aek:Atiphat Nanthachitvanich"") *
      (LEFT('Sprint 13'!B:B,8) = ""DEVRDADJ"")
    )
  ),
0)"),0.0)</f>
        <v>0</v>
      </c>
      <c r="C30" s="99">
        <f>IFERROR(__xludf.DUMMYFUNCTION("IFERROR(
  SUM(
    FILTER(
      'Sprint 13'!O:O,
      ('Sprint 13'!E:E = ""Zan : Isarapong Bulan"") *
      (LEFT('Sprint 13'!B:B,8) = ""DEVRDADJ"")
    )
  ),
0)"),0.0)</f>
        <v>0</v>
      </c>
      <c r="D30" s="99">
        <f>IFERROR(__xludf.DUMMYFUNCTION("IFERROR(
  SUM(
    FILTER(
      'Sprint 13'!O:O,
      ('Sprint 13'!E:E = ""Aom: Pornsawan Polnyiem"") *
      (LEFT('Sprint 13'!B:B,8) = ""DEVRDADJ"")
    )
  ),
0)"),0.0)</f>
        <v>0</v>
      </c>
      <c r="E30" s="99">
        <f>IFERROR(__xludf.DUMMYFUNCTION("IFERROR(
  SUM(
    FILTER(
      'Sprint 13'!O:O,
      ('Sprint 13'!E:E = ""Jack: Warin Kesorn"") *
      (LEFT('Sprint 13'!B:B,8) = ""DEVRDADJ"")
    )
  ),
0)"),0.0)</f>
        <v>0</v>
      </c>
      <c r="F30" s="99">
        <f>IFERROR(__xludf.DUMMYFUNCTION("IFERROR(
  SUM(
    FILTER(
      'Sprint 13'!O:O,
      ('Sprint 13'!E:E = ""A:Phongthorn"") *
      (LEFT('Sprint 13'!B:B,8) = ""DEVRDADJ"")
    )
  ),
0)"),0.0)</f>
        <v>0</v>
      </c>
      <c r="G30" s="99">
        <f>IFERROR(__xludf.DUMMYFUNCTION("IFERROR(
  SUM(
    FILTER(
      'Sprint 13'!O:O,
      ('Sprint 13'!E:E = ""Art: Narupontp"") *
      (LEFT('Sprint 13'!B:B,8) = ""DEVRDADJ"")
    )
  ),
0)"),0.0)</f>
        <v>0</v>
      </c>
      <c r="H30" s="99">
        <f>IFERROR(__xludf.DUMMYFUNCTION("IFERROR(
  SUM(
    FILTER(
      'Sprint 13'!O:O,
      ('Sprint 13'!E:E = ""Mai:Sateta Abvanawong"") *
      (LEFT('Sprint 13'!B:B,8) = ""DEVRDADJ"")
    )
  ),
0)"),0.0)</f>
        <v>0</v>
      </c>
      <c r="I30" s="99">
        <f>IFERROR(__xludf.DUMMYFUNCTION("IFERROR(
  SUM(
    FILTER(
      'Sprint 13'!O:O,
      ('Sprint 13'!E:E = ""Kae: Pimonrath Jaiyen"") *
      (LEFT('Sprint 13'!B:B,8) = ""DEVRDADJ"")
    )
  ),
0)"),0.0)</f>
        <v>0</v>
      </c>
      <c r="J30" s="99">
        <f>IFERROR(__xludf.DUMMYFUNCTION("IFERROR(
  SUM(
    FILTER(
      'Sprint 13'!O:O,
      ('Sprint 13'!E:E = ""Mac: Jarupong Pawichpongkul"") *
      (LEFT('Sprint 13'!B:B,8) = ""DEVRDADJ"")
    )
  ),
0)"),0.0)</f>
        <v>0</v>
      </c>
      <c r="K30" s="99">
        <f>IFERROR(__xludf.DUMMYFUNCTION("IFERROR(
  SUM(
    FILTER(
      'Sprint 13'!O:O,
      ('Sprint 13'!E:E = ""Nim : muthita munmueang"") *
      (LEFT('Sprint 13'!B:B,8) = ""DEVRDADJ"")
    )
  ),
0)"),0.0)</f>
        <v>0</v>
      </c>
      <c r="L30" s="99">
        <f>IFERROR(__xludf.DUMMYFUNCTION("IFERROR(
  SUM(
    FILTER(
      'Sprint 13'!O:O,
      ('Sprint 13'!E:E = ""Moss : Kittapath Sangvikukit"") *
      (LEFT('Sprint 13'!B:B,8) = ""DEVRDADJ"")
    )
  ),
0)"),0.0)</f>
        <v>0</v>
      </c>
      <c r="M30" s="99">
        <f>IFERROR(__xludf.DUMMYFUNCTION("IFERROR(
  SUM(
    FILTER(
      'Sprint 13'!O:O,
      ('Sprint 13'!E:E = ""Arm:Worawat Chotipongchoawalit"") *
      (LEFT('Sprint 13'!B:B,8) = ""DEVRDADJ"")
    )
  ),
0)"),0.0)</f>
        <v>0</v>
      </c>
    </row>
    <row r="31">
      <c r="A31" s="101" t="s">
        <v>4669</v>
      </c>
      <c r="B31" s="101">
        <f>IFERROR(__xludf.DUMMYFUNCTION("IFERROR(
  SUM(
    FILTER(
      'Sprint 13'!O:O,
      ('Sprint 13'!E:E = ""Aek:Atiphat Nanthachitvanich"") *
      (LEFT('Sprint 13'!B:B,5) = ""RDAPS"")
    )
  ),
0)"),0.0)</f>
        <v>0</v>
      </c>
      <c r="C31" s="99">
        <f>IFERROR(__xludf.DUMMYFUNCTION("IFERROR(
  SUM(
    FILTER(
      'Sprint 13'!O:O,
      ('Sprint 13'!E:E = ""Zan : Isarapong Bulan"") *
      (LEFT('Sprint 13'!B:B,5) = ""RDAPS"")
    )
  ),
0)"),10.0)</f>
        <v>10</v>
      </c>
      <c r="D31" s="99">
        <f>IFERROR(__xludf.DUMMYFUNCTION("IFERROR(
  SUM(
    FILTER(
      'Sprint 13'!O:O,
      ('Sprint 13'!E:E = ""Aom: Pornsawan Polnyiem"") *
      (LEFT('Sprint 13'!B:B,5) = ""RDAPS"")
    )
  ),
0)"),28.0)</f>
        <v>28</v>
      </c>
      <c r="E31" s="99">
        <f>IFERROR(__xludf.DUMMYFUNCTION("IFERROR(
  SUM(
    FILTER(
      'Sprint 13'!O:O,
      ('Sprint 13'!E:E = ""Jack: Warin Kesorn"") *
      (LEFT('Sprint 13'!B:B,5) = ""RDAPS"")
    )
  ),
0)"),0.0)</f>
        <v>0</v>
      </c>
      <c r="F31" s="99">
        <f>IFERROR(__xludf.DUMMYFUNCTION("IFERROR(
  SUM(
    FILTER(
      'Sprint 13'!O:O,
      ('Sprint 13'!E:E = ""A:Phongthorn"") *
      (LEFT('Sprint 13'!B:B,5) = ""RDAPS"")
    )
  ),
0)"),0.0)</f>
        <v>0</v>
      </c>
      <c r="G31" s="99">
        <f>IFERROR(__xludf.DUMMYFUNCTION("IFERROR(
  SUM(
    FILTER(
      'Sprint 13'!O:O,
      ('Sprint 13'!E:E = ""Art: Narupontp"") *
      (LEFT('Sprint 13'!B:B,5) = ""RDAPS"")
    )
  ),
0)"),3.0)</f>
        <v>3</v>
      </c>
      <c r="H31" s="99">
        <f>IFERROR(__xludf.DUMMYFUNCTION("IFERROR(
  SUM(
    FILTER(
      'Sprint 13'!O:O,
      ('Sprint 13'!E:E = ""Mai:Sateta Abvanawong"") *
      (LEFT('Sprint 13'!B:B,5) = ""RDAPS"")
    )
  ),
0)"),14.0)</f>
        <v>14</v>
      </c>
      <c r="I31" s="99">
        <f>IFERROR(__xludf.DUMMYFUNCTION("IFERROR(
  SUM(
    FILTER(
      'Sprint 13'!O:O,
      ('Sprint 13'!E:E = ""Kae: Pimonrath Jaiyen"") *
      (LEFT('Sprint 13'!B:B,5) = ""RDAPS"")
    )
  ),
0)"),8.0)</f>
        <v>8</v>
      </c>
      <c r="J31" s="99">
        <f>IFERROR(__xludf.DUMMYFUNCTION("IFERROR(
  SUM(
    FILTER(
      'Sprint 13'!O:O,
      ('Sprint 13'!E:E = ""Mac: Jarupong Pawichpongkul"") *
      (LEFT('Sprint 13'!B:B,5) = ""RDAPS"")
    )
  ),
0)"),9.0)</f>
        <v>9</v>
      </c>
      <c r="K31" s="99">
        <f>IFERROR(__xludf.DUMMYFUNCTION("IFERROR(
  SUM(
    FILTER(
      'Sprint 13'!O:O,
      ('Sprint 13'!E:E = ""Moss : Kittapath Sangvikukitฃ"") *
      (LEFT('Sprint 13'!B:B,5) = ""RDAPS"")
    )
  ),
0)"),0.0)</f>
        <v>0</v>
      </c>
      <c r="L31" s="99">
        <f>IFERROR(__xludf.DUMMYFUNCTION("IFERROR(
  SUM(
    FILTER(
      'Sprint 13'!O:O,
      ('Sprint 13'!E:E = ""Moss : Kittapath Sangvikukit"") *
      (LEFT('Sprint 13'!B:B,5) = ""RDAPS"")
    )
  ),
0)"),11.0)</f>
        <v>11</v>
      </c>
      <c r="M31" s="99">
        <f>IFERROR(__xludf.DUMMYFUNCTION("IFERROR(
  SUM(
    FILTER(
      'Sprint 13'!O:O,
      ('Sprint 13'!E:E = ""Arm:Worawat Chotipongchoawalit"") *
      (LEFT('Sprint 13'!B:B,5) = ""RDAPS"")
    )
  ),
0)"),20.0)</f>
        <v>20</v>
      </c>
    </row>
    <row r="32" ht="21.0" customHeight="1">
      <c r="A32" s="101" t="s">
        <v>4670</v>
      </c>
      <c r="B32" s="101">
        <f>IFERROR(__xludf.DUMMYFUNCTION("IFERROR(
  SUM(
    FILTER(
      'Sprint 13'!O:O,
      ('Sprint 13'!E:E = ""Aek:Atiphat Nanthachitvanich"") *
      (LEFT('Sprint 13'!B:B,8) = ""DEVRDSUP"")
    )
  ),
0)"),0.0)</f>
        <v>0</v>
      </c>
      <c r="C32" s="99">
        <f>IFERROR(__xludf.DUMMYFUNCTION("IFERROR(
  SUM(
    FILTER(
      'Sprint 13'!O:O,
      ('Sprint 13'!E:E = ""Zan : Isarapong Bulan"") *
      (LEFT('Sprint 13'!B:B,8) = ""DEVRDSUP"")
    )
  ),
0)"),0.0)</f>
        <v>0</v>
      </c>
      <c r="D32" s="99">
        <f>IFERROR(__xludf.DUMMYFUNCTION("IFERROR(
  SUM(
    FILTER(
      'Sprint 13'!O:O,
      ('Sprint 13'!E:E = ""Aom: Pornsawan Polnyiem"") *
      (LEFT('Sprint 13'!B:B,8) = ""DEVRDSUP"")
    )
  ),
0)"),26.0)</f>
        <v>26</v>
      </c>
      <c r="E32" s="99">
        <f>IFERROR(__xludf.DUMMYFUNCTION("IFERROR(
  SUM(
    FILTER(
      'Sprint 13'!O:O,
      ('Sprint 13'!E:E = ""Jack: Warin Kesorn"") *
      (LEFT('Sprint 13'!B:B,8) = ""DEVRDSUP"")
    )
  ),
0)"),0.0)</f>
        <v>0</v>
      </c>
      <c r="F32" s="101">
        <f>IFERROR(__xludf.DUMMYFUNCTION("IFERROR(
  SUM(
    FILTER(
      'Sprint 13'!P:P,
      ('Sprint 13'!F:F = ""A:Phongthorn"") *
      (LEFT('Sprint 13'!C:C,8) = ""DEVRDSUP"")
    )
  ),
0)"),0.0)</f>
        <v>0</v>
      </c>
      <c r="G32" s="99">
        <f>IFERROR(__xludf.DUMMYFUNCTION("IFERROR(
  SUM(
    FILTER(
      'Sprint 13'!O:O,
      ('Sprint 13'!E:E = ""Art: Narupontp"") *
      (LEFT('Sprint 13'!B:B,8) = ""DEVRDSUP"")
    )
  ),
0)"),0.0)</f>
        <v>0</v>
      </c>
      <c r="H32" s="99">
        <f>IFERROR(__xludf.DUMMYFUNCTION("IFERROR(
  SUM(
    FILTER(
      'Sprint 13'!O:O,
      ('Sprint 13'!E:E = ""Mai:Sateta Abvanawong"") *
      (LEFT('Sprint 13'!B:B,8) = ""DEVRDSUP"")
    )
  ),
0)"),0.0)</f>
        <v>0</v>
      </c>
      <c r="I32" s="99">
        <f>IFERROR(__xludf.DUMMYFUNCTION("IFERROR(
  SUM(
    FILTER(
      'Sprint 13'!O:O,
      ('Sprint 13'!E:E = ""Kae: Pimonrath Jaiyen"") *
      (LEFT('Sprint 13'!B:B,8) = ""DEVRDSUP"")
    )
  ),
0)"),0.0)</f>
        <v>0</v>
      </c>
      <c r="J32" s="99">
        <f>IFERROR(__xludf.DUMMYFUNCTION("IFERROR(
  SUM(
    FILTER(
      'Sprint 13'!O:O,
      ('Sprint 13'!E:E = ""Mac: Jarupong Pawichpongkul"") *
      (LEFT('Sprint 13'!B:B,8) = ""DEVRDSUP"")
    )
  ),
0)"),0.0)</f>
        <v>0</v>
      </c>
      <c r="K32" s="99">
        <f>IFERROR(__xludf.DUMMYFUNCTION("IFERROR(
  SUM(
    FILTER(
      'Sprint 13'!O:O,
      ('Sprint 13'!E:E = ""Nim : muthita munmueang"") *
      (LEFT('Sprint 13'!B:B,8) = ""DEVRDSUP"")
    )
  ),
0)"),0.0)</f>
        <v>0</v>
      </c>
      <c r="L32" s="99">
        <f>IFERROR(__xludf.DUMMYFUNCTION("IFERROR(
  SUM(
    FILTER(
      'Sprint 13'!O:O,
      ('Sprint 13'!E:E = ""Moss : Kittapath Sangvikukit"") *
      (LEFT('Sprint 13'!B:B,8) = ""DEVRDSUP"")
    )
  ),
0)"),0.0)</f>
        <v>0</v>
      </c>
      <c r="M32" s="99">
        <f>IFERROR(__xludf.DUMMYFUNCTION("IFERROR(
  SUM(
    FILTER(
      'Sprint 13'!O:O,
      ('Sprint 13'!E:E = ""Arm:Worawat Chotipongchoawalit"") *
      (LEFT('Sprint 13'!B:B,8) = ""DEVRDSUP"")
    )
  ),
0)"),0.0)</f>
        <v>0</v>
      </c>
    </row>
    <row r="33">
      <c r="C33" s="125"/>
    </row>
    <row r="34">
      <c r="C34" s="125"/>
    </row>
    <row r="35" ht="24.75" customHeight="1">
      <c r="A35" s="232"/>
      <c r="B35" s="233" t="s">
        <v>2210</v>
      </c>
      <c r="C35" s="234"/>
      <c r="D35" s="234"/>
      <c r="E35" s="235"/>
      <c r="F35" s="236" t="s">
        <v>2211</v>
      </c>
      <c r="G35" s="234"/>
      <c r="H35" s="235"/>
      <c r="I35" s="242" t="s">
        <v>3615</v>
      </c>
      <c r="J35" s="234"/>
      <c r="K35" s="234"/>
      <c r="L35" s="234"/>
      <c r="M35" s="235"/>
    </row>
    <row r="36" ht="20.25" customHeight="1">
      <c r="A36" s="239" t="s">
        <v>3618</v>
      </c>
      <c r="B36" s="243" t="s">
        <v>30</v>
      </c>
      <c r="C36" s="243" t="s">
        <v>24</v>
      </c>
      <c r="D36" s="243" t="s">
        <v>72</v>
      </c>
      <c r="E36" s="243" t="s">
        <v>28</v>
      </c>
      <c r="F36" s="243" t="s">
        <v>32</v>
      </c>
      <c r="G36" s="243" t="s">
        <v>3616</v>
      </c>
      <c r="H36" s="243" t="s">
        <v>73</v>
      </c>
      <c r="I36" s="243" t="s">
        <v>3617</v>
      </c>
      <c r="J36" s="243" t="s">
        <v>74</v>
      </c>
      <c r="K36" s="243" t="s">
        <v>76</v>
      </c>
      <c r="L36" s="243" t="s">
        <v>75</v>
      </c>
      <c r="M36" s="243" t="s">
        <v>77</v>
      </c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101" t="s">
        <v>4665</v>
      </c>
      <c r="B37" s="99">
        <f>IFERROR(__xludf.DUMMYFUNCTION("ROUND(
  IFERROR(
    SUM(
      FILTER(
        'Sprint 13'!T:T,
        ('Sprint 13'!E:E = ""Aek:Atiphat Nanthachitvanich"") *
        (LEFT('Sprint 13'!B:B,7) = ""RDTHANA"")
      )
    ) / 3600,
    0
  ),
  2
)"),0.0)</f>
        <v>0</v>
      </c>
      <c r="C37" s="99">
        <f>IFERROR(__xludf.DUMMYFUNCTION("ROUND(
  IFERROR(
    SUM(
      FILTER(
        'Sprint 13'!T:T,
        ('Sprint 13'!E:E = ""Zan : Isarapong Bulan"") *
        (LEFT('Sprint 13'!B:B,7) = ""RDTHANA"")
      )
    ) / 3600,
    0
  ),
  2
)"),0.0)</f>
        <v>0</v>
      </c>
      <c r="D37" s="99">
        <f>IFERROR(__xludf.DUMMYFUNCTION("ROUND(
  IFERROR(
    SUM(
      FILTER(
        'Sprint 13'!T:T,
        ('Sprint 13'!E:E = ""Aom: Pornsawan Polnyiem"") *
        (LEFT('Sprint 13'!B:B,7) = ""RDTHANA"")
      )
    ) / 3600,
    0
  ),
  2
)"),0.0)</f>
        <v>0</v>
      </c>
      <c r="E37" s="99">
        <f>IFERROR(__xludf.DUMMYFUNCTION("ROUND(
  IFERROR(
    SUM(
      FILTER(
        'Sprint 13'!T:T,
        ('Sprint 13'!E:E = ""Jack: Warin Kesorn"") *
        (LEFT('Sprint 13'!B:B,7) = ""RDTHANA"")
      )
    ) / 3600,
    0
  ),
  2
)"),0.0)</f>
        <v>0</v>
      </c>
      <c r="F37" s="99">
        <f>IFERROR(__xludf.DUMMYFUNCTION("ROUND(
  IFERROR(
    SUM(
      FILTER(
        'Sprint 13'!T:T,
        ('Sprint 13'!E:E = ""A:Phongthorn"") *
        (LEFT('Sprint 13'!B:B,7) = ""RDTHANA"")
      )
    ) / 3600,
    0
  ),
  2
)"),0.0)</f>
        <v>0</v>
      </c>
      <c r="G37" s="99">
        <f>IFERROR(__xludf.DUMMYFUNCTION("ROUND(
  IFERROR(
    SUM(
      FILTER(
        'Sprint 13'!T:T,
        ('Sprint 13'!E:E = ""Art: Narupontp"") *
        (LEFT('Sprint 13'!B:B,7) = ""RDTHANA"")
      )
    ) / 3600,
    0
  ),
  2
)"),0.0)</f>
        <v>0</v>
      </c>
      <c r="H37" s="99">
        <f>IFERROR(__xludf.DUMMYFUNCTION("ROUND(
  IFERROR(
    SUM(
      FILTER(
        'Sprint 13'!T:T,
        ('Sprint 13'!E:E = ""Mai:Sateta Abvanawong"") *
        (LEFT('Sprint 13'!B:B,7) = ""RDTHANA"")
      )
    ) / 3600,
    0
  ),
  2
)"),2.0)</f>
        <v>2</v>
      </c>
      <c r="I37" s="99">
        <f>IFERROR(__xludf.DUMMYFUNCTION("ROUND(
  IFERROR(
    SUM(
      FILTER(
        'Sprint 13'!T:T,
        ('Sprint 13'!E:E = ""Kae: Pimonrath Jaiyen"") *
        (LEFT('Sprint 13'!B:B,7) = ""RDTHANA"")
      )
    ) / 3600,
    0
  ),
  2
)"),0.0)</f>
        <v>0</v>
      </c>
      <c r="J37" s="99">
        <f>IFERROR(__xludf.DUMMYFUNCTION("ROUND(
  IFERROR(
    SUM(
      FILTER(
        'Sprint 13'!T:T,
        ('Sprint 13'!E:E = ""Mac: Jarupong Pawichpongkul"") *
        (LEFT('Sprint 13'!B:B,7) = ""RDTHANA"")
      )
    ) / 3600,
    0
  ),
  2
)"),0.0)</f>
        <v>0</v>
      </c>
      <c r="K37" s="99">
        <f>IFERROR(__xludf.DUMMYFUNCTION("ROUND(
  IFERROR(
    SUM(
      FILTER(
        'Sprint 13'!T:T,
        ('Sprint 13'!E:E = ""Nim : muthita munmueang"") *
        (LEFT('Sprint 13'!B:B,7) = ""RDTHANA"")
      )
    ) / 3600,
    0
  ),
  2
)"),0.0)</f>
        <v>0</v>
      </c>
      <c r="L37" s="99">
        <f>IFERROR(__xludf.DUMMYFUNCTION("ROUND(
  IFERROR(
    SUM(
      FILTER(
        'Sprint 13'!T:T,
        ('Sprint 13'!E:E = ""Moss : Kittapath Sangvikukit"") *
        (LEFT('Sprint 13'!B:B,7) = ""RDTHANA"")
      )
    ) / 3600,
    0
  ),
  2
)"),0.0)</f>
        <v>0</v>
      </c>
      <c r="M37" s="99">
        <f>IFERROR(__xludf.DUMMYFUNCTION("ROUND(
  IFERROR(
    SUM(
      FILTER(
        'Sprint 13'!T:T,
        ('Sprint 13'!E:E = ""Arm:Worawat Chotipongchoawalit"") *
        (LEFT('Sprint 13'!B:B,7) = ""RDTHANA"")
      )
    ) / 3600,
    0
  ),
  2
)"),0.0)</f>
        <v>0</v>
      </c>
    </row>
    <row r="38">
      <c r="A38" s="101" t="s">
        <v>4666</v>
      </c>
      <c r="B38" s="99">
        <f>IFERROR(__xludf.DUMMYFUNCTION("ROUND(
  IFERROR(
    SUM(
      FILTER(
        'Sprint 13'!T:T,
        ('Sprint 13'!E:E = ""Aek:Atiphat Nanthachitvanich"") *
        (LEFT('Sprint 13'!B:B,9) = ""DEVRDECOM"")
      )
    ) / 3600,
    0
  ),
  2
)"),22.0)</f>
        <v>22</v>
      </c>
      <c r="C38" s="99">
        <f>IFERROR(__xludf.DUMMYFUNCTION("ROUND(
  IFERROR(
    SUM(
      FILTER(
        'Sprint 13'!T:T,
        ('Sprint 13'!E:E = ""Zan : Isarapong Bulan"") *
        (LEFT('Sprint 13'!B:B,9) = ""DEVRDECOM"")
      )
    ) / 3600,
    0
  ),
  2
)"),0.0)</f>
        <v>0</v>
      </c>
      <c r="D38" s="99">
        <f>IFERROR(__xludf.DUMMYFUNCTION("ROUND(
  IFERROR(
    SUM(
      FILTER(
        'Sprint 13'!T:T,
        ('Sprint 13'!E:E = ""Aom: Pornsawan Polnyiem"") *
        (LEFT('Sprint 13'!B:B,9) = ""DEVRDECOM"")
      )
    ) / 3600,
    0
  ),
  2
)"),0.0)</f>
        <v>0</v>
      </c>
      <c r="E38" s="99">
        <f>IFERROR(__xludf.DUMMYFUNCTION("ROUND(
  IFERROR(
    SUM(
      FILTER(
        'Sprint 13'!T:T,
        ('Sprint 13'!E:E = ""Jack: Warin Kesorn"") *
        (LEFT('Sprint 13'!B:B,9) = ""DEVRDECOM"")
      )
    ) / 3600,
    0
  ),
  2
)"),0.0)</f>
        <v>0</v>
      </c>
      <c r="F38" s="99">
        <f>IFERROR(__xludf.DUMMYFUNCTION("ROUND(
  IFERROR(
    SUM(
      FILTER(
        'Sprint 13'!T:T,
        ('Sprint 13'!E:E = ""A:Phongthorn"") *
        (LEFT('Sprint 13'!B:B,9) = ""DEVRDECOM"")
      )
    ) / 3600,
    0
  ),
  2
)"),0.0)</f>
        <v>0</v>
      </c>
      <c r="G38" s="99">
        <f>IFERROR(__xludf.DUMMYFUNCTION("ROUND(
  IFERROR(
    SUM(
      FILTER(
        'Sprint 13'!T:T,
        ('Sprint 13'!E:E = ""Art: Narupontp"") *
        (LEFT('Sprint 13'!B:B,9) = ""DEVRDECOM"")
      )
    ) / 3600,
    0
  ),
  2
)"),0.0)</f>
        <v>0</v>
      </c>
      <c r="H38" s="99">
        <f>IFERROR(__xludf.DUMMYFUNCTION("ROUND(
  IFERROR(
    SUM(
      FILTER(
        'Sprint 13'!T:T,
        ('Sprint 13'!E:E = ""Mai:Sateta Abvanawong"") *
        (LEFT('Sprint 13'!B:B,9) = ""DEVRDECOM"")
      )
    ) / 3600,
    0
  ),
  2
)"),0.0)</f>
        <v>0</v>
      </c>
      <c r="I38" s="99">
        <f>IFERROR(__xludf.DUMMYFUNCTION("ROUND(
  IFERROR(
    SUM(
      FILTER(
        'Sprint 13'!T:T,
        ('Sprint 13'!E:E = ""Kae: Pimonrath Jaiyen"") *
        (LEFT('Sprint 13'!B:B,9) = ""DEVRDECOM"")
      )
    ) / 3600,
    0
  ),
  2
)"),0.0)</f>
        <v>0</v>
      </c>
      <c r="J38" s="99">
        <f>IFERROR(__xludf.DUMMYFUNCTION("ROUND(
  IFERROR(
    SUM(
      FILTER(
        'Sprint 13'!T:T,
        ('Sprint 13'!E:E = ""Mac: Jarupong Pawichpongkul"") *
        (LEFT('Sprint 13'!B:B,9) = ""DEVRDECOM"")
      )
    ) / 3600,
    0
  ),
  2
)"),0.0)</f>
        <v>0</v>
      </c>
      <c r="K38" s="99">
        <f>IFERROR(__xludf.DUMMYFUNCTION("ROUND(
  IFERROR(
    SUM(
      FILTER(
        'Sprint 13'!T:T,
        ('Sprint 13'!E:E = ""Nim : muthita munmueang"") *
        (LEFT('Sprint 13'!B:B,9) = ""DEVRDECOM"")
      )
    ) / 3600,
    0
  ),
  2
)"),0.0)</f>
        <v>0</v>
      </c>
      <c r="L38" s="99">
        <f>IFERROR(__xludf.DUMMYFUNCTION("ROUND(
  IFERROR(
    SUM(
      FILTER(
        'Sprint 13'!T:T,
        ('Sprint 13'!E:E = ""Moss : Kittapath Sangvikukit"") *
        (LEFT('Sprint 13'!B:B,9) = ""DEVRDECOM"")
      )
    ) / 3600,
    0
  ),
  2
)"),8.0)</f>
        <v>8</v>
      </c>
      <c r="M38" s="99">
        <f>IFERROR(__xludf.DUMMYFUNCTION("ROUND(
  IFERROR(
    SUM(
      FILTER(
        'Sprint 13'!T:T,
        ('Sprint 13'!E:E = ""Arm:Worawat Chotipongchoawalit"") *
        (LEFT('Sprint 13'!B:B,9) = ""DEVRDECOM"")
      )
    ) / 3600,
    0
  ),
  2
)"),4.0)</f>
        <v>4</v>
      </c>
    </row>
    <row r="39" ht="32.25" customHeight="1">
      <c r="A39" s="101" t="s">
        <v>4667</v>
      </c>
      <c r="B39" s="99">
        <f>IFERROR(__xludf.DUMMYFUNCTION("ROUND(
  IFERROR(
    SUM(
      FILTER(
        'Sprint 13'!T:T,
        ('Sprint 13'!E:E = ""Aek:Atiphat Nanthachitvanich"") *
        (LEFT('Sprint 13'!B:B,7) = ""DEVRDCT"")
      )
    ) / 3600,
    0
  ),
  2
)"),0.0)</f>
        <v>0</v>
      </c>
      <c r="C39" s="99">
        <f>IFERROR(__xludf.DUMMYFUNCTION("ROUND(
  IFERROR(
    SUM(
      FILTER(
        'Sprint 13'!T:T,
        ('Sprint 13'!E:E = ""Zan : Isarapong Bulan"") *
        (LEFT('Sprint 13'!B:B,7) = ""DEVRDCT"")
      )
    ) / 3600,
    0
  ),
  2
)"),0.0)</f>
        <v>0</v>
      </c>
      <c r="D39" s="99">
        <f>IFERROR(__xludf.DUMMYFUNCTION("ROUND(
  IFERROR(
    SUM(
      FILTER(
        'Sprint 13'!T:T,
        ('Sprint 13'!E:E = ""Aom: Pornsawan Polnyiem"") *
        (LEFT('Sprint 13'!B:B,7) = ""DEVRDCT"")
      )
    ) / 3600,
    0
  ),
  2
)"),0.0)</f>
        <v>0</v>
      </c>
      <c r="E39" s="99">
        <f>IFERROR(__xludf.DUMMYFUNCTION("ROUND(
  IFERROR(
    SUM(
      FILTER(
        'Sprint 13'!T:T,
        ('Sprint 13'!E:E = ""Jack: Warin Kesorn"") *
        (LEFT('Sprint 13'!B:B,7) = ""DEVRDCT"")
      )
    ) / 3600,
    0
  ),
  2
)"),27.0)</f>
        <v>27</v>
      </c>
      <c r="F39" s="99">
        <f>IFERROR(__xludf.DUMMYFUNCTION("ROUND(
  IFERROR(
    SUM(
      FILTER(
        'Sprint 13'!T:T,
        ('Sprint 13'!E:E = ""A:Phongthorn"") *
        (LEFT('Sprint 13'!B:B,7) = ""DEVRDCT"")
      )
    ) / 3600,
    0
  ),
  2
)"),0.0)</f>
        <v>0</v>
      </c>
      <c r="G39" s="99">
        <f>IFERROR(__xludf.DUMMYFUNCTION("ROUND(
  IFERROR(
    SUM(
      FILTER(
        'Sprint 13'!T:T,
        ('Sprint 13'!E:E = ""Art: Narupontp"") *
        (LEFT('Sprint 13'!B:B,7) = ""DEVRDCT"")
      )
    ) / 3600,
    0
  ),
  2
)"),0.0)</f>
        <v>0</v>
      </c>
      <c r="H39" s="99">
        <f>IFERROR(__xludf.DUMMYFUNCTION("ROUND(
  IFERROR(
    SUM(
      FILTER(
        'Sprint 13'!T:T,
        ('Sprint 13'!E:E = ""Mai:Sateta Abvanawong"") *
        (LEFT('Sprint 13'!B:B,7) = ""DEVRDCT"")
      )
    ) / 3600,
    0
  ),
  2
)"),0.0)</f>
        <v>0</v>
      </c>
      <c r="I39" s="99">
        <f>IFERROR(__xludf.DUMMYFUNCTION("ROUND(
  IFERROR(
    SUM(
      FILTER(
        'Sprint 13'!T:T,
        ('Sprint 13'!E:E = ""Kae: Pimonrath Jaiyen"") *
        (LEFT('Sprint 13'!B:B,7) = ""DEVRDCT"")
      )
    ) / 3600,
    0
  ),
  2
)"),0.0)</f>
        <v>0</v>
      </c>
      <c r="J39" s="99">
        <f>IFERROR(__xludf.DUMMYFUNCTION("ROUND(
  IFERROR(
    SUM(
      FILTER(
        'Sprint 13'!T:T,
        ('Sprint 13'!E:E = ""Mac: Jarupong Pawichpongkul"") *
        (LEFT('Sprint 13'!B:B,7) = ""DEVRDCT"")
      )
    ) / 3600,
    0
  ),
  2
)"),48.0)</f>
        <v>48</v>
      </c>
      <c r="K39" s="99">
        <f>IFERROR(__xludf.DUMMYFUNCTION("ROUND(
  IFERROR(
    SUM(
      FILTER(
        'Sprint 13'!T:T,
        ('Sprint 13'!E:E = ""Nim : muthita munmueang"") *
        (LEFT('Sprint 13'!B:B,7) = ""DEVRDCT"")
      )
    ) / 3600,
    0
  ),
  2
)"),0.0)</f>
        <v>0</v>
      </c>
      <c r="L39" s="99">
        <f>IFERROR(__xludf.DUMMYFUNCTION("ROUND(
  IFERROR(
    SUM(
      FILTER(
        'Sprint 13'!T:T,
        ('Sprint 13'!E:E = ""Moss : Kittapath Sangvikukit"") *
        (LEFT('Sprint 13'!B:B,7) = ""DEVRDCT"")
      )
    ) / 3600,
    0
  ),
  2
)"),8.0)</f>
        <v>8</v>
      </c>
      <c r="M39" s="99">
        <f>IFERROR(__xludf.DUMMYFUNCTION("ROUND(
  IFERROR(
    SUM(
      FILTER(
        'Sprint 13'!T:T,
        ('Sprint 13'!E:E = ""Arm:Worawat Chotipongchoawalit"") *
        (LEFT('Sprint 13'!B:B,7) = ""DEVRDCT"")
      )
    ) / 3600,
    0
  ),
  2
)"),8.0)</f>
        <v>8</v>
      </c>
    </row>
    <row r="40" ht="22.5" customHeight="1">
      <c r="A40" s="101" t="s">
        <v>4668</v>
      </c>
      <c r="B40" s="99">
        <f>IFERROR(__xludf.DUMMYFUNCTION("ROUND(
  IFERROR(
    SUM(
      FILTER(
        'Sprint 13'!T:T,
        ('Sprint 13'!E:E = ""Aek:Atiphat Nanthachitvanich"") *
        (LEFT('Sprint 13'!B:B,8) = ""DEVRDADJ"")
      )
    ) / 3600,
    0
  ),
  2
)"),0.0)</f>
        <v>0</v>
      </c>
      <c r="C40" s="99">
        <f>IFERROR(__xludf.DUMMYFUNCTION("ROUND(
  IFERROR(
    SUM(
      FILTER(
        'Sprint 13'!T:T,
        ('Sprint 13'!E:E = ""Zan : Isarapong Bulan"") *
        (LEFT('Sprint 13'!B:B,8) = ""DEVRDADJ"")
      )
    ) / 3600,
    0
  ),
  2
)"),0.0)</f>
        <v>0</v>
      </c>
      <c r="D40" s="99">
        <f>IFERROR(__xludf.DUMMYFUNCTION("ROUND(
  IFERROR(
    SUM(
      FILTER(
        'Sprint 13'!T:T,
        ('Sprint 13'!E:E = ""Aom: Pornsawan Polnyiem"") *
        (LEFT('Sprint 13'!B:B,8) = ""DEVRDADJ"")
      )
    ) / 3600,
    0
  ),
  2
)"),0.0)</f>
        <v>0</v>
      </c>
      <c r="E40" s="99">
        <f>IFERROR(__xludf.DUMMYFUNCTION("ROUND(
  IFERROR(
    SUM(
      FILTER(
        'Sprint 13'!T:T,
        ('Sprint 13'!E:E = ""Jack: Warin Kesorn"") *
        (LEFT('Sprint 13'!B:B,8) = ""DEVRDADJ"")
      )
    ) / 3600,
    0
  ),
  2
)"),0.0)</f>
        <v>0</v>
      </c>
      <c r="F40" s="99">
        <f>IFERROR(__xludf.DUMMYFUNCTION("ROUND(
  IFERROR(
    SUM(
      FILTER(
        'Sprint 13'!T:T,
        ('Sprint 13'!E:E = ""A:Phongthorn"") *
        (LEFT('Sprint 13'!B:B,8) = ""DEVRDADJ"")
      )
    ) / 3600,
    0
  ),
  2
)"),0.0)</f>
        <v>0</v>
      </c>
      <c r="G40" s="99">
        <f>IFERROR(__xludf.DUMMYFUNCTION("ROUND(
  IFERROR(
    SUM(
      FILTER(
        'Sprint 13'!T:T,
        ('Sprint 13'!E:E = ""Aek:Atiphat Nanthachitvanich"") *
        (LEFT('Sprint 13'!B:B,8) = ""DEVRDADJ"")
      )
    ) / 3600,
    0
  ),
  2
)"),0.0)</f>
        <v>0</v>
      </c>
      <c r="H40" s="99">
        <f>IFERROR(__xludf.DUMMYFUNCTION("ROUND(
  IFERROR(
    SUM(
      FILTER(
        'Sprint 13'!T:T,
        ('Sprint 13'!E:E = ""Mai:Sateta Abvanawong"") *
        (LEFT('Sprint 13'!B:B,8) = ""DEVRDADJ"")
      )
    ) / 3600,
    0
  ),
  2
)"),0.0)</f>
        <v>0</v>
      </c>
      <c r="I40" s="99">
        <f>IFERROR(__xludf.DUMMYFUNCTION("ROUND(
  IFERROR(
    SUM(
      FILTER(
        'Sprint 13'!T:T,
        ('Sprint 13'!E:E = ""Kae: Pimonrath Jaiyen"") *
        (LEFT('Sprint 13'!B:B,8) = ""DEVRDADJ"")
      )
    ) / 3600,
    0
  ),
  2
)"),0.0)</f>
        <v>0</v>
      </c>
      <c r="J40" s="99">
        <f>IFERROR(__xludf.DUMMYFUNCTION("ROUND(
  IFERROR(
    SUM(
      FILTER(
        'Sprint 13'!T:T,
        ('Sprint 13'!E:E = ""Mac: Jarupong Pawichpongkul"") *
        (LEFT('Sprint 13'!B:B,8) = ""DEVRDADJ"")
      )
    ) / 3600,
    0
  ),
  2
)"),0.0)</f>
        <v>0</v>
      </c>
      <c r="K40" s="99">
        <f>IFERROR(__xludf.DUMMYFUNCTION("ROUND(
  IFERROR(
    SUM(
      FILTER(
        'Sprint 13'!T:T,
        ('Sprint 13'!E:E = ""Aek:Atiphat Nanthachitvanich"") *
        (LEFT('Sprint 13'!B:B,8) = ""DEVRDADJ"")
      )
    ) / 3600,
    0
  ),
  2
)"),0.0)</f>
        <v>0</v>
      </c>
      <c r="L40" s="99">
        <f>IFERROR(__xludf.DUMMYFUNCTION("ROUND(
  IFERROR(
    SUM(
      FILTER(
        'Sprint 13'!T:T,
        ('Sprint 13'!E:E = ""Moss : Kittapath Sangvikukit"") *
        (LEFT('Sprint 13'!B:B,8) = ""DEVRDADJ"")
      )
    ) / 3600,
    0
  ),
  2
)"),0.0)</f>
        <v>0</v>
      </c>
      <c r="M40" s="99">
        <f>IFERROR(__xludf.DUMMYFUNCTION("ROUND(
  IFERROR(
    SUM(
      FILTER(
        'Sprint 13'!T:T,
        ('Sprint 13'!E:E = ""Arm:Worawat Chotipongchoawalit"") *
        (LEFT('Sprint 13'!B:B,8) = ""DEVRDADJ"")
      )
    ) / 3600,
    0
  ),
  2
)"),0.0)</f>
        <v>0</v>
      </c>
    </row>
    <row r="41">
      <c r="A41" s="101" t="s">
        <v>4669</v>
      </c>
      <c r="B41" s="101">
        <f>IFERROR(__xludf.DUMMYFUNCTION("ROUND(
  IFERROR(
    SUM(
      FILTER(
        'Sprint 13'!T:T,
        ('Sprint 13'!E:E = ""Aek:Atiphat Nanthachitvanich"") *
        (LEFT('Sprint 13'!B:B,5) = ""RDAPS"")
      )
    ) / 3600,
    0
  ),
  2
)"),0.0)</f>
        <v>0</v>
      </c>
      <c r="C41" s="99">
        <f>IFERROR(__xludf.DUMMYFUNCTION("ROUND(
  IFERROR(
    SUM(
      FILTER(
        'Sprint 13'!T:T,
        ('Sprint 13'!E:E = ""Zan : Isarapong Bulan"") *
        (LEFT('Sprint 13'!B:B,5) = ""RDAPS"")
      )
    ) / 3600,
    0
  ),
  2
)"),2.0)</f>
        <v>2</v>
      </c>
      <c r="D41" s="99">
        <f>IFERROR(__xludf.DUMMYFUNCTION("ROUND(
  IFERROR(
    SUM(
      FILTER(
        'Sprint 13'!T:T,
        ('Sprint 13'!E:E = ""Aom: Pornsawan Polnyiem"") *
        (LEFT('Sprint 13'!B:B,5) = ""RDAPS"")
      )
    ) / 3600,
    0
  ),
  2
)"),32.0)</f>
        <v>32</v>
      </c>
      <c r="E41" s="99">
        <f>IFERROR(__xludf.DUMMYFUNCTION("ROUND(
  IFERROR(
    SUM(
      FILTER(
        'Sprint 13'!T:T,
        ('Sprint 13'!E:E = ""Jack: Warin Kesorn"") *
        (LEFT('Sprint 13'!B:B,5) = ""RDAPS"")
      )
    ) / 3600,
    0
  ),
  2
)"),0.0)</f>
        <v>0</v>
      </c>
      <c r="F41" s="99">
        <f>IFERROR(__xludf.DUMMYFUNCTION("ROUND(
  IFERROR(
    SUM(
      FILTER(
        'Sprint 13'!T:T,
        ('Sprint 13'!E:E = ""A:Phongthorn"") *
        (LEFT('Sprint 13'!B:B,5) = ""RDAPS"")
      )
    ) / 3600,
    0
  ),
  2
)"),0.0)</f>
        <v>0</v>
      </c>
      <c r="G41" s="99">
        <f>IFERROR(__xludf.DUMMYFUNCTION("ROUND(
  IFERROR(
    SUM(
      FILTER(
        'Sprint 13'!T:T,
        ('Sprint 13'!E:E = ""Art: Narupontp"") *
        (LEFT('Sprint 13'!B:B,5) = ""RDAPS"")
      )
    ) / 3600,
    0
  ),
  2
)"),0.0)</f>
        <v>0</v>
      </c>
      <c r="H41" s="99">
        <f>IFERROR(__xludf.DUMMYFUNCTION("ROUND(
  IFERROR(
    SUM(
      FILTER(
        'Sprint 13'!T:T,
        ('Sprint 13'!E:E = ""Mai:Sateta Abvanawong"") *
        (LEFT('Sprint 13'!B:B,5) = ""RDAPS"")
      )
    ) / 3600,
    0
  ),
  2
)"),28.0)</f>
        <v>28</v>
      </c>
      <c r="I41" s="99">
        <f>IFERROR(__xludf.DUMMYFUNCTION("ROUND(
  IFERROR(
    SUM(
      FILTER(
        'Sprint 13'!T:T,
        ('Sprint 13'!E:E = ""Kae: Pimonrath Jaiyen"") *
        (LEFT('Sprint 13'!B:B,5) = ""RDAPS"")
      )
    ) / 3600,
    0
  ),
  2
)"),0.0)</f>
        <v>0</v>
      </c>
      <c r="J41" s="99">
        <f>IFERROR(__xludf.DUMMYFUNCTION("ROUND(
  IFERROR(
    SUM(
      FILTER(
        'Sprint 13'!T:T,
        ('Sprint 13'!E:E = ""Mac: Jarupong Pawichpongkul"") *
        (LEFT('Sprint 13'!B:B,5) = ""RDAPS"")
      )
    ) / 3600,
    0
  ),
  2
)"),3.0)</f>
        <v>3</v>
      </c>
      <c r="K41" s="99">
        <f>IFERROR(__xludf.DUMMYFUNCTION("ROUND(
  IFERROR(
    SUM(
      FILTER(
        'Sprint 13'!T:T,
        ('Sprint 13'!E:E = ""Nim : muthita munmueang"") *
        (LEFT('Sprint 13'!B:B,5) = ""RDAPS"")
      )
    ) / 3600,
    0
  ),
  2
)"),32.0)</f>
        <v>32</v>
      </c>
      <c r="L41" s="99">
        <f>IFERROR(__xludf.DUMMYFUNCTION("ROUND(
  IFERROR(
    SUM(
      FILTER(
        'Sprint 13'!T:T,
        ('Sprint 13'!E:E = ""Moss : Kittapath Sangvikukit"") *
        (LEFT('Sprint 13'!B:B,5) = ""RDAPS"")
      )
    ) / 3600,
    0
  ),
  2
)"),28.0)</f>
        <v>28</v>
      </c>
      <c r="M41" s="99">
        <f>IFERROR(__xludf.DUMMYFUNCTION("ROUND(
  IFERROR(
    SUM(
      FILTER(
        'Sprint 13'!T:T,
        ('Sprint 13'!E:E = ""Arm:Worawat Chotipongchoawalit"") *
        (LEFT('Sprint 13'!B:B,5) = ""RDAPS"")
      )
    ) / 3600,
    0
  ),
  2
)"),32.0)</f>
        <v>32</v>
      </c>
    </row>
    <row r="42" ht="21.0" customHeight="1">
      <c r="A42" s="101" t="s">
        <v>4670</v>
      </c>
      <c r="B42" s="101">
        <f>IFERROR(__xludf.DUMMYFUNCTION("ROUND(
  IFERROR(
    SUM(
      FILTER(
        'Sprint 13'!T:T,
        ('Sprint 13'!E:E = ""Aek:Atiphat Nanthachitvanich"") *
        (LEFT('Sprint 13'!B:B,8) = ""DEVRDSUP"")
      )
    ) / 3600,
    0
  ),
  2
)"),0.0)</f>
        <v>0</v>
      </c>
      <c r="C42" s="99">
        <f>IFERROR(__xludf.DUMMYFUNCTION("ROUND(
  IFERROR(
    SUM(
      FILTER(
        'Sprint 13'!T:T,
        ('Sprint 13'!E:E = ""Zan : Isarapong Bulan"") *
        (LEFT('Sprint 13'!B:B,8) = ""DEVRDSUP"")
      )
    ) / 3600,
    0
  ),
  2
)"),0.0)</f>
        <v>0</v>
      </c>
      <c r="D42" s="99">
        <f>IFERROR(__xludf.DUMMYFUNCTION("ROUND(
  IFERROR(
    SUM(
      FILTER(
        'Sprint 13'!T:T,
        ('Sprint 13'!E:E = ""Aom: Pornsawan Polnyiem"") *
        (LEFT('Sprint 13'!B:B,8) = ""DEVRDSUP"")
      )
    ) / 3600,
    0
  ),
  2
)"),0.5)</f>
        <v>0.5</v>
      </c>
      <c r="E42" s="99">
        <f>IFERROR(__xludf.DUMMYFUNCTION("ROUND(
  IFERROR(
    SUM(
      FILTER(
        'Sprint 13'!T:T,
        ('Sprint 13'!E:E = ""Jack: Warin Kesorn"") *
        (LEFT('Sprint 13'!B:B,8) = ""DEVRDSUP"")
      )
    ) / 3600,
    0
  ),
  2
)"),0.0)</f>
        <v>0</v>
      </c>
      <c r="F42" s="101">
        <f>IFERROR(__xludf.DUMMYFUNCTION("ROUND(
  IFERROR(
    SUM(
      FILTER(
        'Sprint 13'!T:T,
        ('Sprint 13'!E:E = ""A:Phongthorn"") *
        (LEFT('Sprint 13'!B:B,8) = ""DEVRDSUP"")
      )
    ) / 3600,
    0
  ),
  2
)"),4.0)</f>
        <v>4</v>
      </c>
      <c r="G42" s="99">
        <f>IFERROR(__xludf.DUMMYFUNCTION("ROUND(
  IFERROR(
    SUM(
      FILTER(
        'Sprint 13'!T:T,
        ('Sprint 13'!E:E = ""Art: Narupontp"") *
        (LEFT('Sprint 13'!B:B,8) = ""DEVRDSUP"")
      )
    ) / 3600,
    0
  ),
  2
)"),0.0)</f>
        <v>0</v>
      </c>
      <c r="H42" s="99">
        <f>IFERROR(__xludf.DUMMYFUNCTION("ROUND(
  IFERROR(
    SUM(
      FILTER(
        'Sprint 13'!T:T,
        ('Sprint 13'!E:E = ""Mai:Sateta Abvanawong"") *
        (LEFT('Sprint 13'!B:B,8) = ""DEVRDSUP"")
      )
    ) / 3600,
    0
  ),
  2
)"),0.0)</f>
        <v>0</v>
      </c>
      <c r="I42" s="99">
        <f>IFERROR(__xludf.DUMMYFUNCTION("ROUND(
  IFERROR(
    SUM(
      FILTER(
        'Sprint 13'!T:T,
        ('Sprint 13'!E:E = ""Kae: Pimonrath Jaiyen"") *
        (LEFT('Sprint 13'!B:B,8) = ""DEVRDSUP"")
      )
    ) / 3600,
    0
  ),
  2
)"),0.0)</f>
        <v>0</v>
      </c>
      <c r="J42" s="99">
        <f>IFERROR(__xludf.DUMMYFUNCTION("ROUND(
  IFERROR(
    SUM(
      FILTER(
        'Sprint 13'!T:T,
        ('Sprint 13'!E:E = ""Mac: Jarupong Pawichpongkul"") *
        (LEFT('Sprint 13'!B:B,8) = ""DEVRDSUP"")
      )
    ) / 3600,
    0
  ),
  2
)"),0.0)</f>
        <v>0</v>
      </c>
      <c r="K42" s="99">
        <f>IFERROR(__xludf.DUMMYFUNCTION("ROUND(
  IFERROR(
    SUM(
      FILTER(
        'Sprint 13'!T:T,
        ('Sprint 13'!E:E = ""Nim : muthita munmueang"") *
        (LEFT('Sprint 13'!B:B,8) = ""DEVRDSUP"")
      )
    ) / 3600,
    0
  ),
  2
)"),0.0)</f>
        <v>0</v>
      </c>
      <c r="L42" s="99">
        <f>IFERROR(__xludf.DUMMYFUNCTION("ROUND(
  IFERROR(
    SUM(
      FILTER(
        'Sprint 13'!T:T,
        ('Sprint 13'!E:E = ""Moss : Kittapath Sangvikukit"") *
        (LEFT('Sprint 13'!B:B,8) = ""DEVRDSUP"")
      )
    ) / 3600,
    0
  ),
  2
)"),0.0)</f>
        <v>0</v>
      </c>
      <c r="M42" s="99">
        <f>IFERROR(__xludf.DUMMYFUNCTION("ROUND(
  IFERROR(
    SUM(
      FILTER(
        'Sprint 13'!T:T,
        ('Sprint 13'!E:E = ""Arm:Worawat Chotipongchoawalit"") *
        (LEFT('Sprint 13'!B:B,8) = ""DEVRDSUP"")
      )
    ) / 3600,
    0
  ),
  2
)"),0.0)</f>
        <v>0</v>
      </c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</sheetData>
  <mergeCells count="6">
    <mergeCell ref="B25:E25"/>
    <mergeCell ref="F25:H25"/>
    <mergeCell ref="I25:M25"/>
    <mergeCell ref="B35:E35"/>
    <mergeCell ref="F35:H35"/>
    <mergeCell ref="I35:M3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31.38"/>
    <col customWidth="1" min="15" max="15" width="18.13"/>
    <col customWidth="1" min="19" max="21" width="17.5"/>
    <col customWidth="1" min="22" max="22" width="21.38"/>
    <col customWidth="1" min="23" max="25" width="17.5"/>
    <col customWidth="1" min="26" max="26" width="21.25"/>
    <col customWidth="1" min="27" max="27" width="17.5"/>
    <col customWidth="1" min="28" max="28" width="21.25"/>
    <col customWidth="1" min="29" max="29" width="20.13"/>
    <col customWidth="1" min="30" max="30" width="21.25"/>
    <col customWidth="1" min="31" max="31" width="20.13"/>
    <col customWidth="1" min="32" max="32" width="21.25"/>
    <col customWidth="1" min="33" max="33" width="20.13"/>
    <col customWidth="1" min="35" max="35" width="17.5"/>
    <col customWidth="1" min="36" max="36" width="21.25"/>
    <col customWidth="1" min="37" max="37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274</v>
      </c>
      <c r="T1" s="102" t="s">
        <v>275</v>
      </c>
      <c r="U1" s="149" t="s">
        <v>3245</v>
      </c>
      <c r="V1" s="115" t="s">
        <v>6483</v>
      </c>
      <c r="W1" s="115" t="s">
        <v>6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88"/>
      <c r="AU1" s="88"/>
    </row>
    <row r="2">
      <c r="A2" s="102" t="s">
        <v>310</v>
      </c>
      <c r="B2" s="102" t="s">
        <v>6484</v>
      </c>
      <c r="C2" s="229" t="s">
        <v>6485</v>
      </c>
      <c r="D2" s="102" t="s">
        <v>6486</v>
      </c>
      <c r="E2" s="102" t="s">
        <v>282</v>
      </c>
      <c r="F2" s="102" t="s">
        <v>283</v>
      </c>
      <c r="G2" s="102" t="s">
        <v>316</v>
      </c>
      <c r="H2" s="102" t="s">
        <v>317</v>
      </c>
      <c r="I2" s="102" t="s">
        <v>284</v>
      </c>
      <c r="J2" s="102" t="s">
        <v>26</v>
      </c>
      <c r="L2" s="229" t="s">
        <v>6487</v>
      </c>
      <c r="M2" s="229" t="s">
        <v>6488</v>
      </c>
      <c r="O2" s="230"/>
      <c r="P2" s="102" t="s">
        <v>481</v>
      </c>
      <c r="Q2" s="102" t="s">
        <v>4656</v>
      </c>
      <c r="T2" s="230"/>
      <c r="U2" s="230" t="str">
        <f>IF(ISNUMBER(MATCH(B2, 'Sprint 12'!B:B, 0)), "มาจาก Sprint 12", "")</f>
        <v/>
      </c>
      <c r="V2" s="230" t="str">
        <f t="array" ref="V2">IF(ISNUMBER(MATCH(B2, 'Sprint 12'!B:B, 0)), INDEX('Sprint 12'!J:J, MATCH(B2, 'Sprint 12'!B:B, 0)), "")</f>
        <v/>
      </c>
      <c r="W2" s="230"/>
      <c r="X2" s="102" t="s">
        <v>4919</v>
      </c>
    </row>
    <row r="3">
      <c r="A3" s="102" t="s">
        <v>276</v>
      </c>
      <c r="B3" s="102" t="s">
        <v>6489</v>
      </c>
      <c r="C3" s="229" t="s">
        <v>6490</v>
      </c>
      <c r="D3" s="102" t="s">
        <v>6491</v>
      </c>
      <c r="G3" s="102" t="s">
        <v>316</v>
      </c>
      <c r="H3" s="102" t="s">
        <v>317</v>
      </c>
      <c r="I3" s="102" t="s">
        <v>284</v>
      </c>
      <c r="J3" s="102" t="s">
        <v>63</v>
      </c>
      <c r="L3" s="229" t="s">
        <v>6492</v>
      </c>
      <c r="M3" s="229" t="s">
        <v>6492</v>
      </c>
      <c r="O3" s="230"/>
      <c r="T3" s="230"/>
      <c r="U3" s="230" t="str">
        <f>IF(ISNUMBER(MATCH(B3, 'Sprint 12'!B:B, 0)), "มาจาก Sprint 12", "")</f>
        <v/>
      </c>
      <c r="V3" s="230" t="str">
        <f t="array" ref="V3">IF(ISNUMBER(MATCH(B3, 'Sprint 12'!B:B, 0)), INDEX('Sprint 12'!J:J, MATCH(B3, 'Sprint 12'!B:B, 0)), "")</f>
        <v/>
      </c>
      <c r="W3" s="230"/>
      <c r="X3" s="102" t="s">
        <v>4919</v>
      </c>
    </row>
    <row r="4">
      <c r="A4" s="102" t="s">
        <v>310</v>
      </c>
      <c r="B4" s="102" t="s">
        <v>6493</v>
      </c>
      <c r="C4" s="229" t="s">
        <v>6494</v>
      </c>
      <c r="D4" s="102" t="s">
        <v>6495</v>
      </c>
      <c r="E4" s="102" t="s">
        <v>282</v>
      </c>
      <c r="F4" s="102" t="s">
        <v>283</v>
      </c>
      <c r="G4" s="102" t="s">
        <v>316</v>
      </c>
      <c r="H4" s="102" t="s">
        <v>317</v>
      </c>
      <c r="I4" s="102" t="s">
        <v>284</v>
      </c>
      <c r="J4" s="102" t="s">
        <v>26</v>
      </c>
      <c r="L4" s="229" t="s">
        <v>6496</v>
      </c>
      <c r="M4" s="229" t="s">
        <v>6497</v>
      </c>
      <c r="O4" s="230"/>
      <c r="P4" s="102" t="s">
        <v>4656</v>
      </c>
      <c r="Q4" s="102" t="s">
        <v>368</v>
      </c>
      <c r="T4" s="102">
        <v>1800.0</v>
      </c>
      <c r="U4" s="230" t="str">
        <f>IF(ISNUMBER(MATCH(B4, 'Sprint 12'!B:B, 0)), "มาจาก Sprint 12", "")</f>
        <v/>
      </c>
      <c r="V4" s="230" t="str">
        <f t="array" ref="V4">IF(ISNUMBER(MATCH(B4, 'Sprint 12'!B:B, 0)), INDEX('Sprint 12'!J:J, MATCH(B4, 'Sprint 12'!B:B, 0)), "")</f>
        <v/>
      </c>
      <c r="W4" s="102"/>
      <c r="X4" s="102" t="s">
        <v>4919</v>
      </c>
    </row>
    <row r="5">
      <c r="A5" s="102" t="s">
        <v>310</v>
      </c>
      <c r="B5" s="102" t="s">
        <v>5808</v>
      </c>
      <c r="C5" s="229" t="s">
        <v>5809</v>
      </c>
      <c r="D5" s="102" t="s">
        <v>5810</v>
      </c>
      <c r="E5" s="102" t="s">
        <v>282</v>
      </c>
      <c r="F5" s="102" t="s">
        <v>283</v>
      </c>
      <c r="G5" s="102" t="s">
        <v>282</v>
      </c>
      <c r="H5" s="102" t="s">
        <v>283</v>
      </c>
      <c r="I5" s="102" t="s">
        <v>284</v>
      </c>
      <c r="J5" s="102" t="s">
        <v>454</v>
      </c>
      <c r="L5" s="229" t="s">
        <v>5811</v>
      </c>
      <c r="M5" s="229" t="s">
        <v>6498</v>
      </c>
      <c r="O5" s="102">
        <v>13.0</v>
      </c>
      <c r="P5" s="102"/>
      <c r="T5" s="102">
        <v>115200.0</v>
      </c>
      <c r="U5" s="230" t="str">
        <f>IF(ISNUMBER(MATCH(B5, 'Sprint 12'!B:B, 0)), "มาจาก Sprint 12", "")</f>
        <v/>
      </c>
      <c r="V5" s="230" t="str">
        <f t="array" ref="V5">IF(ISNUMBER(MATCH(B5, 'Sprint 12'!B:B, 0)), INDEX('Sprint 12'!J:J, MATCH(B5, 'Sprint 12'!B:B, 0)), "")</f>
        <v/>
      </c>
      <c r="W5" s="102"/>
      <c r="X5" s="102" t="s">
        <v>4919</v>
      </c>
    </row>
    <row r="6">
      <c r="A6" s="102" t="s">
        <v>1465</v>
      </c>
      <c r="B6" s="102" t="s">
        <v>3241</v>
      </c>
      <c r="C6" s="229" t="s">
        <v>3242</v>
      </c>
      <c r="D6" s="102" t="s">
        <v>3243</v>
      </c>
      <c r="E6" s="102"/>
      <c r="F6" s="102"/>
      <c r="G6" s="102" t="s">
        <v>521</v>
      </c>
      <c r="H6" s="102" t="s">
        <v>522</v>
      </c>
      <c r="I6" s="102" t="s">
        <v>284</v>
      </c>
      <c r="J6" s="102" t="s">
        <v>63</v>
      </c>
      <c r="L6" s="229" t="s">
        <v>3244</v>
      </c>
      <c r="M6" s="229" t="s">
        <v>6140</v>
      </c>
      <c r="O6" s="230"/>
      <c r="T6" s="230"/>
      <c r="U6" s="230" t="str">
        <f>IF(ISNUMBER(MATCH(B6, 'Sprint 12'!B:B, 0)), "มาจาก Sprint 12", "")</f>
        <v/>
      </c>
      <c r="V6" s="230" t="str">
        <f t="array" ref="V6">IF(ISNUMBER(MATCH(B6, 'Sprint 12'!B:B, 0)), INDEX('Sprint 12'!J:J, MATCH(B6, 'Sprint 12'!B:B, 0)), "")</f>
        <v/>
      </c>
      <c r="W6" s="230"/>
      <c r="X6" s="102" t="s">
        <v>2196</v>
      </c>
      <c r="Y6" s="102" t="s">
        <v>2185</v>
      </c>
    </row>
    <row r="7">
      <c r="A7" s="102" t="s">
        <v>310</v>
      </c>
      <c r="B7" s="102" t="s">
        <v>6499</v>
      </c>
      <c r="C7" s="229" t="s">
        <v>6500</v>
      </c>
      <c r="D7" s="102" t="s">
        <v>6501</v>
      </c>
      <c r="E7" s="102" t="s">
        <v>513</v>
      </c>
      <c r="F7" s="102" t="s">
        <v>514</v>
      </c>
      <c r="G7" s="102" t="s">
        <v>513</v>
      </c>
      <c r="H7" s="102" t="s">
        <v>514</v>
      </c>
      <c r="I7" s="102" t="s">
        <v>284</v>
      </c>
      <c r="J7" s="102" t="s">
        <v>26</v>
      </c>
      <c r="L7" s="229" t="s">
        <v>6502</v>
      </c>
      <c r="M7" s="229" t="s">
        <v>6503</v>
      </c>
      <c r="N7" s="229" t="s">
        <v>4948</v>
      </c>
      <c r="O7" s="102">
        <v>1.0</v>
      </c>
      <c r="P7" s="102" t="s">
        <v>593</v>
      </c>
      <c r="T7" s="102">
        <v>7200.0</v>
      </c>
      <c r="U7" s="230" t="str">
        <f>IF(ISNUMBER(MATCH(B7, 'Sprint 12'!B:B, 0)), "มาจาก Sprint 12", "")</f>
        <v/>
      </c>
      <c r="V7" s="230" t="str">
        <f t="array" ref="V7">IF(ISNUMBER(MATCH(B7, 'Sprint 12'!B:B, 0)), INDEX('Sprint 12'!J:J, MATCH(B7, 'Sprint 12'!B:B, 0)), "")</f>
        <v/>
      </c>
      <c r="W7" s="102"/>
      <c r="X7" s="102" t="s">
        <v>6504</v>
      </c>
      <c r="Y7" s="102"/>
    </row>
    <row r="8">
      <c r="A8" s="102" t="s">
        <v>310</v>
      </c>
      <c r="B8" s="102" t="s">
        <v>5817</v>
      </c>
      <c r="C8" s="229" t="s">
        <v>5818</v>
      </c>
      <c r="D8" s="102" t="s">
        <v>5819</v>
      </c>
      <c r="E8" s="102" t="s">
        <v>495</v>
      </c>
      <c r="F8" s="102" t="s">
        <v>496</v>
      </c>
      <c r="G8" s="102" t="s">
        <v>353</v>
      </c>
      <c r="H8" s="102" t="s">
        <v>354</v>
      </c>
      <c r="I8" s="102" t="s">
        <v>284</v>
      </c>
      <c r="J8" s="102" t="s">
        <v>454</v>
      </c>
      <c r="L8" s="229" t="s">
        <v>5820</v>
      </c>
      <c r="M8" s="229" t="s">
        <v>6505</v>
      </c>
      <c r="O8" s="102">
        <v>3.0</v>
      </c>
      <c r="P8" s="102"/>
      <c r="T8" s="102">
        <v>28800.0</v>
      </c>
      <c r="U8" s="230" t="str">
        <f>IF(ISNUMBER(MATCH(B8, 'Sprint 12'!B:B, 0)), "มาจาก Sprint 12", "")</f>
        <v/>
      </c>
      <c r="V8" s="230" t="str">
        <f t="array" ref="V8">IF(ISNUMBER(MATCH(B8, 'Sprint 12'!B:B, 0)), INDEX('Sprint 12'!J:J, MATCH(B8, 'Sprint 12'!B:B, 0)), "")</f>
        <v/>
      </c>
      <c r="W8" s="102"/>
      <c r="X8" s="102" t="s">
        <v>4919</v>
      </c>
    </row>
    <row r="9">
      <c r="A9" s="102" t="s">
        <v>276</v>
      </c>
      <c r="B9" s="102" t="s">
        <v>5821</v>
      </c>
      <c r="C9" s="229" t="s">
        <v>5822</v>
      </c>
      <c r="D9" s="102" t="s">
        <v>5823</v>
      </c>
      <c r="E9" s="102"/>
      <c r="F9" s="102"/>
      <c r="G9" s="102" t="s">
        <v>353</v>
      </c>
      <c r="H9" s="102" t="s">
        <v>354</v>
      </c>
      <c r="I9" s="102" t="s">
        <v>284</v>
      </c>
      <c r="J9" s="102" t="s">
        <v>63</v>
      </c>
      <c r="L9" s="229" t="s">
        <v>5824</v>
      </c>
      <c r="M9" s="229" t="s">
        <v>5824</v>
      </c>
      <c r="N9" s="102"/>
      <c r="O9" s="102"/>
      <c r="P9" s="102"/>
      <c r="T9" s="102"/>
      <c r="U9" s="230" t="str">
        <f>IF(ISNUMBER(MATCH(B9, 'Sprint 12'!B:B, 0)), "มาจาก Sprint 12", "")</f>
        <v/>
      </c>
      <c r="V9" s="230" t="str">
        <f t="array" ref="V9">IF(ISNUMBER(MATCH(B9, 'Sprint 12'!B:B, 0)), INDEX('Sprint 12'!J:J, MATCH(B9, 'Sprint 12'!B:B, 0)), "")</f>
        <v/>
      </c>
      <c r="W9" s="102"/>
      <c r="X9" s="102" t="s">
        <v>4919</v>
      </c>
    </row>
    <row r="10">
      <c r="A10" s="102" t="s">
        <v>310</v>
      </c>
      <c r="B10" s="102" t="s">
        <v>5825</v>
      </c>
      <c r="C10" s="229" t="s">
        <v>5826</v>
      </c>
      <c r="D10" s="102" t="s">
        <v>5827</v>
      </c>
      <c r="E10" s="102" t="s">
        <v>495</v>
      </c>
      <c r="F10" s="102" t="s">
        <v>496</v>
      </c>
      <c r="G10" s="102" t="s">
        <v>353</v>
      </c>
      <c r="H10" s="102" t="s">
        <v>354</v>
      </c>
      <c r="I10" s="102" t="s">
        <v>284</v>
      </c>
      <c r="J10" s="102" t="s">
        <v>34</v>
      </c>
      <c r="L10" s="229" t="s">
        <v>5828</v>
      </c>
      <c r="M10" s="229" t="s">
        <v>6505</v>
      </c>
      <c r="N10" s="229" t="s">
        <v>4948</v>
      </c>
      <c r="O10" s="102">
        <v>3.0</v>
      </c>
      <c r="T10" s="102">
        <v>28800.0</v>
      </c>
      <c r="U10" s="230" t="str">
        <f>IF(ISNUMBER(MATCH(B10, 'Sprint 12'!B:B, 0)), "มาจาก Sprint 12", "")</f>
        <v/>
      </c>
      <c r="V10" s="230" t="str">
        <f t="array" ref="V10">IF(ISNUMBER(MATCH(B10, 'Sprint 12'!B:B, 0)), INDEX('Sprint 12'!J:J, MATCH(B10, 'Sprint 12'!B:B, 0)), "")</f>
        <v/>
      </c>
      <c r="W10" s="102"/>
      <c r="X10" s="102" t="s">
        <v>4919</v>
      </c>
    </row>
    <row r="11">
      <c r="A11" s="102" t="s">
        <v>332</v>
      </c>
      <c r="B11" s="102" t="s">
        <v>6506</v>
      </c>
      <c r="C11" s="229" t="s">
        <v>6507</v>
      </c>
      <c r="D11" s="102" t="s">
        <v>6508</v>
      </c>
      <c r="E11" s="102" t="s">
        <v>556</v>
      </c>
      <c r="F11" s="102" t="s">
        <v>557</v>
      </c>
      <c r="G11" s="102" t="s">
        <v>353</v>
      </c>
      <c r="H11" s="102" t="s">
        <v>354</v>
      </c>
      <c r="I11" s="102" t="s">
        <v>284</v>
      </c>
      <c r="J11" s="102" t="s">
        <v>336</v>
      </c>
      <c r="L11" s="229" t="s">
        <v>6509</v>
      </c>
      <c r="M11" s="229" t="s">
        <v>6510</v>
      </c>
      <c r="O11" s="230"/>
      <c r="P11" s="102" t="s">
        <v>593</v>
      </c>
      <c r="T11" s="230"/>
      <c r="U11" s="230" t="str">
        <f>IF(ISNUMBER(MATCH(B11, 'Sprint 12'!B:B, 0)), "มาจาก Sprint 12", "")</f>
        <v/>
      </c>
      <c r="V11" s="230" t="str">
        <f t="array" ref="V11">IF(ISNUMBER(MATCH(B11, 'Sprint 12'!B:B, 0)), INDEX('Sprint 12'!J:J, MATCH(B11, 'Sprint 12'!B:B, 0)), "")</f>
        <v/>
      </c>
      <c r="W11" s="230"/>
      <c r="X11" s="102" t="s">
        <v>4919</v>
      </c>
    </row>
    <row r="12">
      <c r="A12" s="102" t="s">
        <v>276</v>
      </c>
      <c r="B12" s="102" t="s">
        <v>6154</v>
      </c>
      <c r="C12" s="229" t="s">
        <v>6155</v>
      </c>
      <c r="D12" s="102" t="s">
        <v>1567</v>
      </c>
      <c r="E12" s="102" t="s">
        <v>391</v>
      </c>
      <c r="F12" s="102" t="s">
        <v>392</v>
      </c>
      <c r="G12" s="102" t="s">
        <v>391</v>
      </c>
      <c r="H12" s="102" t="s">
        <v>392</v>
      </c>
      <c r="I12" s="102" t="s">
        <v>284</v>
      </c>
      <c r="J12" s="102" t="s">
        <v>34</v>
      </c>
      <c r="L12" s="229" t="s">
        <v>6156</v>
      </c>
      <c r="M12" s="229" t="s">
        <v>6156</v>
      </c>
      <c r="O12" s="102"/>
      <c r="P12" s="102"/>
      <c r="Q12" s="102"/>
      <c r="T12" s="102"/>
      <c r="U12" s="230" t="str">
        <f>IF(ISNUMBER(MATCH(B12, 'Sprint 12'!B:B, 0)), "มาจาก Sprint 12", "")</f>
        <v/>
      </c>
      <c r="V12" s="230" t="str">
        <f t="array" ref="V12">IF(ISNUMBER(MATCH(B12, 'Sprint 12'!B:B, 0)), INDEX('Sprint 12'!J:J, MATCH(B12, 'Sprint 12'!B:B, 0)), "")</f>
        <v/>
      </c>
      <c r="W12" s="102"/>
      <c r="X12" s="102" t="s">
        <v>4954</v>
      </c>
      <c r="Y12" s="102" t="s">
        <v>4919</v>
      </c>
    </row>
    <row r="13">
      <c r="A13" s="102" t="s">
        <v>276</v>
      </c>
      <c r="B13" s="102" t="s">
        <v>6511</v>
      </c>
      <c r="C13" s="229" t="s">
        <v>6512</v>
      </c>
      <c r="D13" s="102" t="s">
        <v>6513</v>
      </c>
      <c r="E13" s="102" t="s">
        <v>391</v>
      </c>
      <c r="F13" s="102" t="s">
        <v>392</v>
      </c>
      <c r="G13" s="102" t="s">
        <v>391</v>
      </c>
      <c r="H13" s="102" t="s">
        <v>392</v>
      </c>
      <c r="I13" s="102" t="s">
        <v>284</v>
      </c>
      <c r="J13" s="102" t="s">
        <v>26</v>
      </c>
      <c r="L13" s="229" t="s">
        <v>6514</v>
      </c>
      <c r="M13" s="229" t="s">
        <v>6515</v>
      </c>
      <c r="N13" s="102"/>
      <c r="O13" s="102"/>
      <c r="P13" s="102"/>
      <c r="Q13" s="102"/>
      <c r="T13" s="102"/>
      <c r="U13" s="230" t="str">
        <f>IF(ISNUMBER(MATCH(B13, 'Sprint 12'!B:B, 0)), "มาจาก Sprint 12", "")</f>
        <v/>
      </c>
      <c r="V13" s="230" t="str">
        <f t="array" ref="V13">IF(ISNUMBER(MATCH(B13, 'Sprint 12'!B:B, 0)), INDEX('Sprint 12'!J:J, MATCH(B13, 'Sprint 12'!B:B, 0)), "")</f>
        <v/>
      </c>
      <c r="W13" s="102"/>
      <c r="X13" s="102" t="s">
        <v>4954</v>
      </c>
      <c r="Y13" s="102" t="s">
        <v>4919</v>
      </c>
    </row>
    <row r="14">
      <c r="A14" s="102" t="s">
        <v>310</v>
      </c>
      <c r="B14" s="102" t="s">
        <v>6516</v>
      </c>
      <c r="C14" s="229" t="s">
        <v>6517</v>
      </c>
      <c r="D14" s="102" t="s">
        <v>6518</v>
      </c>
      <c r="E14" s="102" t="s">
        <v>513</v>
      </c>
      <c r="F14" s="102" t="s">
        <v>514</v>
      </c>
      <c r="G14" s="102" t="s">
        <v>513</v>
      </c>
      <c r="H14" s="102" t="s">
        <v>514</v>
      </c>
      <c r="I14" s="102" t="s">
        <v>284</v>
      </c>
      <c r="J14" s="102" t="s">
        <v>26</v>
      </c>
      <c r="L14" s="229" t="s">
        <v>6519</v>
      </c>
      <c r="M14" s="229" t="s">
        <v>6520</v>
      </c>
      <c r="N14" s="229" t="s">
        <v>6176</v>
      </c>
      <c r="O14" s="102">
        <v>2.0</v>
      </c>
      <c r="P14" s="102" t="s">
        <v>593</v>
      </c>
      <c r="T14" s="102">
        <v>7200.0</v>
      </c>
      <c r="U14" s="230" t="str">
        <f>IF(ISNUMBER(MATCH(B14, 'Sprint 12'!B:B, 0)), "มาจาก Sprint 12", "")</f>
        <v/>
      </c>
      <c r="V14" s="230" t="str">
        <f t="array" ref="V14">IF(ISNUMBER(MATCH(B14, 'Sprint 12'!B:B, 0)), INDEX('Sprint 12'!J:J, MATCH(B14, 'Sprint 12'!B:B, 0)), "")</f>
        <v/>
      </c>
      <c r="W14" s="102"/>
      <c r="X14" s="102" t="s">
        <v>6504</v>
      </c>
    </row>
    <row r="15">
      <c r="A15" s="102" t="s">
        <v>276</v>
      </c>
      <c r="B15" s="102" t="s">
        <v>6167</v>
      </c>
      <c r="C15" s="229" t="s">
        <v>6168</v>
      </c>
      <c r="D15" s="102" t="s">
        <v>5850</v>
      </c>
      <c r="E15" s="102" t="s">
        <v>3288</v>
      </c>
      <c r="F15" s="102" t="s">
        <v>3289</v>
      </c>
      <c r="G15" s="102" t="s">
        <v>3288</v>
      </c>
      <c r="H15" s="102" t="s">
        <v>3289</v>
      </c>
      <c r="I15" s="102" t="s">
        <v>284</v>
      </c>
      <c r="J15" s="102" t="s">
        <v>26</v>
      </c>
      <c r="L15" s="229" t="s">
        <v>6169</v>
      </c>
      <c r="M15" s="229" t="s">
        <v>6170</v>
      </c>
      <c r="N15" s="102"/>
      <c r="O15" s="102"/>
      <c r="P15" s="102"/>
      <c r="Q15" s="102"/>
      <c r="T15" s="230"/>
      <c r="U15" s="230" t="str">
        <f>IF(ISNUMBER(MATCH(B15, 'Sprint 12'!B:B, 0)), "มาจาก Sprint 12", "")</f>
        <v/>
      </c>
      <c r="V15" s="230" t="str">
        <f t="array" ref="V15">IF(ISNUMBER(MATCH(B15, 'Sprint 12'!B:B, 0)), INDEX('Sprint 12'!J:J, MATCH(B15, 'Sprint 12'!B:B, 0)), "")</f>
        <v/>
      </c>
      <c r="W15" s="230"/>
      <c r="X15" s="102" t="s">
        <v>4919</v>
      </c>
    </row>
    <row r="16">
      <c r="A16" s="102" t="s">
        <v>4410</v>
      </c>
      <c r="B16" s="102" t="s">
        <v>6171</v>
      </c>
      <c r="C16" s="229" t="s">
        <v>6172</v>
      </c>
      <c r="D16" s="102" t="s">
        <v>6173</v>
      </c>
      <c r="E16" s="102" t="s">
        <v>556</v>
      </c>
      <c r="F16" s="102" t="s">
        <v>557</v>
      </c>
      <c r="G16" s="102" t="s">
        <v>556</v>
      </c>
      <c r="H16" s="102" t="s">
        <v>557</v>
      </c>
      <c r="I16" s="102" t="s">
        <v>284</v>
      </c>
      <c r="J16" s="102" t="s">
        <v>454</v>
      </c>
      <c r="L16" s="229" t="s">
        <v>6174</v>
      </c>
      <c r="M16" s="229" t="s">
        <v>6521</v>
      </c>
      <c r="N16" s="229" t="s">
        <v>6176</v>
      </c>
      <c r="O16" s="102">
        <v>1.0</v>
      </c>
      <c r="P16" s="102" t="s">
        <v>593</v>
      </c>
      <c r="Q16" s="102" t="s">
        <v>504</v>
      </c>
      <c r="T16" s="102">
        <v>7200.0</v>
      </c>
      <c r="U16" s="230" t="str">
        <f>IF(ISNUMBER(MATCH(B16, 'Sprint 12'!B:B, 0)), "มาจาก Sprint 12", "")</f>
        <v/>
      </c>
      <c r="V16" s="230" t="str">
        <f t="array" ref="V16">IF(ISNUMBER(MATCH(B16, 'Sprint 12'!B:B, 0)), INDEX('Sprint 12'!J:J, MATCH(B16, 'Sprint 12'!B:B, 0)), "")</f>
        <v/>
      </c>
      <c r="W16" s="102"/>
      <c r="X16" s="102" t="s">
        <v>4919</v>
      </c>
    </row>
    <row r="17">
      <c r="A17" s="102" t="s">
        <v>310</v>
      </c>
      <c r="B17" s="102" t="s">
        <v>6522</v>
      </c>
      <c r="C17" s="229" t="s">
        <v>6523</v>
      </c>
      <c r="D17" s="102" t="s">
        <v>6524</v>
      </c>
      <c r="E17" s="102" t="s">
        <v>564</v>
      </c>
      <c r="F17" s="102" t="s">
        <v>565</v>
      </c>
      <c r="G17" s="102" t="s">
        <v>353</v>
      </c>
      <c r="H17" s="102" t="s">
        <v>354</v>
      </c>
      <c r="I17" s="102" t="s">
        <v>284</v>
      </c>
      <c r="J17" s="102" t="s">
        <v>26</v>
      </c>
      <c r="L17" s="229" t="s">
        <v>6525</v>
      </c>
      <c r="M17" s="229" t="s">
        <v>6526</v>
      </c>
      <c r="N17" s="102"/>
      <c r="O17" s="102">
        <v>1.0</v>
      </c>
      <c r="P17" s="102" t="s">
        <v>593</v>
      </c>
      <c r="Q17" s="102" t="s">
        <v>6527</v>
      </c>
      <c r="T17" s="102">
        <v>3600.0</v>
      </c>
      <c r="U17" s="230" t="str">
        <f>IF(ISNUMBER(MATCH(B17, 'Sprint 12'!B:B, 0)), "มาจาก Sprint 12", "")</f>
        <v/>
      </c>
      <c r="V17" s="230" t="str">
        <f t="array" ref="V17">IF(ISNUMBER(MATCH(B17, 'Sprint 12'!B:B, 0)), INDEX('Sprint 12'!J:J, MATCH(B17, 'Sprint 12'!B:B, 0)), "")</f>
        <v/>
      </c>
      <c r="W17" s="102"/>
      <c r="X17" s="102" t="s">
        <v>4919</v>
      </c>
    </row>
    <row r="18">
      <c r="A18" s="102" t="s">
        <v>310</v>
      </c>
      <c r="B18" s="102" t="s">
        <v>6528</v>
      </c>
      <c r="C18" s="229" t="s">
        <v>6529</v>
      </c>
      <c r="D18" s="102" t="s">
        <v>6530</v>
      </c>
      <c r="E18" s="102" t="s">
        <v>513</v>
      </c>
      <c r="F18" s="102" t="s">
        <v>514</v>
      </c>
      <c r="G18" s="102" t="s">
        <v>513</v>
      </c>
      <c r="H18" s="102" t="s">
        <v>514</v>
      </c>
      <c r="I18" s="102" t="s">
        <v>284</v>
      </c>
      <c r="J18" s="102" t="s">
        <v>26</v>
      </c>
      <c r="L18" s="229" t="s">
        <v>6531</v>
      </c>
      <c r="M18" s="229" t="s">
        <v>6532</v>
      </c>
      <c r="N18" s="229" t="s">
        <v>5869</v>
      </c>
      <c r="O18" s="102">
        <v>1.0</v>
      </c>
      <c r="P18" s="102" t="s">
        <v>5628</v>
      </c>
      <c r="Q18" s="102" t="s">
        <v>593</v>
      </c>
      <c r="T18" s="102">
        <v>7200.0</v>
      </c>
      <c r="U18" s="230" t="str">
        <f>IF(ISNUMBER(MATCH(B18, 'Sprint 12'!B:B, 0)), "มาจาก Sprint 12", "")</f>
        <v/>
      </c>
      <c r="V18" s="230" t="str">
        <f t="array" ref="V18">IF(ISNUMBER(MATCH(B18, 'Sprint 12'!B:B, 0)), INDEX('Sprint 12'!J:J, MATCH(B18, 'Sprint 12'!B:B, 0)), "")</f>
        <v/>
      </c>
      <c r="W18" s="102"/>
      <c r="X18" s="102" t="s">
        <v>6504</v>
      </c>
    </row>
    <row r="19">
      <c r="A19" s="102" t="s">
        <v>332</v>
      </c>
      <c r="B19" s="102" t="s">
        <v>5832</v>
      </c>
      <c r="C19" s="229" t="s">
        <v>5833</v>
      </c>
      <c r="D19" s="102" t="s">
        <v>5834</v>
      </c>
      <c r="E19" s="102" t="s">
        <v>353</v>
      </c>
      <c r="F19" s="102" t="s">
        <v>354</v>
      </c>
      <c r="G19" s="102" t="s">
        <v>391</v>
      </c>
      <c r="H19" s="102" t="s">
        <v>392</v>
      </c>
      <c r="I19" s="102" t="s">
        <v>284</v>
      </c>
      <c r="J19" s="102" t="s">
        <v>922</v>
      </c>
      <c r="L19" s="229" t="s">
        <v>5835</v>
      </c>
      <c r="M19" s="229" t="s">
        <v>6526</v>
      </c>
      <c r="N19" s="102"/>
      <c r="O19" s="102"/>
      <c r="P19" s="102"/>
      <c r="Q19" s="102"/>
      <c r="T19" s="102"/>
      <c r="U19" s="230" t="str">
        <f>IF(ISNUMBER(MATCH(B19, 'Sprint 12'!B:B, 0)), "มาจาก Sprint 12", "")</f>
        <v/>
      </c>
      <c r="V19" s="230" t="str">
        <f t="array" ref="V19">IF(ISNUMBER(MATCH(B19, 'Sprint 12'!B:B, 0)), INDEX('Sprint 12'!J:J, MATCH(B19, 'Sprint 12'!B:B, 0)), "")</f>
        <v/>
      </c>
      <c r="W19" s="102"/>
      <c r="X19" s="102" t="s">
        <v>5837</v>
      </c>
    </row>
    <row r="20">
      <c r="A20" s="102" t="s">
        <v>332</v>
      </c>
      <c r="B20" s="102" t="s">
        <v>4915</v>
      </c>
      <c r="C20" s="229" t="s">
        <v>4916</v>
      </c>
      <c r="D20" s="102" t="s">
        <v>4917</v>
      </c>
      <c r="E20" s="102" t="s">
        <v>282</v>
      </c>
      <c r="F20" s="102" t="s">
        <v>283</v>
      </c>
      <c r="G20" s="102" t="s">
        <v>282</v>
      </c>
      <c r="H20" s="102" t="s">
        <v>283</v>
      </c>
      <c r="I20" s="102" t="s">
        <v>284</v>
      </c>
      <c r="J20" s="102" t="s">
        <v>2415</v>
      </c>
      <c r="L20" s="229" t="s">
        <v>4918</v>
      </c>
      <c r="M20" s="229" t="s">
        <v>6533</v>
      </c>
      <c r="N20" s="102"/>
      <c r="O20" s="102">
        <v>2.0</v>
      </c>
      <c r="P20" s="102"/>
      <c r="Q20" s="102"/>
      <c r="T20" s="102"/>
      <c r="U20" s="230" t="str">
        <f>IF(ISNUMBER(MATCH(B20, 'Sprint 12'!B:B, 0)), "มาจาก Sprint 12", "")</f>
        <v/>
      </c>
      <c r="V20" s="230" t="str">
        <f t="array" ref="V20">IF(ISNUMBER(MATCH(B20, 'Sprint 12'!B:B, 0)), INDEX('Sprint 12'!J:J, MATCH(B20, 'Sprint 12'!B:B, 0)), "")</f>
        <v/>
      </c>
      <c r="W20" s="102"/>
      <c r="X20" s="102" t="s">
        <v>4919</v>
      </c>
    </row>
    <row r="21">
      <c r="A21" s="102" t="s">
        <v>310</v>
      </c>
      <c r="B21" s="102" t="s">
        <v>6177</v>
      </c>
      <c r="C21" s="229" t="s">
        <v>6178</v>
      </c>
      <c r="D21" s="102" t="s">
        <v>6179</v>
      </c>
      <c r="E21" s="102" t="s">
        <v>282</v>
      </c>
      <c r="F21" s="102" t="s">
        <v>283</v>
      </c>
      <c r="G21" s="102" t="s">
        <v>316</v>
      </c>
      <c r="H21" s="102" t="s">
        <v>317</v>
      </c>
      <c r="I21" s="102" t="s">
        <v>515</v>
      </c>
      <c r="J21" s="102" t="s">
        <v>355</v>
      </c>
      <c r="L21" s="229" t="s">
        <v>6180</v>
      </c>
      <c r="M21" s="229" t="s">
        <v>6534</v>
      </c>
      <c r="N21" s="229" t="s">
        <v>6176</v>
      </c>
      <c r="O21" s="102">
        <v>5.0</v>
      </c>
      <c r="P21" s="102" t="s">
        <v>4656</v>
      </c>
      <c r="Q21" s="102" t="s">
        <v>783</v>
      </c>
      <c r="T21" s="102"/>
      <c r="U21" s="230" t="str">
        <f>IF(ISNUMBER(MATCH(B21, 'Sprint 12'!B:B, 0)), "มาจาก Sprint 12", "")</f>
        <v/>
      </c>
      <c r="V21" s="230" t="str">
        <f t="array" ref="V21">IF(ISNUMBER(MATCH(B21, 'Sprint 12'!B:B, 0)), INDEX('Sprint 12'!J:J, MATCH(B21, 'Sprint 12'!B:B, 0)), "")</f>
        <v/>
      </c>
      <c r="W21" s="102"/>
      <c r="X21" s="102" t="s">
        <v>4919</v>
      </c>
    </row>
    <row r="22">
      <c r="A22" s="102" t="s">
        <v>310</v>
      </c>
      <c r="B22" s="102" t="s">
        <v>6181</v>
      </c>
      <c r="C22" s="229" t="s">
        <v>6182</v>
      </c>
      <c r="D22" s="102" t="s">
        <v>6183</v>
      </c>
      <c r="E22" s="102" t="s">
        <v>282</v>
      </c>
      <c r="F22" s="102" t="s">
        <v>283</v>
      </c>
      <c r="G22" s="102" t="s">
        <v>316</v>
      </c>
      <c r="H22" s="102" t="s">
        <v>317</v>
      </c>
      <c r="I22" s="102" t="s">
        <v>515</v>
      </c>
      <c r="J22" s="102" t="s">
        <v>355</v>
      </c>
      <c r="L22" s="229" t="s">
        <v>6180</v>
      </c>
      <c r="M22" s="229" t="s">
        <v>6535</v>
      </c>
      <c r="N22" s="229" t="s">
        <v>6176</v>
      </c>
      <c r="O22" s="102">
        <v>5.0</v>
      </c>
      <c r="P22" s="102" t="s">
        <v>4656</v>
      </c>
      <c r="Q22" s="102" t="s">
        <v>783</v>
      </c>
      <c r="T22" s="102"/>
      <c r="U22" s="230" t="str">
        <f>IF(ISNUMBER(MATCH(B22, 'Sprint 12'!B:B, 0)), "มาจาก Sprint 12", "")</f>
        <v/>
      </c>
      <c r="V22" s="230" t="str">
        <f t="array" ref="V22">IF(ISNUMBER(MATCH(B22, 'Sprint 12'!B:B, 0)), INDEX('Sprint 12'!J:J, MATCH(B22, 'Sprint 12'!B:B, 0)), "")</f>
        <v/>
      </c>
      <c r="W22" s="102"/>
      <c r="X22" s="102" t="s">
        <v>4919</v>
      </c>
    </row>
    <row r="23">
      <c r="A23" s="102" t="s">
        <v>310</v>
      </c>
      <c r="B23" s="102" t="s">
        <v>6536</v>
      </c>
      <c r="C23" s="229" t="s">
        <v>6537</v>
      </c>
      <c r="D23" s="102" t="s">
        <v>6538</v>
      </c>
      <c r="E23" s="102" t="s">
        <v>513</v>
      </c>
      <c r="F23" s="102" t="s">
        <v>514</v>
      </c>
      <c r="G23" s="102" t="s">
        <v>513</v>
      </c>
      <c r="H23" s="102" t="s">
        <v>514</v>
      </c>
      <c r="I23" s="102" t="s">
        <v>284</v>
      </c>
      <c r="J23" s="102" t="s">
        <v>26</v>
      </c>
      <c r="L23" s="229" t="s">
        <v>6539</v>
      </c>
      <c r="M23" s="229" t="s">
        <v>6540</v>
      </c>
      <c r="N23" s="229" t="s">
        <v>5869</v>
      </c>
      <c r="O23" s="102">
        <v>1.0</v>
      </c>
      <c r="P23" s="102" t="s">
        <v>5628</v>
      </c>
      <c r="Q23" s="102" t="s">
        <v>593</v>
      </c>
      <c r="T23" s="102">
        <v>7200.0</v>
      </c>
      <c r="U23" s="230" t="str">
        <f>IF(ISNUMBER(MATCH(B23, 'Sprint 12'!B:B, 0)), "มาจาก Sprint 12", "")</f>
        <v/>
      </c>
      <c r="V23" s="230" t="str">
        <f t="array" ref="V23">IF(ISNUMBER(MATCH(B23, 'Sprint 12'!B:B, 0)), INDEX('Sprint 12'!J:J, MATCH(B23, 'Sprint 12'!B:B, 0)), "")</f>
        <v/>
      </c>
      <c r="W23" s="102"/>
      <c r="X23" s="102" t="s">
        <v>6504</v>
      </c>
    </row>
    <row r="24">
      <c r="A24" s="102" t="s">
        <v>310</v>
      </c>
      <c r="B24" s="102" t="s">
        <v>6541</v>
      </c>
      <c r="C24" s="229" t="s">
        <v>6542</v>
      </c>
      <c r="D24" s="102" t="s">
        <v>6543</v>
      </c>
      <c r="E24" s="102" t="s">
        <v>513</v>
      </c>
      <c r="F24" s="102" t="s">
        <v>514</v>
      </c>
      <c r="G24" s="102" t="s">
        <v>513</v>
      </c>
      <c r="H24" s="102" t="s">
        <v>514</v>
      </c>
      <c r="I24" s="102" t="s">
        <v>284</v>
      </c>
      <c r="J24" s="102" t="s">
        <v>26</v>
      </c>
      <c r="L24" s="229" t="s">
        <v>6544</v>
      </c>
      <c r="M24" s="229" t="s">
        <v>6545</v>
      </c>
      <c r="N24" s="229" t="s">
        <v>5869</v>
      </c>
      <c r="O24" s="102">
        <v>1.0</v>
      </c>
      <c r="P24" s="102" t="s">
        <v>5628</v>
      </c>
      <c r="Q24" s="102" t="s">
        <v>593</v>
      </c>
      <c r="T24" s="102">
        <v>7200.0</v>
      </c>
      <c r="U24" s="230" t="str">
        <f>IF(ISNUMBER(MATCH(B24, 'Sprint 12'!B:B, 0)), "มาจาก Sprint 12", "")</f>
        <v/>
      </c>
      <c r="V24" s="230" t="str">
        <f t="array" ref="V24">IF(ISNUMBER(MATCH(B24, 'Sprint 12'!B:B, 0)), INDEX('Sprint 12'!J:J, MATCH(B24, 'Sprint 12'!B:B, 0)), "")</f>
        <v/>
      </c>
      <c r="W24" s="102"/>
      <c r="X24" s="102" t="s">
        <v>6504</v>
      </c>
    </row>
    <row r="25">
      <c r="A25" s="102" t="s">
        <v>310</v>
      </c>
      <c r="B25" s="102" t="s">
        <v>6546</v>
      </c>
      <c r="C25" s="229" t="s">
        <v>6547</v>
      </c>
      <c r="D25" s="102" t="s">
        <v>6548</v>
      </c>
      <c r="E25" s="102" t="s">
        <v>513</v>
      </c>
      <c r="F25" s="102" t="s">
        <v>514</v>
      </c>
      <c r="G25" s="102" t="s">
        <v>513</v>
      </c>
      <c r="H25" s="102" t="s">
        <v>514</v>
      </c>
      <c r="I25" s="102" t="s">
        <v>284</v>
      </c>
      <c r="J25" s="102" t="s">
        <v>26</v>
      </c>
      <c r="L25" s="229" t="s">
        <v>6544</v>
      </c>
      <c r="M25" s="229" t="s">
        <v>6549</v>
      </c>
      <c r="N25" s="229" t="s">
        <v>5869</v>
      </c>
      <c r="O25" s="102">
        <v>1.0</v>
      </c>
      <c r="P25" s="102" t="s">
        <v>5628</v>
      </c>
      <c r="Q25" s="102" t="s">
        <v>593</v>
      </c>
      <c r="T25" s="102">
        <v>7200.0</v>
      </c>
      <c r="U25" s="230" t="str">
        <f>IF(ISNUMBER(MATCH(B25, 'Sprint 12'!B:B, 0)), "มาจาก Sprint 12", "")</f>
        <v/>
      </c>
      <c r="V25" s="230" t="str">
        <f t="array" ref="V25">IF(ISNUMBER(MATCH(B25, 'Sprint 12'!B:B, 0)), INDEX('Sprint 12'!J:J, MATCH(B25, 'Sprint 12'!B:B, 0)), "")</f>
        <v/>
      </c>
      <c r="W25" s="102"/>
      <c r="X25" s="102" t="s">
        <v>6504</v>
      </c>
    </row>
    <row r="26">
      <c r="A26" s="102" t="s">
        <v>310</v>
      </c>
      <c r="B26" s="102" t="s">
        <v>6550</v>
      </c>
      <c r="C26" s="229" t="s">
        <v>6551</v>
      </c>
      <c r="D26" s="102" t="s">
        <v>6552</v>
      </c>
      <c r="E26" s="102" t="s">
        <v>513</v>
      </c>
      <c r="F26" s="102" t="s">
        <v>514</v>
      </c>
      <c r="G26" s="102" t="s">
        <v>513</v>
      </c>
      <c r="H26" s="102" t="s">
        <v>514</v>
      </c>
      <c r="I26" s="102" t="s">
        <v>284</v>
      </c>
      <c r="J26" s="102" t="s">
        <v>26</v>
      </c>
      <c r="L26" s="229" t="s">
        <v>6553</v>
      </c>
      <c r="M26" s="229" t="s">
        <v>6554</v>
      </c>
      <c r="N26" s="229" t="s">
        <v>5869</v>
      </c>
      <c r="O26" s="102">
        <v>1.0</v>
      </c>
      <c r="P26" s="102" t="s">
        <v>5628</v>
      </c>
      <c r="Q26" s="102" t="s">
        <v>593</v>
      </c>
      <c r="T26" s="102">
        <v>7200.0</v>
      </c>
      <c r="U26" s="230" t="str">
        <f>IF(ISNUMBER(MATCH(B26, 'Sprint 12'!B:B, 0)), "มาจาก Sprint 12", "")</f>
        <v/>
      </c>
      <c r="V26" s="230" t="str">
        <f t="array" ref="V26">IF(ISNUMBER(MATCH(B26, 'Sprint 12'!B:B, 0)), INDEX('Sprint 12'!J:J, MATCH(B26, 'Sprint 12'!B:B, 0)), "")</f>
        <v/>
      </c>
      <c r="W26" s="102"/>
      <c r="X26" s="102" t="s">
        <v>6504</v>
      </c>
    </row>
    <row r="27">
      <c r="A27" s="102" t="s">
        <v>310</v>
      </c>
      <c r="B27" s="102" t="s">
        <v>6555</v>
      </c>
      <c r="C27" s="229" t="s">
        <v>6556</v>
      </c>
      <c r="D27" s="102" t="s">
        <v>6557</v>
      </c>
      <c r="E27" s="102" t="s">
        <v>513</v>
      </c>
      <c r="F27" s="102" t="s">
        <v>514</v>
      </c>
      <c r="G27" s="102" t="s">
        <v>513</v>
      </c>
      <c r="H27" s="102" t="s">
        <v>514</v>
      </c>
      <c r="I27" s="102" t="s">
        <v>284</v>
      </c>
      <c r="J27" s="102" t="s">
        <v>26</v>
      </c>
      <c r="L27" s="229" t="s">
        <v>6558</v>
      </c>
      <c r="M27" s="229" t="s">
        <v>6559</v>
      </c>
      <c r="N27" s="229" t="s">
        <v>5869</v>
      </c>
      <c r="O27" s="102">
        <v>1.0</v>
      </c>
      <c r="P27" s="102" t="s">
        <v>5628</v>
      </c>
      <c r="Q27" s="102" t="s">
        <v>593</v>
      </c>
      <c r="T27" s="102">
        <v>7200.0</v>
      </c>
      <c r="U27" s="230" t="str">
        <f>IF(ISNUMBER(MATCH(B27, 'Sprint 12'!B:B, 0)), "มาจาก Sprint 12", "")</f>
        <v/>
      </c>
      <c r="V27" s="230" t="str">
        <f t="array" ref="V27">IF(ISNUMBER(MATCH(B27, 'Sprint 12'!B:B, 0)), INDEX('Sprint 12'!J:J, MATCH(B27, 'Sprint 12'!B:B, 0)), "")</f>
        <v/>
      </c>
      <c r="W27" s="102"/>
      <c r="X27" s="102" t="s">
        <v>6504</v>
      </c>
    </row>
    <row r="28">
      <c r="A28" s="102" t="s">
        <v>310</v>
      </c>
      <c r="B28" s="102" t="s">
        <v>6560</v>
      </c>
      <c r="C28" s="229" t="s">
        <v>6561</v>
      </c>
      <c r="D28" s="102" t="s">
        <v>6562</v>
      </c>
      <c r="E28" s="102" t="s">
        <v>513</v>
      </c>
      <c r="F28" s="102" t="s">
        <v>514</v>
      </c>
      <c r="G28" s="102" t="s">
        <v>513</v>
      </c>
      <c r="H28" s="102" t="s">
        <v>514</v>
      </c>
      <c r="I28" s="102" t="s">
        <v>284</v>
      </c>
      <c r="J28" s="102" t="s">
        <v>26</v>
      </c>
      <c r="L28" s="229" t="s">
        <v>6563</v>
      </c>
      <c r="M28" s="229" t="s">
        <v>6564</v>
      </c>
      <c r="N28" s="229" t="s">
        <v>5869</v>
      </c>
      <c r="O28" s="102">
        <v>1.0</v>
      </c>
      <c r="P28" s="102" t="s">
        <v>5628</v>
      </c>
      <c r="Q28" s="102" t="s">
        <v>593</v>
      </c>
      <c r="T28" s="102">
        <v>7200.0</v>
      </c>
      <c r="U28" s="230" t="str">
        <f>IF(ISNUMBER(MATCH(B28, 'Sprint 12'!B:B, 0)), "มาจาก Sprint 12", "")</f>
        <v/>
      </c>
      <c r="V28" s="230" t="str">
        <f t="array" ref="V28">IF(ISNUMBER(MATCH(B28, 'Sprint 12'!B:B, 0)), INDEX('Sprint 12'!J:J, MATCH(B28, 'Sprint 12'!B:B, 0)), "")</f>
        <v/>
      </c>
      <c r="W28" s="102"/>
      <c r="X28" s="102" t="s">
        <v>6504</v>
      </c>
    </row>
    <row r="29">
      <c r="A29" s="102" t="s">
        <v>310</v>
      </c>
      <c r="B29" s="102" t="s">
        <v>6565</v>
      </c>
      <c r="C29" s="229" t="s">
        <v>6566</v>
      </c>
      <c r="D29" s="102" t="s">
        <v>6567</v>
      </c>
      <c r="E29" s="102" t="s">
        <v>513</v>
      </c>
      <c r="F29" s="102" t="s">
        <v>514</v>
      </c>
      <c r="G29" s="102" t="s">
        <v>513</v>
      </c>
      <c r="H29" s="102" t="s">
        <v>514</v>
      </c>
      <c r="I29" s="102" t="s">
        <v>284</v>
      </c>
      <c r="J29" s="102" t="s">
        <v>26</v>
      </c>
      <c r="L29" s="229" t="s">
        <v>6568</v>
      </c>
      <c r="M29" s="229" t="s">
        <v>6569</v>
      </c>
      <c r="N29" s="229" t="s">
        <v>5869</v>
      </c>
      <c r="O29" s="102">
        <v>1.0</v>
      </c>
      <c r="P29" s="102" t="s">
        <v>5628</v>
      </c>
      <c r="Q29" s="102" t="s">
        <v>593</v>
      </c>
      <c r="T29" s="102">
        <v>7200.0</v>
      </c>
      <c r="U29" s="230" t="str">
        <f>IF(ISNUMBER(MATCH(B29, 'Sprint 12'!B:B, 0)), "มาจาก Sprint 12", "")</f>
        <v/>
      </c>
      <c r="V29" s="230" t="str">
        <f t="array" ref="V29">IF(ISNUMBER(MATCH(B29, 'Sprint 12'!B:B, 0)), INDEX('Sprint 12'!J:J, MATCH(B29, 'Sprint 12'!B:B, 0)), "")</f>
        <v/>
      </c>
      <c r="W29" s="102"/>
      <c r="X29" s="102" t="s">
        <v>6504</v>
      </c>
      <c r="Y29" s="102"/>
    </row>
    <row r="30">
      <c r="A30" s="102" t="s">
        <v>310</v>
      </c>
      <c r="B30" s="102" t="s">
        <v>6570</v>
      </c>
      <c r="C30" s="229" t="s">
        <v>6571</v>
      </c>
      <c r="D30" s="102" t="s">
        <v>6572</v>
      </c>
      <c r="E30" s="102" t="s">
        <v>513</v>
      </c>
      <c r="F30" s="102" t="s">
        <v>514</v>
      </c>
      <c r="G30" s="102" t="s">
        <v>513</v>
      </c>
      <c r="H30" s="102" t="s">
        <v>514</v>
      </c>
      <c r="I30" s="102" t="s">
        <v>284</v>
      </c>
      <c r="J30" s="102" t="s">
        <v>26</v>
      </c>
      <c r="L30" s="229" t="s">
        <v>6573</v>
      </c>
      <c r="M30" s="229" t="s">
        <v>6569</v>
      </c>
      <c r="N30" s="229" t="s">
        <v>5869</v>
      </c>
      <c r="O30" s="102">
        <v>1.0</v>
      </c>
      <c r="P30" s="102" t="s">
        <v>5628</v>
      </c>
      <c r="Q30" s="102" t="s">
        <v>593</v>
      </c>
      <c r="T30" s="102">
        <v>7200.0</v>
      </c>
      <c r="U30" s="230" t="str">
        <f>IF(ISNUMBER(MATCH(B30, 'Sprint 12'!B:B, 0)), "มาจาก Sprint 12", "")</f>
        <v/>
      </c>
      <c r="V30" s="230" t="str">
        <f t="array" ref="V30">IF(ISNUMBER(MATCH(B30, 'Sprint 12'!B:B, 0)), INDEX('Sprint 12'!J:J, MATCH(B30, 'Sprint 12'!B:B, 0)), "")</f>
        <v/>
      </c>
      <c r="W30" s="102"/>
      <c r="X30" s="102" t="s">
        <v>6504</v>
      </c>
      <c r="Y30" s="102"/>
    </row>
    <row r="31">
      <c r="A31" s="102" t="s">
        <v>310</v>
      </c>
      <c r="B31" s="102" t="s">
        <v>6574</v>
      </c>
      <c r="C31" s="229" t="s">
        <v>6575</v>
      </c>
      <c r="D31" s="102" t="s">
        <v>6576</v>
      </c>
      <c r="E31" s="102" t="s">
        <v>513</v>
      </c>
      <c r="F31" s="102" t="s">
        <v>514</v>
      </c>
      <c r="G31" s="102" t="s">
        <v>513</v>
      </c>
      <c r="H31" s="102" t="s">
        <v>514</v>
      </c>
      <c r="I31" s="102" t="s">
        <v>284</v>
      </c>
      <c r="J31" s="102" t="s">
        <v>26</v>
      </c>
      <c r="L31" s="229" t="s">
        <v>6577</v>
      </c>
      <c r="M31" s="229" t="s">
        <v>6578</v>
      </c>
      <c r="N31" s="229" t="s">
        <v>5869</v>
      </c>
      <c r="O31" s="102">
        <v>1.0</v>
      </c>
      <c r="P31" s="102" t="s">
        <v>5628</v>
      </c>
      <c r="Q31" s="102" t="s">
        <v>593</v>
      </c>
      <c r="T31" s="102">
        <v>7200.0</v>
      </c>
      <c r="U31" s="230" t="str">
        <f>IF(ISNUMBER(MATCH(B31, 'Sprint 12'!B:B, 0)), "มาจาก Sprint 12", "")</f>
        <v/>
      </c>
      <c r="V31" s="230" t="str">
        <f t="array" ref="V31">IF(ISNUMBER(MATCH(B31, 'Sprint 12'!B:B, 0)), INDEX('Sprint 12'!J:J, MATCH(B31, 'Sprint 12'!B:B, 0)), "")</f>
        <v/>
      </c>
      <c r="W31" s="102"/>
      <c r="X31" s="102" t="s">
        <v>6504</v>
      </c>
      <c r="Y31" s="102"/>
    </row>
    <row r="32">
      <c r="A32" s="102" t="s">
        <v>310</v>
      </c>
      <c r="B32" s="102" t="s">
        <v>6579</v>
      </c>
      <c r="C32" s="229" t="s">
        <v>6580</v>
      </c>
      <c r="D32" s="102" t="s">
        <v>6581</v>
      </c>
      <c r="E32" s="102" t="s">
        <v>513</v>
      </c>
      <c r="F32" s="102" t="s">
        <v>514</v>
      </c>
      <c r="G32" s="102" t="s">
        <v>513</v>
      </c>
      <c r="H32" s="102" t="s">
        <v>514</v>
      </c>
      <c r="I32" s="102" t="s">
        <v>284</v>
      </c>
      <c r="J32" s="102" t="s">
        <v>26</v>
      </c>
      <c r="L32" s="229" t="s">
        <v>6582</v>
      </c>
      <c r="M32" s="229" t="s">
        <v>6583</v>
      </c>
      <c r="N32" s="229" t="s">
        <v>5869</v>
      </c>
      <c r="O32" s="102">
        <v>1.0</v>
      </c>
      <c r="T32" s="230"/>
      <c r="U32" s="230" t="str">
        <f>IF(ISNUMBER(MATCH(B32, 'Sprint 12'!B:B, 0)), "มาจาก Sprint 12", "")</f>
        <v/>
      </c>
      <c r="V32" s="230" t="str">
        <f t="array" ref="V32">IF(ISNUMBER(MATCH(B32, 'Sprint 12'!B:B, 0)), INDEX('Sprint 12'!J:J, MATCH(B32, 'Sprint 12'!B:B, 0)), "")</f>
        <v/>
      </c>
      <c r="W32" s="230"/>
      <c r="X32" s="102" t="s">
        <v>6504</v>
      </c>
      <c r="Y32" s="102"/>
    </row>
    <row r="33">
      <c r="A33" s="102" t="s">
        <v>310</v>
      </c>
      <c r="B33" s="102" t="s">
        <v>6584</v>
      </c>
      <c r="C33" s="229" t="s">
        <v>6585</v>
      </c>
      <c r="D33" s="102" t="s">
        <v>6586</v>
      </c>
      <c r="E33" s="102" t="s">
        <v>513</v>
      </c>
      <c r="F33" s="102" t="s">
        <v>514</v>
      </c>
      <c r="G33" s="102" t="s">
        <v>513</v>
      </c>
      <c r="H33" s="102" t="s">
        <v>514</v>
      </c>
      <c r="I33" s="102" t="s">
        <v>284</v>
      </c>
      <c r="J33" s="102" t="s">
        <v>26</v>
      </c>
      <c r="L33" s="229" t="s">
        <v>6587</v>
      </c>
      <c r="M33" s="229" t="s">
        <v>6588</v>
      </c>
      <c r="N33" s="229" t="s">
        <v>5875</v>
      </c>
      <c r="O33" s="102">
        <v>1.0</v>
      </c>
      <c r="P33" s="102" t="s">
        <v>593</v>
      </c>
      <c r="T33" s="102">
        <v>7200.0</v>
      </c>
      <c r="U33" s="230" t="str">
        <f>IF(ISNUMBER(MATCH(B33, 'Sprint 12'!B:B, 0)), "มาจาก Sprint 12", "")</f>
        <v/>
      </c>
      <c r="V33" s="230" t="str">
        <f t="array" ref="V33">IF(ISNUMBER(MATCH(B33, 'Sprint 12'!B:B, 0)), INDEX('Sprint 12'!J:J, MATCH(B33, 'Sprint 12'!B:B, 0)), "")</f>
        <v/>
      </c>
      <c r="W33" s="102"/>
      <c r="X33" s="102" t="s">
        <v>6504</v>
      </c>
    </row>
    <row r="34">
      <c r="A34" s="102" t="s">
        <v>332</v>
      </c>
      <c r="B34" s="102" t="s">
        <v>5841</v>
      </c>
      <c r="C34" s="229" t="s">
        <v>5842</v>
      </c>
      <c r="D34" s="102" t="s">
        <v>5843</v>
      </c>
      <c r="E34" s="102" t="s">
        <v>353</v>
      </c>
      <c r="F34" s="102" t="s">
        <v>354</v>
      </c>
      <c r="G34" s="102" t="s">
        <v>5844</v>
      </c>
      <c r="H34" s="102" t="s">
        <v>5845</v>
      </c>
      <c r="I34" s="102" t="s">
        <v>284</v>
      </c>
      <c r="J34" s="102" t="s">
        <v>922</v>
      </c>
      <c r="L34" s="229" t="s">
        <v>5846</v>
      </c>
      <c r="M34" s="229" t="s">
        <v>6140</v>
      </c>
      <c r="N34" s="102"/>
      <c r="O34" s="102"/>
      <c r="P34" s="102"/>
      <c r="Q34" s="102"/>
      <c r="T34" s="230"/>
      <c r="U34" s="230" t="str">
        <f>IF(ISNUMBER(MATCH(B34, 'Sprint 12'!B:B, 0)), "มาจาก Sprint 12", "")</f>
        <v/>
      </c>
      <c r="V34" s="230" t="str">
        <f t="array" ref="V34">IF(ISNUMBER(MATCH(B34, 'Sprint 12'!B:B, 0)), INDEX('Sprint 12'!J:J, MATCH(B34, 'Sprint 12'!B:B, 0)), "")</f>
        <v/>
      </c>
      <c r="W34" s="230"/>
      <c r="X34" s="102" t="s">
        <v>2196</v>
      </c>
      <c r="Y34" s="102" t="s">
        <v>2185</v>
      </c>
    </row>
    <row r="35">
      <c r="A35" s="102" t="s">
        <v>276</v>
      </c>
      <c r="B35" s="102" t="s">
        <v>6589</v>
      </c>
      <c r="C35" s="229" t="s">
        <v>6590</v>
      </c>
      <c r="D35" s="102" t="s">
        <v>1567</v>
      </c>
      <c r="E35" s="102" t="s">
        <v>391</v>
      </c>
      <c r="F35" s="102" t="s">
        <v>392</v>
      </c>
      <c r="G35" s="102" t="s">
        <v>391</v>
      </c>
      <c r="H35" s="102" t="s">
        <v>392</v>
      </c>
      <c r="I35" s="102" t="s">
        <v>284</v>
      </c>
      <c r="J35" s="102" t="s">
        <v>34</v>
      </c>
      <c r="L35" s="229" t="s">
        <v>6591</v>
      </c>
      <c r="M35" s="229" t="s">
        <v>6514</v>
      </c>
      <c r="N35" s="102"/>
      <c r="O35" s="102"/>
      <c r="P35" s="102"/>
      <c r="T35" s="102"/>
      <c r="U35" s="230" t="str">
        <f>IF(ISNUMBER(MATCH(B35, 'Sprint 12'!B:B, 0)), "มาจาก Sprint 12", "")</f>
        <v/>
      </c>
      <c r="V35" s="230" t="str">
        <f t="array" ref="V35">IF(ISNUMBER(MATCH(B35, 'Sprint 12'!B:B, 0)), INDEX('Sprint 12'!J:J, MATCH(B35, 'Sprint 12'!B:B, 0)), "")</f>
        <v/>
      </c>
      <c r="W35" s="102"/>
      <c r="X35" s="102" t="s">
        <v>5896</v>
      </c>
      <c r="Y35" s="102" t="s">
        <v>5837</v>
      </c>
    </row>
    <row r="36">
      <c r="A36" s="102" t="s">
        <v>276</v>
      </c>
      <c r="B36" s="102" t="s">
        <v>6592</v>
      </c>
      <c r="C36" s="229" t="s">
        <v>6593</v>
      </c>
      <c r="D36" s="102" t="s">
        <v>1567</v>
      </c>
      <c r="E36" s="102" t="s">
        <v>391</v>
      </c>
      <c r="F36" s="102" t="s">
        <v>392</v>
      </c>
      <c r="G36" s="102" t="s">
        <v>391</v>
      </c>
      <c r="H36" s="102" t="s">
        <v>392</v>
      </c>
      <c r="I36" s="102" t="s">
        <v>284</v>
      </c>
      <c r="J36" s="102" t="s">
        <v>63</v>
      </c>
      <c r="L36" s="229" t="s">
        <v>6591</v>
      </c>
      <c r="M36" s="229" t="s">
        <v>6591</v>
      </c>
      <c r="N36" s="102"/>
      <c r="O36" s="102"/>
      <c r="P36" s="102"/>
      <c r="T36" s="102"/>
      <c r="U36" s="230" t="str">
        <f>IF(ISNUMBER(MATCH(B36, 'Sprint 12'!B:B, 0)), "มาจาก Sprint 12", "")</f>
        <v/>
      </c>
      <c r="V36" s="230" t="str">
        <f t="array" ref="V36">IF(ISNUMBER(MATCH(B36, 'Sprint 12'!B:B, 0)), INDEX('Sprint 12'!J:J, MATCH(B36, 'Sprint 12'!B:B, 0)), "")</f>
        <v/>
      </c>
      <c r="W36" s="102"/>
      <c r="X36" s="102" t="s">
        <v>5896</v>
      </c>
      <c r="Y36" s="102" t="s">
        <v>5837</v>
      </c>
    </row>
    <row r="37">
      <c r="A37" s="102" t="s">
        <v>276</v>
      </c>
      <c r="B37" s="102" t="s">
        <v>6594</v>
      </c>
      <c r="C37" s="229" t="s">
        <v>6595</v>
      </c>
      <c r="D37" s="102" t="s">
        <v>1567</v>
      </c>
      <c r="E37" s="102" t="s">
        <v>391</v>
      </c>
      <c r="F37" s="102" t="s">
        <v>392</v>
      </c>
      <c r="G37" s="102" t="s">
        <v>391</v>
      </c>
      <c r="H37" s="102" t="s">
        <v>392</v>
      </c>
      <c r="I37" s="102" t="s">
        <v>284</v>
      </c>
      <c r="J37" s="102" t="s">
        <v>34</v>
      </c>
      <c r="L37" s="229" t="s">
        <v>6591</v>
      </c>
      <c r="M37" s="229" t="s">
        <v>6514</v>
      </c>
      <c r="N37" s="102"/>
      <c r="O37" s="102"/>
      <c r="P37" s="102"/>
      <c r="T37" s="102"/>
      <c r="U37" s="230" t="str">
        <f>IF(ISNUMBER(MATCH(B37, 'Sprint 12'!B:B, 0)), "มาจาก Sprint 12", "")</f>
        <v/>
      </c>
      <c r="V37" s="230" t="str">
        <f t="array" ref="V37">IF(ISNUMBER(MATCH(B37, 'Sprint 12'!B:B, 0)), INDEX('Sprint 12'!J:J, MATCH(B37, 'Sprint 12'!B:B, 0)), "")</f>
        <v/>
      </c>
      <c r="W37" s="102"/>
      <c r="X37" s="102" t="s">
        <v>5896</v>
      </c>
      <c r="Y37" s="102" t="s">
        <v>5837</v>
      </c>
    </row>
    <row r="38">
      <c r="A38" s="102" t="s">
        <v>276</v>
      </c>
      <c r="B38" s="102" t="s">
        <v>6596</v>
      </c>
      <c r="C38" s="229" t="s">
        <v>6597</v>
      </c>
      <c r="D38" s="102" t="s">
        <v>1567</v>
      </c>
      <c r="E38" s="102" t="s">
        <v>391</v>
      </c>
      <c r="F38" s="102" t="s">
        <v>392</v>
      </c>
      <c r="G38" s="102" t="s">
        <v>391</v>
      </c>
      <c r="H38" s="102" t="s">
        <v>392</v>
      </c>
      <c r="I38" s="102" t="s">
        <v>284</v>
      </c>
      <c r="J38" s="102" t="s">
        <v>26</v>
      </c>
      <c r="L38" s="229" t="s">
        <v>6591</v>
      </c>
      <c r="M38" s="229" t="s">
        <v>6598</v>
      </c>
      <c r="O38" s="230"/>
      <c r="T38" s="230"/>
      <c r="U38" s="230" t="str">
        <f>IF(ISNUMBER(MATCH(B38, 'Sprint 12'!B:B, 0)), "มาจาก Sprint 12", "")</f>
        <v/>
      </c>
      <c r="V38" s="230" t="str">
        <f t="array" ref="V38">IF(ISNUMBER(MATCH(B38, 'Sprint 12'!B:B, 0)), INDEX('Sprint 12'!J:J, MATCH(B38, 'Sprint 12'!B:B, 0)), "")</f>
        <v/>
      </c>
      <c r="W38" s="230"/>
      <c r="X38" s="102" t="s">
        <v>5896</v>
      </c>
      <c r="Y38" s="102" t="s">
        <v>5837</v>
      </c>
    </row>
    <row r="39">
      <c r="A39" s="102" t="s">
        <v>310</v>
      </c>
      <c r="B39" s="102" t="s">
        <v>6599</v>
      </c>
      <c r="C39" s="229" t="s">
        <v>6600</v>
      </c>
      <c r="D39" s="102" t="s">
        <v>6601</v>
      </c>
      <c r="E39" s="102" t="s">
        <v>513</v>
      </c>
      <c r="F39" s="102" t="s">
        <v>514</v>
      </c>
      <c r="G39" s="102" t="s">
        <v>513</v>
      </c>
      <c r="H39" s="102" t="s">
        <v>514</v>
      </c>
      <c r="I39" s="102" t="s">
        <v>284</v>
      </c>
      <c r="J39" s="102" t="s">
        <v>26</v>
      </c>
      <c r="L39" s="229" t="s">
        <v>6602</v>
      </c>
      <c r="M39" s="229" t="s">
        <v>6603</v>
      </c>
      <c r="N39" s="229" t="s">
        <v>5875</v>
      </c>
      <c r="O39" s="102">
        <v>1.0</v>
      </c>
      <c r="P39" s="102" t="s">
        <v>593</v>
      </c>
      <c r="T39" s="102">
        <v>7200.0</v>
      </c>
      <c r="U39" s="230" t="str">
        <f>IF(ISNUMBER(MATCH(B39, 'Sprint 12'!B:B, 0)), "มาจาก Sprint 12", "")</f>
        <v/>
      </c>
      <c r="V39" s="230" t="str">
        <f t="array" ref="V39">IF(ISNUMBER(MATCH(B39, 'Sprint 12'!B:B, 0)), INDEX('Sprint 12'!J:J, MATCH(B39, 'Sprint 12'!B:B, 0)), "")</f>
        <v/>
      </c>
      <c r="W39" s="102"/>
      <c r="X39" s="102" t="s">
        <v>6504</v>
      </c>
    </row>
    <row r="40">
      <c r="A40" s="102" t="s">
        <v>310</v>
      </c>
      <c r="B40" s="102" t="s">
        <v>6604</v>
      </c>
      <c r="C40" s="229" t="s">
        <v>6605</v>
      </c>
      <c r="D40" s="102" t="s">
        <v>6606</v>
      </c>
      <c r="E40" s="102" t="s">
        <v>304</v>
      </c>
      <c r="F40" s="102" t="s">
        <v>305</v>
      </c>
      <c r="G40" s="102" t="s">
        <v>304</v>
      </c>
      <c r="H40" s="102" t="s">
        <v>305</v>
      </c>
      <c r="I40" s="102" t="s">
        <v>284</v>
      </c>
      <c r="J40" s="102" t="s">
        <v>26</v>
      </c>
      <c r="L40" s="229" t="s">
        <v>6607</v>
      </c>
      <c r="M40" s="229" t="s">
        <v>6608</v>
      </c>
      <c r="N40" s="229" t="s">
        <v>6356</v>
      </c>
      <c r="O40" s="102">
        <v>2.0</v>
      </c>
      <c r="P40" s="102" t="s">
        <v>27</v>
      </c>
      <c r="Q40" s="102" t="s">
        <v>593</v>
      </c>
      <c r="T40" s="102">
        <v>10800.0</v>
      </c>
      <c r="U40" s="230" t="str">
        <f>IF(ISNUMBER(MATCH(B40, 'Sprint 12'!B:B, 0)), "มาจาก Sprint 12", "")</f>
        <v/>
      </c>
      <c r="V40" s="230" t="str">
        <f t="array" ref="V40">IF(ISNUMBER(MATCH(B40, 'Sprint 12'!B:B, 0)), INDEX('Sprint 12'!J:J, MATCH(B40, 'Sprint 12'!B:B, 0)), "")</f>
        <v/>
      </c>
      <c r="W40" s="102"/>
      <c r="X40" s="102" t="s">
        <v>2196</v>
      </c>
    </row>
    <row r="41">
      <c r="A41" s="102" t="s">
        <v>310</v>
      </c>
      <c r="B41" s="102" t="s">
        <v>6609</v>
      </c>
      <c r="C41" s="229" t="s">
        <v>6610</v>
      </c>
      <c r="D41" s="102" t="s">
        <v>6611</v>
      </c>
      <c r="E41" s="102" t="s">
        <v>513</v>
      </c>
      <c r="F41" s="102" t="s">
        <v>514</v>
      </c>
      <c r="G41" s="102" t="s">
        <v>513</v>
      </c>
      <c r="H41" s="102" t="s">
        <v>514</v>
      </c>
      <c r="I41" s="102" t="s">
        <v>284</v>
      </c>
      <c r="J41" s="102" t="s">
        <v>26</v>
      </c>
      <c r="L41" s="229" t="s">
        <v>6612</v>
      </c>
      <c r="M41" s="229" t="s">
        <v>6613</v>
      </c>
      <c r="N41" s="229" t="s">
        <v>5875</v>
      </c>
      <c r="O41" s="102">
        <v>1.0</v>
      </c>
      <c r="P41" s="102" t="s">
        <v>593</v>
      </c>
      <c r="T41" s="102">
        <v>7200.0</v>
      </c>
      <c r="U41" s="230" t="str">
        <f>IF(ISNUMBER(MATCH(B41, 'Sprint 12'!B:B, 0)), "มาจาก Sprint 12", "")</f>
        <v/>
      </c>
      <c r="V41" s="230" t="str">
        <f t="array" ref="V41">IF(ISNUMBER(MATCH(B41, 'Sprint 12'!B:B, 0)), INDEX('Sprint 12'!J:J, MATCH(B41, 'Sprint 12'!B:B, 0)), "")</f>
        <v/>
      </c>
      <c r="W41" s="102"/>
      <c r="X41" s="102" t="s">
        <v>6504</v>
      </c>
    </row>
    <row r="42">
      <c r="A42" s="102" t="s">
        <v>310</v>
      </c>
      <c r="B42" s="102" t="s">
        <v>6614</v>
      </c>
      <c r="C42" s="229" t="s">
        <v>6615</v>
      </c>
      <c r="D42" s="102" t="s">
        <v>6616</v>
      </c>
      <c r="E42" s="102" t="s">
        <v>513</v>
      </c>
      <c r="F42" s="102" t="s">
        <v>514</v>
      </c>
      <c r="G42" s="102" t="s">
        <v>513</v>
      </c>
      <c r="H42" s="102" t="s">
        <v>514</v>
      </c>
      <c r="I42" s="102" t="s">
        <v>284</v>
      </c>
      <c r="J42" s="102" t="s">
        <v>26</v>
      </c>
      <c r="L42" s="229" t="s">
        <v>6617</v>
      </c>
      <c r="M42" s="229" t="s">
        <v>6618</v>
      </c>
      <c r="N42" s="229" t="s">
        <v>6356</v>
      </c>
      <c r="O42" s="102">
        <v>1.0</v>
      </c>
      <c r="P42" s="102" t="s">
        <v>593</v>
      </c>
      <c r="T42" s="102">
        <v>7200.0</v>
      </c>
      <c r="U42" s="230" t="str">
        <f>IF(ISNUMBER(MATCH(B42, 'Sprint 12'!B:B, 0)), "มาจาก Sprint 12", "")</f>
        <v/>
      </c>
      <c r="V42" s="230" t="str">
        <f t="array" ref="V42">IF(ISNUMBER(MATCH(B42, 'Sprint 12'!B:B, 0)), INDEX('Sprint 12'!J:J, MATCH(B42, 'Sprint 12'!B:B, 0)), "")</f>
        <v/>
      </c>
      <c r="W42" s="102"/>
      <c r="X42" s="102" t="s">
        <v>6504</v>
      </c>
    </row>
    <row r="43">
      <c r="A43" s="102" t="s">
        <v>310</v>
      </c>
      <c r="B43" s="102" t="s">
        <v>6619</v>
      </c>
      <c r="C43" s="229" t="s">
        <v>6620</v>
      </c>
      <c r="D43" s="102" t="s">
        <v>6621</v>
      </c>
      <c r="E43" s="102" t="s">
        <v>513</v>
      </c>
      <c r="F43" s="102" t="s">
        <v>514</v>
      </c>
      <c r="G43" s="102" t="s">
        <v>513</v>
      </c>
      <c r="H43" s="102" t="s">
        <v>514</v>
      </c>
      <c r="I43" s="102" t="s">
        <v>284</v>
      </c>
      <c r="J43" s="102" t="s">
        <v>26</v>
      </c>
      <c r="L43" s="229" t="s">
        <v>6622</v>
      </c>
      <c r="M43" s="229" t="s">
        <v>6623</v>
      </c>
      <c r="N43" s="229" t="s">
        <v>6356</v>
      </c>
      <c r="O43" s="102">
        <v>1.0</v>
      </c>
      <c r="P43" s="102" t="s">
        <v>593</v>
      </c>
      <c r="T43" s="102">
        <v>7200.0</v>
      </c>
      <c r="U43" s="230" t="str">
        <f>IF(ISNUMBER(MATCH(B43, 'Sprint 12'!B:B, 0)), "มาจาก Sprint 12", "")</f>
        <v/>
      </c>
      <c r="V43" s="230" t="str">
        <f t="array" ref="V43">IF(ISNUMBER(MATCH(B43, 'Sprint 12'!B:B, 0)), INDEX('Sprint 12'!J:J, MATCH(B43, 'Sprint 12'!B:B, 0)), "")</f>
        <v/>
      </c>
      <c r="W43" s="102"/>
      <c r="X43" s="102" t="s">
        <v>6504</v>
      </c>
    </row>
    <row r="44">
      <c r="A44" s="102" t="s">
        <v>276</v>
      </c>
      <c r="B44" s="102" t="s">
        <v>6624</v>
      </c>
      <c r="C44" s="229" t="s">
        <v>6625</v>
      </c>
      <c r="D44" s="102" t="s">
        <v>347</v>
      </c>
      <c r="E44" s="102" t="s">
        <v>280</v>
      </c>
      <c r="F44" s="102" t="s">
        <v>281</v>
      </c>
      <c r="G44" s="102" t="s">
        <v>280</v>
      </c>
      <c r="H44" s="102" t="s">
        <v>281</v>
      </c>
      <c r="I44" s="102" t="s">
        <v>284</v>
      </c>
      <c r="J44" s="102" t="s">
        <v>26</v>
      </c>
      <c r="L44" s="229" t="s">
        <v>5851</v>
      </c>
      <c r="M44" s="229" t="s">
        <v>6626</v>
      </c>
      <c r="O44" s="230"/>
      <c r="T44" s="230"/>
      <c r="U44" s="230" t="str">
        <f>IF(ISNUMBER(MATCH(B44, 'Sprint 12'!B:B, 0)), "มาจาก Sprint 12", "")</f>
        <v/>
      </c>
      <c r="V44" s="230" t="str">
        <f t="array" ref="V44">IF(ISNUMBER(MATCH(B44, 'Sprint 12'!B:B, 0)), INDEX('Sprint 12'!J:J, MATCH(B44, 'Sprint 12'!B:B, 0)), "")</f>
        <v/>
      </c>
      <c r="W44" s="230"/>
      <c r="X44" s="102" t="s">
        <v>1367</v>
      </c>
    </row>
    <row r="45">
      <c r="A45" s="102" t="s">
        <v>276</v>
      </c>
      <c r="B45" s="102" t="s">
        <v>6627</v>
      </c>
      <c r="C45" s="229" t="s">
        <v>6628</v>
      </c>
      <c r="D45" s="102" t="s">
        <v>2030</v>
      </c>
      <c r="E45" s="102" t="s">
        <v>280</v>
      </c>
      <c r="F45" s="102" t="s">
        <v>281</v>
      </c>
      <c r="G45" s="102" t="s">
        <v>280</v>
      </c>
      <c r="H45" s="102" t="s">
        <v>281</v>
      </c>
      <c r="I45" s="102" t="s">
        <v>284</v>
      </c>
      <c r="J45" s="102" t="s">
        <v>26</v>
      </c>
      <c r="L45" s="229" t="s">
        <v>5851</v>
      </c>
      <c r="M45" s="229" t="s">
        <v>5851</v>
      </c>
      <c r="O45" s="230"/>
      <c r="T45" s="230"/>
      <c r="U45" s="230" t="str">
        <f>IF(ISNUMBER(MATCH(B45, 'Sprint 12'!B:B, 0)), "มาจาก Sprint 12", "")</f>
        <v/>
      </c>
      <c r="V45" s="230" t="str">
        <f t="array" ref="V45">IF(ISNUMBER(MATCH(B45, 'Sprint 12'!B:B, 0)), INDEX('Sprint 12'!J:J, MATCH(B45, 'Sprint 12'!B:B, 0)), "")</f>
        <v/>
      </c>
      <c r="W45" s="230"/>
      <c r="X45" s="102" t="s">
        <v>1367</v>
      </c>
    </row>
    <row r="46">
      <c r="A46" s="102" t="s">
        <v>276</v>
      </c>
      <c r="B46" s="102" t="s">
        <v>5848</v>
      </c>
      <c r="C46" s="229" t="s">
        <v>5849</v>
      </c>
      <c r="D46" s="102" t="s">
        <v>5850</v>
      </c>
      <c r="E46" s="102" t="s">
        <v>3288</v>
      </c>
      <c r="F46" s="102" t="s">
        <v>3289</v>
      </c>
      <c r="G46" s="102" t="s">
        <v>3288</v>
      </c>
      <c r="H46" s="102" t="s">
        <v>3289</v>
      </c>
      <c r="I46" s="102" t="s">
        <v>284</v>
      </c>
      <c r="J46" s="102" t="s">
        <v>63</v>
      </c>
      <c r="L46" s="229" t="s">
        <v>5851</v>
      </c>
      <c r="M46" s="229" t="s">
        <v>5851</v>
      </c>
      <c r="O46" s="230"/>
      <c r="T46" s="230"/>
      <c r="U46" s="230" t="str">
        <f>IF(ISNUMBER(MATCH(B46, 'Sprint 12'!B:B, 0)), "มาจาก Sprint 12", "")</f>
        <v/>
      </c>
      <c r="V46" s="230" t="str">
        <f t="array" ref="V46">IF(ISNUMBER(MATCH(B46, 'Sprint 12'!B:B, 0)), INDEX('Sprint 12'!J:J, MATCH(B46, 'Sprint 12'!B:B, 0)), "")</f>
        <v/>
      </c>
      <c r="W46" s="230"/>
      <c r="X46" s="102" t="s">
        <v>4919</v>
      </c>
    </row>
    <row r="47">
      <c r="A47" s="102" t="s">
        <v>276</v>
      </c>
      <c r="B47" s="102" t="s">
        <v>5852</v>
      </c>
      <c r="C47" s="229" t="s">
        <v>5853</v>
      </c>
      <c r="D47" s="102" t="s">
        <v>5850</v>
      </c>
      <c r="E47" s="102" t="s">
        <v>3288</v>
      </c>
      <c r="F47" s="102" t="s">
        <v>3289</v>
      </c>
      <c r="G47" s="102" t="s">
        <v>3288</v>
      </c>
      <c r="H47" s="102" t="s">
        <v>3289</v>
      </c>
      <c r="I47" s="102" t="s">
        <v>284</v>
      </c>
      <c r="J47" s="102" t="s">
        <v>63</v>
      </c>
      <c r="L47" s="229" t="s">
        <v>5854</v>
      </c>
      <c r="M47" s="229" t="s">
        <v>5854</v>
      </c>
      <c r="O47" s="230"/>
      <c r="T47" s="230"/>
      <c r="U47" s="230" t="str">
        <f>IF(ISNUMBER(MATCH(B47, 'Sprint 12'!B:B, 0)), "มาจาก Sprint 12", "")</f>
        <v/>
      </c>
      <c r="V47" s="230" t="str">
        <f t="array" ref="V47">IF(ISNUMBER(MATCH(B47, 'Sprint 12'!B:B, 0)), INDEX('Sprint 12'!J:J, MATCH(B47, 'Sprint 12'!B:B, 0)), "")</f>
        <v/>
      </c>
      <c r="W47" s="230"/>
      <c r="X47" s="102" t="s">
        <v>4919</v>
      </c>
    </row>
    <row r="48">
      <c r="A48" s="102" t="s">
        <v>276</v>
      </c>
      <c r="B48" s="102" t="s">
        <v>6201</v>
      </c>
      <c r="C48" s="229" t="s">
        <v>6202</v>
      </c>
      <c r="D48" s="102" t="s">
        <v>5850</v>
      </c>
      <c r="E48" s="102" t="s">
        <v>3288</v>
      </c>
      <c r="F48" s="102" t="s">
        <v>3289</v>
      </c>
      <c r="G48" s="102" t="s">
        <v>3288</v>
      </c>
      <c r="H48" s="102" t="s">
        <v>3289</v>
      </c>
      <c r="I48" s="102" t="s">
        <v>284</v>
      </c>
      <c r="J48" s="102" t="s">
        <v>26</v>
      </c>
      <c r="L48" s="229" t="s">
        <v>5857</v>
      </c>
      <c r="M48" s="229" t="s">
        <v>6629</v>
      </c>
      <c r="O48" s="230"/>
      <c r="T48" s="230"/>
      <c r="U48" s="230" t="str">
        <f>IF(ISNUMBER(MATCH(B48, 'Sprint 12'!B:B, 0)), "มาจาก Sprint 12", "")</f>
        <v/>
      </c>
      <c r="V48" s="230" t="str">
        <f t="array" ref="V48">IF(ISNUMBER(MATCH(B48, 'Sprint 12'!B:B, 0)), INDEX('Sprint 12'!J:J, MATCH(B48, 'Sprint 12'!B:B, 0)), "")</f>
        <v/>
      </c>
      <c r="W48" s="230"/>
      <c r="X48" s="102" t="s">
        <v>4919</v>
      </c>
    </row>
    <row r="49">
      <c r="A49" s="102" t="s">
        <v>276</v>
      </c>
      <c r="B49" s="102" t="s">
        <v>6204</v>
      </c>
      <c r="C49" s="229" t="s">
        <v>6205</v>
      </c>
      <c r="D49" s="102" t="s">
        <v>5850</v>
      </c>
      <c r="E49" s="102" t="s">
        <v>3288</v>
      </c>
      <c r="F49" s="102" t="s">
        <v>3289</v>
      </c>
      <c r="G49" s="102" t="s">
        <v>3288</v>
      </c>
      <c r="H49" s="102" t="s">
        <v>3289</v>
      </c>
      <c r="I49" s="102" t="s">
        <v>284</v>
      </c>
      <c r="J49" s="102" t="s">
        <v>26</v>
      </c>
      <c r="L49" s="229" t="s">
        <v>5857</v>
      </c>
      <c r="M49" s="229" t="s">
        <v>6629</v>
      </c>
      <c r="O49" s="230"/>
      <c r="T49" s="230"/>
      <c r="U49" s="230" t="str">
        <f>IF(ISNUMBER(MATCH(B49, 'Sprint 12'!B:B, 0)), "มาจาก Sprint 12", "")</f>
        <v/>
      </c>
      <c r="V49" s="230" t="str">
        <f t="array" ref="V49">IF(ISNUMBER(MATCH(B49, 'Sprint 12'!B:B, 0)), INDEX('Sprint 12'!J:J, MATCH(B49, 'Sprint 12'!B:B, 0)), "")</f>
        <v/>
      </c>
      <c r="W49" s="230"/>
      <c r="X49" s="102" t="s">
        <v>4919</v>
      </c>
    </row>
    <row r="50">
      <c r="A50" s="102" t="s">
        <v>276</v>
      </c>
      <c r="B50" s="102" t="s">
        <v>6207</v>
      </c>
      <c r="C50" s="229" t="s">
        <v>6208</v>
      </c>
      <c r="D50" s="102" t="s">
        <v>5850</v>
      </c>
      <c r="E50" s="102" t="s">
        <v>3288</v>
      </c>
      <c r="F50" s="102" t="s">
        <v>3289</v>
      </c>
      <c r="G50" s="102" t="s">
        <v>3288</v>
      </c>
      <c r="H50" s="102" t="s">
        <v>3289</v>
      </c>
      <c r="I50" s="102" t="s">
        <v>284</v>
      </c>
      <c r="J50" s="102" t="s">
        <v>26</v>
      </c>
      <c r="L50" s="229" t="s">
        <v>5857</v>
      </c>
      <c r="M50" s="229" t="s">
        <v>6213</v>
      </c>
      <c r="O50" s="230"/>
      <c r="T50" s="230"/>
      <c r="U50" s="230" t="str">
        <f>IF(ISNUMBER(MATCH(B50, 'Sprint 12'!B:B, 0)), "มาจาก Sprint 12", "")</f>
        <v/>
      </c>
      <c r="V50" s="230" t="str">
        <f t="array" ref="V50">IF(ISNUMBER(MATCH(B50, 'Sprint 12'!B:B, 0)), INDEX('Sprint 12'!J:J, MATCH(B50, 'Sprint 12'!B:B, 0)), "")</f>
        <v/>
      </c>
      <c r="W50" s="230"/>
      <c r="X50" s="102" t="s">
        <v>4919</v>
      </c>
    </row>
    <row r="51">
      <c r="A51" s="102" t="s">
        <v>276</v>
      </c>
      <c r="B51" s="102" t="s">
        <v>5855</v>
      </c>
      <c r="C51" s="229" t="s">
        <v>5856</v>
      </c>
      <c r="D51" s="102" t="s">
        <v>5850</v>
      </c>
      <c r="E51" s="102" t="s">
        <v>3288</v>
      </c>
      <c r="F51" s="102" t="s">
        <v>3289</v>
      </c>
      <c r="G51" s="102" t="s">
        <v>3288</v>
      </c>
      <c r="H51" s="102" t="s">
        <v>3289</v>
      </c>
      <c r="I51" s="102" t="s">
        <v>284</v>
      </c>
      <c r="J51" s="102" t="s">
        <v>34</v>
      </c>
      <c r="L51" s="229" t="s">
        <v>5857</v>
      </c>
      <c r="M51" s="229" t="s">
        <v>6216</v>
      </c>
      <c r="O51" s="230"/>
      <c r="T51" s="230"/>
      <c r="U51" s="230" t="str">
        <f>IF(ISNUMBER(MATCH(B51, 'Sprint 12'!B:B, 0)), "มาจาก Sprint 12", "")</f>
        <v/>
      </c>
      <c r="V51" s="230" t="str">
        <f t="array" ref="V51">IF(ISNUMBER(MATCH(B51, 'Sprint 12'!B:B, 0)), INDEX('Sprint 12'!J:J, MATCH(B51, 'Sprint 12'!B:B, 0)), "")</f>
        <v/>
      </c>
      <c r="W51" s="230"/>
      <c r="X51" s="102" t="s">
        <v>4919</v>
      </c>
    </row>
    <row r="52">
      <c r="A52" s="102" t="s">
        <v>276</v>
      </c>
      <c r="B52" s="102" t="s">
        <v>6210</v>
      </c>
      <c r="C52" s="229" t="s">
        <v>6211</v>
      </c>
      <c r="D52" s="102" t="s">
        <v>5850</v>
      </c>
      <c r="E52" s="102" t="s">
        <v>3288</v>
      </c>
      <c r="F52" s="102" t="s">
        <v>3289</v>
      </c>
      <c r="G52" s="102" t="s">
        <v>3288</v>
      </c>
      <c r="H52" s="102" t="s">
        <v>3289</v>
      </c>
      <c r="I52" s="102" t="s">
        <v>284</v>
      </c>
      <c r="J52" s="102" t="s">
        <v>26</v>
      </c>
      <c r="L52" s="229" t="s">
        <v>6212</v>
      </c>
      <c r="M52" s="229" t="s">
        <v>6213</v>
      </c>
      <c r="N52" s="102"/>
      <c r="O52" s="102"/>
      <c r="P52" s="102"/>
      <c r="T52" s="102"/>
      <c r="U52" s="230" t="str">
        <f>IF(ISNUMBER(MATCH(B52, 'Sprint 12'!B:B, 0)), "มาจาก Sprint 12", "")</f>
        <v/>
      </c>
      <c r="V52" s="230" t="str">
        <f t="array" ref="V52">IF(ISNUMBER(MATCH(B52, 'Sprint 12'!B:B, 0)), INDEX('Sprint 12'!J:J, MATCH(B52, 'Sprint 12'!B:B, 0)), "")</f>
        <v/>
      </c>
      <c r="W52" s="102"/>
      <c r="X52" s="102" t="s">
        <v>4919</v>
      </c>
    </row>
    <row r="53">
      <c r="A53" s="102" t="s">
        <v>276</v>
      </c>
      <c r="B53" s="102" t="s">
        <v>6214</v>
      </c>
      <c r="C53" s="229" t="s">
        <v>6215</v>
      </c>
      <c r="D53" s="102" t="s">
        <v>5850</v>
      </c>
      <c r="E53" s="102" t="s">
        <v>3288</v>
      </c>
      <c r="F53" s="102" t="s">
        <v>3289</v>
      </c>
      <c r="G53" s="102" t="s">
        <v>3288</v>
      </c>
      <c r="H53" s="102" t="s">
        <v>3289</v>
      </c>
      <c r="I53" s="102" t="s">
        <v>284</v>
      </c>
      <c r="J53" s="102" t="s">
        <v>26</v>
      </c>
      <c r="L53" s="229" t="s">
        <v>6212</v>
      </c>
      <c r="M53" s="229" t="s">
        <v>6216</v>
      </c>
      <c r="N53" s="102"/>
      <c r="O53" s="102"/>
      <c r="P53" s="102"/>
      <c r="T53" s="102"/>
      <c r="U53" s="230" t="str">
        <f>IF(ISNUMBER(MATCH(B53, 'Sprint 12'!B:B, 0)), "มาจาก Sprint 12", "")</f>
        <v/>
      </c>
      <c r="V53" s="230" t="str">
        <f t="array" ref="V53">IF(ISNUMBER(MATCH(B53, 'Sprint 12'!B:B, 0)), INDEX('Sprint 12'!J:J, MATCH(B53, 'Sprint 12'!B:B, 0)), "")</f>
        <v/>
      </c>
      <c r="W53" s="102"/>
      <c r="X53" s="102" t="s">
        <v>4919</v>
      </c>
    </row>
    <row r="54">
      <c r="A54" s="102" t="s">
        <v>276</v>
      </c>
      <c r="B54" s="102" t="s">
        <v>6217</v>
      </c>
      <c r="C54" s="229" t="s">
        <v>6218</v>
      </c>
      <c r="D54" s="102" t="s">
        <v>5850</v>
      </c>
      <c r="E54" s="102" t="s">
        <v>3288</v>
      </c>
      <c r="F54" s="102" t="s">
        <v>3289</v>
      </c>
      <c r="G54" s="102" t="s">
        <v>3288</v>
      </c>
      <c r="H54" s="102" t="s">
        <v>3289</v>
      </c>
      <c r="I54" s="102" t="s">
        <v>284</v>
      </c>
      <c r="J54" s="102" t="s">
        <v>26</v>
      </c>
      <c r="L54" s="229" t="s">
        <v>6212</v>
      </c>
      <c r="M54" s="229" t="s">
        <v>5851</v>
      </c>
      <c r="N54" s="102"/>
      <c r="O54" s="102"/>
      <c r="P54" s="102"/>
      <c r="T54" s="102"/>
      <c r="U54" s="230" t="str">
        <f>IF(ISNUMBER(MATCH(B54, 'Sprint 12'!B:B, 0)), "มาจาก Sprint 12", "")</f>
        <v/>
      </c>
      <c r="V54" s="230" t="str">
        <f t="array" ref="V54">IF(ISNUMBER(MATCH(B54, 'Sprint 12'!B:B, 0)), INDEX('Sprint 12'!J:J, MATCH(B54, 'Sprint 12'!B:B, 0)), "")</f>
        <v/>
      </c>
      <c r="W54" s="102"/>
      <c r="X54" s="102" t="s">
        <v>4919</v>
      </c>
    </row>
    <row r="55">
      <c r="A55" s="102" t="s">
        <v>276</v>
      </c>
      <c r="B55" s="102" t="s">
        <v>6219</v>
      </c>
      <c r="C55" s="229" t="s">
        <v>6220</v>
      </c>
      <c r="D55" s="102" t="s">
        <v>5850</v>
      </c>
      <c r="E55" s="102" t="s">
        <v>3288</v>
      </c>
      <c r="F55" s="102" t="s">
        <v>3289</v>
      </c>
      <c r="G55" s="102" t="s">
        <v>3288</v>
      </c>
      <c r="H55" s="102" t="s">
        <v>3289</v>
      </c>
      <c r="I55" s="102" t="s">
        <v>284</v>
      </c>
      <c r="J55" s="102" t="s">
        <v>26</v>
      </c>
      <c r="L55" s="229" t="s">
        <v>6212</v>
      </c>
      <c r="M55" s="229" t="s">
        <v>5851</v>
      </c>
      <c r="O55" s="230"/>
      <c r="T55" s="230"/>
      <c r="U55" s="230" t="str">
        <f>IF(ISNUMBER(MATCH(B55, 'Sprint 12'!B:B, 0)), "มาจาก Sprint 12", "")</f>
        <v/>
      </c>
      <c r="V55" s="230" t="str">
        <f t="array" ref="V55">IF(ISNUMBER(MATCH(B55, 'Sprint 12'!B:B, 0)), INDEX('Sprint 12'!J:J, MATCH(B55, 'Sprint 12'!B:B, 0)), "")</f>
        <v/>
      </c>
      <c r="W55" s="230"/>
      <c r="X55" s="102" t="s">
        <v>4919</v>
      </c>
    </row>
    <row r="56">
      <c r="A56" s="102" t="s">
        <v>310</v>
      </c>
      <c r="B56" s="102" t="s">
        <v>6630</v>
      </c>
      <c r="C56" s="229" t="s">
        <v>6631</v>
      </c>
      <c r="D56" s="102" t="s">
        <v>6632</v>
      </c>
      <c r="E56" s="102" t="s">
        <v>513</v>
      </c>
      <c r="F56" s="102" t="s">
        <v>514</v>
      </c>
      <c r="G56" s="102" t="s">
        <v>513</v>
      </c>
      <c r="H56" s="102" t="s">
        <v>514</v>
      </c>
      <c r="I56" s="102" t="s">
        <v>284</v>
      </c>
      <c r="J56" s="102" t="s">
        <v>26</v>
      </c>
      <c r="L56" s="229" t="s">
        <v>6633</v>
      </c>
      <c r="M56" s="229" t="s">
        <v>6618</v>
      </c>
      <c r="N56" s="229" t="s">
        <v>6356</v>
      </c>
      <c r="O56" s="102">
        <v>1.0</v>
      </c>
      <c r="P56" s="102" t="s">
        <v>593</v>
      </c>
      <c r="T56" s="102">
        <v>7200.0</v>
      </c>
      <c r="U56" s="230" t="str">
        <f>IF(ISNUMBER(MATCH(B56, 'Sprint 12'!B:B, 0)), "มาจาก Sprint 12", "")</f>
        <v/>
      </c>
      <c r="V56" s="230" t="str">
        <f t="array" ref="V56">IF(ISNUMBER(MATCH(B56, 'Sprint 12'!B:B, 0)), INDEX('Sprint 12'!J:J, MATCH(B56, 'Sprint 12'!B:B, 0)), "")</f>
        <v/>
      </c>
      <c r="W56" s="102"/>
      <c r="X56" s="102" t="s">
        <v>6504</v>
      </c>
    </row>
    <row r="57">
      <c r="A57" s="102" t="s">
        <v>310</v>
      </c>
      <c r="B57" s="102" t="s">
        <v>6634</v>
      </c>
      <c r="C57" s="229" t="s">
        <v>6635</v>
      </c>
      <c r="D57" s="102" t="s">
        <v>6636</v>
      </c>
      <c r="E57" s="102" t="s">
        <v>513</v>
      </c>
      <c r="F57" s="102" t="s">
        <v>514</v>
      </c>
      <c r="G57" s="102" t="s">
        <v>513</v>
      </c>
      <c r="H57" s="102" t="s">
        <v>514</v>
      </c>
      <c r="I57" s="102" t="s">
        <v>284</v>
      </c>
      <c r="J57" s="102" t="s">
        <v>26</v>
      </c>
      <c r="L57" s="229" t="s">
        <v>6637</v>
      </c>
      <c r="M57" s="229" t="s">
        <v>6618</v>
      </c>
      <c r="N57" s="229" t="s">
        <v>6356</v>
      </c>
      <c r="O57" s="102">
        <v>1.0</v>
      </c>
      <c r="P57" s="102" t="s">
        <v>593</v>
      </c>
      <c r="T57" s="102">
        <v>7200.0</v>
      </c>
      <c r="U57" s="230" t="str">
        <f>IF(ISNUMBER(MATCH(B57, 'Sprint 12'!B:B, 0)), "มาจาก Sprint 12", "")</f>
        <v/>
      </c>
      <c r="V57" s="230" t="str">
        <f t="array" ref="V57">IF(ISNUMBER(MATCH(B57, 'Sprint 12'!B:B, 0)), INDEX('Sprint 12'!J:J, MATCH(B57, 'Sprint 12'!B:B, 0)), "")</f>
        <v/>
      </c>
      <c r="W57" s="102"/>
      <c r="X57" s="102" t="s">
        <v>6504</v>
      </c>
    </row>
    <row r="58">
      <c r="A58" s="102" t="s">
        <v>310</v>
      </c>
      <c r="B58" s="102" t="s">
        <v>6638</v>
      </c>
      <c r="C58" s="229" t="s">
        <v>6639</v>
      </c>
      <c r="D58" s="102" t="s">
        <v>6640</v>
      </c>
      <c r="E58" s="102" t="s">
        <v>513</v>
      </c>
      <c r="F58" s="102" t="s">
        <v>514</v>
      </c>
      <c r="G58" s="102" t="s">
        <v>513</v>
      </c>
      <c r="H58" s="102" t="s">
        <v>514</v>
      </c>
      <c r="I58" s="102" t="s">
        <v>284</v>
      </c>
      <c r="J58" s="102" t="s">
        <v>26</v>
      </c>
      <c r="L58" s="229" t="s">
        <v>6641</v>
      </c>
      <c r="M58" s="229" t="s">
        <v>6618</v>
      </c>
      <c r="N58" s="229" t="s">
        <v>6356</v>
      </c>
      <c r="O58" s="102">
        <v>1.0</v>
      </c>
      <c r="P58" s="102" t="s">
        <v>593</v>
      </c>
      <c r="T58" s="102">
        <v>7200.0</v>
      </c>
      <c r="U58" s="230" t="str">
        <f>IF(ISNUMBER(MATCH(B58, 'Sprint 12'!B:B, 0)), "มาจาก Sprint 12", "")</f>
        <v/>
      </c>
      <c r="V58" s="230" t="str">
        <f t="array" ref="V58">IF(ISNUMBER(MATCH(B58, 'Sprint 12'!B:B, 0)), INDEX('Sprint 12'!J:J, MATCH(B58, 'Sprint 12'!B:B, 0)), "")</f>
        <v/>
      </c>
      <c r="W58" s="102"/>
      <c r="X58" s="102" t="s">
        <v>6504</v>
      </c>
    </row>
    <row r="59">
      <c r="A59" s="102" t="s">
        <v>310</v>
      </c>
      <c r="B59" s="102" t="s">
        <v>5543</v>
      </c>
      <c r="C59" s="229" t="s">
        <v>5544</v>
      </c>
      <c r="D59" s="102" t="s">
        <v>5545</v>
      </c>
      <c r="E59" s="102"/>
      <c r="F59" s="102"/>
      <c r="G59" s="102" t="s">
        <v>353</v>
      </c>
      <c r="H59" s="102" t="s">
        <v>354</v>
      </c>
      <c r="I59" s="102" t="s">
        <v>284</v>
      </c>
      <c r="J59" s="102" t="s">
        <v>63</v>
      </c>
      <c r="L59" s="229" t="s">
        <v>5546</v>
      </c>
      <c r="M59" s="229" t="s">
        <v>6642</v>
      </c>
      <c r="N59" s="102"/>
      <c r="O59" s="102"/>
      <c r="T59" s="102"/>
      <c r="U59" s="230" t="str">
        <f>IF(ISNUMBER(MATCH(B59, 'Sprint 12'!B:B, 0)), "มาจาก Sprint 12", "")</f>
        <v/>
      </c>
      <c r="V59" s="230" t="str">
        <f t="array" ref="V59">IF(ISNUMBER(MATCH(B59, 'Sprint 12'!B:B, 0)), INDEX('Sprint 12'!J:J, MATCH(B59, 'Sprint 12'!B:B, 0)), "")</f>
        <v/>
      </c>
      <c r="W59" s="102"/>
      <c r="X59" s="102" t="s">
        <v>4919</v>
      </c>
    </row>
    <row r="60">
      <c r="A60" s="102" t="s">
        <v>276</v>
      </c>
      <c r="B60" s="102" t="s">
        <v>6643</v>
      </c>
      <c r="C60" s="229" t="s">
        <v>6644</v>
      </c>
      <c r="D60" s="102" t="s">
        <v>347</v>
      </c>
      <c r="E60" s="102" t="s">
        <v>280</v>
      </c>
      <c r="F60" s="102" t="s">
        <v>281</v>
      </c>
      <c r="G60" s="102" t="s">
        <v>280</v>
      </c>
      <c r="H60" s="102" t="s">
        <v>281</v>
      </c>
      <c r="I60" s="102" t="s">
        <v>284</v>
      </c>
      <c r="J60" s="102" t="s">
        <v>26</v>
      </c>
      <c r="L60" s="229" t="s">
        <v>6645</v>
      </c>
      <c r="M60" s="229" t="s">
        <v>6646</v>
      </c>
      <c r="N60" s="102"/>
      <c r="O60" s="102"/>
      <c r="P60" s="102"/>
      <c r="T60" s="102"/>
      <c r="U60" s="230" t="str">
        <f>IF(ISNUMBER(MATCH(B60, 'Sprint 12'!B:B, 0)), "มาจาก Sprint 12", "")</f>
        <v/>
      </c>
      <c r="V60" s="230" t="str">
        <f t="array" ref="V60">IF(ISNUMBER(MATCH(B60, 'Sprint 12'!B:B, 0)), INDEX('Sprint 12'!J:J, MATCH(B60, 'Sprint 12'!B:B, 0)), "")</f>
        <v/>
      </c>
      <c r="W60" s="102"/>
      <c r="X60" s="102" t="s">
        <v>1367</v>
      </c>
    </row>
    <row r="61">
      <c r="A61" s="102" t="s">
        <v>276</v>
      </c>
      <c r="B61" s="102" t="s">
        <v>6647</v>
      </c>
      <c r="C61" s="229" t="s">
        <v>6648</v>
      </c>
      <c r="D61" s="102" t="s">
        <v>2030</v>
      </c>
      <c r="E61" s="102" t="s">
        <v>280</v>
      </c>
      <c r="F61" s="102" t="s">
        <v>281</v>
      </c>
      <c r="G61" s="102" t="s">
        <v>280</v>
      </c>
      <c r="H61" s="102" t="s">
        <v>281</v>
      </c>
      <c r="I61" s="102" t="s">
        <v>284</v>
      </c>
      <c r="J61" s="102" t="s">
        <v>26</v>
      </c>
      <c r="L61" s="229" t="s">
        <v>6645</v>
      </c>
      <c r="M61" s="229" t="s">
        <v>6645</v>
      </c>
      <c r="O61" s="230"/>
      <c r="T61" s="230"/>
      <c r="U61" s="230" t="str">
        <f>IF(ISNUMBER(MATCH(B61, 'Sprint 12'!B:B, 0)), "มาจาก Sprint 12", "")</f>
        <v/>
      </c>
      <c r="V61" s="230" t="str">
        <f t="array" ref="V61">IF(ISNUMBER(MATCH(B61, 'Sprint 12'!B:B, 0)), INDEX('Sprint 12'!J:J, MATCH(B61, 'Sprint 12'!B:B, 0)), "")</f>
        <v/>
      </c>
      <c r="W61" s="230"/>
      <c r="X61" s="102" t="s">
        <v>1367</v>
      </c>
      <c r="Y61" s="102"/>
    </row>
    <row r="62">
      <c r="A62" s="102" t="s">
        <v>310</v>
      </c>
      <c r="B62" s="102" t="s">
        <v>6649</v>
      </c>
      <c r="C62" s="229" t="s">
        <v>6650</v>
      </c>
      <c r="D62" s="102" t="s">
        <v>6651</v>
      </c>
      <c r="E62" s="102" t="s">
        <v>362</v>
      </c>
      <c r="F62" s="102" t="s">
        <v>363</v>
      </c>
      <c r="G62" s="102" t="s">
        <v>316</v>
      </c>
      <c r="H62" s="102" t="s">
        <v>317</v>
      </c>
      <c r="I62" s="102" t="s">
        <v>284</v>
      </c>
      <c r="J62" s="102" t="s">
        <v>26</v>
      </c>
      <c r="L62" s="229" t="s">
        <v>6652</v>
      </c>
      <c r="M62" s="229" t="s">
        <v>6653</v>
      </c>
      <c r="N62" s="229" t="s">
        <v>6332</v>
      </c>
      <c r="O62" s="230"/>
      <c r="P62" s="102" t="s">
        <v>670</v>
      </c>
      <c r="T62" s="230"/>
      <c r="U62" s="230" t="str">
        <f>IF(ISNUMBER(MATCH(B62, 'Sprint 12'!B:B, 0)), "มาจาก Sprint 12", "")</f>
        <v/>
      </c>
      <c r="V62" s="230" t="str">
        <f t="array" ref="V62">IF(ISNUMBER(MATCH(B62, 'Sprint 12'!B:B, 0)), INDEX('Sprint 12'!J:J, MATCH(B62, 'Sprint 12'!B:B, 0)), "")</f>
        <v/>
      </c>
      <c r="W62" s="230"/>
      <c r="X62" s="102" t="s">
        <v>4919</v>
      </c>
      <c r="Y62" s="102"/>
    </row>
    <row r="63">
      <c r="A63" s="102" t="s">
        <v>310</v>
      </c>
      <c r="B63" s="102" t="s">
        <v>6654</v>
      </c>
      <c r="C63" s="229" t="s">
        <v>6655</v>
      </c>
      <c r="D63" s="102" t="s">
        <v>6656</v>
      </c>
      <c r="E63" s="102" t="s">
        <v>6315</v>
      </c>
      <c r="F63" s="102" t="s">
        <v>6316</v>
      </c>
      <c r="G63" s="102" t="s">
        <v>353</v>
      </c>
      <c r="H63" s="102" t="s">
        <v>354</v>
      </c>
      <c r="I63" s="102" t="s">
        <v>284</v>
      </c>
      <c r="J63" s="102" t="s">
        <v>26</v>
      </c>
      <c r="L63" s="229" t="s">
        <v>6657</v>
      </c>
      <c r="M63" s="229" t="s">
        <v>6658</v>
      </c>
      <c r="O63" s="230"/>
      <c r="T63" s="230"/>
      <c r="U63" s="230" t="str">
        <f>IF(ISNUMBER(MATCH(B63, 'Sprint 12'!B:B, 0)), "มาจาก Sprint 12", "")</f>
        <v/>
      </c>
      <c r="V63" s="230" t="str">
        <f t="array" ref="V63">IF(ISNUMBER(MATCH(B63, 'Sprint 12'!B:B, 0)), INDEX('Sprint 12'!J:J, MATCH(B63, 'Sprint 12'!B:B, 0)), "")</f>
        <v/>
      </c>
      <c r="W63" s="230"/>
      <c r="X63" s="102" t="s">
        <v>4919</v>
      </c>
    </row>
    <row r="64">
      <c r="A64" s="102" t="s">
        <v>310</v>
      </c>
      <c r="B64" s="102" t="s">
        <v>6659</v>
      </c>
      <c r="C64" s="229" t="s">
        <v>6660</v>
      </c>
      <c r="D64" s="102" t="s">
        <v>6661</v>
      </c>
      <c r="E64" s="102" t="s">
        <v>556</v>
      </c>
      <c r="F64" s="102" t="s">
        <v>557</v>
      </c>
      <c r="G64" s="102" t="s">
        <v>353</v>
      </c>
      <c r="H64" s="102" t="s">
        <v>354</v>
      </c>
      <c r="I64" s="102" t="s">
        <v>284</v>
      </c>
      <c r="J64" s="102" t="s">
        <v>26</v>
      </c>
      <c r="L64" s="229" t="s">
        <v>6662</v>
      </c>
      <c r="M64" s="229" t="s">
        <v>6658</v>
      </c>
      <c r="N64" s="229" t="s">
        <v>6332</v>
      </c>
      <c r="O64" s="102">
        <v>1.0</v>
      </c>
      <c r="T64" s="102">
        <v>7200.0</v>
      </c>
      <c r="U64" s="230" t="str">
        <f>IF(ISNUMBER(MATCH(B64, 'Sprint 12'!B:B, 0)), "มาจาก Sprint 12", "")</f>
        <v/>
      </c>
      <c r="V64" s="230" t="str">
        <f t="array" ref="V64">IF(ISNUMBER(MATCH(B64, 'Sprint 12'!B:B, 0)), INDEX('Sprint 12'!J:J, MATCH(B64, 'Sprint 12'!B:B, 0)), "")</f>
        <v/>
      </c>
      <c r="W64" s="102"/>
      <c r="X64" s="102" t="s">
        <v>4919</v>
      </c>
    </row>
    <row r="65">
      <c r="A65" s="102" t="s">
        <v>310</v>
      </c>
      <c r="B65" s="102" t="s">
        <v>6663</v>
      </c>
      <c r="C65" s="229" t="s">
        <v>6664</v>
      </c>
      <c r="D65" s="102" t="s">
        <v>6665</v>
      </c>
      <c r="E65" s="102" t="s">
        <v>513</v>
      </c>
      <c r="F65" s="102" t="s">
        <v>514</v>
      </c>
      <c r="G65" s="102" t="s">
        <v>513</v>
      </c>
      <c r="H65" s="102" t="s">
        <v>514</v>
      </c>
      <c r="I65" s="102" t="s">
        <v>284</v>
      </c>
      <c r="J65" s="102" t="s">
        <v>26</v>
      </c>
      <c r="L65" s="229" t="s">
        <v>6666</v>
      </c>
      <c r="M65" s="229" t="s">
        <v>6667</v>
      </c>
      <c r="N65" s="229" t="s">
        <v>5869</v>
      </c>
      <c r="O65" s="102">
        <v>2.0</v>
      </c>
      <c r="P65" s="102" t="s">
        <v>593</v>
      </c>
      <c r="T65" s="102">
        <v>14400.0</v>
      </c>
      <c r="U65" s="230" t="str">
        <f>IF(ISNUMBER(MATCH(B65, 'Sprint 12'!B:B, 0)), "มาจาก Sprint 12", "")</f>
        <v/>
      </c>
      <c r="V65" s="230" t="str">
        <f t="array" ref="V65">IF(ISNUMBER(MATCH(B65, 'Sprint 12'!B:B, 0)), INDEX('Sprint 12'!J:J, MATCH(B65, 'Sprint 12'!B:B, 0)), "")</f>
        <v/>
      </c>
      <c r="W65" s="102"/>
      <c r="X65" s="102" t="s">
        <v>6504</v>
      </c>
    </row>
    <row r="66">
      <c r="A66" s="102" t="s">
        <v>276</v>
      </c>
      <c r="B66" s="102" t="s">
        <v>6229</v>
      </c>
      <c r="C66" s="229" t="s">
        <v>6230</v>
      </c>
      <c r="D66" s="102" t="s">
        <v>6231</v>
      </c>
      <c r="E66" s="102" t="s">
        <v>521</v>
      </c>
      <c r="F66" s="102" t="s">
        <v>522</v>
      </c>
      <c r="G66" s="102" t="s">
        <v>521</v>
      </c>
      <c r="H66" s="102" t="s">
        <v>522</v>
      </c>
      <c r="I66" s="102" t="s">
        <v>284</v>
      </c>
      <c r="J66" s="102" t="s">
        <v>34</v>
      </c>
      <c r="L66" s="229" t="s">
        <v>6232</v>
      </c>
      <c r="M66" s="229" t="s">
        <v>6668</v>
      </c>
      <c r="O66" s="230"/>
      <c r="T66" s="230"/>
      <c r="U66" s="230" t="str">
        <f>IF(ISNUMBER(MATCH(B66, 'Sprint 12'!B:B, 0)), "มาจาก Sprint 12", "")</f>
        <v/>
      </c>
      <c r="V66" s="230" t="str">
        <f t="array" ref="V66">IF(ISNUMBER(MATCH(B66, 'Sprint 12'!B:B, 0)), INDEX('Sprint 12'!J:J, MATCH(B66, 'Sprint 12'!B:B, 0)), "")</f>
        <v/>
      </c>
      <c r="W66" s="230"/>
      <c r="X66" s="102" t="s">
        <v>2205</v>
      </c>
      <c r="Y66" s="102" t="s">
        <v>2196</v>
      </c>
      <c r="Z66" s="102" t="s">
        <v>2185</v>
      </c>
    </row>
    <row r="67">
      <c r="A67" s="102" t="s">
        <v>276</v>
      </c>
      <c r="B67" s="102" t="s">
        <v>6234</v>
      </c>
      <c r="C67" s="229" t="s">
        <v>6235</v>
      </c>
      <c r="D67" s="102" t="s">
        <v>6236</v>
      </c>
      <c r="E67" s="102" t="s">
        <v>521</v>
      </c>
      <c r="F67" s="102" t="s">
        <v>522</v>
      </c>
      <c r="G67" s="102" t="s">
        <v>521</v>
      </c>
      <c r="H67" s="102" t="s">
        <v>522</v>
      </c>
      <c r="I67" s="102" t="s">
        <v>284</v>
      </c>
      <c r="J67" s="102" t="s">
        <v>26</v>
      </c>
      <c r="L67" s="229" t="s">
        <v>6237</v>
      </c>
      <c r="M67" s="229" t="s">
        <v>6238</v>
      </c>
      <c r="O67" s="230"/>
      <c r="T67" s="230"/>
      <c r="U67" s="230" t="str">
        <f>IF(ISNUMBER(MATCH(B67, 'Sprint 12'!B:B, 0)), "มาจาก Sprint 12", "")</f>
        <v/>
      </c>
      <c r="V67" s="230" t="str">
        <f t="array" ref="V67">IF(ISNUMBER(MATCH(B67, 'Sprint 12'!B:B, 0)), INDEX('Sprint 12'!J:J, MATCH(B67, 'Sprint 12'!B:B, 0)), "")</f>
        <v/>
      </c>
      <c r="W67" s="230"/>
      <c r="X67" s="102" t="s">
        <v>2205</v>
      </c>
      <c r="Y67" s="102" t="s">
        <v>2196</v>
      </c>
      <c r="Z67" s="102" t="s">
        <v>2185</v>
      </c>
    </row>
    <row r="68">
      <c r="A68" s="102" t="s">
        <v>276</v>
      </c>
      <c r="B68" s="102" t="s">
        <v>6239</v>
      </c>
      <c r="C68" s="229" t="s">
        <v>6240</v>
      </c>
      <c r="D68" s="102" t="s">
        <v>6241</v>
      </c>
      <c r="E68" s="102" t="s">
        <v>521</v>
      </c>
      <c r="F68" s="102" t="s">
        <v>522</v>
      </c>
      <c r="G68" s="102" t="s">
        <v>521</v>
      </c>
      <c r="H68" s="102" t="s">
        <v>522</v>
      </c>
      <c r="I68" s="102" t="s">
        <v>284</v>
      </c>
      <c r="J68" s="102" t="s">
        <v>63</v>
      </c>
      <c r="L68" s="229" t="s">
        <v>6242</v>
      </c>
      <c r="M68" s="229" t="s">
        <v>6242</v>
      </c>
      <c r="O68" s="230"/>
      <c r="T68" s="230"/>
      <c r="U68" s="230" t="str">
        <f>IF(ISNUMBER(MATCH(B68, 'Sprint 12'!B:B, 0)), "มาจาก Sprint 12", "")</f>
        <v/>
      </c>
      <c r="V68" s="230" t="str">
        <f t="array" ref="V68">IF(ISNUMBER(MATCH(B68, 'Sprint 12'!B:B, 0)), INDEX('Sprint 12'!J:J, MATCH(B68, 'Sprint 12'!B:B, 0)), "")</f>
        <v/>
      </c>
      <c r="W68" s="230"/>
      <c r="X68" s="102" t="s">
        <v>2196</v>
      </c>
      <c r="Y68" s="102" t="s">
        <v>2185</v>
      </c>
    </row>
    <row r="69">
      <c r="A69" s="102" t="s">
        <v>276</v>
      </c>
      <c r="B69" s="102" t="s">
        <v>6244</v>
      </c>
      <c r="C69" s="229" t="s">
        <v>6245</v>
      </c>
      <c r="D69" s="102" t="s">
        <v>6246</v>
      </c>
      <c r="E69" s="102" t="s">
        <v>521</v>
      </c>
      <c r="F69" s="102" t="s">
        <v>522</v>
      </c>
      <c r="G69" s="102" t="s">
        <v>521</v>
      </c>
      <c r="H69" s="102" t="s">
        <v>522</v>
      </c>
      <c r="I69" s="102" t="s">
        <v>284</v>
      </c>
      <c r="J69" s="102" t="s">
        <v>63</v>
      </c>
      <c r="L69" s="229" t="s">
        <v>6242</v>
      </c>
      <c r="M69" s="229" t="s">
        <v>6242</v>
      </c>
      <c r="O69" s="230"/>
      <c r="T69" s="230"/>
      <c r="U69" s="230" t="str">
        <f>IF(ISNUMBER(MATCH(B69, 'Sprint 12'!B:B, 0)), "มาจาก Sprint 12", "")</f>
        <v/>
      </c>
      <c r="V69" s="230" t="str">
        <f t="array" ref="V69">IF(ISNUMBER(MATCH(B69, 'Sprint 12'!B:B, 0)), INDEX('Sprint 12'!J:J, MATCH(B69, 'Sprint 12'!B:B, 0)), "")</f>
        <v/>
      </c>
      <c r="W69" s="230"/>
      <c r="X69" s="102" t="s">
        <v>2196</v>
      </c>
      <c r="Y69" s="102" t="s">
        <v>2185</v>
      </c>
    </row>
    <row r="70">
      <c r="A70" s="102" t="s">
        <v>276</v>
      </c>
      <c r="B70" s="102" t="s">
        <v>6248</v>
      </c>
      <c r="C70" s="229" t="s">
        <v>6249</v>
      </c>
      <c r="D70" s="102" t="s">
        <v>6250</v>
      </c>
      <c r="E70" s="102" t="s">
        <v>521</v>
      </c>
      <c r="F70" s="102" t="s">
        <v>522</v>
      </c>
      <c r="G70" s="102" t="s">
        <v>521</v>
      </c>
      <c r="H70" s="102" t="s">
        <v>522</v>
      </c>
      <c r="I70" s="102" t="s">
        <v>284</v>
      </c>
      <c r="J70" s="102" t="s">
        <v>63</v>
      </c>
      <c r="L70" s="229" t="s">
        <v>6251</v>
      </c>
      <c r="M70" s="229" t="s">
        <v>6251</v>
      </c>
      <c r="O70" s="230"/>
      <c r="T70" s="230"/>
      <c r="U70" s="230" t="str">
        <f>IF(ISNUMBER(MATCH(B70, 'Sprint 12'!B:B, 0)), "มาจาก Sprint 12", "")</f>
        <v/>
      </c>
      <c r="V70" s="230" t="str">
        <f t="array" ref="V70">IF(ISNUMBER(MATCH(B70, 'Sprint 12'!B:B, 0)), INDEX('Sprint 12'!J:J, MATCH(B70, 'Sprint 12'!B:B, 0)), "")</f>
        <v/>
      </c>
      <c r="W70" s="230"/>
      <c r="X70" s="102" t="s">
        <v>2196</v>
      </c>
      <c r="Y70" s="102" t="s">
        <v>2185</v>
      </c>
    </row>
    <row r="71">
      <c r="A71" s="102" t="s">
        <v>276</v>
      </c>
      <c r="B71" s="102" t="s">
        <v>6253</v>
      </c>
      <c r="C71" s="229" t="s">
        <v>6254</v>
      </c>
      <c r="D71" s="102" t="s">
        <v>6255</v>
      </c>
      <c r="E71" s="102" t="s">
        <v>521</v>
      </c>
      <c r="F71" s="102" t="s">
        <v>522</v>
      </c>
      <c r="G71" s="102" t="s">
        <v>521</v>
      </c>
      <c r="H71" s="102" t="s">
        <v>522</v>
      </c>
      <c r="I71" s="102" t="s">
        <v>284</v>
      </c>
      <c r="J71" s="102" t="s">
        <v>63</v>
      </c>
      <c r="L71" s="229" t="s">
        <v>6256</v>
      </c>
      <c r="M71" s="229" t="s">
        <v>6256</v>
      </c>
      <c r="O71" s="230"/>
      <c r="T71" s="230"/>
      <c r="U71" s="230" t="str">
        <f>IF(ISNUMBER(MATCH(B71, 'Sprint 12'!B:B, 0)), "มาจาก Sprint 12", "")</f>
        <v/>
      </c>
      <c r="V71" s="230" t="str">
        <f t="array" ref="V71">IF(ISNUMBER(MATCH(B71, 'Sprint 12'!B:B, 0)), INDEX('Sprint 12'!J:J, MATCH(B71, 'Sprint 12'!B:B, 0)), "")</f>
        <v/>
      </c>
      <c r="W71" s="230"/>
      <c r="X71" s="102" t="s">
        <v>2196</v>
      </c>
      <c r="Y71" s="102" t="s">
        <v>2185</v>
      </c>
    </row>
    <row r="72">
      <c r="A72" s="102" t="s">
        <v>276</v>
      </c>
      <c r="B72" s="102" t="s">
        <v>6258</v>
      </c>
      <c r="C72" s="229" t="s">
        <v>6259</v>
      </c>
      <c r="D72" s="102" t="s">
        <v>6260</v>
      </c>
      <c r="E72" s="102" t="s">
        <v>521</v>
      </c>
      <c r="F72" s="102" t="s">
        <v>522</v>
      </c>
      <c r="G72" s="102" t="s">
        <v>521</v>
      </c>
      <c r="H72" s="102" t="s">
        <v>522</v>
      </c>
      <c r="I72" s="102" t="s">
        <v>284</v>
      </c>
      <c r="J72" s="102" t="s">
        <v>63</v>
      </c>
      <c r="L72" s="229" t="s">
        <v>6261</v>
      </c>
      <c r="M72" s="229" t="s">
        <v>6261</v>
      </c>
      <c r="O72" s="230"/>
      <c r="T72" s="230"/>
      <c r="U72" s="230" t="str">
        <f>IF(ISNUMBER(MATCH(B72, 'Sprint 12'!B:B, 0)), "มาจาก Sprint 12", "")</f>
        <v/>
      </c>
      <c r="V72" s="230" t="str">
        <f t="array" ref="V72">IF(ISNUMBER(MATCH(B72, 'Sprint 12'!B:B, 0)), INDEX('Sprint 12'!J:J, MATCH(B72, 'Sprint 12'!B:B, 0)), "")</f>
        <v/>
      </c>
      <c r="W72" s="230"/>
      <c r="X72" s="102" t="s">
        <v>2196</v>
      </c>
      <c r="Y72" s="102" t="s">
        <v>2185</v>
      </c>
    </row>
    <row r="73">
      <c r="A73" s="102" t="s">
        <v>276</v>
      </c>
      <c r="B73" s="102" t="s">
        <v>6263</v>
      </c>
      <c r="C73" s="229" t="s">
        <v>6264</v>
      </c>
      <c r="D73" s="102" t="s">
        <v>6265</v>
      </c>
      <c r="E73" s="102" t="s">
        <v>521</v>
      </c>
      <c r="F73" s="102" t="s">
        <v>522</v>
      </c>
      <c r="G73" s="102" t="s">
        <v>521</v>
      </c>
      <c r="H73" s="102" t="s">
        <v>522</v>
      </c>
      <c r="I73" s="102" t="s">
        <v>284</v>
      </c>
      <c r="J73" s="102" t="s">
        <v>63</v>
      </c>
      <c r="L73" s="229" t="s">
        <v>6261</v>
      </c>
      <c r="M73" s="229" t="s">
        <v>6261</v>
      </c>
      <c r="O73" s="230"/>
      <c r="T73" s="230"/>
      <c r="U73" s="230" t="str">
        <f>IF(ISNUMBER(MATCH(B73, 'Sprint 12'!B:B, 0)), "มาจาก Sprint 12", "")</f>
        <v/>
      </c>
      <c r="V73" s="230" t="str">
        <f t="array" ref="V73">IF(ISNUMBER(MATCH(B73, 'Sprint 12'!B:B, 0)), INDEX('Sprint 12'!J:J, MATCH(B73, 'Sprint 12'!B:B, 0)), "")</f>
        <v/>
      </c>
      <c r="W73" s="230"/>
      <c r="X73" s="102" t="s">
        <v>2196</v>
      </c>
      <c r="Y73" s="102" t="s">
        <v>2185</v>
      </c>
    </row>
    <row r="74">
      <c r="A74" s="102" t="s">
        <v>276</v>
      </c>
      <c r="B74" s="102" t="s">
        <v>6267</v>
      </c>
      <c r="C74" s="229" t="s">
        <v>6268</v>
      </c>
      <c r="D74" s="102" t="s">
        <v>6269</v>
      </c>
      <c r="E74" s="102" t="s">
        <v>521</v>
      </c>
      <c r="F74" s="102" t="s">
        <v>522</v>
      </c>
      <c r="G74" s="102" t="s">
        <v>521</v>
      </c>
      <c r="H74" s="102" t="s">
        <v>522</v>
      </c>
      <c r="I74" s="102" t="s">
        <v>284</v>
      </c>
      <c r="J74" s="102" t="s">
        <v>34</v>
      </c>
      <c r="L74" s="229" t="s">
        <v>6270</v>
      </c>
      <c r="M74" s="229" t="s">
        <v>6669</v>
      </c>
      <c r="O74" s="230"/>
      <c r="P74" s="102"/>
      <c r="T74" s="230"/>
      <c r="U74" s="230" t="str">
        <f>IF(ISNUMBER(MATCH(B74, 'Sprint 12'!B:B, 0)), "มาจาก Sprint 12", "")</f>
        <v/>
      </c>
      <c r="V74" s="230" t="str">
        <f t="array" ref="V74">IF(ISNUMBER(MATCH(B74, 'Sprint 12'!B:B, 0)), INDEX('Sprint 12'!J:J, MATCH(B74, 'Sprint 12'!B:B, 0)), "")</f>
        <v/>
      </c>
      <c r="W74" s="230"/>
      <c r="X74" s="102" t="s">
        <v>2196</v>
      </c>
      <c r="Y74" s="102" t="s">
        <v>2185</v>
      </c>
    </row>
    <row r="75">
      <c r="A75" s="102" t="s">
        <v>276</v>
      </c>
      <c r="B75" s="102" t="s">
        <v>6272</v>
      </c>
      <c r="C75" s="229" t="s">
        <v>6273</v>
      </c>
      <c r="D75" s="102" t="s">
        <v>6274</v>
      </c>
      <c r="E75" s="102" t="s">
        <v>521</v>
      </c>
      <c r="F75" s="102" t="s">
        <v>522</v>
      </c>
      <c r="G75" s="102" t="s">
        <v>521</v>
      </c>
      <c r="H75" s="102" t="s">
        <v>522</v>
      </c>
      <c r="I75" s="102" t="s">
        <v>284</v>
      </c>
      <c r="J75" s="102" t="s">
        <v>26</v>
      </c>
      <c r="L75" s="229" t="s">
        <v>6275</v>
      </c>
      <c r="M75" s="229" t="s">
        <v>6276</v>
      </c>
      <c r="O75" s="230"/>
      <c r="T75" s="230"/>
      <c r="U75" s="230" t="str">
        <f>IF(ISNUMBER(MATCH(B75, 'Sprint 12'!B:B, 0)), "มาจาก Sprint 12", "")</f>
        <v/>
      </c>
      <c r="V75" s="230" t="str">
        <f t="array" ref="V75">IF(ISNUMBER(MATCH(B75, 'Sprint 12'!B:B, 0)), INDEX('Sprint 12'!J:J, MATCH(B75, 'Sprint 12'!B:B, 0)), "")</f>
        <v/>
      </c>
      <c r="W75" s="230"/>
      <c r="X75" s="102" t="s">
        <v>2196</v>
      </c>
      <c r="Y75" s="102" t="s">
        <v>2185</v>
      </c>
    </row>
    <row r="76">
      <c r="A76" s="102" t="s">
        <v>276</v>
      </c>
      <c r="B76" s="102" t="s">
        <v>6277</v>
      </c>
      <c r="C76" s="229" t="s">
        <v>6278</v>
      </c>
      <c r="D76" s="102" t="s">
        <v>6279</v>
      </c>
      <c r="E76" s="102" t="s">
        <v>521</v>
      </c>
      <c r="F76" s="102" t="s">
        <v>522</v>
      </c>
      <c r="G76" s="102" t="s">
        <v>521</v>
      </c>
      <c r="H76" s="102" t="s">
        <v>522</v>
      </c>
      <c r="I76" s="102" t="s">
        <v>284</v>
      </c>
      <c r="J76" s="102" t="s">
        <v>34</v>
      </c>
      <c r="L76" s="229" t="s">
        <v>6280</v>
      </c>
      <c r="M76" s="229" t="s">
        <v>6670</v>
      </c>
      <c r="N76" s="102"/>
      <c r="O76" s="102"/>
      <c r="P76" s="102"/>
      <c r="T76" s="102"/>
      <c r="U76" s="230" t="str">
        <f>IF(ISNUMBER(MATCH(B76, 'Sprint 12'!B:B, 0)), "มาจาก Sprint 12", "")</f>
        <v/>
      </c>
      <c r="V76" s="230" t="str">
        <f t="array" ref="V76">IF(ISNUMBER(MATCH(B76, 'Sprint 12'!B:B, 0)), INDEX('Sprint 12'!J:J, MATCH(B76, 'Sprint 12'!B:B, 0)), "")</f>
        <v/>
      </c>
      <c r="W76" s="102"/>
      <c r="X76" s="102" t="s">
        <v>2196</v>
      </c>
      <c r="Y76" s="102" t="s">
        <v>2185</v>
      </c>
    </row>
    <row r="77">
      <c r="A77" s="102" t="s">
        <v>276</v>
      </c>
      <c r="B77" s="102" t="s">
        <v>6282</v>
      </c>
      <c r="C77" s="229" t="s">
        <v>6283</v>
      </c>
      <c r="D77" s="102" t="s">
        <v>6284</v>
      </c>
      <c r="E77" s="102" t="s">
        <v>521</v>
      </c>
      <c r="F77" s="102" t="s">
        <v>522</v>
      </c>
      <c r="G77" s="102" t="s">
        <v>521</v>
      </c>
      <c r="H77" s="102" t="s">
        <v>522</v>
      </c>
      <c r="I77" s="102" t="s">
        <v>284</v>
      </c>
      <c r="J77" s="102" t="s">
        <v>26</v>
      </c>
      <c r="L77" s="229" t="s">
        <v>6285</v>
      </c>
      <c r="M77" s="229" t="s">
        <v>6286</v>
      </c>
      <c r="N77" s="102"/>
      <c r="O77" s="102"/>
      <c r="P77" s="102"/>
      <c r="T77" s="102"/>
      <c r="U77" s="230" t="str">
        <f>IF(ISNUMBER(MATCH(B77, 'Sprint 12'!B:B, 0)), "มาจาก Sprint 12", "")</f>
        <v/>
      </c>
      <c r="V77" s="230" t="str">
        <f t="array" ref="V77">IF(ISNUMBER(MATCH(B77, 'Sprint 12'!B:B, 0)), INDEX('Sprint 12'!J:J, MATCH(B77, 'Sprint 12'!B:B, 0)), "")</f>
        <v/>
      </c>
      <c r="W77" s="102"/>
      <c r="X77" s="102" t="s">
        <v>2196</v>
      </c>
      <c r="Y77" s="102" t="s">
        <v>2185</v>
      </c>
    </row>
    <row r="78">
      <c r="A78" s="102" t="s">
        <v>276</v>
      </c>
      <c r="B78" s="102" t="s">
        <v>6287</v>
      </c>
      <c r="C78" s="229" t="s">
        <v>6288</v>
      </c>
      <c r="D78" s="102" t="s">
        <v>210</v>
      </c>
      <c r="E78" s="102"/>
      <c r="F78" s="102"/>
      <c r="G78" s="102" t="s">
        <v>521</v>
      </c>
      <c r="H78" s="102" t="s">
        <v>522</v>
      </c>
      <c r="I78" s="102" t="s">
        <v>284</v>
      </c>
      <c r="J78" s="102" t="s">
        <v>63</v>
      </c>
      <c r="L78" s="229" t="s">
        <v>6289</v>
      </c>
      <c r="M78" s="229" t="s">
        <v>6290</v>
      </c>
      <c r="N78" s="102"/>
      <c r="O78" s="102"/>
      <c r="P78" s="102"/>
      <c r="T78" s="102"/>
      <c r="U78" s="230" t="str">
        <f>IF(ISNUMBER(MATCH(B78, 'Sprint 12'!B:B, 0)), "มาจาก Sprint 12", "")</f>
        <v/>
      </c>
      <c r="V78" s="230" t="str">
        <f t="array" ref="V78">IF(ISNUMBER(MATCH(B78, 'Sprint 12'!B:B, 0)), INDEX('Sprint 12'!J:J, MATCH(B78, 'Sprint 12'!B:B, 0)), "")</f>
        <v/>
      </c>
      <c r="W78" s="102"/>
      <c r="X78" s="102" t="s">
        <v>2196</v>
      </c>
      <c r="Y78" s="102" t="s">
        <v>2185</v>
      </c>
    </row>
    <row r="79">
      <c r="A79" s="102" t="s">
        <v>332</v>
      </c>
      <c r="B79" s="102" t="s">
        <v>6671</v>
      </c>
      <c r="C79" s="229" t="s">
        <v>6672</v>
      </c>
      <c r="D79" s="102" t="s">
        <v>6673</v>
      </c>
      <c r="E79" s="102" t="s">
        <v>314</v>
      </c>
      <c r="F79" s="102" t="s">
        <v>315</v>
      </c>
      <c r="G79" s="102" t="s">
        <v>316</v>
      </c>
      <c r="H79" s="102" t="s">
        <v>317</v>
      </c>
      <c r="I79" s="102" t="s">
        <v>284</v>
      </c>
      <c r="J79" s="102" t="s">
        <v>336</v>
      </c>
      <c r="L79" s="229" t="s">
        <v>6674</v>
      </c>
      <c r="M79" s="229" t="s">
        <v>6675</v>
      </c>
      <c r="N79" s="102"/>
      <c r="O79" s="102"/>
      <c r="P79" s="102" t="s">
        <v>4656</v>
      </c>
      <c r="T79" s="102"/>
      <c r="U79" s="230" t="str">
        <f>IF(ISNUMBER(MATCH(B79, 'Sprint 12'!B:B, 0)), "มาจาก Sprint 12", "")</f>
        <v/>
      </c>
      <c r="V79" s="230" t="str">
        <f t="array" ref="V79">IF(ISNUMBER(MATCH(B79, 'Sprint 12'!B:B, 0)), INDEX('Sprint 12'!J:J, MATCH(B79, 'Sprint 12'!B:B, 0)), "")</f>
        <v/>
      </c>
      <c r="W79" s="102"/>
      <c r="X79" s="102" t="s">
        <v>4919</v>
      </c>
    </row>
    <row r="80">
      <c r="A80" s="102" t="s">
        <v>332</v>
      </c>
      <c r="B80" s="102" t="s">
        <v>6676</v>
      </c>
      <c r="C80" s="229" t="s">
        <v>6677</v>
      </c>
      <c r="D80" s="102" t="s">
        <v>6678</v>
      </c>
      <c r="E80" s="102" t="s">
        <v>6315</v>
      </c>
      <c r="F80" s="102" t="s">
        <v>6316</v>
      </c>
      <c r="G80" s="102" t="s">
        <v>5844</v>
      </c>
      <c r="H80" s="102" t="s">
        <v>5845</v>
      </c>
      <c r="I80" s="102" t="s">
        <v>284</v>
      </c>
      <c r="J80" s="102" t="s">
        <v>2318</v>
      </c>
      <c r="L80" s="229" t="s">
        <v>6679</v>
      </c>
      <c r="M80" s="229" t="s">
        <v>6680</v>
      </c>
      <c r="N80" s="102"/>
      <c r="O80" s="102"/>
      <c r="P80" s="102"/>
      <c r="T80" s="102"/>
      <c r="U80" s="230" t="str">
        <f>IF(ISNUMBER(MATCH(B80, 'Sprint 12'!B:B, 0)), "มาจาก Sprint 12", "")</f>
        <v/>
      </c>
      <c r="V80" s="230" t="str">
        <f t="array" ref="V80">IF(ISNUMBER(MATCH(B80, 'Sprint 12'!B:B, 0)), INDEX('Sprint 12'!J:J, MATCH(B80, 'Sprint 12'!B:B, 0)), "")</f>
        <v/>
      </c>
      <c r="W80" s="102"/>
      <c r="X80" s="102" t="s">
        <v>4919</v>
      </c>
    </row>
    <row r="81">
      <c r="A81" s="102" t="s">
        <v>310</v>
      </c>
      <c r="B81" s="102" t="s">
        <v>6681</v>
      </c>
      <c r="C81" s="229" t="s">
        <v>6682</v>
      </c>
      <c r="D81" s="102" t="s">
        <v>6683</v>
      </c>
      <c r="E81" s="102" t="s">
        <v>513</v>
      </c>
      <c r="F81" s="102" t="s">
        <v>514</v>
      </c>
      <c r="G81" s="102" t="s">
        <v>513</v>
      </c>
      <c r="H81" s="102" t="s">
        <v>514</v>
      </c>
      <c r="I81" s="102" t="s">
        <v>284</v>
      </c>
      <c r="J81" s="102" t="s">
        <v>26</v>
      </c>
      <c r="L81" s="229" t="s">
        <v>6684</v>
      </c>
      <c r="M81" s="229" t="s">
        <v>6685</v>
      </c>
      <c r="N81" s="229" t="s">
        <v>6306</v>
      </c>
      <c r="O81" s="102">
        <v>1.0</v>
      </c>
      <c r="P81" s="102" t="s">
        <v>593</v>
      </c>
      <c r="T81" s="102">
        <v>7200.0</v>
      </c>
      <c r="U81" s="230" t="str">
        <f>IF(ISNUMBER(MATCH(B81, 'Sprint 12'!B:B, 0)), "มาจาก Sprint 12", "")</f>
        <v/>
      </c>
      <c r="V81" s="230" t="str">
        <f t="array" ref="V81">IF(ISNUMBER(MATCH(B81, 'Sprint 12'!B:B, 0)), INDEX('Sprint 12'!J:J, MATCH(B81, 'Sprint 12'!B:B, 0)), "")</f>
        <v/>
      </c>
      <c r="W81" s="102"/>
      <c r="X81" s="102" t="s">
        <v>6504</v>
      </c>
    </row>
    <row r="82">
      <c r="A82" s="102" t="s">
        <v>310</v>
      </c>
      <c r="B82" s="102" t="s">
        <v>6686</v>
      </c>
      <c r="C82" s="229" t="s">
        <v>6687</v>
      </c>
      <c r="D82" s="102" t="s">
        <v>6688</v>
      </c>
      <c r="E82" s="102" t="s">
        <v>513</v>
      </c>
      <c r="F82" s="102" t="s">
        <v>514</v>
      </c>
      <c r="G82" s="102" t="s">
        <v>513</v>
      </c>
      <c r="H82" s="102" t="s">
        <v>514</v>
      </c>
      <c r="I82" s="102" t="s">
        <v>284</v>
      </c>
      <c r="J82" s="102" t="s">
        <v>26</v>
      </c>
      <c r="L82" s="229" t="s">
        <v>6684</v>
      </c>
      <c r="M82" s="229" t="s">
        <v>6689</v>
      </c>
      <c r="N82" s="229" t="s">
        <v>6356</v>
      </c>
      <c r="O82" s="102">
        <v>1.0</v>
      </c>
      <c r="P82" s="102" t="s">
        <v>593</v>
      </c>
      <c r="T82" s="102">
        <v>7200.0</v>
      </c>
      <c r="U82" s="230" t="str">
        <f>IF(ISNUMBER(MATCH(B82, 'Sprint 12'!B:B, 0)), "มาจาก Sprint 12", "")</f>
        <v/>
      </c>
      <c r="V82" s="230" t="str">
        <f t="array" ref="V82">IF(ISNUMBER(MATCH(B82, 'Sprint 12'!B:B, 0)), INDEX('Sprint 12'!J:J, MATCH(B82, 'Sprint 12'!B:B, 0)), "")</f>
        <v/>
      </c>
      <c r="W82" s="102"/>
      <c r="X82" s="102" t="s">
        <v>6504</v>
      </c>
    </row>
    <row r="83">
      <c r="A83" s="102" t="s">
        <v>310</v>
      </c>
      <c r="B83" s="102" t="s">
        <v>6690</v>
      </c>
      <c r="C83" s="229" t="s">
        <v>6691</v>
      </c>
      <c r="D83" s="102" t="s">
        <v>6692</v>
      </c>
      <c r="E83" s="102" t="s">
        <v>513</v>
      </c>
      <c r="F83" s="102" t="s">
        <v>514</v>
      </c>
      <c r="G83" s="102" t="s">
        <v>513</v>
      </c>
      <c r="H83" s="102" t="s">
        <v>514</v>
      </c>
      <c r="I83" s="102" t="s">
        <v>284</v>
      </c>
      <c r="J83" s="102" t="s">
        <v>26</v>
      </c>
      <c r="L83" s="229" t="s">
        <v>6693</v>
      </c>
      <c r="M83" s="229" t="s">
        <v>6694</v>
      </c>
      <c r="N83" s="229" t="s">
        <v>6356</v>
      </c>
      <c r="O83" s="102">
        <v>1.0</v>
      </c>
      <c r="P83" s="102" t="s">
        <v>593</v>
      </c>
      <c r="Q83" s="102"/>
      <c r="R83" s="102"/>
      <c r="S83" s="102"/>
      <c r="T83" s="102">
        <v>7200.0</v>
      </c>
      <c r="U83" s="230" t="str">
        <f>IF(ISNUMBER(MATCH(B83, 'Sprint 12'!B:B, 0)), "มาจาก Sprint 12", "")</f>
        <v/>
      </c>
      <c r="V83" s="230" t="str">
        <f t="array" ref="V83">IF(ISNUMBER(MATCH(B83, 'Sprint 12'!B:B, 0)), INDEX('Sprint 12'!J:J, MATCH(B83, 'Sprint 12'!B:B, 0)), "")</f>
        <v/>
      </c>
      <c r="W83" s="102"/>
      <c r="X83" s="102" t="s">
        <v>6504</v>
      </c>
    </row>
    <row r="84">
      <c r="A84" s="102" t="s">
        <v>310</v>
      </c>
      <c r="B84" s="102" t="s">
        <v>6695</v>
      </c>
      <c r="C84" s="229" t="s">
        <v>6696</v>
      </c>
      <c r="D84" s="102" t="s">
        <v>6697</v>
      </c>
      <c r="E84" s="102" t="s">
        <v>513</v>
      </c>
      <c r="F84" s="102" t="s">
        <v>514</v>
      </c>
      <c r="G84" s="102" t="s">
        <v>513</v>
      </c>
      <c r="H84" s="102" t="s">
        <v>514</v>
      </c>
      <c r="I84" s="102" t="s">
        <v>284</v>
      </c>
      <c r="J84" s="102" t="s">
        <v>26</v>
      </c>
      <c r="L84" s="229" t="s">
        <v>6693</v>
      </c>
      <c r="M84" s="229" t="s">
        <v>6698</v>
      </c>
      <c r="N84" s="229" t="s">
        <v>6306</v>
      </c>
      <c r="O84" s="102">
        <v>1.0</v>
      </c>
      <c r="P84" s="102" t="s">
        <v>593</v>
      </c>
      <c r="Q84" s="102"/>
      <c r="R84" s="102"/>
      <c r="S84" s="102"/>
      <c r="T84" s="102">
        <v>7200.0</v>
      </c>
      <c r="U84" s="230" t="str">
        <f>IF(ISNUMBER(MATCH(B84, 'Sprint 12'!B:B, 0)), "มาจาก Sprint 12", "")</f>
        <v/>
      </c>
      <c r="V84" s="230" t="str">
        <f t="array" ref="V84">IF(ISNUMBER(MATCH(B84, 'Sprint 12'!B:B, 0)), INDEX('Sprint 12'!J:J, MATCH(B84, 'Sprint 12'!B:B, 0)), "")</f>
        <v/>
      </c>
      <c r="W84" s="102"/>
      <c r="X84" s="102" t="s">
        <v>6504</v>
      </c>
    </row>
    <row r="85">
      <c r="A85" s="102" t="s">
        <v>310</v>
      </c>
      <c r="B85" s="102" t="s">
        <v>6699</v>
      </c>
      <c r="C85" s="229" t="s">
        <v>6700</v>
      </c>
      <c r="D85" s="102" t="s">
        <v>6701</v>
      </c>
      <c r="E85" s="102" t="s">
        <v>513</v>
      </c>
      <c r="F85" s="102" t="s">
        <v>514</v>
      </c>
      <c r="G85" s="102" t="s">
        <v>513</v>
      </c>
      <c r="H85" s="102" t="s">
        <v>514</v>
      </c>
      <c r="I85" s="102" t="s">
        <v>284</v>
      </c>
      <c r="J85" s="102" t="s">
        <v>26</v>
      </c>
      <c r="L85" s="229" t="s">
        <v>6693</v>
      </c>
      <c r="M85" s="229" t="s">
        <v>6702</v>
      </c>
      <c r="N85" s="229" t="s">
        <v>6356</v>
      </c>
      <c r="O85" s="102">
        <v>1.0</v>
      </c>
      <c r="P85" s="102" t="s">
        <v>593</v>
      </c>
      <c r="T85" s="102">
        <v>7200.0</v>
      </c>
      <c r="U85" s="230" t="str">
        <f>IF(ISNUMBER(MATCH(B85, 'Sprint 12'!B:B, 0)), "มาจาก Sprint 12", "")</f>
        <v/>
      </c>
      <c r="V85" s="230" t="str">
        <f t="array" ref="V85">IF(ISNUMBER(MATCH(B85, 'Sprint 12'!B:B, 0)), INDEX('Sprint 12'!J:J, MATCH(B85, 'Sprint 12'!B:B, 0)), "")</f>
        <v/>
      </c>
      <c r="W85" s="102"/>
      <c r="X85" s="102" t="s">
        <v>6504</v>
      </c>
    </row>
    <row r="86">
      <c r="A86" s="102" t="s">
        <v>310</v>
      </c>
      <c r="B86" s="102" t="s">
        <v>6703</v>
      </c>
      <c r="C86" s="229" t="s">
        <v>6704</v>
      </c>
      <c r="D86" s="102" t="s">
        <v>6705</v>
      </c>
      <c r="E86" s="102" t="s">
        <v>513</v>
      </c>
      <c r="F86" s="102" t="s">
        <v>514</v>
      </c>
      <c r="G86" s="102" t="s">
        <v>513</v>
      </c>
      <c r="H86" s="102" t="s">
        <v>514</v>
      </c>
      <c r="I86" s="102" t="s">
        <v>284</v>
      </c>
      <c r="J86" s="102" t="s">
        <v>26</v>
      </c>
      <c r="L86" s="229" t="s">
        <v>6706</v>
      </c>
      <c r="M86" s="229" t="s">
        <v>6707</v>
      </c>
      <c r="N86" s="229" t="s">
        <v>5875</v>
      </c>
      <c r="O86" s="102">
        <v>1.0</v>
      </c>
      <c r="P86" s="102" t="s">
        <v>593</v>
      </c>
      <c r="T86" s="102">
        <v>7200.0</v>
      </c>
      <c r="U86" s="230" t="str">
        <f>IF(ISNUMBER(MATCH(B86, 'Sprint 12'!B:B, 0)), "มาจาก Sprint 12", "")</f>
        <v/>
      </c>
      <c r="V86" s="230" t="str">
        <f t="array" ref="V86">IF(ISNUMBER(MATCH(B86, 'Sprint 12'!B:B, 0)), INDEX('Sprint 12'!J:J, MATCH(B86, 'Sprint 12'!B:B, 0)), "")</f>
        <v/>
      </c>
      <c r="W86" s="102"/>
      <c r="X86" s="102" t="s">
        <v>6504</v>
      </c>
    </row>
    <row r="87">
      <c r="A87" s="102" t="s">
        <v>310</v>
      </c>
      <c r="B87" s="102" t="s">
        <v>6708</v>
      </c>
      <c r="C87" s="229" t="s">
        <v>6709</v>
      </c>
      <c r="D87" s="102" t="s">
        <v>6710</v>
      </c>
      <c r="E87" s="102" t="s">
        <v>513</v>
      </c>
      <c r="F87" s="102" t="s">
        <v>514</v>
      </c>
      <c r="G87" s="102" t="s">
        <v>513</v>
      </c>
      <c r="H87" s="102" t="s">
        <v>514</v>
      </c>
      <c r="I87" s="102" t="s">
        <v>284</v>
      </c>
      <c r="J87" s="102" t="s">
        <v>26</v>
      </c>
      <c r="L87" s="229" t="s">
        <v>6706</v>
      </c>
      <c r="M87" s="229" t="s">
        <v>6711</v>
      </c>
      <c r="N87" s="229" t="s">
        <v>6306</v>
      </c>
      <c r="O87" s="102">
        <v>1.0</v>
      </c>
      <c r="P87" s="102" t="s">
        <v>593</v>
      </c>
      <c r="T87" s="102">
        <v>7200.0</v>
      </c>
      <c r="U87" s="230" t="str">
        <f>IF(ISNUMBER(MATCH(B87, 'Sprint 12'!B:B, 0)), "มาจาก Sprint 12", "")</f>
        <v/>
      </c>
      <c r="V87" s="230" t="str">
        <f t="array" ref="V87">IF(ISNUMBER(MATCH(B87, 'Sprint 12'!B:B, 0)), INDEX('Sprint 12'!J:J, MATCH(B87, 'Sprint 12'!B:B, 0)), "")</f>
        <v/>
      </c>
      <c r="W87" s="102"/>
      <c r="X87" s="102" t="s">
        <v>6504</v>
      </c>
    </row>
    <row r="88">
      <c r="A88" s="102" t="s">
        <v>332</v>
      </c>
      <c r="B88" s="102" t="s">
        <v>6712</v>
      </c>
      <c r="C88" s="229" t="s">
        <v>6713</v>
      </c>
      <c r="D88" s="102" t="s">
        <v>6714</v>
      </c>
      <c r="E88" s="102" t="s">
        <v>353</v>
      </c>
      <c r="F88" s="102" t="s">
        <v>354</v>
      </c>
      <c r="G88" s="102" t="s">
        <v>316</v>
      </c>
      <c r="H88" s="102" t="s">
        <v>317</v>
      </c>
      <c r="I88" s="102" t="s">
        <v>515</v>
      </c>
      <c r="J88" s="102" t="s">
        <v>336</v>
      </c>
      <c r="L88" s="229" t="s">
        <v>6715</v>
      </c>
      <c r="M88" s="229" t="s">
        <v>6716</v>
      </c>
      <c r="N88" s="229" t="s">
        <v>6306</v>
      </c>
      <c r="O88" s="102"/>
      <c r="P88" s="102" t="s">
        <v>6717</v>
      </c>
      <c r="Q88" s="102" t="s">
        <v>4656</v>
      </c>
      <c r="R88" s="102" t="s">
        <v>367</v>
      </c>
      <c r="S88" s="102" t="s">
        <v>474</v>
      </c>
      <c r="T88" s="102"/>
      <c r="U88" s="230" t="str">
        <f>IF(ISNUMBER(MATCH(B88, 'Sprint 12'!B:B, 0)), "มาจาก Sprint 12", "")</f>
        <v/>
      </c>
      <c r="V88" s="230" t="str">
        <f t="array" ref="V88">IF(ISNUMBER(MATCH(B88, 'Sprint 12'!B:B, 0)), INDEX('Sprint 12'!J:J, MATCH(B88, 'Sprint 12'!B:B, 0)), "")</f>
        <v/>
      </c>
      <c r="W88" s="102"/>
      <c r="X88" s="102" t="s">
        <v>4919</v>
      </c>
    </row>
    <row r="89">
      <c r="A89" s="102" t="s">
        <v>332</v>
      </c>
      <c r="B89" s="102" t="s">
        <v>6718</v>
      </c>
      <c r="C89" s="229" t="s">
        <v>6719</v>
      </c>
      <c r="D89" s="102" t="s">
        <v>6720</v>
      </c>
      <c r="E89" s="102" t="s">
        <v>328</v>
      </c>
      <c r="F89" s="102" t="s">
        <v>329</v>
      </c>
      <c r="G89" s="102" t="s">
        <v>316</v>
      </c>
      <c r="H89" s="102" t="s">
        <v>317</v>
      </c>
      <c r="I89" s="102" t="s">
        <v>648</v>
      </c>
      <c r="J89" s="102" t="s">
        <v>336</v>
      </c>
      <c r="L89" s="229" t="s">
        <v>6721</v>
      </c>
      <c r="M89" s="229" t="s">
        <v>6722</v>
      </c>
      <c r="N89" s="229" t="s">
        <v>5675</v>
      </c>
      <c r="O89" s="102"/>
      <c r="P89" s="102" t="s">
        <v>6717</v>
      </c>
      <c r="Q89" s="102" t="s">
        <v>538</v>
      </c>
      <c r="R89" s="102" t="s">
        <v>4656</v>
      </c>
      <c r="S89" s="102" t="s">
        <v>367</v>
      </c>
      <c r="T89" s="102"/>
      <c r="U89" s="230" t="str">
        <f>IF(ISNUMBER(MATCH(B89, 'Sprint 12'!B:B, 0)), "มาจาก Sprint 12", "")</f>
        <v/>
      </c>
      <c r="V89" s="230" t="str">
        <f t="array" ref="V89">IF(ISNUMBER(MATCH(B89, 'Sprint 12'!B:B, 0)), INDEX('Sprint 12'!J:J, MATCH(B89, 'Sprint 12'!B:B, 0)), "")</f>
        <v/>
      </c>
      <c r="W89" s="102"/>
      <c r="X89" s="102" t="s">
        <v>4919</v>
      </c>
    </row>
    <row r="90">
      <c r="A90" s="102" t="s">
        <v>276</v>
      </c>
      <c r="B90" s="102" t="s">
        <v>6723</v>
      </c>
      <c r="C90" s="229" t="s">
        <v>6724</v>
      </c>
      <c r="D90" s="102" t="s">
        <v>6725</v>
      </c>
      <c r="E90" s="102" t="s">
        <v>353</v>
      </c>
      <c r="F90" s="102" t="s">
        <v>354</v>
      </c>
      <c r="G90" s="102" t="s">
        <v>316</v>
      </c>
      <c r="H90" s="102" t="s">
        <v>317</v>
      </c>
      <c r="I90" s="102" t="s">
        <v>284</v>
      </c>
      <c r="J90" s="102" t="s">
        <v>34</v>
      </c>
      <c r="L90" s="229" t="s">
        <v>6726</v>
      </c>
      <c r="M90" s="229" t="s">
        <v>6727</v>
      </c>
      <c r="N90" s="102"/>
      <c r="O90" s="102"/>
      <c r="P90" s="102"/>
      <c r="T90" s="102"/>
      <c r="U90" s="230" t="str">
        <f>IF(ISNUMBER(MATCH(B90, 'Sprint 12'!B:B, 0)), "มาจาก Sprint 12", "")</f>
        <v/>
      </c>
      <c r="V90" s="230" t="str">
        <f t="array" ref="V90">IF(ISNUMBER(MATCH(B90, 'Sprint 12'!B:B, 0)), INDEX('Sprint 12'!J:J, MATCH(B90, 'Sprint 12'!B:B, 0)), "")</f>
        <v/>
      </c>
      <c r="W90" s="102"/>
      <c r="X90" s="102" t="s">
        <v>4919</v>
      </c>
    </row>
    <row r="91">
      <c r="A91" s="102" t="s">
        <v>310</v>
      </c>
      <c r="B91" s="102" t="s">
        <v>6728</v>
      </c>
      <c r="C91" s="229" t="s">
        <v>6729</v>
      </c>
      <c r="D91" s="102" t="s">
        <v>6730</v>
      </c>
      <c r="E91" s="102" t="s">
        <v>513</v>
      </c>
      <c r="F91" s="102" t="s">
        <v>514</v>
      </c>
      <c r="G91" s="102" t="s">
        <v>316</v>
      </c>
      <c r="H91" s="102" t="s">
        <v>317</v>
      </c>
      <c r="I91" s="102" t="s">
        <v>515</v>
      </c>
      <c r="J91" s="102" t="s">
        <v>26</v>
      </c>
      <c r="L91" s="229" t="s">
        <v>6731</v>
      </c>
      <c r="M91" s="229" t="s">
        <v>6732</v>
      </c>
      <c r="N91" s="229" t="s">
        <v>6332</v>
      </c>
      <c r="O91" s="102">
        <v>2.0</v>
      </c>
      <c r="P91" s="102" t="s">
        <v>368</v>
      </c>
      <c r="Q91" s="102"/>
      <c r="R91" s="102"/>
      <c r="T91" s="102">
        <v>14400.0</v>
      </c>
      <c r="U91" s="230" t="str">
        <f>IF(ISNUMBER(MATCH(B91, 'Sprint 12'!B:B, 0)), "มาจาก Sprint 12", "")</f>
        <v/>
      </c>
      <c r="V91" s="230" t="str">
        <f t="array" ref="V91">IF(ISNUMBER(MATCH(B91, 'Sprint 12'!B:B, 0)), INDEX('Sprint 12'!J:J, MATCH(B91, 'Sprint 12'!B:B, 0)), "")</f>
        <v/>
      </c>
      <c r="W91" s="102"/>
      <c r="X91" s="102" t="s">
        <v>4919</v>
      </c>
    </row>
    <row r="92">
      <c r="A92" s="102" t="s">
        <v>310</v>
      </c>
      <c r="B92" s="102" t="s">
        <v>6733</v>
      </c>
      <c r="C92" s="229" t="s">
        <v>6734</v>
      </c>
      <c r="D92" s="102" t="s">
        <v>6735</v>
      </c>
      <c r="E92" s="102" t="s">
        <v>513</v>
      </c>
      <c r="F92" s="102" t="s">
        <v>514</v>
      </c>
      <c r="G92" s="102" t="s">
        <v>513</v>
      </c>
      <c r="H92" s="102" t="s">
        <v>514</v>
      </c>
      <c r="I92" s="102" t="s">
        <v>284</v>
      </c>
      <c r="J92" s="102" t="s">
        <v>26</v>
      </c>
      <c r="L92" s="229" t="s">
        <v>6736</v>
      </c>
      <c r="M92" s="229" t="s">
        <v>6737</v>
      </c>
      <c r="N92" s="229" t="s">
        <v>6306</v>
      </c>
      <c r="O92" s="102">
        <v>1.0</v>
      </c>
      <c r="P92" s="102" t="s">
        <v>593</v>
      </c>
      <c r="T92" s="102">
        <v>7200.0</v>
      </c>
      <c r="U92" s="230" t="str">
        <f>IF(ISNUMBER(MATCH(B92, 'Sprint 12'!B:B, 0)), "มาจาก Sprint 12", "")</f>
        <v/>
      </c>
      <c r="V92" s="230" t="str">
        <f t="array" ref="V92">IF(ISNUMBER(MATCH(B92, 'Sprint 12'!B:B, 0)), INDEX('Sprint 12'!J:J, MATCH(B92, 'Sprint 12'!B:B, 0)), "")</f>
        <v/>
      </c>
      <c r="W92" s="102"/>
      <c r="X92" s="102" t="s">
        <v>6504</v>
      </c>
    </row>
    <row r="93">
      <c r="A93" s="102" t="s">
        <v>310</v>
      </c>
      <c r="B93" s="102" t="s">
        <v>6738</v>
      </c>
      <c r="C93" s="229" t="s">
        <v>6739</v>
      </c>
      <c r="D93" s="102" t="s">
        <v>6740</v>
      </c>
      <c r="E93" s="102" t="s">
        <v>513</v>
      </c>
      <c r="F93" s="102" t="s">
        <v>514</v>
      </c>
      <c r="G93" s="102" t="s">
        <v>513</v>
      </c>
      <c r="H93" s="102" t="s">
        <v>514</v>
      </c>
      <c r="I93" s="102" t="s">
        <v>284</v>
      </c>
      <c r="J93" s="102" t="s">
        <v>26</v>
      </c>
      <c r="L93" s="229" t="s">
        <v>6741</v>
      </c>
      <c r="M93" s="229" t="s">
        <v>6742</v>
      </c>
      <c r="N93" s="229" t="s">
        <v>6306</v>
      </c>
      <c r="O93" s="102">
        <v>1.0</v>
      </c>
      <c r="P93" s="102" t="s">
        <v>593</v>
      </c>
      <c r="T93" s="102">
        <v>7200.0</v>
      </c>
      <c r="U93" s="230" t="str">
        <f>IF(ISNUMBER(MATCH(B93, 'Sprint 12'!B:B, 0)), "มาจาก Sprint 12", "")</f>
        <v/>
      </c>
      <c r="V93" s="230" t="str">
        <f t="array" ref="V93">IF(ISNUMBER(MATCH(B93, 'Sprint 12'!B:B, 0)), INDEX('Sprint 12'!J:J, MATCH(B93, 'Sprint 12'!B:B, 0)), "")</f>
        <v/>
      </c>
      <c r="W93" s="102"/>
      <c r="X93" s="102" t="s">
        <v>6504</v>
      </c>
    </row>
    <row r="94">
      <c r="A94" s="102" t="s">
        <v>310</v>
      </c>
      <c r="B94" s="102" t="s">
        <v>6743</v>
      </c>
      <c r="C94" s="229" t="s">
        <v>6744</v>
      </c>
      <c r="D94" s="102" t="s">
        <v>6745</v>
      </c>
      <c r="E94" s="102" t="s">
        <v>513</v>
      </c>
      <c r="F94" s="102" t="s">
        <v>514</v>
      </c>
      <c r="G94" s="102" t="s">
        <v>513</v>
      </c>
      <c r="H94" s="102" t="s">
        <v>514</v>
      </c>
      <c r="I94" s="102" t="s">
        <v>284</v>
      </c>
      <c r="J94" s="102" t="s">
        <v>26</v>
      </c>
      <c r="L94" s="229" t="s">
        <v>6741</v>
      </c>
      <c r="M94" s="229" t="s">
        <v>6746</v>
      </c>
      <c r="N94" s="229" t="s">
        <v>6306</v>
      </c>
      <c r="O94" s="102">
        <v>1.0</v>
      </c>
      <c r="P94" s="102" t="s">
        <v>593</v>
      </c>
      <c r="T94" s="102">
        <v>7200.0</v>
      </c>
      <c r="U94" s="230" t="str">
        <f>IF(ISNUMBER(MATCH(B94, 'Sprint 12'!B:B, 0)), "มาจาก Sprint 12", "")</f>
        <v/>
      </c>
      <c r="V94" s="230" t="str">
        <f t="array" ref="V94">IF(ISNUMBER(MATCH(B94, 'Sprint 12'!B:B, 0)), INDEX('Sprint 12'!J:J, MATCH(B94, 'Sprint 12'!B:B, 0)), "")</f>
        <v/>
      </c>
      <c r="W94" s="102"/>
      <c r="X94" s="102" t="s">
        <v>6504</v>
      </c>
    </row>
    <row r="95">
      <c r="A95" s="102" t="s">
        <v>310</v>
      </c>
      <c r="B95" s="102" t="s">
        <v>6747</v>
      </c>
      <c r="C95" s="229" t="s">
        <v>6748</v>
      </c>
      <c r="D95" s="102" t="s">
        <v>6749</v>
      </c>
      <c r="E95" s="102" t="s">
        <v>513</v>
      </c>
      <c r="F95" s="102" t="s">
        <v>514</v>
      </c>
      <c r="G95" s="102" t="s">
        <v>513</v>
      </c>
      <c r="H95" s="102" t="s">
        <v>514</v>
      </c>
      <c r="I95" s="102" t="s">
        <v>284</v>
      </c>
      <c r="J95" s="102" t="s">
        <v>26</v>
      </c>
      <c r="L95" s="229" t="s">
        <v>6741</v>
      </c>
      <c r="M95" s="229" t="s">
        <v>6750</v>
      </c>
      <c r="N95" s="229" t="s">
        <v>6306</v>
      </c>
      <c r="O95" s="102">
        <v>1.0</v>
      </c>
      <c r="P95" s="102" t="s">
        <v>593</v>
      </c>
      <c r="T95" s="102">
        <v>7200.0</v>
      </c>
      <c r="U95" s="230" t="str">
        <f>IF(ISNUMBER(MATCH(B95, 'Sprint 12'!B:B, 0)), "มาจาก Sprint 12", "")</f>
        <v/>
      </c>
      <c r="V95" s="230" t="str">
        <f t="array" ref="V95">IF(ISNUMBER(MATCH(B95, 'Sprint 12'!B:B, 0)), INDEX('Sprint 12'!J:J, MATCH(B95, 'Sprint 12'!B:B, 0)), "")</f>
        <v/>
      </c>
      <c r="W95" s="102"/>
      <c r="X95" s="102" t="s">
        <v>6504</v>
      </c>
    </row>
    <row r="96">
      <c r="A96" s="102" t="s">
        <v>332</v>
      </c>
      <c r="B96" s="102" t="s">
        <v>6751</v>
      </c>
      <c r="C96" s="229" t="s">
        <v>6752</v>
      </c>
      <c r="D96" s="102" t="s">
        <v>6753</v>
      </c>
      <c r="E96" s="102" t="s">
        <v>353</v>
      </c>
      <c r="F96" s="102" t="s">
        <v>354</v>
      </c>
      <c r="G96" s="102" t="s">
        <v>316</v>
      </c>
      <c r="H96" s="102" t="s">
        <v>317</v>
      </c>
      <c r="I96" s="102" t="s">
        <v>284</v>
      </c>
      <c r="J96" s="102" t="s">
        <v>336</v>
      </c>
      <c r="L96" s="229" t="s">
        <v>6754</v>
      </c>
      <c r="M96" s="229" t="s">
        <v>6755</v>
      </c>
      <c r="N96" s="229" t="s">
        <v>6756</v>
      </c>
      <c r="O96" s="230"/>
      <c r="P96" s="102" t="s">
        <v>6717</v>
      </c>
      <c r="Q96" s="102" t="s">
        <v>322</v>
      </c>
      <c r="R96" s="102" t="s">
        <v>538</v>
      </c>
      <c r="T96" s="230"/>
      <c r="U96" s="230" t="str">
        <f>IF(ISNUMBER(MATCH(B96, 'Sprint 12'!B:B, 0)), "มาจาก Sprint 12", "")</f>
        <v/>
      </c>
      <c r="V96" s="230" t="str">
        <f t="array" ref="V96">IF(ISNUMBER(MATCH(B96, 'Sprint 12'!B:B, 0)), INDEX('Sprint 12'!J:J, MATCH(B96, 'Sprint 12'!B:B, 0)), "")</f>
        <v/>
      </c>
      <c r="W96" s="230"/>
      <c r="X96" s="102" t="s">
        <v>4919</v>
      </c>
    </row>
    <row r="97">
      <c r="A97" s="102" t="s">
        <v>310</v>
      </c>
      <c r="B97" s="102" t="s">
        <v>6757</v>
      </c>
      <c r="C97" s="229" t="s">
        <v>6758</v>
      </c>
      <c r="D97" s="102" t="s">
        <v>6759</v>
      </c>
      <c r="E97" s="102" t="s">
        <v>513</v>
      </c>
      <c r="F97" s="102" t="s">
        <v>514</v>
      </c>
      <c r="G97" s="102" t="s">
        <v>513</v>
      </c>
      <c r="H97" s="102" t="s">
        <v>514</v>
      </c>
      <c r="I97" s="102" t="s">
        <v>284</v>
      </c>
      <c r="J97" s="102" t="s">
        <v>26</v>
      </c>
      <c r="L97" s="229" t="s">
        <v>6760</v>
      </c>
      <c r="M97" s="229" t="s">
        <v>6761</v>
      </c>
      <c r="N97" s="229" t="s">
        <v>6332</v>
      </c>
      <c r="O97" s="102">
        <v>1.0</v>
      </c>
      <c r="P97" s="102" t="s">
        <v>593</v>
      </c>
      <c r="T97" s="102">
        <v>7200.0</v>
      </c>
      <c r="U97" s="230" t="str">
        <f>IF(ISNUMBER(MATCH(B97, 'Sprint 12'!B:B, 0)), "มาจาก Sprint 12", "")</f>
        <v/>
      </c>
      <c r="V97" s="230" t="str">
        <f t="array" ref="V97">IF(ISNUMBER(MATCH(B97, 'Sprint 12'!B:B, 0)), INDEX('Sprint 12'!J:J, MATCH(B97, 'Sprint 12'!B:B, 0)), "")</f>
        <v/>
      </c>
      <c r="W97" s="102"/>
      <c r="X97" s="102" t="s">
        <v>6504</v>
      </c>
    </row>
    <row r="98">
      <c r="A98" s="102" t="s">
        <v>310</v>
      </c>
      <c r="B98" s="102" t="s">
        <v>6762</v>
      </c>
      <c r="C98" s="229" t="s">
        <v>6763</v>
      </c>
      <c r="D98" s="102" t="s">
        <v>6764</v>
      </c>
      <c r="E98" s="102" t="s">
        <v>513</v>
      </c>
      <c r="F98" s="102" t="s">
        <v>514</v>
      </c>
      <c r="G98" s="102" t="s">
        <v>513</v>
      </c>
      <c r="H98" s="102" t="s">
        <v>514</v>
      </c>
      <c r="I98" s="102" t="s">
        <v>284</v>
      </c>
      <c r="J98" s="102" t="s">
        <v>26</v>
      </c>
      <c r="L98" s="229" t="s">
        <v>6765</v>
      </c>
      <c r="M98" s="229" t="s">
        <v>6766</v>
      </c>
      <c r="N98" s="229" t="s">
        <v>6332</v>
      </c>
      <c r="O98" s="102">
        <v>2.0</v>
      </c>
      <c r="P98" s="102" t="s">
        <v>593</v>
      </c>
      <c r="T98" s="102">
        <v>14400.0</v>
      </c>
      <c r="U98" s="230" t="str">
        <f>IF(ISNUMBER(MATCH(B98, 'Sprint 12'!B:B, 0)), "มาจาก Sprint 12", "")</f>
        <v/>
      </c>
      <c r="V98" s="230" t="str">
        <f t="array" ref="V98">IF(ISNUMBER(MATCH(B98, 'Sprint 12'!B:B, 0)), INDEX('Sprint 12'!J:J, MATCH(B98, 'Sprint 12'!B:B, 0)), "")</f>
        <v/>
      </c>
      <c r="W98" s="102"/>
      <c r="X98" s="102" t="s">
        <v>6504</v>
      </c>
    </row>
    <row r="99">
      <c r="A99" s="102" t="s">
        <v>310</v>
      </c>
      <c r="B99" s="102" t="s">
        <v>5860</v>
      </c>
      <c r="C99" s="229" t="s">
        <v>5861</v>
      </c>
      <c r="D99" s="102" t="s">
        <v>5862</v>
      </c>
      <c r="E99" s="102" t="s">
        <v>353</v>
      </c>
      <c r="F99" s="102" t="s">
        <v>354</v>
      </c>
      <c r="G99" s="102" t="s">
        <v>353</v>
      </c>
      <c r="H99" s="102" t="s">
        <v>354</v>
      </c>
      <c r="I99" s="102" t="s">
        <v>284</v>
      </c>
      <c r="J99" s="102" t="s">
        <v>63</v>
      </c>
      <c r="L99" s="229" t="s">
        <v>5863</v>
      </c>
      <c r="M99" s="229" t="s">
        <v>6767</v>
      </c>
      <c r="N99" s="102"/>
      <c r="O99" s="102">
        <v>8.0</v>
      </c>
      <c r="T99" s="102"/>
      <c r="U99" s="230" t="str">
        <f>IF(ISNUMBER(MATCH(B99, 'Sprint 12'!B:B, 0)), "มาจาก Sprint 12", "")</f>
        <v/>
      </c>
      <c r="V99" s="230" t="str">
        <f t="array" ref="V99">IF(ISNUMBER(MATCH(B99, 'Sprint 12'!B:B, 0)), INDEX('Sprint 12'!J:J, MATCH(B99, 'Sprint 12'!B:B, 0)), "")</f>
        <v/>
      </c>
      <c r="W99" s="102"/>
      <c r="X99" s="102" t="s">
        <v>4919</v>
      </c>
    </row>
    <row r="100">
      <c r="A100" s="102" t="s">
        <v>310</v>
      </c>
      <c r="B100" s="102" t="s">
        <v>6291</v>
      </c>
      <c r="C100" s="229" t="s">
        <v>6292</v>
      </c>
      <c r="D100" s="102" t="s">
        <v>6293</v>
      </c>
      <c r="E100" s="102" t="s">
        <v>556</v>
      </c>
      <c r="F100" s="102" t="s">
        <v>557</v>
      </c>
      <c r="G100" s="102" t="s">
        <v>353</v>
      </c>
      <c r="H100" s="102" t="s">
        <v>354</v>
      </c>
      <c r="I100" s="102" t="s">
        <v>284</v>
      </c>
      <c r="J100" s="102" t="s">
        <v>454</v>
      </c>
      <c r="L100" s="229" t="s">
        <v>6294</v>
      </c>
      <c r="M100" s="229" t="s">
        <v>6608</v>
      </c>
      <c r="O100" s="102">
        <v>2.0</v>
      </c>
      <c r="T100" s="102">
        <v>14400.0</v>
      </c>
      <c r="U100" s="230" t="str">
        <f>IF(ISNUMBER(MATCH(B100, 'Sprint 12'!B:B, 0)), "มาจาก Sprint 12", "")</f>
        <v/>
      </c>
      <c r="V100" s="230" t="str">
        <f t="array" ref="V100">IF(ISNUMBER(MATCH(B100, 'Sprint 12'!B:B, 0)), INDEX('Sprint 12'!J:J, MATCH(B100, 'Sprint 12'!B:B, 0)), "")</f>
        <v/>
      </c>
      <c r="W100" s="102"/>
      <c r="X100" s="102" t="s">
        <v>4919</v>
      </c>
    </row>
    <row r="101">
      <c r="A101" s="102" t="s">
        <v>630</v>
      </c>
      <c r="B101" s="102" t="s">
        <v>2192</v>
      </c>
      <c r="C101" s="229" t="s">
        <v>2193</v>
      </c>
      <c r="D101" s="102" t="s">
        <v>2194</v>
      </c>
      <c r="E101" s="102"/>
      <c r="F101" s="102"/>
      <c r="G101" s="102" t="s">
        <v>304</v>
      </c>
      <c r="H101" s="102" t="s">
        <v>305</v>
      </c>
      <c r="I101" s="102" t="s">
        <v>284</v>
      </c>
      <c r="J101" s="102" t="s">
        <v>63</v>
      </c>
      <c r="L101" s="229" t="s">
        <v>2195</v>
      </c>
      <c r="M101" s="229" t="s">
        <v>6140</v>
      </c>
      <c r="O101" s="102"/>
      <c r="T101" s="102"/>
      <c r="U101" s="230" t="str">
        <f>IF(ISNUMBER(MATCH(B101, 'Sprint 12'!B:B, 0)), "มาจาก Sprint 12", "")</f>
        <v/>
      </c>
      <c r="V101" s="230" t="str">
        <f t="array" ref="V101">IF(ISNUMBER(MATCH(B101, 'Sprint 12'!B:B, 0)), INDEX('Sprint 12'!J:J, MATCH(B101, 'Sprint 12'!B:B, 0)), "")</f>
        <v/>
      </c>
      <c r="W101" s="102"/>
      <c r="X101" s="102" t="s">
        <v>2196</v>
      </c>
      <c r="Y101" s="102" t="s">
        <v>2185</v>
      </c>
    </row>
    <row r="102">
      <c r="A102" s="102" t="s">
        <v>630</v>
      </c>
      <c r="B102" s="102" t="s">
        <v>2197</v>
      </c>
      <c r="C102" s="229" t="s">
        <v>2198</v>
      </c>
      <c r="D102" s="102" t="s">
        <v>2199</v>
      </c>
      <c r="E102" s="102"/>
      <c r="F102" s="102"/>
      <c r="G102" s="102" t="s">
        <v>304</v>
      </c>
      <c r="H102" s="102" t="s">
        <v>305</v>
      </c>
      <c r="I102" s="102" t="s">
        <v>284</v>
      </c>
      <c r="J102" s="102" t="s">
        <v>63</v>
      </c>
      <c r="L102" s="229" t="s">
        <v>2200</v>
      </c>
      <c r="M102" s="229" t="s">
        <v>6140</v>
      </c>
      <c r="N102" s="102"/>
      <c r="O102" s="102"/>
      <c r="T102" s="102"/>
      <c r="U102" s="230" t="str">
        <f>IF(ISNUMBER(MATCH(B102, 'Sprint 12'!B:B, 0)), "มาจาก Sprint 12", "")</f>
        <v/>
      </c>
      <c r="V102" s="230" t="str">
        <f t="array" ref="V102">IF(ISNUMBER(MATCH(B102, 'Sprint 12'!B:B, 0)), INDEX('Sprint 12'!J:J, MATCH(B102, 'Sprint 12'!B:B, 0)), "")</f>
        <v/>
      </c>
      <c r="W102" s="102"/>
      <c r="X102" s="102" t="s">
        <v>2196</v>
      </c>
      <c r="Y102" s="102" t="s">
        <v>2185</v>
      </c>
    </row>
    <row r="103">
      <c r="A103" s="102" t="s">
        <v>310</v>
      </c>
      <c r="B103" s="102" t="s">
        <v>6768</v>
      </c>
      <c r="C103" s="229" t="s">
        <v>6769</v>
      </c>
      <c r="D103" s="102" t="s">
        <v>6770</v>
      </c>
      <c r="E103" s="102" t="s">
        <v>6315</v>
      </c>
      <c r="F103" s="102" t="s">
        <v>6316</v>
      </c>
      <c r="G103" s="102" t="s">
        <v>314</v>
      </c>
      <c r="H103" s="102" t="s">
        <v>315</v>
      </c>
      <c r="I103" s="102" t="s">
        <v>284</v>
      </c>
      <c r="J103" s="102" t="s">
        <v>26</v>
      </c>
      <c r="L103" s="229" t="s">
        <v>6771</v>
      </c>
      <c r="M103" s="229" t="s">
        <v>6772</v>
      </c>
      <c r="N103" s="102"/>
      <c r="O103" s="102">
        <v>2.0</v>
      </c>
      <c r="T103" s="230"/>
      <c r="U103" s="230" t="str">
        <f>IF(ISNUMBER(MATCH(B103, 'Sprint 12'!B:B, 0)), "มาจาก Sprint 12", "")</f>
        <v/>
      </c>
      <c r="V103" s="230" t="str">
        <f t="array" ref="V103">IF(ISNUMBER(MATCH(B103, 'Sprint 12'!B:B, 0)), INDEX('Sprint 12'!J:J, MATCH(B103, 'Sprint 12'!B:B, 0)), "")</f>
        <v/>
      </c>
      <c r="W103" s="230"/>
      <c r="X103" s="102" t="s">
        <v>1367</v>
      </c>
    </row>
    <row r="104">
      <c r="A104" s="102" t="s">
        <v>310</v>
      </c>
      <c r="B104" s="102" t="s">
        <v>5865</v>
      </c>
      <c r="C104" s="229" t="s">
        <v>5866</v>
      </c>
      <c r="D104" s="102" t="s">
        <v>5867</v>
      </c>
      <c r="E104" s="102" t="s">
        <v>328</v>
      </c>
      <c r="F104" s="102" t="s">
        <v>329</v>
      </c>
      <c r="G104" s="102" t="s">
        <v>353</v>
      </c>
      <c r="H104" s="102" t="s">
        <v>354</v>
      </c>
      <c r="I104" s="102" t="s">
        <v>284</v>
      </c>
      <c r="J104" s="102" t="s">
        <v>678</v>
      </c>
      <c r="L104" s="229" t="s">
        <v>5868</v>
      </c>
      <c r="M104" s="229" t="s">
        <v>6773</v>
      </c>
      <c r="N104" s="229" t="s">
        <v>5869</v>
      </c>
      <c r="O104" s="102">
        <v>3.0</v>
      </c>
      <c r="P104" s="102"/>
      <c r="T104" s="102">
        <v>28800.0</v>
      </c>
      <c r="U104" s="230" t="str">
        <f>IF(ISNUMBER(MATCH(B104, 'Sprint 12'!B:B, 0)), "มาจาก Sprint 12", "")</f>
        <v/>
      </c>
      <c r="V104" s="230" t="str">
        <f t="array" ref="V104">IF(ISNUMBER(MATCH(B104, 'Sprint 12'!B:B, 0)), INDEX('Sprint 12'!J:J, MATCH(B104, 'Sprint 12'!B:B, 0)), "")</f>
        <v/>
      </c>
      <c r="W104" s="102"/>
      <c r="X104" s="102" t="s">
        <v>4919</v>
      </c>
    </row>
    <row r="105">
      <c r="A105" s="102" t="s">
        <v>310</v>
      </c>
      <c r="B105" s="102" t="s">
        <v>6296</v>
      </c>
      <c r="C105" s="229" t="s">
        <v>6297</v>
      </c>
      <c r="D105" s="102" t="s">
        <v>6298</v>
      </c>
      <c r="E105" s="102" t="s">
        <v>556</v>
      </c>
      <c r="F105" s="102" t="s">
        <v>557</v>
      </c>
      <c r="G105" s="102" t="s">
        <v>314</v>
      </c>
      <c r="H105" s="102" t="s">
        <v>315</v>
      </c>
      <c r="I105" s="102" t="s">
        <v>284</v>
      </c>
      <c r="J105" s="102" t="s">
        <v>678</v>
      </c>
      <c r="L105" s="229" t="s">
        <v>6299</v>
      </c>
      <c r="M105" s="229" t="s">
        <v>6774</v>
      </c>
      <c r="O105" s="102">
        <v>2.0</v>
      </c>
      <c r="T105" s="102">
        <v>14400.0</v>
      </c>
      <c r="U105" s="230" t="str">
        <f>IF(ISNUMBER(MATCH(B105, 'Sprint 12'!B:B, 0)), "มาจาก Sprint 12", "")</f>
        <v/>
      </c>
      <c r="V105" s="230" t="str">
        <f t="array" ref="V105">IF(ISNUMBER(MATCH(B105, 'Sprint 12'!B:B, 0)), INDEX('Sprint 12'!J:J, MATCH(B105, 'Sprint 12'!B:B, 0)), "")</f>
        <v/>
      </c>
      <c r="W105" s="102"/>
      <c r="X105" s="102" t="s">
        <v>4919</v>
      </c>
    </row>
    <row r="106">
      <c r="A106" s="102" t="s">
        <v>310</v>
      </c>
      <c r="B106" s="102" t="s">
        <v>6775</v>
      </c>
      <c r="C106" s="229" t="s">
        <v>6776</v>
      </c>
      <c r="D106" s="102" t="s">
        <v>6777</v>
      </c>
      <c r="E106" s="102" t="s">
        <v>495</v>
      </c>
      <c r="F106" s="102" t="s">
        <v>496</v>
      </c>
      <c r="G106" s="102" t="s">
        <v>314</v>
      </c>
      <c r="H106" s="102" t="s">
        <v>315</v>
      </c>
      <c r="I106" s="102" t="s">
        <v>284</v>
      </c>
      <c r="J106" s="102" t="s">
        <v>26</v>
      </c>
      <c r="L106" s="229" t="s">
        <v>6778</v>
      </c>
      <c r="M106" s="229" t="s">
        <v>6779</v>
      </c>
      <c r="O106" s="102">
        <v>2.0</v>
      </c>
      <c r="T106" s="102">
        <v>28800.0</v>
      </c>
      <c r="U106" s="230" t="str">
        <f>IF(ISNUMBER(MATCH(B106, 'Sprint 12'!B:B, 0)), "มาจาก Sprint 12", "")</f>
        <v/>
      </c>
      <c r="V106" s="230" t="str">
        <f t="array" ref="V106">IF(ISNUMBER(MATCH(B106, 'Sprint 12'!B:B, 0)), INDEX('Sprint 12'!J:J, MATCH(B106, 'Sprint 12'!B:B, 0)), "")</f>
        <v/>
      </c>
      <c r="W106" s="102"/>
      <c r="X106" s="102" t="s">
        <v>1367</v>
      </c>
    </row>
    <row r="107">
      <c r="A107" s="102" t="s">
        <v>310</v>
      </c>
      <c r="B107" s="102" t="s">
        <v>6780</v>
      </c>
      <c r="C107" s="229" t="s">
        <v>6781</v>
      </c>
      <c r="D107" s="102" t="s">
        <v>6782</v>
      </c>
      <c r="E107" s="102" t="s">
        <v>328</v>
      </c>
      <c r="F107" s="102" t="s">
        <v>329</v>
      </c>
      <c r="G107" s="102" t="s">
        <v>314</v>
      </c>
      <c r="H107" s="102" t="s">
        <v>315</v>
      </c>
      <c r="I107" s="102" t="s">
        <v>284</v>
      </c>
      <c r="J107" s="102" t="s">
        <v>26</v>
      </c>
      <c r="L107" s="229" t="s">
        <v>6783</v>
      </c>
      <c r="M107" s="229" t="s">
        <v>6784</v>
      </c>
      <c r="N107" s="229" t="s">
        <v>6332</v>
      </c>
      <c r="O107" s="102">
        <v>2.0</v>
      </c>
      <c r="P107" s="102"/>
      <c r="T107" s="102">
        <v>14400.0</v>
      </c>
      <c r="U107" s="230" t="str">
        <f>IF(ISNUMBER(MATCH(B107, 'Sprint 12'!B:B, 0)), "มาจาก Sprint 12", "")</f>
        <v/>
      </c>
      <c r="V107" s="230" t="str">
        <f t="array" ref="V107">IF(ISNUMBER(MATCH(B107, 'Sprint 12'!B:B, 0)), INDEX('Sprint 12'!J:J, MATCH(B107, 'Sprint 12'!B:B, 0)), "")</f>
        <v/>
      </c>
      <c r="W107" s="102"/>
      <c r="X107" s="102" t="s">
        <v>1367</v>
      </c>
    </row>
    <row r="108">
      <c r="A108" s="102" t="s">
        <v>310</v>
      </c>
      <c r="B108" s="102" t="s">
        <v>5870</v>
      </c>
      <c r="C108" s="229" t="s">
        <v>5871</v>
      </c>
      <c r="D108" s="102" t="s">
        <v>5872</v>
      </c>
      <c r="E108" s="102" t="s">
        <v>584</v>
      </c>
      <c r="F108" s="102" t="s">
        <v>585</v>
      </c>
      <c r="G108" s="102" t="s">
        <v>353</v>
      </c>
      <c r="H108" s="102" t="s">
        <v>354</v>
      </c>
      <c r="I108" s="102" t="s">
        <v>284</v>
      </c>
      <c r="J108" s="102" t="s">
        <v>454</v>
      </c>
      <c r="L108" s="229" t="s">
        <v>5873</v>
      </c>
      <c r="M108" s="229" t="s">
        <v>6785</v>
      </c>
      <c r="N108" s="229" t="s">
        <v>5875</v>
      </c>
      <c r="O108" s="102">
        <v>3.0</v>
      </c>
      <c r="P108" s="102"/>
      <c r="T108" s="102"/>
      <c r="U108" s="230" t="str">
        <f>IF(ISNUMBER(MATCH(B108, 'Sprint 12'!B:B, 0)), "มาจาก Sprint 12", "")</f>
        <v/>
      </c>
      <c r="V108" s="230" t="str">
        <f t="array" ref="V108">IF(ISNUMBER(MATCH(B108, 'Sprint 12'!B:B, 0)), INDEX('Sprint 12'!J:J, MATCH(B108, 'Sprint 12'!B:B, 0)), "")</f>
        <v/>
      </c>
      <c r="W108" s="102"/>
      <c r="X108" s="102" t="s">
        <v>4919</v>
      </c>
    </row>
    <row r="109">
      <c r="A109" s="102" t="s">
        <v>310</v>
      </c>
      <c r="B109" s="102" t="s">
        <v>6301</v>
      </c>
      <c r="C109" s="229" t="s">
        <v>6302</v>
      </c>
      <c r="D109" s="102" t="s">
        <v>6303</v>
      </c>
      <c r="E109" s="102" t="s">
        <v>328</v>
      </c>
      <c r="F109" s="102" t="s">
        <v>329</v>
      </c>
      <c r="G109" s="102" t="s">
        <v>353</v>
      </c>
      <c r="H109" s="102" t="s">
        <v>354</v>
      </c>
      <c r="I109" s="102" t="s">
        <v>284</v>
      </c>
      <c r="J109" s="102" t="s">
        <v>678</v>
      </c>
      <c r="L109" s="229" t="s">
        <v>6304</v>
      </c>
      <c r="M109" s="229" t="s">
        <v>6786</v>
      </c>
      <c r="N109" s="229" t="s">
        <v>6306</v>
      </c>
      <c r="O109" s="102">
        <v>2.0</v>
      </c>
      <c r="P109" s="102" t="s">
        <v>538</v>
      </c>
      <c r="T109" s="102">
        <v>14400.0</v>
      </c>
      <c r="U109" s="230" t="str">
        <f>IF(ISNUMBER(MATCH(B109, 'Sprint 12'!B:B, 0)), "มาจาก Sprint 12", "")</f>
        <v/>
      </c>
      <c r="V109" s="230" t="str">
        <f t="array" ref="V109">IF(ISNUMBER(MATCH(B109, 'Sprint 12'!B:B, 0)), INDEX('Sprint 12'!J:J, MATCH(B109, 'Sprint 12'!B:B, 0)), "")</f>
        <v/>
      </c>
      <c r="W109" s="102"/>
      <c r="X109" s="102" t="s">
        <v>4919</v>
      </c>
    </row>
    <row r="110">
      <c r="A110" s="102" t="s">
        <v>310</v>
      </c>
      <c r="B110" s="102" t="s">
        <v>6307</v>
      </c>
      <c r="C110" s="229" t="s">
        <v>6308</v>
      </c>
      <c r="D110" s="102" t="s">
        <v>6309</v>
      </c>
      <c r="E110" s="102" t="s">
        <v>556</v>
      </c>
      <c r="F110" s="102" t="s">
        <v>557</v>
      </c>
      <c r="G110" s="102" t="s">
        <v>353</v>
      </c>
      <c r="H110" s="102" t="s">
        <v>354</v>
      </c>
      <c r="I110" s="102" t="s">
        <v>284</v>
      </c>
      <c r="J110" s="102" t="s">
        <v>454</v>
      </c>
      <c r="L110" s="229" t="s">
        <v>6310</v>
      </c>
      <c r="M110" s="229" t="s">
        <v>6608</v>
      </c>
      <c r="N110" s="102"/>
      <c r="O110" s="102">
        <v>5.0</v>
      </c>
      <c r="P110" s="102"/>
      <c r="T110" s="102">
        <v>57600.0</v>
      </c>
      <c r="U110" s="230" t="str">
        <f>IF(ISNUMBER(MATCH(B110, 'Sprint 12'!B:B, 0)), "มาจาก Sprint 12", "")</f>
        <v/>
      </c>
      <c r="V110" s="230" t="str">
        <f t="array" ref="V110">IF(ISNUMBER(MATCH(B110, 'Sprint 12'!B:B, 0)), INDEX('Sprint 12'!J:J, MATCH(B110, 'Sprint 12'!B:B, 0)), "")</f>
        <v/>
      </c>
      <c r="W110" s="102"/>
      <c r="X110" s="102" t="s">
        <v>4919</v>
      </c>
    </row>
    <row r="111">
      <c r="A111" s="102" t="s">
        <v>310</v>
      </c>
      <c r="B111" s="102" t="s">
        <v>6312</v>
      </c>
      <c r="C111" s="229" t="s">
        <v>6313</v>
      </c>
      <c r="D111" s="102" t="s">
        <v>6314</v>
      </c>
      <c r="E111" s="102" t="s">
        <v>6315</v>
      </c>
      <c r="F111" s="102" t="s">
        <v>6316</v>
      </c>
      <c r="G111" s="102" t="s">
        <v>353</v>
      </c>
      <c r="H111" s="102" t="s">
        <v>354</v>
      </c>
      <c r="I111" s="102" t="s">
        <v>284</v>
      </c>
      <c r="J111" s="102" t="s">
        <v>454</v>
      </c>
      <c r="L111" s="229" t="s">
        <v>6317</v>
      </c>
      <c r="M111" s="229" t="s">
        <v>6787</v>
      </c>
      <c r="N111" s="102"/>
      <c r="O111" s="102">
        <v>3.0</v>
      </c>
      <c r="P111" s="102"/>
      <c r="Q111" s="102"/>
      <c r="T111" s="102"/>
      <c r="U111" s="230" t="str">
        <f>IF(ISNUMBER(MATCH(B111, 'Sprint 12'!B:B, 0)), "มาจาก Sprint 12", "")</f>
        <v/>
      </c>
      <c r="V111" s="230" t="str">
        <f t="array" ref="V111">IF(ISNUMBER(MATCH(B111, 'Sprint 12'!B:B, 0)), INDEX('Sprint 12'!J:J, MATCH(B111, 'Sprint 12'!B:B, 0)), "")</f>
        <v/>
      </c>
      <c r="W111" s="102"/>
      <c r="X111" s="102" t="s">
        <v>4919</v>
      </c>
    </row>
    <row r="112">
      <c r="A112" s="102" t="s">
        <v>310</v>
      </c>
      <c r="B112" s="102" t="s">
        <v>5876</v>
      </c>
      <c r="C112" s="229" t="s">
        <v>5877</v>
      </c>
      <c r="D112" s="102" t="s">
        <v>5878</v>
      </c>
      <c r="E112" s="102" t="s">
        <v>495</v>
      </c>
      <c r="F112" s="102" t="s">
        <v>496</v>
      </c>
      <c r="G112" s="102" t="s">
        <v>353</v>
      </c>
      <c r="H112" s="102" t="s">
        <v>354</v>
      </c>
      <c r="I112" s="102" t="s">
        <v>284</v>
      </c>
      <c r="J112" s="102" t="s">
        <v>454</v>
      </c>
      <c r="L112" s="229" t="s">
        <v>5879</v>
      </c>
      <c r="M112" s="229" t="s">
        <v>6788</v>
      </c>
      <c r="N112" s="229" t="s">
        <v>5881</v>
      </c>
      <c r="O112" s="102">
        <v>5.0</v>
      </c>
      <c r="P112" s="102" t="s">
        <v>538</v>
      </c>
      <c r="T112" s="102">
        <v>43200.0</v>
      </c>
      <c r="U112" s="230" t="str">
        <f>IF(ISNUMBER(MATCH(B112, 'Sprint 12'!B:B, 0)), "มาจาก Sprint 12", "")</f>
        <v/>
      </c>
      <c r="V112" s="230" t="str">
        <f t="array" ref="V112">IF(ISNUMBER(MATCH(B112, 'Sprint 12'!B:B, 0)), INDEX('Sprint 12'!J:J, MATCH(B112, 'Sprint 12'!B:B, 0)), "")</f>
        <v/>
      </c>
      <c r="W112" s="102"/>
      <c r="X112" s="102" t="s">
        <v>4919</v>
      </c>
    </row>
    <row r="113">
      <c r="A113" s="102" t="s">
        <v>310</v>
      </c>
      <c r="B113" s="102" t="s">
        <v>6318</v>
      </c>
      <c r="C113" s="229" t="s">
        <v>6319</v>
      </c>
      <c r="D113" s="102" t="s">
        <v>6320</v>
      </c>
      <c r="E113" s="102" t="s">
        <v>328</v>
      </c>
      <c r="F113" s="102" t="s">
        <v>329</v>
      </c>
      <c r="G113" s="102" t="s">
        <v>353</v>
      </c>
      <c r="H113" s="102" t="s">
        <v>354</v>
      </c>
      <c r="I113" s="102" t="s">
        <v>284</v>
      </c>
      <c r="J113" s="102" t="s">
        <v>678</v>
      </c>
      <c r="L113" s="229" t="s">
        <v>6321</v>
      </c>
      <c r="M113" s="229" t="s">
        <v>6789</v>
      </c>
      <c r="N113" s="229" t="s">
        <v>5875</v>
      </c>
      <c r="O113" s="102">
        <v>5.0</v>
      </c>
      <c r="P113" s="102" t="s">
        <v>538</v>
      </c>
      <c r="T113" s="102">
        <v>57600.0</v>
      </c>
      <c r="U113" s="230" t="str">
        <f>IF(ISNUMBER(MATCH(B113, 'Sprint 12'!B:B, 0)), "มาจาก Sprint 12", "")</f>
        <v/>
      </c>
      <c r="V113" s="230" t="str">
        <f t="array" ref="V113">IF(ISNUMBER(MATCH(B113, 'Sprint 12'!B:B, 0)), INDEX('Sprint 12'!J:J, MATCH(B113, 'Sprint 12'!B:B, 0)), "")</f>
        <v/>
      </c>
      <c r="W113" s="102"/>
      <c r="X113" s="102" t="s">
        <v>4919</v>
      </c>
      <c r="Y113" s="102"/>
    </row>
    <row r="114">
      <c r="A114" s="102" t="s">
        <v>310</v>
      </c>
      <c r="B114" s="102" t="s">
        <v>6322</v>
      </c>
      <c r="C114" s="229" t="s">
        <v>6323</v>
      </c>
      <c r="D114" s="102" t="s">
        <v>6324</v>
      </c>
      <c r="E114" s="102" t="s">
        <v>584</v>
      </c>
      <c r="F114" s="102" t="s">
        <v>585</v>
      </c>
      <c r="G114" s="102" t="s">
        <v>353</v>
      </c>
      <c r="H114" s="102" t="s">
        <v>354</v>
      </c>
      <c r="I114" s="102" t="s">
        <v>284</v>
      </c>
      <c r="J114" s="102" t="s">
        <v>454</v>
      </c>
      <c r="L114" s="229" t="s">
        <v>6325</v>
      </c>
      <c r="M114" s="229" t="s">
        <v>6790</v>
      </c>
      <c r="N114" s="102"/>
      <c r="O114" s="102">
        <v>5.0</v>
      </c>
      <c r="P114" s="102" t="s">
        <v>538</v>
      </c>
      <c r="T114" s="102">
        <v>57600.0</v>
      </c>
      <c r="U114" s="230" t="str">
        <f>IF(ISNUMBER(MATCH(B114, 'Sprint 12'!B:B, 0)), "มาจาก Sprint 12", "")</f>
        <v/>
      </c>
      <c r="V114" s="230" t="str">
        <f t="array" ref="V114">IF(ISNUMBER(MATCH(B114, 'Sprint 12'!B:B, 0)), INDEX('Sprint 12'!J:J, MATCH(B114, 'Sprint 12'!B:B, 0)), "")</f>
        <v/>
      </c>
      <c r="W114" s="102"/>
      <c r="X114" s="102" t="s">
        <v>4919</v>
      </c>
    </row>
    <row r="115">
      <c r="A115" s="102" t="s">
        <v>310</v>
      </c>
      <c r="B115" s="102" t="s">
        <v>6327</v>
      </c>
      <c r="C115" s="229" t="s">
        <v>6328</v>
      </c>
      <c r="D115" s="102" t="s">
        <v>6329</v>
      </c>
      <c r="E115" s="102" t="s">
        <v>584</v>
      </c>
      <c r="F115" s="102" t="s">
        <v>585</v>
      </c>
      <c r="G115" s="102" t="s">
        <v>353</v>
      </c>
      <c r="H115" s="102" t="s">
        <v>354</v>
      </c>
      <c r="I115" s="102" t="s">
        <v>284</v>
      </c>
      <c r="J115" s="102" t="s">
        <v>454</v>
      </c>
      <c r="L115" s="229" t="s">
        <v>6330</v>
      </c>
      <c r="M115" s="229" t="s">
        <v>6790</v>
      </c>
      <c r="N115" s="229" t="s">
        <v>6332</v>
      </c>
      <c r="O115" s="102">
        <v>5.0</v>
      </c>
      <c r="P115" s="102" t="s">
        <v>538</v>
      </c>
      <c r="T115" s="102">
        <v>57600.0</v>
      </c>
      <c r="U115" s="230" t="str">
        <f>IF(ISNUMBER(MATCH(B115, 'Sprint 12'!B:B, 0)), "มาจาก Sprint 12", "")</f>
        <v/>
      </c>
      <c r="V115" s="230" t="str">
        <f t="array" ref="V115">IF(ISNUMBER(MATCH(B115, 'Sprint 12'!B:B, 0)), INDEX('Sprint 12'!J:J, MATCH(B115, 'Sprint 12'!B:B, 0)), "")</f>
        <v/>
      </c>
      <c r="W115" s="102"/>
      <c r="X115" s="102" t="s">
        <v>4919</v>
      </c>
    </row>
    <row r="116">
      <c r="A116" s="102" t="s">
        <v>310</v>
      </c>
      <c r="B116" s="102" t="s">
        <v>6791</v>
      </c>
      <c r="C116" s="229" t="s">
        <v>6792</v>
      </c>
      <c r="D116" s="102" t="s">
        <v>6793</v>
      </c>
      <c r="E116" s="102" t="s">
        <v>564</v>
      </c>
      <c r="F116" s="102" t="s">
        <v>565</v>
      </c>
      <c r="G116" s="102" t="s">
        <v>353</v>
      </c>
      <c r="H116" s="102" t="s">
        <v>354</v>
      </c>
      <c r="I116" s="102" t="s">
        <v>284</v>
      </c>
      <c r="J116" s="102" t="s">
        <v>26</v>
      </c>
      <c r="L116" s="229" t="s">
        <v>6794</v>
      </c>
      <c r="M116" s="229" t="s">
        <v>6795</v>
      </c>
      <c r="N116" s="229" t="s">
        <v>5881</v>
      </c>
      <c r="O116" s="102">
        <v>1.0</v>
      </c>
      <c r="P116" s="102" t="s">
        <v>538</v>
      </c>
      <c r="Q116" s="102" t="s">
        <v>593</v>
      </c>
      <c r="T116" s="102">
        <v>7200.0</v>
      </c>
      <c r="U116" s="230" t="str">
        <f>IF(ISNUMBER(MATCH(B116, 'Sprint 12'!B:B, 0)), "มาจาก Sprint 12", "")</f>
        <v/>
      </c>
      <c r="V116" s="230" t="str">
        <f t="array" ref="V116">IF(ISNUMBER(MATCH(B116, 'Sprint 12'!B:B, 0)), INDEX('Sprint 12'!J:J, MATCH(B116, 'Sprint 12'!B:B, 0)), "")</f>
        <v/>
      </c>
      <c r="W116" s="102"/>
      <c r="X116" s="102" t="s">
        <v>4919</v>
      </c>
    </row>
    <row r="117">
      <c r="A117" s="102" t="s">
        <v>310</v>
      </c>
      <c r="B117" s="102" t="s">
        <v>6333</v>
      </c>
      <c r="C117" s="229" t="s">
        <v>6334</v>
      </c>
      <c r="D117" s="102" t="s">
        <v>6335</v>
      </c>
      <c r="E117" s="102" t="s">
        <v>328</v>
      </c>
      <c r="F117" s="102" t="s">
        <v>329</v>
      </c>
      <c r="G117" s="102" t="s">
        <v>353</v>
      </c>
      <c r="H117" s="102" t="s">
        <v>354</v>
      </c>
      <c r="I117" s="102" t="s">
        <v>284</v>
      </c>
      <c r="J117" s="102" t="s">
        <v>678</v>
      </c>
      <c r="L117" s="229" t="s">
        <v>6336</v>
      </c>
      <c r="M117" s="229" t="s">
        <v>6796</v>
      </c>
      <c r="N117" s="229" t="s">
        <v>6306</v>
      </c>
      <c r="O117" s="102">
        <v>2.0</v>
      </c>
      <c r="P117" s="102" t="s">
        <v>538</v>
      </c>
      <c r="T117" s="102">
        <v>14400.0</v>
      </c>
      <c r="U117" s="230" t="str">
        <f>IF(ISNUMBER(MATCH(B117, 'Sprint 12'!B:B, 0)), "มาจาก Sprint 12", "")</f>
        <v/>
      </c>
      <c r="V117" s="230" t="str">
        <f t="array" ref="V117">IF(ISNUMBER(MATCH(B117, 'Sprint 12'!B:B, 0)), INDEX('Sprint 12'!J:J, MATCH(B117, 'Sprint 12'!B:B, 0)), "")</f>
        <v/>
      </c>
      <c r="W117" s="102"/>
      <c r="X117" s="102" t="s">
        <v>4919</v>
      </c>
    </row>
    <row r="118">
      <c r="A118" s="102" t="s">
        <v>332</v>
      </c>
      <c r="B118" s="102" t="s">
        <v>6797</v>
      </c>
      <c r="C118" s="229" t="s">
        <v>6798</v>
      </c>
      <c r="D118" s="102" t="s">
        <v>6799</v>
      </c>
      <c r="E118" s="102" t="s">
        <v>328</v>
      </c>
      <c r="F118" s="102" t="s">
        <v>329</v>
      </c>
      <c r="G118" s="102" t="s">
        <v>521</v>
      </c>
      <c r="H118" s="102" t="s">
        <v>522</v>
      </c>
      <c r="I118" s="102" t="s">
        <v>284</v>
      </c>
      <c r="J118" s="102" t="s">
        <v>336</v>
      </c>
      <c r="L118" s="229" t="s">
        <v>6800</v>
      </c>
      <c r="M118" s="229" t="s">
        <v>6801</v>
      </c>
      <c r="N118" s="102"/>
      <c r="O118" s="102"/>
      <c r="P118" s="102"/>
      <c r="T118" s="102"/>
      <c r="U118" s="230" t="str">
        <f>IF(ISNUMBER(MATCH(B118, 'Sprint 12'!B:B, 0)), "มาจาก Sprint 12", "")</f>
        <v>มาจาก Sprint 12</v>
      </c>
      <c r="V118" s="230" t="str">
        <f t="array" ref="V118">IF(ISNUMBER(MATCH(B118, 'Sprint 12'!B:B, 0)), INDEX('Sprint 12'!J:J, MATCH(B118, 'Sprint 12'!B:B, 0)), "")</f>
        <v>Fixing</v>
      </c>
      <c r="W118" s="102"/>
      <c r="X118" s="102" t="s">
        <v>4954</v>
      </c>
      <c r="Y118" s="102" t="s">
        <v>4919</v>
      </c>
    </row>
    <row r="119">
      <c r="A119" s="102" t="s">
        <v>310</v>
      </c>
      <c r="B119" s="102" t="s">
        <v>6338</v>
      </c>
      <c r="C119" s="229" t="s">
        <v>6339</v>
      </c>
      <c r="D119" s="102" t="s">
        <v>6340</v>
      </c>
      <c r="E119" s="102" t="s">
        <v>564</v>
      </c>
      <c r="F119" s="102" t="s">
        <v>565</v>
      </c>
      <c r="G119" s="102" t="s">
        <v>304</v>
      </c>
      <c r="H119" s="102" t="s">
        <v>305</v>
      </c>
      <c r="I119" s="102" t="s">
        <v>284</v>
      </c>
      <c r="J119" s="102" t="s">
        <v>454</v>
      </c>
      <c r="L119" s="229" t="s">
        <v>6341</v>
      </c>
      <c r="M119" s="229" t="s">
        <v>6140</v>
      </c>
      <c r="N119" s="229" t="s">
        <v>6176</v>
      </c>
      <c r="O119" s="102">
        <v>8.0</v>
      </c>
      <c r="P119" s="102" t="s">
        <v>1020</v>
      </c>
      <c r="T119" s="102">
        <v>86400.0</v>
      </c>
      <c r="U119" s="230" t="str">
        <f>IF(ISNUMBER(MATCH(B119, 'Sprint 12'!B:B, 0)), "มาจาก Sprint 12", "")</f>
        <v/>
      </c>
      <c r="V119" s="230" t="str">
        <f t="array" ref="V119">IF(ISNUMBER(MATCH(B119, 'Sprint 12'!B:B, 0)), INDEX('Sprint 12'!J:J, MATCH(B119, 'Sprint 12'!B:B, 0)), "")</f>
        <v/>
      </c>
      <c r="W119" s="102"/>
      <c r="X119" s="102" t="s">
        <v>2196</v>
      </c>
      <c r="Y119" s="102" t="s">
        <v>2185</v>
      </c>
    </row>
    <row r="120">
      <c r="A120" s="102" t="s">
        <v>276</v>
      </c>
      <c r="B120" s="102" t="s">
        <v>6343</v>
      </c>
      <c r="C120" s="229" t="s">
        <v>6344</v>
      </c>
      <c r="D120" s="102" t="s">
        <v>6345</v>
      </c>
      <c r="E120" s="102"/>
      <c r="F120" s="102"/>
      <c r="G120" s="102" t="s">
        <v>316</v>
      </c>
      <c r="H120" s="102" t="s">
        <v>317</v>
      </c>
      <c r="I120" s="102" t="s">
        <v>284</v>
      </c>
      <c r="J120" s="102" t="s">
        <v>63</v>
      </c>
      <c r="L120" s="229" t="s">
        <v>6346</v>
      </c>
      <c r="M120" s="229" t="s">
        <v>6802</v>
      </c>
      <c r="N120" s="102"/>
      <c r="O120" s="102"/>
      <c r="P120" s="102"/>
      <c r="T120" s="102"/>
      <c r="U120" s="230" t="str">
        <f>IF(ISNUMBER(MATCH(B120, 'Sprint 12'!B:B, 0)), "มาจาก Sprint 12", "")</f>
        <v/>
      </c>
      <c r="V120" s="230" t="str">
        <f t="array" ref="V120">IF(ISNUMBER(MATCH(B120, 'Sprint 12'!B:B, 0)), INDEX('Sprint 12'!J:J, MATCH(B120, 'Sprint 12'!B:B, 0)), "")</f>
        <v/>
      </c>
      <c r="W120" s="102"/>
      <c r="X120" s="102" t="s">
        <v>4919</v>
      </c>
    </row>
    <row r="121">
      <c r="A121" s="102" t="s">
        <v>310</v>
      </c>
      <c r="B121" s="102" t="s">
        <v>6347</v>
      </c>
      <c r="C121" s="229" t="s">
        <v>6348</v>
      </c>
      <c r="D121" s="102" t="s">
        <v>6349</v>
      </c>
      <c r="E121" s="102" t="s">
        <v>314</v>
      </c>
      <c r="F121" s="102" t="s">
        <v>315</v>
      </c>
      <c r="G121" s="102" t="s">
        <v>316</v>
      </c>
      <c r="H121" s="102" t="s">
        <v>317</v>
      </c>
      <c r="I121" s="102" t="s">
        <v>284</v>
      </c>
      <c r="J121" s="102" t="s">
        <v>63</v>
      </c>
      <c r="L121" s="229" t="s">
        <v>6350</v>
      </c>
      <c r="M121" s="229" t="s">
        <v>6803</v>
      </c>
      <c r="N121" s="102"/>
      <c r="O121" s="102"/>
      <c r="P121" s="102" t="s">
        <v>1756</v>
      </c>
      <c r="Q121" s="102"/>
      <c r="T121" s="102"/>
      <c r="U121" s="230" t="str">
        <f>IF(ISNUMBER(MATCH(B121, 'Sprint 12'!B:B, 0)), "มาจาก Sprint 12", "")</f>
        <v/>
      </c>
      <c r="V121" s="230" t="str">
        <f t="array" ref="V121">IF(ISNUMBER(MATCH(B121, 'Sprint 12'!B:B, 0)), INDEX('Sprint 12'!J:J, MATCH(B121, 'Sprint 12'!B:B, 0)), "")</f>
        <v/>
      </c>
      <c r="W121" s="102"/>
      <c r="X121" s="102" t="s">
        <v>4919</v>
      </c>
    </row>
    <row r="122">
      <c r="A122" s="102" t="s">
        <v>310</v>
      </c>
      <c r="B122" s="102" t="s">
        <v>6352</v>
      </c>
      <c r="C122" s="229" t="s">
        <v>6353</v>
      </c>
      <c r="D122" s="102" t="s">
        <v>6354</v>
      </c>
      <c r="E122" s="102" t="s">
        <v>304</v>
      </c>
      <c r="F122" s="102" t="s">
        <v>305</v>
      </c>
      <c r="G122" s="102" t="s">
        <v>304</v>
      </c>
      <c r="H122" s="102" t="s">
        <v>305</v>
      </c>
      <c r="I122" s="102" t="s">
        <v>284</v>
      </c>
      <c r="J122" s="102" t="s">
        <v>454</v>
      </c>
      <c r="L122" s="229" t="s">
        <v>6355</v>
      </c>
      <c r="M122" s="229" t="s">
        <v>6140</v>
      </c>
      <c r="N122" s="229" t="s">
        <v>6356</v>
      </c>
      <c r="O122" s="102">
        <v>8.0</v>
      </c>
      <c r="P122" s="102" t="s">
        <v>1305</v>
      </c>
      <c r="Q122" s="102"/>
      <c r="T122" s="102">
        <v>86400.0</v>
      </c>
      <c r="U122" s="230" t="str">
        <f>IF(ISNUMBER(MATCH(B122, 'Sprint 12'!B:B, 0)), "มาจาก Sprint 12", "")</f>
        <v/>
      </c>
      <c r="V122" s="230" t="str">
        <f t="array" ref="V122">IF(ISNUMBER(MATCH(B122, 'Sprint 12'!B:B, 0)), INDEX('Sprint 12'!J:J, MATCH(B122, 'Sprint 12'!B:B, 0)), "")</f>
        <v/>
      </c>
      <c r="W122" s="102"/>
      <c r="X122" s="102" t="s">
        <v>2196</v>
      </c>
      <c r="Y122" s="102" t="s">
        <v>2185</v>
      </c>
    </row>
    <row r="123">
      <c r="A123" s="102" t="s">
        <v>310</v>
      </c>
      <c r="B123" s="102" t="s">
        <v>6357</v>
      </c>
      <c r="C123" s="229" t="s">
        <v>6358</v>
      </c>
      <c r="D123" s="102" t="s">
        <v>6359</v>
      </c>
      <c r="E123" s="102" t="s">
        <v>495</v>
      </c>
      <c r="F123" s="102" t="s">
        <v>496</v>
      </c>
      <c r="G123" s="102" t="s">
        <v>304</v>
      </c>
      <c r="H123" s="102" t="s">
        <v>305</v>
      </c>
      <c r="I123" s="102" t="s">
        <v>284</v>
      </c>
      <c r="J123" s="102" t="s">
        <v>454</v>
      </c>
      <c r="L123" s="229" t="s">
        <v>6360</v>
      </c>
      <c r="M123" s="229" t="s">
        <v>6140</v>
      </c>
      <c r="N123" s="229" t="s">
        <v>6356</v>
      </c>
      <c r="O123" s="102">
        <v>3.0</v>
      </c>
      <c r="P123" s="102" t="s">
        <v>1305</v>
      </c>
      <c r="T123" s="102">
        <v>28800.0</v>
      </c>
      <c r="U123" s="230" t="str">
        <f>IF(ISNUMBER(MATCH(B123, 'Sprint 12'!B:B, 0)), "มาจาก Sprint 12", "")</f>
        <v/>
      </c>
      <c r="V123" s="230" t="str">
        <f t="array" ref="V123">IF(ISNUMBER(MATCH(B123, 'Sprint 12'!B:B, 0)), INDEX('Sprint 12'!J:J, MATCH(B123, 'Sprint 12'!B:B, 0)), "")</f>
        <v/>
      </c>
      <c r="W123" s="102"/>
      <c r="X123" s="102" t="s">
        <v>2196</v>
      </c>
      <c r="Y123" s="102" t="s">
        <v>2185</v>
      </c>
    </row>
    <row r="124">
      <c r="A124" s="102" t="s">
        <v>310</v>
      </c>
      <c r="B124" s="102" t="s">
        <v>6361</v>
      </c>
      <c r="C124" s="229" t="s">
        <v>6362</v>
      </c>
      <c r="D124" s="102" t="s">
        <v>6363</v>
      </c>
      <c r="E124" s="102" t="s">
        <v>564</v>
      </c>
      <c r="F124" s="102" t="s">
        <v>565</v>
      </c>
      <c r="G124" s="102" t="s">
        <v>304</v>
      </c>
      <c r="H124" s="102" t="s">
        <v>305</v>
      </c>
      <c r="I124" s="102" t="s">
        <v>284</v>
      </c>
      <c r="J124" s="102" t="s">
        <v>454</v>
      </c>
      <c r="L124" s="229" t="s">
        <v>6364</v>
      </c>
      <c r="M124" s="229" t="s">
        <v>6140</v>
      </c>
      <c r="N124" s="229" t="s">
        <v>6356</v>
      </c>
      <c r="O124" s="102">
        <v>3.0</v>
      </c>
      <c r="P124" s="102" t="s">
        <v>1305</v>
      </c>
      <c r="T124" s="102">
        <v>28800.0</v>
      </c>
      <c r="U124" s="230" t="str">
        <f>IF(ISNUMBER(MATCH(B124, 'Sprint 12'!B:B, 0)), "มาจาก Sprint 12", "")</f>
        <v/>
      </c>
      <c r="V124" s="230" t="str">
        <f t="array" ref="V124">IF(ISNUMBER(MATCH(B124, 'Sprint 12'!B:B, 0)), INDEX('Sprint 12'!J:J, MATCH(B124, 'Sprint 12'!B:B, 0)), "")</f>
        <v/>
      </c>
      <c r="W124" s="102"/>
      <c r="X124" s="102" t="s">
        <v>2196</v>
      </c>
      <c r="Y124" s="102" t="s">
        <v>2185</v>
      </c>
    </row>
    <row r="125">
      <c r="A125" s="102" t="s">
        <v>310</v>
      </c>
      <c r="B125" s="102" t="s">
        <v>6366</v>
      </c>
      <c r="C125" s="229" t="s">
        <v>6367</v>
      </c>
      <c r="D125" s="102" t="s">
        <v>6368</v>
      </c>
      <c r="E125" s="102" t="s">
        <v>564</v>
      </c>
      <c r="F125" s="102" t="s">
        <v>565</v>
      </c>
      <c r="G125" s="102" t="s">
        <v>304</v>
      </c>
      <c r="H125" s="102" t="s">
        <v>305</v>
      </c>
      <c r="I125" s="102" t="s">
        <v>284</v>
      </c>
      <c r="J125" s="102" t="s">
        <v>454</v>
      </c>
      <c r="L125" s="229" t="s">
        <v>6369</v>
      </c>
      <c r="M125" s="229" t="s">
        <v>6140</v>
      </c>
      <c r="N125" s="229" t="s">
        <v>6306</v>
      </c>
      <c r="O125" s="102">
        <v>5.0</v>
      </c>
      <c r="P125" s="102" t="s">
        <v>1305</v>
      </c>
      <c r="T125" s="102">
        <v>57600.0</v>
      </c>
      <c r="U125" s="230" t="str">
        <f>IF(ISNUMBER(MATCH(B125, 'Sprint 12'!B:B, 0)), "มาจาก Sprint 12", "")</f>
        <v/>
      </c>
      <c r="V125" s="230" t="str">
        <f t="array" ref="V125">IF(ISNUMBER(MATCH(B125, 'Sprint 12'!B:B, 0)), INDEX('Sprint 12'!J:J, MATCH(B125, 'Sprint 12'!B:B, 0)), "")</f>
        <v/>
      </c>
      <c r="W125" s="102"/>
      <c r="X125" s="102" t="s">
        <v>2196</v>
      </c>
      <c r="Y125" s="102" t="s">
        <v>2185</v>
      </c>
    </row>
    <row r="126">
      <c r="A126" s="102" t="s">
        <v>310</v>
      </c>
      <c r="B126" s="102" t="s">
        <v>6371</v>
      </c>
      <c r="C126" s="229" t="s">
        <v>6372</v>
      </c>
      <c r="D126" s="102" t="s">
        <v>6373</v>
      </c>
      <c r="E126" s="102" t="s">
        <v>328</v>
      </c>
      <c r="F126" s="102" t="s">
        <v>329</v>
      </c>
      <c r="G126" s="102" t="s">
        <v>304</v>
      </c>
      <c r="H126" s="102" t="s">
        <v>305</v>
      </c>
      <c r="I126" s="102" t="s">
        <v>284</v>
      </c>
      <c r="J126" s="102" t="s">
        <v>454</v>
      </c>
      <c r="L126" s="229" t="s">
        <v>6374</v>
      </c>
      <c r="M126" s="229" t="s">
        <v>6140</v>
      </c>
      <c r="N126" s="229" t="s">
        <v>6332</v>
      </c>
      <c r="O126" s="102">
        <v>3.0</v>
      </c>
      <c r="P126" s="102" t="s">
        <v>1305</v>
      </c>
      <c r="Q126" s="102" t="s">
        <v>593</v>
      </c>
      <c r="T126" s="102">
        <v>28800.0</v>
      </c>
      <c r="U126" s="230" t="str">
        <f>IF(ISNUMBER(MATCH(B126, 'Sprint 12'!B:B, 0)), "มาจาก Sprint 12", "")</f>
        <v/>
      </c>
      <c r="V126" s="230" t="str">
        <f t="array" ref="V126">IF(ISNUMBER(MATCH(B126, 'Sprint 12'!B:B, 0)), INDEX('Sprint 12'!J:J, MATCH(B126, 'Sprint 12'!B:B, 0)), "")</f>
        <v/>
      </c>
      <c r="W126" s="102"/>
      <c r="X126" s="102" t="s">
        <v>2196</v>
      </c>
      <c r="Y126" s="102" t="s">
        <v>2185</v>
      </c>
    </row>
    <row r="127">
      <c r="A127" s="102" t="s">
        <v>310</v>
      </c>
      <c r="B127" s="102" t="s">
        <v>6376</v>
      </c>
      <c r="C127" s="229" t="s">
        <v>6377</v>
      </c>
      <c r="D127" s="102" t="s">
        <v>6378</v>
      </c>
      <c r="E127" s="102" t="s">
        <v>328</v>
      </c>
      <c r="F127" s="102" t="s">
        <v>329</v>
      </c>
      <c r="G127" s="102" t="s">
        <v>304</v>
      </c>
      <c r="H127" s="102" t="s">
        <v>305</v>
      </c>
      <c r="I127" s="102" t="s">
        <v>284</v>
      </c>
      <c r="J127" s="102" t="s">
        <v>454</v>
      </c>
      <c r="L127" s="229" t="s">
        <v>6379</v>
      </c>
      <c r="M127" s="229" t="s">
        <v>6140</v>
      </c>
      <c r="N127" s="229" t="s">
        <v>4959</v>
      </c>
      <c r="O127" s="102">
        <v>1.0</v>
      </c>
      <c r="P127" s="102" t="s">
        <v>1305</v>
      </c>
      <c r="Q127" s="102" t="s">
        <v>593</v>
      </c>
      <c r="T127" s="102">
        <v>0.0</v>
      </c>
      <c r="U127" s="230" t="str">
        <f>IF(ISNUMBER(MATCH(B127, 'Sprint 12'!B:B, 0)), "มาจาก Sprint 12", "")</f>
        <v/>
      </c>
      <c r="V127" s="230" t="str">
        <f t="array" ref="V127">IF(ISNUMBER(MATCH(B127, 'Sprint 12'!B:B, 0)), INDEX('Sprint 12'!J:J, MATCH(B127, 'Sprint 12'!B:B, 0)), "")</f>
        <v/>
      </c>
      <c r="W127" s="102"/>
      <c r="X127" s="102" t="s">
        <v>2196</v>
      </c>
      <c r="Y127" s="102" t="s">
        <v>2185</v>
      </c>
    </row>
    <row r="128">
      <c r="A128" s="102" t="s">
        <v>332</v>
      </c>
      <c r="B128" s="102" t="s">
        <v>6380</v>
      </c>
      <c r="C128" s="229" t="s">
        <v>6381</v>
      </c>
      <c r="D128" s="102" t="s">
        <v>6382</v>
      </c>
      <c r="E128" s="102" t="s">
        <v>6315</v>
      </c>
      <c r="F128" s="102" t="s">
        <v>6316</v>
      </c>
      <c r="G128" s="102" t="s">
        <v>521</v>
      </c>
      <c r="H128" s="102" t="s">
        <v>522</v>
      </c>
      <c r="I128" s="102" t="s">
        <v>515</v>
      </c>
      <c r="J128" s="102" t="s">
        <v>922</v>
      </c>
      <c r="L128" s="229" t="s">
        <v>6383</v>
      </c>
      <c r="M128" s="229" t="s">
        <v>6804</v>
      </c>
      <c r="O128" s="230"/>
      <c r="T128" s="230"/>
      <c r="U128" s="230" t="str">
        <f>IF(ISNUMBER(MATCH(B128, 'Sprint 12'!B:B, 0)), "มาจาก Sprint 12", "")</f>
        <v>มาจาก Sprint 12</v>
      </c>
      <c r="V128" s="230" t="str">
        <f t="array" ref="V128">IF(ISNUMBER(MATCH(B128, 'Sprint 12'!B:B, 0)), INDEX('Sprint 12'!J:J, MATCH(B128, 'Sprint 12'!B:B, 0)), "")</f>
        <v>Fixing</v>
      </c>
      <c r="W128" s="230"/>
      <c r="X128" s="102" t="s">
        <v>5896</v>
      </c>
      <c r="Y128" s="102" t="s">
        <v>5837</v>
      </c>
    </row>
    <row r="129">
      <c r="A129" s="102" t="s">
        <v>310</v>
      </c>
      <c r="B129" s="102" t="s">
        <v>6805</v>
      </c>
      <c r="C129" s="229" t="s">
        <v>6806</v>
      </c>
      <c r="D129" s="102" t="s">
        <v>6807</v>
      </c>
      <c r="E129" s="102" t="s">
        <v>556</v>
      </c>
      <c r="F129" s="102" t="s">
        <v>557</v>
      </c>
      <c r="G129" s="102" t="s">
        <v>353</v>
      </c>
      <c r="H129" s="102" t="s">
        <v>354</v>
      </c>
      <c r="I129" s="102" t="s">
        <v>284</v>
      </c>
      <c r="J129" s="102" t="s">
        <v>26</v>
      </c>
      <c r="L129" s="229" t="s">
        <v>6808</v>
      </c>
      <c r="M129" s="229" t="s">
        <v>6809</v>
      </c>
      <c r="N129" s="229" t="s">
        <v>6810</v>
      </c>
      <c r="O129" s="102">
        <v>3.0</v>
      </c>
      <c r="P129" s="102" t="s">
        <v>5912</v>
      </c>
      <c r="T129" s="102">
        <v>7200.0</v>
      </c>
      <c r="U129" s="230" t="str">
        <f>IF(ISNUMBER(MATCH(B129, 'Sprint 12'!B:B, 0)), "มาจาก Sprint 12", "")</f>
        <v/>
      </c>
      <c r="V129" s="230" t="str">
        <f t="array" ref="V129">IF(ISNUMBER(MATCH(B129, 'Sprint 12'!B:B, 0)), INDEX('Sprint 12'!J:J, MATCH(B129, 'Sprint 12'!B:B, 0)), "")</f>
        <v/>
      </c>
      <c r="W129" s="102"/>
      <c r="X129" s="102" t="s">
        <v>5837</v>
      </c>
      <c r="Y129" s="102"/>
    </row>
    <row r="130">
      <c r="A130" s="102" t="s">
        <v>276</v>
      </c>
      <c r="B130" s="102" t="s">
        <v>6811</v>
      </c>
      <c r="C130" s="229" t="s">
        <v>6812</v>
      </c>
      <c r="D130" s="102" t="s">
        <v>1567</v>
      </c>
      <c r="E130" s="102" t="s">
        <v>3288</v>
      </c>
      <c r="F130" s="102" t="s">
        <v>3289</v>
      </c>
      <c r="G130" s="102" t="s">
        <v>3288</v>
      </c>
      <c r="H130" s="102" t="s">
        <v>3289</v>
      </c>
      <c r="I130" s="102" t="s">
        <v>284</v>
      </c>
      <c r="J130" s="102" t="s">
        <v>26</v>
      </c>
      <c r="L130" s="229" t="s">
        <v>6813</v>
      </c>
      <c r="M130" s="229" t="s">
        <v>6814</v>
      </c>
      <c r="O130" s="230"/>
      <c r="T130" s="230"/>
      <c r="U130" s="230" t="str">
        <f>IF(ISNUMBER(MATCH(B130, 'Sprint 12'!B:B, 0)), "มาจาก Sprint 12", "")</f>
        <v>มาจาก Sprint 12</v>
      </c>
      <c r="V130" s="230" t="str">
        <f t="array" ref="V130">IF(ISNUMBER(MATCH(B130, 'Sprint 12'!B:B, 0)), INDEX('Sprint 12'!J:J, MATCH(B130, 'Sprint 12'!B:B, 0)), "")</f>
        <v>To Do</v>
      </c>
      <c r="W130" s="230"/>
      <c r="X130" s="102" t="s">
        <v>2205</v>
      </c>
      <c r="Y130" s="102" t="s">
        <v>2196</v>
      </c>
    </row>
    <row r="131">
      <c r="A131" s="102" t="s">
        <v>276</v>
      </c>
      <c r="B131" s="102" t="s">
        <v>6815</v>
      </c>
      <c r="C131" s="229" t="s">
        <v>6816</v>
      </c>
      <c r="D131" s="102" t="s">
        <v>2030</v>
      </c>
      <c r="E131" s="102" t="s">
        <v>3288</v>
      </c>
      <c r="F131" s="102" t="s">
        <v>3289</v>
      </c>
      <c r="G131" s="102" t="s">
        <v>3288</v>
      </c>
      <c r="H131" s="102" t="s">
        <v>3289</v>
      </c>
      <c r="I131" s="102" t="s">
        <v>284</v>
      </c>
      <c r="J131" s="102" t="s">
        <v>26</v>
      </c>
      <c r="L131" s="229" t="s">
        <v>6813</v>
      </c>
      <c r="M131" s="229" t="s">
        <v>6814</v>
      </c>
      <c r="O131" s="230"/>
      <c r="T131" s="230"/>
      <c r="U131" s="230" t="str">
        <f>IF(ISNUMBER(MATCH(B131, 'Sprint 12'!B:B, 0)), "มาจาก Sprint 12", "")</f>
        <v>มาจาก Sprint 12</v>
      </c>
      <c r="V131" s="230" t="str">
        <f t="array" ref="V131">IF(ISNUMBER(MATCH(B131, 'Sprint 12'!B:B, 0)), INDEX('Sprint 12'!J:J, MATCH(B131, 'Sprint 12'!B:B, 0)), "")</f>
        <v>In Progress</v>
      </c>
      <c r="W131" s="230"/>
      <c r="X131" s="102" t="s">
        <v>2205</v>
      </c>
      <c r="Y131" s="102" t="s">
        <v>2196</v>
      </c>
    </row>
    <row r="132">
      <c r="A132" s="102" t="s">
        <v>276</v>
      </c>
      <c r="B132" s="102" t="s">
        <v>6817</v>
      </c>
      <c r="C132" s="229" t="s">
        <v>6818</v>
      </c>
      <c r="D132" s="102" t="s">
        <v>1567</v>
      </c>
      <c r="E132" s="102" t="s">
        <v>3288</v>
      </c>
      <c r="F132" s="102" t="s">
        <v>3289</v>
      </c>
      <c r="G132" s="102" t="s">
        <v>3288</v>
      </c>
      <c r="H132" s="102" t="s">
        <v>3289</v>
      </c>
      <c r="I132" s="102" t="s">
        <v>284</v>
      </c>
      <c r="J132" s="102" t="s">
        <v>26</v>
      </c>
      <c r="L132" s="229" t="s">
        <v>6819</v>
      </c>
      <c r="M132" s="229" t="s">
        <v>6820</v>
      </c>
      <c r="O132" s="230"/>
      <c r="T132" s="230"/>
      <c r="U132" s="230" t="str">
        <f>IF(ISNUMBER(MATCH(B132, 'Sprint 12'!B:B, 0)), "มาจาก Sprint 12", "")</f>
        <v>มาจาก Sprint 12</v>
      </c>
      <c r="V132" s="230" t="str">
        <f t="array" ref="V132">IF(ISNUMBER(MATCH(B132, 'Sprint 12'!B:B, 0)), INDEX('Sprint 12'!J:J, MATCH(B132, 'Sprint 12'!B:B, 0)), "")</f>
        <v>To Do</v>
      </c>
      <c r="W132" s="230"/>
      <c r="X132" s="102" t="s">
        <v>2205</v>
      </c>
      <c r="Y132" s="102" t="s">
        <v>2196</v>
      </c>
    </row>
    <row r="133">
      <c r="A133" s="102" t="s">
        <v>276</v>
      </c>
      <c r="B133" s="102" t="s">
        <v>6821</v>
      </c>
      <c r="C133" s="229" t="s">
        <v>6822</v>
      </c>
      <c r="D133" s="102" t="s">
        <v>2030</v>
      </c>
      <c r="E133" s="102" t="s">
        <v>3288</v>
      </c>
      <c r="F133" s="102" t="s">
        <v>3289</v>
      </c>
      <c r="G133" s="102" t="s">
        <v>3288</v>
      </c>
      <c r="H133" s="102" t="s">
        <v>3289</v>
      </c>
      <c r="I133" s="102" t="s">
        <v>284</v>
      </c>
      <c r="J133" s="102" t="s">
        <v>26</v>
      </c>
      <c r="L133" s="229" t="s">
        <v>6819</v>
      </c>
      <c r="M133" s="229" t="s">
        <v>6820</v>
      </c>
      <c r="O133" s="230"/>
      <c r="T133" s="230"/>
      <c r="U133" s="230" t="str">
        <f>IF(ISNUMBER(MATCH(B133, 'Sprint 12'!B:B, 0)), "มาจาก Sprint 12", "")</f>
        <v>มาจาก Sprint 12</v>
      </c>
      <c r="V133" s="230" t="str">
        <f t="array" ref="V133">IF(ISNUMBER(MATCH(B133, 'Sprint 12'!B:B, 0)), INDEX('Sprint 12'!J:J, MATCH(B133, 'Sprint 12'!B:B, 0)), "")</f>
        <v>In Progress</v>
      </c>
      <c r="W133" s="230"/>
      <c r="X133" s="102" t="s">
        <v>2205</v>
      </c>
      <c r="Y133" s="102" t="s">
        <v>2196</v>
      </c>
    </row>
    <row r="134">
      <c r="A134" s="102" t="s">
        <v>332</v>
      </c>
      <c r="B134" s="102" t="s">
        <v>6393</v>
      </c>
      <c r="C134" s="229" t="s">
        <v>6394</v>
      </c>
      <c r="D134" s="102" t="s">
        <v>6395</v>
      </c>
      <c r="E134" s="102" t="s">
        <v>495</v>
      </c>
      <c r="F134" s="102" t="s">
        <v>496</v>
      </c>
      <c r="G134" s="102" t="s">
        <v>280</v>
      </c>
      <c r="H134" s="102" t="s">
        <v>281</v>
      </c>
      <c r="I134" s="102" t="s">
        <v>284</v>
      </c>
      <c r="J134" s="102" t="s">
        <v>2415</v>
      </c>
      <c r="L134" s="229" t="s">
        <v>6396</v>
      </c>
      <c r="M134" s="229" t="s">
        <v>6823</v>
      </c>
      <c r="O134" s="102"/>
      <c r="P134" s="102"/>
      <c r="T134" s="102"/>
      <c r="U134" s="230" t="str">
        <f>IF(ISNUMBER(MATCH(B134, 'Sprint 12'!B:B, 0)), "มาจาก Sprint 12", "")</f>
        <v>มาจาก Sprint 12</v>
      </c>
      <c r="V134" s="230" t="str">
        <f t="array" ref="V134">IF(ISNUMBER(MATCH(B134, 'Sprint 12'!B:B, 0)), INDEX('Sprint 12'!J:J, MATCH(B134, 'Sprint 12'!B:B, 0)), "")</f>
        <v>Fixing</v>
      </c>
      <c r="W134" s="102"/>
      <c r="X134" s="102" t="s">
        <v>1366</v>
      </c>
      <c r="Y134" s="102" t="s">
        <v>1367</v>
      </c>
    </row>
    <row r="135">
      <c r="A135" s="102" t="s">
        <v>276</v>
      </c>
      <c r="B135" s="102" t="s">
        <v>6824</v>
      </c>
      <c r="C135" s="229" t="s">
        <v>6825</v>
      </c>
      <c r="D135" s="102" t="s">
        <v>347</v>
      </c>
      <c r="E135" s="102" t="s">
        <v>280</v>
      </c>
      <c r="F135" s="102" t="s">
        <v>281</v>
      </c>
      <c r="G135" s="102" t="s">
        <v>280</v>
      </c>
      <c r="H135" s="102" t="s">
        <v>281</v>
      </c>
      <c r="I135" s="102" t="s">
        <v>284</v>
      </c>
      <c r="J135" s="102" t="s">
        <v>26</v>
      </c>
      <c r="L135" s="229" t="s">
        <v>6826</v>
      </c>
      <c r="M135" s="229" t="s">
        <v>6827</v>
      </c>
      <c r="O135" s="102"/>
      <c r="T135" s="102"/>
      <c r="U135" s="230" t="str">
        <f>IF(ISNUMBER(MATCH(B135, 'Sprint 12'!B:B, 0)), "มาจาก Sprint 12", "")</f>
        <v>มาจาก Sprint 12</v>
      </c>
      <c r="V135" s="230" t="str">
        <f t="array" ref="V135">IF(ISNUMBER(MATCH(B135, 'Sprint 12'!B:B, 0)), INDEX('Sprint 12'!J:J, MATCH(B135, 'Sprint 12'!B:B, 0)), "")</f>
        <v>Done</v>
      </c>
      <c r="W135" s="102"/>
      <c r="X135" s="102" t="s">
        <v>1366</v>
      </c>
      <c r="Y135" s="102" t="s">
        <v>1367</v>
      </c>
    </row>
    <row r="136">
      <c r="A136" s="102" t="s">
        <v>276</v>
      </c>
      <c r="B136" s="102" t="s">
        <v>6828</v>
      </c>
      <c r="C136" s="229" t="s">
        <v>6829</v>
      </c>
      <c r="D136" s="102" t="s">
        <v>2030</v>
      </c>
      <c r="E136" s="102" t="s">
        <v>280</v>
      </c>
      <c r="F136" s="102" t="s">
        <v>281</v>
      </c>
      <c r="G136" s="102" t="s">
        <v>280</v>
      </c>
      <c r="H136" s="102" t="s">
        <v>281</v>
      </c>
      <c r="I136" s="102" t="s">
        <v>284</v>
      </c>
      <c r="J136" s="102" t="s">
        <v>26</v>
      </c>
      <c r="L136" s="229" t="s">
        <v>6826</v>
      </c>
      <c r="M136" s="229" t="s">
        <v>6830</v>
      </c>
      <c r="O136" s="230"/>
      <c r="T136" s="230"/>
      <c r="U136" s="230" t="str">
        <f>IF(ISNUMBER(MATCH(B136, 'Sprint 12'!B:B, 0)), "มาจาก Sprint 12", "")</f>
        <v>มาจาก Sprint 12</v>
      </c>
      <c r="V136" s="230" t="str">
        <f t="array" ref="V136">IF(ISNUMBER(MATCH(B136, 'Sprint 12'!B:B, 0)), INDEX('Sprint 12'!J:J, MATCH(B136, 'Sprint 12'!B:B, 0)), "")</f>
        <v>Done</v>
      </c>
      <c r="W136" s="230"/>
      <c r="X136" s="102" t="s">
        <v>1366</v>
      </c>
      <c r="Y136" s="102" t="s">
        <v>1367</v>
      </c>
    </row>
    <row r="137">
      <c r="A137" s="102" t="s">
        <v>310</v>
      </c>
      <c r="B137" s="102" t="s">
        <v>6831</v>
      </c>
      <c r="C137" s="229" t="s">
        <v>6832</v>
      </c>
      <c r="D137" s="102" t="s">
        <v>6833</v>
      </c>
      <c r="E137" s="102" t="s">
        <v>495</v>
      </c>
      <c r="F137" s="102" t="s">
        <v>496</v>
      </c>
      <c r="G137" s="102" t="s">
        <v>304</v>
      </c>
      <c r="H137" s="102" t="s">
        <v>305</v>
      </c>
      <c r="I137" s="102" t="s">
        <v>284</v>
      </c>
      <c r="J137" s="102" t="s">
        <v>26</v>
      </c>
      <c r="L137" s="229" t="s">
        <v>6834</v>
      </c>
      <c r="M137" s="229" t="s">
        <v>6814</v>
      </c>
      <c r="O137" s="102">
        <v>3.0</v>
      </c>
      <c r="P137" s="102" t="s">
        <v>538</v>
      </c>
      <c r="T137" s="102">
        <v>0.0</v>
      </c>
      <c r="U137" s="230" t="str">
        <f>IF(ISNUMBER(MATCH(B137, 'Sprint 12'!B:B, 0)), "มาจาก Sprint 12", "")</f>
        <v>มาจาก Sprint 12</v>
      </c>
      <c r="V137" s="230" t="str">
        <f t="array" ref="V137">IF(ISNUMBER(MATCH(B137, 'Sprint 12'!B:B, 0)), INDEX('Sprint 12'!J:J, MATCH(B137, 'Sprint 12'!B:B, 0)), "")</f>
        <v>Ready To Test</v>
      </c>
      <c r="W137" s="102">
        <v>57600.0</v>
      </c>
      <c r="X137" s="102" t="s">
        <v>2205</v>
      </c>
      <c r="Y137" s="102" t="s">
        <v>2196</v>
      </c>
    </row>
    <row r="138">
      <c r="A138" s="102" t="s">
        <v>310</v>
      </c>
      <c r="B138" s="102" t="s">
        <v>6835</v>
      </c>
      <c r="C138" s="229" t="s">
        <v>6836</v>
      </c>
      <c r="D138" s="102" t="s">
        <v>6837</v>
      </c>
      <c r="E138" s="102" t="s">
        <v>314</v>
      </c>
      <c r="F138" s="102" t="s">
        <v>315</v>
      </c>
      <c r="G138" s="102" t="s">
        <v>314</v>
      </c>
      <c r="H138" s="102" t="s">
        <v>315</v>
      </c>
      <c r="I138" s="102" t="s">
        <v>515</v>
      </c>
      <c r="J138" s="102" t="s">
        <v>26</v>
      </c>
      <c r="L138" s="229" t="s">
        <v>6838</v>
      </c>
      <c r="M138" s="229" t="s">
        <v>6839</v>
      </c>
      <c r="N138" s="102"/>
      <c r="O138" s="102">
        <v>2.0</v>
      </c>
      <c r="T138" s="102">
        <v>7200.0</v>
      </c>
      <c r="U138" s="230" t="str">
        <f>IF(ISNUMBER(MATCH(B138, 'Sprint 12'!B:B, 0)), "มาจาก Sprint 12", "")</f>
        <v>มาจาก Sprint 12</v>
      </c>
      <c r="V138" s="230" t="str">
        <f t="array" ref="V138">IF(ISNUMBER(MATCH(B138, 'Sprint 12'!B:B, 0)), INDEX('Sprint 12'!J:J, MATCH(B138, 'Sprint 12'!B:B, 0)), "")</f>
        <v>In Progress</v>
      </c>
      <c r="W138" s="102" t="s">
        <v>6840</v>
      </c>
      <c r="X138" s="102" t="s">
        <v>1366</v>
      </c>
      <c r="Y138" s="102" t="s">
        <v>1367</v>
      </c>
    </row>
    <row r="139">
      <c r="A139" s="102" t="s">
        <v>630</v>
      </c>
      <c r="B139" s="102" t="s">
        <v>2201</v>
      </c>
      <c r="C139" s="229" t="s">
        <v>2202</v>
      </c>
      <c r="D139" s="102" t="s">
        <v>2203</v>
      </c>
      <c r="E139" s="102"/>
      <c r="F139" s="102"/>
      <c r="G139" s="102" t="s">
        <v>304</v>
      </c>
      <c r="H139" s="102" t="s">
        <v>305</v>
      </c>
      <c r="I139" s="102" t="s">
        <v>284</v>
      </c>
      <c r="J139" s="102" t="s">
        <v>63</v>
      </c>
      <c r="L139" s="229" t="s">
        <v>2204</v>
      </c>
      <c r="M139" s="229" t="s">
        <v>6140</v>
      </c>
      <c r="N139" s="102"/>
      <c r="O139" s="102"/>
      <c r="T139" s="102"/>
      <c r="U139" s="230" t="str">
        <f>IF(ISNUMBER(MATCH(B139, 'Sprint 12'!B:B, 0)), "มาจาก Sprint 12", "")</f>
        <v>มาจาก Sprint 12</v>
      </c>
      <c r="V139" s="230" t="str">
        <f t="array" ref="V139">IF(ISNUMBER(MATCH(B139, 'Sprint 12'!B:B, 0)), INDEX('Sprint 12'!J:J, MATCH(B139, 'Sprint 12'!B:B, 0)), "")</f>
        <v>To Do</v>
      </c>
      <c r="W139" s="102"/>
      <c r="X139" s="102" t="s">
        <v>2205</v>
      </c>
      <c r="Y139" s="102" t="s">
        <v>2196</v>
      </c>
      <c r="Z139" s="102" t="s">
        <v>2185</v>
      </c>
    </row>
    <row r="140">
      <c r="A140" s="102" t="s">
        <v>630</v>
      </c>
      <c r="B140" s="102" t="s">
        <v>2206</v>
      </c>
      <c r="C140" s="229" t="s">
        <v>2207</v>
      </c>
      <c r="D140" s="102" t="s">
        <v>2208</v>
      </c>
      <c r="E140" s="102"/>
      <c r="F140" s="102"/>
      <c r="G140" s="102" t="s">
        <v>304</v>
      </c>
      <c r="H140" s="102" t="s">
        <v>305</v>
      </c>
      <c r="I140" s="102" t="s">
        <v>284</v>
      </c>
      <c r="J140" s="102" t="s">
        <v>63</v>
      </c>
      <c r="L140" s="229" t="s">
        <v>2209</v>
      </c>
      <c r="M140" s="229" t="s">
        <v>6140</v>
      </c>
      <c r="O140" s="102"/>
      <c r="P140" s="102" t="s">
        <v>1808</v>
      </c>
      <c r="T140" s="102"/>
      <c r="U140" s="230" t="str">
        <f>IF(ISNUMBER(MATCH(B140, 'Sprint 12'!B:B, 0)), "มาจาก Sprint 12", "")</f>
        <v>มาจาก Sprint 12</v>
      </c>
      <c r="V140" s="230" t="str">
        <f t="array" ref="V140">IF(ISNUMBER(MATCH(B140, 'Sprint 12'!B:B, 0)), INDEX('Sprint 12'!J:J, MATCH(B140, 'Sprint 12'!B:B, 0)), "")</f>
        <v>To Do</v>
      </c>
      <c r="W140" s="102"/>
      <c r="X140" s="102" t="s">
        <v>2205</v>
      </c>
      <c r="Y140" s="102" t="s">
        <v>2196</v>
      </c>
      <c r="Z140" s="102" t="s">
        <v>2185</v>
      </c>
    </row>
    <row r="141">
      <c r="A141" s="102" t="s">
        <v>310</v>
      </c>
      <c r="B141" s="102" t="s">
        <v>4920</v>
      </c>
      <c r="C141" s="229" t="s">
        <v>4921</v>
      </c>
      <c r="D141" s="102" t="s">
        <v>4922</v>
      </c>
      <c r="E141" s="102" t="s">
        <v>282</v>
      </c>
      <c r="F141" s="102" t="s">
        <v>283</v>
      </c>
      <c r="G141" s="102" t="s">
        <v>316</v>
      </c>
      <c r="H141" s="102" t="s">
        <v>317</v>
      </c>
      <c r="I141" s="102" t="s">
        <v>284</v>
      </c>
      <c r="J141" s="102" t="s">
        <v>63</v>
      </c>
      <c r="L141" s="229" t="s">
        <v>4923</v>
      </c>
      <c r="M141" s="229" t="s">
        <v>6841</v>
      </c>
      <c r="N141" s="229" t="s">
        <v>4925</v>
      </c>
      <c r="O141" s="102">
        <v>8.0</v>
      </c>
      <c r="T141" s="102"/>
      <c r="U141" s="230" t="str">
        <f>IF(ISNUMBER(MATCH(B141, 'Sprint 12'!B:B, 0)), "มาจาก Sprint 12", "")</f>
        <v/>
      </c>
      <c r="V141" s="230" t="str">
        <f t="array" ref="V141">IF(ISNUMBER(MATCH(B141, 'Sprint 12'!B:B, 0)), INDEX('Sprint 12'!J:J, MATCH(B141, 'Sprint 12'!B:B, 0)), "")</f>
        <v/>
      </c>
      <c r="W141" s="102"/>
      <c r="X141" s="102" t="s">
        <v>4919</v>
      </c>
    </row>
    <row r="142">
      <c r="A142" s="102" t="s">
        <v>310</v>
      </c>
      <c r="B142" s="102" t="s">
        <v>5891</v>
      </c>
      <c r="C142" s="229" t="s">
        <v>5892</v>
      </c>
      <c r="D142" s="102" t="s">
        <v>5893</v>
      </c>
      <c r="E142" s="102" t="s">
        <v>513</v>
      </c>
      <c r="F142" s="102" t="s">
        <v>514</v>
      </c>
      <c r="G142" s="102" t="s">
        <v>353</v>
      </c>
      <c r="H142" s="102" t="s">
        <v>354</v>
      </c>
      <c r="I142" s="102" t="s">
        <v>515</v>
      </c>
      <c r="J142" s="102" t="s">
        <v>678</v>
      </c>
      <c r="L142" s="229" t="s">
        <v>5894</v>
      </c>
      <c r="M142" s="229" t="s">
        <v>6804</v>
      </c>
      <c r="N142" s="229" t="s">
        <v>5895</v>
      </c>
      <c r="O142" s="102">
        <v>3.0</v>
      </c>
      <c r="P142" s="102"/>
      <c r="T142" s="102">
        <v>0.0</v>
      </c>
      <c r="U142" s="230" t="str">
        <f>IF(ISNUMBER(MATCH(B142, 'Sprint 12'!B:B, 0)), "มาจาก Sprint 12", "")</f>
        <v>มาจาก Sprint 12</v>
      </c>
      <c r="V142" s="230" t="str">
        <f t="array" ref="V142">IF(ISNUMBER(MATCH(B142, 'Sprint 12'!B:B, 0)), INDEX('Sprint 12'!J:J, MATCH(B142, 'Sprint 12'!B:B, 0)), "")</f>
        <v>Ready to Staging</v>
      </c>
      <c r="W142" s="102">
        <v>28800.0</v>
      </c>
      <c r="X142" s="102" t="s">
        <v>5896</v>
      </c>
      <c r="Y142" s="102" t="s">
        <v>5837</v>
      </c>
    </row>
    <row r="143">
      <c r="A143" s="102" t="s">
        <v>310</v>
      </c>
      <c r="B143" s="102" t="s">
        <v>6842</v>
      </c>
      <c r="C143" s="229" t="s">
        <v>6843</v>
      </c>
      <c r="D143" s="102" t="s">
        <v>6844</v>
      </c>
      <c r="E143" s="102" t="s">
        <v>282</v>
      </c>
      <c r="F143" s="102" t="s">
        <v>283</v>
      </c>
      <c r="G143" s="102" t="s">
        <v>282</v>
      </c>
      <c r="H143" s="102" t="s">
        <v>283</v>
      </c>
      <c r="I143" s="102" t="s">
        <v>318</v>
      </c>
      <c r="J143" s="102" t="s">
        <v>26</v>
      </c>
      <c r="L143" s="229" t="s">
        <v>6845</v>
      </c>
      <c r="M143" s="229" t="s">
        <v>6846</v>
      </c>
      <c r="O143" s="102">
        <v>8.0</v>
      </c>
      <c r="P143" s="102" t="s">
        <v>504</v>
      </c>
      <c r="T143" s="102">
        <v>0.0</v>
      </c>
      <c r="U143" s="230" t="str">
        <f>IF(ISNUMBER(MATCH(B143, 'Sprint 12'!B:B, 0)), "มาจาก Sprint 12", "")</f>
        <v>มาจาก Sprint 12</v>
      </c>
      <c r="V143" s="230" t="str">
        <f t="array" ref="V143">IF(ISNUMBER(MATCH(B143, 'Sprint 12'!B:B, 0)), INDEX('Sprint 12'!J:J, MATCH(B143, 'Sprint 12'!B:B, 0)), "")</f>
        <v>Ready To Test</v>
      </c>
      <c r="W143" s="102">
        <v>108000.0</v>
      </c>
      <c r="X143" s="102" t="s">
        <v>4954</v>
      </c>
      <c r="Y143" s="102" t="s">
        <v>4919</v>
      </c>
    </row>
    <row r="144">
      <c r="A144" s="102" t="s">
        <v>310</v>
      </c>
      <c r="B144" s="102" t="s">
        <v>6847</v>
      </c>
      <c r="C144" s="229" t="s">
        <v>6848</v>
      </c>
      <c r="D144" s="102" t="s">
        <v>6849</v>
      </c>
      <c r="E144" s="102" t="s">
        <v>314</v>
      </c>
      <c r="F144" s="102" t="s">
        <v>315</v>
      </c>
      <c r="G144" s="102" t="s">
        <v>314</v>
      </c>
      <c r="H144" s="102" t="s">
        <v>315</v>
      </c>
      <c r="I144" s="102" t="s">
        <v>284</v>
      </c>
      <c r="J144" s="102" t="s">
        <v>26</v>
      </c>
      <c r="L144" s="229" t="s">
        <v>6850</v>
      </c>
      <c r="M144" s="229" t="s">
        <v>6839</v>
      </c>
      <c r="O144" s="102">
        <v>5.0</v>
      </c>
      <c r="T144" s="102">
        <v>43200.0</v>
      </c>
      <c r="U144" s="230" t="str">
        <f>IF(ISNUMBER(MATCH(B144, 'Sprint 12'!B:B, 0)), "มาจาก Sprint 12", "")</f>
        <v/>
      </c>
      <c r="V144" s="230" t="str">
        <f t="array" ref="V144">IF(ISNUMBER(MATCH(B144, 'Sprint 12'!B:B, 0)), INDEX('Sprint 12'!J:J, MATCH(B144, 'Sprint 12'!B:B, 0)), "")</f>
        <v/>
      </c>
      <c r="W144" s="102"/>
      <c r="X144" s="102" t="s">
        <v>1367</v>
      </c>
      <c r="Y144" s="102"/>
    </row>
    <row r="145">
      <c r="A145" s="102" t="s">
        <v>310</v>
      </c>
      <c r="B145" s="102" t="s">
        <v>5550</v>
      </c>
      <c r="C145" s="229" t="s">
        <v>5551</v>
      </c>
      <c r="D145" s="102" t="s">
        <v>5552</v>
      </c>
      <c r="E145" s="102" t="s">
        <v>314</v>
      </c>
      <c r="F145" s="102" t="s">
        <v>315</v>
      </c>
      <c r="G145" s="102" t="s">
        <v>314</v>
      </c>
      <c r="H145" s="102" t="s">
        <v>315</v>
      </c>
      <c r="I145" s="102" t="s">
        <v>284</v>
      </c>
      <c r="J145" s="102" t="s">
        <v>34</v>
      </c>
      <c r="L145" s="229" t="s">
        <v>5553</v>
      </c>
      <c r="M145" s="229" t="s">
        <v>6851</v>
      </c>
      <c r="O145" s="102">
        <v>3.0</v>
      </c>
      <c r="P145" s="102" t="s">
        <v>593</v>
      </c>
      <c r="T145" s="102">
        <v>14400.0</v>
      </c>
      <c r="U145" s="230" t="str">
        <f>IF(ISNUMBER(MATCH(B145, 'Sprint 12'!B:B, 0)), "มาจาก Sprint 12", "")</f>
        <v>มาจาก Sprint 12</v>
      </c>
      <c r="V145" s="230" t="str">
        <f t="array" ref="V145">IF(ISNUMBER(MATCH(B145, 'Sprint 12'!B:B, 0)), INDEX('Sprint 12'!J:J, MATCH(B145, 'Sprint 12'!B:B, 0)), "")</f>
        <v>In Progress</v>
      </c>
      <c r="W145" s="102" t="s">
        <v>3539</v>
      </c>
      <c r="X145" s="102" t="s">
        <v>1366</v>
      </c>
      <c r="Y145" s="102" t="s">
        <v>1367</v>
      </c>
    </row>
    <row r="146">
      <c r="A146" s="102" t="s">
        <v>310</v>
      </c>
      <c r="B146" s="102" t="s">
        <v>6398</v>
      </c>
      <c r="C146" s="229" t="s">
        <v>6399</v>
      </c>
      <c r="D146" s="102" t="s">
        <v>6400</v>
      </c>
      <c r="E146" s="102" t="s">
        <v>304</v>
      </c>
      <c r="F146" s="102" t="s">
        <v>305</v>
      </c>
      <c r="G146" s="102" t="s">
        <v>314</v>
      </c>
      <c r="H146" s="102" t="s">
        <v>315</v>
      </c>
      <c r="I146" s="102" t="s">
        <v>284</v>
      </c>
      <c r="J146" s="102" t="s">
        <v>34</v>
      </c>
      <c r="L146" s="229" t="s">
        <v>6401</v>
      </c>
      <c r="M146" s="229" t="s">
        <v>6852</v>
      </c>
      <c r="O146" s="102">
        <v>3.0</v>
      </c>
      <c r="T146" s="230"/>
      <c r="U146" s="230" t="str">
        <f>IF(ISNUMBER(MATCH(B146, 'Sprint 12'!B:B, 0)), "มาจาก Sprint 12", "")</f>
        <v>มาจาก Sprint 12</v>
      </c>
      <c r="V146" s="230" t="str">
        <f t="array" ref="V146">IF(ISNUMBER(MATCH(B146, 'Sprint 12'!B:B, 0)), INDEX('Sprint 12'!J:J, MATCH(B146, 'Sprint 12'!B:B, 0)), "")</f>
        <v>In Progress</v>
      </c>
      <c r="W146" s="230"/>
      <c r="X146" s="102" t="s">
        <v>1366</v>
      </c>
      <c r="Y146" s="102" t="s">
        <v>1367</v>
      </c>
    </row>
    <row r="147">
      <c r="A147" s="102" t="s">
        <v>310</v>
      </c>
      <c r="B147" s="102" t="s">
        <v>6853</v>
      </c>
      <c r="C147" s="229" t="s">
        <v>6854</v>
      </c>
      <c r="D147" s="102" t="s">
        <v>6855</v>
      </c>
      <c r="E147" s="102" t="s">
        <v>314</v>
      </c>
      <c r="F147" s="102" t="s">
        <v>315</v>
      </c>
      <c r="G147" s="102" t="s">
        <v>314</v>
      </c>
      <c r="H147" s="102" t="s">
        <v>315</v>
      </c>
      <c r="I147" s="102" t="s">
        <v>284</v>
      </c>
      <c r="J147" s="102" t="s">
        <v>26</v>
      </c>
      <c r="L147" s="229" t="s">
        <v>6401</v>
      </c>
      <c r="M147" s="229" t="s">
        <v>6856</v>
      </c>
      <c r="O147" s="102">
        <v>3.0</v>
      </c>
      <c r="P147" s="102" t="s">
        <v>593</v>
      </c>
      <c r="T147" s="102">
        <v>14400.0</v>
      </c>
      <c r="U147" s="230" t="str">
        <f>IF(ISNUMBER(MATCH(B147, 'Sprint 12'!B:B, 0)), "มาจาก Sprint 12", "")</f>
        <v>มาจาก Sprint 12</v>
      </c>
      <c r="V147" s="230" t="str">
        <f t="array" ref="V147">IF(ISNUMBER(MATCH(B147, 'Sprint 12'!B:B, 0)), INDEX('Sprint 12'!J:J, MATCH(B147, 'Sprint 12'!B:B, 0)), "")</f>
        <v>In Progress</v>
      </c>
      <c r="W147" s="102" t="s">
        <v>3539</v>
      </c>
      <c r="X147" s="102" t="s">
        <v>1366</v>
      </c>
      <c r="Y147" s="102" t="s">
        <v>1367</v>
      </c>
    </row>
    <row r="148">
      <c r="A148" s="102" t="s">
        <v>310</v>
      </c>
      <c r="B148" s="102" t="s">
        <v>6857</v>
      </c>
      <c r="C148" s="229" t="s">
        <v>6858</v>
      </c>
      <c r="D148" s="102" t="s">
        <v>6859</v>
      </c>
      <c r="E148" s="102" t="s">
        <v>6860</v>
      </c>
      <c r="F148" s="102" t="s">
        <v>6861</v>
      </c>
      <c r="G148" s="102" t="s">
        <v>353</v>
      </c>
      <c r="H148" s="102" t="s">
        <v>354</v>
      </c>
      <c r="I148" s="102" t="s">
        <v>284</v>
      </c>
      <c r="J148" s="102" t="s">
        <v>26</v>
      </c>
      <c r="L148" s="229" t="s">
        <v>6862</v>
      </c>
      <c r="M148" s="229" t="s">
        <v>6658</v>
      </c>
      <c r="N148" s="102"/>
      <c r="O148" s="102">
        <v>3.0</v>
      </c>
      <c r="P148" s="102"/>
      <c r="Q148" s="102"/>
      <c r="T148" s="102"/>
      <c r="U148" s="230" t="str">
        <f>IF(ISNUMBER(MATCH(B148, 'Sprint 12'!B:B, 0)), "มาจาก Sprint 12", "")</f>
        <v>มาจาก Sprint 12</v>
      </c>
      <c r="V148" s="230" t="str">
        <f t="array" ref="V148">IF(ISNUMBER(MATCH(B148, 'Sprint 12'!B:B, 0)), INDEX('Sprint 12'!J:J, MATCH(B148, 'Sprint 12'!B:B, 0)), "")</f>
        <v>Ready To Test</v>
      </c>
      <c r="W148" s="102"/>
      <c r="X148" s="102" t="s">
        <v>5896</v>
      </c>
      <c r="Y148" s="102" t="s">
        <v>5837</v>
      </c>
    </row>
    <row r="149">
      <c r="A149" s="102" t="s">
        <v>310</v>
      </c>
      <c r="B149" s="102" t="s">
        <v>6863</v>
      </c>
      <c r="C149" s="229" t="s">
        <v>6864</v>
      </c>
      <c r="D149" s="102" t="s">
        <v>6865</v>
      </c>
      <c r="E149" s="102" t="s">
        <v>328</v>
      </c>
      <c r="F149" s="102" t="s">
        <v>329</v>
      </c>
      <c r="G149" s="102" t="s">
        <v>353</v>
      </c>
      <c r="H149" s="102" t="s">
        <v>354</v>
      </c>
      <c r="I149" s="102" t="s">
        <v>284</v>
      </c>
      <c r="J149" s="102" t="s">
        <v>26</v>
      </c>
      <c r="L149" s="229" t="s">
        <v>6866</v>
      </c>
      <c r="M149" s="229" t="s">
        <v>6658</v>
      </c>
      <c r="O149" s="102">
        <v>2.0</v>
      </c>
      <c r="T149" s="102">
        <v>0.0</v>
      </c>
      <c r="U149" s="230" t="str">
        <f>IF(ISNUMBER(MATCH(B149, 'Sprint 12'!B:B, 0)), "มาจาก Sprint 12", "")</f>
        <v>มาจาก Sprint 12</v>
      </c>
      <c r="V149" s="230" t="str">
        <f t="array" ref="V149">IF(ISNUMBER(MATCH(B149, 'Sprint 12'!B:B, 0)), INDEX('Sprint 12'!J:J, MATCH(B149, 'Sprint 12'!B:B, 0)), "")</f>
        <v>Ready To Test</v>
      </c>
      <c r="W149" s="102">
        <v>14400.0</v>
      </c>
      <c r="X149" s="102" t="s">
        <v>5896</v>
      </c>
      <c r="Y149" s="102" t="s">
        <v>5837</v>
      </c>
    </row>
    <row r="150">
      <c r="A150" s="102" t="s">
        <v>310</v>
      </c>
      <c r="B150" s="102" t="s">
        <v>6867</v>
      </c>
      <c r="C150" s="229" t="s">
        <v>6868</v>
      </c>
      <c r="D150" s="102" t="s">
        <v>6869</v>
      </c>
      <c r="E150" s="102" t="s">
        <v>556</v>
      </c>
      <c r="F150" s="102" t="s">
        <v>557</v>
      </c>
      <c r="G150" s="102" t="s">
        <v>353</v>
      </c>
      <c r="H150" s="102" t="s">
        <v>354</v>
      </c>
      <c r="I150" s="102" t="s">
        <v>284</v>
      </c>
      <c r="J150" s="102" t="s">
        <v>26</v>
      </c>
      <c r="L150" s="229" t="s">
        <v>6870</v>
      </c>
      <c r="M150" s="229" t="s">
        <v>6658</v>
      </c>
      <c r="N150" s="229" t="s">
        <v>6871</v>
      </c>
      <c r="O150" s="102">
        <v>5.0</v>
      </c>
      <c r="P150" s="102" t="s">
        <v>6872</v>
      </c>
      <c r="Q150" s="102" t="s">
        <v>593</v>
      </c>
      <c r="T150" s="102">
        <v>0.0</v>
      </c>
      <c r="U150" s="230" t="str">
        <f>IF(ISNUMBER(MATCH(B150, 'Sprint 12'!B:B, 0)), "มาจาก Sprint 12", "")</f>
        <v>มาจาก Sprint 12</v>
      </c>
      <c r="V150" s="230" t="str">
        <f t="array" ref="V150">IF(ISNUMBER(MATCH(B150, 'Sprint 12'!B:B, 0)), INDEX('Sprint 12'!J:J, MATCH(B150, 'Sprint 12'!B:B, 0)), "")</f>
        <v>Ready To Test</v>
      </c>
      <c r="W150" s="102">
        <v>57600.0</v>
      </c>
      <c r="X150" s="102" t="s">
        <v>5896</v>
      </c>
      <c r="Y150" s="102" t="s">
        <v>5837</v>
      </c>
    </row>
    <row r="151">
      <c r="A151" s="102" t="s">
        <v>310</v>
      </c>
      <c r="B151" s="102" t="s">
        <v>6873</v>
      </c>
      <c r="C151" s="229" t="s">
        <v>6874</v>
      </c>
      <c r="D151" s="102" t="s">
        <v>6875</v>
      </c>
      <c r="E151" s="102" t="s">
        <v>353</v>
      </c>
      <c r="F151" s="102" t="s">
        <v>354</v>
      </c>
      <c r="G151" s="102" t="s">
        <v>353</v>
      </c>
      <c r="H151" s="102" t="s">
        <v>354</v>
      </c>
      <c r="I151" s="102" t="s">
        <v>284</v>
      </c>
      <c r="J151" s="102" t="s">
        <v>26</v>
      </c>
      <c r="L151" s="229" t="s">
        <v>6876</v>
      </c>
      <c r="M151" s="229" t="s">
        <v>6877</v>
      </c>
      <c r="O151" s="102"/>
      <c r="T151" s="102">
        <v>3600.0</v>
      </c>
      <c r="U151" s="230" t="str">
        <f>IF(ISNUMBER(MATCH(B151, 'Sprint 12'!B:B, 0)), "มาจาก Sprint 12", "")</f>
        <v>มาจาก Sprint 12</v>
      </c>
      <c r="V151" s="230" t="str">
        <f t="array" ref="V151">IF(ISNUMBER(MATCH(B151, 'Sprint 12'!B:B, 0)), INDEX('Sprint 12'!J:J, MATCH(B151, 'Sprint 12'!B:B, 0)), "")</f>
        <v>In Progress</v>
      </c>
      <c r="W151" s="102" t="s">
        <v>3949</v>
      </c>
      <c r="X151" s="102" t="s">
        <v>4954</v>
      </c>
      <c r="Y151" s="102" t="s">
        <v>4919</v>
      </c>
    </row>
    <row r="152">
      <c r="A152" s="102" t="s">
        <v>310</v>
      </c>
      <c r="B152" s="102" t="s">
        <v>6878</v>
      </c>
      <c r="C152" s="229" t="s">
        <v>6879</v>
      </c>
      <c r="D152" s="102" t="s">
        <v>6880</v>
      </c>
      <c r="E152" s="102" t="s">
        <v>353</v>
      </c>
      <c r="F152" s="102" t="s">
        <v>354</v>
      </c>
      <c r="G152" s="102" t="s">
        <v>353</v>
      </c>
      <c r="H152" s="102" t="s">
        <v>354</v>
      </c>
      <c r="I152" s="102" t="s">
        <v>284</v>
      </c>
      <c r="J152" s="102" t="s">
        <v>26</v>
      </c>
      <c r="L152" s="229" t="s">
        <v>6881</v>
      </c>
      <c r="M152" s="229" t="s">
        <v>6877</v>
      </c>
      <c r="O152" s="102"/>
      <c r="T152" s="102">
        <v>3600.0</v>
      </c>
      <c r="U152" s="230" t="str">
        <f>IF(ISNUMBER(MATCH(B152, 'Sprint 12'!B:B, 0)), "มาจาก Sprint 12", "")</f>
        <v>มาจาก Sprint 12</v>
      </c>
      <c r="V152" s="230" t="str">
        <f t="array" ref="V152">IF(ISNUMBER(MATCH(B152, 'Sprint 12'!B:B, 0)), INDEX('Sprint 12'!J:J, MATCH(B152, 'Sprint 12'!B:B, 0)), "")</f>
        <v>In Progress</v>
      </c>
      <c r="W152" s="102" t="s">
        <v>3949</v>
      </c>
      <c r="X152" s="102" t="s">
        <v>4954</v>
      </c>
      <c r="Y152" s="102" t="s">
        <v>4919</v>
      </c>
    </row>
    <row r="153">
      <c r="A153" s="102" t="s">
        <v>4943</v>
      </c>
      <c r="B153" s="102" t="s">
        <v>4944</v>
      </c>
      <c r="C153" s="229" t="s">
        <v>4945</v>
      </c>
      <c r="D153" s="102" t="s">
        <v>4946</v>
      </c>
      <c r="E153" s="102" t="s">
        <v>282</v>
      </c>
      <c r="F153" s="102" t="s">
        <v>283</v>
      </c>
      <c r="G153" s="102" t="s">
        <v>316</v>
      </c>
      <c r="H153" s="102" t="s">
        <v>317</v>
      </c>
      <c r="I153" s="102" t="s">
        <v>284</v>
      </c>
      <c r="J153" s="102" t="s">
        <v>34</v>
      </c>
      <c r="L153" s="229" t="s">
        <v>4947</v>
      </c>
      <c r="M153" s="229" t="s">
        <v>6882</v>
      </c>
      <c r="N153" s="229" t="s">
        <v>4948</v>
      </c>
      <c r="O153" s="102"/>
      <c r="P153" s="102" t="s">
        <v>783</v>
      </c>
      <c r="T153" s="230"/>
      <c r="U153" s="230" t="str">
        <f>IF(ISNUMBER(MATCH(B153, 'Sprint 12'!B:B, 0)), "มาจาก Sprint 12", "")</f>
        <v/>
      </c>
      <c r="V153" s="230" t="str">
        <f t="array" ref="V153">IF(ISNUMBER(MATCH(B153, 'Sprint 12'!B:B, 0)), INDEX('Sprint 12'!J:J, MATCH(B153, 'Sprint 12'!B:B, 0)), "")</f>
        <v/>
      </c>
      <c r="W153" s="230"/>
      <c r="X153" s="102" t="s">
        <v>4919</v>
      </c>
    </row>
    <row r="154">
      <c r="A154" s="102" t="s">
        <v>310</v>
      </c>
      <c r="B154" s="102" t="s">
        <v>6883</v>
      </c>
      <c r="C154" s="229" t="s">
        <v>6884</v>
      </c>
      <c r="D154" s="102" t="s">
        <v>6885</v>
      </c>
      <c r="E154" s="102" t="s">
        <v>584</v>
      </c>
      <c r="F154" s="102" t="s">
        <v>585</v>
      </c>
      <c r="G154" s="102" t="s">
        <v>304</v>
      </c>
      <c r="H154" s="102" t="s">
        <v>305</v>
      </c>
      <c r="I154" s="102" t="s">
        <v>515</v>
      </c>
      <c r="J154" s="102" t="s">
        <v>26</v>
      </c>
      <c r="L154" s="229" t="s">
        <v>6886</v>
      </c>
      <c r="M154" s="229" t="s">
        <v>6887</v>
      </c>
      <c r="O154" s="102">
        <v>8.0</v>
      </c>
      <c r="P154" s="102" t="s">
        <v>538</v>
      </c>
      <c r="T154" s="102">
        <v>0.0</v>
      </c>
      <c r="U154" s="230" t="str">
        <f>IF(ISNUMBER(MATCH(B154, 'Sprint 12'!B:B, 0)), "มาจาก Sprint 12", "")</f>
        <v>มาจาก Sprint 12</v>
      </c>
      <c r="V154" s="230" t="str">
        <f t="array" ref="V154">IF(ISNUMBER(MATCH(B154, 'Sprint 12'!B:B, 0)), INDEX('Sprint 12'!J:J, MATCH(B154, 'Sprint 12'!B:B, 0)), "")</f>
        <v>Ready To Test</v>
      </c>
      <c r="W154" s="102">
        <v>144000.0</v>
      </c>
      <c r="X154" s="102" t="s">
        <v>2205</v>
      </c>
      <c r="Y154" s="102" t="s">
        <v>2196</v>
      </c>
    </row>
    <row r="155">
      <c r="A155" s="102" t="s">
        <v>310</v>
      </c>
      <c r="B155" s="102" t="s">
        <v>6404</v>
      </c>
      <c r="C155" s="229" t="s">
        <v>6405</v>
      </c>
      <c r="D155" s="102" t="s">
        <v>6406</v>
      </c>
      <c r="E155" s="102" t="s">
        <v>564</v>
      </c>
      <c r="F155" s="102" t="s">
        <v>565</v>
      </c>
      <c r="G155" s="102" t="s">
        <v>304</v>
      </c>
      <c r="H155" s="102" t="s">
        <v>305</v>
      </c>
      <c r="I155" s="102" t="s">
        <v>284</v>
      </c>
      <c r="J155" s="102" t="s">
        <v>454</v>
      </c>
      <c r="L155" s="229" t="s">
        <v>6407</v>
      </c>
      <c r="M155" s="229" t="s">
        <v>6140</v>
      </c>
      <c r="N155" s="229" t="s">
        <v>5895</v>
      </c>
      <c r="O155" s="102">
        <v>2.0</v>
      </c>
      <c r="P155" s="102" t="s">
        <v>1808</v>
      </c>
      <c r="T155" s="102">
        <v>0.0</v>
      </c>
      <c r="U155" s="230" t="str">
        <f>IF(ISNUMBER(MATCH(B155, 'Sprint 12'!B:B, 0)), "มาจาก Sprint 12", "")</f>
        <v>มาจาก Sprint 12</v>
      </c>
      <c r="V155" s="230" t="str">
        <f t="array" ref="V155">IF(ISNUMBER(MATCH(B155, 'Sprint 12'!B:B, 0)), INDEX('Sprint 12'!J:J, MATCH(B155, 'Sprint 12'!B:B, 0)), "")</f>
        <v>Ready to Staging</v>
      </c>
      <c r="W155" s="102">
        <v>14400.0</v>
      </c>
      <c r="X155" s="102" t="s">
        <v>2205</v>
      </c>
      <c r="Y155" s="102" t="s">
        <v>2196</v>
      </c>
      <c r="Z155" s="102" t="s">
        <v>2185</v>
      </c>
    </row>
    <row r="156">
      <c r="A156" s="102" t="s">
        <v>310</v>
      </c>
      <c r="B156" s="102" t="s">
        <v>6888</v>
      </c>
      <c r="C156" s="229" t="s">
        <v>6889</v>
      </c>
      <c r="D156" s="102" t="s">
        <v>6890</v>
      </c>
      <c r="E156" s="102" t="s">
        <v>556</v>
      </c>
      <c r="F156" s="102" t="s">
        <v>557</v>
      </c>
      <c r="G156" s="102" t="s">
        <v>353</v>
      </c>
      <c r="H156" s="102" t="s">
        <v>354</v>
      </c>
      <c r="I156" s="102" t="s">
        <v>284</v>
      </c>
      <c r="J156" s="102" t="s">
        <v>26</v>
      </c>
      <c r="L156" s="229" t="s">
        <v>6891</v>
      </c>
      <c r="M156" s="229" t="s">
        <v>6658</v>
      </c>
      <c r="N156" s="229" t="s">
        <v>6892</v>
      </c>
      <c r="O156" s="102">
        <v>5.0</v>
      </c>
      <c r="T156" s="102">
        <v>0.0</v>
      </c>
      <c r="U156" s="230" t="str">
        <f>IF(ISNUMBER(MATCH(B156, 'Sprint 12'!B:B, 0)), "มาจาก Sprint 12", "")</f>
        <v>มาจาก Sprint 12</v>
      </c>
      <c r="V156" s="230" t="str">
        <f t="array" ref="V156">IF(ISNUMBER(MATCH(B156, 'Sprint 12'!B:B, 0)), INDEX('Sprint 12'!J:J, MATCH(B156, 'Sprint 12'!B:B, 0)), "")</f>
        <v>Ready To Test</v>
      </c>
      <c r="W156" s="102">
        <v>57600.0</v>
      </c>
      <c r="X156" s="102" t="s">
        <v>5896</v>
      </c>
      <c r="Y156" s="102" t="s">
        <v>5837</v>
      </c>
    </row>
    <row r="157">
      <c r="A157" s="102" t="s">
        <v>310</v>
      </c>
      <c r="B157" s="102" t="s">
        <v>6893</v>
      </c>
      <c r="C157" s="229" t="s">
        <v>6894</v>
      </c>
      <c r="D157" s="102" t="s">
        <v>6895</v>
      </c>
      <c r="E157" s="102" t="s">
        <v>564</v>
      </c>
      <c r="F157" s="102" t="s">
        <v>565</v>
      </c>
      <c r="G157" s="102" t="s">
        <v>282</v>
      </c>
      <c r="H157" s="102" t="s">
        <v>283</v>
      </c>
      <c r="I157" s="102" t="s">
        <v>284</v>
      </c>
      <c r="J157" s="102" t="s">
        <v>26</v>
      </c>
      <c r="L157" s="229" t="s">
        <v>6896</v>
      </c>
      <c r="M157" s="229" t="s">
        <v>6897</v>
      </c>
      <c r="N157" s="229" t="s">
        <v>5895</v>
      </c>
      <c r="O157" s="102">
        <v>1.0</v>
      </c>
      <c r="P157" s="102" t="s">
        <v>6898</v>
      </c>
      <c r="T157" s="102">
        <v>0.0</v>
      </c>
      <c r="U157" s="230" t="str">
        <f>IF(ISNUMBER(MATCH(B157, 'Sprint 12'!B:B, 0)), "มาจาก Sprint 12", "")</f>
        <v>มาจาก Sprint 12</v>
      </c>
      <c r="V157" s="230" t="str">
        <f t="array" ref="V157">IF(ISNUMBER(MATCH(B157, 'Sprint 12'!B:B, 0)), INDEX('Sprint 12'!J:J, MATCH(B157, 'Sprint 12'!B:B, 0)), "")</f>
        <v>Ready to Staging</v>
      </c>
      <c r="W157" s="102">
        <v>7200.0</v>
      </c>
      <c r="X157" s="102" t="s">
        <v>4954</v>
      </c>
      <c r="Y157" s="102" t="s">
        <v>4919</v>
      </c>
    </row>
    <row r="158">
      <c r="A158" s="102" t="s">
        <v>310</v>
      </c>
      <c r="B158" s="102" t="s">
        <v>6899</v>
      </c>
      <c r="C158" s="229" t="s">
        <v>6900</v>
      </c>
      <c r="D158" s="102" t="s">
        <v>6901</v>
      </c>
      <c r="E158" s="102" t="s">
        <v>556</v>
      </c>
      <c r="F158" s="102" t="s">
        <v>557</v>
      </c>
      <c r="G158" s="102" t="s">
        <v>282</v>
      </c>
      <c r="H158" s="102" t="s">
        <v>283</v>
      </c>
      <c r="I158" s="102" t="s">
        <v>284</v>
      </c>
      <c r="J158" s="102" t="s">
        <v>26</v>
      </c>
      <c r="L158" s="229" t="s">
        <v>6902</v>
      </c>
      <c r="M158" s="229" t="s">
        <v>6903</v>
      </c>
      <c r="N158" s="229" t="s">
        <v>6904</v>
      </c>
      <c r="O158" s="102">
        <v>2.0</v>
      </c>
      <c r="P158" s="102" t="s">
        <v>504</v>
      </c>
      <c r="T158" s="102">
        <v>0.0</v>
      </c>
      <c r="U158" s="230" t="str">
        <f>IF(ISNUMBER(MATCH(B158, 'Sprint 12'!B:B, 0)), "มาจาก Sprint 12", "")</f>
        <v>มาจาก Sprint 12</v>
      </c>
      <c r="V158" s="230" t="str">
        <f t="array" ref="V158">IF(ISNUMBER(MATCH(B158, 'Sprint 12'!B:B, 0)), INDEX('Sprint 12'!J:J, MATCH(B158, 'Sprint 12'!B:B, 0)), "")</f>
        <v>Ready to Staging</v>
      </c>
      <c r="W158" s="102">
        <v>14400.0</v>
      </c>
      <c r="X158" s="102" t="s">
        <v>1366</v>
      </c>
      <c r="Y158" s="102" t="s">
        <v>1367</v>
      </c>
    </row>
    <row r="159">
      <c r="A159" s="102" t="s">
        <v>310</v>
      </c>
      <c r="B159" s="102" t="s">
        <v>6905</v>
      </c>
      <c r="C159" s="229" t="s">
        <v>6906</v>
      </c>
      <c r="D159" s="102" t="s">
        <v>6907</v>
      </c>
      <c r="E159" s="102" t="s">
        <v>6860</v>
      </c>
      <c r="F159" s="102" t="s">
        <v>6861</v>
      </c>
      <c r="G159" s="102" t="s">
        <v>353</v>
      </c>
      <c r="H159" s="102" t="s">
        <v>354</v>
      </c>
      <c r="I159" s="102" t="s">
        <v>284</v>
      </c>
      <c r="J159" s="102" t="s">
        <v>26</v>
      </c>
      <c r="L159" s="229" t="s">
        <v>6908</v>
      </c>
      <c r="M159" s="229" t="s">
        <v>6909</v>
      </c>
      <c r="N159" s="102"/>
      <c r="O159" s="102">
        <v>3.0</v>
      </c>
      <c r="P159" s="102" t="s">
        <v>538</v>
      </c>
      <c r="T159" s="102"/>
      <c r="U159" s="230" t="str">
        <f>IF(ISNUMBER(MATCH(B159, 'Sprint 12'!B:B, 0)), "มาจาก Sprint 12", "")</f>
        <v>มาจาก Sprint 12</v>
      </c>
      <c r="V159" s="230" t="str">
        <f t="array" ref="V159">IF(ISNUMBER(MATCH(B159, 'Sprint 12'!B:B, 0)), INDEX('Sprint 12'!J:J, MATCH(B159, 'Sprint 12'!B:B, 0)), "")</f>
        <v>Ready to Staging</v>
      </c>
      <c r="W159" s="102"/>
      <c r="X159" s="102" t="s">
        <v>4954</v>
      </c>
      <c r="Y159" s="102" t="s">
        <v>4919</v>
      </c>
    </row>
    <row r="160">
      <c r="A160" s="102" t="s">
        <v>332</v>
      </c>
      <c r="B160" s="102" t="s">
        <v>4949</v>
      </c>
      <c r="C160" s="229" t="s">
        <v>4950</v>
      </c>
      <c r="D160" s="102" t="s">
        <v>4951</v>
      </c>
      <c r="E160" s="102" t="s">
        <v>353</v>
      </c>
      <c r="F160" s="102" t="s">
        <v>354</v>
      </c>
      <c r="G160" s="102" t="s">
        <v>353</v>
      </c>
      <c r="H160" s="102" t="s">
        <v>354</v>
      </c>
      <c r="I160" s="102" t="s">
        <v>284</v>
      </c>
      <c r="J160" s="102" t="s">
        <v>1738</v>
      </c>
      <c r="L160" s="229" t="s">
        <v>4952</v>
      </c>
      <c r="M160" s="229" t="s">
        <v>6910</v>
      </c>
      <c r="N160" s="102"/>
      <c r="O160" s="102">
        <v>2.0</v>
      </c>
      <c r="P160" s="102" t="s">
        <v>593</v>
      </c>
      <c r="T160" s="102"/>
      <c r="U160" s="230" t="str">
        <f>IF(ISNUMBER(MATCH(B160, 'Sprint 12'!B:B, 0)), "มาจาก Sprint 12", "")</f>
        <v>มาจาก Sprint 12</v>
      </c>
      <c r="V160" s="230" t="str">
        <f t="array" ref="V160">IF(ISNUMBER(MATCH(B160, 'Sprint 12'!B:B, 0)), INDEX('Sprint 12'!J:J, MATCH(B160, 'Sprint 12'!B:B, 0)), "")</f>
        <v>Pass : Waiting for deployment</v>
      </c>
      <c r="W160" s="102"/>
      <c r="X160" s="102" t="s">
        <v>4953</v>
      </c>
      <c r="Y160" s="102" t="s">
        <v>4954</v>
      </c>
      <c r="Z160" s="102" t="s">
        <v>4919</v>
      </c>
    </row>
    <row r="161">
      <c r="A161" s="102" t="s">
        <v>310</v>
      </c>
      <c r="B161" s="102" t="s">
        <v>6409</v>
      </c>
      <c r="C161" s="229" t="s">
        <v>6410</v>
      </c>
      <c r="D161" s="102" t="s">
        <v>6411</v>
      </c>
      <c r="E161" s="102" t="s">
        <v>564</v>
      </c>
      <c r="F161" s="102" t="s">
        <v>565</v>
      </c>
      <c r="G161" s="102" t="s">
        <v>282</v>
      </c>
      <c r="H161" s="102" t="s">
        <v>283</v>
      </c>
      <c r="I161" s="102" t="s">
        <v>284</v>
      </c>
      <c r="J161" s="102" t="s">
        <v>454</v>
      </c>
      <c r="L161" s="229" t="s">
        <v>6412</v>
      </c>
      <c r="M161" s="229" t="s">
        <v>6911</v>
      </c>
      <c r="N161" s="229" t="s">
        <v>6414</v>
      </c>
      <c r="O161" s="102">
        <v>3.0</v>
      </c>
      <c r="P161" s="102" t="s">
        <v>6415</v>
      </c>
      <c r="T161" s="102">
        <v>0.0</v>
      </c>
      <c r="U161" s="230" t="str">
        <f>IF(ISNUMBER(MATCH(B161, 'Sprint 12'!B:B, 0)), "มาจาก Sprint 12", "")</f>
        <v>มาจาก Sprint 12</v>
      </c>
      <c r="V161" s="230" t="str">
        <f t="array" ref="V161">IF(ISNUMBER(MATCH(B161, 'Sprint 12'!B:B, 0)), INDEX('Sprint 12'!J:J, MATCH(B161, 'Sprint 12'!B:B, 0)), "")</f>
        <v>Ready To Test</v>
      </c>
      <c r="W161" s="102">
        <v>28800.0</v>
      </c>
      <c r="X161" s="102" t="s">
        <v>4954</v>
      </c>
      <c r="Y161" s="102" t="s">
        <v>4919</v>
      </c>
    </row>
    <row r="162">
      <c r="A162" s="102" t="s">
        <v>276</v>
      </c>
      <c r="B162" s="102" t="s">
        <v>6912</v>
      </c>
      <c r="C162" s="229" t="s">
        <v>6913</v>
      </c>
      <c r="D162" s="102" t="s">
        <v>6914</v>
      </c>
      <c r="E162" s="102" t="s">
        <v>5844</v>
      </c>
      <c r="F162" s="102" t="s">
        <v>5845</v>
      </c>
      <c r="G162" s="102" t="s">
        <v>521</v>
      </c>
      <c r="H162" s="102" t="s">
        <v>522</v>
      </c>
      <c r="I162" s="102" t="s">
        <v>284</v>
      </c>
      <c r="J162" s="102" t="s">
        <v>26</v>
      </c>
      <c r="L162" s="229" t="s">
        <v>6915</v>
      </c>
      <c r="M162" s="229" t="s">
        <v>6591</v>
      </c>
      <c r="N162" s="102"/>
      <c r="O162" s="102"/>
      <c r="P162" s="102"/>
      <c r="T162" s="102"/>
      <c r="U162" s="230" t="str">
        <f>IF(ISNUMBER(MATCH(B162, 'Sprint 12'!B:B, 0)), "มาจาก Sprint 12", "")</f>
        <v>มาจาก Sprint 12</v>
      </c>
      <c r="V162" s="230" t="str">
        <f t="array" ref="V162">IF(ISNUMBER(MATCH(B162, 'Sprint 12'!B:B, 0)), INDEX('Sprint 12'!J:J, MATCH(B162, 'Sprint 12'!B:B, 0)), "")</f>
        <v>To Do</v>
      </c>
      <c r="W162" s="102"/>
      <c r="X162" s="102" t="s">
        <v>6449</v>
      </c>
      <c r="Y162" s="102" t="s">
        <v>6450</v>
      </c>
      <c r="Z162" s="102" t="s">
        <v>5901</v>
      </c>
      <c r="AA162" s="102" t="s">
        <v>2205</v>
      </c>
      <c r="AB162" s="102" t="s">
        <v>2196</v>
      </c>
    </row>
    <row r="163">
      <c r="A163" s="102" t="s">
        <v>276</v>
      </c>
      <c r="B163" s="102" t="s">
        <v>6916</v>
      </c>
      <c r="C163" s="229" t="s">
        <v>6917</v>
      </c>
      <c r="D163" s="102" t="s">
        <v>6918</v>
      </c>
      <c r="E163" s="102" t="s">
        <v>5844</v>
      </c>
      <c r="F163" s="102" t="s">
        <v>5845</v>
      </c>
      <c r="G163" s="102" t="s">
        <v>521</v>
      </c>
      <c r="H163" s="102" t="s">
        <v>522</v>
      </c>
      <c r="I163" s="102" t="s">
        <v>284</v>
      </c>
      <c r="J163" s="102" t="s">
        <v>26</v>
      </c>
      <c r="L163" s="229" t="s">
        <v>6915</v>
      </c>
      <c r="M163" s="229" t="s">
        <v>6591</v>
      </c>
      <c r="O163" s="102"/>
      <c r="P163" s="102"/>
      <c r="T163" s="230"/>
      <c r="U163" s="230" t="str">
        <f>IF(ISNUMBER(MATCH(B163, 'Sprint 12'!B:B, 0)), "มาจาก Sprint 12", "")</f>
        <v>มาจาก Sprint 12</v>
      </c>
      <c r="V163" s="230" t="str">
        <f t="array" ref="V163">IF(ISNUMBER(MATCH(B163, 'Sprint 12'!B:B, 0)), INDEX('Sprint 12'!J:J, MATCH(B163, 'Sprint 12'!B:B, 0)), "")</f>
        <v>To Do</v>
      </c>
      <c r="W163" s="230"/>
      <c r="X163" s="102" t="s">
        <v>6449</v>
      </c>
      <c r="Y163" s="102" t="s">
        <v>6450</v>
      </c>
      <c r="Z163" s="102" t="s">
        <v>5901</v>
      </c>
      <c r="AA163" s="102" t="s">
        <v>2205</v>
      </c>
      <c r="AB163" s="102" t="s">
        <v>2196</v>
      </c>
    </row>
    <row r="164">
      <c r="A164" s="102" t="s">
        <v>332</v>
      </c>
      <c r="B164" s="102" t="s">
        <v>5897</v>
      </c>
      <c r="C164" s="229" t="s">
        <v>5898</v>
      </c>
      <c r="D164" s="102" t="s">
        <v>5899</v>
      </c>
      <c r="E164" s="102" t="s">
        <v>556</v>
      </c>
      <c r="F164" s="102" t="s">
        <v>557</v>
      </c>
      <c r="G164" s="102" t="s">
        <v>391</v>
      </c>
      <c r="H164" s="102" t="s">
        <v>392</v>
      </c>
      <c r="I164" s="102" t="s">
        <v>284</v>
      </c>
      <c r="J164" s="102" t="s">
        <v>922</v>
      </c>
      <c r="L164" s="229" t="s">
        <v>5900</v>
      </c>
      <c r="M164" s="229" t="s">
        <v>6804</v>
      </c>
      <c r="O164" s="102"/>
      <c r="P164" s="102"/>
      <c r="T164" s="230"/>
      <c r="U164" s="230" t="str">
        <f>IF(ISNUMBER(MATCH(B164, 'Sprint 12'!B:B, 0)), "มาจาก Sprint 12", "")</f>
        <v>มาจาก Sprint 12</v>
      </c>
      <c r="V164" s="230" t="str">
        <f t="array" ref="V164">IF(ISNUMBER(MATCH(B164, 'Sprint 12'!B:B, 0)), INDEX('Sprint 12'!J:J, MATCH(B164, 'Sprint 12'!B:B, 0)), "")</f>
        <v>Resolved</v>
      </c>
      <c r="W164" s="230"/>
      <c r="X164" s="102" t="s">
        <v>5901</v>
      </c>
      <c r="Y164" s="102" t="s">
        <v>5896</v>
      </c>
      <c r="Z164" s="102" t="s">
        <v>5837</v>
      </c>
    </row>
    <row r="165">
      <c r="A165" s="102" t="s">
        <v>332</v>
      </c>
      <c r="B165" s="102" t="s">
        <v>6416</v>
      </c>
      <c r="C165" s="229" t="s">
        <v>6417</v>
      </c>
      <c r="D165" s="102" t="s">
        <v>6418</v>
      </c>
      <c r="E165" s="102" t="s">
        <v>282</v>
      </c>
      <c r="F165" s="102" t="s">
        <v>283</v>
      </c>
      <c r="G165" s="102" t="s">
        <v>316</v>
      </c>
      <c r="H165" s="102" t="s">
        <v>317</v>
      </c>
      <c r="I165" s="102" t="s">
        <v>284</v>
      </c>
      <c r="J165" s="102" t="s">
        <v>2415</v>
      </c>
      <c r="L165" s="229" t="s">
        <v>6419</v>
      </c>
      <c r="M165" s="229" t="s">
        <v>6535</v>
      </c>
      <c r="N165" s="229" t="s">
        <v>4959</v>
      </c>
      <c r="O165" s="102">
        <v>8.0</v>
      </c>
      <c r="P165" s="102" t="s">
        <v>4656</v>
      </c>
      <c r="Q165" s="102" t="s">
        <v>367</v>
      </c>
      <c r="R165" s="102" t="s">
        <v>783</v>
      </c>
      <c r="T165" s="102"/>
      <c r="U165" s="230" t="str">
        <f>IF(ISNUMBER(MATCH(B165, 'Sprint 12'!B:B, 0)), "มาจาก Sprint 12", "")</f>
        <v>มาจาก Sprint 12</v>
      </c>
      <c r="V165" s="230" t="str">
        <f t="array" ref="V165">IF(ISNUMBER(MATCH(B165, 'Sprint 12'!B:B, 0)), INDEX('Sprint 12'!J:J, MATCH(B165, 'Sprint 12'!B:B, 0)), "")</f>
        <v>UNDER VALIDATION</v>
      </c>
      <c r="W165" s="102"/>
      <c r="X165" s="102" t="s">
        <v>4954</v>
      </c>
      <c r="Y165" s="102" t="s">
        <v>4919</v>
      </c>
    </row>
    <row r="166">
      <c r="A166" s="102" t="s">
        <v>310</v>
      </c>
      <c r="B166" s="102" t="s">
        <v>6420</v>
      </c>
      <c r="C166" s="229" t="s">
        <v>6421</v>
      </c>
      <c r="D166" s="102" t="s">
        <v>6422</v>
      </c>
      <c r="E166" s="102" t="s">
        <v>584</v>
      </c>
      <c r="F166" s="102" t="s">
        <v>585</v>
      </c>
      <c r="G166" s="102" t="s">
        <v>282</v>
      </c>
      <c r="H166" s="102" t="s">
        <v>283</v>
      </c>
      <c r="I166" s="102" t="s">
        <v>284</v>
      </c>
      <c r="J166" s="102" t="s">
        <v>454</v>
      </c>
      <c r="L166" s="229" t="s">
        <v>6423</v>
      </c>
      <c r="M166" s="229" t="s">
        <v>6285</v>
      </c>
      <c r="O166" s="230"/>
      <c r="P166" s="102" t="s">
        <v>5547</v>
      </c>
      <c r="T166" s="230"/>
      <c r="U166" s="230" t="str">
        <f>IF(ISNUMBER(MATCH(B166, 'Sprint 12'!B:B, 0)), "มาจาก Sprint 12", "")</f>
        <v>มาจาก Sprint 12</v>
      </c>
      <c r="V166" s="230" t="str">
        <f t="array" ref="V166">IF(ISNUMBER(MATCH(B166, 'Sprint 12'!B:B, 0)), INDEX('Sprint 12'!J:J, MATCH(B166, 'Sprint 12'!B:B, 0)), "")</f>
        <v>Ready To Test</v>
      </c>
      <c r="W166" s="230"/>
      <c r="X166" s="102" t="s">
        <v>4953</v>
      </c>
      <c r="Y166" s="102" t="s">
        <v>4954</v>
      </c>
      <c r="Z166" s="102" t="s">
        <v>4919</v>
      </c>
      <c r="AA166" s="102"/>
      <c r="AB166" s="102"/>
    </row>
    <row r="167">
      <c r="A167" s="102" t="s">
        <v>276</v>
      </c>
      <c r="B167" s="102" t="s">
        <v>6919</v>
      </c>
      <c r="C167" s="229" t="s">
        <v>6920</v>
      </c>
      <c r="D167" s="102" t="s">
        <v>6921</v>
      </c>
      <c r="E167" s="102" t="s">
        <v>5844</v>
      </c>
      <c r="F167" s="102" t="s">
        <v>5845</v>
      </c>
      <c r="G167" s="102" t="s">
        <v>521</v>
      </c>
      <c r="H167" s="102" t="s">
        <v>522</v>
      </c>
      <c r="I167" s="102" t="s">
        <v>284</v>
      </c>
      <c r="J167" s="102" t="s">
        <v>26</v>
      </c>
      <c r="L167" s="229" t="s">
        <v>6922</v>
      </c>
      <c r="M167" s="229" t="s">
        <v>6923</v>
      </c>
      <c r="O167" s="230"/>
      <c r="T167" s="230"/>
      <c r="U167" s="230" t="str">
        <f>IF(ISNUMBER(MATCH(B167, 'Sprint 12'!B:B, 0)), "มาจาก Sprint 12", "")</f>
        <v>มาจาก Sprint 12</v>
      </c>
      <c r="V167" s="230" t="str">
        <f t="array" ref="V167">IF(ISNUMBER(MATCH(B167, 'Sprint 12'!B:B, 0)), INDEX('Sprint 12'!J:J, MATCH(B167, 'Sprint 12'!B:B, 0)), "")</f>
        <v>To Do</v>
      </c>
      <c r="W167" s="230"/>
      <c r="X167" s="102" t="s">
        <v>6448</v>
      </c>
      <c r="Y167" s="102" t="s">
        <v>6449</v>
      </c>
      <c r="Z167" s="102" t="s">
        <v>6450</v>
      </c>
      <c r="AA167" s="102" t="s">
        <v>5901</v>
      </c>
      <c r="AB167" s="102" t="s">
        <v>2205</v>
      </c>
      <c r="AC167" s="102" t="s">
        <v>2196</v>
      </c>
    </row>
    <row r="168">
      <c r="A168" s="102" t="s">
        <v>276</v>
      </c>
      <c r="B168" s="102" t="s">
        <v>6924</v>
      </c>
      <c r="C168" s="229" t="s">
        <v>6925</v>
      </c>
      <c r="D168" s="102" t="s">
        <v>6926</v>
      </c>
      <c r="E168" s="102" t="s">
        <v>5844</v>
      </c>
      <c r="F168" s="102" t="s">
        <v>5845</v>
      </c>
      <c r="G168" s="102" t="s">
        <v>521</v>
      </c>
      <c r="H168" s="102" t="s">
        <v>522</v>
      </c>
      <c r="I168" s="102" t="s">
        <v>284</v>
      </c>
      <c r="J168" s="102" t="s">
        <v>26</v>
      </c>
      <c r="L168" s="229" t="s">
        <v>6927</v>
      </c>
      <c r="M168" s="229" t="s">
        <v>6923</v>
      </c>
      <c r="O168" s="230"/>
      <c r="T168" s="230"/>
      <c r="U168" s="230" t="str">
        <f>IF(ISNUMBER(MATCH(B168, 'Sprint 12'!B:B, 0)), "มาจาก Sprint 12", "")</f>
        <v>มาจาก Sprint 12</v>
      </c>
      <c r="V168" s="230" t="str">
        <f t="array" ref="V168">IF(ISNUMBER(MATCH(B168, 'Sprint 12'!B:B, 0)), INDEX('Sprint 12'!J:J, MATCH(B168, 'Sprint 12'!B:B, 0)), "")</f>
        <v>To Do</v>
      </c>
      <c r="W168" s="230"/>
      <c r="X168" s="102" t="s">
        <v>6448</v>
      </c>
      <c r="Y168" s="102" t="s">
        <v>6449</v>
      </c>
      <c r="Z168" s="102" t="s">
        <v>6450</v>
      </c>
      <c r="AA168" s="102" t="s">
        <v>5901</v>
      </c>
      <c r="AB168" s="102" t="s">
        <v>2205</v>
      </c>
      <c r="AC168" s="102" t="s">
        <v>2196</v>
      </c>
    </row>
    <row r="169">
      <c r="A169" s="102" t="s">
        <v>276</v>
      </c>
      <c r="B169" s="102" t="s">
        <v>6928</v>
      </c>
      <c r="C169" s="229" t="s">
        <v>6929</v>
      </c>
      <c r="D169" s="102" t="s">
        <v>6930</v>
      </c>
      <c r="E169" s="102" t="s">
        <v>5844</v>
      </c>
      <c r="F169" s="102" t="s">
        <v>5845</v>
      </c>
      <c r="G169" s="102" t="s">
        <v>521</v>
      </c>
      <c r="H169" s="102" t="s">
        <v>522</v>
      </c>
      <c r="I169" s="102" t="s">
        <v>284</v>
      </c>
      <c r="J169" s="102" t="s">
        <v>26</v>
      </c>
      <c r="L169" s="229" t="s">
        <v>6931</v>
      </c>
      <c r="M169" s="229" t="s">
        <v>6923</v>
      </c>
      <c r="N169" s="102"/>
      <c r="O169" s="102"/>
      <c r="P169" s="102"/>
      <c r="Q169" s="102"/>
      <c r="R169" s="102"/>
      <c r="T169" s="230"/>
      <c r="U169" s="230" t="str">
        <f>IF(ISNUMBER(MATCH(B169, 'Sprint 12'!B:B, 0)), "มาจาก Sprint 12", "")</f>
        <v>มาจาก Sprint 12</v>
      </c>
      <c r="V169" s="230" t="str">
        <f t="array" ref="V169">IF(ISNUMBER(MATCH(B169, 'Sprint 12'!B:B, 0)), INDEX('Sprint 12'!J:J, MATCH(B169, 'Sprint 12'!B:B, 0)), "")</f>
        <v>To Do</v>
      </c>
      <c r="W169" s="230"/>
      <c r="X169" s="102" t="s">
        <v>6448</v>
      </c>
      <c r="Y169" s="102" t="s">
        <v>6449</v>
      </c>
      <c r="Z169" s="102" t="s">
        <v>6450</v>
      </c>
      <c r="AA169" s="102" t="s">
        <v>5901</v>
      </c>
      <c r="AB169" s="102" t="s">
        <v>2205</v>
      </c>
      <c r="AC169" s="102" t="s">
        <v>2196</v>
      </c>
    </row>
    <row r="170">
      <c r="A170" s="102" t="s">
        <v>276</v>
      </c>
      <c r="B170" s="102" t="s">
        <v>6932</v>
      </c>
      <c r="C170" s="229" t="s">
        <v>6933</v>
      </c>
      <c r="D170" s="102" t="s">
        <v>6934</v>
      </c>
      <c r="E170" s="102" t="s">
        <v>5844</v>
      </c>
      <c r="F170" s="102" t="s">
        <v>5845</v>
      </c>
      <c r="G170" s="102" t="s">
        <v>521</v>
      </c>
      <c r="H170" s="102" t="s">
        <v>522</v>
      </c>
      <c r="I170" s="102" t="s">
        <v>284</v>
      </c>
      <c r="J170" s="102" t="s">
        <v>26</v>
      </c>
      <c r="L170" s="229" t="s">
        <v>6931</v>
      </c>
      <c r="M170" s="229" t="s">
        <v>6923</v>
      </c>
      <c r="O170" s="230"/>
      <c r="P170" s="102"/>
      <c r="T170" s="230"/>
      <c r="U170" s="230" t="str">
        <f>IF(ISNUMBER(MATCH(B170, 'Sprint 12'!B:B, 0)), "มาจาก Sprint 12", "")</f>
        <v>มาจาก Sprint 12</v>
      </c>
      <c r="V170" s="230" t="str">
        <f t="array" ref="V170">IF(ISNUMBER(MATCH(B170, 'Sprint 12'!B:B, 0)), INDEX('Sprint 12'!J:J, MATCH(B170, 'Sprint 12'!B:B, 0)), "")</f>
        <v>To Do</v>
      </c>
      <c r="W170" s="230"/>
      <c r="X170" s="102" t="s">
        <v>6448</v>
      </c>
      <c r="Y170" s="102" t="s">
        <v>6449</v>
      </c>
      <c r="Z170" s="102" t="s">
        <v>6450</v>
      </c>
      <c r="AA170" s="102" t="s">
        <v>5901</v>
      </c>
      <c r="AB170" s="102" t="s">
        <v>2205</v>
      </c>
      <c r="AC170" s="102" t="s">
        <v>2196</v>
      </c>
    </row>
    <row r="171">
      <c r="A171" s="102" t="s">
        <v>276</v>
      </c>
      <c r="B171" s="102" t="s">
        <v>6935</v>
      </c>
      <c r="C171" s="229" t="s">
        <v>6936</v>
      </c>
      <c r="D171" s="102" t="s">
        <v>6937</v>
      </c>
      <c r="E171" s="102" t="s">
        <v>5844</v>
      </c>
      <c r="F171" s="102" t="s">
        <v>5845</v>
      </c>
      <c r="G171" s="102" t="s">
        <v>521</v>
      </c>
      <c r="H171" s="102" t="s">
        <v>522</v>
      </c>
      <c r="I171" s="102" t="s">
        <v>284</v>
      </c>
      <c r="J171" s="102" t="s">
        <v>26</v>
      </c>
      <c r="L171" s="229" t="s">
        <v>6938</v>
      </c>
      <c r="M171" s="229" t="s">
        <v>6939</v>
      </c>
      <c r="O171" s="230"/>
      <c r="T171" s="230"/>
      <c r="U171" s="230" t="str">
        <f>IF(ISNUMBER(MATCH(B171, 'Sprint 12'!B:B, 0)), "มาจาก Sprint 12", "")</f>
        <v>มาจาก Sprint 12</v>
      </c>
      <c r="V171" s="230" t="str">
        <f t="array" ref="V171">IF(ISNUMBER(MATCH(B171, 'Sprint 12'!B:B, 0)), INDEX('Sprint 12'!J:J, MATCH(B171, 'Sprint 12'!B:B, 0)), "")</f>
        <v>To Do</v>
      </c>
      <c r="W171" s="230"/>
      <c r="X171" s="102" t="s">
        <v>6448</v>
      </c>
      <c r="Y171" s="102" t="s">
        <v>6449</v>
      </c>
      <c r="Z171" s="102" t="s">
        <v>6450</v>
      </c>
      <c r="AA171" s="102" t="s">
        <v>5901</v>
      </c>
      <c r="AB171" s="102" t="s">
        <v>2205</v>
      </c>
      <c r="AC171" s="102" t="s">
        <v>2196</v>
      </c>
    </row>
    <row r="172">
      <c r="A172" s="102" t="s">
        <v>276</v>
      </c>
      <c r="B172" s="102" t="s">
        <v>6940</v>
      </c>
      <c r="C172" s="229" t="s">
        <v>6941</v>
      </c>
      <c r="D172" s="102" t="s">
        <v>6942</v>
      </c>
      <c r="E172" s="102" t="s">
        <v>5844</v>
      </c>
      <c r="F172" s="102" t="s">
        <v>5845</v>
      </c>
      <c r="G172" s="102" t="s">
        <v>521</v>
      </c>
      <c r="H172" s="102" t="s">
        <v>522</v>
      </c>
      <c r="I172" s="102" t="s">
        <v>284</v>
      </c>
      <c r="J172" s="102" t="s">
        <v>26</v>
      </c>
      <c r="L172" s="229" t="s">
        <v>6943</v>
      </c>
      <c r="M172" s="229" t="s">
        <v>6923</v>
      </c>
      <c r="O172" s="230"/>
      <c r="T172" s="230"/>
      <c r="U172" s="230" t="str">
        <f>IF(ISNUMBER(MATCH(B172, 'Sprint 12'!B:B, 0)), "มาจาก Sprint 12", "")</f>
        <v>มาจาก Sprint 12</v>
      </c>
      <c r="V172" s="230" t="str">
        <f t="array" ref="V172">IF(ISNUMBER(MATCH(B172, 'Sprint 12'!B:B, 0)), INDEX('Sprint 12'!J:J, MATCH(B172, 'Sprint 12'!B:B, 0)), "")</f>
        <v>To Do</v>
      </c>
      <c r="W172" s="230"/>
      <c r="X172" s="102" t="s">
        <v>6448</v>
      </c>
      <c r="Y172" s="102" t="s">
        <v>6449</v>
      </c>
      <c r="Z172" s="102" t="s">
        <v>6450</v>
      </c>
      <c r="AA172" s="102" t="s">
        <v>5901</v>
      </c>
      <c r="AB172" s="102" t="s">
        <v>2205</v>
      </c>
      <c r="AC172" s="102" t="s">
        <v>2196</v>
      </c>
    </row>
    <row r="173">
      <c r="A173" s="102" t="s">
        <v>310</v>
      </c>
      <c r="B173" s="102" t="s">
        <v>6944</v>
      </c>
      <c r="C173" s="229" t="s">
        <v>6945</v>
      </c>
      <c r="D173" s="102" t="s">
        <v>6946</v>
      </c>
      <c r="E173" s="102" t="s">
        <v>6860</v>
      </c>
      <c r="F173" s="102" t="s">
        <v>6861</v>
      </c>
      <c r="G173" s="102" t="s">
        <v>353</v>
      </c>
      <c r="H173" s="102" t="s">
        <v>354</v>
      </c>
      <c r="I173" s="102" t="s">
        <v>284</v>
      </c>
      <c r="J173" s="102" t="s">
        <v>26</v>
      </c>
      <c r="L173" s="229" t="s">
        <v>6947</v>
      </c>
      <c r="M173" s="229" t="s">
        <v>6948</v>
      </c>
      <c r="N173" s="229" t="s">
        <v>6949</v>
      </c>
      <c r="O173" s="102">
        <v>1.0</v>
      </c>
      <c r="T173" s="102">
        <v>0.0</v>
      </c>
      <c r="U173" s="230" t="str">
        <f>IF(ISNUMBER(MATCH(B173, 'Sprint 12'!B:B, 0)), "มาจาก Sprint 12", "")</f>
        <v>มาจาก Sprint 12</v>
      </c>
      <c r="V173" s="230" t="str">
        <f t="array" ref="V173">IF(ISNUMBER(MATCH(B173, 'Sprint 12'!B:B, 0)), INDEX('Sprint 12'!J:J, MATCH(B173, 'Sprint 12'!B:B, 0)), "")</f>
        <v>Ready To Test</v>
      </c>
      <c r="W173" s="102">
        <v>3600.0</v>
      </c>
      <c r="X173" s="102" t="s">
        <v>1365</v>
      </c>
      <c r="Y173" s="102" t="s">
        <v>1366</v>
      </c>
      <c r="Z173" s="102" t="s">
        <v>1367</v>
      </c>
      <c r="AA173" s="102"/>
      <c r="AB173" s="102"/>
      <c r="AC173" s="102"/>
    </row>
    <row r="174">
      <c r="A174" s="102" t="s">
        <v>310</v>
      </c>
      <c r="B174" s="102" t="s">
        <v>6429</v>
      </c>
      <c r="C174" s="229" t="s">
        <v>6430</v>
      </c>
      <c r="D174" s="102" t="s">
        <v>6431</v>
      </c>
      <c r="E174" s="102" t="s">
        <v>6315</v>
      </c>
      <c r="F174" s="102" t="s">
        <v>6316</v>
      </c>
      <c r="G174" s="102" t="s">
        <v>282</v>
      </c>
      <c r="H174" s="102" t="s">
        <v>283</v>
      </c>
      <c r="I174" s="102" t="s">
        <v>284</v>
      </c>
      <c r="J174" s="102" t="s">
        <v>2509</v>
      </c>
      <c r="L174" s="229" t="s">
        <v>6432</v>
      </c>
      <c r="M174" s="229" t="s">
        <v>6950</v>
      </c>
      <c r="O174" s="102">
        <v>5.0</v>
      </c>
      <c r="P174" s="102" t="s">
        <v>5907</v>
      </c>
      <c r="T174" s="102">
        <v>0.0</v>
      </c>
      <c r="U174" s="230" t="str">
        <f>IF(ISNUMBER(MATCH(B174, 'Sprint 12'!B:B, 0)), "มาจาก Sprint 12", "")</f>
        <v>มาจาก Sprint 12</v>
      </c>
      <c r="V174" s="230" t="str">
        <f t="array" ref="V174">IF(ISNUMBER(MATCH(B174, 'Sprint 12'!B:B, 0)), INDEX('Sprint 12'!J:J, MATCH(B174, 'Sprint 12'!B:B, 0)), "")</f>
        <v>Ready to Staging</v>
      </c>
      <c r="W174" s="102">
        <v>115200.0</v>
      </c>
      <c r="X174" s="102" t="s">
        <v>4953</v>
      </c>
      <c r="Y174" s="102" t="s">
        <v>4954</v>
      </c>
      <c r="Z174" s="102" t="s">
        <v>4919</v>
      </c>
      <c r="AA174" s="102"/>
      <c r="AB174" s="102"/>
      <c r="AC174" s="102"/>
    </row>
    <row r="175">
      <c r="A175" s="102" t="s">
        <v>310</v>
      </c>
      <c r="B175" s="102" t="s">
        <v>5902</v>
      </c>
      <c r="C175" s="229" t="s">
        <v>5903</v>
      </c>
      <c r="D175" s="102" t="s">
        <v>5904</v>
      </c>
      <c r="E175" s="102" t="s">
        <v>564</v>
      </c>
      <c r="F175" s="102" t="s">
        <v>565</v>
      </c>
      <c r="G175" s="102" t="s">
        <v>282</v>
      </c>
      <c r="H175" s="102" t="s">
        <v>283</v>
      </c>
      <c r="I175" s="102" t="s">
        <v>284</v>
      </c>
      <c r="J175" s="102" t="s">
        <v>454</v>
      </c>
      <c r="L175" s="229" t="s">
        <v>5905</v>
      </c>
      <c r="M175" s="229" t="s">
        <v>6285</v>
      </c>
      <c r="N175" s="229" t="s">
        <v>5906</v>
      </c>
      <c r="O175" s="102">
        <v>3.0</v>
      </c>
      <c r="P175" s="102" t="s">
        <v>5907</v>
      </c>
      <c r="T175" s="102">
        <v>0.0</v>
      </c>
      <c r="U175" s="230" t="str">
        <f>IF(ISNUMBER(MATCH(B175, 'Sprint 12'!B:B, 0)), "มาจาก Sprint 12", "")</f>
        <v>มาจาก Sprint 12</v>
      </c>
      <c r="V175" s="230" t="str">
        <f t="array" ref="V175">IF(ISNUMBER(MATCH(B175, 'Sprint 12'!B:B, 0)), INDEX('Sprint 12'!J:J, MATCH(B175, 'Sprint 12'!B:B, 0)), "")</f>
        <v>Ready To Test</v>
      </c>
      <c r="W175" s="102">
        <v>21600.0</v>
      </c>
      <c r="X175" s="102" t="s">
        <v>4953</v>
      </c>
      <c r="Y175" s="102" t="s">
        <v>4954</v>
      </c>
      <c r="Z175" s="102" t="s">
        <v>4919</v>
      </c>
      <c r="AA175" s="102"/>
      <c r="AB175" s="102"/>
      <c r="AC175" s="102"/>
    </row>
    <row r="176">
      <c r="A176" s="102" t="s">
        <v>310</v>
      </c>
      <c r="B176" s="102" t="s">
        <v>6951</v>
      </c>
      <c r="C176" s="229" t="s">
        <v>6952</v>
      </c>
      <c r="D176" s="102" t="s">
        <v>6953</v>
      </c>
      <c r="E176" s="102" t="s">
        <v>314</v>
      </c>
      <c r="F176" s="102" t="s">
        <v>315</v>
      </c>
      <c r="G176" s="102" t="s">
        <v>314</v>
      </c>
      <c r="H176" s="102" t="s">
        <v>315</v>
      </c>
      <c r="I176" s="102" t="s">
        <v>648</v>
      </c>
      <c r="J176" s="102" t="s">
        <v>26</v>
      </c>
      <c r="L176" s="229" t="s">
        <v>6954</v>
      </c>
      <c r="M176" s="229" t="s">
        <v>6856</v>
      </c>
      <c r="O176" s="102">
        <v>5.0</v>
      </c>
      <c r="P176" s="102" t="s">
        <v>593</v>
      </c>
      <c r="T176" s="230"/>
      <c r="U176" s="230" t="str">
        <f>IF(ISNUMBER(MATCH(B176, 'Sprint 12'!B:B, 0)), "มาจาก Sprint 12", "")</f>
        <v>มาจาก Sprint 12</v>
      </c>
      <c r="V176" s="230" t="str">
        <f t="array" ref="V176">IF(ISNUMBER(MATCH(B176, 'Sprint 12'!B:B, 0)), INDEX('Sprint 12'!J:J, MATCH(B176, 'Sprint 12'!B:B, 0)), "")</f>
        <v>In Progress</v>
      </c>
      <c r="W176" s="230"/>
      <c r="X176" s="102" t="s">
        <v>1364</v>
      </c>
      <c r="Y176" s="102" t="s">
        <v>1365</v>
      </c>
      <c r="Z176" s="102" t="s">
        <v>1366</v>
      </c>
      <c r="AA176" s="102" t="s">
        <v>1367</v>
      </c>
      <c r="AB176" s="102"/>
      <c r="AC176" s="102"/>
    </row>
    <row r="177">
      <c r="A177" s="102" t="s">
        <v>310</v>
      </c>
      <c r="B177" s="102" t="s">
        <v>6955</v>
      </c>
      <c r="C177" s="229" t="s">
        <v>6956</v>
      </c>
      <c r="D177" s="102" t="s">
        <v>6957</v>
      </c>
      <c r="E177" s="102" t="s">
        <v>328</v>
      </c>
      <c r="F177" s="102" t="s">
        <v>329</v>
      </c>
      <c r="G177" s="102" t="s">
        <v>282</v>
      </c>
      <c r="H177" s="102" t="s">
        <v>283</v>
      </c>
      <c r="I177" s="102" t="s">
        <v>515</v>
      </c>
      <c r="J177" s="102" t="s">
        <v>26</v>
      </c>
      <c r="L177" s="229" t="s">
        <v>6958</v>
      </c>
      <c r="M177" s="229" t="s">
        <v>6959</v>
      </c>
      <c r="O177" s="102">
        <v>8.0</v>
      </c>
      <c r="P177" s="102" t="s">
        <v>5547</v>
      </c>
      <c r="T177" s="102">
        <v>0.0</v>
      </c>
      <c r="U177" s="230" t="str">
        <f>IF(ISNUMBER(MATCH(B177, 'Sprint 12'!B:B, 0)), "มาจาก Sprint 12", "")</f>
        <v>มาจาก Sprint 12</v>
      </c>
      <c r="V177" s="230" t="str">
        <f t="array" ref="V177">IF(ISNUMBER(MATCH(B177, 'Sprint 12'!B:B, 0)), INDEX('Sprint 12'!J:J, MATCH(B177, 'Sprint 12'!B:B, 0)), "")</f>
        <v>Ready To Test</v>
      </c>
      <c r="W177" s="102">
        <v>86400.0</v>
      </c>
      <c r="X177" s="102" t="s">
        <v>4954</v>
      </c>
      <c r="Y177" s="102" t="s">
        <v>4919</v>
      </c>
      <c r="Z177" s="102"/>
      <c r="AA177" s="102"/>
      <c r="AB177" s="102"/>
      <c r="AC177" s="102"/>
    </row>
    <row r="178">
      <c r="A178" s="102" t="s">
        <v>310</v>
      </c>
      <c r="B178" s="102" t="s">
        <v>5908</v>
      </c>
      <c r="C178" s="229" t="s">
        <v>5909</v>
      </c>
      <c r="D178" s="102" t="s">
        <v>5910</v>
      </c>
      <c r="E178" s="102" t="s">
        <v>584</v>
      </c>
      <c r="F178" s="102" t="s">
        <v>585</v>
      </c>
      <c r="G178" s="102" t="s">
        <v>282</v>
      </c>
      <c r="H178" s="102" t="s">
        <v>283</v>
      </c>
      <c r="I178" s="102" t="s">
        <v>284</v>
      </c>
      <c r="J178" s="102" t="s">
        <v>454</v>
      </c>
      <c r="L178" s="229" t="s">
        <v>5911</v>
      </c>
      <c r="M178" s="229" t="s">
        <v>6804</v>
      </c>
      <c r="N178" s="102"/>
      <c r="O178" s="102">
        <v>2.0</v>
      </c>
      <c r="P178" s="102" t="s">
        <v>5912</v>
      </c>
      <c r="T178" s="102"/>
      <c r="U178" s="230" t="str">
        <f>IF(ISNUMBER(MATCH(B178, 'Sprint 12'!B:B, 0)), "มาจาก Sprint 12", "")</f>
        <v>มาจาก Sprint 12</v>
      </c>
      <c r="V178" s="230" t="str">
        <f t="array" ref="V178">IF(ISNUMBER(MATCH(B178, 'Sprint 12'!B:B, 0)), INDEX('Sprint 12'!J:J, MATCH(B178, 'Sprint 12'!B:B, 0)), "")</f>
        <v>Ready To Test</v>
      </c>
      <c r="W178" s="102"/>
      <c r="X178" s="102" t="s">
        <v>5913</v>
      </c>
      <c r="Y178" s="102" t="s">
        <v>5901</v>
      </c>
      <c r="Z178" s="102" t="s">
        <v>5896</v>
      </c>
      <c r="AA178" s="102" t="s">
        <v>5837</v>
      </c>
    </row>
    <row r="179">
      <c r="A179" s="102" t="s">
        <v>310</v>
      </c>
      <c r="B179" s="102" t="s">
        <v>6439</v>
      </c>
      <c r="C179" s="229" t="s">
        <v>6440</v>
      </c>
      <c r="D179" s="102" t="s">
        <v>6441</v>
      </c>
      <c r="E179" s="102" t="s">
        <v>282</v>
      </c>
      <c r="F179" s="102" t="s">
        <v>283</v>
      </c>
      <c r="G179" s="102" t="s">
        <v>282</v>
      </c>
      <c r="H179" s="102" t="s">
        <v>283</v>
      </c>
      <c r="I179" s="102" t="s">
        <v>284</v>
      </c>
      <c r="J179" s="102" t="s">
        <v>2509</v>
      </c>
      <c r="L179" s="229" t="s">
        <v>6442</v>
      </c>
      <c r="M179" s="229" t="s">
        <v>6910</v>
      </c>
      <c r="O179" s="102">
        <v>5.0</v>
      </c>
      <c r="P179" s="102" t="s">
        <v>5547</v>
      </c>
      <c r="T179" s="102"/>
      <c r="U179" s="230" t="str">
        <f>IF(ISNUMBER(MATCH(B179, 'Sprint 12'!B:B, 0)), "มาจาก Sprint 12", "")</f>
        <v>มาจาก Sprint 12</v>
      </c>
      <c r="V179" s="230" t="str">
        <f t="array" ref="V179">IF(ISNUMBER(MATCH(B179, 'Sprint 12'!B:B, 0)), INDEX('Sprint 12'!J:J, MATCH(B179, 'Sprint 12'!B:B, 0)), "")</f>
        <v>Blocked</v>
      </c>
      <c r="W179" s="102"/>
      <c r="X179" s="102" t="s">
        <v>4961</v>
      </c>
      <c r="Y179" s="102" t="s">
        <v>4954</v>
      </c>
      <c r="Z179" s="102" t="s">
        <v>4919</v>
      </c>
    </row>
    <row r="180">
      <c r="A180" s="102" t="s">
        <v>310</v>
      </c>
      <c r="B180" s="102" t="s">
        <v>6960</v>
      </c>
      <c r="C180" s="229" t="s">
        <v>6961</v>
      </c>
      <c r="D180" s="102" t="s">
        <v>6962</v>
      </c>
      <c r="E180" s="102" t="s">
        <v>6860</v>
      </c>
      <c r="F180" s="102" t="s">
        <v>6861</v>
      </c>
      <c r="G180" s="102" t="s">
        <v>353</v>
      </c>
      <c r="H180" s="102" t="s">
        <v>354</v>
      </c>
      <c r="I180" s="102" t="s">
        <v>284</v>
      </c>
      <c r="J180" s="102" t="s">
        <v>26</v>
      </c>
      <c r="L180" s="229" t="s">
        <v>6963</v>
      </c>
      <c r="M180" s="229" t="s">
        <v>6670</v>
      </c>
      <c r="N180" s="229" t="s">
        <v>5567</v>
      </c>
      <c r="O180" s="102">
        <v>3.0</v>
      </c>
      <c r="P180" s="102"/>
      <c r="T180" s="102">
        <v>0.0</v>
      </c>
      <c r="U180" s="230" t="str">
        <f>IF(ISNUMBER(MATCH(B180, 'Sprint 12'!B:B, 0)), "มาจาก Sprint 12", "")</f>
        <v>มาจาก Sprint 12</v>
      </c>
      <c r="V180" s="230" t="str">
        <f t="array" ref="V180">IF(ISNUMBER(MATCH(B180, 'Sprint 12'!B:B, 0)), INDEX('Sprint 12'!J:J, MATCH(B180, 'Sprint 12'!B:B, 0)), "")</f>
        <v>Ready To Test</v>
      </c>
      <c r="W180" s="102">
        <v>28800.0</v>
      </c>
      <c r="X180" s="102" t="s">
        <v>6449</v>
      </c>
      <c r="Y180" s="102" t="s">
        <v>6450</v>
      </c>
      <c r="Z180" s="102" t="s">
        <v>5901</v>
      </c>
      <c r="AA180" s="102" t="s">
        <v>2205</v>
      </c>
      <c r="AB180" s="102" t="s">
        <v>2196</v>
      </c>
    </row>
    <row r="181">
      <c r="A181" s="102" t="s">
        <v>310</v>
      </c>
      <c r="B181" s="102" t="s">
        <v>5562</v>
      </c>
      <c r="C181" s="229" t="s">
        <v>5563</v>
      </c>
      <c r="D181" s="102" t="s">
        <v>5564</v>
      </c>
      <c r="E181" s="102" t="s">
        <v>556</v>
      </c>
      <c r="F181" s="102" t="s">
        <v>557</v>
      </c>
      <c r="G181" s="102" t="s">
        <v>282</v>
      </c>
      <c r="H181" s="102" t="s">
        <v>283</v>
      </c>
      <c r="I181" s="102" t="s">
        <v>284</v>
      </c>
      <c r="J181" s="102" t="s">
        <v>2509</v>
      </c>
      <c r="L181" s="229" t="s">
        <v>5565</v>
      </c>
      <c r="M181" s="229" t="s">
        <v>6910</v>
      </c>
      <c r="N181" s="229" t="s">
        <v>5567</v>
      </c>
      <c r="O181" s="102">
        <v>2.0</v>
      </c>
      <c r="P181" s="102" t="s">
        <v>5547</v>
      </c>
      <c r="T181" s="102">
        <v>0.0</v>
      </c>
      <c r="U181" s="230" t="str">
        <f>IF(ISNUMBER(MATCH(B181, 'Sprint 12'!B:B, 0)), "มาจาก Sprint 12", "")</f>
        <v>มาจาก Sprint 12</v>
      </c>
      <c r="V181" s="230" t="str">
        <f t="array" ref="V181">IF(ISNUMBER(MATCH(B181, 'Sprint 12'!B:B, 0)), INDEX('Sprint 12'!J:J, MATCH(B181, 'Sprint 12'!B:B, 0)), "")</f>
        <v>Blocked</v>
      </c>
      <c r="W181" s="102">
        <v>14400.0</v>
      </c>
      <c r="X181" s="102" t="s">
        <v>4961</v>
      </c>
      <c r="Y181" s="102" t="s">
        <v>4953</v>
      </c>
      <c r="Z181" s="102" t="s">
        <v>4954</v>
      </c>
      <c r="AA181" s="102" t="s">
        <v>4919</v>
      </c>
    </row>
    <row r="182">
      <c r="A182" s="102" t="s">
        <v>310</v>
      </c>
      <c r="B182" s="102" t="s">
        <v>6964</v>
      </c>
      <c r="C182" s="229" t="s">
        <v>6965</v>
      </c>
      <c r="D182" s="102" t="s">
        <v>6966</v>
      </c>
      <c r="E182" s="102" t="s">
        <v>314</v>
      </c>
      <c r="F182" s="102" t="s">
        <v>315</v>
      </c>
      <c r="G182" s="102" t="s">
        <v>353</v>
      </c>
      <c r="H182" s="102" t="s">
        <v>354</v>
      </c>
      <c r="I182" s="102" t="s">
        <v>284</v>
      </c>
      <c r="J182" s="102" t="s">
        <v>26</v>
      </c>
      <c r="L182" s="229" t="s">
        <v>6967</v>
      </c>
      <c r="M182" s="229" t="s">
        <v>6968</v>
      </c>
      <c r="O182" s="102">
        <v>2.0</v>
      </c>
      <c r="P182" s="102" t="s">
        <v>593</v>
      </c>
      <c r="T182" s="102">
        <v>0.0</v>
      </c>
      <c r="U182" s="230" t="str">
        <f>IF(ISNUMBER(MATCH(B182, 'Sprint 12'!B:B, 0)), "มาจาก Sprint 12", "")</f>
        <v>มาจาก Sprint 12</v>
      </c>
      <c r="V182" s="230" t="str">
        <f t="array" ref="V182">IF(ISNUMBER(MATCH(B182, 'Sprint 12'!B:B, 0)), INDEX('Sprint 12'!J:J, MATCH(B182, 'Sprint 12'!B:B, 0)), "")</f>
        <v>Ready To Test</v>
      </c>
      <c r="W182" s="102">
        <v>10800.0</v>
      </c>
      <c r="X182" s="102" t="s">
        <v>6448</v>
      </c>
      <c r="Y182" s="102" t="s">
        <v>6449</v>
      </c>
      <c r="Z182" s="102" t="s">
        <v>6450</v>
      </c>
      <c r="AA182" s="102" t="s">
        <v>5901</v>
      </c>
      <c r="AB182" s="102" t="s">
        <v>2205</v>
      </c>
      <c r="AC182" s="102" t="s">
        <v>2196</v>
      </c>
    </row>
    <row r="183">
      <c r="A183" s="102" t="s">
        <v>310</v>
      </c>
      <c r="B183" s="102" t="s">
        <v>6969</v>
      </c>
      <c r="C183" s="229" t="s">
        <v>6970</v>
      </c>
      <c r="D183" s="102" t="s">
        <v>6971</v>
      </c>
      <c r="E183" s="102" t="s">
        <v>6860</v>
      </c>
      <c r="F183" s="102" t="s">
        <v>6861</v>
      </c>
      <c r="G183" s="102" t="s">
        <v>353</v>
      </c>
      <c r="H183" s="102" t="s">
        <v>354</v>
      </c>
      <c r="I183" s="102" t="s">
        <v>284</v>
      </c>
      <c r="J183" s="102" t="s">
        <v>26</v>
      </c>
      <c r="L183" s="229" t="s">
        <v>6972</v>
      </c>
      <c r="M183" s="229" t="s">
        <v>6670</v>
      </c>
      <c r="O183" s="102">
        <v>5.0</v>
      </c>
      <c r="P183" s="102"/>
      <c r="T183" s="230"/>
      <c r="U183" s="230" t="str">
        <f>IF(ISNUMBER(MATCH(B183, 'Sprint 12'!B:B, 0)), "มาจาก Sprint 12", "")</f>
        <v>มาจาก Sprint 12</v>
      </c>
      <c r="V183" s="230" t="str">
        <f t="array" ref="V183">IF(ISNUMBER(MATCH(B183, 'Sprint 12'!B:B, 0)), INDEX('Sprint 12'!J:J, MATCH(B183, 'Sprint 12'!B:B, 0)), "")</f>
        <v>Ready To Test</v>
      </c>
      <c r="W183" s="230"/>
      <c r="X183" s="102" t="s">
        <v>6448</v>
      </c>
      <c r="Y183" s="102" t="s">
        <v>6449</v>
      </c>
      <c r="Z183" s="102" t="s">
        <v>6450</v>
      </c>
      <c r="AA183" s="102" t="s">
        <v>5901</v>
      </c>
      <c r="AB183" s="102" t="s">
        <v>2205</v>
      </c>
      <c r="AC183" s="102" t="s">
        <v>2196</v>
      </c>
    </row>
    <row r="184">
      <c r="A184" s="102" t="s">
        <v>276</v>
      </c>
      <c r="B184" s="102" t="s">
        <v>6973</v>
      </c>
      <c r="C184" s="229" t="s">
        <v>6974</v>
      </c>
      <c r="D184" s="102" t="s">
        <v>6975</v>
      </c>
      <c r="E184" s="102" t="s">
        <v>5844</v>
      </c>
      <c r="F184" s="102" t="s">
        <v>5845</v>
      </c>
      <c r="G184" s="102" t="s">
        <v>521</v>
      </c>
      <c r="H184" s="102" t="s">
        <v>522</v>
      </c>
      <c r="I184" s="102" t="s">
        <v>284</v>
      </c>
      <c r="J184" s="102" t="s">
        <v>26</v>
      </c>
      <c r="L184" s="229" t="s">
        <v>6976</v>
      </c>
      <c r="M184" s="229" t="s">
        <v>6939</v>
      </c>
      <c r="O184" s="102"/>
      <c r="P184" s="102"/>
      <c r="T184" s="230"/>
      <c r="U184" s="230" t="str">
        <f>IF(ISNUMBER(MATCH(B184, 'Sprint 12'!B:B, 0)), "มาจาก Sprint 12", "")</f>
        <v>มาจาก Sprint 12</v>
      </c>
      <c r="V184" s="230" t="str">
        <f t="array" ref="V184">IF(ISNUMBER(MATCH(B184, 'Sprint 12'!B:B, 0)), INDEX('Sprint 12'!J:J, MATCH(B184, 'Sprint 12'!B:B, 0)), "")</f>
        <v>To Do</v>
      </c>
      <c r="W184" s="230"/>
      <c r="X184" s="102" t="s">
        <v>6448</v>
      </c>
      <c r="Y184" s="102" t="s">
        <v>6449</v>
      </c>
      <c r="Z184" s="102" t="s">
        <v>6450</v>
      </c>
      <c r="AA184" s="102" t="s">
        <v>5901</v>
      </c>
      <c r="AB184" s="102" t="s">
        <v>2205</v>
      </c>
      <c r="AC184" s="102" t="s">
        <v>2196</v>
      </c>
    </row>
    <row r="185">
      <c r="A185" s="102" t="s">
        <v>276</v>
      </c>
      <c r="B185" s="102" t="s">
        <v>6977</v>
      </c>
      <c r="C185" s="229" t="s">
        <v>6978</v>
      </c>
      <c r="D185" s="102" t="s">
        <v>6979</v>
      </c>
      <c r="E185" s="102" t="s">
        <v>5844</v>
      </c>
      <c r="F185" s="102" t="s">
        <v>5845</v>
      </c>
      <c r="G185" s="102" t="s">
        <v>521</v>
      </c>
      <c r="H185" s="102" t="s">
        <v>522</v>
      </c>
      <c r="I185" s="102" t="s">
        <v>284</v>
      </c>
      <c r="J185" s="102" t="s">
        <v>26</v>
      </c>
      <c r="L185" s="229" t="s">
        <v>6980</v>
      </c>
      <c r="M185" s="229" t="s">
        <v>6923</v>
      </c>
      <c r="N185" s="102"/>
      <c r="O185" s="102"/>
      <c r="T185" s="102"/>
      <c r="U185" s="230" t="str">
        <f>IF(ISNUMBER(MATCH(B185, 'Sprint 12'!B:B, 0)), "มาจาก Sprint 12", "")</f>
        <v>มาจาก Sprint 12</v>
      </c>
      <c r="V185" s="230" t="str">
        <f t="array" ref="V185">IF(ISNUMBER(MATCH(B185, 'Sprint 12'!B:B, 0)), INDEX('Sprint 12'!J:J, MATCH(B185, 'Sprint 12'!B:B, 0)), "")</f>
        <v>To Do</v>
      </c>
      <c r="W185" s="102"/>
      <c r="X185" s="102" t="s">
        <v>6448</v>
      </c>
      <c r="Y185" s="102" t="s">
        <v>6449</v>
      </c>
      <c r="Z185" s="102" t="s">
        <v>6450</v>
      </c>
      <c r="AA185" s="102" t="s">
        <v>5901</v>
      </c>
      <c r="AB185" s="102" t="s">
        <v>2205</v>
      </c>
      <c r="AC185" s="102" t="s">
        <v>2196</v>
      </c>
    </row>
    <row r="186">
      <c r="A186" s="102" t="s">
        <v>276</v>
      </c>
      <c r="B186" s="102" t="s">
        <v>6981</v>
      </c>
      <c r="C186" s="229" t="s">
        <v>6982</v>
      </c>
      <c r="D186" s="102" t="s">
        <v>6983</v>
      </c>
      <c r="E186" s="102" t="s">
        <v>5844</v>
      </c>
      <c r="F186" s="102" t="s">
        <v>5845</v>
      </c>
      <c r="G186" s="102" t="s">
        <v>521</v>
      </c>
      <c r="H186" s="102" t="s">
        <v>522</v>
      </c>
      <c r="I186" s="102" t="s">
        <v>284</v>
      </c>
      <c r="J186" s="102" t="s">
        <v>26</v>
      </c>
      <c r="L186" s="229" t="s">
        <v>6984</v>
      </c>
      <c r="M186" s="229" t="s">
        <v>6985</v>
      </c>
      <c r="N186" s="102"/>
      <c r="O186" s="102"/>
      <c r="P186" s="102"/>
      <c r="T186" s="102"/>
      <c r="U186" s="230" t="str">
        <f>IF(ISNUMBER(MATCH(B186, 'Sprint 12'!B:B, 0)), "มาจาก Sprint 12", "")</f>
        <v>มาจาก Sprint 12</v>
      </c>
      <c r="V186" s="230" t="str">
        <f t="array" ref="V186">IF(ISNUMBER(MATCH(B186, 'Sprint 12'!B:B, 0)), INDEX('Sprint 12'!J:J, MATCH(B186, 'Sprint 12'!B:B, 0)), "")</f>
        <v>Done</v>
      </c>
      <c r="W186" s="102"/>
      <c r="X186" s="102" t="s">
        <v>6448</v>
      </c>
      <c r="Y186" s="102" t="s">
        <v>6449</v>
      </c>
      <c r="Z186" s="102" t="s">
        <v>6450</v>
      </c>
      <c r="AA186" s="102" t="s">
        <v>5901</v>
      </c>
      <c r="AB186" s="102" t="s">
        <v>2205</v>
      </c>
      <c r="AC186" s="102" t="s">
        <v>2196</v>
      </c>
    </row>
    <row r="187">
      <c r="A187" s="102" t="s">
        <v>310</v>
      </c>
      <c r="B187" s="102" t="s">
        <v>6986</v>
      </c>
      <c r="C187" s="229" t="s">
        <v>6987</v>
      </c>
      <c r="D187" s="102" t="s">
        <v>6988</v>
      </c>
      <c r="E187" s="102" t="s">
        <v>6860</v>
      </c>
      <c r="F187" s="102" t="s">
        <v>6861</v>
      </c>
      <c r="G187" s="102" t="s">
        <v>353</v>
      </c>
      <c r="H187" s="102" t="s">
        <v>354</v>
      </c>
      <c r="I187" s="102" t="s">
        <v>284</v>
      </c>
      <c r="J187" s="102" t="s">
        <v>26</v>
      </c>
      <c r="L187" s="229" t="s">
        <v>6989</v>
      </c>
      <c r="M187" s="229" t="s">
        <v>6985</v>
      </c>
      <c r="N187" s="229" t="s">
        <v>6990</v>
      </c>
      <c r="O187" s="102">
        <v>5.0</v>
      </c>
      <c r="P187" s="102" t="s">
        <v>6991</v>
      </c>
      <c r="T187" s="102">
        <v>0.0</v>
      </c>
      <c r="U187" s="230" t="str">
        <f>IF(ISNUMBER(MATCH(B187, 'Sprint 12'!B:B, 0)), "มาจาก Sprint 12", "")</f>
        <v>มาจาก Sprint 12</v>
      </c>
      <c r="V187" s="230" t="str">
        <f t="array" ref="V187">IF(ISNUMBER(MATCH(B187, 'Sprint 12'!B:B, 0)), INDEX('Sprint 12'!J:J, MATCH(B187, 'Sprint 12'!B:B, 0)), "")</f>
        <v>Ready To Test</v>
      </c>
      <c r="W187" s="102">
        <v>57600.0</v>
      </c>
      <c r="X187" s="102" t="s">
        <v>6448</v>
      </c>
      <c r="Y187" s="102" t="s">
        <v>6449</v>
      </c>
      <c r="Z187" s="102" t="s">
        <v>6450</v>
      </c>
      <c r="AA187" s="102" t="s">
        <v>5901</v>
      </c>
      <c r="AB187" s="102" t="s">
        <v>2205</v>
      </c>
      <c r="AC187" s="102" t="s">
        <v>2196</v>
      </c>
    </row>
    <row r="188">
      <c r="A188" s="102" t="s">
        <v>310</v>
      </c>
      <c r="B188" s="102" t="s">
        <v>6992</v>
      </c>
      <c r="C188" s="229" t="s">
        <v>6993</v>
      </c>
      <c r="D188" s="102" t="s">
        <v>6994</v>
      </c>
      <c r="E188" s="102" t="s">
        <v>314</v>
      </c>
      <c r="F188" s="102" t="s">
        <v>315</v>
      </c>
      <c r="G188" s="102" t="s">
        <v>353</v>
      </c>
      <c r="H188" s="102" t="s">
        <v>354</v>
      </c>
      <c r="I188" s="102" t="s">
        <v>284</v>
      </c>
      <c r="J188" s="102" t="s">
        <v>26</v>
      </c>
      <c r="L188" s="229" t="s">
        <v>6995</v>
      </c>
      <c r="M188" s="229" t="s">
        <v>6968</v>
      </c>
      <c r="O188" s="102">
        <v>3.0</v>
      </c>
      <c r="P188" s="102" t="s">
        <v>593</v>
      </c>
      <c r="T188" s="102">
        <v>0.0</v>
      </c>
      <c r="U188" s="230" t="str">
        <f>IF(ISNUMBER(MATCH(B188, 'Sprint 12'!B:B, 0)), "มาจาก Sprint 12", "")</f>
        <v>มาจาก Sprint 12</v>
      </c>
      <c r="V188" s="230" t="str">
        <f t="array" ref="V188">IF(ISNUMBER(MATCH(B188, 'Sprint 12'!B:B, 0)), INDEX('Sprint 12'!J:J, MATCH(B188, 'Sprint 12'!B:B, 0)), "")</f>
        <v>Ready To Test</v>
      </c>
      <c r="W188" s="102">
        <v>10800.0</v>
      </c>
      <c r="X188" s="102" t="s">
        <v>6448</v>
      </c>
      <c r="Y188" s="102" t="s">
        <v>6449</v>
      </c>
      <c r="Z188" s="102" t="s">
        <v>6450</v>
      </c>
      <c r="AA188" s="102" t="s">
        <v>5901</v>
      </c>
      <c r="AB188" s="102" t="s">
        <v>2205</v>
      </c>
      <c r="AC188" s="102" t="s">
        <v>2196</v>
      </c>
    </row>
    <row r="189">
      <c r="A189" s="102" t="s">
        <v>310</v>
      </c>
      <c r="B189" s="102" t="s">
        <v>6996</v>
      </c>
      <c r="C189" s="229" t="s">
        <v>6997</v>
      </c>
      <c r="D189" s="102" t="s">
        <v>6998</v>
      </c>
      <c r="E189" s="102" t="s">
        <v>314</v>
      </c>
      <c r="F189" s="102" t="s">
        <v>315</v>
      </c>
      <c r="G189" s="102" t="s">
        <v>353</v>
      </c>
      <c r="H189" s="102" t="s">
        <v>354</v>
      </c>
      <c r="I189" s="102" t="s">
        <v>284</v>
      </c>
      <c r="J189" s="102" t="s">
        <v>26</v>
      </c>
      <c r="L189" s="229" t="s">
        <v>6995</v>
      </c>
      <c r="M189" s="229" t="s">
        <v>6999</v>
      </c>
      <c r="O189" s="102">
        <v>3.0</v>
      </c>
      <c r="P189" s="102" t="s">
        <v>593</v>
      </c>
      <c r="Q189" s="102" t="s">
        <v>6991</v>
      </c>
      <c r="T189" s="102">
        <v>0.0</v>
      </c>
      <c r="U189" s="230" t="str">
        <f>IF(ISNUMBER(MATCH(B189, 'Sprint 12'!B:B, 0)), "มาจาก Sprint 12", "")</f>
        <v>มาจาก Sprint 12</v>
      </c>
      <c r="V189" s="230" t="str">
        <f t="array" ref="V189">IF(ISNUMBER(MATCH(B189, 'Sprint 12'!B:B, 0)), INDEX('Sprint 12'!J:J, MATCH(B189, 'Sprint 12'!B:B, 0)), "")</f>
        <v>Ready To Test</v>
      </c>
      <c r="W189" s="102">
        <v>10800.0</v>
      </c>
      <c r="X189" s="102" t="s">
        <v>6448</v>
      </c>
      <c r="Y189" s="102" t="s">
        <v>6449</v>
      </c>
      <c r="Z189" s="102" t="s">
        <v>6450</v>
      </c>
      <c r="AA189" s="102" t="s">
        <v>5901</v>
      </c>
      <c r="AB189" s="102" t="s">
        <v>2205</v>
      </c>
      <c r="AC189" s="102" t="s">
        <v>2196</v>
      </c>
    </row>
    <row r="190">
      <c r="A190" s="102" t="s">
        <v>332</v>
      </c>
      <c r="B190" s="102" t="s">
        <v>6443</v>
      </c>
      <c r="C190" s="229" t="s">
        <v>6444</v>
      </c>
      <c r="D190" s="102" t="s">
        <v>6445</v>
      </c>
      <c r="E190" s="102" t="s">
        <v>353</v>
      </c>
      <c r="F190" s="102" t="s">
        <v>354</v>
      </c>
      <c r="G190" s="102" t="s">
        <v>521</v>
      </c>
      <c r="H190" s="102" t="s">
        <v>522</v>
      </c>
      <c r="I190" s="102" t="s">
        <v>284</v>
      </c>
      <c r="J190" s="102" t="s">
        <v>1075</v>
      </c>
      <c r="L190" s="229" t="s">
        <v>6446</v>
      </c>
      <c r="M190" s="229" t="s">
        <v>6140</v>
      </c>
      <c r="O190" s="230"/>
      <c r="T190" s="230"/>
      <c r="U190" s="230" t="str">
        <f>IF(ISNUMBER(MATCH(B190, 'Sprint 12'!B:B, 0)), "มาจาก Sprint 12", "")</f>
        <v>มาจาก Sprint 12</v>
      </c>
      <c r="V190" s="230" t="str">
        <f t="array" ref="V190">IF(ISNUMBER(MATCH(B190, 'Sprint 12'!B:B, 0)), INDEX('Sprint 12'!J:J, MATCH(B190, 'Sprint 12'!B:B, 0)), "")</f>
        <v>Open</v>
      </c>
      <c r="W190" s="230"/>
      <c r="X190" s="102" t="s">
        <v>6448</v>
      </c>
      <c r="Y190" s="102" t="s">
        <v>6449</v>
      </c>
      <c r="Z190" s="102" t="s">
        <v>6450</v>
      </c>
      <c r="AA190" s="102" t="s">
        <v>5901</v>
      </c>
      <c r="AB190" s="102" t="s">
        <v>2205</v>
      </c>
      <c r="AC190" s="102" t="s">
        <v>2196</v>
      </c>
      <c r="AD190" s="102" t="s">
        <v>2185</v>
      </c>
    </row>
    <row r="191">
      <c r="A191" s="102" t="s">
        <v>310</v>
      </c>
      <c r="B191" s="102" t="s">
        <v>5914</v>
      </c>
      <c r="C191" s="229" t="s">
        <v>5915</v>
      </c>
      <c r="D191" s="102" t="s">
        <v>5916</v>
      </c>
      <c r="E191" s="102" t="s">
        <v>584</v>
      </c>
      <c r="F191" s="102" t="s">
        <v>585</v>
      </c>
      <c r="G191" s="102" t="s">
        <v>353</v>
      </c>
      <c r="H191" s="102" t="s">
        <v>354</v>
      </c>
      <c r="I191" s="102" t="s">
        <v>284</v>
      </c>
      <c r="J191" s="102" t="s">
        <v>454</v>
      </c>
      <c r="L191" s="229" t="s">
        <v>5917</v>
      </c>
      <c r="M191" s="229" t="s">
        <v>6804</v>
      </c>
      <c r="N191" s="229" t="s">
        <v>5918</v>
      </c>
      <c r="O191" s="102">
        <v>3.0</v>
      </c>
      <c r="T191" s="102">
        <v>0.0</v>
      </c>
      <c r="U191" s="230" t="str">
        <f>IF(ISNUMBER(MATCH(B191, 'Sprint 12'!B:B, 0)), "มาจาก Sprint 12", "")</f>
        <v>มาจาก Sprint 12</v>
      </c>
      <c r="V191" s="230" t="str">
        <f t="array" ref="V191">IF(ISNUMBER(MATCH(B191, 'Sprint 12'!B:B, 0)), INDEX('Sprint 12'!J:J, MATCH(B191, 'Sprint 12'!B:B, 0)), "")</f>
        <v>Ready To Test</v>
      </c>
      <c r="W191" s="102">
        <v>21600.0</v>
      </c>
      <c r="X191" s="102" t="s">
        <v>5919</v>
      </c>
      <c r="Y191" s="102" t="s">
        <v>5920</v>
      </c>
      <c r="Z191" s="102" t="s">
        <v>5913</v>
      </c>
      <c r="AA191" s="102" t="s">
        <v>5901</v>
      </c>
      <c r="AB191" s="102" t="s">
        <v>5896</v>
      </c>
      <c r="AC191" s="102" t="s">
        <v>5837</v>
      </c>
    </row>
    <row r="192">
      <c r="A192" s="102" t="s">
        <v>630</v>
      </c>
      <c r="B192" s="102" t="s">
        <v>1357</v>
      </c>
      <c r="C192" s="229" t="s">
        <v>1358</v>
      </c>
      <c r="D192" s="102" t="s">
        <v>1359</v>
      </c>
      <c r="E192" s="102"/>
      <c r="F192" s="102"/>
      <c r="G192" s="102" t="s">
        <v>314</v>
      </c>
      <c r="H192" s="102" t="s">
        <v>315</v>
      </c>
      <c r="I192" s="102" t="s">
        <v>284</v>
      </c>
      <c r="J192" s="102" t="s">
        <v>63</v>
      </c>
      <c r="L192" s="229" t="s">
        <v>1360</v>
      </c>
      <c r="M192" s="229" t="s">
        <v>6823</v>
      </c>
      <c r="N192" s="102"/>
      <c r="O192" s="102"/>
      <c r="P192" s="102"/>
      <c r="T192" s="102"/>
      <c r="U192" s="230" t="str">
        <f>IF(ISNUMBER(MATCH(B192, 'Sprint 12'!B:B, 0)), "มาจาก Sprint 12", "")</f>
        <v>มาจาก Sprint 12</v>
      </c>
      <c r="V192" s="230" t="str">
        <f t="array" ref="V192">IF(ISNUMBER(MATCH(B192, 'Sprint 12'!B:B, 0)), INDEX('Sprint 12'!J:J, MATCH(B192, 'Sprint 12'!B:B, 0)), "")</f>
        <v>To Do</v>
      </c>
      <c r="W192" s="102"/>
      <c r="X192" s="102" t="s">
        <v>1362</v>
      </c>
      <c r="Y192" s="102" t="s">
        <v>1363</v>
      </c>
      <c r="Z192" s="102" t="s">
        <v>1364</v>
      </c>
      <c r="AA192" s="102" t="s">
        <v>1365</v>
      </c>
      <c r="AB192" s="102" t="s">
        <v>1366</v>
      </c>
      <c r="AC192" s="102" t="s">
        <v>1367</v>
      </c>
    </row>
    <row r="193">
      <c r="A193" s="102" t="s">
        <v>310</v>
      </c>
      <c r="B193" s="102" t="s">
        <v>5921</v>
      </c>
      <c r="C193" s="229" t="s">
        <v>5922</v>
      </c>
      <c r="D193" s="102" t="s">
        <v>5923</v>
      </c>
      <c r="E193" s="102" t="s">
        <v>556</v>
      </c>
      <c r="F193" s="102" t="s">
        <v>557</v>
      </c>
      <c r="G193" s="102" t="s">
        <v>353</v>
      </c>
      <c r="H193" s="102" t="s">
        <v>354</v>
      </c>
      <c r="I193" s="102" t="s">
        <v>284</v>
      </c>
      <c r="J193" s="102" t="s">
        <v>454</v>
      </c>
      <c r="L193" s="229" t="s">
        <v>5924</v>
      </c>
      <c r="M193" s="229" t="s">
        <v>6804</v>
      </c>
      <c r="N193" s="229" t="s">
        <v>5925</v>
      </c>
      <c r="O193" s="102">
        <v>1.0</v>
      </c>
      <c r="P193" s="102"/>
      <c r="T193" s="102"/>
      <c r="U193" s="230" t="str">
        <f>IF(ISNUMBER(MATCH(B193, 'Sprint 12'!B:B, 0)), "มาจาก Sprint 12", "")</f>
        <v>มาจาก Sprint 12</v>
      </c>
      <c r="V193" s="230" t="str">
        <f t="array" ref="V193">IF(ISNUMBER(MATCH(B193, 'Sprint 12'!B:B, 0)), INDEX('Sprint 12'!J:J, MATCH(B193, 'Sprint 12'!B:B, 0)), "")</f>
        <v>Ready To Test</v>
      </c>
      <c r="W193" s="102"/>
      <c r="X193" s="102" t="s">
        <v>5919</v>
      </c>
      <c r="Y193" s="102" t="s">
        <v>5920</v>
      </c>
      <c r="Z193" s="102" t="s">
        <v>5913</v>
      </c>
      <c r="AA193" s="102" t="s">
        <v>5901</v>
      </c>
      <c r="AB193" s="102" t="s">
        <v>5896</v>
      </c>
      <c r="AC193" s="102" t="s">
        <v>5837</v>
      </c>
    </row>
    <row r="194">
      <c r="A194" s="102" t="s">
        <v>310</v>
      </c>
      <c r="B194" s="102" t="s">
        <v>5926</v>
      </c>
      <c r="C194" s="229" t="s">
        <v>5927</v>
      </c>
      <c r="D194" s="102" t="s">
        <v>5928</v>
      </c>
      <c r="E194" s="102" t="s">
        <v>564</v>
      </c>
      <c r="F194" s="102" t="s">
        <v>565</v>
      </c>
      <c r="G194" s="102" t="s">
        <v>353</v>
      </c>
      <c r="H194" s="102" t="s">
        <v>354</v>
      </c>
      <c r="I194" s="102" t="s">
        <v>515</v>
      </c>
      <c r="J194" s="102" t="s">
        <v>454</v>
      </c>
      <c r="L194" s="229" t="s">
        <v>5929</v>
      </c>
      <c r="M194" s="229" t="s">
        <v>6804</v>
      </c>
      <c r="N194" s="229" t="s">
        <v>5925</v>
      </c>
      <c r="O194" s="102">
        <v>3.0</v>
      </c>
      <c r="P194" s="102"/>
      <c r="Q194" s="102"/>
      <c r="T194" s="102">
        <v>0.0</v>
      </c>
      <c r="U194" s="230" t="str">
        <f>IF(ISNUMBER(MATCH(B194, 'Sprint 12'!B:B, 0)), "มาจาก Sprint 12", "")</f>
        <v>มาจาก Sprint 12</v>
      </c>
      <c r="V194" s="230" t="str">
        <f t="array" ref="V194">IF(ISNUMBER(MATCH(B194, 'Sprint 12'!B:B, 0)), INDEX('Sprint 12'!J:J, MATCH(B194, 'Sprint 12'!B:B, 0)), "")</f>
        <v>Ready To Test</v>
      </c>
      <c r="W194" s="102">
        <v>28800.0</v>
      </c>
      <c r="X194" s="102" t="s">
        <v>5919</v>
      </c>
      <c r="Y194" s="102" t="s">
        <v>5920</v>
      </c>
      <c r="Z194" s="102" t="s">
        <v>5913</v>
      </c>
      <c r="AA194" s="102" t="s">
        <v>5901</v>
      </c>
      <c r="AB194" s="102" t="s">
        <v>5896</v>
      </c>
      <c r="AC194" s="102" t="s">
        <v>5837</v>
      </c>
    </row>
    <row r="195">
      <c r="A195" s="102" t="s">
        <v>310</v>
      </c>
      <c r="B195" s="102" t="s">
        <v>5930</v>
      </c>
      <c r="C195" s="229" t="s">
        <v>5931</v>
      </c>
      <c r="D195" s="102" t="s">
        <v>5932</v>
      </c>
      <c r="E195" s="102" t="s">
        <v>556</v>
      </c>
      <c r="F195" s="102" t="s">
        <v>557</v>
      </c>
      <c r="G195" s="102" t="s">
        <v>353</v>
      </c>
      <c r="H195" s="102" t="s">
        <v>354</v>
      </c>
      <c r="I195" s="102" t="s">
        <v>318</v>
      </c>
      <c r="J195" s="102" t="s">
        <v>454</v>
      </c>
      <c r="L195" s="229" t="s">
        <v>5933</v>
      </c>
      <c r="M195" s="229" t="s">
        <v>6804</v>
      </c>
      <c r="N195" s="229" t="s">
        <v>5934</v>
      </c>
      <c r="O195" s="102">
        <v>3.0</v>
      </c>
      <c r="P195" s="102" t="s">
        <v>5912</v>
      </c>
      <c r="T195" s="102">
        <v>0.0</v>
      </c>
      <c r="U195" s="230" t="str">
        <f>IF(ISNUMBER(MATCH(B195, 'Sprint 12'!B:B, 0)), "มาจาก Sprint 12", "")</f>
        <v>มาจาก Sprint 12</v>
      </c>
      <c r="V195" s="230" t="str">
        <f t="array" ref="V195">IF(ISNUMBER(MATCH(B195, 'Sprint 12'!B:B, 0)), INDEX('Sprint 12'!J:J, MATCH(B195, 'Sprint 12'!B:B, 0)), "")</f>
        <v>Ready To Test</v>
      </c>
      <c r="W195" s="102">
        <v>28800.0</v>
      </c>
      <c r="X195" s="102" t="s">
        <v>5919</v>
      </c>
      <c r="Y195" s="102" t="s">
        <v>5920</v>
      </c>
      <c r="Z195" s="102" t="s">
        <v>5913</v>
      </c>
      <c r="AA195" s="102" t="s">
        <v>5901</v>
      </c>
      <c r="AB195" s="102" t="s">
        <v>5896</v>
      </c>
      <c r="AC195" s="102" t="s">
        <v>5837</v>
      </c>
    </row>
    <row r="196">
      <c r="A196" s="102" t="s">
        <v>310</v>
      </c>
      <c r="B196" s="102" t="s">
        <v>6451</v>
      </c>
      <c r="C196" s="229" t="s">
        <v>6452</v>
      </c>
      <c r="D196" s="102" t="s">
        <v>6453</v>
      </c>
      <c r="E196" s="102" t="s">
        <v>556</v>
      </c>
      <c r="F196" s="102" t="s">
        <v>557</v>
      </c>
      <c r="G196" s="102" t="s">
        <v>353</v>
      </c>
      <c r="H196" s="102" t="s">
        <v>354</v>
      </c>
      <c r="I196" s="102" t="s">
        <v>515</v>
      </c>
      <c r="J196" s="102" t="s">
        <v>454</v>
      </c>
      <c r="L196" s="229" t="s">
        <v>6454</v>
      </c>
      <c r="M196" s="229" t="s">
        <v>6804</v>
      </c>
      <c r="N196" s="229" t="s">
        <v>6456</v>
      </c>
      <c r="O196" s="102">
        <v>5.0</v>
      </c>
      <c r="T196" s="102">
        <v>0.0</v>
      </c>
      <c r="U196" s="230" t="str">
        <f>IF(ISNUMBER(MATCH(B196, 'Sprint 12'!B:B, 0)), "มาจาก Sprint 12", "")</f>
        <v>มาจาก Sprint 12</v>
      </c>
      <c r="V196" s="230" t="str">
        <f t="array" ref="V196">IF(ISNUMBER(MATCH(B196, 'Sprint 12'!B:B, 0)), INDEX('Sprint 12'!J:J, MATCH(B196, 'Sprint 12'!B:B, 0)), "")</f>
        <v>Ready To Test</v>
      </c>
      <c r="W196" s="102">
        <v>57600.0</v>
      </c>
      <c r="X196" s="102" t="s">
        <v>5919</v>
      </c>
      <c r="Y196" s="102" t="s">
        <v>5920</v>
      </c>
      <c r="Z196" s="102" t="s">
        <v>5913</v>
      </c>
      <c r="AA196" s="102" t="s">
        <v>5901</v>
      </c>
      <c r="AB196" s="102" t="s">
        <v>5896</v>
      </c>
      <c r="AC196" s="102" t="s">
        <v>5837</v>
      </c>
    </row>
    <row r="197">
      <c r="A197" s="102" t="s">
        <v>310</v>
      </c>
      <c r="B197" s="102" t="s">
        <v>6457</v>
      </c>
      <c r="C197" s="229" t="s">
        <v>6458</v>
      </c>
      <c r="D197" s="102" t="s">
        <v>6459</v>
      </c>
      <c r="E197" s="102" t="s">
        <v>564</v>
      </c>
      <c r="F197" s="102" t="s">
        <v>565</v>
      </c>
      <c r="G197" s="102" t="s">
        <v>353</v>
      </c>
      <c r="H197" s="102" t="s">
        <v>354</v>
      </c>
      <c r="I197" s="102" t="s">
        <v>515</v>
      </c>
      <c r="J197" s="102" t="s">
        <v>454</v>
      </c>
      <c r="L197" s="229" t="s">
        <v>6460</v>
      </c>
      <c r="M197" s="229" t="s">
        <v>6804</v>
      </c>
      <c r="N197" s="229" t="s">
        <v>6456</v>
      </c>
      <c r="O197" s="102">
        <v>2.0</v>
      </c>
      <c r="T197" s="102">
        <v>0.0</v>
      </c>
      <c r="U197" s="230" t="str">
        <f>IF(ISNUMBER(MATCH(B197, 'Sprint 12'!B:B, 0)), "มาจาก Sprint 12", "")</f>
        <v>มาจาก Sprint 12</v>
      </c>
      <c r="V197" s="230" t="str">
        <f t="array" ref="V197">IF(ISNUMBER(MATCH(B197, 'Sprint 12'!B:B, 0)), INDEX('Sprint 12'!J:J, MATCH(B197, 'Sprint 12'!B:B, 0)), "")</f>
        <v>Ready To Test</v>
      </c>
      <c r="W197" s="102">
        <v>7200.0</v>
      </c>
      <c r="X197" s="102" t="s">
        <v>5919</v>
      </c>
      <c r="Y197" s="102" t="s">
        <v>5920</v>
      </c>
      <c r="Z197" s="102" t="s">
        <v>5913</v>
      </c>
      <c r="AA197" s="102" t="s">
        <v>5901</v>
      </c>
      <c r="AB197" s="102" t="s">
        <v>5896</v>
      </c>
      <c r="AC197" s="102" t="s">
        <v>5837</v>
      </c>
    </row>
    <row r="198">
      <c r="A198" s="102" t="s">
        <v>276</v>
      </c>
      <c r="B198" s="102" t="s">
        <v>6462</v>
      </c>
      <c r="C198" s="229" t="s">
        <v>6463</v>
      </c>
      <c r="D198" s="102" t="s">
        <v>4345</v>
      </c>
      <c r="E198" s="102" t="s">
        <v>280</v>
      </c>
      <c r="F198" s="102" t="s">
        <v>281</v>
      </c>
      <c r="G198" s="102" t="s">
        <v>391</v>
      </c>
      <c r="H198" s="102" t="s">
        <v>392</v>
      </c>
      <c r="I198" s="102" t="s">
        <v>284</v>
      </c>
      <c r="J198" s="102" t="s">
        <v>63</v>
      </c>
      <c r="L198" s="229" t="s">
        <v>6464</v>
      </c>
      <c r="M198" s="229" t="s">
        <v>6464</v>
      </c>
      <c r="N198" s="102"/>
      <c r="O198" s="102"/>
      <c r="T198" s="230"/>
      <c r="U198" s="230" t="str">
        <f>IF(ISNUMBER(MATCH(B198, 'Sprint 12'!B:B, 0)), "มาจาก Sprint 12", "")</f>
        <v>มาจาก Sprint 12</v>
      </c>
      <c r="V198" s="230" t="str">
        <f t="array" ref="V198">IF(ISNUMBER(MATCH(B198, 'Sprint 12'!B:B, 0)), INDEX('Sprint 12'!J:J, MATCH(B198, 'Sprint 12'!B:B, 0)), "")</f>
        <v>To Do</v>
      </c>
      <c r="W198" s="230"/>
      <c r="X198" s="102" t="s">
        <v>5944</v>
      </c>
      <c r="Y198" s="102" t="s">
        <v>5919</v>
      </c>
      <c r="Z198" s="102" t="s">
        <v>5920</v>
      </c>
      <c r="AA198" s="102" t="s">
        <v>5913</v>
      </c>
      <c r="AB198" s="102" t="s">
        <v>5901</v>
      </c>
      <c r="AC198" s="102" t="s">
        <v>5896</v>
      </c>
      <c r="AD198" s="102" t="s">
        <v>5837</v>
      </c>
    </row>
    <row r="199">
      <c r="A199" s="102" t="s">
        <v>310</v>
      </c>
      <c r="B199" s="102" t="s">
        <v>6466</v>
      </c>
      <c r="C199" s="229" t="s">
        <v>6467</v>
      </c>
      <c r="D199" s="102" t="s">
        <v>6468</v>
      </c>
      <c r="E199" s="102" t="s">
        <v>304</v>
      </c>
      <c r="F199" s="102" t="s">
        <v>305</v>
      </c>
      <c r="G199" s="102" t="s">
        <v>353</v>
      </c>
      <c r="H199" s="102" t="s">
        <v>354</v>
      </c>
      <c r="I199" s="102" t="s">
        <v>284</v>
      </c>
      <c r="J199" s="102" t="s">
        <v>454</v>
      </c>
      <c r="L199" s="229" t="s">
        <v>6469</v>
      </c>
      <c r="M199" s="229" t="s">
        <v>6804</v>
      </c>
      <c r="N199" s="229" t="s">
        <v>6471</v>
      </c>
      <c r="O199" s="102">
        <v>3.0</v>
      </c>
      <c r="P199" s="102" t="s">
        <v>3197</v>
      </c>
      <c r="Q199" s="102" t="s">
        <v>593</v>
      </c>
      <c r="T199" s="102">
        <v>0.0</v>
      </c>
      <c r="U199" s="230" t="str">
        <f>IF(ISNUMBER(MATCH(B199, 'Sprint 12'!B:B, 0)), "มาจาก Sprint 12", "")</f>
        <v>มาจาก Sprint 12</v>
      </c>
      <c r="V199" s="230" t="str">
        <f t="array" ref="V199">IF(ISNUMBER(MATCH(B199, 'Sprint 12'!B:B, 0)), INDEX('Sprint 12'!J:J, MATCH(B199, 'Sprint 12'!B:B, 0)), "")</f>
        <v>Ready To Test</v>
      </c>
      <c r="W199" s="102">
        <v>18000.0</v>
      </c>
      <c r="X199" s="102" t="s">
        <v>5944</v>
      </c>
      <c r="Y199" s="102" t="s">
        <v>5919</v>
      </c>
      <c r="Z199" s="102" t="s">
        <v>5920</v>
      </c>
      <c r="AA199" s="102" t="s">
        <v>5913</v>
      </c>
      <c r="AB199" s="102" t="s">
        <v>5901</v>
      </c>
      <c r="AC199" s="102" t="s">
        <v>5896</v>
      </c>
      <c r="AD199" s="102" t="s">
        <v>5837</v>
      </c>
    </row>
    <row r="200">
      <c r="A200" s="102" t="s">
        <v>310</v>
      </c>
      <c r="B200" s="102" t="s">
        <v>6472</v>
      </c>
      <c r="C200" s="229" t="s">
        <v>6473</v>
      </c>
      <c r="D200" s="102" t="s">
        <v>6474</v>
      </c>
      <c r="E200" s="102" t="s">
        <v>282</v>
      </c>
      <c r="F200" s="102" t="s">
        <v>283</v>
      </c>
      <c r="G200" s="102" t="s">
        <v>282</v>
      </c>
      <c r="H200" s="102" t="s">
        <v>283</v>
      </c>
      <c r="I200" s="102" t="s">
        <v>284</v>
      </c>
      <c r="J200" s="102" t="s">
        <v>454</v>
      </c>
      <c r="L200" s="229" t="s">
        <v>6475</v>
      </c>
      <c r="M200" s="229" t="s">
        <v>6804</v>
      </c>
      <c r="N200" s="102"/>
      <c r="O200" s="102">
        <v>0.0</v>
      </c>
      <c r="P200" s="102"/>
      <c r="T200" s="102"/>
      <c r="U200" s="230" t="str">
        <f>IF(ISNUMBER(MATCH(B200, 'Sprint 12'!B:B, 0)), "มาจาก Sprint 12", "")</f>
        <v>มาจาก Sprint 12</v>
      </c>
      <c r="V200" s="230" t="str">
        <f t="array" ref="V200">IF(ISNUMBER(MATCH(B200, 'Sprint 12'!B:B, 0)), INDEX('Sprint 12'!J:J, MATCH(B200, 'Sprint 12'!B:B, 0)), "")</f>
        <v>Ready To Test</v>
      </c>
      <c r="W200" s="102"/>
      <c r="X200" s="102" t="s">
        <v>5944</v>
      </c>
      <c r="Y200" s="102" t="s">
        <v>5919</v>
      </c>
      <c r="Z200" s="102" t="s">
        <v>5920</v>
      </c>
      <c r="AA200" s="102" t="s">
        <v>5913</v>
      </c>
      <c r="AB200" s="102" t="s">
        <v>5901</v>
      </c>
      <c r="AC200" s="102" t="s">
        <v>5896</v>
      </c>
      <c r="AD200" s="102" t="s">
        <v>5837</v>
      </c>
    </row>
    <row r="201">
      <c r="A201" s="102" t="s">
        <v>310</v>
      </c>
      <c r="B201" s="102" t="s">
        <v>4962</v>
      </c>
      <c r="C201" s="229" t="s">
        <v>4963</v>
      </c>
      <c r="D201" s="102" t="s">
        <v>4964</v>
      </c>
      <c r="E201" s="102" t="s">
        <v>556</v>
      </c>
      <c r="F201" s="102" t="s">
        <v>557</v>
      </c>
      <c r="G201" s="102" t="s">
        <v>353</v>
      </c>
      <c r="H201" s="102" t="s">
        <v>354</v>
      </c>
      <c r="I201" s="102" t="s">
        <v>284</v>
      </c>
      <c r="J201" s="102" t="s">
        <v>454</v>
      </c>
      <c r="L201" s="229" t="s">
        <v>4965</v>
      </c>
      <c r="M201" s="229" t="s">
        <v>6910</v>
      </c>
      <c r="N201" s="229" t="s">
        <v>4966</v>
      </c>
      <c r="O201" s="102">
        <v>1.0</v>
      </c>
      <c r="T201" s="102">
        <v>0.0</v>
      </c>
      <c r="U201" s="230" t="str">
        <f>IF(ISNUMBER(MATCH(B201, 'Sprint 12'!B:B, 0)), "มาจาก Sprint 12", "")</f>
        <v>มาจาก Sprint 12</v>
      </c>
      <c r="V201" s="230" t="str">
        <f t="array" ref="V201">IF(ISNUMBER(MATCH(B201, 'Sprint 12'!B:B, 0)), INDEX('Sprint 12'!J:J, MATCH(B201, 'Sprint 12'!B:B, 0)), "")</f>
        <v>Ready To Test</v>
      </c>
      <c r="W201" s="102">
        <v>7200.0</v>
      </c>
      <c r="X201" s="102" t="s">
        <v>4967</v>
      </c>
      <c r="Y201" s="102" t="s">
        <v>4968</v>
      </c>
      <c r="Z201" s="102" t="s">
        <v>4960</v>
      </c>
      <c r="AA201" s="102" t="s">
        <v>4961</v>
      </c>
      <c r="AB201" s="102" t="s">
        <v>4953</v>
      </c>
      <c r="AC201" s="102" t="s">
        <v>4954</v>
      </c>
      <c r="AD201" s="102" t="s">
        <v>4919</v>
      </c>
    </row>
    <row r="202">
      <c r="A202" s="102" t="s">
        <v>310</v>
      </c>
      <c r="B202" s="102" t="s">
        <v>5940</v>
      </c>
      <c r="C202" s="229" t="s">
        <v>5941</v>
      </c>
      <c r="D202" s="102" t="s">
        <v>5942</v>
      </c>
      <c r="E202" s="102" t="s">
        <v>513</v>
      </c>
      <c r="F202" s="102" t="s">
        <v>514</v>
      </c>
      <c r="G202" s="102" t="s">
        <v>282</v>
      </c>
      <c r="H202" s="102" t="s">
        <v>283</v>
      </c>
      <c r="I202" s="102" t="s">
        <v>284</v>
      </c>
      <c r="J202" s="102" t="s">
        <v>454</v>
      </c>
      <c r="L202" s="229" t="s">
        <v>5943</v>
      </c>
      <c r="M202" s="229" t="s">
        <v>6804</v>
      </c>
      <c r="N202" s="102"/>
      <c r="O202" s="102">
        <v>3.0</v>
      </c>
      <c r="T202" s="102">
        <v>0.0</v>
      </c>
      <c r="U202" s="230" t="str">
        <f>IF(ISNUMBER(MATCH(B202, 'Sprint 12'!B:B, 0)), "มาจาก Sprint 12", "")</f>
        <v>มาจาก Sprint 12</v>
      </c>
      <c r="V202" s="230" t="str">
        <f t="array" ref="V202">IF(ISNUMBER(MATCH(B202, 'Sprint 12'!B:B, 0)), INDEX('Sprint 12'!J:J, MATCH(B202, 'Sprint 12'!B:B, 0)), "")</f>
        <v>Ready To Test</v>
      </c>
      <c r="W202" s="102">
        <v>28800.0</v>
      </c>
      <c r="X202" s="102" t="s">
        <v>5944</v>
      </c>
      <c r="Y202" s="102" t="s">
        <v>5919</v>
      </c>
      <c r="Z202" s="102" t="s">
        <v>5920</v>
      </c>
      <c r="AA202" s="102" t="s">
        <v>5913</v>
      </c>
      <c r="AB202" s="102" t="s">
        <v>5901</v>
      </c>
      <c r="AC202" s="102" t="s">
        <v>5896</v>
      </c>
      <c r="AD202" s="102" t="s">
        <v>5837</v>
      </c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L203" s="102"/>
      <c r="M203" s="102"/>
      <c r="O203" s="230"/>
      <c r="T203" s="230"/>
      <c r="U203" s="230"/>
      <c r="V203" s="230"/>
      <c r="W203" s="230"/>
      <c r="X203" s="102"/>
      <c r="Y203" s="102"/>
      <c r="Z203" s="102"/>
      <c r="AA203" s="102"/>
      <c r="AB203" s="102"/>
      <c r="AC203" s="102"/>
      <c r="AD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L204" s="102"/>
      <c r="M204" s="102"/>
      <c r="N204" s="102"/>
      <c r="O204" s="102"/>
      <c r="P204" s="102"/>
      <c r="Q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L205" s="102"/>
      <c r="M205" s="102"/>
      <c r="O205" s="102"/>
      <c r="T205" s="230"/>
      <c r="U205" s="230"/>
      <c r="V205" s="230"/>
      <c r="W205" s="230"/>
      <c r="X205" s="102"/>
      <c r="Y205" s="102"/>
      <c r="Z205" s="102"/>
      <c r="AA205" s="102"/>
      <c r="AB205" s="102"/>
      <c r="AC205" s="102"/>
      <c r="AD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L206" s="102"/>
      <c r="M206" s="102"/>
      <c r="N206" s="102"/>
      <c r="O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L207" s="102"/>
      <c r="M207" s="102"/>
      <c r="O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</row>
    <row r="208">
      <c r="O208" s="230"/>
      <c r="T208" s="230"/>
      <c r="U208" s="230"/>
      <c r="V208" s="230"/>
      <c r="W208" s="230"/>
    </row>
    <row r="209">
      <c r="O209" s="230"/>
      <c r="T209" s="230"/>
      <c r="U209" s="230"/>
      <c r="V209" s="230"/>
      <c r="W209" s="230"/>
    </row>
    <row r="210">
      <c r="O210" s="230"/>
      <c r="T210" s="230"/>
      <c r="U210" s="230"/>
      <c r="V210" s="230"/>
      <c r="W210" s="230"/>
    </row>
    <row r="211">
      <c r="O211" s="230"/>
      <c r="T211" s="230"/>
      <c r="U211" s="230"/>
      <c r="V211" s="230"/>
      <c r="W211" s="230"/>
    </row>
    <row r="212">
      <c r="O212" s="230"/>
      <c r="T212" s="230"/>
      <c r="U212" s="230"/>
      <c r="V212" s="230"/>
      <c r="W212" s="230"/>
    </row>
    <row r="213">
      <c r="O213" s="230"/>
      <c r="T213" s="230"/>
      <c r="U213" s="230"/>
      <c r="V213" s="230"/>
      <c r="W213" s="230"/>
    </row>
    <row r="214">
      <c r="O214" s="230"/>
      <c r="T214" s="230"/>
      <c r="U214" s="230"/>
      <c r="V214" s="230"/>
      <c r="W214" s="230"/>
    </row>
    <row r="215">
      <c r="O215" s="230"/>
      <c r="T215" s="230"/>
      <c r="U215" s="230"/>
      <c r="V215" s="230"/>
      <c r="W215" s="230"/>
    </row>
    <row r="216">
      <c r="O216" s="230"/>
      <c r="T216" s="230"/>
      <c r="U216" s="230"/>
      <c r="V216" s="230"/>
      <c r="W216" s="230"/>
    </row>
    <row r="217">
      <c r="O217" s="230"/>
      <c r="T217" s="230"/>
      <c r="U217" s="230"/>
      <c r="V217" s="230"/>
      <c r="W217" s="230"/>
    </row>
    <row r="218">
      <c r="O218" s="230"/>
      <c r="T218" s="230"/>
      <c r="U218" s="230"/>
      <c r="V218" s="230"/>
      <c r="W218" s="230"/>
    </row>
    <row r="219">
      <c r="O219" s="230"/>
      <c r="T219" s="230"/>
      <c r="U219" s="230"/>
      <c r="V219" s="230"/>
      <c r="W219" s="230"/>
    </row>
    <row r="220">
      <c r="O220" s="230"/>
      <c r="T220" s="230"/>
      <c r="U220" s="230"/>
      <c r="V220" s="230"/>
      <c r="W220" s="230"/>
    </row>
    <row r="221">
      <c r="O221" s="230"/>
      <c r="T221" s="230"/>
      <c r="U221" s="230"/>
      <c r="V221" s="230"/>
      <c r="W221" s="230"/>
    </row>
    <row r="222">
      <c r="O222" s="230"/>
      <c r="T222" s="230"/>
      <c r="U222" s="230"/>
      <c r="V222" s="230"/>
      <c r="W222" s="230"/>
    </row>
    <row r="223">
      <c r="O223" s="230"/>
      <c r="T223" s="230"/>
      <c r="U223" s="230"/>
      <c r="V223" s="230"/>
      <c r="W223" s="230"/>
    </row>
    <row r="224">
      <c r="O224" s="230"/>
      <c r="T224" s="230"/>
      <c r="U224" s="230"/>
      <c r="V224" s="230"/>
      <c r="W224" s="230"/>
    </row>
    <row r="225">
      <c r="O225" s="230"/>
      <c r="T225" s="230"/>
      <c r="U225" s="230"/>
      <c r="V225" s="230"/>
      <c r="W225" s="230"/>
    </row>
    <row r="226">
      <c r="O226" s="230"/>
      <c r="T226" s="230"/>
      <c r="U226" s="230"/>
      <c r="V226" s="230"/>
      <c r="W226" s="230"/>
    </row>
    <row r="227">
      <c r="O227" s="230"/>
      <c r="T227" s="230"/>
      <c r="U227" s="230"/>
      <c r="V227" s="230"/>
      <c r="W227" s="230"/>
    </row>
    <row r="228">
      <c r="O228" s="230"/>
      <c r="T228" s="230"/>
      <c r="U228" s="230"/>
      <c r="V228" s="230"/>
      <c r="W228" s="230"/>
    </row>
    <row r="229">
      <c r="O229" s="230"/>
      <c r="T229" s="230"/>
      <c r="U229" s="230"/>
      <c r="V229" s="230"/>
      <c r="W229" s="230"/>
    </row>
    <row r="230">
      <c r="O230" s="230"/>
      <c r="T230" s="230"/>
      <c r="U230" s="230"/>
      <c r="V230" s="230"/>
      <c r="W230" s="230"/>
    </row>
    <row r="231">
      <c r="O231" s="230"/>
      <c r="T231" s="230"/>
      <c r="U231" s="230"/>
      <c r="V231" s="230"/>
      <c r="W231" s="230"/>
    </row>
    <row r="232">
      <c r="O232" s="230"/>
      <c r="T232" s="230"/>
      <c r="U232" s="230"/>
      <c r="V232" s="230"/>
      <c r="W232" s="230"/>
    </row>
    <row r="233">
      <c r="O233" s="230"/>
      <c r="T233" s="230"/>
      <c r="U233" s="230"/>
      <c r="V233" s="230"/>
      <c r="W233" s="230"/>
    </row>
    <row r="234">
      <c r="O234" s="230"/>
      <c r="T234" s="230"/>
      <c r="U234" s="230"/>
      <c r="V234" s="230"/>
      <c r="W234" s="230"/>
    </row>
    <row r="235">
      <c r="O235" s="230"/>
      <c r="T235" s="230"/>
      <c r="U235" s="230"/>
      <c r="V235" s="230"/>
      <c r="W235" s="230"/>
    </row>
    <row r="236">
      <c r="O236" s="230"/>
      <c r="T236" s="230"/>
      <c r="U236" s="230"/>
      <c r="V236" s="230"/>
      <c r="W236" s="230"/>
    </row>
    <row r="237">
      <c r="O237" s="230"/>
      <c r="T237" s="230"/>
      <c r="U237" s="230"/>
      <c r="V237" s="230"/>
      <c r="W237" s="230"/>
    </row>
    <row r="238">
      <c r="O238" s="230"/>
      <c r="T238" s="230"/>
      <c r="U238" s="230"/>
      <c r="V238" s="230"/>
      <c r="W238" s="230"/>
    </row>
    <row r="239">
      <c r="O239" s="230"/>
      <c r="T239" s="230"/>
      <c r="U239" s="230"/>
      <c r="V239" s="230"/>
      <c r="W239" s="230"/>
    </row>
    <row r="240">
      <c r="O240" s="230"/>
      <c r="T240" s="230"/>
      <c r="U240" s="230"/>
      <c r="V240" s="230"/>
      <c r="W240" s="230"/>
    </row>
    <row r="241">
      <c r="O241" s="230"/>
      <c r="T241" s="230"/>
      <c r="U241" s="230"/>
      <c r="V241" s="230"/>
      <c r="W241" s="230"/>
    </row>
    <row r="242">
      <c r="O242" s="230"/>
      <c r="T242" s="230"/>
      <c r="U242" s="230"/>
      <c r="V242" s="230"/>
      <c r="W242" s="230"/>
    </row>
    <row r="243">
      <c r="O243" s="230"/>
      <c r="T243" s="230"/>
      <c r="U243" s="230"/>
      <c r="V243" s="230"/>
      <c r="W243" s="230"/>
    </row>
    <row r="244">
      <c r="O244" s="230"/>
      <c r="T244" s="230"/>
      <c r="U244" s="230"/>
      <c r="V244" s="230"/>
      <c r="W244" s="230"/>
    </row>
    <row r="245">
      <c r="O245" s="230"/>
      <c r="T245" s="230"/>
      <c r="U245" s="230"/>
      <c r="V245" s="230"/>
      <c r="W245" s="230"/>
    </row>
    <row r="246">
      <c r="O246" s="230"/>
      <c r="T246" s="230"/>
      <c r="U246" s="230"/>
      <c r="V246" s="230"/>
      <c r="W246" s="230"/>
    </row>
    <row r="247">
      <c r="O247" s="230"/>
      <c r="S247" s="230"/>
      <c r="T247" s="230"/>
      <c r="U247" s="230"/>
      <c r="V247" s="230"/>
      <c r="W247" s="230"/>
      <c r="X247" s="230"/>
      <c r="Y247" s="230"/>
      <c r="Z247" s="230"/>
      <c r="AA247" s="230"/>
    </row>
    <row r="248">
      <c r="O248" s="230"/>
      <c r="S248" s="230"/>
      <c r="T248" s="230"/>
      <c r="U248" s="230"/>
      <c r="V248" s="230"/>
      <c r="W248" s="230"/>
      <c r="X248" s="230"/>
      <c r="Y248" s="230"/>
      <c r="Z248" s="230"/>
      <c r="AA248" s="230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L249" s="102"/>
      <c r="M249" s="102"/>
      <c r="N249" s="102"/>
      <c r="O249" s="102"/>
      <c r="P249" s="102"/>
      <c r="R249" s="230"/>
      <c r="S249" s="230"/>
      <c r="T249" s="102"/>
      <c r="U249" s="102"/>
      <c r="V249" s="102"/>
      <c r="W249" s="102"/>
      <c r="X249" s="230"/>
      <c r="Y249" s="230"/>
      <c r="Z249" s="230"/>
      <c r="AA249" s="230"/>
      <c r="AB249" s="230"/>
      <c r="AC249" s="230"/>
      <c r="AD249" s="102"/>
      <c r="AE249" s="102"/>
      <c r="AF249" s="230"/>
      <c r="AG249" s="230"/>
      <c r="AH249" s="230"/>
      <c r="AI249" s="230"/>
      <c r="AJ249" s="230"/>
      <c r="AK249" s="230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L250" s="102"/>
      <c r="M250" s="102"/>
      <c r="O250" s="102"/>
      <c r="P250" s="102"/>
      <c r="R250" s="230"/>
      <c r="S250" s="102"/>
      <c r="T250" s="102"/>
      <c r="U250" s="102"/>
      <c r="V250" s="102"/>
      <c r="W250" s="102"/>
      <c r="X250" s="230"/>
      <c r="Y250" s="230"/>
      <c r="Z250" s="230"/>
      <c r="AA250" s="230"/>
      <c r="AB250" s="230"/>
      <c r="AC250" s="230"/>
      <c r="AD250" s="102"/>
      <c r="AE250" s="102"/>
      <c r="AF250" s="230"/>
      <c r="AG250" s="230"/>
      <c r="AH250" s="230"/>
      <c r="AI250" s="230"/>
      <c r="AJ250" s="230"/>
      <c r="AK250" s="230"/>
    </row>
    <row r="251">
      <c r="O251" s="230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  <c r="AD251" s="230"/>
      <c r="AE251" s="230"/>
      <c r="AF251" s="230"/>
      <c r="AG251" s="230"/>
      <c r="AH251" s="230"/>
      <c r="AI251" s="230"/>
      <c r="AJ251" s="230"/>
      <c r="AK251" s="230"/>
    </row>
    <row r="252">
      <c r="O252" s="230"/>
      <c r="R252" s="230"/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  <c r="AC252" s="230"/>
      <c r="AD252" s="230"/>
      <c r="AE252" s="230"/>
      <c r="AF252" s="230"/>
      <c r="AG252" s="230"/>
      <c r="AH252" s="230"/>
      <c r="AI252" s="230"/>
      <c r="AJ252" s="230"/>
      <c r="AK252" s="230"/>
    </row>
    <row r="253">
      <c r="O253" s="230"/>
      <c r="R253" s="230"/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  <c r="AC253" s="230"/>
      <c r="AD253" s="230"/>
      <c r="AE253" s="230"/>
      <c r="AF253" s="230"/>
      <c r="AG253" s="230"/>
      <c r="AH253" s="230"/>
      <c r="AI253" s="230"/>
      <c r="AJ253" s="230"/>
      <c r="AK253" s="230"/>
    </row>
    <row r="254">
      <c r="O254" s="230"/>
      <c r="R254" s="230"/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  <c r="AC254" s="230"/>
      <c r="AD254" s="230"/>
      <c r="AE254" s="230"/>
      <c r="AF254" s="230"/>
      <c r="AG254" s="230"/>
      <c r="AH254" s="230"/>
      <c r="AI254" s="230"/>
      <c r="AJ254" s="230"/>
      <c r="AK254" s="230"/>
    </row>
    <row r="255">
      <c r="O255" s="230"/>
      <c r="R255" s="230"/>
      <c r="S255" s="230"/>
      <c r="T255" s="230"/>
      <c r="U255" s="230"/>
      <c r="V255" s="230"/>
      <c r="W255" s="230"/>
      <c r="X255" s="230"/>
      <c r="Y255" s="230"/>
      <c r="Z255" s="230"/>
      <c r="AA255" s="230"/>
      <c r="AB255" s="230"/>
      <c r="AC255" s="230"/>
      <c r="AD255" s="230"/>
      <c r="AE255" s="230"/>
      <c r="AF255" s="230"/>
      <c r="AG255" s="230"/>
      <c r="AH255" s="230"/>
      <c r="AI255" s="230"/>
      <c r="AJ255" s="230"/>
      <c r="AK255" s="230"/>
    </row>
    <row r="256">
      <c r="O256" s="230"/>
      <c r="R256" s="230"/>
      <c r="S256" s="230"/>
      <c r="T256" s="230"/>
      <c r="U256" s="230"/>
      <c r="V256" s="230"/>
      <c r="W256" s="230"/>
      <c r="X256" s="230"/>
      <c r="Y256" s="230"/>
      <c r="Z256" s="230"/>
      <c r="AA256" s="230"/>
      <c r="AB256" s="230"/>
      <c r="AC256" s="230"/>
      <c r="AD256" s="230"/>
      <c r="AE256" s="230"/>
      <c r="AF256" s="230"/>
      <c r="AG256" s="230"/>
      <c r="AH256" s="230"/>
      <c r="AI256" s="230"/>
      <c r="AJ256" s="230"/>
      <c r="AK256" s="230"/>
    </row>
    <row r="257">
      <c r="O257" s="230"/>
      <c r="R257" s="230"/>
      <c r="S257" s="230"/>
      <c r="T257" s="230"/>
      <c r="U257" s="230"/>
      <c r="V257" s="230"/>
      <c r="W257" s="230"/>
      <c r="X257" s="230"/>
      <c r="Y257" s="230"/>
      <c r="Z257" s="230"/>
      <c r="AA257" s="230"/>
      <c r="AB257" s="230"/>
      <c r="AC257" s="230"/>
      <c r="AD257" s="230"/>
      <c r="AE257" s="230"/>
      <c r="AF257" s="230"/>
      <c r="AG257" s="230"/>
      <c r="AH257" s="230"/>
      <c r="AI257" s="230"/>
      <c r="AJ257" s="230"/>
      <c r="AK257" s="230"/>
    </row>
    <row r="258">
      <c r="O258" s="230"/>
      <c r="R258" s="230"/>
      <c r="S258" s="230"/>
      <c r="T258" s="230"/>
      <c r="U258" s="230"/>
      <c r="V258" s="230"/>
      <c r="W258" s="230"/>
      <c r="X258" s="230"/>
      <c r="Y258" s="230"/>
      <c r="Z258" s="230"/>
      <c r="AA258" s="230"/>
      <c r="AB258" s="230"/>
      <c r="AC258" s="230"/>
      <c r="AD258" s="230"/>
      <c r="AE258" s="230"/>
      <c r="AF258" s="230"/>
      <c r="AG258" s="230"/>
      <c r="AH258" s="230"/>
      <c r="AI258" s="230"/>
      <c r="AJ258" s="230"/>
      <c r="AK258" s="230"/>
    </row>
    <row r="259">
      <c r="O259" s="230"/>
      <c r="R259" s="230"/>
      <c r="S259" s="230"/>
      <c r="T259" s="230"/>
      <c r="U259" s="230"/>
      <c r="V259" s="230"/>
      <c r="W259" s="230"/>
      <c r="X259" s="230"/>
      <c r="Y259" s="230"/>
      <c r="Z259" s="230"/>
      <c r="AA259" s="230"/>
      <c r="AB259" s="230"/>
      <c r="AC259" s="230"/>
      <c r="AD259" s="230"/>
      <c r="AE259" s="230"/>
      <c r="AF259" s="230"/>
      <c r="AG259" s="230"/>
      <c r="AH259" s="230"/>
      <c r="AI259" s="230"/>
      <c r="AJ259" s="230"/>
      <c r="AK259" s="230"/>
    </row>
    <row r="260">
      <c r="O260" s="230"/>
      <c r="R260" s="230"/>
      <c r="S260" s="230"/>
      <c r="T260" s="230"/>
      <c r="U260" s="230"/>
      <c r="V260" s="230"/>
      <c r="W260" s="230"/>
      <c r="X260" s="230"/>
      <c r="Y260" s="230"/>
      <c r="Z260" s="230"/>
      <c r="AA260" s="230"/>
      <c r="AB260" s="230"/>
      <c r="AC260" s="230"/>
      <c r="AD260" s="230"/>
      <c r="AE260" s="230"/>
      <c r="AF260" s="230"/>
      <c r="AG260" s="230"/>
      <c r="AH260" s="230"/>
      <c r="AI260" s="230"/>
      <c r="AJ260" s="230"/>
      <c r="AK260" s="230"/>
    </row>
    <row r="261">
      <c r="O261" s="230"/>
      <c r="R261" s="230"/>
      <c r="S261" s="230"/>
      <c r="T261" s="230"/>
      <c r="U261" s="230"/>
      <c r="V261" s="230"/>
      <c r="W261" s="230"/>
      <c r="X261" s="230"/>
      <c r="Y261" s="230"/>
      <c r="Z261" s="230"/>
      <c r="AA261" s="230"/>
      <c r="AB261" s="230"/>
      <c r="AC261" s="230"/>
      <c r="AD261" s="230"/>
      <c r="AE261" s="230"/>
      <c r="AF261" s="230"/>
      <c r="AG261" s="230"/>
      <c r="AH261" s="230"/>
      <c r="AI261" s="230"/>
      <c r="AJ261" s="230"/>
      <c r="AK261" s="230"/>
    </row>
    <row r="262">
      <c r="O262" s="230"/>
      <c r="R262" s="230"/>
      <c r="S262" s="230"/>
      <c r="T262" s="230"/>
      <c r="U262" s="230"/>
      <c r="V262" s="230"/>
      <c r="W262" s="230"/>
      <c r="X262" s="230"/>
      <c r="Y262" s="230"/>
      <c r="Z262" s="230"/>
      <c r="AA262" s="230"/>
      <c r="AB262" s="230"/>
      <c r="AC262" s="230"/>
      <c r="AD262" s="230"/>
      <c r="AE262" s="230"/>
      <c r="AF262" s="230"/>
      <c r="AG262" s="230"/>
      <c r="AH262" s="230"/>
      <c r="AI262" s="230"/>
      <c r="AJ262" s="230"/>
      <c r="AK262" s="230"/>
    </row>
    <row r="263">
      <c r="O263" s="230"/>
      <c r="R263" s="230"/>
      <c r="S263" s="230"/>
      <c r="T263" s="230"/>
      <c r="U263" s="230"/>
      <c r="V263" s="230"/>
      <c r="W263" s="230"/>
      <c r="X263" s="230"/>
      <c r="Y263" s="230"/>
      <c r="Z263" s="230"/>
      <c r="AA263" s="230"/>
      <c r="AB263" s="230"/>
      <c r="AC263" s="230"/>
      <c r="AD263" s="230"/>
      <c r="AE263" s="230"/>
      <c r="AF263" s="230"/>
      <c r="AG263" s="230"/>
      <c r="AH263" s="230"/>
      <c r="AI263" s="230"/>
      <c r="AJ263" s="230"/>
      <c r="AK263" s="230"/>
    </row>
    <row r="264">
      <c r="O264" s="230"/>
      <c r="R264" s="230"/>
      <c r="S264" s="230"/>
      <c r="T264" s="230"/>
      <c r="U264" s="230"/>
      <c r="V264" s="230"/>
      <c r="W264" s="230"/>
      <c r="X264" s="230"/>
      <c r="Y264" s="230"/>
      <c r="Z264" s="230"/>
      <c r="AA264" s="230"/>
      <c r="AB264" s="230"/>
      <c r="AC264" s="230"/>
      <c r="AD264" s="230"/>
      <c r="AE264" s="230"/>
      <c r="AF264" s="230"/>
      <c r="AG264" s="230"/>
      <c r="AH264" s="230"/>
      <c r="AI264" s="230"/>
      <c r="AJ264" s="230"/>
      <c r="AK264" s="230"/>
    </row>
    <row r="265">
      <c r="O265" s="230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  <c r="AD265" s="230"/>
      <c r="AE265" s="230"/>
      <c r="AF265" s="230"/>
      <c r="AG265" s="230"/>
      <c r="AH265" s="230"/>
      <c r="AI265" s="230"/>
      <c r="AJ265" s="230"/>
      <c r="AK265" s="230"/>
    </row>
    <row r="266">
      <c r="O266" s="230"/>
      <c r="R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  <c r="AC266" s="230"/>
      <c r="AD266" s="230"/>
      <c r="AE266" s="230"/>
      <c r="AF266" s="230"/>
      <c r="AG266" s="230"/>
      <c r="AH266" s="230"/>
      <c r="AI266" s="230"/>
      <c r="AJ266" s="230"/>
      <c r="AK266" s="230"/>
    </row>
    <row r="267">
      <c r="O267" s="230"/>
      <c r="R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  <c r="AC267" s="230"/>
      <c r="AD267" s="230"/>
      <c r="AE267" s="230"/>
      <c r="AF267" s="230"/>
      <c r="AG267" s="230"/>
      <c r="AH267" s="230"/>
      <c r="AI267" s="230"/>
      <c r="AJ267" s="230"/>
      <c r="AK267" s="230"/>
    </row>
    <row r="268">
      <c r="O268" s="230"/>
      <c r="R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  <c r="AC268" s="230"/>
      <c r="AD268" s="230"/>
      <c r="AE268" s="230"/>
      <c r="AF268" s="230"/>
      <c r="AG268" s="230"/>
      <c r="AH268" s="230"/>
      <c r="AI268" s="230"/>
      <c r="AJ268" s="230"/>
      <c r="AK268" s="230"/>
    </row>
    <row r="269">
      <c r="O269" s="230"/>
      <c r="R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  <c r="AC269" s="230"/>
      <c r="AD269" s="230"/>
      <c r="AE269" s="230"/>
      <c r="AF269" s="230"/>
      <c r="AG269" s="230"/>
      <c r="AH269" s="230"/>
      <c r="AI269" s="230"/>
      <c r="AJ269" s="230"/>
      <c r="AK269" s="230"/>
    </row>
    <row r="270">
      <c r="O270" s="230"/>
      <c r="R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  <c r="AC270" s="230"/>
      <c r="AD270" s="230"/>
      <c r="AE270" s="230"/>
      <c r="AF270" s="230"/>
      <c r="AG270" s="230"/>
      <c r="AH270" s="230"/>
      <c r="AI270" s="230"/>
      <c r="AJ270" s="230"/>
      <c r="AK270" s="230"/>
    </row>
    <row r="271">
      <c r="O271" s="230"/>
      <c r="R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  <c r="AC271" s="230"/>
      <c r="AD271" s="230"/>
      <c r="AE271" s="230"/>
      <c r="AF271" s="230"/>
      <c r="AG271" s="230"/>
      <c r="AH271" s="230"/>
      <c r="AI271" s="230"/>
      <c r="AJ271" s="230"/>
      <c r="AK271" s="230"/>
    </row>
    <row r="272">
      <c r="O272" s="230"/>
      <c r="R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  <c r="AC272" s="230"/>
      <c r="AD272" s="230"/>
      <c r="AE272" s="230"/>
      <c r="AF272" s="230"/>
      <c r="AG272" s="230"/>
      <c r="AH272" s="230"/>
      <c r="AI272" s="230"/>
      <c r="AJ272" s="230"/>
      <c r="AK272" s="230"/>
    </row>
    <row r="273">
      <c r="O273" s="230"/>
      <c r="R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  <c r="AC273" s="230"/>
      <c r="AD273" s="230"/>
      <c r="AE273" s="230"/>
      <c r="AF273" s="230"/>
      <c r="AG273" s="230"/>
      <c r="AH273" s="230"/>
      <c r="AI273" s="230"/>
      <c r="AJ273" s="230"/>
      <c r="AK273" s="230"/>
    </row>
    <row r="274">
      <c r="O274" s="230"/>
      <c r="R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  <c r="AC274" s="230"/>
      <c r="AD274" s="230"/>
      <c r="AE274" s="230"/>
      <c r="AF274" s="230"/>
      <c r="AG274" s="230"/>
      <c r="AH274" s="230"/>
      <c r="AI274" s="230"/>
      <c r="AJ274" s="230"/>
      <c r="AK274" s="230"/>
    </row>
    <row r="275">
      <c r="O275" s="230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  <c r="AF275" s="230"/>
      <c r="AG275" s="230"/>
      <c r="AH275" s="230"/>
      <c r="AI275" s="230"/>
      <c r="AJ275" s="230"/>
      <c r="AK275" s="230"/>
    </row>
    <row r="276">
      <c r="O276" s="230"/>
      <c r="R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  <c r="AC276" s="230"/>
      <c r="AD276" s="230"/>
      <c r="AE276" s="230"/>
      <c r="AF276" s="230"/>
      <c r="AG276" s="230"/>
      <c r="AH276" s="230"/>
      <c r="AI276" s="230"/>
      <c r="AJ276" s="230"/>
      <c r="AK276" s="230"/>
    </row>
    <row r="277">
      <c r="O277" s="230"/>
      <c r="R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  <c r="AC277" s="230"/>
      <c r="AD277" s="230"/>
      <c r="AE277" s="230"/>
      <c r="AF277" s="230"/>
      <c r="AG277" s="230"/>
      <c r="AH277" s="230"/>
      <c r="AI277" s="230"/>
      <c r="AJ277" s="230"/>
      <c r="AK277" s="230"/>
    </row>
    <row r="278">
      <c r="O278" s="230"/>
      <c r="R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  <c r="AC278" s="230"/>
      <c r="AD278" s="230"/>
      <c r="AE278" s="230"/>
      <c r="AF278" s="230"/>
      <c r="AG278" s="230"/>
      <c r="AH278" s="230"/>
      <c r="AI278" s="230"/>
      <c r="AJ278" s="230"/>
      <c r="AK278" s="230"/>
    </row>
    <row r="279">
      <c r="O279" s="230"/>
      <c r="R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  <c r="AC279" s="230"/>
      <c r="AD279" s="230"/>
      <c r="AE279" s="230"/>
      <c r="AF279" s="230"/>
      <c r="AG279" s="230"/>
      <c r="AH279" s="230"/>
      <c r="AI279" s="230"/>
      <c r="AJ279" s="230"/>
      <c r="AK279" s="230"/>
    </row>
    <row r="280">
      <c r="O280" s="230"/>
      <c r="R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  <c r="AC280" s="230"/>
      <c r="AD280" s="230"/>
      <c r="AE280" s="230"/>
      <c r="AF280" s="230"/>
      <c r="AG280" s="230"/>
      <c r="AH280" s="230"/>
      <c r="AI280" s="230"/>
      <c r="AJ280" s="230"/>
      <c r="AK280" s="230"/>
    </row>
    <row r="281">
      <c r="O281" s="230"/>
      <c r="R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  <c r="AC281" s="230"/>
      <c r="AD281" s="230"/>
      <c r="AE281" s="230"/>
      <c r="AF281" s="230"/>
      <c r="AG281" s="230"/>
      <c r="AH281" s="230"/>
      <c r="AI281" s="230"/>
      <c r="AJ281" s="230"/>
      <c r="AK281" s="230"/>
    </row>
    <row r="282">
      <c r="O282" s="230"/>
      <c r="R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  <c r="AC282" s="230"/>
      <c r="AD282" s="230"/>
      <c r="AE282" s="230"/>
      <c r="AF282" s="230"/>
      <c r="AG282" s="230"/>
      <c r="AH282" s="230"/>
      <c r="AI282" s="230"/>
      <c r="AJ282" s="230"/>
      <c r="AK282" s="230"/>
    </row>
    <row r="283">
      <c r="O283" s="230"/>
      <c r="R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  <c r="AC283" s="230"/>
      <c r="AD283" s="230"/>
      <c r="AE283" s="230"/>
      <c r="AF283" s="230"/>
      <c r="AG283" s="230"/>
      <c r="AH283" s="230"/>
      <c r="AI283" s="230"/>
      <c r="AJ283" s="230"/>
      <c r="AK283" s="230"/>
    </row>
    <row r="284">
      <c r="O284" s="230"/>
      <c r="R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  <c r="AC284" s="230"/>
      <c r="AD284" s="230"/>
      <c r="AE284" s="230"/>
      <c r="AF284" s="230"/>
      <c r="AG284" s="230"/>
      <c r="AH284" s="230"/>
      <c r="AI284" s="230"/>
      <c r="AJ284" s="230"/>
      <c r="AK284" s="230"/>
    </row>
    <row r="285">
      <c r="O285" s="230"/>
      <c r="R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  <c r="AC285" s="230"/>
      <c r="AD285" s="230"/>
      <c r="AE285" s="230"/>
      <c r="AF285" s="230"/>
      <c r="AG285" s="230"/>
      <c r="AH285" s="230"/>
      <c r="AI285" s="230"/>
      <c r="AJ285" s="230"/>
      <c r="AK285" s="230"/>
    </row>
    <row r="286">
      <c r="O286" s="230"/>
      <c r="R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  <c r="AC286" s="230"/>
      <c r="AD286" s="230"/>
      <c r="AE286" s="230"/>
      <c r="AF286" s="230"/>
      <c r="AG286" s="230"/>
      <c r="AH286" s="230"/>
      <c r="AI286" s="230"/>
      <c r="AJ286" s="230"/>
      <c r="AK286" s="230"/>
    </row>
    <row r="287">
      <c r="O287" s="230"/>
      <c r="R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  <c r="AD287" s="230"/>
      <c r="AE287" s="230"/>
      <c r="AF287" s="230"/>
      <c r="AG287" s="230"/>
      <c r="AH287" s="230"/>
      <c r="AI287" s="230"/>
      <c r="AJ287" s="230"/>
      <c r="AK287" s="230"/>
    </row>
    <row r="288">
      <c r="O288" s="230"/>
      <c r="R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  <c r="AC288" s="230"/>
      <c r="AD288" s="230"/>
      <c r="AE288" s="230"/>
      <c r="AF288" s="230"/>
      <c r="AG288" s="230"/>
      <c r="AH288" s="230"/>
      <c r="AI288" s="230"/>
      <c r="AJ288" s="230"/>
      <c r="AK288" s="230"/>
    </row>
    <row r="289">
      <c r="O289" s="230"/>
      <c r="R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  <c r="AC289" s="230"/>
      <c r="AD289" s="230"/>
      <c r="AE289" s="230"/>
      <c r="AF289" s="230"/>
      <c r="AG289" s="230"/>
      <c r="AH289" s="230"/>
      <c r="AI289" s="230"/>
      <c r="AJ289" s="230"/>
      <c r="AK289" s="230"/>
    </row>
    <row r="290">
      <c r="O290" s="230"/>
      <c r="R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  <c r="AC290" s="230"/>
      <c r="AD290" s="230"/>
      <c r="AE290" s="230"/>
      <c r="AF290" s="230"/>
      <c r="AG290" s="230"/>
      <c r="AH290" s="230"/>
      <c r="AI290" s="230"/>
      <c r="AJ290" s="230"/>
      <c r="AK290" s="230"/>
    </row>
    <row r="291">
      <c r="O291" s="230"/>
      <c r="R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  <c r="AC291" s="230"/>
      <c r="AD291" s="230"/>
      <c r="AE291" s="230"/>
      <c r="AF291" s="230"/>
      <c r="AG291" s="230"/>
      <c r="AH291" s="230"/>
      <c r="AI291" s="230"/>
      <c r="AJ291" s="230"/>
      <c r="AK291" s="230"/>
    </row>
    <row r="292">
      <c r="O292" s="230"/>
      <c r="R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  <c r="AC292" s="230"/>
      <c r="AD292" s="230"/>
      <c r="AE292" s="230"/>
      <c r="AF292" s="230"/>
      <c r="AG292" s="230"/>
      <c r="AH292" s="230"/>
      <c r="AI292" s="230"/>
      <c r="AJ292" s="230"/>
      <c r="AK292" s="230"/>
    </row>
    <row r="293">
      <c r="O293" s="230"/>
      <c r="R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  <c r="AC293" s="230"/>
      <c r="AD293" s="230"/>
      <c r="AE293" s="230"/>
      <c r="AF293" s="230"/>
      <c r="AG293" s="230"/>
      <c r="AH293" s="230"/>
      <c r="AI293" s="230"/>
      <c r="AJ293" s="230"/>
      <c r="AK293" s="230"/>
    </row>
    <row r="294">
      <c r="O294" s="230"/>
      <c r="R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  <c r="AD294" s="230"/>
      <c r="AE294" s="230"/>
      <c r="AF294" s="230"/>
      <c r="AG294" s="230"/>
      <c r="AH294" s="230"/>
      <c r="AI294" s="230"/>
      <c r="AJ294" s="230"/>
      <c r="AK294" s="230"/>
    </row>
    <row r="295">
      <c r="O295" s="230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  <c r="AF295" s="230"/>
      <c r="AG295" s="230"/>
      <c r="AH295" s="230"/>
      <c r="AI295" s="230"/>
      <c r="AJ295" s="230"/>
      <c r="AK295" s="230"/>
    </row>
    <row r="296">
      <c r="O296" s="230"/>
      <c r="R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  <c r="AD296" s="230"/>
      <c r="AE296" s="230"/>
      <c r="AF296" s="230"/>
      <c r="AG296" s="230"/>
      <c r="AH296" s="230"/>
      <c r="AI296" s="230"/>
      <c r="AJ296" s="230"/>
      <c r="AK296" s="230"/>
    </row>
    <row r="297">
      <c r="O297" s="230"/>
      <c r="R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  <c r="AD297" s="230"/>
      <c r="AE297" s="230"/>
      <c r="AF297" s="230"/>
      <c r="AG297" s="230"/>
      <c r="AH297" s="230"/>
      <c r="AI297" s="230"/>
      <c r="AJ297" s="230"/>
      <c r="AK297" s="230"/>
    </row>
    <row r="298">
      <c r="O298" s="230"/>
      <c r="R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  <c r="AD298" s="230"/>
      <c r="AE298" s="230"/>
      <c r="AF298" s="230"/>
      <c r="AG298" s="230"/>
      <c r="AH298" s="230"/>
      <c r="AI298" s="230"/>
      <c r="AJ298" s="230"/>
      <c r="AK298" s="230"/>
    </row>
    <row r="299">
      <c r="O299" s="230"/>
      <c r="R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  <c r="AD299" s="230"/>
      <c r="AE299" s="230"/>
      <c r="AF299" s="230"/>
      <c r="AG299" s="230"/>
      <c r="AH299" s="230"/>
      <c r="AI299" s="230"/>
      <c r="AJ299" s="230"/>
      <c r="AK299" s="230"/>
    </row>
    <row r="300">
      <c r="O300" s="230"/>
      <c r="R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  <c r="AD300" s="230"/>
      <c r="AE300" s="230"/>
      <c r="AF300" s="230"/>
      <c r="AG300" s="230"/>
      <c r="AH300" s="230"/>
      <c r="AI300" s="230"/>
      <c r="AJ300" s="230"/>
      <c r="AK300" s="230"/>
    </row>
    <row r="301">
      <c r="O301" s="230"/>
      <c r="R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  <c r="AD301" s="230"/>
      <c r="AE301" s="230"/>
      <c r="AF301" s="230"/>
      <c r="AG301" s="230"/>
      <c r="AH301" s="230"/>
      <c r="AI301" s="230"/>
      <c r="AJ301" s="230"/>
      <c r="AK301" s="230"/>
    </row>
    <row r="302">
      <c r="O302" s="230"/>
      <c r="R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  <c r="AD302" s="230"/>
      <c r="AE302" s="230"/>
      <c r="AF302" s="230"/>
      <c r="AG302" s="230"/>
      <c r="AH302" s="230"/>
      <c r="AI302" s="230"/>
      <c r="AJ302" s="230"/>
      <c r="AK302" s="230"/>
    </row>
    <row r="303">
      <c r="O303" s="230"/>
      <c r="R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  <c r="AD303" s="230"/>
      <c r="AE303" s="230"/>
      <c r="AF303" s="230"/>
      <c r="AG303" s="230"/>
      <c r="AH303" s="230"/>
      <c r="AI303" s="230"/>
      <c r="AJ303" s="230"/>
      <c r="AK303" s="230"/>
    </row>
    <row r="304">
      <c r="O304" s="230"/>
      <c r="R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  <c r="AD304" s="230"/>
      <c r="AE304" s="230"/>
      <c r="AF304" s="230"/>
      <c r="AG304" s="230"/>
      <c r="AH304" s="230"/>
      <c r="AI304" s="230"/>
      <c r="AJ304" s="230"/>
      <c r="AK304" s="230"/>
    </row>
    <row r="305">
      <c r="O305" s="230"/>
      <c r="R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  <c r="AD305" s="230"/>
      <c r="AE305" s="230"/>
      <c r="AF305" s="230"/>
      <c r="AG305" s="230"/>
      <c r="AH305" s="230"/>
      <c r="AI305" s="230"/>
      <c r="AJ305" s="230"/>
      <c r="AK305" s="230"/>
    </row>
    <row r="306">
      <c r="O306" s="230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230"/>
      <c r="AH306" s="230"/>
      <c r="AI306" s="230"/>
      <c r="AJ306" s="230"/>
      <c r="AK306" s="230"/>
    </row>
    <row r="307">
      <c r="O307" s="230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  <c r="AD307" s="230"/>
      <c r="AE307" s="230"/>
      <c r="AF307" s="230"/>
      <c r="AG307" s="230"/>
      <c r="AH307" s="230"/>
      <c r="AI307" s="230"/>
      <c r="AJ307" s="230"/>
      <c r="AK307" s="230"/>
    </row>
    <row r="308">
      <c r="O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  <c r="AF308" s="230"/>
      <c r="AG308" s="230"/>
      <c r="AH308" s="230"/>
      <c r="AI308" s="230"/>
      <c r="AJ308" s="230"/>
      <c r="AK308" s="230"/>
    </row>
    <row r="309">
      <c r="O309" s="230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  <c r="AD309" s="230"/>
      <c r="AE309" s="230"/>
      <c r="AF309" s="230"/>
      <c r="AG309" s="230"/>
      <c r="AH309" s="230"/>
      <c r="AI309" s="230"/>
      <c r="AJ309" s="230"/>
      <c r="AK309" s="230"/>
    </row>
    <row r="310">
      <c r="O310" s="230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  <c r="AD310" s="230"/>
      <c r="AE310" s="230"/>
      <c r="AF310" s="230"/>
      <c r="AG310" s="230"/>
      <c r="AH310" s="230"/>
      <c r="AI310" s="230"/>
      <c r="AJ310" s="230"/>
      <c r="AK310" s="230"/>
    </row>
    <row r="311">
      <c r="O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  <c r="AI311" s="230"/>
      <c r="AJ311" s="230"/>
      <c r="AK311" s="230"/>
    </row>
    <row r="312">
      <c r="O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  <c r="AI312" s="230"/>
      <c r="AJ312" s="230"/>
      <c r="AK312" s="230"/>
    </row>
    <row r="313">
      <c r="O313" s="230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  <c r="AI313" s="230"/>
      <c r="AJ313" s="230"/>
      <c r="AK313" s="230"/>
    </row>
    <row r="314">
      <c r="O314" s="230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  <c r="AI314" s="230"/>
      <c r="AJ314" s="230"/>
      <c r="AK314" s="230"/>
    </row>
    <row r="315">
      <c r="O315" s="230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  <c r="AI315" s="230"/>
      <c r="AJ315" s="230"/>
      <c r="AK315" s="230"/>
    </row>
    <row r="316">
      <c r="O316" s="230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  <c r="AI316" s="230"/>
      <c r="AJ316" s="230"/>
      <c r="AK316" s="230"/>
    </row>
    <row r="317">
      <c r="O317" s="230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  <c r="AI317" s="230"/>
      <c r="AJ317" s="230"/>
      <c r="AK317" s="230"/>
    </row>
    <row r="318">
      <c r="O318" s="230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  <c r="AI318" s="230"/>
      <c r="AJ318" s="230"/>
      <c r="AK318" s="230"/>
    </row>
    <row r="319">
      <c r="O319" s="230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  <c r="AI319" s="230"/>
      <c r="AJ319" s="230"/>
      <c r="AK319" s="230"/>
    </row>
    <row r="320">
      <c r="O320" s="230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  <c r="AI320" s="230"/>
      <c r="AJ320" s="230"/>
      <c r="AK320" s="230"/>
    </row>
    <row r="321">
      <c r="O321" s="230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  <c r="AJ321" s="230"/>
      <c r="AK321" s="230"/>
    </row>
    <row r="322">
      <c r="O322" s="230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  <c r="AJ322" s="230"/>
      <c r="AK322" s="230"/>
    </row>
    <row r="323">
      <c r="O323" s="230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  <c r="AI323" s="230"/>
      <c r="AJ323" s="230"/>
      <c r="AK323" s="230"/>
    </row>
    <row r="324">
      <c r="O324" s="230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  <c r="AI324" s="230"/>
      <c r="AJ324" s="230"/>
      <c r="AK324" s="230"/>
    </row>
    <row r="325">
      <c r="O325" s="230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  <c r="AI325" s="230"/>
      <c r="AJ325" s="230"/>
      <c r="AK325" s="230"/>
    </row>
    <row r="326">
      <c r="O326" s="230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  <c r="AI326" s="230"/>
      <c r="AJ326" s="230"/>
      <c r="AK326" s="230"/>
    </row>
    <row r="327">
      <c r="O327" s="230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  <c r="AI327" s="230"/>
      <c r="AJ327" s="230"/>
      <c r="AK327" s="230"/>
    </row>
    <row r="328">
      <c r="O328" s="230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  <c r="AI328" s="230"/>
      <c r="AJ328" s="230"/>
      <c r="AK328" s="230"/>
    </row>
    <row r="329">
      <c r="O329" s="230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  <c r="AI329" s="230"/>
      <c r="AJ329" s="230"/>
      <c r="AK329" s="230"/>
    </row>
    <row r="330">
      <c r="O330" s="230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  <c r="AI330" s="230"/>
      <c r="AJ330" s="230"/>
      <c r="AK330" s="230"/>
    </row>
    <row r="331">
      <c r="O331" s="230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  <c r="AJ331" s="230"/>
      <c r="AK331" s="230"/>
    </row>
    <row r="332">
      <c r="O332" s="230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  <c r="AI332" s="230"/>
      <c r="AJ332" s="230"/>
      <c r="AK332" s="230"/>
    </row>
    <row r="333">
      <c r="O333" s="230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  <c r="AI333" s="230"/>
      <c r="AJ333" s="230"/>
      <c r="AK333" s="230"/>
    </row>
    <row r="334">
      <c r="O334" s="230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  <c r="AI334" s="230"/>
      <c r="AJ334" s="230"/>
      <c r="AK334" s="230"/>
    </row>
    <row r="335">
      <c r="O335" s="230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  <c r="AI335" s="230"/>
      <c r="AJ335" s="230"/>
      <c r="AK335" s="230"/>
    </row>
    <row r="336">
      <c r="O336" s="230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  <c r="AI336" s="230"/>
      <c r="AJ336" s="230"/>
      <c r="AK336" s="230"/>
    </row>
    <row r="337">
      <c r="O337" s="230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  <c r="AI337" s="230"/>
      <c r="AJ337" s="230"/>
      <c r="AK337" s="230"/>
    </row>
    <row r="338">
      <c r="O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  <c r="AJ338" s="230"/>
      <c r="AK338" s="230"/>
    </row>
    <row r="339">
      <c r="O339" s="230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  <c r="AI339" s="230"/>
      <c r="AJ339" s="230"/>
      <c r="AK339" s="230"/>
    </row>
    <row r="340">
      <c r="O340" s="230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  <c r="AI340" s="230"/>
      <c r="AJ340" s="230"/>
      <c r="AK340" s="230"/>
    </row>
    <row r="341">
      <c r="O341" s="230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  <c r="AI341" s="230"/>
      <c r="AJ341" s="230"/>
      <c r="AK341" s="230"/>
    </row>
    <row r="342">
      <c r="O342" s="230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  <c r="AI342" s="230"/>
      <c r="AJ342" s="230"/>
      <c r="AK342" s="230"/>
    </row>
    <row r="343">
      <c r="O343" s="230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  <c r="AI343" s="230"/>
      <c r="AJ343" s="230"/>
      <c r="AK343" s="230"/>
    </row>
    <row r="344">
      <c r="O344" s="230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  <c r="AI344" s="230"/>
      <c r="AJ344" s="230"/>
      <c r="AK344" s="230"/>
    </row>
    <row r="345">
      <c r="O345" s="230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  <c r="AJ345" s="230"/>
      <c r="AK345" s="230"/>
    </row>
    <row r="346">
      <c r="O346" s="230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  <c r="AJ346" s="230"/>
      <c r="AK346" s="230"/>
    </row>
    <row r="347">
      <c r="O347" s="230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  <c r="AJ347" s="230"/>
      <c r="AK347" s="230"/>
    </row>
    <row r="348">
      <c r="O348" s="230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  <c r="AJ348" s="230"/>
      <c r="AK348" s="230"/>
    </row>
    <row r="349">
      <c r="O349" s="230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  <c r="AJ349" s="230"/>
      <c r="AK349" s="230"/>
    </row>
    <row r="350">
      <c r="O350" s="230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  <c r="AJ350" s="230"/>
      <c r="AK350" s="230"/>
    </row>
    <row r="351">
      <c r="O351" s="230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  <c r="AJ351" s="230"/>
      <c r="AK351" s="230"/>
    </row>
    <row r="352">
      <c r="O352" s="230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  <c r="AJ352" s="230"/>
      <c r="AK352" s="230"/>
    </row>
    <row r="353">
      <c r="O353" s="230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  <c r="AJ353" s="230"/>
      <c r="AK353" s="230"/>
    </row>
    <row r="354">
      <c r="O354" s="230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  <c r="AI354" s="230"/>
      <c r="AJ354" s="230"/>
      <c r="AK354" s="230"/>
    </row>
    <row r="355">
      <c r="O355" s="230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  <c r="AI355" s="230"/>
      <c r="AJ355" s="230"/>
      <c r="AK355" s="230"/>
    </row>
    <row r="356">
      <c r="O356" s="230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  <c r="AI356" s="230"/>
      <c r="AJ356" s="230"/>
      <c r="AK356" s="230"/>
    </row>
    <row r="357">
      <c r="O357" s="230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  <c r="AI357" s="230"/>
      <c r="AJ357" s="230"/>
      <c r="AK357" s="230"/>
    </row>
    <row r="358">
      <c r="O358" s="230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  <c r="AI358" s="230"/>
      <c r="AJ358" s="230"/>
      <c r="AK358" s="230"/>
    </row>
    <row r="359">
      <c r="O359" s="230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  <c r="AI359" s="230"/>
      <c r="AJ359" s="230"/>
      <c r="AK359" s="230"/>
    </row>
    <row r="360">
      <c r="O360" s="230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  <c r="AI360" s="230"/>
      <c r="AJ360" s="230"/>
      <c r="AK360" s="230"/>
    </row>
    <row r="361">
      <c r="O361" s="230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  <c r="AJ361" s="230"/>
      <c r="AK361" s="230"/>
    </row>
    <row r="362">
      <c r="O362" s="230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  <c r="AI362" s="230"/>
      <c r="AJ362" s="230"/>
      <c r="AK362" s="230"/>
    </row>
    <row r="363">
      <c r="O363" s="230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  <c r="AI363" s="230"/>
      <c r="AJ363" s="230"/>
      <c r="AK363" s="230"/>
    </row>
    <row r="364">
      <c r="O364" s="230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  <c r="AI364" s="230"/>
      <c r="AJ364" s="230"/>
      <c r="AK364" s="230"/>
    </row>
    <row r="365">
      <c r="O365" s="230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  <c r="AI365" s="230"/>
      <c r="AJ365" s="230"/>
      <c r="AK365" s="230"/>
    </row>
    <row r="366">
      <c r="O366" s="230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  <c r="AI366" s="230"/>
      <c r="AJ366" s="230"/>
      <c r="AK366" s="230"/>
    </row>
    <row r="367">
      <c r="O367" s="230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  <c r="AI367" s="230"/>
      <c r="AJ367" s="230"/>
      <c r="AK367" s="230"/>
    </row>
    <row r="368">
      <c r="O368" s="230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  <c r="AI368" s="230"/>
      <c r="AJ368" s="230"/>
      <c r="AK368" s="230"/>
    </row>
    <row r="369">
      <c r="O369" s="230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  <c r="AI369" s="230"/>
      <c r="AJ369" s="230"/>
      <c r="AK369" s="230"/>
    </row>
    <row r="370">
      <c r="O370" s="230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  <c r="AJ370" s="230"/>
      <c r="AK370" s="230"/>
    </row>
    <row r="371">
      <c r="O371" s="230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  <c r="AI371" s="230"/>
      <c r="AJ371" s="230"/>
      <c r="AK371" s="230"/>
    </row>
    <row r="372">
      <c r="O372" s="230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  <c r="AI372" s="230"/>
      <c r="AJ372" s="230"/>
      <c r="AK372" s="230"/>
    </row>
    <row r="373">
      <c r="O373" s="230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  <c r="AI373" s="230"/>
      <c r="AJ373" s="230"/>
      <c r="AK373" s="230"/>
    </row>
    <row r="374">
      <c r="O374" s="230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  <c r="AI374" s="230"/>
      <c r="AJ374" s="230"/>
      <c r="AK374" s="230"/>
    </row>
    <row r="375">
      <c r="O375" s="230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  <c r="AJ375" s="230"/>
      <c r="AK375" s="230"/>
    </row>
    <row r="376">
      <c r="O376" s="230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  <c r="AI376" s="230"/>
      <c r="AJ376" s="230"/>
      <c r="AK376" s="230"/>
    </row>
    <row r="377">
      <c r="O377" s="230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  <c r="AI377" s="230"/>
      <c r="AJ377" s="230"/>
      <c r="AK377" s="230"/>
    </row>
    <row r="378">
      <c r="O378" s="230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  <c r="AI378" s="230"/>
      <c r="AJ378" s="230"/>
      <c r="AK378" s="230"/>
    </row>
    <row r="379">
      <c r="O379" s="230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  <c r="AI379" s="230"/>
      <c r="AJ379" s="230"/>
      <c r="AK379" s="230"/>
    </row>
    <row r="380">
      <c r="O380" s="230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  <c r="AI380" s="230"/>
      <c r="AJ380" s="230"/>
      <c r="AK380" s="230"/>
    </row>
    <row r="381">
      <c r="O381" s="230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  <c r="AI381" s="230"/>
      <c r="AJ381" s="230"/>
      <c r="AK381" s="230"/>
    </row>
    <row r="382">
      <c r="O382" s="230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  <c r="AI382" s="230"/>
      <c r="AJ382" s="230"/>
      <c r="AK382" s="230"/>
    </row>
    <row r="383">
      <c r="O383" s="230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  <c r="AI383" s="230"/>
      <c r="AJ383" s="230"/>
      <c r="AK383" s="230"/>
    </row>
    <row r="384">
      <c r="O384" s="230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  <c r="AI384" s="230"/>
      <c r="AJ384" s="230"/>
      <c r="AK384" s="230"/>
    </row>
    <row r="385">
      <c r="O385" s="230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  <c r="AI385" s="230"/>
      <c r="AJ385" s="230"/>
      <c r="AK385" s="230"/>
    </row>
    <row r="386">
      <c r="O386" s="230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  <c r="AI386" s="230"/>
      <c r="AJ386" s="230"/>
      <c r="AK386" s="230"/>
    </row>
    <row r="387">
      <c r="O387" s="230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  <c r="AI387" s="230"/>
      <c r="AJ387" s="230"/>
      <c r="AK387" s="230"/>
    </row>
    <row r="388">
      <c r="O388" s="230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  <c r="AI388" s="230"/>
      <c r="AJ388" s="230"/>
      <c r="AK388" s="230"/>
    </row>
    <row r="389">
      <c r="O389" s="230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  <c r="AI389" s="230"/>
      <c r="AJ389" s="230"/>
      <c r="AK389" s="230"/>
    </row>
    <row r="390">
      <c r="O390" s="230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  <c r="AI390" s="230"/>
      <c r="AJ390" s="230"/>
      <c r="AK390" s="230"/>
    </row>
    <row r="391">
      <c r="O391" s="230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  <c r="AI391" s="230"/>
      <c r="AJ391" s="230"/>
      <c r="AK391" s="230"/>
    </row>
    <row r="392">
      <c r="O392" s="230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  <c r="AI392" s="230"/>
      <c r="AJ392" s="230"/>
      <c r="AK392" s="230"/>
    </row>
    <row r="393">
      <c r="O393" s="230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  <c r="AI393" s="230"/>
      <c r="AJ393" s="230"/>
      <c r="AK393" s="230"/>
    </row>
    <row r="394">
      <c r="O394" s="230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  <c r="AI394" s="230"/>
      <c r="AJ394" s="230"/>
      <c r="AK394" s="230"/>
    </row>
    <row r="395">
      <c r="O395" s="230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  <c r="AI395" s="230"/>
      <c r="AJ395" s="230"/>
      <c r="AK395" s="230"/>
    </row>
    <row r="396">
      <c r="O396" s="230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  <c r="AI396" s="230"/>
      <c r="AJ396" s="230"/>
      <c r="AK396" s="230"/>
    </row>
    <row r="397">
      <c r="O397" s="230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  <c r="AJ397" s="230"/>
      <c r="AK397" s="230"/>
    </row>
    <row r="398">
      <c r="O398" s="230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  <c r="AI398" s="230"/>
      <c r="AJ398" s="230"/>
      <c r="AK398" s="230"/>
    </row>
    <row r="399">
      <c r="O399" s="230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  <c r="AI399" s="230"/>
      <c r="AJ399" s="230"/>
      <c r="AK399" s="230"/>
    </row>
    <row r="400">
      <c r="O400" s="230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  <c r="AI400" s="230"/>
      <c r="AJ400" s="230"/>
      <c r="AK400" s="230"/>
    </row>
    <row r="401">
      <c r="O401" s="230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  <c r="AI401" s="230"/>
      <c r="AJ401" s="230"/>
      <c r="AK401" s="230"/>
    </row>
    <row r="402">
      <c r="O402" s="230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  <c r="AI402" s="230"/>
      <c r="AJ402" s="230"/>
      <c r="AK402" s="230"/>
    </row>
    <row r="403">
      <c r="O403" s="230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  <c r="AI403" s="230"/>
      <c r="AJ403" s="230"/>
      <c r="AK403" s="230"/>
    </row>
    <row r="404">
      <c r="O404" s="230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  <c r="AI404" s="230"/>
      <c r="AJ404" s="230"/>
      <c r="AK404" s="230"/>
    </row>
    <row r="405">
      <c r="O405" s="230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  <c r="AI405" s="230"/>
      <c r="AJ405" s="230"/>
      <c r="AK405" s="230"/>
    </row>
    <row r="406">
      <c r="O406" s="230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  <c r="AI406" s="230"/>
      <c r="AJ406" s="230"/>
      <c r="AK406" s="230"/>
    </row>
    <row r="407">
      <c r="O407" s="230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  <c r="AI407" s="230"/>
      <c r="AJ407" s="230"/>
      <c r="AK407" s="230"/>
    </row>
    <row r="408">
      <c r="O408" s="230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  <c r="AI408" s="230"/>
      <c r="AJ408" s="230"/>
      <c r="AK408" s="230"/>
    </row>
    <row r="409">
      <c r="O409" s="230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  <c r="AI409" s="230"/>
      <c r="AJ409" s="230"/>
      <c r="AK409" s="230"/>
    </row>
    <row r="410">
      <c r="O410" s="230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  <c r="AI410" s="230"/>
      <c r="AJ410" s="230"/>
      <c r="AK410" s="230"/>
    </row>
    <row r="411">
      <c r="O411" s="230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  <c r="AI411" s="230"/>
      <c r="AJ411" s="230"/>
      <c r="AK411" s="230"/>
    </row>
    <row r="412">
      <c r="O412" s="230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  <c r="AI412" s="230"/>
      <c r="AJ412" s="230"/>
      <c r="AK412" s="230"/>
    </row>
    <row r="413">
      <c r="O413" s="230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  <c r="AI413" s="230"/>
      <c r="AJ413" s="230"/>
      <c r="AK413" s="230"/>
    </row>
    <row r="414">
      <c r="O414" s="230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  <c r="AI414" s="230"/>
      <c r="AJ414" s="230"/>
      <c r="AK414" s="230"/>
    </row>
    <row r="415">
      <c r="O415" s="230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  <c r="AI415" s="230"/>
      <c r="AJ415" s="230"/>
      <c r="AK415" s="230"/>
    </row>
    <row r="416">
      <c r="O416" s="230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  <c r="AI416" s="230"/>
      <c r="AJ416" s="230"/>
      <c r="AK416" s="230"/>
    </row>
    <row r="417">
      <c r="O417" s="230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  <c r="AI417" s="230"/>
      <c r="AJ417" s="230"/>
      <c r="AK417" s="230"/>
    </row>
    <row r="418">
      <c r="O418" s="230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  <c r="AI418" s="230"/>
      <c r="AJ418" s="230"/>
      <c r="AK418" s="230"/>
    </row>
    <row r="419">
      <c r="O419" s="230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  <c r="AJ419" s="230"/>
      <c r="AK419" s="230"/>
    </row>
    <row r="420">
      <c r="O420" s="230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  <c r="AI420" s="230"/>
      <c r="AJ420" s="230"/>
      <c r="AK420" s="230"/>
    </row>
    <row r="421">
      <c r="O421" s="230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  <c r="AI421" s="230"/>
      <c r="AJ421" s="230"/>
      <c r="AK421" s="230"/>
    </row>
    <row r="422">
      <c r="O422" s="230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  <c r="AJ422" s="230"/>
      <c r="AK422" s="230"/>
    </row>
    <row r="423">
      <c r="O423" s="230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  <c r="AI423" s="230"/>
      <c r="AJ423" s="230"/>
      <c r="AK423" s="230"/>
    </row>
    <row r="424">
      <c r="O424" s="230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  <c r="AI424" s="230"/>
      <c r="AJ424" s="230"/>
      <c r="AK424" s="230"/>
    </row>
    <row r="425">
      <c r="O425" s="230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  <c r="AI425" s="230"/>
      <c r="AJ425" s="230"/>
      <c r="AK425" s="230"/>
    </row>
    <row r="426">
      <c r="O426" s="230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  <c r="AI426" s="230"/>
      <c r="AJ426" s="230"/>
      <c r="AK426" s="230"/>
    </row>
    <row r="427">
      <c r="O427" s="230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  <c r="AJ427" s="230"/>
      <c r="AK427" s="230"/>
    </row>
    <row r="428">
      <c r="O428" s="230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  <c r="AJ428" s="230"/>
      <c r="AK428" s="230"/>
    </row>
    <row r="429">
      <c r="O429" s="230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  <c r="AI429" s="230"/>
      <c r="AJ429" s="230"/>
      <c r="AK429" s="230"/>
    </row>
    <row r="430">
      <c r="O430" s="230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  <c r="AI430" s="230"/>
      <c r="AJ430" s="230"/>
      <c r="AK430" s="230"/>
    </row>
    <row r="431">
      <c r="O431" s="230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  <c r="AI431" s="230"/>
      <c r="AJ431" s="230"/>
      <c r="AK431" s="230"/>
    </row>
    <row r="432">
      <c r="O432" s="230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  <c r="AI432" s="230"/>
      <c r="AJ432" s="230"/>
      <c r="AK432" s="230"/>
    </row>
    <row r="433">
      <c r="O433" s="230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  <c r="AJ433" s="230"/>
      <c r="AK433" s="230"/>
    </row>
    <row r="434">
      <c r="O434" s="230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  <c r="AI434" s="230"/>
      <c r="AJ434" s="230"/>
      <c r="AK434" s="230"/>
    </row>
    <row r="435">
      <c r="O435" s="230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  <c r="AI435" s="230"/>
      <c r="AJ435" s="230"/>
      <c r="AK435" s="230"/>
    </row>
    <row r="436">
      <c r="O436" s="230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  <c r="AI436" s="230"/>
      <c r="AJ436" s="230"/>
      <c r="AK436" s="230"/>
    </row>
    <row r="437">
      <c r="O437" s="230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  <c r="AI437" s="230"/>
      <c r="AJ437" s="230"/>
      <c r="AK437" s="230"/>
    </row>
    <row r="438">
      <c r="O438" s="230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  <c r="AI438" s="230"/>
      <c r="AJ438" s="230"/>
      <c r="AK438" s="230"/>
    </row>
    <row r="439">
      <c r="O439" s="230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  <c r="AI439" s="230"/>
      <c r="AJ439" s="230"/>
      <c r="AK439" s="230"/>
    </row>
    <row r="440">
      <c r="O440" s="230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  <c r="AI440" s="230"/>
      <c r="AJ440" s="230"/>
      <c r="AK440" s="230"/>
    </row>
    <row r="441">
      <c r="O441" s="230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  <c r="AJ441" s="230"/>
      <c r="AK441" s="230"/>
    </row>
    <row r="442">
      <c r="O442" s="230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  <c r="AI442" s="230"/>
      <c r="AJ442" s="230"/>
      <c r="AK442" s="230"/>
    </row>
    <row r="443">
      <c r="O443" s="230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  <c r="AI443" s="230"/>
      <c r="AJ443" s="230"/>
      <c r="AK443" s="230"/>
    </row>
    <row r="444">
      <c r="O444" s="230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  <c r="AI444" s="230"/>
      <c r="AJ444" s="230"/>
      <c r="AK444" s="230"/>
    </row>
    <row r="445">
      <c r="O445" s="230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  <c r="AI445" s="230"/>
      <c r="AJ445" s="230"/>
      <c r="AK445" s="230"/>
    </row>
    <row r="446">
      <c r="O446" s="230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  <c r="AI446" s="230"/>
      <c r="AJ446" s="230"/>
      <c r="AK446" s="230"/>
    </row>
    <row r="447">
      <c r="O447" s="230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  <c r="AI447" s="230"/>
      <c r="AJ447" s="230"/>
      <c r="AK447" s="230"/>
    </row>
    <row r="448">
      <c r="O448" s="230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  <c r="AI448" s="230"/>
      <c r="AJ448" s="230"/>
      <c r="AK448" s="230"/>
    </row>
    <row r="449">
      <c r="O449" s="230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  <c r="AI449" s="230"/>
      <c r="AJ449" s="230"/>
      <c r="AK449" s="230"/>
    </row>
    <row r="450">
      <c r="O450" s="230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  <c r="AI450" s="230"/>
      <c r="AJ450" s="230"/>
      <c r="AK450" s="230"/>
    </row>
    <row r="451">
      <c r="O451" s="230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  <c r="AI451" s="230"/>
      <c r="AJ451" s="230"/>
      <c r="AK451" s="230"/>
    </row>
    <row r="452">
      <c r="O452" s="230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  <c r="AI452" s="230"/>
      <c r="AJ452" s="230"/>
      <c r="AK452" s="230"/>
    </row>
    <row r="453">
      <c r="O453" s="230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  <c r="AI453" s="230"/>
      <c r="AJ453" s="230"/>
      <c r="AK453" s="230"/>
    </row>
    <row r="454">
      <c r="O454" s="230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  <c r="AI454" s="230"/>
      <c r="AJ454" s="230"/>
      <c r="AK454" s="230"/>
    </row>
    <row r="455">
      <c r="O455" s="230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  <c r="AI455" s="230"/>
      <c r="AJ455" s="230"/>
      <c r="AK455" s="230"/>
    </row>
    <row r="456">
      <c r="O456" s="230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  <c r="AI456" s="230"/>
      <c r="AJ456" s="230"/>
      <c r="AK456" s="230"/>
    </row>
    <row r="457">
      <c r="O457" s="230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  <c r="AI457" s="230"/>
      <c r="AJ457" s="230"/>
      <c r="AK457" s="230"/>
    </row>
    <row r="458">
      <c r="O458" s="230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  <c r="AI458" s="230"/>
      <c r="AJ458" s="230"/>
      <c r="AK458" s="230"/>
    </row>
    <row r="459">
      <c r="O459" s="230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  <c r="AI459" s="230"/>
      <c r="AJ459" s="230"/>
      <c r="AK459" s="230"/>
    </row>
    <row r="460">
      <c r="O460" s="230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  <c r="AI460" s="230"/>
      <c r="AJ460" s="230"/>
      <c r="AK460" s="230"/>
    </row>
    <row r="461">
      <c r="O461" s="230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  <c r="AI461" s="230"/>
      <c r="AJ461" s="230"/>
      <c r="AK461" s="230"/>
    </row>
    <row r="462">
      <c r="O462" s="230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  <c r="AI462" s="230"/>
      <c r="AJ462" s="230"/>
      <c r="AK462" s="230"/>
    </row>
    <row r="463">
      <c r="O463" s="230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  <c r="AJ463" s="230"/>
      <c r="AK463" s="230"/>
    </row>
    <row r="464">
      <c r="O464" s="230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  <c r="AI464" s="230"/>
      <c r="AJ464" s="230"/>
      <c r="AK464" s="230"/>
    </row>
    <row r="465">
      <c r="O465" s="230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  <c r="AI465" s="230"/>
      <c r="AJ465" s="230"/>
      <c r="AK465" s="230"/>
    </row>
    <row r="466">
      <c r="O466" s="230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  <c r="AI466" s="230"/>
      <c r="AJ466" s="230"/>
      <c r="AK466" s="230"/>
    </row>
    <row r="467">
      <c r="O467" s="230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  <c r="AI467" s="230"/>
      <c r="AJ467" s="230"/>
      <c r="AK467" s="230"/>
    </row>
    <row r="468">
      <c r="O468" s="230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  <c r="AI468" s="230"/>
      <c r="AJ468" s="230"/>
      <c r="AK468" s="230"/>
    </row>
    <row r="469">
      <c r="O469" s="230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  <c r="AI469" s="230"/>
      <c r="AJ469" s="230"/>
      <c r="AK469" s="230"/>
    </row>
    <row r="470">
      <c r="O470" s="230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  <c r="AI470" s="230"/>
      <c r="AJ470" s="230"/>
      <c r="AK470" s="230"/>
    </row>
    <row r="471">
      <c r="O471" s="230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  <c r="AI471" s="230"/>
      <c r="AJ471" s="230"/>
      <c r="AK471" s="230"/>
    </row>
    <row r="472">
      <c r="O472" s="230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  <c r="AI472" s="230"/>
      <c r="AJ472" s="230"/>
      <c r="AK472" s="230"/>
    </row>
    <row r="473">
      <c r="O473" s="230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  <c r="AI473" s="230"/>
      <c r="AJ473" s="230"/>
      <c r="AK473" s="230"/>
    </row>
    <row r="474">
      <c r="O474" s="230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  <c r="AI474" s="230"/>
      <c r="AJ474" s="230"/>
      <c r="AK474" s="230"/>
    </row>
    <row r="475">
      <c r="O475" s="230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  <c r="AI475" s="230"/>
      <c r="AJ475" s="230"/>
      <c r="AK475" s="230"/>
    </row>
    <row r="476">
      <c r="O476" s="230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  <c r="AI476" s="230"/>
      <c r="AJ476" s="230"/>
      <c r="AK476" s="230"/>
    </row>
    <row r="477">
      <c r="O477" s="230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  <c r="AI477" s="230"/>
      <c r="AJ477" s="230"/>
      <c r="AK477" s="230"/>
    </row>
    <row r="478">
      <c r="O478" s="230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  <c r="AI478" s="230"/>
      <c r="AJ478" s="230"/>
      <c r="AK478" s="230"/>
    </row>
    <row r="479">
      <c r="O479" s="230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  <c r="AI479" s="230"/>
      <c r="AJ479" s="230"/>
      <c r="AK479" s="230"/>
    </row>
    <row r="480">
      <c r="O480" s="230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  <c r="AI480" s="230"/>
      <c r="AJ480" s="230"/>
      <c r="AK480" s="230"/>
    </row>
    <row r="481">
      <c r="O481" s="230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  <c r="AI481" s="230"/>
      <c r="AJ481" s="230"/>
      <c r="AK481" s="230"/>
    </row>
    <row r="482">
      <c r="O482" s="230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  <c r="AI482" s="230"/>
      <c r="AJ482" s="230"/>
      <c r="AK482" s="230"/>
    </row>
    <row r="483">
      <c r="O483" s="230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  <c r="AI483" s="230"/>
      <c r="AJ483" s="230"/>
      <c r="AK483" s="230"/>
    </row>
    <row r="484">
      <c r="O484" s="230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  <c r="AI484" s="230"/>
      <c r="AJ484" s="230"/>
      <c r="AK484" s="230"/>
    </row>
    <row r="485">
      <c r="O485" s="230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  <c r="AJ485" s="230"/>
      <c r="AK485" s="230"/>
    </row>
    <row r="486">
      <c r="O486" s="230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  <c r="AI486" s="230"/>
      <c r="AJ486" s="230"/>
      <c r="AK486" s="230"/>
    </row>
    <row r="487">
      <c r="O487" s="230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  <c r="AI487" s="230"/>
      <c r="AJ487" s="230"/>
      <c r="AK487" s="230"/>
    </row>
    <row r="488">
      <c r="O488" s="230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  <c r="AI488" s="230"/>
      <c r="AJ488" s="230"/>
      <c r="AK488" s="230"/>
    </row>
    <row r="489">
      <c r="O489" s="230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  <c r="AI489" s="230"/>
      <c r="AJ489" s="230"/>
      <c r="AK489" s="230"/>
    </row>
    <row r="490">
      <c r="O490" s="230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  <c r="AI490" s="230"/>
      <c r="AJ490" s="230"/>
      <c r="AK490" s="230"/>
    </row>
    <row r="491">
      <c r="O491" s="230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  <c r="AJ491" s="230"/>
      <c r="AK491" s="230"/>
    </row>
    <row r="492">
      <c r="O492" s="230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  <c r="AI492" s="230"/>
      <c r="AJ492" s="230"/>
      <c r="AK492" s="230"/>
    </row>
    <row r="493">
      <c r="O493" s="230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  <c r="AI493" s="230"/>
      <c r="AJ493" s="230"/>
      <c r="AK493" s="230"/>
    </row>
    <row r="494">
      <c r="O494" s="230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  <c r="AI494" s="230"/>
      <c r="AJ494" s="230"/>
      <c r="AK494" s="230"/>
    </row>
    <row r="495">
      <c r="O495" s="230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  <c r="AI495" s="230"/>
      <c r="AJ495" s="230"/>
      <c r="AK495" s="230"/>
    </row>
    <row r="496">
      <c r="O496" s="230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  <c r="AI496" s="230"/>
      <c r="AJ496" s="230"/>
      <c r="AK496" s="230"/>
    </row>
    <row r="497">
      <c r="O497" s="230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  <c r="AI497" s="230"/>
      <c r="AJ497" s="230"/>
      <c r="AK497" s="230"/>
    </row>
    <row r="498">
      <c r="O498" s="230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  <c r="AI498" s="230"/>
      <c r="AJ498" s="230"/>
      <c r="AK498" s="230"/>
    </row>
    <row r="499">
      <c r="O499" s="230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  <c r="AI499" s="230"/>
      <c r="AJ499" s="230"/>
      <c r="AK499" s="230"/>
    </row>
    <row r="500">
      <c r="O500" s="230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  <c r="AI500" s="230"/>
      <c r="AJ500" s="230"/>
      <c r="AK500" s="230"/>
    </row>
    <row r="501">
      <c r="O501" s="230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  <c r="AI501" s="230"/>
      <c r="AJ501" s="230"/>
      <c r="AK501" s="230"/>
    </row>
    <row r="502">
      <c r="O502" s="230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  <c r="AI502" s="230"/>
      <c r="AJ502" s="230"/>
      <c r="AK502" s="230"/>
    </row>
    <row r="503">
      <c r="O503" s="230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  <c r="AI503" s="230"/>
      <c r="AJ503" s="230"/>
      <c r="AK503" s="230"/>
    </row>
    <row r="504">
      <c r="O504" s="230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  <c r="AI504" s="230"/>
      <c r="AJ504" s="230"/>
      <c r="AK504" s="230"/>
    </row>
    <row r="505">
      <c r="O505" s="230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  <c r="AI505" s="230"/>
      <c r="AJ505" s="230"/>
      <c r="AK505" s="230"/>
    </row>
    <row r="506">
      <c r="O506" s="230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  <c r="AI506" s="230"/>
      <c r="AJ506" s="230"/>
      <c r="AK506" s="230"/>
    </row>
    <row r="507">
      <c r="O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  <c r="AJ507" s="230"/>
      <c r="AK507" s="230"/>
    </row>
    <row r="508">
      <c r="O508" s="230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  <c r="AI508" s="230"/>
      <c r="AJ508" s="230"/>
      <c r="AK508" s="230"/>
    </row>
    <row r="509">
      <c r="O509" s="230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  <c r="AI509" s="230"/>
      <c r="AJ509" s="230"/>
      <c r="AK509" s="230"/>
    </row>
    <row r="510">
      <c r="O510" s="230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  <c r="AI510" s="230"/>
      <c r="AJ510" s="230"/>
      <c r="AK510" s="230"/>
    </row>
    <row r="511">
      <c r="O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  <c r="AI511" s="230"/>
      <c r="AJ511" s="230"/>
      <c r="AK511" s="230"/>
    </row>
    <row r="512">
      <c r="O512" s="230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  <c r="AI512" s="230"/>
      <c r="AJ512" s="230"/>
      <c r="AK512" s="230"/>
    </row>
    <row r="513">
      <c r="O513" s="230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  <c r="AI513" s="230"/>
      <c r="AJ513" s="230"/>
      <c r="AK513" s="230"/>
    </row>
    <row r="514">
      <c r="O514" s="230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  <c r="AI514" s="230"/>
      <c r="AJ514" s="230"/>
      <c r="AK514" s="230"/>
    </row>
    <row r="515">
      <c r="O515" s="230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  <c r="AI515" s="230"/>
      <c r="AJ515" s="230"/>
      <c r="AK515" s="230"/>
    </row>
    <row r="516">
      <c r="O516" s="230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  <c r="AI516" s="230"/>
      <c r="AJ516" s="230"/>
      <c r="AK516" s="230"/>
    </row>
    <row r="517">
      <c r="O517" s="230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  <c r="AI517" s="230"/>
      <c r="AJ517" s="230"/>
      <c r="AK517" s="230"/>
    </row>
    <row r="518">
      <c r="O518" s="230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  <c r="AI518" s="230"/>
      <c r="AJ518" s="230"/>
      <c r="AK518" s="230"/>
    </row>
    <row r="519">
      <c r="O519" s="230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  <c r="AI519" s="230"/>
      <c r="AJ519" s="230"/>
      <c r="AK519" s="230"/>
    </row>
    <row r="520">
      <c r="O520" s="230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  <c r="AJ520" s="230"/>
      <c r="AK520" s="230"/>
    </row>
    <row r="521">
      <c r="O521" s="230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  <c r="AI521" s="230"/>
      <c r="AJ521" s="230"/>
      <c r="AK521" s="230"/>
    </row>
    <row r="522">
      <c r="O522" s="230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  <c r="AI522" s="230"/>
      <c r="AJ522" s="230"/>
      <c r="AK522" s="230"/>
    </row>
    <row r="523">
      <c r="O523" s="230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  <c r="AJ523" s="230"/>
      <c r="AK523" s="230"/>
    </row>
    <row r="524">
      <c r="O524" s="230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  <c r="AJ524" s="230"/>
      <c r="AK524" s="230"/>
    </row>
    <row r="525">
      <c r="O525" s="230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  <c r="AJ525" s="230"/>
      <c r="AK525" s="230"/>
    </row>
    <row r="526">
      <c r="O526" s="230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  <c r="AJ526" s="230"/>
      <c r="AK526" s="230"/>
    </row>
    <row r="527">
      <c r="O527" s="230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  <c r="AJ527" s="230"/>
      <c r="AK527" s="230"/>
    </row>
    <row r="528">
      <c r="O528" s="230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  <c r="AI528" s="230"/>
      <c r="AJ528" s="230"/>
      <c r="AK528" s="230"/>
    </row>
    <row r="529">
      <c r="O529" s="230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  <c r="AJ529" s="230"/>
      <c r="AK529" s="230"/>
    </row>
    <row r="530">
      <c r="O530" s="230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  <c r="AI530" s="230"/>
      <c r="AJ530" s="230"/>
      <c r="AK530" s="230"/>
    </row>
    <row r="531">
      <c r="O531" s="230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  <c r="AI531" s="230"/>
      <c r="AJ531" s="230"/>
      <c r="AK531" s="230"/>
    </row>
    <row r="532">
      <c r="O532" s="230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  <c r="AI532" s="230"/>
      <c r="AJ532" s="230"/>
      <c r="AK532" s="230"/>
    </row>
    <row r="533">
      <c r="O533" s="230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  <c r="AI533" s="230"/>
      <c r="AJ533" s="230"/>
      <c r="AK533" s="230"/>
    </row>
    <row r="534">
      <c r="O534" s="230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  <c r="AI534" s="230"/>
      <c r="AJ534" s="230"/>
      <c r="AK534" s="230"/>
    </row>
    <row r="535">
      <c r="O535" s="230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  <c r="AI535" s="230"/>
      <c r="AJ535" s="230"/>
      <c r="AK535" s="230"/>
    </row>
    <row r="536">
      <c r="O536" s="230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  <c r="AI536" s="230"/>
      <c r="AJ536" s="230"/>
      <c r="AK536" s="230"/>
    </row>
    <row r="537">
      <c r="O537" s="230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  <c r="AI537" s="230"/>
      <c r="AJ537" s="230"/>
      <c r="AK537" s="230"/>
    </row>
    <row r="538">
      <c r="O538" s="230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  <c r="AI538" s="230"/>
      <c r="AJ538" s="230"/>
      <c r="AK538" s="230"/>
    </row>
    <row r="539">
      <c r="O539" s="230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  <c r="AI539" s="230"/>
      <c r="AJ539" s="230"/>
      <c r="AK539" s="230"/>
    </row>
    <row r="540">
      <c r="O540" s="230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  <c r="AI540" s="230"/>
      <c r="AJ540" s="230"/>
      <c r="AK540" s="230"/>
    </row>
    <row r="541">
      <c r="O541" s="230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  <c r="AI541" s="230"/>
      <c r="AJ541" s="230"/>
      <c r="AK541" s="230"/>
    </row>
    <row r="542">
      <c r="O542" s="230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  <c r="AI542" s="230"/>
      <c r="AJ542" s="230"/>
      <c r="AK542" s="230"/>
    </row>
    <row r="543">
      <c r="O543" s="230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  <c r="AI543" s="230"/>
      <c r="AJ543" s="230"/>
      <c r="AK543" s="230"/>
    </row>
    <row r="544">
      <c r="O544" s="230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  <c r="AI544" s="230"/>
      <c r="AJ544" s="230"/>
      <c r="AK544" s="230"/>
    </row>
    <row r="545">
      <c r="O545" s="230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  <c r="AI545" s="230"/>
      <c r="AJ545" s="230"/>
      <c r="AK545" s="230"/>
    </row>
    <row r="546">
      <c r="O546" s="230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  <c r="AI546" s="230"/>
      <c r="AJ546" s="230"/>
      <c r="AK546" s="230"/>
    </row>
    <row r="547">
      <c r="O547" s="230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  <c r="AI547" s="230"/>
      <c r="AJ547" s="230"/>
      <c r="AK547" s="230"/>
    </row>
    <row r="548">
      <c r="O548" s="230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  <c r="AI548" s="230"/>
      <c r="AJ548" s="230"/>
      <c r="AK548" s="230"/>
    </row>
    <row r="549">
      <c r="O549" s="230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  <c r="AI549" s="230"/>
      <c r="AJ549" s="230"/>
      <c r="AK549" s="230"/>
    </row>
    <row r="550">
      <c r="O550" s="230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  <c r="AI550" s="230"/>
      <c r="AJ550" s="230"/>
      <c r="AK550" s="230"/>
    </row>
    <row r="551">
      <c r="O551" s="230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  <c r="AJ551" s="230"/>
      <c r="AK551" s="230"/>
    </row>
    <row r="552">
      <c r="O552" s="230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  <c r="AI552" s="230"/>
      <c r="AJ552" s="230"/>
      <c r="AK552" s="230"/>
    </row>
    <row r="553">
      <c r="O553" s="230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  <c r="AI553" s="230"/>
      <c r="AJ553" s="230"/>
      <c r="AK553" s="230"/>
    </row>
    <row r="554">
      <c r="O554" s="230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  <c r="AI554" s="230"/>
      <c r="AJ554" s="230"/>
      <c r="AK554" s="230"/>
    </row>
    <row r="555">
      <c r="O555" s="230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  <c r="AI555" s="230"/>
      <c r="AJ555" s="230"/>
      <c r="AK555" s="230"/>
    </row>
    <row r="556">
      <c r="O556" s="230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  <c r="AI556" s="230"/>
      <c r="AJ556" s="230"/>
      <c r="AK556" s="230"/>
    </row>
    <row r="557">
      <c r="O557" s="230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  <c r="AI557" s="230"/>
      <c r="AJ557" s="230"/>
      <c r="AK557" s="230"/>
    </row>
    <row r="558">
      <c r="O558" s="230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  <c r="AI558" s="230"/>
      <c r="AJ558" s="230"/>
      <c r="AK558" s="230"/>
    </row>
    <row r="559">
      <c r="O559" s="230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  <c r="AI559" s="230"/>
      <c r="AJ559" s="230"/>
      <c r="AK559" s="230"/>
    </row>
    <row r="560">
      <c r="O560" s="230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  <c r="AI560" s="230"/>
      <c r="AJ560" s="230"/>
      <c r="AK560" s="230"/>
    </row>
    <row r="561">
      <c r="O561" s="230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  <c r="AI561" s="230"/>
      <c r="AJ561" s="230"/>
      <c r="AK561" s="230"/>
    </row>
    <row r="562">
      <c r="O562" s="230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  <c r="AI562" s="230"/>
      <c r="AJ562" s="230"/>
      <c r="AK562" s="230"/>
    </row>
    <row r="563">
      <c r="O563" s="230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  <c r="AI563" s="230"/>
      <c r="AJ563" s="230"/>
      <c r="AK563" s="230"/>
    </row>
    <row r="564">
      <c r="O564" s="230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  <c r="AI564" s="230"/>
      <c r="AJ564" s="230"/>
      <c r="AK564" s="230"/>
    </row>
    <row r="565">
      <c r="O565" s="230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  <c r="AI565" s="230"/>
      <c r="AJ565" s="230"/>
      <c r="AK565" s="230"/>
    </row>
    <row r="566">
      <c r="O566" s="230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  <c r="AI566" s="230"/>
      <c r="AJ566" s="230"/>
      <c r="AK566" s="230"/>
    </row>
    <row r="567">
      <c r="O567" s="230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  <c r="AI567" s="230"/>
      <c r="AJ567" s="230"/>
      <c r="AK567" s="230"/>
    </row>
    <row r="568">
      <c r="O568" s="230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  <c r="AI568" s="230"/>
      <c r="AJ568" s="230"/>
      <c r="AK568" s="230"/>
    </row>
    <row r="569">
      <c r="O569" s="230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  <c r="AI569" s="230"/>
      <c r="AJ569" s="230"/>
      <c r="AK569" s="230"/>
    </row>
    <row r="570">
      <c r="O570" s="230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  <c r="AJ570" s="230"/>
      <c r="AK570" s="230"/>
    </row>
    <row r="571">
      <c r="O571" s="230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  <c r="AJ571" s="230"/>
      <c r="AK571" s="230"/>
    </row>
    <row r="572">
      <c r="O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  <c r="AJ572" s="230"/>
      <c r="AK572" s="230"/>
    </row>
    <row r="573">
      <c r="O573" s="230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  <c r="AJ573" s="230"/>
      <c r="AK573" s="230"/>
    </row>
    <row r="574">
      <c r="O574" s="230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  <c r="AI574" s="230"/>
      <c r="AJ574" s="230"/>
      <c r="AK574" s="230"/>
    </row>
    <row r="575">
      <c r="O575" s="230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  <c r="AI575" s="230"/>
      <c r="AJ575" s="230"/>
      <c r="AK575" s="230"/>
    </row>
    <row r="576">
      <c r="O576" s="230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  <c r="AI576" s="230"/>
      <c r="AJ576" s="230"/>
      <c r="AK576" s="230"/>
    </row>
    <row r="577">
      <c r="O577" s="230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  <c r="AI577" s="230"/>
      <c r="AJ577" s="230"/>
      <c r="AK577" s="230"/>
    </row>
    <row r="578">
      <c r="O578" s="230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  <c r="AI578" s="230"/>
      <c r="AJ578" s="230"/>
      <c r="AK578" s="230"/>
    </row>
    <row r="579">
      <c r="O579" s="230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  <c r="AI579" s="230"/>
      <c r="AJ579" s="230"/>
      <c r="AK579" s="230"/>
    </row>
    <row r="580">
      <c r="O580" s="230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  <c r="AI580" s="230"/>
      <c r="AJ580" s="230"/>
      <c r="AK580" s="230"/>
    </row>
    <row r="581">
      <c r="O581" s="230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  <c r="AI581" s="230"/>
      <c r="AJ581" s="230"/>
      <c r="AK581" s="230"/>
    </row>
    <row r="582">
      <c r="O582" s="230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  <c r="AI582" s="230"/>
      <c r="AJ582" s="230"/>
      <c r="AK582" s="230"/>
    </row>
    <row r="583">
      <c r="O583" s="230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  <c r="AI583" s="230"/>
      <c r="AJ583" s="230"/>
      <c r="AK583" s="230"/>
    </row>
    <row r="584">
      <c r="O584" s="230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  <c r="AI584" s="230"/>
      <c r="AJ584" s="230"/>
      <c r="AK584" s="230"/>
    </row>
    <row r="585">
      <c r="O585" s="230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  <c r="AI585" s="230"/>
      <c r="AJ585" s="230"/>
      <c r="AK585" s="230"/>
    </row>
    <row r="586">
      <c r="O586" s="230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  <c r="AI586" s="230"/>
      <c r="AJ586" s="230"/>
      <c r="AK586" s="230"/>
    </row>
    <row r="587">
      <c r="O587" s="230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  <c r="AI587" s="230"/>
      <c r="AJ587" s="230"/>
      <c r="AK587" s="230"/>
    </row>
    <row r="588">
      <c r="O588" s="230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  <c r="AI588" s="230"/>
      <c r="AJ588" s="230"/>
      <c r="AK588" s="230"/>
    </row>
    <row r="589">
      <c r="O589" s="230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  <c r="AI589" s="230"/>
      <c r="AJ589" s="230"/>
      <c r="AK589" s="230"/>
    </row>
    <row r="590">
      <c r="O590" s="230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  <c r="AI590" s="230"/>
      <c r="AJ590" s="230"/>
      <c r="AK590" s="230"/>
    </row>
    <row r="591">
      <c r="O591" s="230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  <c r="AI591" s="230"/>
      <c r="AJ591" s="230"/>
      <c r="AK591" s="230"/>
    </row>
    <row r="592">
      <c r="O592" s="230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  <c r="AI592" s="230"/>
      <c r="AJ592" s="230"/>
      <c r="AK592" s="230"/>
    </row>
    <row r="593">
      <c r="O593" s="230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  <c r="AI593" s="230"/>
      <c r="AJ593" s="230"/>
      <c r="AK593" s="230"/>
    </row>
    <row r="594">
      <c r="O594" s="230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  <c r="AI594" s="230"/>
      <c r="AJ594" s="230"/>
      <c r="AK594" s="230"/>
    </row>
    <row r="595">
      <c r="O595" s="230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  <c r="AJ595" s="230"/>
      <c r="AK595" s="230"/>
    </row>
    <row r="596">
      <c r="O596" s="230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  <c r="AI596" s="230"/>
      <c r="AJ596" s="230"/>
      <c r="AK596" s="230"/>
    </row>
    <row r="597">
      <c r="O597" s="230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  <c r="AI597" s="230"/>
      <c r="AJ597" s="230"/>
      <c r="AK597" s="230"/>
    </row>
    <row r="598">
      <c r="O598" s="230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  <c r="AI598" s="230"/>
      <c r="AJ598" s="230"/>
      <c r="AK598" s="230"/>
    </row>
    <row r="599">
      <c r="O599" s="230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  <c r="AI599" s="230"/>
      <c r="AJ599" s="230"/>
      <c r="AK599" s="230"/>
    </row>
    <row r="600">
      <c r="O600" s="230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  <c r="AI600" s="230"/>
      <c r="AJ600" s="230"/>
      <c r="AK600" s="230"/>
    </row>
    <row r="601">
      <c r="O601" s="230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  <c r="AI601" s="230"/>
      <c r="AJ601" s="230"/>
      <c r="AK601" s="230"/>
    </row>
    <row r="602">
      <c r="O602" s="230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  <c r="AI602" s="230"/>
      <c r="AJ602" s="230"/>
      <c r="AK602" s="230"/>
    </row>
    <row r="603">
      <c r="O603" s="230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  <c r="AI603" s="230"/>
      <c r="AJ603" s="230"/>
      <c r="AK603" s="230"/>
    </row>
    <row r="604">
      <c r="O604" s="230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  <c r="AI604" s="230"/>
      <c r="AJ604" s="230"/>
      <c r="AK604" s="230"/>
    </row>
    <row r="605">
      <c r="O605" s="230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  <c r="AI605" s="230"/>
      <c r="AJ605" s="230"/>
      <c r="AK605" s="230"/>
    </row>
    <row r="606">
      <c r="O606" s="230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  <c r="AI606" s="230"/>
      <c r="AJ606" s="230"/>
      <c r="AK606" s="230"/>
    </row>
    <row r="607">
      <c r="O607" s="230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  <c r="AI607" s="230"/>
      <c r="AJ607" s="230"/>
      <c r="AK607" s="230"/>
    </row>
    <row r="608">
      <c r="O608" s="230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  <c r="AI608" s="230"/>
      <c r="AJ608" s="230"/>
      <c r="AK608" s="230"/>
    </row>
    <row r="609">
      <c r="O609" s="230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  <c r="AI609" s="230"/>
      <c r="AJ609" s="230"/>
      <c r="AK609" s="230"/>
    </row>
    <row r="610">
      <c r="O610" s="230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  <c r="AI610" s="230"/>
      <c r="AJ610" s="230"/>
      <c r="AK610" s="230"/>
    </row>
    <row r="611">
      <c r="O611" s="230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  <c r="AI611" s="230"/>
      <c r="AJ611" s="230"/>
      <c r="AK611" s="230"/>
    </row>
    <row r="612">
      <c r="O612" s="230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  <c r="AI612" s="230"/>
      <c r="AJ612" s="230"/>
      <c r="AK612" s="230"/>
    </row>
    <row r="613">
      <c r="O613" s="230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  <c r="AI613" s="230"/>
      <c r="AJ613" s="230"/>
      <c r="AK613" s="230"/>
    </row>
    <row r="614">
      <c r="O614" s="230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  <c r="AI614" s="230"/>
      <c r="AJ614" s="230"/>
      <c r="AK614" s="230"/>
    </row>
    <row r="615">
      <c r="O615" s="230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  <c r="AI615" s="230"/>
      <c r="AJ615" s="230"/>
      <c r="AK615" s="230"/>
    </row>
    <row r="616">
      <c r="O616" s="230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  <c r="AI616" s="230"/>
      <c r="AJ616" s="230"/>
      <c r="AK616" s="230"/>
    </row>
    <row r="617">
      <c r="O617" s="230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  <c r="AJ617" s="230"/>
      <c r="AK617" s="230"/>
    </row>
    <row r="618">
      <c r="O618" s="230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  <c r="AJ618" s="230"/>
      <c r="AK618" s="230"/>
    </row>
    <row r="619">
      <c r="O619" s="230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  <c r="AI619" s="230"/>
      <c r="AJ619" s="230"/>
      <c r="AK619" s="230"/>
    </row>
    <row r="620">
      <c r="O620" s="230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  <c r="AJ620" s="230"/>
      <c r="AK620" s="230"/>
    </row>
    <row r="621">
      <c r="O621" s="230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  <c r="AI621" s="230"/>
      <c r="AJ621" s="230"/>
      <c r="AK621" s="230"/>
    </row>
    <row r="622">
      <c r="O622" s="230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  <c r="AI622" s="230"/>
      <c r="AJ622" s="230"/>
      <c r="AK622" s="230"/>
    </row>
    <row r="623">
      <c r="O623" s="230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  <c r="AI623" s="230"/>
      <c r="AJ623" s="230"/>
      <c r="AK623" s="230"/>
    </row>
    <row r="624">
      <c r="O624" s="230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  <c r="AJ624" s="230"/>
      <c r="AK624" s="230"/>
    </row>
    <row r="625">
      <c r="O625" s="230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  <c r="AI625" s="230"/>
      <c r="AJ625" s="230"/>
      <c r="AK625" s="230"/>
    </row>
    <row r="626">
      <c r="O626" s="230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  <c r="AI626" s="230"/>
      <c r="AJ626" s="230"/>
      <c r="AK626" s="230"/>
    </row>
    <row r="627">
      <c r="O627" s="230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  <c r="AI627" s="230"/>
      <c r="AJ627" s="230"/>
      <c r="AK627" s="230"/>
    </row>
    <row r="628">
      <c r="O628" s="230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  <c r="AI628" s="230"/>
      <c r="AJ628" s="230"/>
      <c r="AK628" s="230"/>
    </row>
    <row r="629">
      <c r="O629" s="230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  <c r="AI629" s="230"/>
      <c r="AJ629" s="230"/>
      <c r="AK629" s="230"/>
    </row>
    <row r="630">
      <c r="O630" s="230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  <c r="AI630" s="230"/>
      <c r="AJ630" s="230"/>
      <c r="AK630" s="230"/>
    </row>
    <row r="631">
      <c r="O631" s="230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  <c r="AI631" s="230"/>
      <c r="AJ631" s="230"/>
      <c r="AK631" s="230"/>
    </row>
    <row r="632">
      <c r="O632" s="230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  <c r="AI632" s="230"/>
      <c r="AJ632" s="230"/>
      <c r="AK632" s="230"/>
    </row>
    <row r="633">
      <c r="O633" s="230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  <c r="AI633" s="230"/>
      <c r="AJ633" s="230"/>
      <c r="AK633" s="230"/>
    </row>
    <row r="634">
      <c r="O634" s="230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  <c r="AI634" s="230"/>
      <c r="AJ634" s="230"/>
      <c r="AK634" s="230"/>
    </row>
    <row r="635">
      <c r="O635" s="230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  <c r="AI635" s="230"/>
      <c r="AJ635" s="230"/>
      <c r="AK635" s="230"/>
    </row>
    <row r="636">
      <c r="O636" s="230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  <c r="AI636" s="230"/>
      <c r="AJ636" s="230"/>
      <c r="AK636" s="230"/>
    </row>
    <row r="637">
      <c r="O637" s="230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  <c r="AI637" s="230"/>
      <c r="AJ637" s="230"/>
      <c r="AK637" s="230"/>
    </row>
    <row r="638">
      <c r="O638" s="230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  <c r="AI638" s="230"/>
      <c r="AJ638" s="230"/>
      <c r="AK638" s="230"/>
    </row>
    <row r="639">
      <c r="O639" s="230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  <c r="AJ639" s="230"/>
      <c r="AK639" s="230"/>
    </row>
    <row r="640">
      <c r="O640" s="230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  <c r="AI640" s="230"/>
      <c r="AJ640" s="230"/>
      <c r="AK640" s="230"/>
    </row>
    <row r="641">
      <c r="O641" s="230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  <c r="AI641" s="230"/>
      <c r="AJ641" s="230"/>
      <c r="AK641" s="230"/>
    </row>
    <row r="642">
      <c r="O642" s="230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  <c r="AI642" s="230"/>
      <c r="AJ642" s="230"/>
      <c r="AK642" s="230"/>
    </row>
    <row r="643">
      <c r="O643" s="230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  <c r="AI643" s="230"/>
      <c r="AJ643" s="230"/>
      <c r="AK643" s="230"/>
    </row>
    <row r="644">
      <c r="O644" s="230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  <c r="AI644" s="230"/>
      <c r="AJ644" s="230"/>
      <c r="AK644" s="230"/>
    </row>
    <row r="645">
      <c r="O645" s="230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  <c r="AI645" s="230"/>
      <c r="AJ645" s="230"/>
      <c r="AK645" s="230"/>
    </row>
    <row r="646">
      <c r="O646" s="230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  <c r="AI646" s="230"/>
      <c r="AJ646" s="230"/>
      <c r="AK646" s="230"/>
    </row>
    <row r="647">
      <c r="O647" s="230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  <c r="AI647" s="230"/>
      <c r="AJ647" s="230"/>
      <c r="AK647" s="230"/>
    </row>
    <row r="648">
      <c r="O648" s="230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  <c r="AI648" s="230"/>
      <c r="AJ648" s="230"/>
      <c r="AK648" s="230"/>
    </row>
    <row r="649">
      <c r="O649" s="230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  <c r="AI649" s="230"/>
      <c r="AJ649" s="230"/>
      <c r="AK649" s="230"/>
    </row>
    <row r="650">
      <c r="O650" s="230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  <c r="AI650" s="230"/>
      <c r="AJ650" s="230"/>
      <c r="AK650" s="230"/>
    </row>
    <row r="651">
      <c r="O651" s="230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  <c r="AI651" s="230"/>
      <c r="AJ651" s="230"/>
      <c r="AK651" s="230"/>
    </row>
    <row r="652">
      <c r="O652" s="230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  <c r="AI652" s="230"/>
      <c r="AJ652" s="230"/>
      <c r="AK652" s="230"/>
    </row>
    <row r="653">
      <c r="O653" s="230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  <c r="AI653" s="230"/>
      <c r="AJ653" s="230"/>
      <c r="AK653" s="230"/>
    </row>
    <row r="654">
      <c r="O654" s="230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  <c r="AI654" s="230"/>
      <c r="AJ654" s="230"/>
      <c r="AK654" s="230"/>
    </row>
    <row r="655">
      <c r="O655" s="230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  <c r="AI655" s="230"/>
      <c r="AJ655" s="230"/>
      <c r="AK655" s="230"/>
    </row>
    <row r="656">
      <c r="O656" s="230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  <c r="AI656" s="230"/>
      <c r="AJ656" s="230"/>
      <c r="AK656" s="230"/>
    </row>
    <row r="657">
      <c r="O657" s="230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  <c r="AI657" s="230"/>
      <c r="AJ657" s="230"/>
      <c r="AK657" s="230"/>
    </row>
    <row r="658">
      <c r="O658" s="230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  <c r="AI658" s="230"/>
      <c r="AJ658" s="230"/>
      <c r="AK658" s="230"/>
    </row>
    <row r="659">
      <c r="O659" s="230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  <c r="AI659" s="230"/>
      <c r="AJ659" s="230"/>
      <c r="AK659" s="230"/>
    </row>
    <row r="660">
      <c r="O660" s="230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  <c r="AI660" s="230"/>
      <c r="AJ660" s="230"/>
      <c r="AK660" s="230"/>
    </row>
    <row r="661">
      <c r="O661" s="230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  <c r="AJ661" s="230"/>
      <c r="AK661" s="230"/>
    </row>
    <row r="662">
      <c r="O662" s="230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  <c r="AI662" s="230"/>
      <c r="AJ662" s="230"/>
      <c r="AK662" s="230"/>
    </row>
    <row r="663">
      <c r="O663" s="230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  <c r="AI663" s="230"/>
      <c r="AJ663" s="230"/>
      <c r="AK663" s="230"/>
    </row>
    <row r="664">
      <c r="O664" s="230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  <c r="AI664" s="230"/>
      <c r="AJ664" s="230"/>
      <c r="AK664" s="230"/>
    </row>
    <row r="665">
      <c r="O665" s="230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  <c r="AI665" s="230"/>
      <c r="AJ665" s="230"/>
      <c r="AK665" s="230"/>
    </row>
    <row r="666">
      <c r="O666" s="230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  <c r="AI666" s="230"/>
      <c r="AJ666" s="230"/>
      <c r="AK666" s="230"/>
    </row>
    <row r="667">
      <c r="O667" s="230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  <c r="AI667" s="230"/>
      <c r="AJ667" s="230"/>
      <c r="AK667" s="230"/>
    </row>
    <row r="668">
      <c r="O668" s="230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  <c r="AI668" s="230"/>
      <c r="AJ668" s="230"/>
      <c r="AK668" s="230"/>
    </row>
    <row r="669">
      <c r="O669" s="230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  <c r="AI669" s="230"/>
      <c r="AJ669" s="230"/>
      <c r="AK669" s="230"/>
    </row>
    <row r="670">
      <c r="O670" s="230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  <c r="AI670" s="230"/>
      <c r="AJ670" s="230"/>
      <c r="AK670" s="230"/>
    </row>
    <row r="671">
      <c r="O671" s="230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  <c r="AI671" s="230"/>
      <c r="AJ671" s="230"/>
      <c r="AK671" s="230"/>
    </row>
    <row r="672">
      <c r="O672" s="230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  <c r="AI672" s="230"/>
      <c r="AJ672" s="230"/>
      <c r="AK672" s="230"/>
    </row>
    <row r="673">
      <c r="O673" s="230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  <c r="AI673" s="230"/>
      <c r="AJ673" s="230"/>
      <c r="AK673" s="230"/>
    </row>
    <row r="674">
      <c r="O674" s="230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  <c r="AI674" s="230"/>
      <c r="AJ674" s="230"/>
      <c r="AK674" s="230"/>
    </row>
    <row r="675">
      <c r="O675" s="230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  <c r="AI675" s="230"/>
      <c r="AJ675" s="230"/>
      <c r="AK675" s="230"/>
    </row>
    <row r="676">
      <c r="O676" s="230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  <c r="AI676" s="230"/>
      <c r="AJ676" s="230"/>
      <c r="AK676" s="230"/>
    </row>
    <row r="677">
      <c r="O677" s="230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  <c r="AI677" s="230"/>
      <c r="AJ677" s="230"/>
      <c r="AK677" s="230"/>
    </row>
    <row r="678">
      <c r="O678" s="230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  <c r="AI678" s="230"/>
      <c r="AJ678" s="230"/>
      <c r="AK678" s="230"/>
    </row>
    <row r="679">
      <c r="O679" s="230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  <c r="AI679" s="230"/>
      <c r="AJ679" s="230"/>
      <c r="AK679" s="230"/>
    </row>
    <row r="680">
      <c r="O680" s="230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  <c r="AI680" s="230"/>
      <c r="AJ680" s="230"/>
      <c r="AK680" s="230"/>
    </row>
    <row r="681">
      <c r="O681" s="230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  <c r="AI681" s="230"/>
      <c r="AJ681" s="230"/>
      <c r="AK681" s="230"/>
    </row>
    <row r="682">
      <c r="O682" s="230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  <c r="AI682" s="230"/>
      <c r="AJ682" s="230"/>
      <c r="AK682" s="230"/>
    </row>
    <row r="683">
      <c r="O683" s="230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  <c r="AJ683" s="230"/>
      <c r="AK683" s="230"/>
    </row>
    <row r="684">
      <c r="O684" s="230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  <c r="AI684" s="230"/>
      <c r="AJ684" s="230"/>
      <c r="AK684" s="230"/>
    </row>
    <row r="685">
      <c r="O685" s="230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  <c r="AI685" s="230"/>
      <c r="AJ685" s="230"/>
      <c r="AK685" s="230"/>
    </row>
    <row r="686">
      <c r="O686" s="230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  <c r="AI686" s="230"/>
      <c r="AJ686" s="230"/>
      <c r="AK686" s="230"/>
    </row>
    <row r="687">
      <c r="O687" s="230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  <c r="AI687" s="230"/>
      <c r="AJ687" s="230"/>
      <c r="AK687" s="230"/>
    </row>
    <row r="688">
      <c r="O688" s="230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  <c r="AI688" s="230"/>
      <c r="AJ688" s="230"/>
      <c r="AK688" s="230"/>
    </row>
    <row r="689">
      <c r="O689" s="230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  <c r="AI689" s="230"/>
      <c r="AJ689" s="230"/>
      <c r="AK689" s="230"/>
    </row>
    <row r="690">
      <c r="O690" s="230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  <c r="AI690" s="230"/>
      <c r="AJ690" s="230"/>
      <c r="AK690" s="230"/>
    </row>
    <row r="691">
      <c r="O691" s="230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  <c r="AI691" s="230"/>
      <c r="AJ691" s="230"/>
      <c r="AK691" s="230"/>
    </row>
    <row r="692">
      <c r="O692" s="230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  <c r="AI692" s="230"/>
      <c r="AJ692" s="230"/>
      <c r="AK692" s="230"/>
    </row>
    <row r="693">
      <c r="O693" s="230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  <c r="AI693" s="230"/>
      <c r="AJ693" s="230"/>
      <c r="AK693" s="230"/>
    </row>
    <row r="694">
      <c r="O694" s="230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  <c r="AI694" s="230"/>
      <c r="AJ694" s="230"/>
      <c r="AK694" s="230"/>
    </row>
    <row r="695">
      <c r="O695" s="230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  <c r="AI695" s="230"/>
      <c r="AJ695" s="230"/>
      <c r="AK695" s="230"/>
    </row>
    <row r="696">
      <c r="O696" s="230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  <c r="AI696" s="230"/>
      <c r="AJ696" s="230"/>
      <c r="AK696" s="230"/>
    </row>
    <row r="697">
      <c r="O697" s="230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  <c r="AI697" s="230"/>
      <c r="AJ697" s="230"/>
      <c r="AK697" s="230"/>
    </row>
    <row r="698">
      <c r="O698" s="230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  <c r="AI698" s="230"/>
      <c r="AJ698" s="230"/>
      <c r="AK698" s="230"/>
    </row>
    <row r="699">
      <c r="O699" s="230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  <c r="AI699" s="230"/>
      <c r="AJ699" s="230"/>
      <c r="AK699" s="230"/>
    </row>
    <row r="700">
      <c r="O700" s="230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  <c r="AI700" s="230"/>
      <c r="AJ700" s="230"/>
      <c r="AK700" s="230"/>
    </row>
    <row r="701">
      <c r="O701" s="230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  <c r="AI701" s="230"/>
      <c r="AJ701" s="230"/>
      <c r="AK701" s="230"/>
    </row>
    <row r="702">
      <c r="O702" s="230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  <c r="AI702" s="230"/>
      <c r="AJ702" s="230"/>
      <c r="AK702" s="230"/>
    </row>
    <row r="703">
      <c r="O703" s="230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  <c r="AI703" s="230"/>
      <c r="AJ703" s="230"/>
      <c r="AK703" s="230"/>
    </row>
    <row r="704">
      <c r="O704" s="230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  <c r="AI704" s="230"/>
      <c r="AJ704" s="230"/>
      <c r="AK704" s="230"/>
    </row>
    <row r="705">
      <c r="O705" s="230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  <c r="AI705" s="230"/>
      <c r="AJ705" s="230"/>
      <c r="AK705" s="230"/>
    </row>
    <row r="706">
      <c r="O706" s="230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  <c r="AI706" s="230"/>
      <c r="AJ706" s="230"/>
      <c r="AK706" s="230"/>
    </row>
    <row r="707">
      <c r="O707" s="230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  <c r="AI707" s="230"/>
      <c r="AJ707" s="230"/>
      <c r="AK707" s="230"/>
    </row>
    <row r="708">
      <c r="O708" s="230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  <c r="AI708" s="230"/>
      <c r="AJ708" s="230"/>
      <c r="AK708" s="230"/>
    </row>
    <row r="709">
      <c r="O709" s="230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  <c r="AI709" s="230"/>
      <c r="AJ709" s="230"/>
      <c r="AK709" s="230"/>
    </row>
    <row r="710">
      <c r="O710" s="230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  <c r="AI710" s="230"/>
      <c r="AJ710" s="230"/>
      <c r="AK710" s="230"/>
    </row>
    <row r="711">
      <c r="O711" s="230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  <c r="AI711" s="230"/>
      <c r="AJ711" s="230"/>
      <c r="AK711" s="230"/>
    </row>
    <row r="712">
      <c r="O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  <c r="AI712" s="230"/>
      <c r="AJ712" s="230"/>
      <c r="AK712" s="230"/>
    </row>
    <row r="713">
      <c r="O713" s="230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  <c r="AI713" s="230"/>
      <c r="AJ713" s="230"/>
      <c r="AK713" s="230"/>
    </row>
    <row r="714">
      <c r="O714" s="230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  <c r="AI714" s="230"/>
      <c r="AJ714" s="230"/>
      <c r="AK714" s="230"/>
    </row>
    <row r="715">
      <c r="O715" s="230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  <c r="AI715" s="230"/>
      <c r="AJ715" s="230"/>
      <c r="AK715" s="230"/>
    </row>
    <row r="716">
      <c r="O716" s="230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  <c r="AI716" s="230"/>
      <c r="AJ716" s="230"/>
      <c r="AK716" s="230"/>
    </row>
    <row r="717">
      <c r="O717" s="230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  <c r="AI717" s="230"/>
      <c r="AJ717" s="230"/>
      <c r="AK717" s="230"/>
    </row>
    <row r="718">
      <c r="O718" s="230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  <c r="AI718" s="230"/>
      <c r="AJ718" s="230"/>
      <c r="AK718" s="230"/>
    </row>
    <row r="719">
      <c r="O719" s="230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  <c r="AI719" s="230"/>
      <c r="AJ719" s="230"/>
      <c r="AK719" s="230"/>
    </row>
    <row r="720">
      <c r="O720" s="230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  <c r="AI720" s="230"/>
      <c r="AJ720" s="230"/>
      <c r="AK720" s="230"/>
    </row>
    <row r="721">
      <c r="O721" s="230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  <c r="AI721" s="230"/>
      <c r="AJ721" s="230"/>
      <c r="AK721" s="230"/>
    </row>
    <row r="722">
      <c r="O722" s="230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  <c r="AI722" s="230"/>
      <c r="AJ722" s="230"/>
      <c r="AK722" s="230"/>
    </row>
    <row r="723">
      <c r="O723" s="230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  <c r="AI723" s="230"/>
      <c r="AJ723" s="230"/>
      <c r="AK723" s="230"/>
    </row>
    <row r="724">
      <c r="O724" s="230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  <c r="AI724" s="230"/>
      <c r="AJ724" s="230"/>
      <c r="AK724" s="230"/>
    </row>
    <row r="725">
      <c r="O725" s="230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  <c r="AI725" s="230"/>
      <c r="AJ725" s="230"/>
      <c r="AK725" s="230"/>
    </row>
    <row r="726">
      <c r="O726" s="230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  <c r="AI726" s="230"/>
      <c r="AJ726" s="230"/>
      <c r="AK726" s="230"/>
    </row>
    <row r="727">
      <c r="O727" s="230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  <c r="AI727" s="230"/>
      <c r="AJ727" s="230"/>
      <c r="AK727" s="230"/>
    </row>
    <row r="728">
      <c r="O728" s="230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  <c r="AI728" s="230"/>
      <c r="AJ728" s="230"/>
      <c r="AK728" s="230"/>
    </row>
    <row r="729">
      <c r="O729" s="230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  <c r="AI729" s="230"/>
      <c r="AJ729" s="230"/>
      <c r="AK729" s="230"/>
    </row>
    <row r="730">
      <c r="O730" s="230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  <c r="AI730" s="230"/>
      <c r="AJ730" s="230"/>
      <c r="AK730" s="230"/>
    </row>
    <row r="731">
      <c r="O731" s="230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  <c r="AI731" s="230"/>
      <c r="AJ731" s="230"/>
      <c r="AK731" s="230"/>
    </row>
    <row r="732">
      <c r="O732" s="230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  <c r="AI732" s="230"/>
      <c r="AJ732" s="230"/>
      <c r="AK732" s="230"/>
    </row>
    <row r="733">
      <c r="O733" s="230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  <c r="AJ733" s="230"/>
      <c r="AK733" s="230"/>
    </row>
    <row r="734">
      <c r="O734" s="230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  <c r="AJ734" s="230"/>
      <c r="AK734" s="230"/>
    </row>
    <row r="735">
      <c r="O735" s="230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  <c r="AJ735" s="230"/>
      <c r="AK735" s="230"/>
    </row>
    <row r="736">
      <c r="O736" s="230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  <c r="AJ736" s="230"/>
      <c r="AK736" s="230"/>
    </row>
    <row r="737">
      <c r="O737" s="230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  <c r="AJ737" s="230"/>
      <c r="AK737" s="230"/>
    </row>
    <row r="738">
      <c r="O738" s="230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  <c r="AJ738" s="230"/>
      <c r="AK738" s="230"/>
    </row>
    <row r="739">
      <c r="O739" s="230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  <c r="AJ739" s="230"/>
      <c r="AK739" s="230"/>
    </row>
    <row r="740">
      <c r="O740" s="230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  <c r="AJ740" s="230"/>
      <c r="AK740" s="230"/>
    </row>
    <row r="741">
      <c r="O741" s="230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  <c r="AJ741" s="230"/>
      <c r="AK741" s="230"/>
    </row>
    <row r="742">
      <c r="O742" s="230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  <c r="AJ742" s="230"/>
      <c r="AK742" s="230"/>
    </row>
    <row r="743">
      <c r="O743" s="230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  <c r="AJ743" s="230"/>
      <c r="AK743" s="230"/>
    </row>
    <row r="744">
      <c r="O744" s="230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  <c r="AJ744" s="230"/>
      <c r="AK744" s="230"/>
    </row>
    <row r="745">
      <c r="O745" s="230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  <c r="AJ745" s="230"/>
      <c r="AK745" s="230"/>
    </row>
    <row r="746">
      <c r="O746" s="230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  <c r="AJ746" s="230"/>
      <c r="AK746" s="230"/>
    </row>
    <row r="747">
      <c r="O747" s="230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  <c r="AJ747" s="230"/>
      <c r="AK747" s="230"/>
    </row>
    <row r="748">
      <c r="O748" s="230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  <c r="AJ748" s="230"/>
      <c r="AK748" s="230"/>
    </row>
    <row r="749">
      <c r="O749" s="230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  <c r="AI749" s="230"/>
      <c r="AJ749" s="230"/>
      <c r="AK749" s="230"/>
    </row>
    <row r="750">
      <c r="O750" s="230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  <c r="AI750" s="230"/>
      <c r="AJ750" s="230"/>
      <c r="AK750" s="230"/>
    </row>
    <row r="751">
      <c r="O751" s="230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  <c r="AI751" s="230"/>
      <c r="AJ751" s="230"/>
      <c r="AK751" s="230"/>
    </row>
    <row r="752">
      <c r="O752" s="230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  <c r="AI752" s="230"/>
      <c r="AJ752" s="230"/>
      <c r="AK752" s="230"/>
    </row>
    <row r="753">
      <c r="O753" s="230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  <c r="AI753" s="230"/>
      <c r="AJ753" s="230"/>
      <c r="AK753" s="230"/>
    </row>
    <row r="754">
      <c r="O754" s="230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  <c r="AI754" s="230"/>
      <c r="AJ754" s="230"/>
      <c r="AK754" s="230"/>
    </row>
    <row r="755">
      <c r="O755" s="230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  <c r="AI755" s="230"/>
      <c r="AJ755" s="230"/>
      <c r="AK755" s="230"/>
    </row>
    <row r="756">
      <c r="O756" s="230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  <c r="AI756" s="230"/>
      <c r="AJ756" s="230"/>
      <c r="AK756" s="230"/>
    </row>
    <row r="757">
      <c r="O757" s="230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  <c r="AI757" s="230"/>
      <c r="AJ757" s="230"/>
      <c r="AK757" s="230"/>
    </row>
    <row r="758">
      <c r="O758" s="230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  <c r="AI758" s="230"/>
      <c r="AJ758" s="230"/>
      <c r="AK758" s="230"/>
    </row>
    <row r="759">
      <c r="O759" s="230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  <c r="AI759" s="230"/>
      <c r="AJ759" s="230"/>
      <c r="AK759" s="230"/>
    </row>
    <row r="760">
      <c r="O760" s="230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  <c r="AI760" s="230"/>
      <c r="AJ760" s="230"/>
      <c r="AK760" s="230"/>
    </row>
    <row r="761">
      <c r="O761" s="230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  <c r="AI761" s="230"/>
      <c r="AJ761" s="230"/>
      <c r="AK761" s="230"/>
    </row>
    <row r="762">
      <c r="O762" s="230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  <c r="AI762" s="230"/>
      <c r="AJ762" s="230"/>
      <c r="AK762" s="230"/>
    </row>
    <row r="763">
      <c r="O763" s="230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  <c r="AI763" s="230"/>
      <c r="AJ763" s="230"/>
      <c r="AK763" s="230"/>
    </row>
    <row r="764">
      <c r="O764" s="230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  <c r="AI764" s="230"/>
      <c r="AJ764" s="230"/>
      <c r="AK764" s="230"/>
    </row>
    <row r="765">
      <c r="O765" s="230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  <c r="AI765" s="230"/>
      <c r="AJ765" s="230"/>
      <c r="AK765" s="230"/>
    </row>
    <row r="766">
      <c r="O766" s="230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  <c r="AI766" s="230"/>
      <c r="AJ766" s="230"/>
      <c r="AK766" s="230"/>
    </row>
    <row r="767">
      <c r="O767" s="230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  <c r="AI767" s="230"/>
      <c r="AJ767" s="230"/>
      <c r="AK767" s="230"/>
    </row>
    <row r="768">
      <c r="O768" s="230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  <c r="AI768" s="230"/>
      <c r="AJ768" s="230"/>
      <c r="AK768" s="230"/>
    </row>
    <row r="769">
      <c r="O769" s="230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  <c r="AI769" s="230"/>
      <c r="AJ769" s="230"/>
      <c r="AK769" s="230"/>
    </row>
    <row r="770">
      <c r="O770" s="230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  <c r="AI770" s="230"/>
      <c r="AJ770" s="230"/>
      <c r="AK770" s="230"/>
    </row>
    <row r="771">
      <c r="O771" s="230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  <c r="AI771" s="230"/>
      <c r="AJ771" s="230"/>
      <c r="AK771" s="230"/>
    </row>
    <row r="772">
      <c r="O772" s="230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  <c r="AI772" s="230"/>
      <c r="AJ772" s="230"/>
      <c r="AK772" s="230"/>
    </row>
    <row r="773">
      <c r="O773" s="230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  <c r="AI773" s="230"/>
      <c r="AJ773" s="230"/>
      <c r="AK773" s="230"/>
    </row>
    <row r="774">
      <c r="O774" s="230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  <c r="AI774" s="230"/>
      <c r="AJ774" s="230"/>
      <c r="AK774" s="230"/>
    </row>
    <row r="775">
      <c r="O775" s="230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  <c r="AI775" s="230"/>
      <c r="AJ775" s="230"/>
      <c r="AK775" s="230"/>
    </row>
    <row r="776">
      <c r="O776" s="230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  <c r="AI776" s="230"/>
      <c r="AJ776" s="230"/>
      <c r="AK776" s="230"/>
    </row>
    <row r="777">
      <c r="O777" s="230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  <c r="AI777" s="230"/>
      <c r="AJ777" s="230"/>
      <c r="AK777" s="230"/>
    </row>
    <row r="778">
      <c r="O778" s="230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  <c r="AI778" s="230"/>
      <c r="AJ778" s="230"/>
      <c r="AK778" s="230"/>
    </row>
    <row r="779">
      <c r="O779" s="230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  <c r="AI779" s="230"/>
      <c r="AJ779" s="230"/>
      <c r="AK779" s="230"/>
    </row>
    <row r="780">
      <c r="O780" s="230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  <c r="AI780" s="230"/>
      <c r="AJ780" s="230"/>
      <c r="AK780" s="230"/>
    </row>
    <row r="781">
      <c r="O781" s="230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  <c r="AI781" s="230"/>
      <c r="AJ781" s="230"/>
      <c r="AK781" s="230"/>
    </row>
    <row r="782">
      <c r="O782" s="230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  <c r="AI782" s="230"/>
      <c r="AJ782" s="230"/>
      <c r="AK782" s="230"/>
    </row>
    <row r="783">
      <c r="O783" s="230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  <c r="AJ783" s="230"/>
      <c r="AK783" s="230"/>
    </row>
    <row r="784">
      <c r="O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  <c r="AI784" s="230"/>
      <c r="AJ784" s="230"/>
      <c r="AK784" s="230"/>
    </row>
    <row r="785">
      <c r="O785" s="230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  <c r="AI785" s="230"/>
      <c r="AJ785" s="230"/>
      <c r="AK785" s="230"/>
    </row>
    <row r="786">
      <c r="O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  <c r="AI786" s="230"/>
      <c r="AJ786" s="230"/>
      <c r="AK786" s="230"/>
    </row>
    <row r="787">
      <c r="O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  <c r="AI787" s="230"/>
      <c r="AJ787" s="230"/>
      <c r="AK787" s="230"/>
    </row>
    <row r="788">
      <c r="O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  <c r="AI788" s="230"/>
      <c r="AJ788" s="230"/>
      <c r="AK788" s="230"/>
    </row>
    <row r="789">
      <c r="O789" s="230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  <c r="AI789" s="230"/>
      <c r="AJ789" s="230"/>
      <c r="AK789" s="230"/>
    </row>
    <row r="790">
      <c r="O790" s="230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  <c r="AI790" s="230"/>
      <c r="AJ790" s="230"/>
      <c r="AK790" s="230"/>
    </row>
    <row r="791">
      <c r="O791" s="230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  <c r="AI791" s="230"/>
      <c r="AJ791" s="230"/>
      <c r="AK791" s="230"/>
    </row>
    <row r="792">
      <c r="O792" s="230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  <c r="AI792" s="230"/>
      <c r="AJ792" s="230"/>
      <c r="AK792" s="230"/>
    </row>
    <row r="793">
      <c r="O793" s="230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  <c r="AI793" s="230"/>
      <c r="AJ793" s="230"/>
      <c r="AK793" s="230"/>
    </row>
    <row r="794">
      <c r="O794" s="230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  <c r="AI794" s="230"/>
      <c r="AJ794" s="230"/>
      <c r="AK794" s="230"/>
    </row>
    <row r="795">
      <c r="O795" s="230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  <c r="AI795" s="230"/>
      <c r="AJ795" s="230"/>
      <c r="AK795" s="230"/>
    </row>
    <row r="796">
      <c r="O796" s="230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  <c r="AI796" s="230"/>
      <c r="AJ796" s="230"/>
      <c r="AK796" s="230"/>
    </row>
    <row r="797">
      <c r="O797" s="230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  <c r="AI797" s="230"/>
      <c r="AJ797" s="230"/>
      <c r="AK797" s="230"/>
    </row>
    <row r="798">
      <c r="O798" s="230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  <c r="AI798" s="230"/>
      <c r="AJ798" s="230"/>
      <c r="AK798" s="230"/>
    </row>
    <row r="799">
      <c r="O799" s="230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  <c r="AI799" s="230"/>
      <c r="AJ799" s="230"/>
      <c r="AK799" s="230"/>
    </row>
    <row r="800">
      <c r="O800" s="230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  <c r="AI800" s="230"/>
      <c r="AJ800" s="230"/>
      <c r="AK800" s="230"/>
    </row>
    <row r="801">
      <c r="O801" s="230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  <c r="AI801" s="230"/>
      <c r="AJ801" s="230"/>
      <c r="AK801" s="230"/>
    </row>
    <row r="802">
      <c r="O802" s="230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  <c r="AI802" s="230"/>
      <c r="AJ802" s="230"/>
      <c r="AK802" s="230"/>
    </row>
    <row r="803">
      <c r="O803" s="230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  <c r="AI803" s="230"/>
      <c r="AJ803" s="230"/>
      <c r="AK803" s="230"/>
    </row>
    <row r="804">
      <c r="O804" s="230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  <c r="AI804" s="230"/>
      <c r="AJ804" s="230"/>
      <c r="AK804" s="230"/>
    </row>
    <row r="805">
      <c r="O805" s="230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  <c r="AI805" s="230"/>
      <c r="AJ805" s="230"/>
      <c r="AK805" s="230"/>
    </row>
    <row r="806">
      <c r="O806" s="230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  <c r="AI806" s="230"/>
      <c r="AJ806" s="230"/>
      <c r="AK806" s="230"/>
    </row>
    <row r="807">
      <c r="O807" s="230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  <c r="AI807" s="230"/>
      <c r="AJ807" s="230"/>
      <c r="AK807" s="230"/>
    </row>
    <row r="808">
      <c r="O808" s="230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  <c r="AI808" s="230"/>
      <c r="AJ808" s="230"/>
      <c r="AK808" s="230"/>
    </row>
    <row r="809">
      <c r="O809" s="230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  <c r="AI809" s="230"/>
      <c r="AJ809" s="230"/>
      <c r="AK809" s="230"/>
    </row>
    <row r="810">
      <c r="O810" s="230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  <c r="AI810" s="230"/>
      <c r="AJ810" s="230"/>
      <c r="AK810" s="230"/>
    </row>
    <row r="811">
      <c r="O811" s="230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  <c r="AI811" s="230"/>
      <c r="AJ811" s="230"/>
      <c r="AK811" s="230"/>
    </row>
    <row r="812">
      <c r="O812" s="230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  <c r="AI812" s="230"/>
      <c r="AJ812" s="230"/>
      <c r="AK812" s="230"/>
    </row>
    <row r="813">
      <c r="O813" s="230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  <c r="AI813" s="230"/>
      <c r="AJ813" s="230"/>
      <c r="AK813" s="230"/>
    </row>
    <row r="814">
      <c r="O814" s="230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  <c r="AI814" s="230"/>
      <c r="AJ814" s="230"/>
      <c r="AK814" s="230"/>
    </row>
    <row r="815">
      <c r="O815" s="230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  <c r="AI815" s="230"/>
      <c r="AJ815" s="230"/>
      <c r="AK815" s="230"/>
    </row>
    <row r="816">
      <c r="O816" s="230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  <c r="AI816" s="230"/>
      <c r="AJ816" s="230"/>
      <c r="AK816" s="230"/>
    </row>
    <row r="817">
      <c r="O817" s="230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  <c r="AI817" s="230"/>
      <c r="AJ817" s="230"/>
      <c r="AK817" s="230"/>
    </row>
    <row r="818">
      <c r="O818" s="230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  <c r="AI818" s="230"/>
      <c r="AJ818" s="230"/>
      <c r="AK818" s="230"/>
    </row>
    <row r="819">
      <c r="O819" s="230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  <c r="AI819" s="230"/>
      <c r="AJ819" s="230"/>
      <c r="AK819" s="230"/>
    </row>
    <row r="820">
      <c r="O820" s="230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  <c r="AI820" s="230"/>
      <c r="AJ820" s="230"/>
      <c r="AK820" s="230"/>
    </row>
    <row r="821">
      <c r="O821" s="230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  <c r="AI821" s="230"/>
      <c r="AJ821" s="230"/>
      <c r="AK821" s="230"/>
    </row>
    <row r="822">
      <c r="O822" s="230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  <c r="AI822" s="230"/>
      <c r="AJ822" s="230"/>
      <c r="AK822" s="230"/>
    </row>
    <row r="823">
      <c r="O823" s="230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  <c r="AI823" s="230"/>
      <c r="AJ823" s="230"/>
      <c r="AK823" s="230"/>
    </row>
    <row r="824">
      <c r="O824" s="230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  <c r="AI824" s="230"/>
      <c r="AJ824" s="230"/>
      <c r="AK824" s="230"/>
    </row>
    <row r="825">
      <c r="O825" s="230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  <c r="AI825" s="230"/>
      <c r="AJ825" s="230"/>
      <c r="AK825" s="230"/>
    </row>
    <row r="826">
      <c r="O826" s="230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  <c r="AI826" s="230"/>
      <c r="AJ826" s="230"/>
      <c r="AK826" s="230"/>
    </row>
    <row r="827">
      <c r="O827" s="230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  <c r="AI827" s="230"/>
      <c r="AJ827" s="230"/>
      <c r="AK827" s="230"/>
    </row>
    <row r="828">
      <c r="O828" s="230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  <c r="AI828" s="230"/>
      <c r="AJ828" s="230"/>
      <c r="AK828" s="230"/>
    </row>
    <row r="829">
      <c r="O829" s="230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  <c r="AI829" s="230"/>
      <c r="AJ829" s="230"/>
      <c r="AK829" s="230"/>
    </row>
    <row r="830">
      <c r="O830" s="230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  <c r="AI830" s="230"/>
      <c r="AJ830" s="230"/>
      <c r="AK830" s="230"/>
    </row>
    <row r="831">
      <c r="O831" s="230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  <c r="AJ831" s="230"/>
      <c r="AK831" s="230"/>
    </row>
    <row r="832">
      <c r="O832" s="230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  <c r="AI832" s="230"/>
      <c r="AJ832" s="230"/>
      <c r="AK832" s="230"/>
    </row>
    <row r="833">
      <c r="O833" s="230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  <c r="AI833" s="230"/>
      <c r="AJ833" s="230"/>
      <c r="AK833" s="230"/>
    </row>
    <row r="834">
      <c r="O834" s="230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  <c r="AI834" s="230"/>
      <c r="AJ834" s="230"/>
      <c r="AK834" s="230"/>
    </row>
    <row r="835">
      <c r="O835" s="230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  <c r="AI835" s="230"/>
      <c r="AJ835" s="230"/>
      <c r="AK835" s="230"/>
    </row>
    <row r="836">
      <c r="O836" s="230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  <c r="AI836" s="230"/>
      <c r="AJ836" s="230"/>
      <c r="AK836" s="230"/>
    </row>
    <row r="837">
      <c r="O837" s="230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  <c r="AI837" s="230"/>
      <c r="AJ837" s="230"/>
      <c r="AK837" s="230"/>
    </row>
    <row r="838">
      <c r="O838" s="230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  <c r="AI838" s="230"/>
      <c r="AJ838" s="230"/>
      <c r="AK838" s="230"/>
    </row>
    <row r="839">
      <c r="O839" s="230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  <c r="AI839" s="230"/>
      <c r="AJ839" s="230"/>
      <c r="AK839" s="230"/>
    </row>
    <row r="840">
      <c r="O840" s="230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  <c r="AI840" s="230"/>
      <c r="AJ840" s="230"/>
      <c r="AK840" s="230"/>
    </row>
    <row r="841">
      <c r="O841" s="230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  <c r="AI841" s="230"/>
      <c r="AJ841" s="230"/>
      <c r="AK841" s="230"/>
    </row>
    <row r="842">
      <c r="O842" s="230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  <c r="AI842" s="230"/>
      <c r="AJ842" s="230"/>
      <c r="AK842" s="230"/>
    </row>
    <row r="843">
      <c r="O843" s="230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  <c r="AI843" s="230"/>
      <c r="AJ843" s="230"/>
      <c r="AK843" s="230"/>
    </row>
    <row r="844">
      <c r="O844" s="230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  <c r="AI844" s="230"/>
      <c r="AJ844" s="230"/>
      <c r="AK844" s="230"/>
    </row>
    <row r="845">
      <c r="O845" s="230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  <c r="AI845" s="230"/>
      <c r="AJ845" s="230"/>
      <c r="AK845" s="230"/>
    </row>
    <row r="846">
      <c r="O846" s="230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  <c r="AI846" s="230"/>
      <c r="AJ846" s="230"/>
      <c r="AK846" s="230"/>
    </row>
    <row r="847">
      <c r="O847" s="230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  <c r="AI847" s="230"/>
      <c r="AJ847" s="230"/>
      <c r="AK847" s="230"/>
    </row>
    <row r="848">
      <c r="O848" s="230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  <c r="AI848" s="230"/>
      <c r="AJ848" s="230"/>
      <c r="AK848" s="230"/>
    </row>
    <row r="849">
      <c r="O849" s="230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  <c r="AI849" s="230"/>
      <c r="AJ849" s="230"/>
      <c r="AK849" s="230"/>
    </row>
    <row r="850">
      <c r="O850" s="230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  <c r="AI850" s="230"/>
      <c r="AJ850" s="230"/>
      <c r="AK850" s="230"/>
    </row>
    <row r="851">
      <c r="O851" s="230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  <c r="AI851" s="230"/>
      <c r="AJ851" s="230"/>
      <c r="AK851" s="230"/>
    </row>
    <row r="852">
      <c r="O852" s="230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  <c r="AI852" s="230"/>
      <c r="AJ852" s="230"/>
      <c r="AK852" s="230"/>
    </row>
    <row r="853">
      <c r="O853" s="230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  <c r="AI853" s="230"/>
      <c r="AJ853" s="230"/>
      <c r="AK853" s="230"/>
    </row>
    <row r="854">
      <c r="O854" s="230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  <c r="AI854" s="230"/>
      <c r="AJ854" s="230"/>
      <c r="AK854" s="230"/>
    </row>
    <row r="855">
      <c r="O855" s="230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  <c r="AI855" s="230"/>
      <c r="AJ855" s="230"/>
      <c r="AK855" s="230"/>
    </row>
    <row r="856">
      <c r="O856" s="230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  <c r="AI856" s="230"/>
      <c r="AJ856" s="230"/>
      <c r="AK856" s="230"/>
    </row>
    <row r="857">
      <c r="O857" s="230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  <c r="AI857" s="230"/>
      <c r="AJ857" s="230"/>
      <c r="AK857" s="230"/>
    </row>
    <row r="858">
      <c r="O858" s="230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  <c r="AI858" s="230"/>
      <c r="AJ858" s="230"/>
      <c r="AK858" s="230"/>
    </row>
    <row r="859">
      <c r="O859" s="230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  <c r="AI859" s="230"/>
      <c r="AJ859" s="230"/>
      <c r="AK859" s="230"/>
    </row>
    <row r="860">
      <c r="O860" s="230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  <c r="AI860" s="230"/>
      <c r="AJ860" s="230"/>
      <c r="AK860" s="230"/>
    </row>
    <row r="861">
      <c r="O861" s="230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  <c r="AI861" s="230"/>
      <c r="AJ861" s="230"/>
      <c r="AK861" s="230"/>
    </row>
    <row r="862">
      <c r="O862" s="230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  <c r="AI862" s="230"/>
      <c r="AJ862" s="230"/>
      <c r="AK862" s="230"/>
    </row>
    <row r="863">
      <c r="O863" s="230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  <c r="AI863" s="230"/>
      <c r="AJ863" s="230"/>
      <c r="AK863" s="230"/>
    </row>
    <row r="864">
      <c r="O864" s="230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  <c r="AI864" s="230"/>
      <c r="AJ864" s="230"/>
      <c r="AK864" s="230"/>
    </row>
    <row r="865">
      <c r="O865" s="230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  <c r="AI865" s="230"/>
      <c r="AJ865" s="230"/>
      <c r="AK865" s="230"/>
    </row>
    <row r="866">
      <c r="O866" s="230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  <c r="AI866" s="230"/>
      <c r="AJ866" s="230"/>
      <c r="AK866" s="230"/>
    </row>
    <row r="867">
      <c r="O867" s="230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  <c r="AI867" s="230"/>
      <c r="AJ867" s="230"/>
      <c r="AK867" s="230"/>
    </row>
    <row r="868">
      <c r="O868" s="230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  <c r="AI868" s="230"/>
      <c r="AJ868" s="230"/>
      <c r="AK868" s="230"/>
    </row>
    <row r="869">
      <c r="O869" s="230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  <c r="AI869" s="230"/>
      <c r="AJ869" s="230"/>
      <c r="AK869" s="230"/>
    </row>
    <row r="870">
      <c r="O870" s="230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  <c r="AI870" s="230"/>
      <c r="AJ870" s="230"/>
      <c r="AK870" s="230"/>
    </row>
    <row r="871">
      <c r="O871" s="230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  <c r="AI871" s="230"/>
      <c r="AJ871" s="230"/>
      <c r="AK871" s="230"/>
    </row>
    <row r="872">
      <c r="O872" s="230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  <c r="AI872" s="230"/>
      <c r="AJ872" s="230"/>
      <c r="AK872" s="230"/>
    </row>
    <row r="873">
      <c r="O873" s="230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  <c r="AI873" s="230"/>
      <c r="AJ873" s="230"/>
      <c r="AK873" s="230"/>
    </row>
    <row r="874">
      <c r="O874" s="230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  <c r="AI874" s="230"/>
      <c r="AJ874" s="230"/>
      <c r="AK874" s="230"/>
    </row>
    <row r="875">
      <c r="O875" s="230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  <c r="AI875" s="230"/>
      <c r="AJ875" s="230"/>
      <c r="AK875" s="230"/>
    </row>
    <row r="876">
      <c r="O876" s="230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  <c r="AI876" s="230"/>
      <c r="AJ876" s="230"/>
      <c r="AK876" s="230"/>
    </row>
    <row r="877">
      <c r="O877" s="230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  <c r="AI877" s="230"/>
      <c r="AJ877" s="230"/>
      <c r="AK877" s="230"/>
    </row>
    <row r="878">
      <c r="O878" s="230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  <c r="AI878" s="230"/>
      <c r="AJ878" s="230"/>
      <c r="AK878" s="230"/>
    </row>
    <row r="879">
      <c r="O879" s="230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  <c r="AI879" s="230"/>
      <c r="AJ879" s="230"/>
      <c r="AK879" s="230"/>
    </row>
    <row r="880">
      <c r="O880" s="230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  <c r="AI880" s="230"/>
      <c r="AJ880" s="230"/>
      <c r="AK880" s="230"/>
    </row>
    <row r="881">
      <c r="O881" s="230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  <c r="AI881" s="230"/>
      <c r="AJ881" s="230"/>
      <c r="AK881" s="230"/>
    </row>
    <row r="882">
      <c r="O882" s="230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  <c r="AI882" s="230"/>
      <c r="AJ882" s="230"/>
      <c r="AK882" s="230"/>
    </row>
    <row r="883">
      <c r="O883" s="230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  <c r="AI883" s="230"/>
      <c r="AJ883" s="230"/>
      <c r="AK883" s="230"/>
    </row>
    <row r="884">
      <c r="O884" s="230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  <c r="AI884" s="230"/>
      <c r="AJ884" s="230"/>
      <c r="AK884" s="230"/>
    </row>
    <row r="885">
      <c r="O885" s="230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  <c r="AI885" s="230"/>
      <c r="AJ885" s="230"/>
      <c r="AK885" s="230"/>
    </row>
    <row r="886">
      <c r="O886" s="230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  <c r="AI886" s="230"/>
      <c r="AJ886" s="230"/>
      <c r="AK886" s="230"/>
    </row>
    <row r="887">
      <c r="O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  <c r="AI887" s="230"/>
      <c r="AJ887" s="230"/>
      <c r="AK887" s="230"/>
    </row>
    <row r="888">
      <c r="O888" s="230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  <c r="AI888" s="230"/>
      <c r="AJ888" s="230"/>
      <c r="AK888" s="230"/>
    </row>
    <row r="889">
      <c r="O889" s="230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  <c r="AI889" s="230"/>
      <c r="AJ889" s="230"/>
      <c r="AK889" s="230"/>
    </row>
    <row r="890">
      <c r="O890" s="230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  <c r="AI890" s="230"/>
      <c r="AJ890" s="230"/>
      <c r="AK890" s="230"/>
    </row>
    <row r="891">
      <c r="O891" s="230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  <c r="AI891" s="230"/>
      <c r="AJ891" s="230"/>
      <c r="AK891" s="230"/>
    </row>
    <row r="892">
      <c r="O892" s="230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  <c r="AI892" s="230"/>
      <c r="AJ892" s="230"/>
      <c r="AK892" s="230"/>
    </row>
    <row r="893">
      <c r="O893" s="230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  <c r="AI893" s="230"/>
      <c r="AJ893" s="230"/>
      <c r="AK893" s="230"/>
    </row>
    <row r="894">
      <c r="O894" s="230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  <c r="AI894" s="230"/>
      <c r="AJ894" s="230"/>
      <c r="AK894" s="230"/>
    </row>
    <row r="895">
      <c r="O895" s="230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  <c r="AI895" s="230"/>
      <c r="AJ895" s="230"/>
      <c r="AK895" s="230"/>
    </row>
    <row r="896">
      <c r="O896" s="230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  <c r="AI896" s="230"/>
      <c r="AJ896" s="230"/>
      <c r="AK896" s="230"/>
    </row>
    <row r="897">
      <c r="O897" s="230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  <c r="AI897" s="230"/>
      <c r="AJ897" s="230"/>
      <c r="AK897" s="230"/>
    </row>
    <row r="898">
      <c r="O898" s="230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  <c r="AI898" s="230"/>
      <c r="AJ898" s="230"/>
      <c r="AK898" s="230"/>
    </row>
    <row r="899">
      <c r="O899" s="230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  <c r="AI899" s="230"/>
      <c r="AJ899" s="230"/>
      <c r="AK899" s="230"/>
    </row>
    <row r="900">
      <c r="O900" s="230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  <c r="AI900" s="230"/>
      <c r="AJ900" s="230"/>
      <c r="AK900" s="230"/>
    </row>
    <row r="901">
      <c r="O901" s="230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  <c r="AI901" s="230"/>
      <c r="AJ901" s="230"/>
      <c r="AK901" s="230"/>
    </row>
    <row r="902">
      <c r="O902" s="230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  <c r="AI902" s="230"/>
      <c r="AJ902" s="230"/>
      <c r="AK902" s="230"/>
    </row>
    <row r="903">
      <c r="O903" s="230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  <c r="AI903" s="230"/>
      <c r="AJ903" s="230"/>
      <c r="AK903" s="230"/>
    </row>
    <row r="904">
      <c r="O904" s="230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  <c r="AI904" s="230"/>
      <c r="AJ904" s="230"/>
      <c r="AK904" s="230"/>
    </row>
    <row r="905">
      <c r="O905" s="230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  <c r="AI905" s="230"/>
      <c r="AJ905" s="230"/>
      <c r="AK905" s="230"/>
    </row>
    <row r="906">
      <c r="O906" s="230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  <c r="AI906" s="230"/>
      <c r="AJ906" s="230"/>
      <c r="AK906" s="230"/>
    </row>
    <row r="907">
      <c r="O907" s="230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  <c r="AI907" s="230"/>
      <c r="AJ907" s="230"/>
      <c r="AK907" s="230"/>
    </row>
    <row r="908">
      <c r="O908" s="230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  <c r="AI908" s="230"/>
      <c r="AJ908" s="230"/>
      <c r="AK908" s="230"/>
    </row>
    <row r="909">
      <c r="O909" s="230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  <c r="AI909" s="230"/>
      <c r="AJ909" s="230"/>
      <c r="AK909" s="230"/>
    </row>
    <row r="910">
      <c r="O910" s="230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  <c r="AI910" s="230"/>
      <c r="AJ910" s="230"/>
      <c r="AK910" s="230"/>
    </row>
    <row r="911">
      <c r="O911" s="230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  <c r="AI911" s="230"/>
      <c r="AJ911" s="230"/>
      <c r="AK911" s="230"/>
    </row>
    <row r="912">
      <c r="O912" s="230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  <c r="AI912" s="230"/>
      <c r="AJ912" s="230"/>
      <c r="AK912" s="230"/>
    </row>
    <row r="913">
      <c r="O913" s="230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  <c r="AI913" s="230"/>
      <c r="AJ913" s="230"/>
      <c r="AK913" s="230"/>
    </row>
    <row r="914">
      <c r="O914" s="230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  <c r="AI914" s="230"/>
      <c r="AJ914" s="230"/>
      <c r="AK914" s="230"/>
    </row>
    <row r="915">
      <c r="O915" s="230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  <c r="AI915" s="230"/>
      <c r="AJ915" s="230"/>
      <c r="AK915" s="230"/>
    </row>
    <row r="916">
      <c r="O916" s="230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  <c r="AI916" s="230"/>
      <c r="AJ916" s="230"/>
      <c r="AK916" s="230"/>
    </row>
    <row r="917">
      <c r="O917" s="230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  <c r="AI917" s="230"/>
      <c r="AJ917" s="230"/>
      <c r="AK917" s="230"/>
    </row>
    <row r="918">
      <c r="O918" s="230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  <c r="AI918" s="230"/>
      <c r="AJ918" s="230"/>
      <c r="AK918" s="230"/>
    </row>
    <row r="919">
      <c r="O919" s="230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  <c r="AI919" s="230"/>
      <c r="AJ919" s="230"/>
      <c r="AK919" s="230"/>
    </row>
    <row r="920">
      <c r="O920" s="230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  <c r="AI920" s="230"/>
      <c r="AJ920" s="230"/>
      <c r="AK920" s="230"/>
    </row>
    <row r="921">
      <c r="O921" s="230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  <c r="AI921" s="230"/>
      <c r="AJ921" s="230"/>
      <c r="AK921" s="230"/>
    </row>
    <row r="922">
      <c r="O922" s="230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  <c r="AI922" s="230"/>
      <c r="AJ922" s="230"/>
      <c r="AK922" s="230"/>
    </row>
    <row r="923">
      <c r="O923" s="230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  <c r="AJ923" s="230"/>
      <c r="AK923" s="230"/>
    </row>
    <row r="924">
      <c r="O924" s="230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  <c r="AI924" s="230"/>
      <c r="AJ924" s="230"/>
      <c r="AK924" s="230"/>
    </row>
    <row r="925">
      <c r="O925" s="230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  <c r="AI925" s="230"/>
      <c r="AJ925" s="230"/>
      <c r="AK925" s="230"/>
    </row>
    <row r="926">
      <c r="O926" s="230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  <c r="AI926" s="230"/>
      <c r="AJ926" s="230"/>
      <c r="AK926" s="230"/>
    </row>
    <row r="927">
      <c r="O927" s="230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  <c r="AI927" s="230"/>
      <c r="AJ927" s="230"/>
      <c r="AK927" s="230"/>
    </row>
    <row r="928">
      <c r="O928" s="230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  <c r="AI928" s="230"/>
      <c r="AJ928" s="230"/>
      <c r="AK928" s="230"/>
    </row>
    <row r="929">
      <c r="O929" s="230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  <c r="AI929" s="230"/>
      <c r="AJ929" s="230"/>
      <c r="AK929" s="230"/>
    </row>
    <row r="930">
      <c r="O930" s="230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  <c r="AI930" s="230"/>
      <c r="AJ930" s="230"/>
      <c r="AK930" s="230"/>
    </row>
    <row r="931">
      <c r="O931" s="230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  <c r="AI931" s="230"/>
      <c r="AJ931" s="230"/>
      <c r="AK931" s="230"/>
    </row>
    <row r="932">
      <c r="O932" s="230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  <c r="AI932" s="230"/>
      <c r="AJ932" s="230"/>
      <c r="AK932" s="230"/>
    </row>
    <row r="933">
      <c r="O933" s="230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  <c r="AJ933" s="230"/>
      <c r="AK933" s="230"/>
    </row>
    <row r="934">
      <c r="O934" s="230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  <c r="AJ934" s="230"/>
      <c r="AK934" s="230"/>
    </row>
    <row r="935">
      <c r="O935" s="230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  <c r="AJ935" s="230"/>
      <c r="AK935" s="230"/>
    </row>
    <row r="936">
      <c r="O936" s="230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  <c r="AJ936" s="230"/>
      <c r="AK936" s="230"/>
    </row>
    <row r="937">
      <c r="O937" s="230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  <c r="AJ937" s="230"/>
      <c r="AK937" s="230"/>
    </row>
    <row r="938">
      <c r="O938" s="230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  <c r="AJ938" s="230"/>
      <c r="AK938" s="230"/>
    </row>
    <row r="939">
      <c r="O939" s="230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  <c r="AJ939" s="230"/>
      <c r="AK939" s="230"/>
    </row>
    <row r="940">
      <c r="O940" s="230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  <c r="AJ940" s="230"/>
      <c r="AK940" s="230"/>
    </row>
    <row r="941">
      <c r="O941" s="230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  <c r="AJ941" s="230"/>
      <c r="AK941" s="230"/>
    </row>
    <row r="942">
      <c r="O942" s="230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  <c r="AJ942" s="230"/>
      <c r="AK942" s="230"/>
    </row>
    <row r="943">
      <c r="O943" s="230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  <c r="AJ943" s="230"/>
      <c r="AK943" s="230"/>
    </row>
    <row r="944">
      <c r="O944" s="230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  <c r="AJ944" s="230"/>
      <c r="AK944" s="230"/>
    </row>
    <row r="945">
      <c r="O945" s="230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  <c r="AJ945" s="230"/>
      <c r="AK945" s="230"/>
    </row>
    <row r="946">
      <c r="O946" s="230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  <c r="AJ946" s="230"/>
      <c r="AK946" s="230"/>
    </row>
    <row r="947">
      <c r="O947" s="230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  <c r="AJ947" s="230"/>
      <c r="AK947" s="230"/>
    </row>
    <row r="948">
      <c r="O948" s="230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  <c r="AI948" s="230"/>
      <c r="AJ948" s="230"/>
      <c r="AK948" s="230"/>
    </row>
    <row r="949">
      <c r="O949" s="230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  <c r="AI949" s="230"/>
      <c r="AJ949" s="230"/>
      <c r="AK949" s="230"/>
    </row>
    <row r="950">
      <c r="O950" s="230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  <c r="AI950" s="230"/>
      <c r="AJ950" s="230"/>
      <c r="AK950" s="230"/>
    </row>
    <row r="951">
      <c r="O951" s="230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  <c r="AI951" s="230"/>
      <c r="AJ951" s="230"/>
      <c r="AK951" s="230"/>
    </row>
    <row r="952">
      <c r="O952" s="230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  <c r="AI952" s="230"/>
      <c r="AJ952" s="230"/>
      <c r="AK952" s="230"/>
    </row>
    <row r="953">
      <c r="O953" s="230"/>
      <c r="R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  <c r="AI953" s="230"/>
      <c r="AJ953" s="230"/>
      <c r="AK953" s="230"/>
    </row>
    <row r="954">
      <c r="O954" s="230"/>
      <c r="R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  <c r="AI954" s="230"/>
      <c r="AJ954" s="230"/>
      <c r="AK954" s="230"/>
    </row>
    <row r="955">
      <c r="O955" s="230"/>
      <c r="R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  <c r="AI955" s="230"/>
      <c r="AJ955" s="230"/>
      <c r="AK955" s="230"/>
    </row>
    <row r="956">
      <c r="O956" s="230"/>
      <c r="R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  <c r="AI956" s="230"/>
      <c r="AJ956" s="230"/>
      <c r="AK956" s="230"/>
    </row>
    <row r="957">
      <c r="O957" s="230"/>
      <c r="R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  <c r="AI957" s="230"/>
      <c r="AJ957" s="230"/>
      <c r="AK957" s="230"/>
    </row>
    <row r="958">
      <c r="O958" s="230"/>
      <c r="R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  <c r="AI958" s="230"/>
      <c r="AJ958" s="230"/>
      <c r="AK958" s="230"/>
    </row>
    <row r="959">
      <c r="O959" s="230"/>
      <c r="R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  <c r="AI959" s="230"/>
      <c r="AJ959" s="230"/>
      <c r="AK959" s="230"/>
    </row>
    <row r="960">
      <c r="O960" s="230"/>
      <c r="R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  <c r="AI960" s="230"/>
      <c r="AJ960" s="230"/>
      <c r="AK960" s="230"/>
    </row>
    <row r="961">
      <c r="O961" s="230"/>
      <c r="R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  <c r="AI961" s="230"/>
      <c r="AJ961" s="230"/>
      <c r="AK961" s="230"/>
    </row>
    <row r="962">
      <c r="O962" s="230"/>
      <c r="R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  <c r="AI962" s="230"/>
      <c r="AJ962" s="230"/>
      <c r="AK962" s="230"/>
    </row>
    <row r="963">
      <c r="O963" s="230"/>
      <c r="R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  <c r="AI963" s="230"/>
      <c r="AJ963" s="230"/>
      <c r="AK963" s="230"/>
    </row>
    <row r="964">
      <c r="O964" s="230"/>
      <c r="R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  <c r="AI964" s="230"/>
      <c r="AJ964" s="230"/>
      <c r="AK964" s="230"/>
    </row>
    <row r="965">
      <c r="O965" s="230"/>
      <c r="R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  <c r="AI965" s="230"/>
      <c r="AJ965" s="230"/>
      <c r="AK965" s="230"/>
    </row>
    <row r="966">
      <c r="O966" s="230"/>
      <c r="R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  <c r="AI966" s="230"/>
      <c r="AJ966" s="230"/>
      <c r="AK966" s="230"/>
    </row>
    <row r="967">
      <c r="O967" s="230"/>
      <c r="R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  <c r="AI967" s="230"/>
      <c r="AJ967" s="230"/>
      <c r="AK967" s="230"/>
    </row>
    <row r="968">
      <c r="O968" s="230"/>
      <c r="R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  <c r="AI968" s="230"/>
      <c r="AJ968" s="230"/>
      <c r="AK968" s="230"/>
    </row>
    <row r="969">
      <c r="O969" s="230"/>
      <c r="R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  <c r="AI969" s="230"/>
      <c r="AJ969" s="230"/>
      <c r="AK969" s="230"/>
    </row>
    <row r="970">
      <c r="O970" s="230"/>
      <c r="R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  <c r="AI970" s="230"/>
      <c r="AJ970" s="230"/>
      <c r="AK970" s="230"/>
    </row>
    <row r="971">
      <c r="O971" s="230"/>
      <c r="R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  <c r="AI971" s="230"/>
      <c r="AJ971" s="230"/>
      <c r="AK971" s="230"/>
    </row>
    <row r="972">
      <c r="O972" s="230"/>
      <c r="R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  <c r="AI972" s="230"/>
      <c r="AJ972" s="230"/>
      <c r="AK972" s="230"/>
    </row>
    <row r="973">
      <c r="O973" s="230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  <c r="AI973" s="230"/>
      <c r="AJ973" s="230"/>
      <c r="AK973" s="230"/>
    </row>
    <row r="974">
      <c r="O974" s="230"/>
      <c r="R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  <c r="AI974" s="230"/>
      <c r="AJ974" s="230"/>
      <c r="AK974" s="230"/>
    </row>
    <row r="975">
      <c r="O975" s="230"/>
      <c r="R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  <c r="AI975" s="230"/>
      <c r="AJ975" s="230"/>
      <c r="AK975" s="230"/>
    </row>
    <row r="976">
      <c r="O976" s="230"/>
      <c r="R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  <c r="AI976" s="230"/>
      <c r="AJ976" s="230"/>
      <c r="AK976" s="230"/>
    </row>
    <row r="977">
      <c r="O977" s="230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  <c r="AI977" s="230"/>
      <c r="AJ977" s="230"/>
      <c r="AK977" s="230"/>
    </row>
    <row r="978">
      <c r="O978" s="230"/>
      <c r="R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  <c r="AI978" s="230"/>
      <c r="AJ978" s="230"/>
      <c r="AK978" s="230"/>
    </row>
    <row r="979">
      <c r="O979" s="230"/>
      <c r="R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  <c r="AI979" s="230"/>
      <c r="AJ979" s="230"/>
      <c r="AK979" s="230"/>
    </row>
    <row r="980">
      <c r="O980" s="230"/>
      <c r="R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  <c r="AI980" s="230"/>
      <c r="AJ980" s="230"/>
      <c r="AK980" s="230"/>
    </row>
    <row r="981">
      <c r="O981" s="230"/>
      <c r="R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  <c r="AI981" s="230"/>
      <c r="AJ981" s="230"/>
      <c r="AK981" s="230"/>
    </row>
    <row r="982">
      <c r="O982" s="230"/>
      <c r="R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  <c r="AI982" s="230"/>
      <c r="AJ982" s="230"/>
      <c r="AK982" s="230"/>
    </row>
    <row r="983">
      <c r="O983" s="230"/>
      <c r="R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  <c r="AI983" s="230"/>
      <c r="AJ983" s="230"/>
      <c r="AK983" s="230"/>
    </row>
    <row r="984">
      <c r="O984" s="230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  <c r="AI984" s="230"/>
      <c r="AJ984" s="230"/>
      <c r="AK984" s="230"/>
    </row>
    <row r="985">
      <c r="O985" s="230"/>
      <c r="R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  <c r="AI985" s="230"/>
      <c r="AJ985" s="230"/>
      <c r="AK985" s="230"/>
    </row>
    <row r="986">
      <c r="O986" s="230"/>
      <c r="R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  <c r="AI986" s="230"/>
      <c r="AJ986" s="230"/>
      <c r="AK986" s="230"/>
    </row>
    <row r="987">
      <c r="O987" s="230"/>
      <c r="R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  <c r="AI987" s="230"/>
      <c r="AJ987" s="230"/>
      <c r="AK987" s="230"/>
    </row>
    <row r="988">
      <c r="O988" s="230"/>
      <c r="R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  <c r="AI988" s="230"/>
      <c r="AJ988" s="230"/>
      <c r="AK988" s="230"/>
    </row>
    <row r="989">
      <c r="O989" s="230"/>
      <c r="R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  <c r="AI989" s="230"/>
      <c r="AJ989" s="230"/>
      <c r="AK989" s="230"/>
    </row>
    <row r="990">
      <c r="O990" s="230"/>
      <c r="R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  <c r="AI990" s="230"/>
      <c r="AJ990" s="230"/>
      <c r="AK990" s="230"/>
    </row>
    <row r="991">
      <c r="O991" s="230"/>
      <c r="R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  <c r="AI991" s="230"/>
      <c r="AJ991" s="230"/>
      <c r="AK991" s="230"/>
    </row>
    <row r="992">
      <c r="O992" s="230"/>
      <c r="R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  <c r="AI992" s="230"/>
      <c r="AJ992" s="230"/>
      <c r="AK992" s="230"/>
    </row>
    <row r="993">
      <c r="O993" s="230"/>
      <c r="R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  <c r="AI993" s="230"/>
      <c r="AJ993" s="230"/>
      <c r="AK993" s="230"/>
    </row>
    <row r="994">
      <c r="O994" s="230"/>
      <c r="R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  <c r="AI994" s="230"/>
      <c r="AJ994" s="230"/>
      <c r="AK994" s="230"/>
    </row>
    <row r="995">
      <c r="O995" s="230"/>
      <c r="R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  <c r="AI995" s="230"/>
      <c r="AJ995" s="230"/>
      <c r="AK995" s="230"/>
    </row>
    <row r="996">
      <c r="O996" s="230"/>
      <c r="R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  <c r="AI996" s="230"/>
      <c r="AJ996" s="230"/>
      <c r="AK996" s="230"/>
    </row>
    <row r="997">
      <c r="O997" s="230"/>
      <c r="R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  <c r="AI997" s="230"/>
      <c r="AJ997" s="230"/>
      <c r="AK997" s="230"/>
    </row>
    <row r="998">
      <c r="O998" s="230"/>
      <c r="R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  <c r="AI998" s="230"/>
      <c r="AJ998" s="230"/>
      <c r="AK998" s="230"/>
    </row>
    <row r="999">
      <c r="O999" s="230"/>
      <c r="R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  <c r="AI999" s="230"/>
      <c r="AJ999" s="230"/>
      <c r="AK999" s="230"/>
    </row>
    <row r="1000">
      <c r="O1000" s="230"/>
      <c r="R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  <c r="AI1000" s="230"/>
      <c r="AJ1000" s="230"/>
      <c r="AK1000" s="230"/>
    </row>
    <row r="1001">
      <c r="O1001" s="230"/>
      <c r="R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  <c r="AI1001" s="230"/>
      <c r="AJ1001" s="230"/>
      <c r="AK1001" s="230"/>
    </row>
    <row r="1002">
      <c r="O1002" s="230"/>
      <c r="R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  <c r="AI1002" s="230"/>
      <c r="AJ1002" s="230"/>
      <c r="AK1002" s="230"/>
    </row>
    <row r="1003">
      <c r="O1003" s="230"/>
      <c r="R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  <c r="AI1003" s="230"/>
      <c r="AJ1003" s="230"/>
      <c r="AK1003" s="230"/>
    </row>
    <row r="1004">
      <c r="O1004" s="230"/>
      <c r="R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  <c r="AI1004" s="230"/>
      <c r="AJ1004" s="230"/>
      <c r="AK1004" s="230"/>
    </row>
    <row r="1005">
      <c r="O1005" s="230"/>
      <c r="R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  <c r="AI1005" s="230"/>
      <c r="AJ1005" s="230"/>
      <c r="AK1005" s="230"/>
    </row>
    <row r="1006">
      <c r="O1006" s="230"/>
      <c r="R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  <c r="AI1006" s="230"/>
      <c r="AJ1006" s="230"/>
      <c r="AK1006" s="230"/>
    </row>
    <row r="1007">
      <c r="O1007" s="230"/>
      <c r="R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  <c r="AI1007" s="230"/>
      <c r="AJ1007" s="230"/>
      <c r="AK1007" s="230"/>
    </row>
    <row r="1008">
      <c r="O1008" s="230"/>
      <c r="R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  <c r="AI1008" s="230"/>
      <c r="AJ1008" s="230"/>
      <c r="AK1008" s="230"/>
    </row>
    <row r="1009">
      <c r="O1009" s="230"/>
      <c r="R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  <c r="AI1009" s="230"/>
      <c r="AJ1009" s="230"/>
      <c r="AK1009" s="230"/>
    </row>
    <row r="1010">
      <c r="O1010" s="230"/>
      <c r="R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  <c r="AI1010" s="230"/>
      <c r="AJ1010" s="230"/>
      <c r="AK1010" s="230"/>
    </row>
    <row r="1011">
      <c r="O1011" s="230"/>
      <c r="R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  <c r="AI1011" s="230"/>
      <c r="AJ1011" s="230"/>
      <c r="AK1011" s="230"/>
    </row>
    <row r="1012">
      <c r="O1012" s="230"/>
      <c r="R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  <c r="AI1012" s="230"/>
      <c r="AJ1012" s="230"/>
      <c r="AK1012" s="230"/>
    </row>
    <row r="1013">
      <c r="O1013" s="230"/>
      <c r="R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  <c r="AI1013" s="230"/>
      <c r="AJ1013" s="230"/>
      <c r="AK1013" s="230"/>
    </row>
    <row r="1014">
      <c r="O1014" s="230"/>
      <c r="R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  <c r="AI1014" s="230"/>
      <c r="AJ1014" s="230"/>
      <c r="AK1014" s="230"/>
    </row>
    <row r="1015">
      <c r="O1015" s="230"/>
      <c r="R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  <c r="AI1015" s="230"/>
      <c r="AJ1015" s="230"/>
      <c r="AK1015" s="230"/>
    </row>
    <row r="1016">
      <c r="O1016" s="230"/>
      <c r="R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  <c r="AI1016" s="230"/>
      <c r="AJ1016" s="230"/>
      <c r="AK1016" s="230"/>
    </row>
    <row r="1017">
      <c r="O1017" s="230"/>
      <c r="R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  <c r="AI1017" s="230"/>
      <c r="AJ1017" s="230"/>
      <c r="AK1017" s="230"/>
    </row>
    <row r="1018">
      <c r="O1018" s="230"/>
      <c r="R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  <c r="AI1018" s="230"/>
      <c r="AJ1018" s="230"/>
      <c r="AK1018" s="230"/>
    </row>
    <row r="1019">
      <c r="O1019" s="230"/>
      <c r="R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  <c r="AI1019" s="230"/>
      <c r="AJ1019" s="230"/>
      <c r="AK1019" s="230"/>
    </row>
    <row r="1020">
      <c r="O1020" s="230"/>
      <c r="R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  <c r="AI1020" s="230"/>
      <c r="AJ1020" s="230"/>
      <c r="AK1020" s="230"/>
    </row>
    <row r="1021">
      <c r="O1021" s="230"/>
      <c r="R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  <c r="AI1021" s="230"/>
      <c r="AJ1021" s="230"/>
      <c r="AK1021" s="230"/>
    </row>
    <row r="1022">
      <c r="O1022" s="230"/>
      <c r="R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  <c r="AI1022" s="230"/>
      <c r="AJ1022" s="230"/>
      <c r="AK1022" s="230"/>
    </row>
    <row r="1023">
      <c r="O1023" s="230"/>
      <c r="R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  <c r="AI1023" s="230"/>
      <c r="AJ1023" s="230"/>
      <c r="AK1023" s="230"/>
    </row>
    <row r="1024">
      <c r="O1024" s="230"/>
      <c r="R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  <c r="AI1024" s="230"/>
      <c r="AJ1024" s="230"/>
      <c r="AK1024" s="230"/>
    </row>
    <row r="1025">
      <c r="O1025" s="230"/>
      <c r="R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  <c r="AI1025" s="230"/>
      <c r="AJ1025" s="230"/>
      <c r="AK1025" s="230"/>
    </row>
    <row r="1026">
      <c r="O1026" s="230"/>
      <c r="R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  <c r="AI1026" s="230"/>
      <c r="AJ1026" s="230"/>
      <c r="AK1026" s="230"/>
    </row>
    <row r="1027">
      <c r="O1027" s="230"/>
      <c r="R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  <c r="AI1027" s="230"/>
      <c r="AJ1027" s="230"/>
      <c r="AK1027" s="230"/>
    </row>
    <row r="1028">
      <c r="O1028" s="230"/>
      <c r="R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  <c r="AI1028" s="230"/>
      <c r="AJ1028" s="230"/>
      <c r="AK1028" s="230"/>
    </row>
    <row r="1029">
      <c r="O1029" s="230"/>
      <c r="R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  <c r="AI1029" s="230"/>
      <c r="AJ1029" s="230"/>
      <c r="AK1029" s="230"/>
    </row>
    <row r="1030">
      <c r="O1030" s="230"/>
      <c r="R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  <c r="AI1030" s="230"/>
      <c r="AJ1030" s="230"/>
      <c r="AK1030" s="230"/>
    </row>
    <row r="1031">
      <c r="O1031" s="230"/>
      <c r="R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  <c r="AI1031" s="230"/>
      <c r="AJ1031" s="230"/>
      <c r="AK1031" s="230"/>
    </row>
    <row r="1032">
      <c r="O1032" s="230"/>
      <c r="R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  <c r="AI1032" s="230"/>
      <c r="AJ1032" s="230"/>
      <c r="AK1032" s="230"/>
    </row>
    <row r="1033">
      <c r="O1033" s="230"/>
      <c r="R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  <c r="AI1033" s="230"/>
      <c r="AJ1033" s="230"/>
      <c r="AK1033" s="230"/>
    </row>
    <row r="1034">
      <c r="O1034" s="230"/>
      <c r="R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  <c r="AI1034" s="230"/>
      <c r="AJ1034" s="230"/>
      <c r="AK1034" s="230"/>
    </row>
    <row r="1035">
      <c r="O1035" s="230"/>
      <c r="R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  <c r="AI1035" s="230"/>
      <c r="AJ1035" s="230"/>
      <c r="AK1035" s="230"/>
    </row>
    <row r="1036">
      <c r="O1036" s="230"/>
      <c r="R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  <c r="AI1036" s="230"/>
      <c r="AJ1036" s="230"/>
      <c r="AK1036" s="230"/>
    </row>
    <row r="1037">
      <c r="O1037" s="230"/>
      <c r="R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  <c r="AI1037" s="230"/>
      <c r="AJ1037" s="230"/>
      <c r="AK1037" s="230"/>
    </row>
    <row r="1038">
      <c r="O1038" s="230"/>
      <c r="R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  <c r="AI1038" s="230"/>
      <c r="AJ1038" s="230"/>
      <c r="AK1038" s="230"/>
    </row>
    <row r="1039">
      <c r="O1039" s="230"/>
      <c r="R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  <c r="AI1039" s="230"/>
      <c r="AJ1039" s="230"/>
      <c r="AK1039" s="230"/>
    </row>
    <row r="1040">
      <c r="O1040" s="230"/>
      <c r="R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  <c r="AI1040" s="230"/>
      <c r="AJ1040" s="230"/>
      <c r="AK1040" s="230"/>
    </row>
    <row r="1041">
      <c r="O1041" s="230"/>
      <c r="R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  <c r="AI1041" s="230"/>
      <c r="AJ1041" s="230"/>
      <c r="AK1041" s="230"/>
    </row>
    <row r="1042">
      <c r="O1042" s="230"/>
      <c r="R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  <c r="AI1042" s="230"/>
      <c r="AJ1042" s="230"/>
      <c r="AK1042" s="230"/>
    </row>
    <row r="1043">
      <c r="O1043" s="230"/>
      <c r="R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  <c r="AI1043" s="230"/>
      <c r="AJ1043" s="230"/>
      <c r="AK1043" s="230"/>
    </row>
    <row r="1044">
      <c r="O1044" s="230"/>
      <c r="R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  <c r="AI1044" s="230"/>
      <c r="AJ1044" s="230"/>
      <c r="AK1044" s="230"/>
    </row>
    <row r="1045">
      <c r="O1045" s="230"/>
      <c r="R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  <c r="AI1045" s="230"/>
      <c r="AJ1045" s="230"/>
      <c r="AK1045" s="230"/>
    </row>
    <row r="1046">
      <c r="O1046" s="230"/>
      <c r="R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  <c r="AI1046" s="230"/>
      <c r="AJ1046" s="230"/>
      <c r="AK1046" s="230"/>
    </row>
    <row r="1047">
      <c r="O1047" s="230"/>
      <c r="R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  <c r="AI1047" s="230"/>
      <c r="AJ1047" s="230"/>
      <c r="AK1047" s="230"/>
    </row>
    <row r="1048">
      <c r="O1048" s="230"/>
      <c r="R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  <c r="AI1048" s="230"/>
      <c r="AJ1048" s="230"/>
      <c r="AK1048" s="230"/>
    </row>
    <row r="1049">
      <c r="O1049" s="230"/>
      <c r="R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  <c r="AI1049" s="230"/>
      <c r="AJ1049" s="230"/>
      <c r="AK1049" s="230"/>
    </row>
    <row r="1050">
      <c r="O1050" s="230"/>
      <c r="R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  <c r="AI1050" s="230"/>
      <c r="AJ1050" s="230"/>
      <c r="AK1050" s="230"/>
    </row>
    <row r="1051">
      <c r="O1051" s="230"/>
      <c r="R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  <c r="AI1051" s="230"/>
      <c r="AJ1051" s="230"/>
      <c r="AK1051" s="230"/>
    </row>
    <row r="1052">
      <c r="O1052" s="230"/>
      <c r="R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  <c r="AI1052" s="230"/>
      <c r="AJ1052" s="230"/>
      <c r="AK1052" s="230"/>
    </row>
    <row r="1053">
      <c r="O1053" s="230"/>
      <c r="R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  <c r="AI1053" s="230"/>
      <c r="AJ1053" s="230"/>
      <c r="AK1053" s="230"/>
    </row>
    <row r="1054">
      <c r="O1054" s="230"/>
      <c r="R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  <c r="AI1054" s="230"/>
      <c r="AJ1054" s="230"/>
      <c r="AK1054" s="230"/>
    </row>
    <row r="1055">
      <c r="O1055" s="230"/>
      <c r="R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  <c r="AI1055" s="230"/>
      <c r="AJ1055" s="230"/>
      <c r="AK1055" s="230"/>
    </row>
    <row r="1056">
      <c r="O1056" s="230"/>
      <c r="R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  <c r="AI1056" s="230"/>
      <c r="AJ1056" s="230"/>
      <c r="AK1056" s="230"/>
    </row>
    <row r="1057">
      <c r="O1057" s="230"/>
      <c r="R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  <c r="AI1057" s="230"/>
      <c r="AJ1057" s="230"/>
      <c r="AK1057" s="230"/>
    </row>
    <row r="1058">
      <c r="O1058" s="230"/>
      <c r="R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  <c r="AI1058" s="230"/>
      <c r="AJ1058" s="230"/>
      <c r="AK1058" s="230"/>
    </row>
    <row r="1059">
      <c r="O1059" s="230"/>
      <c r="R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  <c r="AI1059" s="230"/>
      <c r="AJ1059" s="230"/>
      <c r="AK1059" s="230"/>
    </row>
    <row r="1060">
      <c r="O1060" s="230"/>
      <c r="R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  <c r="AI1060" s="230"/>
      <c r="AJ1060" s="230"/>
      <c r="AK1060" s="230"/>
    </row>
    <row r="1061">
      <c r="O1061" s="230"/>
      <c r="R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  <c r="AI1061" s="230"/>
      <c r="AJ1061" s="230"/>
      <c r="AK1061" s="230"/>
    </row>
    <row r="1062">
      <c r="O1062" s="230"/>
      <c r="R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  <c r="AI1062" s="230"/>
      <c r="AJ1062" s="230"/>
      <c r="AK1062" s="230"/>
    </row>
    <row r="1063">
      <c r="O1063" s="230"/>
      <c r="R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  <c r="AI1063" s="230"/>
      <c r="AJ1063" s="230"/>
      <c r="AK1063" s="230"/>
    </row>
    <row r="1064">
      <c r="O1064" s="230"/>
      <c r="R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  <c r="AI1064" s="230"/>
      <c r="AJ1064" s="230"/>
      <c r="AK1064" s="230"/>
    </row>
    <row r="1065">
      <c r="O1065" s="230"/>
      <c r="R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  <c r="AI1065" s="230"/>
      <c r="AJ1065" s="230"/>
      <c r="AK1065" s="230"/>
    </row>
    <row r="1066">
      <c r="O1066" s="230"/>
      <c r="R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  <c r="AI1066" s="230"/>
      <c r="AJ1066" s="230"/>
      <c r="AK1066" s="230"/>
    </row>
    <row r="1067">
      <c r="O1067" s="230"/>
      <c r="R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  <c r="AI1067" s="230"/>
      <c r="AJ1067" s="230"/>
      <c r="AK1067" s="230"/>
    </row>
    <row r="1068">
      <c r="O1068" s="230"/>
      <c r="R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  <c r="AI1068" s="230"/>
      <c r="AJ1068" s="230"/>
      <c r="AK1068" s="230"/>
    </row>
    <row r="1069">
      <c r="O1069" s="230"/>
      <c r="R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  <c r="AI1069" s="230"/>
      <c r="AJ1069" s="230"/>
      <c r="AK1069" s="230"/>
    </row>
    <row r="1070">
      <c r="O1070" s="230"/>
      <c r="R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  <c r="AI1070" s="230"/>
      <c r="AJ1070" s="230"/>
      <c r="AK1070" s="230"/>
    </row>
    <row r="1071">
      <c r="O1071" s="230"/>
      <c r="R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  <c r="AI1071" s="230"/>
      <c r="AJ1071" s="230"/>
      <c r="AK1071" s="230"/>
    </row>
    <row r="1072">
      <c r="O1072" s="230"/>
      <c r="R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  <c r="AI1072" s="230"/>
      <c r="AJ1072" s="230"/>
      <c r="AK1072" s="230"/>
    </row>
    <row r="1073">
      <c r="O1073" s="230"/>
      <c r="R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  <c r="AI1073" s="230"/>
      <c r="AJ1073" s="230"/>
      <c r="AK1073" s="230"/>
    </row>
    <row r="1074">
      <c r="O1074" s="230"/>
      <c r="R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  <c r="AI1074" s="230"/>
      <c r="AJ1074" s="230"/>
      <c r="AK1074" s="230"/>
    </row>
    <row r="1075">
      <c r="O1075" s="230"/>
      <c r="R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  <c r="AI1075" s="230"/>
      <c r="AJ1075" s="230"/>
      <c r="AK1075" s="230"/>
    </row>
    <row r="1076">
      <c r="O1076" s="230"/>
      <c r="R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  <c r="AI1076" s="230"/>
      <c r="AJ1076" s="230"/>
      <c r="AK1076" s="230"/>
    </row>
    <row r="1077">
      <c r="O1077" s="230"/>
      <c r="R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  <c r="AI1077" s="230"/>
      <c r="AJ1077" s="230"/>
      <c r="AK1077" s="230"/>
    </row>
    <row r="1078">
      <c r="O1078" s="230"/>
      <c r="R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  <c r="AI1078" s="230"/>
      <c r="AJ1078" s="230"/>
      <c r="AK1078" s="230"/>
    </row>
    <row r="1079">
      <c r="O1079" s="230"/>
      <c r="R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  <c r="AI1079" s="230"/>
      <c r="AJ1079" s="230"/>
      <c r="AK1079" s="230"/>
    </row>
    <row r="1080">
      <c r="O1080" s="230"/>
      <c r="R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  <c r="AI1080" s="230"/>
      <c r="AJ1080" s="230"/>
      <c r="AK1080" s="230"/>
    </row>
    <row r="1081">
      <c r="O1081" s="230"/>
      <c r="R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  <c r="AI1081" s="230"/>
      <c r="AJ1081" s="230"/>
      <c r="AK1081" s="230"/>
    </row>
    <row r="1082">
      <c r="O1082" s="230"/>
      <c r="R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  <c r="AI1082" s="230"/>
      <c r="AJ1082" s="230"/>
      <c r="AK1082" s="230"/>
    </row>
    <row r="1083">
      <c r="O1083" s="230"/>
      <c r="R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  <c r="AI1083" s="230"/>
      <c r="AJ1083" s="230"/>
      <c r="AK1083" s="230"/>
    </row>
    <row r="1084">
      <c r="O1084" s="230"/>
      <c r="R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  <c r="AI1084" s="230"/>
      <c r="AJ1084" s="230"/>
      <c r="AK1084" s="230"/>
    </row>
    <row r="1085">
      <c r="O1085" s="230"/>
      <c r="R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  <c r="AI1085" s="230"/>
      <c r="AJ1085" s="230"/>
      <c r="AK1085" s="230"/>
    </row>
    <row r="1086">
      <c r="O1086" s="230"/>
      <c r="R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  <c r="AI1086" s="230"/>
      <c r="AJ1086" s="230"/>
      <c r="AK1086" s="230"/>
    </row>
    <row r="1087">
      <c r="O1087" s="230"/>
      <c r="R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  <c r="AI1087" s="230"/>
      <c r="AJ1087" s="230"/>
      <c r="AK1087" s="230"/>
    </row>
    <row r="1088">
      <c r="O1088" s="230"/>
      <c r="R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  <c r="AI1088" s="230"/>
      <c r="AJ1088" s="230"/>
      <c r="AK1088" s="230"/>
    </row>
    <row r="1089">
      <c r="O1089" s="230"/>
      <c r="R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  <c r="AI1089" s="230"/>
      <c r="AJ1089" s="230"/>
      <c r="AK1089" s="230"/>
    </row>
    <row r="1090">
      <c r="O1090" s="230"/>
      <c r="R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  <c r="AI1090" s="230"/>
      <c r="AJ1090" s="230"/>
      <c r="AK1090" s="230"/>
    </row>
    <row r="1091">
      <c r="O1091" s="230"/>
      <c r="R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  <c r="AI1091" s="230"/>
      <c r="AJ1091" s="230"/>
      <c r="AK1091" s="230"/>
    </row>
    <row r="1092">
      <c r="O1092" s="230"/>
      <c r="R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  <c r="AI1092" s="230"/>
      <c r="AJ1092" s="230"/>
      <c r="AK1092" s="230"/>
    </row>
    <row r="1093">
      <c r="O1093" s="230"/>
      <c r="R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  <c r="AI1093" s="230"/>
      <c r="AJ1093" s="230"/>
      <c r="AK1093" s="230"/>
    </row>
    <row r="1094">
      <c r="O1094" s="230"/>
      <c r="R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  <c r="AI1094" s="230"/>
      <c r="AJ1094" s="230"/>
      <c r="AK1094" s="230"/>
    </row>
    <row r="1095">
      <c r="O1095" s="230"/>
      <c r="R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  <c r="AI1095" s="230"/>
      <c r="AJ1095" s="230"/>
      <c r="AK1095" s="230"/>
    </row>
    <row r="1096">
      <c r="O1096" s="230"/>
      <c r="R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  <c r="AI1096" s="230"/>
      <c r="AJ1096" s="230"/>
      <c r="AK1096" s="230"/>
    </row>
    <row r="1097">
      <c r="O1097" s="230"/>
      <c r="R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  <c r="AI1097" s="230"/>
      <c r="AJ1097" s="230"/>
      <c r="AK1097" s="230"/>
    </row>
    <row r="1098">
      <c r="O1098" s="230"/>
      <c r="R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  <c r="AI1098" s="230"/>
      <c r="AJ1098" s="230"/>
      <c r="AK1098" s="230"/>
    </row>
    <row r="1099">
      <c r="O1099" s="230"/>
      <c r="R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  <c r="AI1099" s="230"/>
      <c r="AJ1099" s="230"/>
      <c r="AK1099" s="230"/>
    </row>
    <row r="1100">
      <c r="O1100" s="230"/>
      <c r="R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  <c r="AI1100" s="230"/>
      <c r="AJ1100" s="230"/>
      <c r="AK1100" s="230"/>
    </row>
    <row r="1101">
      <c r="O1101" s="230"/>
      <c r="R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  <c r="AI1101" s="230"/>
      <c r="AJ1101" s="230"/>
      <c r="AK1101" s="230"/>
    </row>
    <row r="1102">
      <c r="O1102" s="230"/>
      <c r="R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  <c r="AI1102" s="230"/>
      <c r="AJ1102" s="230"/>
      <c r="AK1102" s="230"/>
    </row>
    <row r="1103">
      <c r="O1103" s="230"/>
      <c r="R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  <c r="AI1103" s="230"/>
      <c r="AJ1103" s="230"/>
      <c r="AK1103" s="230"/>
    </row>
    <row r="1104">
      <c r="O1104" s="230"/>
      <c r="R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  <c r="AI1104" s="230"/>
      <c r="AJ1104" s="230"/>
      <c r="AK1104" s="230"/>
    </row>
    <row r="1105">
      <c r="O1105" s="230"/>
      <c r="R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  <c r="AI1105" s="230"/>
      <c r="AJ1105" s="230"/>
      <c r="AK1105" s="230"/>
    </row>
    <row r="1106">
      <c r="O1106" s="230"/>
      <c r="R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  <c r="AI1106" s="230"/>
      <c r="AJ1106" s="230"/>
      <c r="AK1106" s="230"/>
    </row>
    <row r="1107">
      <c r="O1107" s="230"/>
      <c r="R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  <c r="AI1107" s="230"/>
      <c r="AJ1107" s="230"/>
      <c r="AK1107" s="230"/>
    </row>
    <row r="1108">
      <c r="O1108" s="230"/>
      <c r="R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  <c r="AI1108" s="230"/>
      <c r="AJ1108" s="230"/>
      <c r="AK1108" s="230"/>
    </row>
    <row r="1109">
      <c r="O1109" s="230"/>
      <c r="R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  <c r="AI1109" s="230"/>
      <c r="AJ1109" s="230"/>
      <c r="AK1109" s="230"/>
    </row>
    <row r="1110">
      <c r="O1110" s="230"/>
      <c r="R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  <c r="AI1110" s="230"/>
      <c r="AJ1110" s="230"/>
      <c r="AK1110" s="230"/>
    </row>
    <row r="1111">
      <c r="O1111" s="230"/>
      <c r="R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  <c r="AI1111" s="230"/>
      <c r="AJ1111" s="230"/>
      <c r="AK1111" s="230"/>
    </row>
    <row r="1112">
      <c r="O1112" s="230"/>
      <c r="R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  <c r="AI1112" s="230"/>
      <c r="AJ1112" s="230"/>
      <c r="AK1112" s="230"/>
    </row>
    <row r="1113">
      <c r="O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  <c r="AI1113" s="230"/>
      <c r="AJ1113" s="230"/>
      <c r="AK1113" s="230"/>
    </row>
    <row r="1114">
      <c r="O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  <c r="AI1114" s="230"/>
      <c r="AJ1114" s="230"/>
      <c r="AK1114" s="230"/>
    </row>
    <row r="1115">
      <c r="O1115" s="230"/>
      <c r="R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  <c r="AI1115" s="230"/>
      <c r="AJ1115" s="230"/>
      <c r="AK1115" s="230"/>
    </row>
    <row r="1116">
      <c r="O1116" s="230"/>
      <c r="R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  <c r="AI1116" s="230"/>
      <c r="AJ1116" s="230"/>
      <c r="AK1116" s="230"/>
    </row>
    <row r="1117">
      <c r="O1117" s="230"/>
      <c r="R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  <c r="AI1117" s="230"/>
      <c r="AJ1117" s="230"/>
      <c r="AK1117" s="230"/>
    </row>
    <row r="1118">
      <c r="O1118" s="230"/>
      <c r="R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  <c r="AI1118" s="230"/>
      <c r="AJ1118" s="230"/>
      <c r="AK1118" s="230"/>
    </row>
    <row r="1119">
      <c r="O1119" s="230"/>
      <c r="R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  <c r="AI1119" s="230"/>
      <c r="AJ1119" s="230"/>
      <c r="AK1119" s="230"/>
    </row>
    <row r="1120">
      <c r="O1120" s="230"/>
      <c r="R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  <c r="AI1120" s="230"/>
      <c r="AJ1120" s="230"/>
      <c r="AK1120" s="230"/>
    </row>
    <row r="1121">
      <c r="O1121" s="230"/>
      <c r="R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  <c r="AI1121" s="230"/>
      <c r="AJ1121" s="230"/>
      <c r="AK1121" s="230"/>
    </row>
    <row r="1122">
      <c r="O1122" s="230"/>
      <c r="R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  <c r="AI1122" s="230"/>
      <c r="AJ1122" s="230"/>
      <c r="AK1122" s="230"/>
    </row>
    <row r="1123">
      <c r="O1123" s="230"/>
      <c r="R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  <c r="AI1123" s="230"/>
      <c r="AJ1123" s="230"/>
      <c r="AK1123" s="230"/>
    </row>
    <row r="1124">
      <c r="O1124" s="230"/>
      <c r="R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  <c r="AI1124" s="230"/>
      <c r="AJ1124" s="230"/>
      <c r="AK1124" s="230"/>
    </row>
    <row r="1125">
      <c r="O1125" s="230"/>
      <c r="R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  <c r="AI1125" s="230"/>
      <c r="AJ1125" s="230"/>
      <c r="AK1125" s="230"/>
    </row>
    <row r="1126">
      <c r="O1126" s="230"/>
      <c r="R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  <c r="AI1126" s="230"/>
      <c r="AJ1126" s="230"/>
      <c r="AK1126" s="230"/>
    </row>
    <row r="1127">
      <c r="O1127" s="230"/>
      <c r="R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  <c r="AI1127" s="230"/>
      <c r="AJ1127" s="230"/>
      <c r="AK1127" s="230"/>
    </row>
    <row r="1128">
      <c r="O1128" s="230"/>
      <c r="R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  <c r="AI1128" s="230"/>
      <c r="AJ1128" s="230"/>
      <c r="AK1128" s="230"/>
    </row>
    <row r="1129">
      <c r="O1129" s="230"/>
      <c r="R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  <c r="AI1129" s="230"/>
      <c r="AJ1129" s="230"/>
      <c r="AK1129" s="230"/>
    </row>
    <row r="1130">
      <c r="O1130" s="230"/>
      <c r="R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  <c r="AI1130" s="230"/>
      <c r="AJ1130" s="230"/>
      <c r="AK1130" s="230"/>
    </row>
    <row r="1131">
      <c r="O1131" s="230"/>
      <c r="R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  <c r="AI1131" s="230"/>
      <c r="AJ1131" s="230"/>
      <c r="AK1131" s="230"/>
    </row>
    <row r="1132">
      <c r="O1132" s="230"/>
      <c r="R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  <c r="AI1132" s="230"/>
      <c r="AJ1132" s="230"/>
      <c r="AK1132" s="230"/>
    </row>
    <row r="1133">
      <c r="O1133" s="230"/>
      <c r="R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  <c r="AI1133" s="230"/>
      <c r="AJ1133" s="230"/>
      <c r="AK1133" s="230"/>
    </row>
    <row r="1134">
      <c r="O1134" s="230"/>
      <c r="R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  <c r="AI1134" s="230"/>
      <c r="AJ1134" s="230"/>
      <c r="AK1134" s="230"/>
    </row>
    <row r="1135">
      <c r="O1135" s="230"/>
      <c r="R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  <c r="AI1135" s="230"/>
      <c r="AJ1135" s="230"/>
      <c r="AK1135" s="230"/>
    </row>
    <row r="1136">
      <c r="O1136" s="230"/>
      <c r="R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  <c r="AI1136" s="230"/>
      <c r="AJ1136" s="230"/>
      <c r="AK1136" s="230"/>
    </row>
    <row r="1137">
      <c r="O1137" s="230"/>
      <c r="R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  <c r="AI1137" s="230"/>
      <c r="AJ1137" s="230"/>
      <c r="AK1137" s="230"/>
    </row>
    <row r="1138">
      <c r="O1138" s="230"/>
      <c r="R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  <c r="AI1138" s="230"/>
      <c r="AJ1138" s="230"/>
      <c r="AK1138" s="230"/>
    </row>
    <row r="1139">
      <c r="O1139" s="230"/>
      <c r="R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  <c r="AI1139" s="230"/>
      <c r="AJ1139" s="230"/>
      <c r="AK1139" s="230"/>
    </row>
    <row r="1140">
      <c r="O1140" s="230"/>
      <c r="R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  <c r="AI1140" s="230"/>
      <c r="AJ1140" s="230"/>
      <c r="AK1140" s="230"/>
    </row>
    <row r="1141">
      <c r="O1141" s="230"/>
      <c r="R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  <c r="AI1141" s="230"/>
      <c r="AJ1141" s="230"/>
      <c r="AK1141" s="230"/>
    </row>
    <row r="1142">
      <c r="O1142" s="230"/>
      <c r="R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  <c r="AI1142" s="230"/>
      <c r="AJ1142" s="230"/>
      <c r="AK1142" s="230"/>
    </row>
    <row r="1143">
      <c r="O1143" s="230"/>
      <c r="R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  <c r="AI1143" s="230"/>
      <c r="AJ1143" s="230"/>
      <c r="AK1143" s="230"/>
    </row>
    <row r="1144">
      <c r="O1144" s="230"/>
      <c r="R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  <c r="AI1144" s="230"/>
      <c r="AJ1144" s="230"/>
      <c r="AK1144" s="230"/>
    </row>
    <row r="1145">
      <c r="O1145" s="230"/>
      <c r="R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  <c r="AI1145" s="230"/>
      <c r="AJ1145" s="230"/>
      <c r="AK1145" s="230"/>
    </row>
    <row r="1146">
      <c r="O1146" s="230"/>
      <c r="R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  <c r="AI1146" s="230"/>
      <c r="AJ1146" s="230"/>
      <c r="AK1146" s="230"/>
    </row>
    <row r="1147">
      <c r="O1147" s="230"/>
      <c r="R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  <c r="AI1147" s="230"/>
      <c r="AJ1147" s="230"/>
      <c r="AK1147" s="230"/>
    </row>
    <row r="1148">
      <c r="O1148" s="230"/>
      <c r="R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  <c r="AI1148" s="230"/>
      <c r="AJ1148" s="230"/>
      <c r="AK1148" s="230"/>
    </row>
    <row r="1149">
      <c r="O1149" s="230"/>
      <c r="R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  <c r="AI1149" s="230"/>
      <c r="AJ1149" s="230"/>
      <c r="AK1149" s="230"/>
    </row>
    <row r="1150">
      <c r="O1150" s="230"/>
      <c r="R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  <c r="AI1150" s="230"/>
      <c r="AJ1150" s="230"/>
      <c r="AK1150" s="230"/>
    </row>
    <row r="1151">
      <c r="O1151" s="230"/>
      <c r="R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  <c r="AI1151" s="230"/>
      <c r="AJ1151" s="230"/>
      <c r="AK1151" s="230"/>
    </row>
    <row r="1152">
      <c r="O1152" s="230"/>
      <c r="R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  <c r="AI1152" s="230"/>
      <c r="AJ1152" s="230"/>
      <c r="AK1152" s="230"/>
    </row>
    <row r="1153">
      <c r="O1153" s="230"/>
      <c r="R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  <c r="AI1153" s="230"/>
      <c r="AJ1153" s="230"/>
      <c r="AK1153" s="230"/>
    </row>
    <row r="1154">
      <c r="O1154" s="230"/>
      <c r="R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  <c r="AI1154" s="230"/>
      <c r="AJ1154" s="230"/>
      <c r="AK1154" s="230"/>
    </row>
    <row r="1155">
      <c r="O1155" s="230"/>
      <c r="R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  <c r="AI1155" s="230"/>
      <c r="AJ1155" s="230"/>
      <c r="AK1155" s="230"/>
    </row>
    <row r="1156">
      <c r="O1156" s="230"/>
      <c r="R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  <c r="AI1156" s="230"/>
      <c r="AJ1156" s="230"/>
      <c r="AK1156" s="230"/>
    </row>
    <row r="1157">
      <c r="O1157" s="230"/>
      <c r="R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  <c r="AI1157" s="230"/>
      <c r="AJ1157" s="230"/>
      <c r="AK1157" s="230"/>
    </row>
    <row r="1158">
      <c r="O1158" s="230"/>
      <c r="R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  <c r="AI1158" s="230"/>
      <c r="AJ1158" s="230"/>
      <c r="AK1158" s="230"/>
    </row>
    <row r="1159">
      <c r="O1159" s="230"/>
      <c r="R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  <c r="AI1159" s="230"/>
      <c r="AJ1159" s="230"/>
      <c r="AK1159" s="230"/>
    </row>
    <row r="1160">
      <c r="O1160" s="230"/>
      <c r="R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  <c r="AI1160" s="230"/>
      <c r="AJ1160" s="230"/>
      <c r="AK1160" s="230"/>
    </row>
    <row r="1161">
      <c r="O1161" s="230"/>
      <c r="R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  <c r="AI1161" s="230"/>
      <c r="AJ1161" s="230"/>
      <c r="AK1161" s="230"/>
    </row>
    <row r="1162">
      <c r="O1162" s="230"/>
      <c r="R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  <c r="AI1162" s="230"/>
      <c r="AJ1162" s="230"/>
      <c r="AK1162" s="230"/>
    </row>
    <row r="1163">
      <c r="O1163" s="230"/>
      <c r="R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  <c r="AI1163" s="230"/>
      <c r="AJ1163" s="230"/>
      <c r="AK1163" s="230"/>
    </row>
    <row r="1164">
      <c r="O1164" s="230"/>
      <c r="R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  <c r="AI1164" s="230"/>
      <c r="AJ1164" s="230"/>
      <c r="AK1164" s="230"/>
    </row>
    <row r="1165">
      <c r="O1165" s="230"/>
      <c r="R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  <c r="AI1165" s="230"/>
      <c r="AJ1165" s="230"/>
      <c r="AK1165" s="230"/>
    </row>
    <row r="1166">
      <c r="O1166" s="230"/>
      <c r="R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  <c r="AI1166" s="230"/>
      <c r="AJ1166" s="230"/>
      <c r="AK1166" s="230"/>
    </row>
    <row r="1167">
      <c r="O1167" s="230"/>
      <c r="R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  <c r="AI1167" s="230"/>
      <c r="AJ1167" s="230"/>
      <c r="AK1167" s="230"/>
    </row>
    <row r="1168">
      <c r="O1168" s="230"/>
      <c r="R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  <c r="AI1168" s="230"/>
      <c r="AJ1168" s="230"/>
      <c r="AK1168" s="230"/>
    </row>
    <row r="1169">
      <c r="O1169" s="230"/>
      <c r="R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  <c r="AI1169" s="230"/>
      <c r="AJ1169" s="230"/>
      <c r="AK1169" s="230"/>
    </row>
    <row r="1170">
      <c r="O1170" s="230"/>
      <c r="R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  <c r="AI1170" s="230"/>
      <c r="AJ1170" s="230"/>
      <c r="AK1170" s="230"/>
    </row>
    <row r="1171">
      <c r="O1171" s="230"/>
      <c r="R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  <c r="AI1171" s="230"/>
      <c r="AJ1171" s="230"/>
      <c r="AK1171" s="230"/>
    </row>
    <row r="1172">
      <c r="O1172" s="230"/>
      <c r="R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  <c r="AI1172" s="230"/>
      <c r="AJ1172" s="230"/>
      <c r="AK1172" s="230"/>
    </row>
    <row r="1173">
      <c r="O1173" s="230"/>
      <c r="R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  <c r="AI1173" s="230"/>
      <c r="AJ1173" s="230"/>
      <c r="AK1173" s="230"/>
    </row>
    <row r="1174">
      <c r="O1174" s="230"/>
      <c r="R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  <c r="AI1174" s="230"/>
      <c r="AJ1174" s="230"/>
      <c r="AK1174" s="230"/>
    </row>
    <row r="1175">
      <c r="O1175" s="230"/>
      <c r="R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  <c r="AI1175" s="230"/>
      <c r="AJ1175" s="230"/>
      <c r="AK1175" s="230"/>
    </row>
    <row r="1176">
      <c r="O1176" s="230"/>
      <c r="R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  <c r="AI1176" s="230"/>
      <c r="AJ1176" s="230"/>
      <c r="AK1176" s="230"/>
    </row>
    <row r="1177">
      <c r="O1177" s="230"/>
      <c r="R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  <c r="AI1177" s="230"/>
      <c r="AJ1177" s="230"/>
      <c r="AK1177" s="230"/>
    </row>
    <row r="1178">
      <c r="O1178" s="230"/>
      <c r="R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  <c r="AI1178" s="230"/>
      <c r="AJ1178" s="230"/>
      <c r="AK1178" s="230"/>
    </row>
    <row r="1179">
      <c r="O1179" s="230"/>
      <c r="R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  <c r="AI1179" s="230"/>
      <c r="AJ1179" s="230"/>
      <c r="AK1179" s="230"/>
    </row>
    <row r="1180">
      <c r="O1180" s="230"/>
      <c r="R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  <c r="AI1180" s="230"/>
      <c r="AJ1180" s="230"/>
      <c r="AK1180" s="230"/>
    </row>
    <row r="1181">
      <c r="O1181" s="230"/>
      <c r="R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  <c r="AI1181" s="230"/>
      <c r="AJ1181" s="230"/>
      <c r="AK1181" s="230"/>
    </row>
    <row r="1182">
      <c r="O1182" s="230"/>
      <c r="R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  <c r="AI1182" s="230"/>
      <c r="AJ1182" s="230"/>
      <c r="AK1182" s="230"/>
    </row>
    <row r="1183">
      <c r="O1183" s="230"/>
      <c r="R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  <c r="AI1183" s="230"/>
      <c r="AJ1183" s="230"/>
      <c r="AK1183" s="230"/>
    </row>
    <row r="1184">
      <c r="O1184" s="230"/>
      <c r="R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  <c r="AI1184" s="230"/>
      <c r="AJ1184" s="230"/>
      <c r="AK1184" s="230"/>
    </row>
    <row r="1185">
      <c r="O1185" s="230"/>
      <c r="R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  <c r="AI1185" s="230"/>
      <c r="AJ1185" s="230"/>
      <c r="AK1185" s="230"/>
    </row>
    <row r="1186">
      <c r="O1186" s="230"/>
      <c r="R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  <c r="AI1186" s="230"/>
      <c r="AJ1186" s="230"/>
      <c r="AK1186" s="230"/>
    </row>
    <row r="1187">
      <c r="O1187" s="230"/>
      <c r="R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  <c r="AI1187" s="230"/>
      <c r="AJ1187" s="230"/>
      <c r="AK1187" s="230"/>
    </row>
    <row r="1188">
      <c r="O1188" s="230"/>
      <c r="R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  <c r="AI1188" s="230"/>
      <c r="AJ1188" s="230"/>
      <c r="AK1188" s="230"/>
    </row>
    <row r="1189">
      <c r="O1189" s="230"/>
      <c r="R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  <c r="AI1189" s="230"/>
      <c r="AJ1189" s="230"/>
      <c r="AK1189" s="230"/>
    </row>
    <row r="1190">
      <c r="O1190" s="230"/>
      <c r="R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  <c r="AI1190" s="230"/>
      <c r="AJ1190" s="230"/>
      <c r="AK1190" s="230"/>
    </row>
    <row r="1191">
      <c r="O1191" s="230"/>
      <c r="R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  <c r="AI1191" s="230"/>
      <c r="AJ1191" s="230"/>
      <c r="AK1191" s="230"/>
    </row>
    <row r="1192">
      <c r="O1192" s="230"/>
      <c r="R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  <c r="AI1192" s="230"/>
      <c r="AJ1192" s="230"/>
      <c r="AK1192" s="230"/>
    </row>
    <row r="1193">
      <c r="O1193" s="230"/>
      <c r="R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  <c r="AI1193" s="230"/>
      <c r="AJ1193" s="230"/>
      <c r="AK1193" s="230"/>
    </row>
    <row r="1194">
      <c r="O1194" s="230"/>
      <c r="R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  <c r="AI1194" s="230"/>
      <c r="AJ1194" s="230"/>
      <c r="AK1194" s="230"/>
    </row>
    <row r="1195">
      <c r="O1195" s="230"/>
      <c r="R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  <c r="AI1195" s="230"/>
      <c r="AJ1195" s="230"/>
      <c r="AK1195" s="230"/>
    </row>
    <row r="1196">
      <c r="O1196" s="230"/>
      <c r="R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  <c r="AI1196" s="230"/>
      <c r="AJ1196" s="230"/>
      <c r="AK1196" s="230"/>
    </row>
    <row r="1197">
      <c r="O1197" s="230"/>
      <c r="R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  <c r="AI1197" s="230"/>
      <c r="AJ1197" s="230"/>
      <c r="AK1197" s="230"/>
    </row>
    <row r="1198">
      <c r="O1198" s="230"/>
      <c r="R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  <c r="AI1198" s="230"/>
      <c r="AJ1198" s="230"/>
      <c r="AK1198" s="230"/>
    </row>
    <row r="1199">
      <c r="O1199" s="230"/>
      <c r="R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  <c r="AI1199" s="230"/>
      <c r="AJ1199" s="230"/>
      <c r="AK1199" s="230"/>
    </row>
    <row r="1200">
      <c r="O1200" s="230"/>
      <c r="R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  <c r="AI1200" s="230"/>
      <c r="AJ1200" s="230"/>
      <c r="AK1200" s="230"/>
    </row>
    <row r="1201">
      <c r="O1201" s="230"/>
      <c r="R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  <c r="AI1201" s="230"/>
      <c r="AJ1201" s="230"/>
      <c r="AK1201" s="230"/>
    </row>
    <row r="1202">
      <c r="O1202" s="230"/>
      <c r="R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  <c r="AI1202" s="230"/>
      <c r="AJ1202" s="230"/>
      <c r="AK1202" s="230"/>
    </row>
    <row r="1203">
      <c r="O1203" s="230"/>
      <c r="R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  <c r="AI1203" s="230"/>
      <c r="AJ1203" s="230"/>
      <c r="AK1203" s="230"/>
    </row>
    <row r="1204">
      <c r="O1204" s="230"/>
      <c r="R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  <c r="AI1204" s="230"/>
      <c r="AJ1204" s="230"/>
      <c r="AK1204" s="230"/>
    </row>
    <row r="1205">
      <c r="O1205" s="230"/>
      <c r="R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  <c r="AI1205" s="230"/>
      <c r="AJ1205" s="230"/>
      <c r="AK1205" s="230"/>
    </row>
    <row r="1206">
      <c r="O1206" s="230"/>
      <c r="R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  <c r="AI1206" s="230"/>
      <c r="AJ1206" s="230"/>
      <c r="AK1206" s="230"/>
    </row>
    <row r="1207">
      <c r="O1207" s="230"/>
      <c r="R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  <c r="AI1207" s="230"/>
      <c r="AJ1207" s="230"/>
      <c r="AK1207" s="230"/>
    </row>
    <row r="1208">
      <c r="O1208" s="230"/>
      <c r="R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  <c r="AI1208" s="230"/>
      <c r="AJ1208" s="230"/>
      <c r="AK1208" s="230"/>
    </row>
    <row r="1209">
      <c r="O1209" s="230"/>
      <c r="R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  <c r="AI1209" s="230"/>
      <c r="AJ1209" s="230"/>
      <c r="AK1209" s="230"/>
    </row>
    <row r="1210">
      <c r="O1210" s="230"/>
      <c r="R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  <c r="AI1210" s="230"/>
      <c r="AJ1210" s="230"/>
      <c r="AK1210" s="230"/>
    </row>
    <row r="1211">
      <c r="O1211" s="230"/>
      <c r="R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  <c r="AI1211" s="230"/>
      <c r="AJ1211" s="230"/>
      <c r="AK1211" s="230"/>
    </row>
    <row r="1212">
      <c r="O1212" s="230"/>
      <c r="R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  <c r="AI1212" s="230"/>
      <c r="AJ1212" s="230"/>
      <c r="AK1212" s="230"/>
    </row>
    <row r="1213">
      <c r="O1213" s="230"/>
      <c r="R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  <c r="AI1213" s="230"/>
      <c r="AJ1213" s="230"/>
      <c r="AK1213" s="230"/>
    </row>
    <row r="1214">
      <c r="O1214" s="230"/>
      <c r="R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  <c r="AI1214" s="230"/>
      <c r="AJ1214" s="230"/>
      <c r="AK1214" s="230"/>
    </row>
    <row r="1215">
      <c r="O1215" s="230"/>
      <c r="R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  <c r="AI1215" s="230"/>
      <c r="AJ1215" s="230"/>
      <c r="AK1215" s="230"/>
    </row>
    <row r="1216">
      <c r="O1216" s="230"/>
      <c r="R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  <c r="AI1216" s="230"/>
      <c r="AJ1216" s="230"/>
      <c r="AK1216" s="230"/>
    </row>
    <row r="1217">
      <c r="O1217" s="230"/>
      <c r="R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  <c r="AI1217" s="230"/>
      <c r="AJ1217" s="230"/>
      <c r="AK1217" s="230"/>
    </row>
    <row r="1218">
      <c r="O1218" s="230"/>
      <c r="R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  <c r="AI1218" s="230"/>
      <c r="AJ1218" s="230"/>
      <c r="AK1218" s="230"/>
    </row>
    <row r="1219">
      <c r="O1219" s="230"/>
      <c r="R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  <c r="AI1219" s="230"/>
      <c r="AJ1219" s="230"/>
      <c r="AK1219" s="230"/>
    </row>
    <row r="1220">
      <c r="O1220" s="230"/>
      <c r="R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  <c r="AI1220" s="230"/>
      <c r="AJ1220" s="230"/>
      <c r="AK1220" s="230"/>
    </row>
    <row r="1221">
      <c r="O1221" s="230"/>
      <c r="R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  <c r="AI1221" s="230"/>
      <c r="AJ1221" s="230"/>
      <c r="AK1221" s="230"/>
    </row>
    <row r="1222">
      <c r="O1222" s="230"/>
      <c r="R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  <c r="AI1222" s="230"/>
      <c r="AJ1222" s="230"/>
      <c r="AK1222" s="230"/>
    </row>
    <row r="1223">
      <c r="O1223" s="230"/>
      <c r="R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  <c r="AI1223" s="230"/>
      <c r="AJ1223" s="230"/>
      <c r="AK1223" s="230"/>
    </row>
    <row r="1224">
      <c r="O1224" s="230"/>
      <c r="R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  <c r="AI1224" s="230"/>
      <c r="AJ1224" s="230"/>
      <c r="AK1224" s="230"/>
    </row>
    <row r="1225">
      <c r="O1225" s="230"/>
      <c r="R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  <c r="AI1225" s="230"/>
      <c r="AJ1225" s="230"/>
      <c r="AK1225" s="230"/>
    </row>
    <row r="1226">
      <c r="O1226" s="230"/>
      <c r="R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  <c r="AI1226" s="230"/>
      <c r="AJ1226" s="230"/>
      <c r="AK1226" s="230"/>
    </row>
    <row r="1227">
      <c r="O1227" s="230"/>
      <c r="R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  <c r="AI1227" s="230"/>
      <c r="AJ1227" s="230"/>
      <c r="AK1227" s="230"/>
    </row>
    <row r="1228">
      <c r="O1228" s="230"/>
      <c r="R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  <c r="AI1228" s="230"/>
      <c r="AJ1228" s="230"/>
      <c r="AK1228" s="230"/>
    </row>
    <row r="1229">
      <c r="O1229" s="230"/>
      <c r="R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  <c r="AI1229" s="230"/>
      <c r="AJ1229" s="230"/>
      <c r="AK1229" s="230"/>
    </row>
    <row r="1230">
      <c r="O1230" s="230"/>
      <c r="R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  <c r="AI1230" s="230"/>
      <c r="AJ1230" s="230"/>
      <c r="AK1230" s="230"/>
    </row>
    <row r="1231">
      <c r="O1231" s="230"/>
      <c r="R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  <c r="AI1231" s="230"/>
      <c r="AJ1231" s="230"/>
      <c r="AK1231" s="230"/>
    </row>
    <row r="1232">
      <c r="O1232" s="230"/>
      <c r="R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  <c r="AI1232" s="230"/>
      <c r="AJ1232" s="230"/>
      <c r="AK1232" s="230"/>
    </row>
    <row r="1233">
      <c r="O1233" s="230"/>
      <c r="R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  <c r="AI1233" s="230"/>
      <c r="AJ1233" s="230"/>
      <c r="AK1233" s="230"/>
    </row>
    <row r="1234">
      <c r="O1234" s="230"/>
      <c r="R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  <c r="AI1234" s="230"/>
      <c r="AJ1234" s="230"/>
      <c r="AK1234" s="230"/>
    </row>
    <row r="1235">
      <c r="O1235" s="230"/>
      <c r="R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  <c r="AI1235" s="230"/>
      <c r="AJ1235" s="230"/>
      <c r="AK1235" s="230"/>
    </row>
    <row r="1236">
      <c r="O1236" s="230"/>
      <c r="R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  <c r="AI1236" s="230"/>
      <c r="AJ1236" s="230"/>
      <c r="AK1236" s="230"/>
    </row>
    <row r="1237">
      <c r="O1237" s="230"/>
      <c r="R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  <c r="AI1237" s="230"/>
      <c r="AJ1237" s="230"/>
      <c r="AK1237" s="230"/>
    </row>
    <row r="1238">
      <c r="O1238" s="230"/>
      <c r="R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  <c r="AI1238" s="230"/>
      <c r="AJ1238" s="230"/>
      <c r="AK1238" s="230"/>
    </row>
    <row r="1239">
      <c r="O1239" s="230"/>
      <c r="R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  <c r="AI1239" s="230"/>
      <c r="AJ1239" s="230"/>
      <c r="AK1239" s="230"/>
    </row>
    <row r="1240">
      <c r="O1240" s="230"/>
      <c r="R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  <c r="AI1240" s="230"/>
      <c r="AJ1240" s="230"/>
      <c r="AK1240" s="230"/>
    </row>
    <row r="1241">
      <c r="O1241" s="230"/>
      <c r="R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  <c r="AI1241" s="230"/>
      <c r="AJ1241" s="230"/>
      <c r="AK1241" s="230"/>
    </row>
    <row r="1242">
      <c r="O1242" s="230"/>
      <c r="R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  <c r="AI1242" s="230"/>
      <c r="AJ1242" s="230"/>
      <c r="AK1242" s="230"/>
    </row>
    <row r="1243">
      <c r="O1243" s="230"/>
      <c r="R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  <c r="AI1243" s="230"/>
      <c r="AJ1243" s="230"/>
      <c r="AK1243" s="230"/>
    </row>
    <row r="1244">
      <c r="O1244" s="230"/>
      <c r="R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  <c r="AI1244" s="230"/>
      <c r="AJ1244" s="230"/>
      <c r="AK1244" s="230"/>
    </row>
    <row r="1245">
      <c r="O1245" s="230"/>
      <c r="R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  <c r="AI1245" s="230"/>
      <c r="AJ1245" s="230"/>
      <c r="AK1245" s="230"/>
    </row>
    <row r="1246">
      <c r="O1246" s="230"/>
      <c r="R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  <c r="AI1246" s="230"/>
      <c r="AJ1246" s="230"/>
      <c r="AK1246" s="230"/>
    </row>
    <row r="1247">
      <c r="O1247" s="230"/>
      <c r="R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  <c r="AI1247" s="230"/>
      <c r="AJ1247" s="230"/>
      <c r="AK1247" s="230"/>
    </row>
    <row r="1248">
      <c r="O1248" s="230"/>
      <c r="R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  <c r="AI1248" s="230"/>
      <c r="AJ1248" s="230"/>
      <c r="AK1248" s="230"/>
    </row>
    <row r="1249">
      <c r="O1249" s="230"/>
      <c r="R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  <c r="AI1249" s="230"/>
      <c r="AJ1249" s="230"/>
      <c r="AK1249" s="230"/>
    </row>
    <row r="1250">
      <c r="O1250" s="230"/>
      <c r="R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  <c r="AI1250" s="230"/>
      <c r="AJ1250" s="230"/>
      <c r="AK1250" s="230"/>
    </row>
    <row r="1251">
      <c r="O1251" s="230"/>
      <c r="R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  <c r="AI1251" s="230"/>
      <c r="AJ1251" s="230"/>
      <c r="AK1251" s="230"/>
    </row>
    <row r="1252">
      <c r="O1252" s="230"/>
      <c r="R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  <c r="AI1252" s="230"/>
      <c r="AJ1252" s="230"/>
      <c r="AK1252" s="230"/>
    </row>
    <row r="1253">
      <c r="O1253" s="230"/>
      <c r="R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  <c r="AI1253" s="230"/>
      <c r="AJ1253" s="230"/>
      <c r="AK1253" s="230"/>
    </row>
    <row r="1254">
      <c r="O1254" s="230"/>
      <c r="R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  <c r="AI1254" s="230"/>
      <c r="AJ1254" s="230"/>
      <c r="AK1254" s="230"/>
    </row>
    <row r="1255">
      <c r="O1255" s="230"/>
      <c r="R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  <c r="AI1255" s="230"/>
      <c r="AJ1255" s="230"/>
      <c r="AK1255" s="230"/>
    </row>
    <row r="1256">
      <c r="O1256" s="230"/>
      <c r="R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  <c r="AI1256" s="230"/>
      <c r="AJ1256" s="230"/>
      <c r="AK1256" s="230"/>
    </row>
    <row r="1257">
      <c r="O1257" s="230"/>
      <c r="R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  <c r="AI1257" s="230"/>
      <c r="AJ1257" s="230"/>
      <c r="AK1257" s="230"/>
    </row>
    <row r="1258">
      <c r="O1258" s="230"/>
      <c r="R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  <c r="AI1258" s="230"/>
      <c r="AJ1258" s="230"/>
      <c r="AK1258" s="230"/>
    </row>
    <row r="1259">
      <c r="O1259" s="230"/>
      <c r="R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  <c r="AI1259" s="230"/>
      <c r="AJ1259" s="230"/>
      <c r="AK1259" s="230"/>
    </row>
    <row r="1260">
      <c r="O1260" s="230"/>
      <c r="R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  <c r="AI1260" s="230"/>
      <c r="AJ1260" s="230"/>
      <c r="AK1260" s="230"/>
    </row>
    <row r="1261">
      <c r="O1261" s="230"/>
      <c r="R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  <c r="AI1261" s="230"/>
      <c r="AJ1261" s="230"/>
      <c r="AK1261" s="230"/>
    </row>
    <row r="1262">
      <c r="O1262" s="230"/>
      <c r="R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  <c r="AI1262" s="230"/>
      <c r="AJ1262" s="230"/>
      <c r="AK1262" s="230"/>
    </row>
    <row r="1263">
      <c r="O1263" s="230"/>
      <c r="R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  <c r="AI1263" s="230"/>
      <c r="AJ1263" s="230"/>
      <c r="AK1263" s="230"/>
    </row>
    <row r="1264">
      <c r="O1264" s="230"/>
      <c r="R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  <c r="AI1264" s="230"/>
      <c r="AJ1264" s="230"/>
      <c r="AK1264" s="230"/>
    </row>
    <row r="1265">
      <c r="O1265" s="230"/>
      <c r="R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  <c r="AI1265" s="230"/>
      <c r="AJ1265" s="230"/>
      <c r="AK1265" s="230"/>
    </row>
    <row r="1266">
      <c r="O1266" s="230"/>
      <c r="R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  <c r="AI1266" s="230"/>
      <c r="AJ1266" s="230"/>
      <c r="AK1266" s="230"/>
    </row>
    <row r="1267">
      <c r="O1267" s="230"/>
      <c r="R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  <c r="AI1267" s="230"/>
      <c r="AJ1267" s="230"/>
      <c r="AK1267" s="230"/>
    </row>
    <row r="1268">
      <c r="O1268" s="230"/>
      <c r="R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  <c r="AI1268" s="230"/>
      <c r="AJ1268" s="230"/>
      <c r="AK1268" s="230"/>
    </row>
    <row r="1269">
      <c r="O1269" s="230"/>
      <c r="R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  <c r="AI1269" s="230"/>
      <c r="AJ1269" s="230"/>
      <c r="AK1269" s="230"/>
    </row>
    <row r="1270">
      <c r="O1270" s="230"/>
      <c r="R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  <c r="AI1270" s="230"/>
      <c r="AJ1270" s="230"/>
      <c r="AK1270" s="230"/>
    </row>
    <row r="1271">
      <c r="O1271" s="230"/>
      <c r="R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  <c r="AI1271" s="230"/>
      <c r="AJ1271" s="230"/>
      <c r="AK1271" s="230"/>
    </row>
    <row r="1272">
      <c r="O1272" s="230"/>
      <c r="R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  <c r="AI1272" s="230"/>
      <c r="AJ1272" s="230"/>
      <c r="AK1272" s="230"/>
    </row>
    <row r="1273">
      <c r="O1273" s="230"/>
      <c r="R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  <c r="AI1273" s="230"/>
      <c r="AJ1273" s="230"/>
      <c r="AK1273" s="230"/>
    </row>
    <row r="1274">
      <c r="O1274" s="230"/>
      <c r="R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  <c r="AI1274" s="230"/>
      <c r="AJ1274" s="230"/>
      <c r="AK1274" s="230"/>
    </row>
    <row r="1275">
      <c r="O1275" s="230"/>
      <c r="R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  <c r="AI1275" s="230"/>
      <c r="AJ1275" s="230"/>
      <c r="AK1275" s="230"/>
    </row>
    <row r="1276">
      <c r="O1276" s="230"/>
      <c r="R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  <c r="AI1276" s="230"/>
      <c r="AJ1276" s="230"/>
      <c r="AK1276" s="230"/>
    </row>
    <row r="1277">
      <c r="O1277" s="230"/>
      <c r="R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  <c r="AI1277" s="230"/>
      <c r="AJ1277" s="230"/>
      <c r="AK1277" s="230"/>
    </row>
    <row r="1278">
      <c r="O1278" s="230"/>
      <c r="R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  <c r="AI1278" s="230"/>
      <c r="AJ1278" s="230"/>
      <c r="AK1278" s="230"/>
    </row>
    <row r="1279">
      <c r="O1279" s="230"/>
      <c r="R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  <c r="AI1279" s="230"/>
      <c r="AJ1279" s="230"/>
      <c r="AK1279" s="230"/>
    </row>
    <row r="1280">
      <c r="O1280" s="230"/>
      <c r="R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  <c r="AI1280" s="230"/>
      <c r="AJ1280" s="230"/>
      <c r="AK1280" s="230"/>
    </row>
    <row r="1281">
      <c r="O1281" s="230"/>
      <c r="R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  <c r="AI1281" s="230"/>
      <c r="AJ1281" s="230"/>
      <c r="AK1281" s="230"/>
    </row>
    <row r="1282">
      <c r="O1282" s="230"/>
      <c r="R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  <c r="AI1282" s="230"/>
      <c r="AJ1282" s="230"/>
      <c r="AK1282" s="230"/>
    </row>
    <row r="1283">
      <c r="O1283" s="230"/>
      <c r="R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  <c r="AI1283" s="230"/>
      <c r="AJ1283" s="230"/>
      <c r="AK1283" s="230"/>
    </row>
    <row r="1284">
      <c r="O1284" s="230"/>
      <c r="R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  <c r="AI1284" s="230"/>
      <c r="AJ1284" s="230"/>
      <c r="AK1284" s="230"/>
    </row>
    <row r="1285">
      <c r="O1285" s="230"/>
      <c r="R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  <c r="AI1285" s="230"/>
      <c r="AJ1285" s="230"/>
      <c r="AK1285" s="230"/>
    </row>
    <row r="1286">
      <c r="O1286" s="230"/>
      <c r="R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  <c r="AI1286" s="230"/>
      <c r="AJ1286" s="230"/>
      <c r="AK1286" s="230"/>
    </row>
    <row r="1287">
      <c r="O1287" s="230"/>
      <c r="R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  <c r="AI1287" s="230"/>
      <c r="AJ1287" s="230"/>
      <c r="AK1287" s="230"/>
    </row>
    <row r="1288">
      <c r="O1288" s="230"/>
      <c r="R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  <c r="AI1288" s="230"/>
      <c r="AJ1288" s="230"/>
      <c r="AK1288" s="230"/>
    </row>
    <row r="1289">
      <c r="O1289" s="230"/>
      <c r="R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  <c r="AI1289" s="230"/>
      <c r="AJ1289" s="230"/>
      <c r="AK1289" s="230"/>
    </row>
    <row r="1290">
      <c r="O1290" s="230"/>
      <c r="R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  <c r="AI1290" s="230"/>
      <c r="AJ1290" s="230"/>
      <c r="AK1290" s="230"/>
    </row>
    <row r="1291">
      <c r="O1291" s="230"/>
      <c r="R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  <c r="AI1291" s="230"/>
      <c r="AJ1291" s="230"/>
      <c r="AK1291" s="230"/>
    </row>
    <row r="1292">
      <c r="O1292" s="230"/>
      <c r="R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  <c r="AI1292" s="230"/>
      <c r="AJ1292" s="230"/>
      <c r="AK1292" s="230"/>
    </row>
    <row r="1293">
      <c r="O1293" s="230"/>
      <c r="R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  <c r="AI1293" s="230"/>
      <c r="AJ1293" s="230"/>
      <c r="AK1293" s="230"/>
    </row>
    <row r="1294">
      <c r="O1294" s="230"/>
      <c r="R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  <c r="AI1294" s="230"/>
      <c r="AJ1294" s="230"/>
      <c r="AK1294" s="230"/>
    </row>
    <row r="1295">
      <c r="O1295" s="230"/>
      <c r="R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  <c r="AI1295" s="230"/>
      <c r="AJ1295" s="230"/>
      <c r="AK1295" s="230"/>
    </row>
    <row r="1296">
      <c r="O1296" s="230"/>
      <c r="R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  <c r="AI1296" s="230"/>
      <c r="AJ1296" s="230"/>
      <c r="AK1296" s="230"/>
    </row>
    <row r="1297">
      <c r="O1297" s="230"/>
      <c r="R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  <c r="AI1297" s="230"/>
      <c r="AJ1297" s="230"/>
      <c r="AK1297" s="230"/>
    </row>
    <row r="1298">
      <c r="O1298" s="230"/>
      <c r="R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  <c r="AI1298" s="230"/>
      <c r="AJ1298" s="230"/>
      <c r="AK1298" s="230"/>
    </row>
    <row r="1299">
      <c r="O1299" s="230"/>
      <c r="R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  <c r="AI1299" s="230"/>
      <c r="AJ1299" s="230"/>
      <c r="AK1299" s="230"/>
    </row>
    <row r="1300">
      <c r="O1300" s="230"/>
      <c r="R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  <c r="AI1300" s="230"/>
      <c r="AJ1300" s="230"/>
      <c r="AK1300" s="230"/>
    </row>
    <row r="1301">
      <c r="O1301" s="230"/>
      <c r="R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  <c r="AI1301" s="230"/>
      <c r="AJ1301" s="230"/>
      <c r="AK1301" s="230"/>
    </row>
    <row r="1302">
      <c r="O1302" s="230"/>
      <c r="R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  <c r="AI1302" s="230"/>
      <c r="AJ1302" s="230"/>
      <c r="AK1302" s="230"/>
    </row>
    <row r="1303">
      <c r="O1303" s="230"/>
      <c r="R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  <c r="AI1303" s="230"/>
      <c r="AJ1303" s="230"/>
      <c r="AK1303" s="230"/>
    </row>
    <row r="1304">
      <c r="O1304" s="230"/>
      <c r="R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  <c r="AI1304" s="230"/>
      <c r="AJ1304" s="230"/>
      <c r="AK1304" s="230"/>
    </row>
    <row r="1305">
      <c r="O1305" s="230"/>
      <c r="R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  <c r="AI1305" s="230"/>
      <c r="AJ1305" s="230"/>
      <c r="AK1305" s="230"/>
    </row>
    <row r="1306">
      <c r="O1306" s="230"/>
      <c r="R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  <c r="AI1306" s="230"/>
      <c r="AJ1306" s="230"/>
      <c r="AK1306" s="230"/>
    </row>
    <row r="1307">
      <c r="O1307" s="230"/>
      <c r="R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  <c r="AI1307" s="230"/>
      <c r="AJ1307" s="230"/>
      <c r="AK1307" s="230"/>
    </row>
    <row r="1308">
      <c r="O1308" s="230"/>
      <c r="R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  <c r="AI1308" s="230"/>
      <c r="AJ1308" s="230"/>
      <c r="AK1308" s="230"/>
    </row>
    <row r="1309">
      <c r="O1309" s="230"/>
      <c r="R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  <c r="AI1309" s="230"/>
      <c r="AJ1309" s="230"/>
      <c r="AK1309" s="230"/>
    </row>
    <row r="1310">
      <c r="O1310" s="230"/>
      <c r="R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  <c r="AI1310" s="230"/>
      <c r="AJ1310" s="230"/>
      <c r="AK1310" s="230"/>
    </row>
    <row r="1311">
      <c r="O1311" s="230"/>
      <c r="R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  <c r="AI1311" s="230"/>
      <c r="AJ1311" s="230"/>
      <c r="AK1311" s="230"/>
    </row>
    <row r="1312">
      <c r="O1312" s="230"/>
      <c r="R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  <c r="AI1312" s="230"/>
      <c r="AJ1312" s="230"/>
      <c r="AK1312" s="230"/>
    </row>
    <row r="1313">
      <c r="O1313" s="230"/>
      <c r="R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  <c r="AI1313" s="230"/>
      <c r="AJ1313" s="230"/>
      <c r="AK1313" s="230"/>
    </row>
    <row r="1314">
      <c r="O1314" s="230"/>
      <c r="R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  <c r="AI1314" s="230"/>
      <c r="AJ1314" s="230"/>
      <c r="AK1314" s="230"/>
    </row>
    <row r="1315">
      <c r="O1315" s="230"/>
      <c r="R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  <c r="AI1315" s="230"/>
      <c r="AJ1315" s="230"/>
      <c r="AK1315" s="230"/>
    </row>
    <row r="1316">
      <c r="O1316" s="230"/>
      <c r="R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  <c r="AI1316" s="230"/>
      <c r="AJ1316" s="230"/>
      <c r="AK1316" s="230"/>
    </row>
    <row r="1317">
      <c r="O1317" s="230"/>
      <c r="R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  <c r="AI1317" s="230"/>
      <c r="AJ1317" s="230"/>
      <c r="AK1317" s="230"/>
    </row>
    <row r="1318">
      <c r="O1318" s="230"/>
      <c r="R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  <c r="AI1318" s="230"/>
      <c r="AJ1318" s="230"/>
      <c r="AK1318" s="230"/>
    </row>
    <row r="1319">
      <c r="O1319" s="230"/>
      <c r="R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  <c r="AI1319" s="230"/>
      <c r="AJ1319" s="230"/>
      <c r="AK1319" s="230"/>
    </row>
    <row r="1320">
      <c r="O1320" s="230"/>
      <c r="R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  <c r="AI1320" s="230"/>
      <c r="AJ1320" s="230"/>
      <c r="AK1320" s="230"/>
    </row>
    <row r="1321">
      <c r="O1321" s="230"/>
      <c r="R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  <c r="AI1321" s="230"/>
      <c r="AJ1321" s="230"/>
      <c r="AK1321" s="230"/>
    </row>
    <row r="1322">
      <c r="O1322" s="230"/>
      <c r="R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  <c r="AI1322" s="230"/>
      <c r="AJ1322" s="230"/>
      <c r="AK1322" s="230"/>
    </row>
    <row r="1323">
      <c r="O1323" s="230"/>
      <c r="R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  <c r="AI1323" s="230"/>
      <c r="AJ1323" s="230"/>
      <c r="AK1323" s="230"/>
    </row>
    <row r="1324">
      <c r="O1324" s="230"/>
      <c r="R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  <c r="AI1324" s="230"/>
      <c r="AJ1324" s="230"/>
      <c r="AK1324" s="230"/>
    </row>
    <row r="1325">
      <c r="O1325" s="230"/>
      <c r="R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  <c r="AI1325" s="230"/>
      <c r="AJ1325" s="230"/>
      <c r="AK1325" s="230"/>
    </row>
    <row r="1326">
      <c r="O1326" s="230"/>
      <c r="R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  <c r="AI1326" s="230"/>
      <c r="AJ1326" s="230"/>
      <c r="AK1326" s="230"/>
    </row>
    <row r="1327">
      <c r="O1327" s="230"/>
      <c r="R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  <c r="AI1327" s="230"/>
      <c r="AJ1327" s="230"/>
      <c r="AK1327" s="230"/>
    </row>
    <row r="1328">
      <c r="O1328" s="230"/>
      <c r="R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  <c r="AI1328" s="230"/>
      <c r="AJ1328" s="230"/>
      <c r="AK1328" s="230"/>
    </row>
    <row r="1329">
      <c r="O1329" s="230"/>
      <c r="R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  <c r="AI1329" s="230"/>
      <c r="AJ1329" s="230"/>
      <c r="AK1329" s="230"/>
    </row>
    <row r="1330">
      <c r="O1330" s="230"/>
      <c r="R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  <c r="AI1330" s="230"/>
      <c r="AJ1330" s="230"/>
      <c r="AK1330" s="230"/>
    </row>
    <row r="1331">
      <c r="O1331" s="230"/>
      <c r="R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  <c r="AI1331" s="230"/>
      <c r="AJ1331" s="230"/>
      <c r="AK1331" s="230"/>
    </row>
    <row r="1332">
      <c r="O1332" s="230"/>
      <c r="R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  <c r="AI1332" s="230"/>
      <c r="AJ1332" s="230"/>
      <c r="AK1332" s="230"/>
    </row>
    <row r="1333">
      <c r="O1333" s="230"/>
      <c r="R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  <c r="AI1333" s="230"/>
      <c r="AJ1333" s="230"/>
      <c r="AK1333" s="230"/>
    </row>
    <row r="1334">
      <c r="O1334" s="230"/>
      <c r="R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  <c r="AI1334" s="230"/>
      <c r="AJ1334" s="230"/>
      <c r="AK1334" s="230"/>
    </row>
    <row r="1335">
      <c r="O1335" s="230"/>
      <c r="R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  <c r="AI1335" s="230"/>
      <c r="AJ1335" s="230"/>
      <c r="AK1335" s="230"/>
    </row>
    <row r="1336">
      <c r="O1336" s="230"/>
      <c r="R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  <c r="AI1336" s="230"/>
      <c r="AJ1336" s="230"/>
      <c r="AK1336" s="230"/>
    </row>
    <row r="1337">
      <c r="O1337" s="230"/>
      <c r="R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  <c r="AI1337" s="230"/>
      <c r="AJ1337" s="230"/>
      <c r="AK1337" s="230"/>
    </row>
    <row r="1338">
      <c r="O1338" s="230"/>
      <c r="R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  <c r="AI1338" s="230"/>
      <c r="AJ1338" s="230"/>
      <c r="AK1338" s="230"/>
    </row>
    <row r="1339">
      <c r="O1339" s="230"/>
      <c r="R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  <c r="AI1339" s="230"/>
      <c r="AJ1339" s="230"/>
      <c r="AK1339" s="230"/>
    </row>
    <row r="1340">
      <c r="O1340" s="230"/>
      <c r="R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  <c r="AI1340" s="230"/>
      <c r="AJ1340" s="230"/>
      <c r="AK1340" s="230"/>
    </row>
    <row r="1341">
      <c r="O1341" s="230"/>
      <c r="R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  <c r="AI1341" s="230"/>
      <c r="AJ1341" s="230"/>
      <c r="AK1341" s="230"/>
    </row>
    <row r="1342">
      <c r="O1342" s="230"/>
      <c r="R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  <c r="AI1342" s="230"/>
      <c r="AJ1342" s="230"/>
      <c r="AK1342" s="230"/>
    </row>
    <row r="1343">
      <c r="O1343" s="230"/>
      <c r="R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  <c r="AI1343" s="230"/>
      <c r="AJ1343" s="230"/>
      <c r="AK1343" s="230"/>
    </row>
    <row r="1344">
      <c r="O1344" s="230"/>
      <c r="R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  <c r="AI1344" s="230"/>
      <c r="AJ1344" s="230"/>
      <c r="AK1344" s="230"/>
    </row>
    <row r="1345">
      <c r="O1345" s="230"/>
      <c r="R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  <c r="AI1345" s="230"/>
      <c r="AJ1345" s="230"/>
      <c r="AK1345" s="230"/>
    </row>
    <row r="1346">
      <c r="O1346" s="230"/>
      <c r="R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  <c r="AI1346" s="230"/>
      <c r="AJ1346" s="230"/>
      <c r="AK1346" s="230"/>
    </row>
    <row r="1347">
      <c r="O1347" s="230"/>
      <c r="R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  <c r="AI1347" s="230"/>
      <c r="AJ1347" s="230"/>
      <c r="AK1347" s="230"/>
    </row>
    <row r="1348">
      <c r="O1348" s="230"/>
      <c r="R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  <c r="AI1348" s="230"/>
      <c r="AJ1348" s="230"/>
      <c r="AK1348" s="230"/>
    </row>
    <row r="1349">
      <c r="O1349" s="230"/>
      <c r="R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  <c r="AI1349" s="230"/>
      <c r="AJ1349" s="230"/>
      <c r="AK1349" s="230"/>
    </row>
    <row r="1350">
      <c r="O1350" s="230"/>
      <c r="R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  <c r="AI1350" s="230"/>
      <c r="AJ1350" s="230"/>
      <c r="AK1350" s="230"/>
    </row>
    <row r="1351">
      <c r="O1351" s="230"/>
      <c r="R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  <c r="AI1351" s="230"/>
      <c r="AJ1351" s="230"/>
      <c r="AK1351" s="230"/>
    </row>
    <row r="1352">
      <c r="O1352" s="230"/>
      <c r="R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  <c r="AI1352" s="230"/>
      <c r="AJ1352" s="230"/>
      <c r="AK1352" s="230"/>
    </row>
    <row r="1353">
      <c r="O1353" s="230"/>
      <c r="R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  <c r="AI1353" s="230"/>
      <c r="AJ1353" s="230"/>
      <c r="AK1353" s="230"/>
    </row>
    <row r="1354">
      <c r="O1354" s="230"/>
      <c r="R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  <c r="AI1354" s="230"/>
      <c r="AJ1354" s="230"/>
      <c r="AK1354" s="230"/>
    </row>
    <row r="1355">
      <c r="O1355" s="230"/>
      <c r="R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  <c r="AI1355" s="230"/>
      <c r="AJ1355" s="230"/>
      <c r="AK1355" s="230"/>
    </row>
    <row r="1356">
      <c r="O1356" s="230"/>
      <c r="R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  <c r="AI1356" s="230"/>
      <c r="AJ1356" s="230"/>
      <c r="AK1356" s="230"/>
    </row>
    <row r="1357">
      <c r="O1357" s="230"/>
      <c r="R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  <c r="AI1357" s="230"/>
      <c r="AJ1357" s="230"/>
      <c r="AK1357" s="230"/>
    </row>
    <row r="1358">
      <c r="O1358" s="230"/>
      <c r="R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  <c r="AI1358" s="230"/>
      <c r="AJ1358" s="230"/>
      <c r="AK1358" s="230"/>
    </row>
    <row r="1359">
      <c r="O1359" s="230"/>
      <c r="R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  <c r="AI1359" s="230"/>
      <c r="AJ1359" s="230"/>
      <c r="AK1359" s="230"/>
    </row>
    <row r="1360">
      <c r="O1360" s="230"/>
      <c r="R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  <c r="AI1360" s="230"/>
      <c r="AJ1360" s="230"/>
      <c r="AK1360" s="230"/>
    </row>
    <row r="1361">
      <c r="O1361" s="230"/>
      <c r="R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  <c r="AI1361" s="230"/>
      <c r="AJ1361" s="230"/>
      <c r="AK1361" s="230"/>
    </row>
    <row r="1362">
      <c r="O1362" s="230"/>
      <c r="R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  <c r="AI1362" s="230"/>
      <c r="AJ1362" s="230"/>
      <c r="AK1362" s="230"/>
    </row>
    <row r="1363">
      <c r="O1363" s="230"/>
      <c r="R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  <c r="AI1363" s="230"/>
      <c r="AJ1363" s="230"/>
      <c r="AK1363" s="230"/>
    </row>
    <row r="1364">
      <c r="O1364" s="230"/>
      <c r="R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  <c r="AI1364" s="230"/>
      <c r="AJ1364" s="230"/>
      <c r="AK1364" s="230"/>
    </row>
    <row r="1365">
      <c r="O1365" s="230"/>
      <c r="R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  <c r="AI1365" s="230"/>
      <c r="AJ1365" s="230"/>
      <c r="AK1365" s="230"/>
    </row>
    <row r="1366">
      <c r="O1366" s="230"/>
      <c r="R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  <c r="AI1366" s="230"/>
      <c r="AJ1366" s="230"/>
      <c r="AK1366" s="230"/>
    </row>
    <row r="1367">
      <c r="O1367" s="230"/>
      <c r="R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  <c r="AI1367" s="230"/>
      <c r="AJ1367" s="230"/>
      <c r="AK1367" s="230"/>
    </row>
    <row r="1368">
      <c r="O1368" s="230"/>
      <c r="R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  <c r="AI1368" s="230"/>
      <c r="AJ1368" s="230"/>
      <c r="AK1368" s="230"/>
    </row>
    <row r="1369">
      <c r="O1369" s="230"/>
      <c r="R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  <c r="AI1369" s="230"/>
      <c r="AJ1369" s="230"/>
      <c r="AK1369" s="230"/>
    </row>
    <row r="1370">
      <c r="O1370" s="230"/>
      <c r="R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  <c r="AI1370" s="230"/>
      <c r="AJ1370" s="230"/>
      <c r="AK1370" s="230"/>
    </row>
    <row r="1371">
      <c r="O1371" s="230"/>
      <c r="R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  <c r="AI1371" s="230"/>
      <c r="AJ1371" s="230"/>
      <c r="AK1371" s="230"/>
    </row>
    <row r="1372">
      <c r="O1372" s="230"/>
      <c r="R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  <c r="AI1372" s="230"/>
      <c r="AJ1372" s="230"/>
      <c r="AK1372" s="230"/>
    </row>
    <row r="1373">
      <c r="O1373" s="230"/>
      <c r="R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  <c r="AI1373" s="230"/>
      <c r="AJ1373" s="230"/>
      <c r="AK1373" s="230"/>
    </row>
    <row r="1374">
      <c r="O1374" s="230"/>
      <c r="R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  <c r="AI1374" s="230"/>
      <c r="AJ1374" s="230"/>
      <c r="AK1374" s="230"/>
    </row>
    <row r="1375">
      <c r="O1375" s="230"/>
      <c r="R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  <c r="AI1375" s="230"/>
      <c r="AJ1375" s="230"/>
      <c r="AK1375" s="230"/>
    </row>
    <row r="1376">
      <c r="O1376" s="230"/>
      <c r="R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  <c r="AI1376" s="230"/>
      <c r="AJ1376" s="230"/>
      <c r="AK1376" s="230"/>
    </row>
    <row r="1377">
      <c r="O1377" s="230"/>
      <c r="R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  <c r="AI1377" s="230"/>
      <c r="AJ1377" s="230"/>
      <c r="AK1377" s="230"/>
    </row>
    <row r="1378">
      <c r="O1378" s="230"/>
      <c r="R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  <c r="AI1378" s="230"/>
      <c r="AJ1378" s="230"/>
      <c r="AK1378" s="230"/>
    </row>
    <row r="1379">
      <c r="O1379" s="230"/>
      <c r="R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  <c r="AI1379" s="230"/>
      <c r="AJ1379" s="230"/>
      <c r="AK1379" s="230"/>
    </row>
    <row r="1380">
      <c r="O1380" s="230"/>
      <c r="R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  <c r="AI1380" s="230"/>
      <c r="AJ1380" s="230"/>
      <c r="AK1380" s="230"/>
    </row>
    <row r="1381">
      <c r="O1381" s="230"/>
      <c r="R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  <c r="AI1381" s="230"/>
      <c r="AJ1381" s="230"/>
      <c r="AK1381" s="230"/>
    </row>
    <row r="1382">
      <c r="O1382" s="230"/>
      <c r="R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  <c r="AI1382" s="230"/>
      <c r="AJ1382" s="230"/>
      <c r="AK1382" s="230"/>
    </row>
    <row r="1383">
      <c r="O1383" s="230"/>
      <c r="R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  <c r="AI1383" s="230"/>
      <c r="AJ1383" s="230"/>
      <c r="AK1383" s="230"/>
    </row>
    <row r="1384">
      <c r="O1384" s="230"/>
      <c r="R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  <c r="AI1384" s="230"/>
      <c r="AJ1384" s="230"/>
      <c r="AK1384" s="230"/>
    </row>
    <row r="1385">
      <c r="O1385" s="230"/>
      <c r="R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  <c r="AI1385" s="230"/>
      <c r="AJ1385" s="230"/>
      <c r="AK1385" s="230"/>
    </row>
    <row r="1386">
      <c r="O1386" s="230"/>
      <c r="R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  <c r="AI1386" s="230"/>
      <c r="AJ1386" s="230"/>
      <c r="AK1386" s="230"/>
    </row>
    <row r="1387">
      <c r="O1387" s="230"/>
      <c r="R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  <c r="AI1387" s="230"/>
      <c r="AJ1387" s="230"/>
      <c r="AK1387" s="230"/>
    </row>
    <row r="1388">
      <c r="O1388" s="230"/>
      <c r="R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  <c r="AI1388" s="230"/>
      <c r="AJ1388" s="230"/>
      <c r="AK1388" s="230"/>
    </row>
    <row r="1389">
      <c r="O1389" s="230"/>
      <c r="R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  <c r="AI1389" s="230"/>
      <c r="AJ1389" s="230"/>
      <c r="AK1389" s="230"/>
    </row>
    <row r="1390">
      <c r="O1390" s="230"/>
      <c r="R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  <c r="AI1390" s="230"/>
      <c r="AJ1390" s="230"/>
      <c r="AK1390" s="230"/>
    </row>
    <row r="1391">
      <c r="O1391" s="230"/>
      <c r="R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  <c r="AI1391" s="230"/>
      <c r="AJ1391" s="230"/>
      <c r="AK1391" s="230"/>
    </row>
    <row r="1392">
      <c r="O1392" s="230"/>
      <c r="R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  <c r="AI1392" s="230"/>
      <c r="AJ1392" s="230"/>
      <c r="AK1392" s="230"/>
    </row>
    <row r="1393">
      <c r="O1393" s="230"/>
      <c r="R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  <c r="AI1393" s="230"/>
      <c r="AJ1393" s="230"/>
      <c r="AK1393" s="230"/>
    </row>
    <row r="1394">
      <c r="O1394" s="230"/>
      <c r="R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  <c r="AI1394" s="230"/>
      <c r="AJ1394" s="230"/>
      <c r="AK1394" s="230"/>
    </row>
    <row r="1395">
      <c r="O1395" s="230"/>
      <c r="R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  <c r="AI1395" s="230"/>
      <c r="AJ1395" s="230"/>
      <c r="AK1395" s="230"/>
    </row>
    <row r="1396">
      <c r="O1396" s="230"/>
      <c r="R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  <c r="AI1396" s="230"/>
      <c r="AJ1396" s="230"/>
      <c r="AK1396" s="230"/>
    </row>
    <row r="1397">
      <c r="O1397" s="230"/>
      <c r="R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  <c r="AI1397" s="230"/>
      <c r="AJ1397" s="230"/>
      <c r="AK1397" s="230"/>
    </row>
    <row r="1398">
      <c r="O1398" s="230"/>
      <c r="R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  <c r="AI1398" s="230"/>
      <c r="AJ1398" s="230"/>
      <c r="AK1398" s="230"/>
    </row>
    <row r="1399">
      <c r="O1399" s="230"/>
      <c r="R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  <c r="AI1399" s="230"/>
      <c r="AJ1399" s="230"/>
      <c r="AK1399" s="230"/>
    </row>
    <row r="1400">
      <c r="O1400" s="230"/>
      <c r="R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  <c r="AI1400" s="230"/>
      <c r="AJ1400" s="230"/>
      <c r="AK1400" s="230"/>
    </row>
    <row r="1401">
      <c r="O1401" s="230"/>
      <c r="R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  <c r="AI1401" s="230"/>
      <c r="AJ1401" s="230"/>
      <c r="AK1401" s="230"/>
    </row>
    <row r="1402">
      <c r="O1402" s="230"/>
      <c r="R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  <c r="AI1402" s="230"/>
      <c r="AJ1402" s="230"/>
      <c r="AK1402" s="230"/>
    </row>
    <row r="1403">
      <c r="O1403" s="230"/>
      <c r="R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  <c r="AI1403" s="230"/>
      <c r="AJ1403" s="230"/>
      <c r="AK1403" s="230"/>
    </row>
    <row r="1404">
      <c r="O1404" s="230"/>
      <c r="R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  <c r="AI1404" s="230"/>
      <c r="AJ1404" s="230"/>
      <c r="AK1404" s="230"/>
    </row>
    <row r="1405">
      <c r="O1405" s="230"/>
      <c r="R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  <c r="AI1405" s="230"/>
      <c r="AJ1405" s="230"/>
      <c r="AK1405" s="230"/>
    </row>
    <row r="1406">
      <c r="O1406" s="230"/>
      <c r="R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  <c r="AI1406" s="230"/>
      <c r="AJ1406" s="230"/>
      <c r="AK1406" s="230"/>
    </row>
    <row r="1407">
      <c r="O1407" s="230"/>
      <c r="R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  <c r="AI1407" s="230"/>
      <c r="AJ1407" s="230"/>
      <c r="AK1407" s="230"/>
    </row>
    <row r="1408">
      <c r="O1408" s="230"/>
      <c r="R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  <c r="AI1408" s="230"/>
      <c r="AJ1408" s="230"/>
      <c r="AK1408" s="230"/>
    </row>
    <row r="1409">
      <c r="O1409" s="230"/>
      <c r="R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  <c r="AI1409" s="230"/>
      <c r="AJ1409" s="230"/>
      <c r="AK1409" s="230"/>
    </row>
    <row r="1410">
      <c r="O1410" s="230"/>
      <c r="R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  <c r="AI1410" s="230"/>
      <c r="AJ1410" s="230"/>
      <c r="AK1410" s="230"/>
    </row>
    <row r="1411">
      <c r="O1411" s="230"/>
      <c r="R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  <c r="AI1411" s="230"/>
      <c r="AJ1411" s="230"/>
      <c r="AK1411" s="230"/>
    </row>
    <row r="1412">
      <c r="O1412" s="230"/>
      <c r="R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  <c r="AI1412" s="230"/>
      <c r="AJ1412" s="230"/>
      <c r="AK1412" s="230"/>
    </row>
    <row r="1413">
      <c r="O1413" s="230"/>
      <c r="R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  <c r="AI1413" s="230"/>
      <c r="AJ1413" s="230"/>
      <c r="AK1413" s="230"/>
    </row>
    <row r="1414">
      <c r="O1414" s="230"/>
      <c r="R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  <c r="AI1414" s="230"/>
      <c r="AJ1414" s="230"/>
      <c r="AK1414" s="230"/>
    </row>
    <row r="1415">
      <c r="O1415" s="230"/>
      <c r="R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  <c r="AI1415" s="230"/>
      <c r="AJ1415" s="230"/>
      <c r="AK1415" s="230"/>
    </row>
    <row r="1416">
      <c r="O1416" s="230"/>
      <c r="R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  <c r="AI1416" s="230"/>
      <c r="AJ1416" s="230"/>
      <c r="AK1416" s="230"/>
    </row>
    <row r="1417">
      <c r="O1417" s="230"/>
      <c r="R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  <c r="AI1417" s="230"/>
      <c r="AJ1417" s="230"/>
      <c r="AK1417" s="230"/>
    </row>
    <row r="1418">
      <c r="O1418" s="230"/>
      <c r="R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  <c r="AI1418" s="230"/>
      <c r="AJ1418" s="230"/>
      <c r="AK1418" s="230"/>
    </row>
    <row r="1419">
      <c r="O1419" s="230"/>
      <c r="R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  <c r="AI1419" s="230"/>
      <c r="AJ1419" s="230"/>
      <c r="AK1419" s="230"/>
    </row>
    <row r="1420">
      <c r="O1420" s="230"/>
      <c r="R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  <c r="AI1420" s="230"/>
      <c r="AJ1420" s="230"/>
      <c r="AK1420" s="230"/>
    </row>
    <row r="1421">
      <c r="O1421" s="230"/>
      <c r="R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  <c r="AI1421" s="230"/>
      <c r="AJ1421" s="230"/>
      <c r="AK1421" s="230"/>
    </row>
    <row r="1422">
      <c r="O1422" s="230"/>
      <c r="R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  <c r="AI1422" s="230"/>
      <c r="AJ1422" s="230"/>
      <c r="AK1422" s="230"/>
    </row>
    <row r="1423">
      <c r="O1423" s="230"/>
      <c r="R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  <c r="AI1423" s="230"/>
      <c r="AJ1423" s="230"/>
      <c r="AK1423" s="230"/>
    </row>
    <row r="1424">
      <c r="O1424" s="230"/>
      <c r="R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  <c r="AI1424" s="230"/>
      <c r="AJ1424" s="230"/>
      <c r="AK1424" s="230"/>
    </row>
    <row r="1425">
      <c r="O1425" s="230"/>
      <c r="R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  <c r="AI1425" s="230"/>
      <c r="AJ1425" s="230"/>
      <c r="AK1425" s="230"/>
    </row>
    <row r="1426">
      <c r="O1426" s="230"/>
      <c r="R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  <c r="AI1426" s="230"/>
      <c r="AJ1426" s="230"/>
      <c r="AK1426" s="230"/>
    </row>
    <row r="1427">
      <c r="O1427" s="230"/>
      <c r="R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  <c r="AI1427" s="230"/>
      <c r="AJ1427" s="230"/>
      <c r="AK1427" s="230"/>
    </row>
    <row r="1428">
      <c r="O1428" s="230"/>
      <c r="R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  <c r="AI1428" s="230"/>
      <c r="AJ1428" s="230"/>
      <c r="AK1428" s="230"/>
    </row>
    <row r="1429">
      <c r="O1429" s="230"/>
      <c r="R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  <c r="AI1429" s="230"/>
      <c r="AJ1429" s="230"/>
      <c r="AK1429" s="230"/>
    </row>
    <row r="1430">
      <c r="O1430" s="230"/>
      <c r="R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  <c r="AI1430" s="230"/>
      <c r="AJ1430" s="230"/>
      <c r="AK1430" s="230"/>
    </row>
    <row r="1431">
      <c r="O1431" s="230"/>
      <c r="R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  <c r="AI1431" s="230"/>
      <c r="AJ1431" s="230"/>
      <c r="AK1431" s="230"/>
    </row>
    <row r="1432">
      <c r="O1432" s="230"/>
      <c r="R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  <c r="AI1432" s="230"/>
      <c r="AJ1432" s="230"/>
      <c r="AK1432" s="230"/>
    </row>
    <row r="1433">
      <c r="O1433" s="230"/>
      <c r="R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  <c r="AI1433" s="230"/>
      <c r="AJ1433" s="230"/>
      <c r="AK1433" s="230"/>
    </row>
    <row r="1434">
      <c r="O1434" s="230"/>
      <c r="R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  <c r="AI1434" s="230"/>
      <c r="AJ1434" s="230"/>
      <c r="AK1434" s="230"/>
    </row>
    <row r="1435">
      <c r="O1435" s="230"/>
      <c r="R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  <c r="AI1435" s="230"/>
      <c r="AJ1435" s="230"/>
      <c r="AK1435" s="230"/>
    </row>
    <row r="1436">
      <c r="O1436" s="230"/>
      <c r="R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  <c r="AI1436" s="230"/>
      <c r="AJ1436" s="230"/>
      <c r="AK1436" s="230"/>
    </row>
    <row r="1437">
      <c r="O1437" s="230"/>
      <c r="R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  <c r="AI1437" s="230"/>
      <c r="AJ1437" s="230"/>
      <c r="AK1437" s="230"/>
    </row>
    <row r="1438">
      <c r="O1438" s="230"/>
      <c r="R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  <c r="AI1438" s="230"/>
      <c r="AJ1438" s="230"/>
      <c r="AK1438" s="230"/>
    </row>
    <row r="1439">
      <c r="O1439" s="230"/>
      <c r="R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  <c r="AI1439" s="230"/>
      <c r="AJ1439" s="230"/>
      <c r="AK1439" s="230"/>
    </row>
    <row r="1440">
      <c r="O1440" s="230"/>
      <c r="R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  <c r="AI1440" s="230"/>
      <c r="AJ1440" s="230"/>
      <c r="AK1440" s="230"/>
    </row>
    <row r="1441">
      <c r="O1441" s="230"/>
      <c r="R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  <c r="AI1441" s="230"/>
      <c r="AJ1441" s="230"/>
      <c r="AK1441" s="230"/>
    </row>
    <row r="1442">
      <c r="O1442" s="230"/>
      <c r="R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  <c r="AI1442" s="230"/>
      <c r="AJ1442" s="230"/>
      <c r="AK1442" s="230"/>
    </row>
    <row r="1443">
      <c r="O1443" s="230"/>
      <c r="R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  <c r="AI1443" s="230"/>
      <c r="AJ1443" s="230"/>
      <c r="AK1443" s="230"/>
    </row>
    <row r="1444">
      <c r="O1444" s="230"/>
      <c r="R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  <c r="AI1444" s="230"/>
      <c r="AJ1444" s="230"/>
      <c r="AK1444" s="230"/>
    </row>
    <row r="1445">
      <c r="O1445" s="230"/>
      <c r="R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  <c r="AI1445" s="230"/>
      <c r="AJ1445" s="230"/>
      <c r="AK1445" s="230"/>
    </row>
    <row r="1446">
      <c r="O1446" s="230"/>
      <c r="R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  <c r="AI1446" s="230"/>
      <c r="AJ1446" s="230"/>
      <c r="AK1446" s="230"/>
    </row>
    <row r="1447">
      <c r="O1447" s="230"/>
      <c r="R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  <c r="AI1447" s="230"/>
      <c r="AJ1447" s="230"/>
      <c r="AK1447" s="230"/>
    </row>
    <row r="1448">
      <c r="O1448" s="230"/>
      <c r="R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  <c r="AI1448" s="230"/>
      <c r="AJ1448" s="230"/>
      <c r="AK1448" s="230"/>
    </row>
    <row r="1449">
      <c r="O1449" s="230"/>
      <c r="R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  <c r="AI1449" s="230"/>
      <c r="AJ1449" s="230"/>
      <c r="AK1449" s="230"/>
    </row>
    <row r="1450">
      <c r="O1450" s="230"/>
      <c r="R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  <c r="AI1450" s="230"/>
      <c r="AJ1450" s="230"/>
      <c r="AK1450" s="230"/>
    </row>
    <row r="1451">
      <c r="O1451" s="230"/>
      <c r="R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  <c r="AI1451" s="230"/>
      <c r="AJ1451" s="230"/>
      <c r="AK1451" s="230"/>
    </row>
    <row r="1452">
      <c r="O1452" s="230"/>
      <c r="R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  <c r="AI1452" s="230"/>
      <c r="AJ1452" s="230"/>
      <c r="AK1452" s="230"/>
    </row>
    <row r="1453">
      <c r="O1453" s="230"/>
      <c r="R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  <c r="AI1453" s="230"/>
      <c r="AJ1453" s="230"/>
      <c r="AK1453" s="230"/>
    </row>
    <row r="1454">
      <c r="O1454" s="230"/>
      <c r="R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  <c r="AI1454" s="230"/>
      <c r="AJ1454" s="230"/>
      <c r="AK1454" s="230"/>
    </row>
    <row r="1455">
      <c r="O1455" s="230"/>
      <c r="R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  <c r="AI1455" s="230"/>
      <c r="AJ1455" s="230"/>
      <c r="AK1455" s="230"/>
    </row>
    <row r="1456">
      <c r="O1456" s="230"/>
      <c r="R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  <c r="AI1456" s="230"/>
      <c r="AJ1456" s="230"/>
      <c r="AK1456" s="230"/>
    </row>
    <row r="1457">
      <c r="O1457" s="230"/>
      <c r="R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  <c r="AI1457" s="230"/>
      <c r="AJ1457" s="230"/>
      <c r="AK1457" s="230"/>
    </row>
    <row r="1458">
      <c r="O1458" s="230"/>
      <c r="R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  <c r="AI1458" s="230"/>
      <c r="AJ1458" s="230"/>
      <c r="AK1458" s="230"/>
    </row>
    <row r="1459">
      <c r="O1459" s="230"/>
      <c r="R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  <c r="AI1459" s="230"/>
      <c r="AJ1459" s="230"/>
      <c r="AK1459" s="230"/>
    </row>
    <row r="1460">
      <c r="O1460" s="230"/>
      <c r="R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  <c r="AI1460" s="230"/>
      <c r="AJ1460" s="230"/>
      <c r="AK1460" s="230"/>
    </row>
    <row r="1461">
      <c r="O1461" s="230"/>
      <c r="R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  <c r="AI1461" s="230"/>
      <c r="AJ1461" s="230"/>
      <c r="AK1461" s="230"/>
    </row>
    <row r="1462">
      <c r="O1462" s="230"/>
      <c r="R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  <c r="AI1462" s="230"/>
      <c r="AJ1462" s="230"/>
      <c r="AK1462" s="230"/>
    </row>
    <row r="1463">
      <c r="O1463" s="230"/>
      <c r="R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  <c r="AI1463" s="230"/>
      <c r="AJ1463" s="230"/>
      <c r="AK1463" s="230"/>
    </row>
    <row r="1464">
      <c r="O1464" s="230"/>
      <c r="R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  <c r="AI1464" s="230"/>
      <c r="AJ1464" s="230"/>
      <c r="AK1464" s="230"/>
    </row>
    <row r="1465">
      <c r="O1465" s="230"/>
      <c r="R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  <c r="AI1465" s="230"/>
      <c r="AJ1465" s="230"/>
      <c r="AK1465" s="230"/>
    </row>
    <row r="1466">
      <c r="O1466" s="230"/>
      <c r="R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  <c r="AI1466" s="230"/>
      <c r="AJ1466" s="230"/>
      <c r="AK1466" s="230"/>
    </row>
    <row r="1467">
      <c r="O1467" s="230"/>
      <c r="R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  <c r="AI1467" s="230"/>
      <c r="AJ1467" s="230"/>
      <c r="AK1467" s="230"/>
    </row>
    <row r="1468">
      <c r="O1468" s="230"/>
      <c r="R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  <c r="AI1468" s="230"/>
      <c r="AJ1468" s="230"/>
      <c r="AK1468" s="230"/>
    </row>
    <row r="1469">
      <c r="O1469" s="230"/>
      <c r="R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  <c r="AI1469" s="230"/>
      <c r="AJ1469" s="230"/>
      <c r="AK1469" s="230"/>
    </row>
    <row r="1470">
      <c r="O1470" s="230"/>
      <c r="R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  <c r="AI1470" s="230"/>
      <c r="AJ1470" s="230"/>
      <c r="AK1470" s="230"/>
    </row>
    <row r="1471">
      <c r="O1471" s="230"/>
      <c r="R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  <c r="AI1471" s="230"/>
      <c r="AJ1471" s="230"/>
      <c r="AK1471" s="230"/>
    </row>
    <row r="1472">
      <c r="O1472" s="230"/>
      <c r="R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  <c r="AI1472" s="230"/>
      <c r="AJ1472" s="230"/>
      <c r="AK1472" s="230"/>
    </row>
    <row r="1473">
      <c r="O1473" s="230"/>
      <c r="R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  <c r="AI1473" s="230"/>
      <c r="AJ1473" s="230"/>
      <c r="AK1473" s="230"/>
    </row>
    <row r="1474">
      <c r="O1474" s="230"/>
      <c r="R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  <c r="AI1474" s="230"/>
      <c r="AJ1474" s="230"/>
      <c r="AK1474" s="230"/>
    </row>
    <row r="1475">
      <c r="O1475" s="230"/>
      <c r="R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  <c r="AI1475" s="230"/>
      <c r="AJ1475" s="230"/>
      <c r="AK1475" s="230"/>
    </row>
    <row r="1476">
      <c r="O1476" s="230"/>
      <c r="R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  <c r="AI1476" s="230"/>
      <c r="AJ1476" s="230"/>
      <c r="AK1476" s="230"/>
    </row>
    <row r="1477">
      <c r="O1477" s="230"/>
      <c r="R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  <c r="AI1477" s="230"/>
      <c r="AJ1477" s="230"/>
      <c r="AK1477" s="230"/>
    </row>
    <row r="1478">
      <c r="O1478" s="230"/>
      <c r="R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  <c r="AI1478" s="230"/>
      <c r="AJ1478" s="230"/>
      <c r="AK1478" s="230"/>
    </row>
    <row r="1479">
      <c r="O1479" s="230"/>
      <c r="R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  <c r="AI1479" s="230"/>
      <c r="AJ1479" s="230"/>
      <c r="AK1479" s="230"/>
    </row>
    <row r="1480">
      <c r="O1480" s="230"/>
      <c r="R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  <c r="AI1480" s="230"/>
      <c r="AJ1480" s="230"/>
      <c r="AK1480" s="230"/>
    </row>
    <row r="1481">
      <c r="O1481" s="230"/>
      <c r="R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  <c r="AI1481" s="230"/>
      <c r="AJ1481" s="230"/>
      <c r="AK1481" s="230"/>
    </row>
    <row r="1482">
      <c r="O1482" s="230"/>
      <c r="R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  <c r="AI1482" s="230"/>
      <c r="AJ1482" s="230"/>
      <c r="AK1482" s="230"/>
    </row>
    <row r="1483">
      <c r="O1483" s="230"/>
      <c r="R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  <c r="AI1483" s="230"/>
      <c r="AJ1483" s="230"/>
      <c r="AK1483" s="230"/>
    </row>
    <row r="1484">
      <c r="O1484" s="230"/>
      <c r="R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  <c r="AI1484" s="230"/>
      <c r="AJ1484" s="230"/>
      <c r="AK1484" s="230"/>
    </row>
    <row r="1485">
      <c r="O1485" s="230"/>
      <c r="R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  <c r="AI1485" s="230"/>
      <c r="AJ1485" s="230"/>
      <c r="AK1485" s="230"/>
    </row>
    <row r="1486">
      <c r="O1486" s="230"/>
      <c r="R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  <c r="AI1486" s="230"/>
      <c r="AJ1486" s="230"/>
      <c r="AK1486" s="230"/>
    </row>
    <row r="1487">
      <c r="O1487" s="230"/>
      <c r="R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  <c r="AI1487" s="230"/>
      <c r="AJ1487" s="230"/>
      <c r="AK1487" s="230"/>
    </row>
    <row r="1488">
      <c r="O1488" s="230"/>
      <c r="R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  <c r="AI1488" s="230"/>
      <c r="AJ1488" s="230"/>
      <c r="AK1488" s="230"/>
    </row>
    <row r="1489">
      <c r="O1489" s="230"/>
      <c r="R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  <c r="AI1489" s="230"/>
      <c r="AJ1489" s="230"/>
      <c r="AK1489" s="230"/>
    </row>
    <row r="1490">
      <c r="O1490" s="230"/>
      <c r="R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  <c r="AI1490" s="230"/>
      <c r="AJ1490" s="230"/>
      <c r="AK1490" s="230"/>
    </row>
    <row r="1491">
      <c r="O1491" s="230"/>
      <c r="R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  <c r="AI1491" s="230"/>
      <c r="AJ1491" s="230"/>
      <c r="AK1491" s="230"/>
    </row>
    <row r="1492">
      <c r="O1492" s="230"/>
      <c r="R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  <c r="AI1492" s="230"/>
      <c r="AJ1492" s="230"/>
      <c r="AK1492" s="230"/>
    </row>
    <row r="1493">
      <c r="O1493" s="230"/>
      <c r="R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  <c r="AI1493" s="230"/>
      <c r="AJ1493" s="230"/>
      <c r="AK1493" s="230"/>
    </row>
    <row r="1494">
      <c r="O1494" s="230"/>
      <c r="R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  <c r="AI1494" s="230"/>
      <c r="AJ1494" s="230"/>
      <c r="AK1494" s="230"/>
    </row>
    <row r="1495">
      <c r="O1495" s="230"/>
      <c r="R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  <c r="AI1495" s="230"/>
      <c r="AJ1495" s="230"/>
      <c r="AK1495" s="230"/>
    </row>
    <row r="1496">
      <c r="O1496" s="230"/>
      <c r="R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  <c r="AI1496" s="230"/>
      <c r="AJ1496" s="230"/>
      <c r="AK1496" s="230"/>
    </row>
    <row r="1497">
      <c r="O1497" s="230"/>
      <c r="R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  <c r="AI1497" s="230"/>
      <c r="AJ1497" s="230"/>
      <c r="AK1497" s="230"/>
    </row>
    <row r="1498">
      <c r="O1498" s="230"/>
      <c r="R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  <c r="AI1498" s="230"/>
      <c r="AJ1498" s="230"/>
      <c r="AK1498" s="230"/>
    </row>
    <row r="1499">
      <c r="O1499" s="230"/>
      <c r="R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  <c r="AI1499" s="230"/>
      <c r="AJ1499" s="230"/>
      <c r="AK1499" s="230"/>
    </row>
    <row r="1500">
      <c r="O1500" s="230"/>
      <c r="R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  <c r="AI1500" s="230"/>
      <c r="AJ1500" s="230"/>
      <c r="AK1500" s="230"/>
    </row>
    <row r="1501">
      <c r="O1501" s="230"/>
      <c r="R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  <c r="AI1501" s="230"/>
      <c r="AJ1501" s="230"/>
      <c r="AK1501" s="230"/>
    </row>
    <row r="1502">
      <c r="O1502" s="230"/>
      <c r="R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  <c r="AI1502" s="230"/>
      <c r="AJ1502" s="230"/>
      <c r="AK1502" s="230"/>
    </row>
    <row r="1503">
      <c r="O1503" s="230"/>
      <c r="R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  <c r="AI1503" s="230"/>
      <c r="AJ1503" s="230"/>
      <c r="AK1503" s="230"/>
    </row>
    <row r="1504">
      <c r="O1504" s="230"/>
      <c r="R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  <c r="AI1504" s="230"/>
      <c r="AJ1504" s="230"/>
      <c r="AK1504" s="230"/>
    </row>
    <row r="1505">
      <c r="O1505" s="230"/>
      <c r="R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  <c r="AI1505" s="230"/>
      <c r="AJ1505" s="230"/>
      <c r="AK1505" s="230"/>
    </row>
    <row r="1506">
      <c r="O1506" s="230"/>
      <c r="R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  <c r="AI1506" s="230"/>
      <c r="AJ1506" s="230"/>
      <c r="AK1506" s="230"/>
    </row>
    <row r="1507">
      <c r="O1507" s="230"/>
      <c r="R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  <c r="AI1507" s="230"/>
      <c r="AJ1507" s="230"/>
      <c r="AK1507" s="230"/>
    </row>
    <row r="1508">
      <c r="O1508" s="230"/>
      <c r="R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  <c r="AI1508" s="230"/>
      <c r="AJ1508" s="230"/>
      <c r="AK1508" s="230"/>
    </row>
    <row r="1509">
      <c r="O1509" s="230"/>
      <c r="R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  <c r="AI1509" s="230"/>
      <c r="AJ1509" s="230"/>
      <c r="AK1509" s="230"/>
    </row>
    <row r="1510">
      <c r="O1510" s="230"/>
      <c r="R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  <c r="AI1510" s="230"/>
      <c r="AJ1510" s="230"/>
      <c r="AK1510" s="230"/>
    </row>
    <row r="1511">
      <c r="O1511" s="230"/>
      <c r="R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  <c r="AI1511" s="230"/>
      <c r="AJ1511" s="230"/>
      <c r="AK1511" s="230"/>
    </row>
    <row r="1512">
      <c r="O1512" s="230"/>
      <c r="R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  <c r="AI1512" s="230"/>
      <c r="AJ1512" s="230"/>
      <c r="AK1512" s="230"/>
    </row>
    <row r="1513">
      <c r="O1513" s="230"/>
      <c r="R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  <c r="AI1513" s="230"/>
      <c r="AJ1513" s="230"/>
      <c r="AK1513" s="230"/>
    </row>
    <row r="1514">
      <c r="O1514" s="230"/>
      <c r="R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  <c r="AI1514" s="230"/>
      <c r="AJ1514" s="230"/>
      <c r="AK1514" s="230"/>
    </row>
    <row r="1515">
      <c r="O1515" s="230"/>
      <c r="R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  <c r="AI1515" s="230"/>
      <c r="AJ1515" s="230"/>
      <c r="AK1515" s="230"/>
    </row>
    <row r="1516">
      <c r="O1516" s="230"/>
      <c r="R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  <c r="AI1516" s="230"/>
      <c r="AJ1516" s="230"/>
      <c r="AK1516" s="230"/>
    </row>
    <row r="1517">
      <c r="O1517" s="230"/>
      <c r="R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  <c r="AI1517" s="230"/>
      <c r="AJ1517" s="230"/>
      <c r="AK1517" s="230"/>
    </row>
    <row r="1518">
      <c r="O1518" s="230"/>
      <c r="R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  <c r="AI1518" s="230"/>
      <c r="AJ1518" s="230"/>
      <c r="AK1518" s="230"/>
    </row>
    <row r="1519">
      <c r="O1519" s="230"/>
      <c r="R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  <c r="AI1519" s="230"/>
      <c r="AJ1519" s="230"/>
      <c r="AK1519" s="230"/>
    </row>
    <row r="1520">
      <c r="O1520" s="230"/>
      <c r="R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  <c r="AI1520" s="230"/>
      <c r="AJ1520" s="230"/>
      <c r="AK1520" s="230"/>
    </row>
    <row r="1521">
      <c r="O1521" s="230"/>
      <c r="R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  <c r="AI1521" s="230"/>
      <c r="AJ1521" s="230"/>
      <c r="AK1521" s="230"/>
    </row>
    <row r="1522">
      <c r="O1522" s="230"/>
      <c r="R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  <c r="AI1522" s="230"/>
      <c r="AJ1522" s="230"/>
      <c r="AK1522" s="230"/>
    </row>
    <row r="1523">
      <c r="O1523" s="230"/>
      <c r="R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  <c r="AI1523" s="230"/>
      <c r="AJ1523" s="230"/>
      <c r="AK1523" s="230"/>
    </row>
    <row r="1524">
      <c r="O1524" s="230"/>
      <c r="R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  <c r="AI1524" s="230"/>
      <c r="AJ1524" s="230"/>
      <c r="AK1524" s="230"/>
    </row>
    <row r="1525">
      <c r="O1525" s="230"/>
      <c r="R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  <c r="AI1525" s="230"/>
      <c r="AJ1525" s="230"/>
      <c r="AK1525" s="230"/>
    </row>
    <row r="1526">
      <c r="O1526" s="230"/>
      <c r="R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  <c r="AI1526" s="230"/>
      <c r="AJ1526" s="230"/>
      <c r="AK1526" s="230"/>
    </row>
    <row r="1527">
      <c r="O1527" s="230"/>
      <c r="R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  <c r="AI1527" s="230"/>
      <c r="AJ1527" s="230"/>
      <c r="AK1527" s="230"/>
    </row>
    <row r="1528">
      <c r="O1528" s="230"/>
      <c r="R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  <c r="AI1528" s="230"/>
      <c r="AJ1528" s="230"/>
      <c r="AK1528" s="230"/>
    </row>
    <row r="1529">
      <c r="O1529" s="230"/>
      <c r="R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  <c r="AI1529" s="230"/>
      <c r="AJ1529" s="230"/>
      <c r="AK1529" s="230"/>
    </row>
    <row r="1530">
      <c r="O1530" s="230"/>
      <c r="R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  <c r="AI1530" s="230"/>
      <c r="AJ1530" s="230"/>
      <c r="AK1530" s="230"/>
    </row>
    <row r="1531">
      <c r="O1531" s="230"/>
      <c r="R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  <c r="AI1531" s="230"/>
      <c r="AJ1531" s="230"/>
      <c r="AK1531" s="230"/>
    </row>
    <row r="1532">
      <c r="O1532" s="230"/>
      <c r="R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  <c r="AI1532" s="230"/>
      <c r="AJ1532" s="230"/>
      <c r="AK1532" s="230"/>
    </row>
    <row r="1533">
      <c r="O1533" s="230"/>
      <c r="R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  <c r="AI1533" s="230"/>
      <c r="AJ1533" s="230"/>
      <c r="AK1533" s="230"/>
    </row>
    <row r="1534">
      <c r="O1534" s="230"/>
      <c r="R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  <c r="AI1534" s="230"/>
      <c r="AJ1534" s="230"/>
      <c r="AK1534" s="230"/>
    </row>
    <row r="1535">
      <c r="O1535" s="230"/>
      <c r="R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  <c r="AI1535" s="230"/>
      <c r="AJ1535" s="230"/>
      <c r="AK1535" s="230"/>
    </row>
    <row r="1536">
      <c r="O1536" s="230"/>
      <c r="R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  <c r="AI1536" s="230"/>
      <c r="AJ1536" s="230"/>
      <c r="AK1536" s="230"/>
    </row>
    <row r="1537">
      <c r="O1537" s="230"/>
      <c r="R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  <c r="AI1537" s="230"/>
      <c r="AJ1537" s="230"/>
      <c r="AK1537" s="230"/>
    </row>
    <row r="1538">
      <c r="O1538" s="230"/>
      <c r="R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  <c r="AI1538" s="230"/>
      <c r="AJ1538" s="230"/>
      <c r="AK1538" s="230"/>
    </row>
    <row r="1539">
      <c r="O1539" s="230"/>
      <c r="R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  <c r="AI1539" s="230"/>
      <c r="AJ1539" s="230"/>
      <c r="AK1539" s="230"/>
    </row>
    <row r="1540">
      <c r="O1540" s="230"/>
      <c r="R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  <c r="AI1540" s="230"/>
      <c r="AJ1540" s="230"/>
      <c r="AK1540" s="230"/>
    </row>
    <row r="1541">
      <c r="O1541" s="230"/>
      <c r="R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  <c r="AI1541" s="230"/>
      <c r="AJ1541" s="230"/>
      <c r="AK1541" s="230"/>
    </row>
    <row r="1542">
      <c r="O1542" s="230"/>
      <c r="R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  <c r="AI1542" s="230"/>
      <c r="AJ1542" s="230"/>
      <c r="AK1542" s="230"/>
    </row>
    <row r="1543">
      <c r="O1543" s="230"/>
      <c r="R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  <c r="AI1543" s="230"/>
      <c r="AJ1543" s="230"/>
      <c r="AK1543" s="230"/>
    </row>
    <row r="1544">
      <c r="O1544" s="230"/>
      <c r="R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  <c r="AI1544" s="230"/>
      <c r="AJ1544" s="230"/>
      <c r="AK1544" s="230"/>
    </row>
    <row r="1545">
      <c r="O1545" s="230"/>
      <c r="R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  <c r="AI1545" s="230"/>
      <c r="AJ1545" s="230"/>
      <c r="AK1545" s="230"/>
    </row>
    <row r="1546">
      <c r="O1546" s="230"/>
      <c r="R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  <c r="AI1546" s="230"/>
      <c r="AJ1546" s="230"/>
      <c r="AK1546" s="230"/>
    </row>
    <row r="1547">
      <c r="O1547" s="230"/>
      <c r="R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  <c r="AI1547" s="230"/>
      <c r="AJ1547" s="230"/>
      <c r="AK1547" s="230"/>
    </row>
    <row r="1548">
      <c r="O1548" s="230"/>
      <c r="R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  <c r="AI1548" s="230"/>
      <c r="AJ1548" s="230"/>
      <c r="AK1548" s="230"/>
    </row>
    <row r="1549">
      <c r="O1549" s="230"/>
      <c r="R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  <c r="AI1549" s="230"/>
      <c r="AJ1549" s="230"/>
      <c r="AK1549" s="230"/>
    </row>
    <row r="1550">
      <c r="O1550" s="230"/>
      <c r="R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  <c r="AI1550" s="230"/>
      <c r="AJ1550" s="230"/>
      <c r="AK1550" s="230"/>
    </row>
    <row r="1551">
      <c r="O1551" s="230"/>
      <c r="R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  <c r="AI1551" s="230"/>
      <c r="AJ1551" s="230"/>
      <c r="AK1551" s="230"/>
    </row>
    <row r="1552">
      <c r="O1552" s="230"/>
      <c r="R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  <c r="AI1552" s="230"/>
      <c r="AJ1552" s="230"/>
      <c r="AK1552" s="230"/>
    </row>
    <row r="1553">
      <c r="O1553" s="230"/>
      <c r="R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  <c r="AI1553" s="230"/>
      <c r="AJ1553" s="230"/>
      <c r="AK1553" s="230"/>
    </row>
    <row r="1554">
      <c r="O1554" s="230"/>
      <c r="R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  <c r="AI1554" s="230"/>
      <c r="AJ1554" s="230"/>
      <c r="AK1554" s="230"/>
    </row>
    <row r="1555">
      <c r="O1555" s="230"/>
      <c r="R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  <c r="AI1555" s="230"/>
      <c r="AJ1555" s="230"/>
      <c r="AK1555" s="230"/>
    </row>
    <row r="1556">
      <c r="O1556" s="230"/>
      <c r="R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  <c r="AI1556" s="230"/>
      <c r="AJ1556" s="230"/>
      <c r="AK1556" s="230"/>
    </row>
    <row r="1557">
      <c r="O1557" s="230"/>
      <c r="R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  <c r="AI1557" s="230"/>
      <c r="AJ1557" s="230"/>
      <c r="AK1557" s="230"/>
    </row>
    <row r="1558">
      <c r="O1558" s="230"/>
      <c r="R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  <c r="AI1558" s="230"/>
      <c r="AJ1558" s="230"/>
      <c r="AK1558" s="230"/>
    </row>
    <row r="1559">
      <c r="O1559" s="230"/>
      <c r="R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  <c r="AI1559" s="230"/>
      <c r="AJ1559" s="230"/>
      <c r="AK1559" s="230"/>
    </row>
    <row r="1560">
      <c r="O1560" s="230"/>
      <c r="R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  <c r="AI1560" s="230"/>
      <c r="AJ1560" s="230"/>
      <c r="AK1560" s="230"/>
    </row>
    <row r="1561">
      <c r="O1561" s="230"/>
      <c r="R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  <c r="AI1561" s="230"/>
      <c r="AJ1561" s="230"/>
      <c r="AK1561" s="230"/>
    </row>
    <row r="1562">
      <c r="O1562" s="230"/>
      <c r="R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  <c r="AI1562" s="230"/>
      <c r="AJ1562" s="230"/>
      <c r="AK1562" s="230"/>
    </row>
    <row r="1563">
      <c r="O1563" s="230"/>
      <c r="R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  <c r="AI1563" s="230"/>
      <c r="AJ1563" s="230"/>
      <c r="AK1563" s="230"/>
    </row>
    <row r="1564">
      <c r="O1564" s="230"/>
      <c r="R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  <c r="AI1564" s="230"/>
      <c r="AJ1564" s="230"/>
      <c r="AK1564" s="230"/>
    </row>
    <row r="1565">
      <c r="O1565" s="230"/>
      <c r="R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  <c r="AI1565" s="230"/>
      <c r="AJ1565" s="230"/>
      <c r="AK1565" s="230"/>
    </row>
    <row r="1566">
      <c r="O1566" s="230"/>
      <c r="R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  <c r="AI1566" s="230"/>
      <c r="AJ1566" s="230"/>
      <c r="AK1566" s="230"/>
    </row>
    <row r="1567">
      <c r="O1567" s="230"/>
      <c r="R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  <c r="AI1567" s="230"/>
      <c r="AJ1567" s="230"/>
      <c r="AK1567" s="230"/>
    </row>
    <row r="1568">
      <c r="O1568" s="230"/>
      <c r="R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  <c r="AI1568" s="230"/>
      <c r="AJ1568" s="230"/>
      <c r="AK1568" s="230"/>
    </row>
    <row r="1569">
      <c r="O1569" s="230"/>
      <c r="R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  <c r="AI1569" s="230"/>
      <c r="AJ1569" s="230"/>
      <c r="AK1569" s="230"/>
    </row>
    <row r="1570">
      <c r="O1570" s="230"/>
      <c r="R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  <c r="AI1570" s="230"/>
      <c r="AJ1570" s="230"/>
      <c r="AK1570" s="230"/>
    </row>
    <row r="1571">
      <c r="O1571" s="230"/>
      <c r="R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  <c r="AI1571" s="230"/>
      <c r="AJ1571" s="230"/>
      <c r="AK1571" s="230"/>
    </row>
    <row r="1572">
      <c r="O1572" s="230"/>
      <c r="R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  <c r="AI1572" s="230"/>
      <c r="AJ1572" s="230"/>
      <c r="AK1572" s="230"/>
    </row>
    <row r="1573">
      <c r="O1573" s="230"/>
      <c r="R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  <c r="AI1573" s="230"/>
      <c r="AJ1573" s="230"/>
      <c r="AK1573" s="230"/>
    </row>
    <row r="1574">
      <c r="O1574" s="230"/>
      <c r="R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  <c r="AI1574" s="230"/>
      <c r="AJ1574" s="230"/>
      <c r="AK1574" s="230"/>
    </row>
    <row r="1575">
      <c r="O1575" s="230"/>
      <c r="R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  <c r="AI1575" s="230"/>
      <c r="AJ1575" s="230"/>
      <c r="AK1575" s="230"/>
    </row>
    <row r="1576">
      <c r="O1576" s="230"/>
      <c r="R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  <c r="AI1576" s="230"/>
      <c r="AJ1576" s="230"/>
      <c r="AK1576" s="230"/>
    </row>
    <row r="1577">
      <c r="O1577" s="230"/>
      <c r="R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  <c r="AI1577" s="230"/>
      <c r="AJ1577" s="230"/>
      <c r="AK1577" s="230"/>
    </row>
    <row r="1578">
      <c r="O1578" s="230"/>
      <c r="R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  <c r="AI1578" s="230"/>
      <c r="AJ1578" s="230"/>
      <c r="AK1578" s="230"/>
    </row>
    <row r="1579">
      <c r="O1579" s="230"/>
      <c r="R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  <c r="AI1579" s="230"/>
      <c r="AJ1579" s="230"/>
      <c r="AK1579" s="230"/>
    </row>
    <row r="1580">
      <c r="O1580" s="230"/>
      <c r="R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  <c r="AI1580" s="230"/>
      <c r="AJ1580" s="230"/>
      <c r="AK1580" s="230"/>
    </row>
    <row r="1581">
      <c r="O1581" s="230"/>
      <c r="R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  <c r="AI1581" s="230"/>
      <c r="AJ1581" s="230"/>
      <c r="AK1581" s="230"/>
    </row>
    <row r="1582">
      <c r="O1582" s="230"/>
      <c r="R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  <c r="AI1582" s="230"/>
      <c r="AJ1582" s="230"/>
      <c r="AK1582" s="230"/>
    </row>
    <row r="1583">
      <c r="O1583" s="230"/>
      <c r="R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  <c r="AI1583" s="230"/>
      <c r="AJ1583" s="230"/>
      <c r="AK1583" s="230"/>
    </row>
    <row r="1584">
      <c r="O1584" s="230"/>
      <c r="R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  <c r="AI1584" s="230"/>
      <c r="AJ1584" s="230"/>
      <c r="AK1584" s="230"/>
    </row>
    <row r="1585">
      <c r="O1585" s="230"/>
      <c r="R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  <c r="AI1585" s="230"/>
      <c r="AJ1585" s="230"/>
      <c r="AK1585" s="230"/>
    </row>
    <row r="1586">
      <c r="O1586" s="230"/>
      <c r="R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  <c r="AI1586" s="230"/>
      <c r="AJ1586" s="230"/>
      <c r="AK1586" s="230"/>
    </row>
    <row r="1587">
      <c r="O1587" s="230"/>
      <c r="R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  <c r="AI1587" s="230"/>
      <c r="AJ1587" s="230"/>
      <c r="AK1587" s="230"/>
    </row>
    <row r="1588">
      <c r="O1588" s="230"/>
      <c r="R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  <c r="AI1588" s="230"/>
      <c r="AJ1588" s="230"/>
      <c r="AK1588" s="230"/>
    </row>
    <row r="1589">
      <c r="O1589" s="230"/>
      <c r="R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  <c r="AI1589" s="230"/>
      <c r="AJ1589" s="230"/>
      <c r="AK1589" s="230"/>
    </row>
    <row r="1590">
      <c r="O1590" s="230"/>
      <c r="R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  <c r="AI1590" s="230"/>
      <c r="AJ1590" s="230"/>
      <c r="AK1590" s="230"/>
    </row>
    <row r="1591">
      <c r="O1591" s="230"/>
      <c r="R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  <c r="AI1591" s="230"/>
      <c r="AJ1591" s="230"/>
      <c r="AK1591" s="230"/>
    </row>
    <row r="1592">
      <c r="O1592" s="230"/>
      <c r="R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  <c r="AI1592" s="230"/>
      <c r="AJ1592" s="230"/>
      <c r="AK1592" s="230"/>
    </row>
    <row r="1593">
      <c r="O1593" s="230"/>
      <c r="R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  <c r="AI1593" s="230"/>
      <c r="AJ1593" s="230"/>
      <c r="AK1593" s="230"/>
    </row>
    <row r="1594">
      <c r="O1594" s="230"/>
      <c r="R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  <c r="AI1594" s="230"/>
      <c r="AJ1594" s="230"/>
      <c r="AK1594" s="230"/>
    </row>
    <row r="1595">
      <c r="O1595" s="230"/>
      <c r="R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  <c r="AI1595" s="230"/>
      <c r="AJ1595" s="230"/>
      <c r="AK1595" s="230"/>
    </row>
    <row r="1596">
      <c r="O1596" s="230"/>
      <c r="R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  <c r="AI1596" s="230"/>
      <c r="AJ1596" s="230"/>
      <c r="AK1596" s="230"/>
    </row>
    <row r="1597">
      <c r="O1597" s="230"/>
      <c r="R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  <c r="AI1597" s="230"/>
      <c r="AJ1597" s="230"/>
      <c r="AK1597" s="230"/>
    </row>
    <row r="1598">
      <c r="O1598" s="230"/>
      <c r="R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  <c r="AI1598" s="230"/>
      <c r="AJ1598" s="230"/>
      <c r="AK1598" s="230"/>
    </row>
    <row r="1599">
      <c r="O1599" s="230"/>
      <c r="R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  <c r="AI1599" s="230"/>
      <c r="AJ1599" s="230"/>
      <c r="AK1599" s="230"/>
    </row>
    <row r="1600">
      <c r="O1600" s="230"/>
      <c r="R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  <c r="AI1600" s="230"/>
      <c r="AJ1600" s="230"/>
      <c r="AK1600" s="230"/>
    </row>
    <row r="1601">
      <c r="O1601" s="230"/>
      <c r="R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  <c r="AI1601" s="230"/>
      <c r="AJ1601" s="230"/>
      <c r="AK1601" s="230"/>
    </row>
    <row r="1602">
      <c r="O1602" s="230"/>
      <c r="R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  <c r="AI1602" s="230"/>
      <c r="AJ1602" s="230"/>
      <c r="AK1602" s="230"/>
    </row>
    <row r="1603">
      <c r="O1603" s="230"/>
      <c r="R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  <c r="AI1603" s="230"/>
      <c r="AJ1603" s="230"/>
      <c r="AK1603" s="230"/>
    </row>
    <row r="1604">
      <c r="O1604" s="230"/>
      <c r="R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  <c r="AI1604" s="230"/>
      <c r="AJ1604" s="230"/>
      <c r="AK1604" s="230"/>
    </row>
    <row r="1605">
      <c r="O1605" s="230"/>
      <c r="R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  <c r="AI1605" s="230"/>
      <c r="AJ1605" s="230"/>
      <c r="AK1605" s="230"/>
    </row>
    <row r="1606">
      <c r="O1606" s="230"/>
      <c r="R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  <c r="AI1606" s="230"/>
      <c r="AJ1606" s="230"/>
      <c r="AK1606" s="230"/>
    </row>
    <row r="1607">
      <c r="O1607" s="230"/>
      <c r="R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  <c r="AI1607" s="230"/>
      <c r="AJ1607" s="230"/>
      <c r="AK1607" s="230"/>
    </row>
    <row r="1608">
      <c r="O1608" s="230"/>
      <c r="R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  <c r="AI1608" s="230"/>
      <c r="AJ1608" s="230"/>
      <c r="AK1608" s="230"/>
    </row>
    <row r="1609">
      <c r="O1609" s="230"/>
      <c r="R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  <c r="AI1609" s="230"/>
      <c r="AJ1609" s="230"/>
      <c r="AK1609" s="230"/>
    </row>
    <row r="1610">
      <c r="O1610" s="230"/>
      <c r="R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  <c r="AI1610" s="230"/>
      <c r="AJ1610" s="230"/>
      <c r="AK1610" s="230"/>
    </row>
    <row r="1611">
      <c r="O1611" s="230"/>
      <c r="R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  <c r="AI1611" s="230"/>
      <c r="AJ1611" s="230"/>
      <c r="AK1611" s="230"/>
    </row>
    <row r="1612">
      <c r="O1612" s="230"/>
      <c r="R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  <c r="AI1612" s="230"/>
      <c r="AJ1612" s="230"/>
      <c r="AK1612" s="230"/>
    </row>
    <row r="1613">
      <c r="O1613" s="230"/>
      <c r="R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  <c r="AI1613" s="230"/>
      <c r="AJ1613" s="230"/>
      <c r="AK1613" s="230"/>
    </row>
    <row r="1614">
      <c r="O1614" s="230"/>
      <c r="R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  <c r="AI1614" s="230"/>
      <c r="AJ1614" s="230"/>
      <c r="AK1614" s="230"/>
    </row>
    <row r="1615">
      <c r="O1615" s="230"/>
      <c r="R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  <c r="AI1615" s="230"/>
      <c r="AJ1615" s="230"/>
      <c r="AK1615" s="230"/>
    </row>
    <row r="1616">
      <c r="O1616" s="230"/>
      <c r="R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  <c r="AI1616" s="230"/>
      <c r="AJ1616" s="230"/>
      <c r="AK1616" s="230"/>
    </row>
    <row r="1617">
      <c r="O1617" s="230"/>
      <c r="R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  <c r="AI1617" s="230"/>
      <c r="AJ1617" s="230"/>
      <c r="AK1617" s="230"/>
    </row>
    <row r="1618">
      <c r="O1618" s="230"/>
      <c r="R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  <c r="AI1618" s="230"/>
      <c r="AJ1618" s="230"/>
      <c r="AK1618" s="230"/>
    </row>
    <row r="1619">
      <c r="O1619" s="230"/>
      <c r="R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  <c r="AI1619" s="230"/>
      <c r="AJ1619" s="230"/>
      <c r="AK1619" s="230"/>
    </row>
    <row r="1620">
      <c r="O1620" s="230"/>
      <c r="R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  <c r="AI1620" s="230"/>
      <c r="AJ1620" s="230"/>
      <c r="AK1620" s="230"/>
    </row>
    <row r="1621">
      <c r="O1621" s="230"/>
      <c r="R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  <c r="AI1621" s="230"/>
      <c r="AJ1621" s="230"/>
      <c r="AK1621" s="230"/>
    </row>
    <row r="1622">
      <c r="O1622" s="230"/>
      <c r="R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  <c r="AI1622" s="230"/>
      <c r="AJ1622" s="230"/>
      <c r="AK1622" s="230"/>
    </row>
    <row r="1623">
      <c r="O1623" s="230"/>
      <c r="R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  <c r="AI1623" s="230"/>
      <c r="AJ1623" s="230"/>
      <c r="AK1623" s="230"/>
    </row>
    <row r="1624">
      <c r="O1624" s="230"/>
      <c r="R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  <c r="AI1624" s="230"/>
      <c r="AJ1624" s="230"/>
      <c r="AK1624" s="230"/>
    </row>
    <row r="1625">
      <c r="O1625" s="230"/>
      <c r="R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  <c r="AI1625" s="230"/>
      <c r="AJ1625" s="230"/>
      <c r="AK1625" s="230"/>
    </row>
    <row r="1626">
      <c r="O1626" s="230"/>
      <c r="R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  <c r="AI1626" s="230"/>
      <c r="AJ1626" s="230"/>
      <c r="AK1626" s="230"/>
    </row>
    <row r="1627">
      <c r="O1627" s="230"/>
      <c r="R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  <c r="AI1627" s="230"/>
      <c r="AJ1627" s="230"/>
      <c r="AK1627" s="230"/>
    </row>
    <row r="1628">
      <c r="O1628" s="230"/>
      <c r="R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  <c r="AI1628" s="230"/>
      <c r="AJ1628" s="230"/>
      <c r="AK1628" s="230"/>
    </row>
    <row r="1629">
      <c r="O1629" s="230"/>
      <c r="R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  <c r="AI1629" s="230"/>
      <c r="AJ1629" s="230"/>
      <c r="AK1629" s="230"/>
    </row>
    <row r="1630">
      <c r="O1630" s="230"/>
      <c r="R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  <c r="AI1630" s="230"/>
      <c r="AJ1630" s="230"/>
      <c r="AK1630" s="230"/>
    </row>
    <row r="1631">
      <c r="O1631" s="230"/>
      <c r="R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  <c r="AI1631" s="230"/>
      <c r="AJ1631" s="230"/>
      <c r="AK1631" s="230"/>
    </row>
    <row r="1632">
      <c r="O1632" s="230"/>
      <c r="R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  <c r="AI1632" s="230"/>
      <c r="AJ1632" s="230"/>
      <c r="AK1632" s="230"/>
    </row>
    <row r="1633">
      <c r="O1633" s="230"/>
      <c r="R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  <c r="AI1633" s="230"/>
      <c r="AJ1633" s="230"/>
      <c r="AK1633" s="230"/>
    </row>
    <row r="1634">
      <c r="O1634" s="230"/>
      <c r="R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  <c r="AI1634" s="230"/>
      <c r="AJ1634" s="230"/>
      <c r="AK1634" s="230"/>
    </row>
    <row r="1635">
      <c r="O1635" s="230"/>
      <c r="R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  <c r="AI1635" s="230"/>
      <c r="AJ1635" s="230"/>
      <c r="AK1635" s="230"/>
    </row>
    <row r="1636">
      <c r="O1636" s="230"/>
      <c r="R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  <c r="AI1636" s="230"/>
      <c r="AJ1636" s="230"/>
      <c r="AK1636" s="230"/>
    </row>
    <row r="1637">
      <c r="O1637" s="230"/>
      <c r="R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  <c r="AI1637" s="230"/>
      <c r="AJ1637" s="230"/>
      <c r="AK1637" s="230"/>
    </row>
    <row r="1638">
      <c r="O1638" s="230"/>
      <c r="R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  <c r="AI1638" s="230"/>
      <c r="AJ1638" s="230"/>
      <c r="AK1638" s="230"/>
    </row>
    <row r="1639">
      <c r="O1639" s="230"/>
      <c r="R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  <c r="AI1639" s="230"/>
      <c r="AJ1639" s="230"/>
      <c r="AK1639" s="230"/>
    </row>
    <row r="1640">
      <c r="O1640" s="230"/>
      <c r="R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  <c r="AI1640" s="230"/>
      <c r="AJ1640" s="230"/>
      <c r="AK1640" s="230"/>
    </row>
    <row r="1641">
      <c r="O1641" s="230"/>
      <c r="R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  <c r="AI1641" s="230"/>
      <c r="AJ1641" s="230"/>
      <c r="AK1641" s="230"/>
    </row>
    <row r="1642">
      <c r="O1642" s="230"/>
      <c r="R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  <c r="AI1642" s="230"/>
      <c r="AJ1642" s="230"/>
      <c r="AK1642" s="230"/>
    </row>
    <row r="1643">
      <c r="O1643" s="230"/>
      <c r="R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  <c r="AI1643" s="230"/>
      <c r="AJ1643" s="230"/>
      <c r="AK1643" s="230"/>
    </row>
    <row r="1644">
      <c r="O1644" s="230"/>
      <c r="R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  <c r="AI1644" s="230"/>
      <c r="AJ1644" s="230"/>
      <c r="AK1644" s="230"/>
    </row>
    <row r="1645">
      <c r="O1645" s="230"/>
      <c r="R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  <c r="AI1645" s="230"/>
      <c r="AJ1645" s="230"/>
      <c r="AK1645" s="230"/>
    </row>
    <row r="1646">
      <c r="O1646" s="230"/>
      <c r="R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  <c r="AI1646" s="230"/>
      <c r="AJ1646" s="230"/>
      <c r="AK1646" s="230"/>
    </row>
    <row r="1647">
      <c r="O1647" s="230"/>
      <c r="R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  <c r="AI1647" s="230"/>
      <c r="AJ1647" s="230"/>
      <c r="AK1647" s="230"/>
    </row>
    <row r="1648">
      <c r="O1648" s="230"/>
      <c r="R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  <c r="AI1648" s="230"/>
      <c r="AJ1648" s="230"/>
      <c r="AK1648" s="230"/>
    </row>
    <row r="1649">
      <c r="O1649" s="230"/>
      <c r="R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  <c r="AI1649" s="230"/>
      <c r="AJ1649" s="230"/>
      <c r="AK1649" s="230"/>
    </row>
    <row r="1650">
      <c r="O1650" s="230"/>
      <c r="R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  <c r="AI1650" s="230"/>
      <c r="AJ1650" s="230"/>
      <c r="AK1650" s="230"/>
    </row>
    <row r="1651">
      <c r="O1651" s="230"/>
      <c r="R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  <c r="AI1651" s="230"/>
      <c r="AJ1651" s="230"/>
      <c r="AK1651" s="230"/>
    </row>
    <row r="1652">
      <c r="O1652" s="230"/>
      <c r="R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  <c r="AI1652" s="230"/>
      <c r="AJ1652" s="230"/>
      <c r="AK1652" s="230"/>
    </row>
    <row r="1653">
      <c r="O1653" s="230"/>
      <c r="R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  <c r="AI1653" s="230"/>
      <c r="AJ1653" s="230"/>
      <c r="AK1653" s="230"/>
    </row>
    <row r="1654">
      <c r="O1654" s="230"/>
      <c r="R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  <c r="AI1654" s="230"/>
      <c r="AJ1654" s="230"/>
      <c r="AK1654" s="230"/>
    </row>
    <row r="1655">
      <c r="O1655" s="230"/>
      <c r="R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  <c r="AI1655" s="230"/>
      <c r="AJ1655" s="230"/>
      <c r="AK1655" s="230"/>
    </row>
    <row r="1656">
      <c r="O1656" s="230"/>
      <c r="R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  <c r="AI1656" s="230"/>
      <c r="AJ1656" s="230"/>
      <c r="AK1656" s="230"/>
    </row>
    <row r="1657">
      <c r="O1657" s="230"/>
      <c r="R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  <c r="AI1657" s="230"/>
      <c r="AJ1657" s="230"/>
      <c r="AK1657" s="230"/>
    </row>
    <row r="1658">
      <c r="O1658" s="230"/>
      <c r="R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  <c r="AI1658" s="230"/>
      <c r="AJ1658" s="230"/>
      <c r="AK1658" s="230"/>
    </row>
    <row r="1659">
      <c r="O1659" s="230"/>
      <c r="R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  <c r="AI1659" s="230"/>
      <c r="AJ1659" s="230"/>
      <c r="AK1659" s="230"/>
    </row>
    <row r="1660">
      <c r="O1660" s="230"/>
      <c r="R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  <c r="AI1660" s="230"/>
      <c r="AJ1660" s="230"/>
      <c r="AK1660" s="230"/>
    </row>
    <row r="1661">
      <c r="O1661" s="230"/>
      <c r="R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  <c r="AI1661" s="230"/>
      <c r="AJ1661" s="230"/>
      <c r="AK1661" s="230"/>
    </row>
    <row r="1662">
      <c r="O1662" s="230"/>
      <c r="R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  <c r="AI1662" s="230"/>
      <c r="AJ1662" s="230"/>
      <c r="AK1662" s="230"/>
    </row>
    <row r="1663">
      <c r="O1663" s="230"/>
      <c r="R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  <c r="AI1663" s="230"/>
      <c r="AJ1663" s="230"/>
      <c r="AK1663" s="230"/>
    </row>
    <row r="1664">
      <c r="O1664" s="230"/>
      <c r="R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  <c r="AI1664" s="230"/>
      <c r="AJ1664" s="230"/>
      <c r="AK1664" s="230"/>
    </row>
    <row r="1665">
      <c r="O1665" s="230"/>
      <c r="R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  <c r="AI1665" s="230"/>
      <c r="AJ1665" s="230"/>
      <c r="AK1665" s="230"/>
    </row>
    <row r="1666">
      <c r="O1666" s="230"/>
      <c r="R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  <c r="AI1666" s="230"/>
      <c r="AJ1666" s="230"/>
      <c r="AK1666" s="230"/>
    </row>
    <row r="1667">
      <c r="O1667" s="230"/>
      <c r="R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  <c r="AI1667" s="230"/>
      <c r="AJ1667" s="230"/>
      <c r="AK1667" s="230"/>
    </row>
    <row r="1668">
      <c r="O1668" s="230"/>
      <c r="R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  <c r="AI1668" s="230"/>
      <c r="AJ1668" s="230"/>
      <c r="AK1668" s="230"/>
    </row>
    <row r="1669">
      <c r="O1669" s="230"/>
      <c r="R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  <c r="AI1669" s="230"/>
      <c r="AJ1669" s="230"/>
      <c r="AK1669" s="230"/>
    </row>
    <row r="1670">
      <c r="O1670" s="230"/>
      <c r="R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  <c r="AI1670" s="230"/>
      <c r="AJ1670" s="230"/>
      <c r="AK1670" s="230"/>
    </row>
    <row r="1671">
      <c r="O1671" s="230"/>
      <c r="R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  <c r="AI1671" s="230"/>
      <c r="AJ1671" s="230"/>
      <c r="AK1671" s="230"/>
    </row>
    <row r="1672">
      <c r="O1672" s="230"/>
      <c r="R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  <c r="AI1672" s="230"/>
      <c r="AJ1672" s="230"/>
      <c r="AK1672" s="230"/>
    </row>
    <row r="1673">
      <c r="O1673" s="230"/>
      <c r="R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  <c r="AI1673" s="230"/>
      <c r="AJ1673" s="230"/>
      <c r="AK1673" s="230"/>
    </row>
    <row r="1674">
      <c r="O1674" s="230"/>
      <c r="R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  <c r="AI1674" s="230"/>
      <c r="AJ1674" s="230"/>
      <c r="AK1674" s="230"/>
    </row>
    <row r="1675">
      <c r="O1675" s="230"/>
      <c r="R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  <c r="AI1675" s="230"/>
      <c r="AJ1675" s="230"/>
      <c r="AK1675" s="230"/>
    </row>
    <row r="1676">
      <c r="O1676" s="230"/>
      <c r="R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  <c r="AI1676" s="230"/>
      <c r="AJ1676" s="230"/>
      <c r="AK1676" s="230"/>
    </row>
    <row r="1677">
      <c r="O1677" s="230"/>
      <c r="R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  <c r="AI1677" s="230"/>
      <c r="AJ1677" s="230"/>
      <c r="AK1677" s="230"/>
    </row>
    <row r="1678">
      <c r="O1678" s="230"/>
      <c r="R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  <c r="AI1678" s="230"/>
      <c r="AJ1678" s="230"/>
      <c r="AK1678" s="230"/>
    </row>
    <row r="1679">
      <c r="O1679" s="230"/>
      <c r="R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  <c r="AI1679" s="230"/>
      <c r="AJ1679" s="230"/>
      <c r="AK1679" s="230"/>
    </row>
    <row r="1680">
      <c r="O1680" s="230"/>
      <c r="R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  <c r="AI1680" s="230"/>
      <c r="AJ1680" s="230"/>
      <c r="AK1680" s="230"/>
    </row>
    <row r="1681">
      <c r="O1681" s="230"/>
      <c r="R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  <c r="AI1681" s="230"/>
      <c r="AJ1681" s="230"/>
      <c r="AK1681" s="230"/>
    </row>
    <row r="1682">
      <c r="O1682" s="230"/>
      <c r="R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  <c r="AI1682" s="230"/>
      <c r="AJ1682" s="230"/>
      <c r="AK1682" s="230"/>
    </row>
    <row r="1683">
      <c r="O1683" s="230"/>
      <c r="R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  <c r="AI1683" s="230"/>
      <c r="AJ1683" s="230"/>
      <c r="AK1683" s="230"/>
    </row>
    <row r="1684">
      <c r="O1684" s="230"/>
      <c r="R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  <c r="AI1684" s="230"/>
      <c r="AJ1684" s="230"/>
      <c r="AK1684" s="230"/>
    </row>
    <row r="1685">
      <c r="O1685" s="230"/>
      <c r="R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  <c r="AI1685" s="230"/>
      <c r="AJ1685" s="230"/>
      <c r="AK1685" s="230"/>
    </row>
    <row r="1686">
      <c r="O1686" s="230"/>
      <c r="R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  <c r="AI1686" s="230"/>
      <c r="AJ1686" s="230"/>
      <c r="AK1686" s="230"/>
    </row>
    <row r="1687">
      <c r="O1687" s="230"/>
      <c r="R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  <c r="AI1687" s="230"/>
      <c r="AJ1687" s="230"/>
      <c r="AK1687" s="230"/>
    </row>
    <row r="1688">
      <c r="O1688" s="230"/>
      <c r="R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  <c r="AI1688" s="230"/>
      <c r="AJ1688" s="230"/>
      <c r="AK1688" s="230"/>
    </row>
    <row r="1689">
      <c r="O1689" s="230"/>
      <c r="R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  <c r="AI1689" s="230"/>
      <c r="AJ1689" s="230"/>
      <c r="AK1689" s="230"/>
    </row>
    <row r="1690">
      <c r="O1690" s="230"/>
      <c r="R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  <c r="AI1690" s="230"/>
      <c r="AJ1690" s="230"/>
      <c r="AK1690" s="230"/>
    </row>
    <row r="1691">
      <c r="O1691" s="230"/>
      <c r="R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  <c r="AI1691" s="230"/>
      <c r="AJ1691" s="230"/>
      <c r="AK1691" s="230"/>
    </row>
    <row r="1692">
      <c r="O1692" s="230"/>
      <c r="R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  <c r="AI1692" s="230"/>
      <c r="AJ1692" s="230"/>
      <c r="AK1692" s="230"/>
    </row>
    <row r="1693">
      <c r="O1693" s="230"/>
      <c r="R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  <c r="AI1693" s="230"/>
      <c r="AJ1693" s="230"/>
      <c r="AK1693" s="230"/>
    </row>
    <row r="1694">
      <c r="O1694" s="230"/>
      <c r="R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  <c r="AI1694" s="230"/>
      <c r="AJ1694" s="230"/>
      <c r="AK1694" s="230"/>
    </row>
    <row r="1695">
      <c r="O1695" s="230"/>
      <c r="R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  <c r="AI1695" s="230"/>
      <c r="AJ1695" s="230"/>
      <c r="AK1695" s="230"/>
    </row>
    <row r="1696">
      <c r="O1696" s="230"/>
      <c r="R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  <c r="AI1696" s="230"/>
      <c r="AJ1696" s="230"/>
      <c r="AK1696" s="230"/>
    </row>
    <row r="1697">
      <c r="O1697" s="230"/>
      <c r="R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  <c r="AI1697" s="230"/>
      <c r="AJ1697" s="230"/>
      <c r="AK1697" s="230"/>
    </row>
    <row r="1698">
      <c r="O1698" s="230"/>
      <c r="R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  <c r="AI1698" s="230"/>
      <c r="AJ1698" s="230"/>
      <c r="AK1698" s="230"/>
    </row>
    <row r="1699">
      <c r="O1699" s="230"/>
      <c r="R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  <c r="AI1699" s="230"/>
      <c r="AJ1699" s="230"/>
      <c r="AK1699" s="230"/>
    </row>
    <row r="1700">
      <c r="O1700" s="230"/>
      <c r="R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  <c r="AI1700" s="230"/>
      <c r="AJ1700" s="230"/>
      <c r="AK1700" s="230"/>
    </row>
    <row r="1701">
      <c r="O1701" s="230"/>
      <c r="R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  <c r="AI1701" s="230"/>
      <c r="AJ1701" s="230"/>
      <c r="AK1701" s="230"/>
    </row>
    <row r="1702">
      <c r="O1702" s="230"/>
      <c r="R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  <c r="AI1702" s="230"/>
      <c r="AJ1702" s="230"/>
      <c r="AK1702" s="230"/>
    </row>
    <row r="1703">
      <c r="O1703" s="230"/>
      <c r="R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  <c r="AI1703" s="230"/>
      <c r="AJ1703" s="230"/>
      <c r="AK1703" s="230"/>
    </row>
    <row r="1704">
      <c r="O1704" s="230"/>
      <c r="R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  <c r="AI1704" s="230"/>
      <c r="AJ1704" s="230"/>
      <c r="AK1704" s="230"/>
    </row>
    <row r="1705">
      <c r="O1705" s="230"/>
      <c r="R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  <c r="AI1705" s="230"/>
      <c r="AJ1705" s="230"/>
      <c r="AK1705" s="230"/>
    </row>
    <row r="1706">
      <c r="O1706" s="230"/>
      <c r="R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  <c r="AI1706" s="230"/>
      <c r="AJ1706" s="230"/>
      <c r="AK1706" s="230"/>
    </row>
    <row r="1707">
      <c r="O1707" s="230"/>
      <c r="R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  <c r="AI1707" s="230"/>
      <c r="AJ1707" s="230"/>
      <c r="AK1707" s="230"/>
    </row>
    <row r="1708">
      <c r="O1708" s="230"/>
      <c r="R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  <c r="AI1708" s="230"/>
      <c r="AJ1708" s="230"/>
      <c r="AK1708" s="230"/>
    </row>
    <row r="1709">
      <c r="O1709" s="230"/>
      <c r="R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  <c r="AI1709" s="230"/>
      <c r="AJ1709" s="230"/>
      <c r="AK1709" s="230"/>
    </row>
    <row r="1710">
      <c r="O1710" s="230"/>
      <c r="R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  <c r="AI1710" s="230"/>
      <c r="AJ1710" s="230"/>
      <c r="AK1710" s="230"/>
    </row>
    <row r="1711">
      <c r="O1711" s="230"/>
      <c r="R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  <c r="AI1711" s="230"/>
      <c r="AJ1711" s="230"/>
      <c r="AK1711" s="230"/>
    </row>
    <row r="1712">
      <c r="O1712" s="230"/>
      <c r="R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  <c r="AI1712" s="230"/>
      <c r="AJ1712" s="230"/>
      <c r="AK1712" s="230"/>
    </row>
    <row r="1713">
      <c r="O1713" s="230"/>
      <c r="R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  <c r="AI1713" s="230"/>
      <c r="AJ1713" s="230"/>
      <c r="AK1713" s="230"/>
    </row>
    <row r="1714">
      <c r="O1714" s="230"/>
      <c r="R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  <c r="AI1714" s="230"/>
      <c r="AJ1714" s="230"/>
      <c r="AK1714" s="230"/>
    </row>
    <row r="1715">
      <c r="O1715" s="230"/>
      <c r="R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  <c r="AI1715" s="230"/>
      <c r="AJ1715" s="230"/>
      <c r="AK1715" s="230"/>
    </row>
    <row r="1716">
      <c r="O1716" s="230"/>
      <c r="R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  <c r="AI1716" s="230"/>
      <c r="AJ1716" s="230"/>
      <c r="AK1716" s="230"/>
    </row>
    <row r="1717">
      <c r="O1717" s="230"/>
      <c r="R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  <c r="AI1717" s="230"/>
      <c r="AJ1717" s="230"/>
      <c r="AK1717" s="230"/>
    </row>
    <row r="1718">
      <c r="O1718" s="230"/>
      <c r="R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  <c r="AI1718" s="230"/>
      <c r="AJ1718" s="230"/>
      <c r="AK1718" s="230"/>
    </row>
    <row r="1719">
      <c r="O1719" s="230"/>
      <c r="R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  <c r="AI1719" s="230"/>
      <c r="AJ1719" s="230"/>
      <c r="AK1719" s="230"/>
    </row>
    <row r="1720">
      <c r="O1720" s="230"/>
      <c r="R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  <c r="AI1720" s="230"/>
      <c r="AJ1720" s="230"/>
      <c r="AK1720" s="230"/>
    </row>
    <row r="1721">
      <c r="O1721" s="230"/>
      <c r="R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  <c r="AI1721" s="230"/>
      <c r="AJ1721" s="230"/>
      <c r="AK1721" s="230"/>
    </row>
    <row r="1722">
      <c r="O1722" s="230"/>
      <c r="R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  <c r="AI1722" s="230"/>
      <c r="AJ1722" s="230"/>
      <c r="AK1722" s="230"/>
    </row>
    <row r="1723">
      <c r="O1723" s="230"/>
      <c r="R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  <c r="AI1723" s="230"/>
      <c r="AJ1723" s="230"/>
      <c r="AK1723" s="230"/>
    </row>
    <row r="1724">
      <c r="O1724" s="230"/>
      <c r="R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  <c r="AI1724" s="230"/>
      <c r="AJ1724" s="230"/>
      <c r="AK1724" s="230"/>
    </row>
    <row r="1725">
      <c r="O1725" s="230"/>
      <c r="R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  <c r="AI1725" s="230"/>
      <c r="AJ1725" s="230"/>
      <c r="AK1725" s="230"/>
    </row>
    <row r="1726">
      <c r="O1726" s="230"/>
      <c r="R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  <c r="AI1726" s="230"/>
      <c r="AJ1726" s="230"/>
      <c r="AK1726" s="230"/>
    </row>
    <row r="1727">
      <c r="O1727" s="230"/>
      <c r="R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  <c r="AI1727" s="230"/>
      <c r="AJ1727" s="230"/>
      <c r="AK1727" s="230"/>
    </row>
    <row r="1728">
      <c r="O1728" s="230"/>
      <c r="R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  <c r="AI1728" s="230"/>
      <c r="AJ1728" s="230"/>
      <c r="AK1728" s="230"/>
    </row>
    <row r="1729">
      <c r="O1729" s="230"/>
      <c r="R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  <c r="AI1729" s="230"/>
      <c r="AJ1729" s="230"/>
      <c r="AK1729" s="230"/>
    </row>
    <row r="1730">
      <c r="O1730" s="230"/>
      <c r="R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  <c r="AI1730" s="230"/>
      <c r="AJ1730" s="230"/>
      <c r="AK1730" s="230"/>
    </row>
    <row r="1731">
      <c r="O1731" s="230"/>
      <c r="R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  <c r="AI1731" s="230"/>
      <c r="AJ1731" s="230"/>
      <c r="AK1731" s="230"/>
    </row>
    <row r="1732">
      <c r="O1732" s="230"/>
      <c r="R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  <c r="AI1732" s="230"/>
      <c r="AJ1732" s="230"/>
      <c r="AK1732" s="230"/>
    </row>
    <row r="1733">
      <c r="O1733" s="230"/>
      <c r="R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  <c r="AI1733" s="230"/>
      <c r="AJ1733" s="230"/>
      <c r="AK1733" s="230"/>
    </row>
    <row r="1734">
      <c r="O1734" s="230"/>
      <c r="R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  <c r="AI1734" s="230"/>
      <c r="AJ1734" s="230"/>
      <c r="AK1734" s="230"/>
    </row>
    <row r="1735">
      <c r="O1735" s="230"/>
      <c r="R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  <c r="AI1735" s="230"/>
      <c r="AJ1735" s="230"/>
      <c r="AK1735" s="230"/>
    </row>
    <row r="1736">
      <c r="O1736" s="230"/>
      <c r="R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  <c r="AI1736" s="230"/>
      <c r="AJ1736" s="230"/>
      <c r="AK1736" s="230"/>
    </row>
    <row r="1737">
      <c r="O1737" s="230"/>
      <c r="R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  <c r="AI1737" s="230"/>
      <c r="AJ1737" s="230"/>
      <c r="AK1737" s="230"/>
    </row>
    <row r="1738">
      <c r="O1738" s="230"/>
      <c r="R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  <c r="AI1738" s="230"/>
      <c r="AJ1738" s="230"/>
      <c r="AK1738" s="230"/>
    </row>
    <row r="1739">
      <c r="O1739" s="230"/>
      <c r="R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  <c r="AI1739" s="230"/>
      <c r="AJ1739" s="230"/>
      <c r="AK1739" s="230"/>
    </row>
    <row r="1740">
      <c r="O1740" s="230"/>
      <c r="R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  <c r="AI1740" s="230"/>
      <c r="AJ1740" s="230"/>
      <c r="AK1740" s="230"/>
    </row>
    <row r="1741">
      <c r="O1741" s="230"/>
      <c r="R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  <c r="AI1741" s="230"/>
      <c r="AJ1741" s="230"/>
      <c r="AK1741" s="230"/>
    </row>
    <row r="1742">
      <c r="O1742" s="230"/>
      <c r="R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  <c r="AI1742" s="230"/>
      <c r="AJ1742" s="230"/>
      <c r="AK1742" s="230"/>
    </row>
    <row r="1743">
      <c r="O1743" s="230"/>
      <c r="R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  <c r="AI1743" s="230"/>
      <c r="AJ1743" s="230"/>
      <c r="AK1743" s="230"/>
    </row>
    <row r="1744">
      <c r="O1744" s="230"/>
      <c r="R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  <c r="AI1744" s="230"/>
      <c r="AJ1744" s="230"/>
      <c r="AK1744" s="230"/>
    </row>
    <row r="1745">
      <c r="O1745" s="230"/>
      <c r="R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  <c r="AI1745" s="230"/>
      <c r="AJ1745" s="230"/>
      <c r="AK1745" s="230"/>
    </row>
    <row r="1746">
      <c r="O1746" s="230"/>
      <c r="R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  <c r="AI1746" s="230"/>
      <c r="AJ1746" s="230"/>
      <c r="AK1746" s="230"/>
    </row>
    <row r="1747">
      <c r="O1747" s="230"/>
      <c r="R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  <c r="AI1747" s="230"/>
      <c r="AJ1747" s="230"/>
      <c r="AK1747" s="230"/>
    </row>
    <row r="1748">
      <c r="O1748" s="230"/>
      <c r="R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  <c r="AI1748" s="230"/>
      <c r="AJ1748" s="230"/>
      <c r="AK1748" s="230"/>
    </row>
    <row r="1749">
      <c r="O1749" s="230"/>
      <c r="R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  <c r="AI1749" s="230"/>
      <c r="AJ1749" s="230"/>
      <c r="AK1749" s="230"/>
    </row>
    <row r="1750">
      <c r="O1750" s="230"/>
      <c r="R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  <c r="AI1750" s="230"/>
      <c r="AJ1750" s="230"/>
      <c r="AK1750" s="230"/>
    </row>
    <row r="1751">
      <c r="O1751" s="230"/>
      <c r="R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  <c r="AI1751" s="230"/>
      <c r="AJ1751" s="230"/>
      <c r="AK1751" s="230"/>
    </row>
    <row r="1752">
      <c r="O1752" s="230"/>
      <c r="R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  <c r="AI1752" s="230"/>
      <c r="AJ1752" s="230"/>
      <c r="AK1752" s="230"/>
    </row>
    <row r="1753">
      <c r="O1753" s="230"/>
      <c r="R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  <c r="AI1753" s="230"/>
      <c r="AJ1753" s="230"/>
      <c r="AK1753" s="230"/>
    </row>
    <row r="1754">
      <c r="O1754" s="230"/>
      <c r="R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  <c r="AI1754" s="230"/>
      <c r="AJ1754" s="230"/>
      <c r="AK1754" s="230"/>
    </row>
    <row r="1755">
      <c r="O1755" s="230"/>
      <c r="R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  <c r="AI1755" s="230"/>
      <c r="AJ1755" s="230"/>
      <c r="AK1755" s="230"/>
    </row>
    <row r="1756">
      <c r="O1756" s="230"/>
      <c r="R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  <c r="AI1756" s="230"/>
      <c r="AJ1756" s="230"/>
      <c r="AK1756" s="230"/>
    </row>
    <row r="1757">
      <c r="O1757" s="230"/>
      <c r="R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  <c r="AI1757" s="230"/>
      <c r="AJ1757" s="230"/>
      <c r="AK1757" s="230"/>
    </row>
    <row r="1758">
      <c r="O1758" s="230"/>
      <c r="R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  <c r="AI1758" s="230"/>
      <c r="AJ1758" s="230"/>
      <c r="AK1758" s="230"/>
    </row>
    <row r="1759">
      <c r="O1759" s="230"/>
      <c r="R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  <c r="AI1759" s="230"/>
      <c r="AJ1759" s="230"/>
      <c r="AK1759" s="230"/>
    </row>
    <row r="1760">
      <c r="O1760" s="230"/>
      <c r="R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  <c r="AI1760" s="230"/>
      <c r="AJ1760" s="230"/>
      <c r="AK1760" s="230"/>
    </row>
    <row r="1761">
      <c r="O1761" s="230"/>
      <c r="R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  <c r="AI1761" s="230"/>
      <c r="AJ1761" s="230"/>
      <c r="AK1761" s="230"/>
    </row>
    <row r="1762">
      <c r="O1762" s="230"/>
      <c r="R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  <c r="AI1762" s="230"/>
      <c r="AJ1762" s="230"/>
      <c r="AK1762" s="230"/>
    </row>
    <row r="1763">
      <c r="O1763" s="230"/>
      <c r="R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  <c r="AI1763" s="230"/>
      <c r="AJ1763" s="230"/>
      <c r="AK1763" s="230"/>
    </row>
    <row r="1764">
      <c r="O1764" s="230"/>
      <c r="R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  <c r="AI1764" s="230"/>
      <c r="AJ1764" s="230"/>
      <c r="AK1764" s="230"/>
    </row>
    <row r="1765">
      <c r="O1765" s="230"/>
      <c r="R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  <c r="AI1765" s="230"/>
      <c r="AJ1765" s="230"/>
      <c r="AK1765" s="230"/>
    </row>
    <row r="1766">
      <c r="O1766" s="230"/>
      <c r="R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  <c r="AI1766" s="230"/>
      <c r="AJ1766" s="230"/>
      <c r="AK1766" s="230"/>
    </row>
    <row r="1767">
      <c r="O1767" s="230"/>
      <c r="R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  <c r="AI1767" s="230"/>
      <c r="AJ1767" s="230"/>
      <c r="AK1767" s="230"/>
    </row>
    <row r="1768">
      <c r="O1768" s="230"/>
      <c r="R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  <c r="AI1768" s="230"/>
      <c r="AJ1768" s="230"/>
      <c r="AK1768" s="230"/>
    </row>
    <row r="1769">
      <c r="O1769" s="230"/>
      <c r="R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  <c r="AI1769" s="230"/>
      <c r="AJ1769" s="230"/>
      <c r="AK1769" s="230"/>
    </row>
    <row r="1770">
      <c r="O1770" s="230"/>
      <c r="R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  <c r="AI1770" s="230"/>
      <c r="AJ1770" s="230"/>
      <c r="AK1770" s="230"/>
    </row>
    <row r="1771">
      <c r="O1771" s="230"/>
      <c r="R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  <c r="AI1771" s="230"/>
      <c r="AJ1771" s="230"/>
      <c r="AK1771" s="230"/>
    </row>
    <row r="1772">
      <c r="O1772" s="230"/>
      <c r="R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  <c r="AI1772" s="230"/>
      <c r="AJ1772" s="230"/>
      <c r="AK1772" s="230"/>
    </row>
    <row r="1773">
      <c r="O1773" s="230"/>
      <c r="R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  <c r="AI1773" s="230"/>
      <c r="AJ1773" s="230"/>
      <c r="AK1773" s="230"/>
    </row>
    <row r="1774">
      <c r="O1774" s="230"/>
      <c r="R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  <c r="AI1774" s="230"/>
      <c r="AJ1774" s="230"/>
      <c r="AK1774" s="230"/>
    </row>
    <row r="1775">
      <c r="O1775" s="230"/>
      <c r="R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  <c r="AI1775" s="230"/>
      <c r="AJ1775" s="230"/>
      <c r="AK1775" s="230"/>
    </row>
    <row r="1776">
      <c r="O1776" s="230"/>
      <c r="R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  <c r="AI1776" s="230"/>
      <c r="AJ1776" s="230"/>
      <c r="AK1776" s="230"/>
    </row>
    <row r="1777">
      <c r="O1777" s="230"/>
      <c r="R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  <c r="AI1777" s="230"/>
      <c r="AJ1777" s="230"/>
      <c r="AK1777" s="230"/>
    </row>
    <row r="1778">
      <c r="O1778" s="230"/>
      <c r="R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  <c r="AI1778" s="230"/>
      <c r="AJ1778" s="230"/>
      <c r="AK1778" s="230"/>
    </row>
    <row r="1779">
      <c r="O1779" s="230"/>
      <c r="R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  <c r="AI1779" s="230"/>
      <c r="AJ1779" s="230"/>
      <c r="AK1779" s="230"/>
    </row>
    <row r="1780">
      <c r="O1780" s="230"/>
      <c r="R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  <c r="AI1780" s="230"/>
      <c r="AJ1780" s="230"/>
      <c r="AK1780" s="230"/>
    </row>
    <row r="1781">
      <c r="O1781" s="230"/>
      <c r="R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  <c r="AI1781" s="230"/>
      <c r="AJ1781" s="230"/>
      <c r="AK1781" s="230"/>
    </row>
    <row r="1782">
      <c r="O1782" s="230"/>
      <c r="R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  <c r="AI1782" s="230"/>
      <c r="AJ1782" s="230"/>
      <c r="AK1782" s="230"/>
    </row>
    <row r="1783">
      <c r="O1783" s="230"/>
      <c r="R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  <c r="AI1783" s="230"/>
      <c r="AJ1783" s="230"/>
      <c r="AK1783" s="230"/>
    </row>
    <row r="1784">
      <c r="O1784" s="230"/>
      <c r="R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  <c r="AI1784" s="230"/>
      <c r="AJ1784" s="230"/>
      <c r="AK1784" s="230"/>
    </row>
    <row r="1785">
      <c r="O1785" s="230"/>
      <c r="R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  <c r="AI1785" s="230"/>
      <c r="AJ1785" s="230"/>
      <c r="AK1785" s="230"/>
    </row>
    <row r="1786">
      <c r="O1786" s="230"/>
      <c r="R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  <c r="AI1786" s="230"/>
      <c r="AJ1786" s="230"/>
      <c r="AK1786" s="230"/>
    </row>
    <row r="1787">
      <c r="O1787" s="230"/>
      <c r="R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  <c r="AI1787" s="230"/>
      <c r="AJ1787" s="230"/>
      <c r="AK1787" s="230"/>
    </row>
    <row r="1788">
      <c r="O1788" s="230"/>
      <c r="R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  <c r="AI1788" s="230"/>
      <c r="AJ1788" s="230"/>
      <c r="AK1788" s="230"/>
    </row>
    <row r="1789">
      <c r="O1789" s="230"/>
      <c r="R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  <c r="AI1789" s="230"/>
      <c r="AJ1789" s="230"/>
      <c r="AK1789" s="230"/>
    </row>
    <row r="1790">
      <c r="O1790" s="230"/>
      <c r="R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  <c r="AI1790" s="230"/>
      <c r="AJ1790" s="230"/>
      <c r="AK1790" s="230"/>
    </row>
    <row r="1791">
      <c r="O1791" s="230"/>
      <c r="R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  <c r="AI1791" s="230"/>
      <c r="AJ1791" s="230"/>
      <c r="AK1791" s="230"/>
    </row>
    <row r="1792">
      <c r="O1792" s="230"/>
      <c r="R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  <c r="AI1792" s="230"/>
      <c r="AJ1792" s="230"/>
      <c r="AK1792" s="230"/>
    </row>
    <row r="1793">
      <c r="O1793" s="230"/>
      <c r="R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  <c r="AI1793" s="230"/>
      <c r="AJ1793" s="230"/>
      <c r="AK1793" s="230"/>
    </row>
    <row r="1794">
      <c r="O1794" s="230"/>
      <c r="R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  <c r="AI1794" s="230"/>
      <c r="AJ1794" s="230"/>
      <c r="AK1794" s="230"/>
    </row>
    <row r="1795">
      <c r="O1795" s="230"/>
      <c r="R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  <c r="AI1795" s="230"/>
      <c r="AJ1795" s="230"/>
      <c r="AK1795" s="230"/>
    </row>
    <row r="1796">
      <c r="O1796" s="230"/>
      <c r="R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  <c r="AI1796" s="230"/>
      <c r="AJ1796" s="230"/>
      <c r="AK1796" s="230"/>
    </row>
    <row r="1797">
      <c r="O1797" s="230"/>
      <c r="R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  <c r="AI1797" s="230"/>
      <c r="AJ1797" s="230"/>
      <c r="AK1797" s="230"/>
    </row>
    <row r="1798">
      <c r="O1798" s="230"/>
      <c r="R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  <c r="AI1798" s="230"/>
      <c r="AJ1798" s="230"/>
      <c r="AK1798" s="230"/>
    </row>
    <row r="1799">
      <c r="O1799" s="230"/>
      <c r="R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  <c r="AI1799" s="230"/>
      <c r="AJ1799" s="230"/>
      <c r="AK1799" s="230"/>
    </row>
    <row r="1800">
      <c r="O1800" s="230"/>
      <c r="R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  <c r="AI1800" s="230"/>
      <c r="AJ1800" s="230"/>
      <c r="AK1800" s="230"/>
    </row>
    <row r="1801">
      <c r="O1801" s="230"/>
      <c r="R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  <c r="AI1801" s="230"/>
      <c r="AJ1801" s="230"/>
      <c r="AK1801" s="230"/>
    </row>
    <row r="1802">
      <c r="O1802" s="230"/>
      <c r="R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  <c r="AI1802" s="230"/>
      <c r="AJ1802" s="230"/>
      <c r="AK1802" s="230"/>
    </row>
    <row r="1803">
      <c r="O1803" s="230"/>
      <c r="R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  <c r="AI1803" s="230"/>
      <c r="AJ1803" s="230"/>
      <c r="AK1803" s="230"/>
    </row>
    <row r="1804">
      <c r="O1804" s="230"/>
      <c r="R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  <c r="AI1804" s="230"/>
      <c r="AJ1804" s="230"/>
      <c r="AK1804" s="230"/>
    </row>
    <row r="1805">
      <c r="O1805" s="230"/>
      <c r="R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  <c r="AI1805" s="230"/>
      <c r="AJ1805" s="230"/>
      <c r="AK1805" s="230"/>
    </row>
    <row r="1806">
      <c r="O1806" s="230"/>
      <c r="R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  <c r="AI1806" s="230"/>
      <c r="AJ1806" s="230"/>
      <c r="AK1806" s="230"/>
    </row>
    <row r="1807">
      <c r="O1807" s="230"/>
      <c r="R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  <c r="AI1807" s="230"/>
      <c r="AJ1807" s="230"/>
      <c r="AK1807" s="230"/>
    </row>
    <row r="1808">
      <c r="O1808" s="230"/>
      <c r="R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  <c r="AI1808" s="230"/>
      <c r="AJ1808" s="230"/>
      <c r="AK1808" s="230"/>
    </row>
    <row r="1809">
      <c r="O1809" s="230"/>
      <c r="R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  <c r="AI1809" s="230"/>
      <c r="AJ1809" s="230"/>
      <c r="AK1809" s="230"/>
    </row>
    <row r="1810">
      <c r="O1810" s="230"/>
      <c r="R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  <c r="AI1810" s="230"/>
      <c r="AJ1810" s="230"/>
      <c r="AK1810" s="230"/>
    </row>
    <row r="1811">
      <c r="O1811" s="230"/>
      <c r="R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  <c r="AI1811" s="230"/>
      <c r="AJ1811" s="230"/>
      <c r="AK1811" s="230"/>
    </row>
    <row r="1812">
      <c r="O1812" s="230"/>
      <c r="R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  <c r="AI1812" s="230"/>
      <c r="AJ1812" s="230"/>
      <c r="AK1812" s="230"/>
    </row>
    <row r="1813">
      <c r="O1813" s="230"/>
      <c r="R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  <c r="AI1813" s="230"/>
      <c r="AJ1813" s="230"/>
      <c r="AK1813" s="230"/>
    </row>
    <row r="1814">
      <c r="O1814" s="230"/>
      <c r="R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  <c r="AI1814" s="230"/>
      <c r="AJ1814" s="230"/>
      <c r="AK1814" s="230"/>
    </row>
    <row r="1815">
      <c r="O1815" s="230"/>
      <c r="R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  <c r="AI1815" s="230"/>
      <c r="AJ1815" s="230"/>
      <c r="AK1815" s="230"/>
    </row>
    <row r="1816">
      <c r="O1816" s="230"/>
      <c r="R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  <c r="AI1816" s="230"/>
      <c r="AJ1816" s="230"/>
      <c r="AK1816" s="230"/>
    </row>
    <row r="1817">
      <c r="O1817" s="230"/>
      <c r="R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  <c r="AI1817" s="230"/>
      <c r="AJ1817" s="230"/>
      <c r="AK1817" s="230"/>
    </row>
    <row r="1818">
      <c r="O1818" s="230"/>
      <c r="R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  <c r="AI1818" s="230"/>
      <c r="AJ1818" s="230"/>
      <c r="AK1818" s="230"/>
    </row>
    <row r="1819">
      <c r="O1819" s="230"/>
      <c r="R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  <c r="AI1819" s="230"/>
      <c r="AJ1819" s="230"/>
      <c r="AK1819" s="230"/>
    </row>
    <row r="1820">
      <c r="O1820" s="230"/>
      <c r="R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  <c r="AI1820" s="230"/>
      <c r="AJ1820" s="230"/>
      <c r="AK1820" s="230"/>
    </row>
    <row r="1821">
      <c r="O1821" s="230"/>
      <c r="R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  <c r="AI1821" s="230"/>
      <c r="AJ1821" s="230"/>
      <c r="AK1821" s="230"/>
    </row>
    <row r="1822">
      <c r="O1822" s="230"/>
      <c r="R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  <c r="AI1822" s="230"/>
      <c r="AJ1822" s="230"/>
      <c r="AK1822" s="230"/>
    </row>
    <row r="1823">
      <c r="O1823" s="230"/>
      <c r="R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  <c r="AI1823" s="230"/>
      <c r="AJ1823" s="230"/>
      <c r="AK1823" s="230"/>
    </row>
    <row r="1824">
      <c r="O1824" s="230"/>
      <c r="R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  <c r="AI1824" s="230"/>
      <c r="AJ1824" s="230"/>
      <c r="AK1824" s="230"/>
    </row>
    <row r="1825">
      <c r="O1825" s="230"/>
      <c r="R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  <c r="AI1825" s="230"/>
      <c r="AJ1825" s="230"/>
      <c r="AK1825" s="230"/>
    </row>
    <row r="1826">
      <c r="O1826" s="230"/>
      <c r="R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  <c r="AI1826" s="230"/>
      <c r="AJ1826" s="230"/>
      <c r="AK1826" s="230"/>
    </row>
    <row r="1827">
      <c r="O1827" s="230"/>
      <c r="R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  <c r="AI1827" s="230"/>
      <c r="AJ1827" s="230"/>
      <c r="AK1827" s="230"/>
    </row>
    <row r="1828">
      <c r="O1828" s="230"/>
      <c r="R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  <c r="AI1828" s="230"/>
      <c r="AJ1828" s="230"/>
      <c r="AK1828" s="230"/>
    </row>
    <row r="1829">
      <c r="O1829" s="230"/>
      <c r="R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  <c r="AI1829" s="230"/>
      <c r="AJ1829" s="230"/>
      <c r="AK1829" s="230"/>
    </row>
    <row r="1830">
      <c r="O1830" s="230"/>
      <c r="R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  <c r="AI1830" s="230"/>
      <c r="AJ1830" s="230"/>
      <c r="AK1830" s="230"/>
    </row>
    <row r="1831">
      <c r="O1831" s="230"/>
      <c r="R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  <c r="AI1831" s="230"/>
      <c r="AJ1831" s="230"/>
      <c r="AK1831" s="230"/>
    </row>
    <row r="1832">
      <c r="O1832" s="230"/>
      <c r="R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  <c r="AI1832" s="230"/>
      <c r="AJ1832" s="230"/>
      <c r="AK1832" s="230"/>
    </row>
    <row r="1833">
      <c r="O1833" s="230"/>
      <c r="R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  <c r="AI1833" s="230"/>
      <c r="AJ1833" s="230"/>
      <c r="AK1833" s="230"/>
    </row>
    <row r="1834">
      <c r="O1834" s="230"/>
      <c r="R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  <c r="AI1834" s="230"/>
      <c r="AJ1834" s="230"/>
      <c r="AK1834" s="230"/>
    </row>
    <row r="1835">
      <c r="O1835" s="230"/>
      <c r="R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  <c r="AI1835" s="230"/>
      <c r="AJ1835" s="230"/>
      <c r="AK1835" s="230"/>
    </row>
    <row r="1836">
      <c r="O1836" s="230"/>
      <c r="R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  <c r="AI1836" s="230"/>
      <c r="AJ1836" s="230"/>
      <c r="AK1836" s="230"/>
    </row>
    <row r="1837">
      <c r="O1837" s="230"/>
      <c r="R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  <c r="AI1837" s="230"/>
      <c r="AJ1837" s="230"/>
      <c r="AK1837" s="230"/>
    </row>
    <row r="1838">
      <c r="O1838" s="230"/>
      <c r="R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  <c r="AI1838" s="230"/>
      <c r="AJ1838" s="230"/>
      <c r="AK1838" s="230"/>
    </row>
    <row r="1839">
      <c r="O1839" s="230"/>
      <c r="R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  <c r="AI1839" s="230"/>
      <c r="AJ1839" s="230"/>
      <c r="AK1839" s="230"/>
    </row>
    <row r="1840">
      <c r="O1840" s="230"/>
      <c r="R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  <c r="AI1840" s="230"/>
      <c r="AJ1840" s="230"/>
      <c r="AK1840" s="230"/>
    </row>
    <row r="1841">
      <c r="O1841" s="230"/>
      <c r="R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  <c r="AI1841" s="230"/>
      <c r="AJ1841" s="230"/>
      <c r="AK1841" s="230"/>
    </row>
    <row r="1842">
      <c r="O1842" s="230"/>
      <c r="R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  <c r="AI1842" s="230"/>
      <c r="AJ1842" s="230"/>
      <c r="AK1842" s="230"/>
    </row>
    <row r="1843">
      <c r="O1843" s="230"/>
      <c r="R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  <c r="AI1843" s="230"/>
      <c r="AJ1843" s="230"/>
      <c r="AK1843" s="230"/>
    </row>
    <row r="1844">
      <c r="O1844" s="230"/>
      <c r="R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  <c r="AI1844" s="230"/>
      <c r="AJ1844" s="230"/>
      <c r="AK1844" s="230"/>
    </row>
    <row r="1845">
      <c r="O1845" s="230"/>
      <c r="R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  <c r="AI1845" s="230"/>
      <c r="AJ1845" s="230"/>
      <c r="AK1845" s="230"/>
    </row>
    <row r="1846">
      <c r="O1846" s="230"/>
      <c r="R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  <c r="AI1846" s="230"/>
      <c r="AJ1846" s="230"/>
      <c r="AK1846" s="230"/>
    </row>
    <row r="1847">
      <c r="O1847" s="230"/>
      <c r="R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  <c r="AI1847" s="230"/>
      <c r="AJ1847" s="230"/>
      <c r="AK1847" s="230"/>
    </row>
    <row r="1848">
      <c r="O1848" s="230"/>
      <c r="R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  <c r="AI1848" s="230"/>
      <c r="AJ1848" s="230"/>
      <c r="AK1848" s="230"/>
    </row>
    <row r="1849">
      <c r="O1849" s="230"/>
      <c r="R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  <c r="AI1849" s="230"/>
      <c r="AJ1849" s="230"/>
      <c r="AK1849" s="230"/>
    </row>
    <row r="1850">
      <c r="O1850" s="230"/>
      <c r="R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  <c r="AI1850" s="230"/>
      <c r="AJ1850" s="230"/>
      <c r="AK1850" s="230"/>
    </row>
    <row r="1851">
      <c r="O1851" s="230"/>
      <c r="R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  <c r="AI1851" s="230"/>
      <c r="AJ1851" s="230"/>
      <c r="AK1851" s="230"/>
    </row>
    <row r="1852">
      <c r="O1852" s="230"/>
      <c r="R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  <c r="AI1852" s="230"/>
      <c r="AJ1852" s="230"/>
      <c r="AK1852" s="230"/>
    </row>
    <row r="1853">
      <c r="O1853" s="230"/>
      <c r="R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  <c r="AI1853" s="230"/>
      <c r="AJ1853" s="230"/>
      <c r="AK1853" s="230"/>
    </row>
    <row r="1854">
      <c r="O1854" s="230"/>
      <c r="R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  <c r="AI1854" s="230"/>
      <c r="AJ1854" s="230"/>
      <c r="AK1854" s="230"/>
    </row>
    <row r="1855">
      <c r="O1855" s="230"/>
      <c r="R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  <c r="AI1855" s="230"/>
      <c r="AJ1855" s="230"/>
      <c r="AK1855" s="230"/>
    </row>
    <row r="1856">
      <c r="O1856" s="230"/>
      <c r="R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  <c r="AI1856" s="230"/>
      <c r="AJ1856" s="230"/>
      <c r="AK1856" s="230"/>
    </row>
    <row r="1857">
      <c r="O1857" s="230"/>
      <c r="R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  <c r="AI1857" s="230"/>
      <c r="AJ1857" s="230"/>
      <c r="AK1857" s="230"/>
    </row>
    <row r="1858">
      <c r="O1858" s="230"/>
      <c r="R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  <c r="AI1858" s="230"/>
      <c r="AJ1858" s="230"/>
      <c r="AK1858" s="230"/>
    </row>
    <row r="1859">
      <c r="O1859" s="230"/>
      <c r="R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  <c r="AI1859" s="230"/>
      <c r="AJ1859" s="230"/>
      <c r="AK1859" s="230"/>
    </row>
    <row r="1860">
      <c r="O1860" s="230"/>
      <c r="R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  <c r="AI1860" s="230"/>
      <c r="AJ1860" s="230"/>
      <c r="AK1860" s="230"/>
    </row>
    <row r="1861">
      <c r="O1861" s="230"/>
      <c r="R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  <c r="AI1861" s="230"/>
      <c r="AJ1861" s="230"/>
      <c r="AK1861" s="230"/>
    </row>
    <row r="1862">
      <c r="O1862" s="230"/>
      <c r="R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  <c r="AI1862" s="230"/>
      <c r="AJ1862" s="230"/>
      <c r="AK1862" s="230"/>
    </row>
    <row r="1863">
      <c r="O1863" s="230"/>
      <c r="R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  <c r="AI1863" s="230"/>
      <c r="AJ1863" s="230"/>
      <c r="AK1863" s="230"/>
    </row>
    <row r="1864">
      <c r="O1864" s="230"/>
      <c r="R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  <c r="AI1864" s="230"/>
      <c r="AJ1864" s="230"/>
      <c r="AK1864" s="230"/>
    </row>
    <row r="1865">
      <c r="O1865" s="230"/>
      <c r="R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  <c r="AI1865" s="230"/>
      <c r="AJ1865" s="230"/>
      <c r="AK1865" s="230"/>
    </row>
    <row r="1866">
      <c r="O1866" s="230"/>
      <c r="R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  <c r="AI1866" s="230"/>
      <c r="AJ1866" s="230"/>
      <c r="AK1866" s="230"/>
    </row>
    <row r="1867">
      <c r="O1867" s="230"/>
      <c r="R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  <c r="AI1867" s="230"/>
      <c r="AJ1867" s="230"/>
      <c r="AK1867" s="230"/>
    </row>
    <row r="1868">
      <c r="O1868" s="230"/>
      <c r="R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  <c r="AI1868" s="230"/>
      <c r="AJ1868" s="230"/>
      <c r="AK1868" s="230"/>
    </row>
    <row r="1869">
      <c r="O1869" s="230"/>
      <c r="R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  <c r="AI1869" s="230"/>
      <c r="AJ1869" s="230"/>
      <c r="AK1869" s="230"/>
    </row>
    <row r="1870">
      <c r="O1870" s="230"/>
      <c r="R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  <c r="AI1870" s="230"/>
      <c r="AJ1870" s="230"/>
      <c r="AK1870" s="230"/>
    </row>
    <row r="1871">
      <c r="O1871" s="230"/>
      <c r="R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  <c r="AI1871" s="230"/>
      <c r="AJ1871" s="230"/>
      <c r="AK1871" s="230"/>
    </row>
    <row r="1872">
      <c r="O1872" s="230"/>
      <c r="R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  <c r="AI1872" s="230"/>
      <c r="AJ1872" s="230"/>
      <c r="AK1872" s="230"/>
    </row>
    <row r="1873">
      <c r="O1873" s="230"/>
      <c r="R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  <c r="AI1873" s="230"/>
      <c r="AJ1873" s="230"/>
      <c r="AK1873" s="230"/>
    </row>
    <row r="1874">
      <c r="O1874" s="230"/>
      <c r="R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  <c r="AI1874" s="230"/>
      <c r="AJ1874" s="230"/>
      <c r="AK1874" s="230"/>
    </row>
    <row r="1875">
      <c r="O1875" s="230"/>
      <c r="R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  <c r="AI1875" s="230"/>
      <c r="AJ1875" s="230"/>
      <c r="AK1875" s="230"/>
    </row>
    <row r="1876">
      <c r="O1876" s="230"/>
      <c r="R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  <c r="AI1876" s="230"/>
      <c r="AJ1876" s="230"/>
      <c r="AK1876" s="230"/>
    </row>
    <row r="1877">
      <c r="O1877" s="230"/>
      <c r="R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  <c r="AI1877" s="230"/>
      <c r="AJ1877" s="230"/>
      <c r="AK1877" s="230"/>
    </row>
    <row r="1878">
      <c r="O1878" s="230"/>
      <c r="R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  <c r="AI1878" s="230"/>
      <c r="AJ1878" s="230"/>
      <c r="AK1878" s="230"/>
    </row>
    <row r="1879">
      <c r="O1879" s="230"/>
      <c r="R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  <c r="AI1879" s="230"/>
      <c r="AJ1879" s="230"/>
      <c r="AK1879" s="230"/>
    </row>
    <row r="1880">
      <c r="O1880" s="230"/>
      <c r="R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  <c r="AI1880" s="230"/>
      <c r="AJ1880" s="230"/>
      <c r="AK1880" s="230"/>
    </row>
    <row r="1881">
      <c r="O1881" s="230"/>
      <c r="R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  <c r="AI1881" s="230"/>
      <c r="AJ1881" s="230"/>
      <c r="AK1881" s="230"/>
    </row>
    <row r="1882">
      <c r="O1882" s="230"/>
      <c r="R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  <c r="AI1882" s="230"/>
      <c r="AJ1882" s="230"/>
      <c r="AK1882" s="230"/>
    </row>
    <row r="1883">
      <c r="O1883" s="230"/>
      <c r="R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  <c r="AI1883" s="230"/>
      <c r="AJ1883" s="230"/>
      <c r="AK1883" s="230"/>
    </row>
    <row r="1884">
      <c r="O1884" s="230"/>
      <c r="R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  <c r="AI1884" s="230"/>
      <c r="AJ1884" s="230"/>
      <c r="AK1884" s="230"/>
    </row>
    <row r="1885">
      <c r="O1885" s="230"/>
      <c r="R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  <c r="AI1885" s="230"/>
      <c r="AJ1885" s="230"/>
      <c r="AK1885" s="230"/>
    </row>
    <row r="1886">
      <c r="O1886" s="230"/>
      <c r="R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  <c r="AI1886" s="230"/>
      <c r="AJ1886" s="230"/>
      <c r="AK1886" s="230"/>
    </row>
    <row r="1887">
      <c r="O1887" s="230"/>
      <c r="R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  <c r="AI1887" s="230"/>
      <c r="AJ1887" s="230"/>
      <c r="AK1887" s="230"/>
    </row>
    <row r="1888">
      <c r="O1888" s="230"/>
      <c r="R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  <c r="AI1888" s="230"/>
      <c r="AJ1888" s="230"/>
      <c r="AK1888" s="230"/>
    </row>
    <row r="1889">
      <c r="O1889" s="230"/>
      <c r="R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  <c r="AI1889" s="230"/>
      <c r="AJ1889" s="230"/>
      <c r="AK1889" s="230"/>
    </row>
    <row r="1890">
      <c r="O1890" s="230"/>
      <c r="R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  <c r="AI1890" s="230"/>
      <c r="AJ1890" s="230"/>
      <c r="AK1890" s="230"/>
    </row>
    <row r="1891">
      <c r="O1891" s="230"/>
      <c r="R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  <c r="AI1891" s="230"/>
      <c r="AJ1891" s="230"/>
      <c r="AK1891" s="230"/>
    </row>
    <row r="1892">
      <c r="O1892" s="230"/>
      <c r="R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  <c r="AI1892" s="230"/>
      <c r="AJ1892" s="230"/>
      <c r="AK1892" s="230"/>
    </row>
    <row r="1893">
      <c r="O1893" s="230"/>
      <c r="R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  <c r="AI1893" s="230"/>
      <c r="AJ1893" s="230"/>
      <c r="AK1893" s="230"/>
    </row>
    <row r="1894">
      <c r="O1894" s="230"/>
      <c r="R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  <c r="AI1894" s="230"/>
      <c r="AJ1894" s="230"/>
      <c r="AK1894" s="230"/>
    </row>
    <row r="1895">
      <c r="O1895" s="230"/>
      <c r="R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  <c r="AI1895" s="230"/>
      <c r="AJ1895" s="230"/>
      <c r="AK1895" s="230"/>
    </row>
    <row r="1896">
      <c r="O1896" s="230"/>
      <c r="R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  <c r="AI1896" s="230"/>
      <c r="AJ1896" s="230"/>
      <c r="AK1896" s="230"/>
    </row>
    <row r="1897">
      <c r="O1897" s="230"/>
      <c r="R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  <c r="AI1897" s="230"/>
      <c r="AJ1897" s="230"/>
      <c r="AK1897" s="230"/>
    </row>
    <row r="1898">
      <c r="O1898" s="230"/>
      <c r="R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  <c r="AI1898" s="230"/>
      <c r="AJ1898" s="230"/>
      <c r="AK1898" s="230"/>
    </row>
    <row r="1899">
      <c r="O1899" s="230"/>
      <c r="R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  <c r="AI1899" s="230"/>
      <c r="AJ1899" s="230"/>
      <c r="AK1899" s="230"/>
    </row>
    <row r="1900">
      <c r="O1900" s="230"/>
      <c r="R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  <c r="AI1900" s="230"/>
      <c r="AJ1900" s="230"/>
      <c r="AK1900" s="230"/>
    </row>
    <row r="1901">
      <c r="O1901" s="230"/>
      <c r="R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  <c r="AI1901" s="230"/>
      <c r="AJ1901" s="230"/>
      <c r="AK1901" s="230"/>
    </row>
    <row r="1902">
      <c r="O1902" s="230"/>
      <c r="R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  <c r="AI1902" s="230"/>
      <c r="AJ1902" s="230"/>
      <c r="AK1902" s="230"/>
    </row>
    <row r="1903">
      <c r="O1903" s="230"/>
      <c r="R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  <c r="AI1903" s="230"/>
      <c r="AJ1903" s="230"/>
      <c r="AK1903" s="230"/>
    </row>
    <row r="1904">
      <c r="O1904" s="230"/>
      <c r="R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  <c r="AI1904" s="230"/>
      <c r="AJ1904" s="230"/>
      <c r="AK1904" s="230"/>
    </row>
    <row r="1905">
      <c r="O1905" s="230"/>
      <c r="R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  <c r="AI1905" s="230"/>
      <c r="AJ1905" s="230"/>
      <c r="AK1905" s="230"/>
    </row>
    <row r="1906">
      <c r="O1906" s="230"/>
      <c r="R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  <c r="AI1906" s="230"/>
      <c r="AJ1906" s="230"/>
      <c r="AK1906" s="230"/>
    </row>
    <row r="1907">
      <c r="O1907" s="230"/>
      <c r="R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  <c r="AI1907" s="230"/>
      <c r="AJ1907" s="230"/>
      <c r="AK1907" s="230"/>
    </row>
    <row r="1908">
      <c r="O1908" s="230"/>
      <c r="R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  <c r="AI1908" s="230"/>
      <c r="AJ1908" s="230"/>
      <c r="AK1908" s="230"/>
    </row>
    <row r="1909">
      <c r="O1909" s="230"/>
      <c r="R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  <c r="AI1909" s="230"/>
      <c r="AJ1909" s="230"/>
      <c r="AK1909" s="230"/>
    </row>
    <row r="1910">
      <c r="O1910" s="230"/>
      <c r="R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  <c r="AI1910" s="230"/>
      <c r="AJ1910" s="230"/>
      <c r="AK1910" s="230"/>
    </row>
    <row r="1911">
      <c r="O1911" s="230"/>
      <c r="R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  <c r="AI1911" s="230"/>
      <c r="AJ1911" s="230"/>
      <c r="AK1911" s="230"/>
    </row>
    <row r="1912">
      <c r="O1912" s="230"/>
      <c r="R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  <c r="AI1912" s="230"/>
      <c r="AJ1912" s="230"/>
      <c r="AK1912" s="230"/>
    </row>
    <row r="1913">
      <c r="O1913" s="230"/>
      <c r="R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  <c r="AI1913" s="230"/>
      <c r="AJ1913" s="230"/>
      <c r="AK1913" s="230"/>
    </row>
    <row r="1914">
      <c r="O1914" s="230"/>
      <c r="R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  <c r="AI1914" s="230"/>
      <c r="AJ1914" s="230"/>
      <c r="AK1914" s="230"/>
    </row>
    <row r="1915">
      <c r="O1915" s="230"/>
      <c r="R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  <c r="AI1915" s="230"/>
      <c r="AJ1915" s="230"/>
      <c r="AK1915" s="230"/>
    </row>
    <row r="1916">
      <c r="O1916" s="230"/>
      <c r="R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  <c r="AI1916" s="230"/>
      <c r="AJ1916" s="230"/>
      <c r="AK1916" s="230"/>
    </row>
    <row r="1917">
      <c r="O1917" s="230"/>
      <c r="R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  <c r="AI1917" s="230"/>
      <c r="AJ1917" s="230"/>
      <c r="AK1917" s="230"/>
    </row>
    <row r="1918">
      <c r="O1918" s="230"/>
      <c r="R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  <c r="AI1918" s="230"/>
      <c r="AJ1918" s="230"/>
      <c r="AK1918" s="230"/>
    </row>
    <row r="1919">
      <c r="O1919" s="230"/>
      <c r="R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  <c r="AI1919" s="230"/>
      <c r="AJ1919" s="230"/>
      <c r="AK1919" s="230"/>
    </row>
    <row r="1920">
      <c r="O1920" s="230"/>
      <c r="R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  <c r="AI1920" s="230"/>
      <c r="AJ1920" s="230"/>
      <c r="AK1920" s="230"/>
    </row>
    <row r="1921">
      <c r="O1921" s="230"/>
      <c r="R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  <c r="AI1921" s="230"/>
      <c r="AJ1921" s="230"/>
      <c r="AK1921" s="230"/>
    </row>
    <row r="1922">
      <c r="O1922" s="230"/>
      <c r="R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  <c r="AI1922" s="230"/>
      <c r="AJ1922" s="230"/>
      <c r="AK1922" s="230"/>
    </row>
    <row r="1923">
      <c r="O1923" s="230"/>
      <c r="R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  <c r="AI1923" s="230"/>
      <c r="AJ1923" s="230"/>
      <c r="AK1923" s="230"/>
    </row>
    <row r="1924">
      <c r="O1924" s="230"/>
      <c r="R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  <c r="AI1924" s="230"/>
      <c r="AJ1924" s="230"/>
      <c r="AK1924" s="230"/>
    </row>
    <row r="1925">
      <c r="O1925" s="230"/>
      <c r="R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  <c r="AI1925" s="230"/>
      <c r="AJ1925" s="230"/>
      <c r="AK1925" s="230"/>
    </row>
    <row r="1926">
      <c r="O1926" s="230"/>
      <c r="R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  <c r="AI1926" s="230"/>
      <c r="AJ1926" s="230"/>
      <c r="AK1926" s="230"/>
    </row>
    <row r="1927">
      <c r="O1927" s="230"/>
      <c r="R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  <c r="AI1927" s="230"/>
      <c r="AJ1927" s="230"/>
      <c r="AK1927" s="230"/>
    </row>
    <row r="1928">
      <c r="O1928" s="230"/>
      <c r="R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  <c r="AI1928" s="230"/>
      <c r="AJ1928" s="230"/>
      <c r="AK1928" s="230"/>
    </row>
    <row r="1929">
      <c r="O1929" s="230"/>
      <c r="R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  <c r="AI1929" s="230"/>
      <c r="AJ1929" s="230"/>
      <c r="AK1929" s="230"/>
    </row>
    <row r="1930">
      <c r="O1930" s="230"/>
      <c r="R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  <c r="AI1930" s="230"/>
      <c r="AJ1930" s="230"/>
      <c r="AK1930" s="230"/>
    </row>
    <row r="1931">
      <c r="O1931" s="230"/>
      <c r="R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  <c r="AI1931" s="230"/>
      <c r="AJ1931" s="230"/>
      <c r="AK1931" s="230"/>
    </row>
    <row r="1932">
      <c r="O1932" s="230"/>
      <c r="R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  <c r="AI1932" s="230"/>
      <c r="AJ1932" s="230"/>
      <c r="AK1932" s="230"/>
    </row>
    <row r="1933">
      <c r="O1933" s="230"/>
      <c r="R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  <c r="AI1933" s="230"/>
      <c r="AJ1933" s="230"/>
      <c r="AK1933" s="230"/>
    </row>
    <row r="1934">
      <c r="O1934" s="230"/>
      <c r="R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  <c r="AI1934" s="230"/>
      <c r="AJ1934" s="230"/>
      <c r="AK1934" s="230"/>
    </row>
    <row r="1935">
      <c r="O1935" s="230"/>
      <c r="R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  <c r="AI1935" s="230"/>
      <c r="AJ1935" s="230"/>
      <c r="AK1935" s="230"/>
    </row>
    <row r="1936">
      <c r="O1936" s="230"/>
      <c r="R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  <c r="AI1936" s="230"/>
      <c r="AJ1936" s="230"/>
      <c r="AK1936" s="230"/>
    </row>
    <row r="1937">
      <c r="O1937" s="230"/>
      <c r="R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  <c r="AI1937" s="230"/>
      <c r="AJ1937" s="230"/>
      <c r="AK1937" s="230"/>
    </row>
    <row r="1938">
      <c r="O1938" s="230"/>
      <c r="R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  <c r="AI1938" s="230"/>
      <c r="AJ1938" s="230"/>
      <c r="AK1938" s="230"/>
    </row>
    <row r="1939">
      <c r="O1939" s="230"/>
      <c r="R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  <c r="AI1939" s="230"/>
      <c r="AJ1939" s="230"/>
      <c r="AK1939" s="230"/>
    </row>
    <row r="1940">
      <c r="O1940" s="230"/>
      <c r="R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  <c r="AI1940" s="230"/>
      <c r="AJ1940" s="230"/>
      <c r="AK1940" s="230"/>
    </row>
    <row r="1941">
      <c r="O1941" s="230"/>
      <c r="R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  <c r="AI1941" s="230"/>
      <c r="AJ1941" s="230"/>
      <c r="AK1941" s="230"/>
    </row>
    <row r="1942">
      <c r="O1942" s="230"/>
      <c r="R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  <c r="AI1942" s="230"/>
      <c r="AJ1942" s="230"/>
      <c r="AK1942" s="230"/>
    </row>
    <row r="1943">
      <c r="O1943" s="230"/>
      <c r="R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  <c r="AI1943" s="230"/>
      <c r="AJ1943" s="230"/>
      <c r="AK1943" s="230"/>
    </row>
    <row r="1944">
      <c r="O1944" s="230"/>
      <c r="R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  <c r="AI1944" s="230"/>
      <c r="AJ1944" s="230"/>
      <c r="AK1944" s="230"/>
    </row>
    <row r="1945">
      <c r="O1945" s="230"/>
      <c r="R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  <c r="AI1945" s="230"/>
      <c r="AJ1945" s="230"/>
      <c r="AK1945" s="230"/>
    </row>
    <row r="1946">
      <c r="O1946" s="230"/>
      <c r="R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  <c r="AI1946" s="230"/>
      <c r="AJ1946" s="230"/>
      <c r="AK1946" s="230"/>
    </row>
    <row r="1947">
      <c r="O1947" s="230"/>
      <c r="R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  <c r="AI1947" s="230"/>
      <c r="AJ1947" s="230"/>
      <c r="AK1947" s="230"/>
    </row>
    <row r="1948">
      <c r="O1948" s="230"/>
      <c r="R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  <c r="AI1948" s="230"/>
      <c r="AJ1948" s="230"/>
      <c r="AK1948" s="230"/>
    </row>
    <row r="1949">
      <c r="O1949" s="230"/>
      <c r="R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  <c r="AI1949" s="230"/>
      <c r="AJ1949" s="230"/>
      <c r="AK1949" s="230"/>
    </row>
    <row r="1950">
      <c r="O1950" s="230"/>
      <c r="R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  <c r="AI1950" s="230"/>
      <c r="AJ1950" s="230"/>
      <c r="AK1950" s="230"/>
    </row>
    <row r="1951">
      <c r="O1951" s="230"/>
      <c r="R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  <c r="AI1951" s="230"/>
      <c r="AJ1951" s="230"/>
      <c r="AK1951" s="230"/>
    </row>
    <row r="1952">
      <c r="O1952" s="230"/>
      <c r="R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  <c r="AI1952" s="230"/>
      <c r="AJ1952" s="230"/>
      <c r="AK1952" s="230"/>
    </row>
    <row r="1953">
      <c r="O1953" s="230"/>
      <c r="R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  <c r="AI1953" s="230"/>
      <c r="AJ1953" s="230"/>
      <c r="AK1953" s="230"/>
    </row>
    <row r="1954">
      <c r="O1954" s="230"/>
      <c r="R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  <c r="AI1954" s="230"/>
      <c r="AJ1954" s="230"/>
      <c r="AK1954" s="230"/>
    </row>
    <row r="1955">
      <c r="O1955" s="230"/>
      <c r="R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  <c r="AI1955" s="230"/>
      <c r="AJ1955" s="230"/>
      <c r="AK1955" s="230"/>
    </row>
    <row r="1956">
      <c r="O1956" s="230"/>
      <c r="R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  <c r="AI1956" s="230"/>
      <c r="AJ1956" s="230"/>
      <c r="AK1956" s="230"/>
    </row>
    <row r="1957">
      <c r="O1957" s="230"/>
      <c r="R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  <c r="AI1957" s="230"/>
      <c r="AJ1957" s="230"/>
      <c r="AK1957" s="230"/>
    </row>
    <row r="1958">
      <c r="O1958" s="230"/>
      <c r="R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  <c r="AI1958" s="230"/>
      <c r="AJ1958" s="230"/>
      <c r="AK1958" s="230"/>
    </row>
    <row r="1959">
      <c r="O1959" s="230"/>
      <c r="R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  <c r="AI1959" s="230"/>
      <c r="AJ1959" s="230"/>
      <c r="AK1959" s="230"/>
    </row>
    <row r="1960">
      <c r="O1960" s="230"/>
      <c r="R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  <c r="AI1960" s="230"/>
      <c r="AJ1960" s="230"/>
      <c r="AK1960" s="230"/>
    </row>
    <row r="1961">
      <c r="O1961" s="230"/>
      <c r="R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  <c r="AI1961" s="230"/>
      <c r="AJ1961" s="230"/>
      <c r="AK1961" s="230"/>
    </row>
    <row r="1962">
      <c r="O1962" s="230"/>
      <c r="R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  <c r="AI1962" s="230"/>
      <c r="AJ1962" s="230"/>
      <c r="AK1962" s="230"/>
    </row>
    <row r="1963">
      <c r="O1963" s="230"/>
      <c r="R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  <c r="AI1963" s="230"/>
      <c r="AJ1963" s="230"/>
      <c r="AK1963" s="230"/>
    </row>
    <row r="1964">
      <c r="O1964" s="230"/>
      <c r="R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  <c r="AI1964" s="230"/>
      <c r="AJ1964" s="230"/>
      <c r="AK1964" s="230"/>
    </row>
    <row r="1965">
      <c r="O1965" s="230"/>
      <c r="R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  <c r="AI1965" s="230"/>
      <c r="AJ1965" s="230"/>
      <c r="AK1965" s="230"/>
    </row>
    <row r="1966">
      <c r="O1966" s="230"/>
      <c r="R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  <c r="AI1966" s="230"/>
      <c r="AJ1966" s="230"/>
      <c r="AK1966" s="230"/>
    </row>
    <row r="1967">
      <c r="O1967" s="230"/>
      <c r="R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  <c r="AI1967" s="230"/>
      <c r="AJ1967" s="230"/>
      <c r="AK1967" s="230"/>
    </row>
    <row r="1968">
      <c r="O1968" s="230"/>
      <c r="R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  <c r="AI1968" s="230"/>
      <c r="AJ1968" s="230"/>
      <c r="AK1968" s="230"/>
    </row>
    <row r="1969">
      <c r="O1969" s="230"/>
      <c r="R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  <c r="AI1969" s="230"/>
      <c r="AJ1969" s="230"/>
      <c r="AK1969" s="230"/>
    </row>
    <row r="1970">
      <c r="O1970" s="230"/>
      <c r="R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  <c r="AI1970" s="230"/>
      <c r="AJ1970" s="230"/>
      <c r="AK1970" s="230"/>
    </row>
    <row r="1971">
      <c r="O1971" s="230"/>
      <c r="R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  <c r="AI1971" s="230"/>
      <c r="AJ1971" s="230"/>
      <c r="AK1971" s="230"/>
    </row>
    <row r="1972">
      <c r="O1972" s="230"/>
      <c r="R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  <c r="AI1972" s="230"/>
      <c r="AJ1972" s="230"/>
      <c r="AK1972" s="230"/>
    </row>
    <row r="1973">
      <c r="O1973" s="230"/>
      <c r="R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  <c r="AI1973" s="230"/>
      <c r="AJ1973" s="230"/>
      <c r="AK1973" s="230"/>
    </row>
    <row r="1974">
      <c r="O1974" s="230"/>
      <c r="R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  <c r="AI1974" s="230"/>
      <c r="AJ1974" s="230"/>
      <c r="AK1974" s="230"/>
    </row>
    <row r="1975">
      <c r="O1975" s="230"/>
      <c r="R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  <c r="AI1975" s="230"/>
      <c r="AJ1975" s="230"/>
      <c r="AK1975" s="230"/>
    </row>
    <row r="1976">
      <c r="O1976" s="230"/>
      <c r="R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  <c r="AI1976" s="230"/>
      <c r="AJ1976" s="230"/>
      <c r="AK1976" s="230"/>
    </row>
    <row r="1977">
      <c r="O1977" s="230"/>
      <c r="R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  <c r="AI1977" s="230"/>
      <c r="AJ1977" s="230"/>
      <c r="AK1977" s="230"/>
    </row>
    <row r="1978">
      <c r="O1978" s="230"/>
      <c r="R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  <c r="AI1978" s="230"/>
      <c r="AJ1978" s="230"/>
      <c r="AK1978" s="230"/>
    </row>
    <row r="1979">
      <c r="O1979" s="230"/>
      <c r="R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  <c r="AI1979" s="230"/>
      <c r="AJ1979" s="230"/>
      <c r="AK1979" s="230"/>
    </row>
    <row r="1980">
      <c r="O1980" s="230"/>
      <c r="R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  <c r="AI1980" s="230"/>
      <c r="AJ1980" s="230"/>
      <c r="AK1980" s="230"/>
    </row>
    <row r="1981">
      <c r="O1981" s="230"/>
      <c r="R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  <c r="AI1981" s="230"/>
      <c r="AJ1981" s="230"/>
      <c r="AK1981" s="230"/>
    </row>
    <row r="1982">
      <c r="O1982" s="230"/>
      <c r="R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  <c r="AI1982" s="230"/>
      <c r="AJ1982" s="230"/>
      <c r="AK1982" s="230"/>
    </row>
    <row r="1983">
      <c r="O1983" s="230"/>
      <c r="R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  <c r="AI1983" s="230"/>
      <c r="AJ1983" s="230"/>
      <c r="AK1983" s="230"/>
    </row>
    <row r="1984">
      <c r="O1984" s="230"/>
      <c r="R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  <c r="AI1984" s="230"/>
      <c r="AJ1984" s="230"/>
      <c r="AK1984" s="230"/>
    </row>
    <row r="1985">
      <c r="O1985" s="230"/>
      <c r="R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  <c r="AI1985" s="230"/>
      <c r="AJ1985" s="230"/>
      <c r="AK1985" s="230"/>
    </row>
    <row r="1986">
      <c r="O1986" s="230"/>
      <c r="R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  <c r="AI1986" s="230"/>
      <c r="AJ1986" s="230"/>
      <c r="AK1986" s="230"/>
    </row>
    <row r="1987">
      <c r="O1987" s="230"/>
      <c r="R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  <c r="AI1987" s="230"/>
      <c r="AJ1987" s="230"/>
      <c r="AK1987" s="230"/>
    </row>
    <row r="1988">
      <c r="O1988" s="230"/>
      <c r="R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  <c r="AI1988" s="230"/>
      <c r="AJ1988" s="230"/>
      <c r="AK1988" s="230"/>
    </row>
    <row r="1989">
      <c r="O1989" s="230"/>
      <c r="R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  <c r="AI1989" s="230"/>
      <c r="AJ1989" s="230"/>
      <c r="AK1989" s="230"/>
    </row>
    <row r="1990">
      <c r="O1990" s="230"/>
      <c r="R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  <c r="AI1990" s="230"/>
      <c r="AJ1990" s="230"/>
      <c r="AK1990" s="230"/>
    </row>
    <row r="1991">
      <c r="O1991" s="230"/>
      <c r="R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  <c r="AI1991" s="230"/>
      <c r="AJ1991" s="230"/>
      <c r="AK1991" s="230"/>
    </row>
    <row r="1992">
      <c r="O1992" s="230"/>
      <c r="R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  <c r="AI1992" s="230"/>
      <c r="AJ1992" s="230"/>
      <c r="AK1992" s="230"/>
    </row>
    <row r="1993">
      <c r="O1993" s="230"/>
      <c r="R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  <c r="AI1993" s="230"/>
      <c r="AJ1993" s="230"/>
      <c r="AK1993" s="230"/>
    </row>
    <row r="1994">
      <c r="O1994" s="230"/>
      <c r="R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  <c r="AI1994" s="230"/>
      <c r="AJ1994" s="230"/>
      <c r="AK1994" s="230"/>
    </row>
    <row r="1995">
      <c r="O1995" s="230"/>
      <c r="R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  <c r="AI1995" s="230"/>
      <c r="AJ1995" s="230"/>
      <c r="AK1995" s="230"/>
    </row>
    <row r="1996">
      <c r="O1996" s="230"/>
      <c r="R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  <c r="AI1996" s="230"/>
      <c r="AJ1996" s="230"/>
      <c r="AK1996" s="230"/>
    </row>
    <row r="1997">
      <c r="O1997" s="230"/>
      <c r="R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  <c r="AI1997" s="230"/>
      <c r="AJ1997" s="230"/>
      <c r="AK1997" s="230"/>
    </row>
    <row r="1998">
      <c r="O1998" s="230"/>
      <c r="R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  <c r="AI1998" s="230"/>
      <c r="AJ1998" s="230"/>
      <c r="AK1998" s="230"/>
    </row>
    <row r="1999">
      <c r="O1999" s="230"/>
      <c r="R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  <c r="AI1999" s="230"/>
      <c r="AJ1999" s="230"/>
      <c r="AK1999" s="230"/>
    </row>
    <row r="2000">
      <c r="O2000" s="230"/>
      <c r="R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  <c r="AI2000" s="230"/>
      <c r="AJ2000" s="230"/>
      <c r="AK2000" s="230"/>
    </row>
    <row r="2001">
      <c r="O2001" s="230"/>
      <c r="R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  <c r="AI2001" s="230"/>
      <c r="AJ2001" s="230"/>
      <c r="AK2001" s="230"/>
    </row>
    <row r="2002">
      <c r="O2002" s="230"/>
      <c r="R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  <c r="AI2002" s="230"/>
      <c r="AJ2002" s="230"/>
      <c r="AK2002" s="230"/>
    </row>
    <row r="2003">
      <c r="O2003" s="230"/>
      <c r="R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  <c r="AI2003" s="230"/>
      <c r="AJ2003" s="230"/>
      <c r="AK2003" s="230"/>
    </row>
    <row r="2004">
      <c r="O2004" s="230"/>
      <c r="R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  <c r="AI2004" s="230"/>
      <c r="AJ2004" s="230"/>
      <c r="AK2004" s="230"/>
    </row>
  </sheetData>
  <autoFilter ref="$A$1:$AU$2004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107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19.0</v>
      </c>
      <c r="C3" s="219">
        <v>591.5</v>
      </c>
      <c r="D3" s="216"/>
      <c r="E3" s="212"/>
      <c r="F3" s="217"/>
    </row>
    <row r="4" ht="22.5" customHeight="1">
      <c r="A4" s="218" t="s">
        <v>250</v>
      </c>
      <c r="B4" s="216"/>
      <c r="C4" s="212">
        <v>187.0</v>
      </c>
      <c r="D4" s="216"/>
      <c r="E4" s="212"/>
      <c r="F4" s="220" t="s">
        <v>251</v>
      </c>
    </row>
    <row r="5" ht="22.5" customHeight="1">
      <c r="A5" s="218" t="s">
        <v>252</v>
      </c>
      <c r="B5" s="216"/>
      <c r="C5" s="212">
        <v>15.5</v>
      </c>
      <c r="D5" s="216"/>
      <c r="E5" s="212"/>
      <c r="F5" s="220" t="s">
        <v>251</v>
      </c>
    </row>
    <row r="6" ht="22.5" customHeight="1">
      <c r="A6" s="218" t="s">
        <v>253</v>
      </c>
      <c r="B6" s="216"/>
      <c r="C6" s="212">
        <v>11.0</v>
      </c>
      <c r="D6" s="216"/>
      <c r="E6" s="212"/>
      <c r="F6" s="221" t="s">
        <v>7000</v>
      </c>
    </row>
    <row r="7" ht="22.5" customHeight="1">
      <c r="A7" s="218" t="s">
        <v>255</v>
      </c>
      <c r="B7" s="216">
        <f>SUM('Sprint 12'!O:O)</f>
        <v>424</v>
      </c>
      <c r="C7" s="212">
        <f>ROUND(SUM('Sprint 12'!U:U)/3600,2)</f>
        <v>380.5</v>
      </c>
      <c r="D7" s="216">
        <f>SUMIF('Sprint 12'!J:J, "Done", 'Sprint 12'!O:O)</f>
        <v>239</v>
      </c>
      <c r="E7" s="212">
        <f>ROUND(SUMIF('Sprint 12'!J:J, "Done", 'Sprint 12'!U:U)/3600,2)</f>
        <v>169.5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6.0</v>
      </c>
      <c r="C9" s="212">
        <f>IFERROR(__xludf.DUMMYFUNCTION("ROUND(IFERROR(SUM(FILTER('Sprint 12'!U:U, ('Sprint 12'!Q:Q = ""mid-sprint"")))/3600,0),2)"),1.0)</f>
        <v>1</v>
      </c>
      <c r="D9" s="212">
        <f>IFERROR(__xludf.DUMMYFUNCTION("IFERROR(SUM(FILTER('Sprint 12'!O:O, (('Sprint 12'!J:J = ""Done"")) * ('Sprint 12'!Q:Q = ""mid-sprint""))),0)"),7.0)</f>
        <v>7</v>
      </c>
      <c r="E9" s="212">
        <f>IFERROR(__xludf.DUMMYFUNCTION("ROUND(IFERROR(SUM(FILTER('Sprint 12'!U:U, (('Sprint 12'!J:J = ""Done"")) * ('Sprint 12'!P:P = ""mid-sprint"")))/3600,0),2)"),0.5)</f>
        <v>0.5</v>
      </c>
      <c r="F9" s="225" t="s">
        <v>257</v>
      </c>
    </row>
    <row r="10" ht="22.5" customHeight="1">
      <c r="A10" s="218" t="s">
        <v>258</v>
      </c>
      <c r="B10" s="212">
        <f>IFERROR(__xludf.DUMMYFUNCTION("IFERROR(SUM(FILTER('Sprint 12'!O:O, ('Sprint 12'!Q:Q = ""change-request""))),0)"),0.0)</f>
        <v>0</v>
      </c>
      <c r="C10" s="212">
        <f>IFERROR(__xludf.DUMMYFUNCTION("ROUND(IFERROR(SUM(FILTER('Sprint 12'!U:U, ('Sprint 12'!Q:Q = ""change-request"")))/3600,0),2)"),0.0)</f>
        <v>0</v>
      </c>
      <c r="D10" s="212">
        <f>IFERROR(__xludf.DUMMYFUNCTION("IFERROR(SUM(FILTER('Sprint 12'!O:O, (('Sprint 12'!J:J = ""Done"")) * ('Sprint 12'!Q:Q = ""change-request""))),0)"),0.0)</f>
        <v>0</v>
      </c>
      <c r="E10" s="212">
        <f>IFERROR(__xludf.DUMMYFUNCTION("ROUND(IFERROR(SUM(FILTER('Sprint 12'!U:U, (('Sprint 12'!J:J = ""Done"")) * ('Sprint 12'!Q:Q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12'!O:O, ('Sprint 12'!E:E = ""Aek:Atiphat Nanthachitvanich""))),0)"),31.0)</f>
        <v>31</v>
      </c>
      <c r="C12" s="223">
        <f>IFERROR(__xludf.DUMMYFUNCTION("ROUND(IFERROR(SUM(FILTER('Sprint 12'!U:U, ('Sprint 12'!E:E = ""Aek:Atiphat Nanthachitvanich"")))/3600,0),2)"),38.5)</f>
        <v>38.5</v>
      </c>
      <c r="D12" s="216">
        <f>IFERROR(__xludf.DUMMYFUNCTION("IFERROR(SUM(FILTER('Sprint 12'!O:O, (('Sprint 12'!J:J = ""Done"")) * ('Sprint 12'!E:E = ""Aek:Atiphat Nanthachitvanich""))),0)"),10.0)</f>
        <v>10</v>
      </c>
      <c r="E12" s="223">
        <f>IFERROR(__xludf.DUMMYFUNCTION("ROUND(IFERROR(SUM(FILTER('Sprint 12'!U:U, (('Sprint 12'!J:J = ""Done"")) * ('Sprint 12'!E:E = ""Aek:Atiphat Nanthachitvanich"")))/3600,0),2)"),18.5)</f>
        <v>18.5</v>
      </c>
      <c r="F12" s="224"/>
    </row>
    <row r="13" ht="22.5" customHeight="1">
      <c r="A13" s="218" t="s">
        <v>32</v>
      </c>
      <c r="B13" s="216">
        <f>IFERROR(__xludf.DUMMYFUNCTION("IFERROR(SUM(FILTER('Sprint 12'!O:O, ('Sprint 12'!E:E = ""A:Phongthorn""))),0)"),45.0)</f>
        <v>45</v>
      </c>
      <c r="C13" s="223">
        <f>IFERROR(__xludf.DUMMYFUNCTION("ROUND(IFERROR(SUM(FILTER('Sprint 12'!U:U, ('Sprint 12'!E:E = ""A:Phongthorn"")))/3600,0),2)"),74.0)</f>
        <v>74</v>
      </c>
      <c r="D13" s="216">
        <f>IFERROR(__xludf.DUMMYFUNCTION("IFERROR(SUM(FILTER('Sprint 12'!O:O, (('Sprint 12'!J:J = ""Done"")) * ('Sprint 12'!E:E = ""A:Phongthorn""))),0)"),39.0)</f>
        <v>39</v>
      </c>
      <c r="E13" s="223">
        <f>IFERROR(__xludf.DUMMYFUNCTION("ROUND(IFERROR(SUM(FILTER('Sprint 12'!U:U, (('Sprint 12'!J:J = ""Done"")) * ('Sprint 12'!E:E = ""A:Phongthorn"")))/3600,0),2)"),66.0)</f>
        <v>66</v>
      </c>
      <c r="F13" s="224"/>
    </row>
    <row r="14" ht="22.5" customHeight="1">
      <c r="A14" s="218" t="s">
        <v>72</v>
      </c>
      <c r="B14" s="216">
        <f>IFERROR(__xludf.DUMMYFUNCTION("IFERROR(SUM(FILTER('Sprint 12'!O:O, ('Sprint 12'!E:E = ""Aom: Pornsawan Polnyiem""))),0)"),54.0)</f>
        <v>54</v>
      </c>
      <c r="C14" s="223">
        <f>IFERROR(__xludf.DUMMYFUNCTION("ROUND(IFERROR(SUM(FILTER('Sprint 12'!U:U, ('Sprint 12'!E:E = ""Aom: Pornsawan Polnyiem"")))/3600,0),2)"),21.0)</f>
        <v>21</v>
      </c>
      <c r="D14" s="216">
        <f>IFERROR(__xludf.DUMMYFUNCTION("IFERROR(SUM(FILTER('Sprint 12'!O:O, (('Sprint 12'!J:J = ""Done"")) * ('Sprint 12'!E:E = ""Aom: Pornsawan Polnyiem""))),0)"),14.0)</f>
        <v>14</v>
      </c>
      <c r="E14" s="223">
        <f>IFERROR(__xludf.DUMMYFUNCTION("ROUND(IFERROR(SUM(FILTER('Sprint 12'!U:U, (('Sprint 12'!J:J = ""Done"")) * ('Sprint 12'!E:E = ""Aom: Pornsawan Polnyiem"")))/3600,0),2)"),21.0)</f>
        <v>21</v>
      </c>
      <c r="F14" s="224"/>
    </row>
    <row r="15" ht="22.5" customHeight="1">
      <c r="A15" s="218" t="s">
        <v>24</v>
      </c>
      <c r="B15" s="216">
        <f>IFERROR(__xludf.DUMMYFUNCTION("IFERROR(SUM(FILTER('Sprint 12'!O:O, ('Sprint 12'!E:E = ""Zan : Isarapong Bulan""))),0)"),10.0)</f>
        <v>10</v>
      </c>
      <c r="C15" s="223">
        <f>IFERROR(__xludf.DUMMYFUNCTION("ROUND(IFERROR(SUM(FILTER('Sprint 12'!U:U, ('Sprint 12'!E:E = ""Zan : Isarapong Bulan"")))/3600,0),2)"),5.0)</f>
        <v>5</v>
      </c>
      <c r="D15" s="216">
        <f>IFERROR(__xludf.DUMMYFUNCTION("IFERROR(SUM(FILTER('Sprint 12'!O:O, (('Sprint 12'!J:J = ""Done"")) * ('Sprint 12'!E:E = ""Zan : Isarapong Bulan""))),0)"),5.0)</f>
        <v>5</v>
      </c>
      <c r="E15" s="223">
        <f>IFERROR(__xludf.DUMMYFUNCTION("ROUND(IFERROR(SUM(FILTER('Sprint 12'!U:U, (('Sprint 12'!J:J = ""Done"")) * ('Sprint 12'!E:E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12'!O:O, ('Sprint 12'!E:E = ""Mai:Sateta Abvanawong""))),0)"),54.0)</f>
        <v>54</v>
      </c>
      <c r="C16" s="223">
        <f>IFERROR(__xludf.DUMMYFUNCTION("ROUND(IFERROR(SUM(FILTER('Sprint 12'!U:U, ('Sprint 12'!E:E = ""Mai:Sateta Abvanawong"")))/3600,0),2)"),42.0)</f>
        <v>42</v>
      </c>
      <c r="D16" s="216">
        <f>IFERROR(__xludf.DUMMYFUNCTION("IFERROR(SUM(FILTER('Sprint 12'!O:O, (('Sprint 12'!J:J = ""Done"")) * ('Sprint 12'!E:E = ""Mai:Sateta Abvanawong""))),0)"),22.0)</f>
        <v>22</v>
      </c>
      <c r="E16" s="223">
        <f>IFERROR(__xludf.DUMMYFUNCTION("ROUND(IFERROR(SUM(FILTER('Sprint 12'!U:U, (('Sprint 12'!J:J = ""Done"")) * ('Sprint 12'!E:E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12'!O:O, ('Sprint 12'!E:E = ""Mac: Jarupong Pawichpongkul""))),0)"),69.0)</f>
        <v>69</v>
      </c>
      <c r="C17" s="223">
        <f>IFERROR(__xludf.DUMMYFUNCTION("ROUND(IFERROR(SUM(FILTER('Sprint 12'!U:U, ('Sprint 12'!E:E = ""Mac: Jarupong Pawichpongkul"")))/3600,0),2)"),32.0)</f>
        <v>32</v>
      </c>
      <c r="D17" s="216">
        <f>IFERROR(__xludf.DUMMYFUNCTION("IFERROR(SUM(FILTER('Sprint 12'!O:O, (('Sprint 12'!J:J = ""Done"")) * ('Sprint 12'!E:E = ""Mac: Jarupong Pawichpongkul""))),0)"),53.0)</f>
        <v>53</v>
      </c>
      <c r="E17" s="223">
        <f>IFERROR(__xludf.DUMMYFUNCTION("ROUND(IFERROR(SUM(FILTER('Sprint 12'!U:U, (('Sprint 12'!J:J = ""Done"")) * ('Sprint 12'!E:E = ""Mac: Jarupong Pawichpongkul"")))/3600,0),2)"),12.0)</f>
        <v>12</v>
      </c>
      <c r="F17" s="224"/>
    </row>
    <row r="18" ht="22.5" customHeight="1">
      <c r="A18" s="218" t="s">
        <v>75</v>
      </c>
      <c r="B18" s="216">
        <f>IFERROR(__xludf.DUMMYFUNCTION("IFERROR(SUM(FILTER('Sprint 12'!O:O, ('Sprint 12'!E:E = ""Moss : Kittapath Sangvikukit""))),0)"),42.0)</f>
        <v>42</v>
      </c>
      <c r="C18" s="223">
        <f>IFERROR(__xludf.DUMMYFUNCTION("ROUND(IFERROR(SUM(FILTER('Sprint 12'!U:U, ('Sprint 12'!E:E = ""Moss : Kittapath Sangvikukit"")))/3600,0),2)"),36.0)</f>
        <v>36</v>
      </c>
      <c r="D18" s="216">
        <f>IFERROR(__xludf.DUMMYFUNCTION("IFERROR(SUM(FILTER('Sprint 12'!O:O, (('Sprint 12'!J:J = ""Done"")) * ('Sprint 12'!E:E = ""Moss : Kittapath Sangvikukit""))),0)"),39.0)</f>
        <v>39</v>
      </c>
      <c r="E18" s="223">
        <f>IFERROR(__xludf.DUMMYFUNCTION("ROUND(IFERROR(SUM(FILTER('Sprint 12'!U:U, (('Sprint 12'!J:J = ""Done"")) * ('Sprint 12'!E:E = ""Moss : Kittapath Sangvikukit"")))/3600,0),2)"),20.0)</f>
        <v>20</v>
      </c>
      <c r="F18" s="224"/>
    </row>
    <row r="19" ht="22.5" customHeight="1">
      <c r="A19" s="218" t="s">
        <v>28</v>
      </c>
      <c r="B19" s="216">
        <f>IFERROR(__xludf.DUMMYFUNCTION("IFERROR(SUM(FILTER('Sprint 12'!O:O, ('Sprint 12'!E:E = ""Jack: Warin Kesorn""))),0)"),16.0)</f>
        <v>16</v>
      </c>
      <c r="C19" s="223">
        <f>IFERROR(__xludf.DUMMYFUNCTION("ROUND(IFERROR(SUM(FILTER('Sprint 12'!U:U, ('Sprint 12'!E:E = ""Jack: Warin Kesorn"")))/3600,0),2)"),0.0)</f>
        <v>0</v>
      </c>
      <c r="D19" s="216">
        <f>IFERROR(__xludf.DUMMYFUNCTION("IFERROR(SUM(FILTER('Sprint 12'!O:O, (('Sprint 12'!J:J = ""Done"")) * ('Sprint 12'!E:E = ""Jack: Warin Kesorn""))),0)"),10.0)</f>
        <v>10</v>
      </c>
      <c r="E19" s="223">
        <f>IFERROR(__xludf.DUMMYFUNCTION("ROUND(IFERROR(SUM(FILTER('Sprint 12'!U:U, (('Sprint 12'!J:J = ""Done"")) * ('Sprint 12'!E:E = ""Jack: Warin Kesorn"")))/3600,0),2)"),0.0)</f>
        <v>0</v>
      </c>
      <c r="F19" s="224"/>
    </row>
    <row r="20" ht="22.5" customHeight="1">
      <c r="A20" s="218" t="s">
        <v>3616</v>
      </c>
      <c r="B20" s="216">
        <f>IFERROR(__xludf.DUMMYFUNCTION("IFERROR(SUM(FILTER('Sprint 12'!O:O, ('Sprint 12'!E:E = ""Art: Narupontp""))),0)"),21.0)</f>
        <v>21</v>
      </c>
      <c r="C20" s="223">
        <f>IFERROR(__xludf.DUMMYFUNCTION("ROUND(IFERROR(SUM(FILTER('Sprint 12'!U:U, ('Sprint 12'!E:E = ""Art: Narupontp"")))/3600,0),2)"),0.0)</f>
        <v>0</v>
      </c>
      <c r="D20" s="216">
        <f>IFERROR(__xludf.DUMMYFUNCTION("IFERROR(SUM(FILTER('Sprint 12'!O:O, (('Sprint 12'!J:J = ""Done"")) * ('Sprint 12'!E:E = ""Art: Narupontp""))),0)"),1.0)</f>
        <v>1</v>
      </c>
      <c r="E20" s="223">
        <f>IFERROR(__xludf.DUMMYFUNCTION("ROUND(IFERROR(SUM(FILTER('Sprint 12'!U:U, (('Sprint 12'!J:J = ""Done"")) * ('Sprint 12'!E:E = ""Art: Narupontp"")))/3600,0),2)"),0.0)</f>
        <v>0</v>
      </c>
      <c r="F20" s="224"/>
    </row>
    <row r="21" ht="22.5" customHeight="1">
      <c r="A21" s="218" t="s">
        <v>3617</v>
      </c>
      <c r="B21" s="216">
        <f>IFERROR(__xludf.DUMMYFUNCTION("IFERROR(SUM(FILTER('Sprint 12'!O:O, ('Sprint 12'!E:E = ""Kae: Pimonrath Jaiyen""))),0)"),25.0)</f>
        <v>25</v>
      </c>
      <c r="C21" s="223">
        <f>IFERROR(__xludf.DUMMYFUNCTION("ROUND(IFERROR(SUM(FILTER('Sprint 12'!U:U, ('Sprint 12'!E:E = ""Kae: Pimonrath Jaiyen"")))/3600,0),2)"),56.0)</f>
        <v>56</v>
      </c>
      <c r="D21" s="216">
        <f>IFERROR(__xludf.DUMMYFUNCTION("IFERROR(SUM(FILTER('Sprint 12'!O:O, (('Sprint 12'!J:J = ""Done"")) * ('Sprint 12'!E:E = ""Kae: Pimonrath Jaiyen""))),0)"),20.0)</f>
        <v>20</v>
      </c>
      <c r="E21" s="223">
        <f>IFERROR(__xludf.DUMMYFUNCTION("ROUND(IFERROR(SUM(FILTER('Sprint 12'!U:U, (('Sprint 12'!J:J = ""Done"")) * ('Sprint 12'!E:E = ""Kae: Pimonrath Jaiyen"")))/3600,0),2)"),24.0)</f>
        <v>24</v>
      </c>
      <c r="F21" s="224"/>
    </row>
    <row r="22" ht="22.5" customHeight="1">
      <c r="A22" s="218" t="s">
        <v>76</v>
      </c>
      <c r="B22" s="216">
        <f>IFERROR(__xludf.DUMMYFUNCTION("IFERROR(SUM(FILTER('Sprint 12'!O:O, ('Sprint 12'!E:E = ""Nim : muthita munmueang""))),0)"),33.0)</f>
        <v>33</v>
      </c>
      <c r="C22" s="223">
        <f>IFERROR(__xludf.DUMMYFUNCTION("ROUND(IFERROR(SUM(FILTER('Sprint 12'!U:U, ('Sprint 12'!E:E = ""Nim : muthita munmueang"")))/3600,0),2)"),40.0)</f>
        <v>40</v>
      </c>
      <c r="D22" s="216">
        <f>IFERROR(__xludf.DUMMYFUNCTION("IFERROR(SUM(FILTER('Sprint 12'!O:O, (('Sprint 12'!J:J = ""Done"")) * ('Sprint 12'!E:E = ""Nim : muthita munmueang""))),0)"),20.0)</f>
        <v>20</v>
      </c>
      <c r="E22" s="223">
        <f>IFERROR(__xludf.DUMMYFUNCTION("ROUND(IFERROR(SUM(FILTER('Sprint 12'!U:U, (('Sprint 12'!J:J = ""Done"")) * ('Sprint 12'!E:E = ""Nim : muthita munmueang"")))/3600,0),2)"),0.0)</f>
        <v>0</v>
      </c>
      <c r="F22" s="224"/>
    </row>
    <row r="23" ht="22.5" customHeight="1">
      <c r="A23" s="221" t="s">
        <v>77</v>
      </c>
      <c r="B23" s="224">
        <f>IFERROR(__xludf.DUMMYFUNCTION("IFERROR(SUM(FILTER('Sprint 12'!O:O, ('Sprint 12'!E:E = ""Arm:Worawat Chotipongchoawalit""))),0)"),24.0)</f>
        <v>24</v>
      </c>
      <c r="C23" s="223">
        <f>IFERROR(__xludf.DUMMYFUNCTION("ROUND(IFERROR(SUM(FILTER('Sprint 12'!U:U, ('Sprint 12'!E:E = ""Arm:Worawat Chotipongchoawalit"")))/3600,0),2)"),36.0)</f>
        <v>36</v>
      </c>
      <c r="D23" s="216">
        <f>IFERROR(__xludf.DUMMYFUNCTION("IFERROR(SUM(FILTER('Sprint 12'!O:O, (('Sprint 12'!J:J = ""Done"")) * ('Sprint 12'!E:E = ""Arm:Worawat Chotipongchoawalit""))),0)"),6.0)</f>
        <v>6</v>
      </c>
      <c r="E23" s="223">
        <f>IFERROR(__xludf.DUMMYFUNCTION("ROUND(IFERROR(SUM(FILTER('Sprint 12'!U:U, (('Sprint 12'!J:J = ""Done"")) * ('Sprint 12'!E:E = ""Arm:Worawat Chotipongchoawalit"")))/3600,0),2)"),8.0)</f>
        <v>8</v>
      </c>
      <c r="F23" s="224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42" t="s">
        <v>3615</v>
      </c>
      <c r="J25" s="234"/>
      <c r="K25" s="234"/>
      <c r="L25" s="234"/>
      <c r="M25" s="235"/>
    </row>
    <row r="26" ht="20.25" customHeight="1">
      <c r="A26" s="239" t="s">
        <v>2214</v>
      </c>
      <c r="B26" s="243" t="s">
        <v>30</v>
      </c>
      <c r="C26" s="243" t="s">
        <v>24</v>
      </c>
      <c r="D26" s="243" t="s">
        <v>72</v>
      </c>
      <c r="E26" s="243" t="s">
        <v>28</v>
      </c>
      <c r="F26" s="243" t="s">
        <v>32</v>
      </c>
      <c r="G26" s="243" t="s">
        <v>3616</v>
      </c>
      <c r="H26" s="243" t="s">
        <v>73</v>
      </c>
      <c r="I26" s="243" t="s">
        <v>3617</v>
      </c>
      <c r="J26" s="243" t="s">
        <v>74</v>
      </c>
      <c r="K26" s="243" t="s">
        <v>76</v>
      </c>
      <c r="L26" s="243" t="s">
        <v>75</v>
      </c>
      <c r="M26" s="243" t="s">
        <v>77</v>
      </c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101" t="s">
        <v>4665</v>
      </c>
      <c r="B27" s="99">
        <f>IFERROR(__xludf.DUMMYFUNCTION("IFERROR(
  SUM(
    FILTER(
      'Sprint 12'!O:O,
      ('Sprint 12'!E:E = ""Aek:Atiphat Nanthachitvanich"") *
      (LEFT('Sprint 12'!B:B,7) = ""RDTHANA"")
    )
  ),
0)"),0.0)</f>
        <v>0</v>
      </c>
      <c r="C27" s="99">
        <f>IFERROR(__xludf.DUMMYFUNCTION("IFERROR(
  SUM(
    FILTER(
      'Sprint 12'!O:O,
      ('Sprint 12'!E:E = ""Zan : Isarapong Bulan"") *
      (LEFT('Sprint 12'!B:B,7) = ""RDTHANA"")
    )
  ),
0)"),5.0)</f>
        <v>5</v>
      </c>
      <c r="D27" s="99">
        <f>IFERROR(__xludf.DUMMYFUNCTION("IFERROR(
  SUM(
    FILTER(
      'Sprint 12'!O:O,
      ('Sprint 12'!E:E = ""Aom: Pornsawan Polnyiem"") *
      (LEFT('Sprint 12'!B:B,7) = ""RDTHANA"")
    )
  ),
0)"),9.0)</f>
        <v>9</v>
      </c>
      <c r="E27" s="99">
        <f>IFERROR(__xludf.DUMMYFUNCTION("IFERROR(
  SUM(
    FILTER(
      'Sprint 12'!O:O,
      ('Sprint 12'!E:E = ""Jack: Warin Kesorn"") *
      (LEFT('Sprint 12'!B:B,7) = ""RDTHANA"")
    )
  ),
0)"),8.0)</f>
        <v>8</v>
      </c>
      <c r="F27" s="99">
        <f>IFERROR(__xludf.DUMMYFUNCTION("IFERROR(
  SUM(
    FILTER(
      'Sprint 12'!O:O,
      ('Sprint 12'!E:E = ""A:Phongthorn"") *
      (LEFT('Sprint 12'!B:B,7) = ""RDTHANA"")
    )
  ),
0)"),15.0)</f>
        <v>15</v>
      </c>
      <c r="G27" s="99">
        <f>IFERROR(__xludf.DUMMYFUNCTION("IFERROR(
  SUM(
    FILTER(
      'Sprint 12'!O:O,
      ('Sprint 12'!E:E = ""Art: Narupontp"") *
      (LEFT('Sprint 12'!B:B,7) = ""RDTHANA"")
    )
  ),
0)"),3.0)</f>
        <v>3</v>
      </c>
      <c r="H27" s="99">
        <f>IFERROR(__xludf.DUMMYFUNCTION("IFERROR(
  SUM(
    FILTER(
      'Sprint 12'!O:O,
      ('Sprint 12'!E:E = ""Mai:Sateta Abvanawong"") *
      (LEFT('Sprint 12'!B:B,7) = ""RDTHANA"")
    )
  ),
0)"),38.0)</f>
        <v>38</v>
      </c>
      <c r="I27" s="99">
        <f>IFERROR(__xludf.DUMMYFUNCTION("IFERROR(
  SUM(
    FILTER(
      'Sprint 12'!O:O,
      ('Sprint 12'!E:E = ""Kae: Pimonrath Jaiyen"") *
      (LEFT('Sprint 12'!B:B,7) = ""RDTHANA"")
    )
  ),
0)"),8.0)</f>
        <v>8</v>
      </c>
      <c r="J27" s="99">
        <f>IFERROR(__xludf.DUMMYFUNCTION("IFERROR(
  SUM(
    FILTER(
      'Sprint 12'!O:O,
      ('Sprint 12'!E:E = ""Mac: Jarupong Pawichpongkul"") *
      (LEFT('Sprint 12'!B:B,7) = ""RDTHANA"")
    )
  ),
0)"),46.0)</f>
        <v>46</v>
      </c>
      <c r="K27" s="99">
        <f>IFERROR(__xludf.DUMMYFUNCTION("IFERROR(
  SUM(
    FILTER(
      'Sprint 12'!O:O,
      ('Sprint 12'!E:E = ""Nim : muthita munmueang"") *
      (LEFT('Sprint 12'!B:B,7) = ""RDTHANA"")
    )
  ),
0)"),16.0)</f>
        <v>16</v>
      </c>
      <c r="L27" s="99">
        <f>IFERROR(__xludf.DUMMYFUNCTION("IFERROR(
  SUM(
    FILTER(
      'Sprint 12'!O:O,
      ('Sprint 12'!E:E = ""Moss : Kittapath Sangvikukit"") *
      (LEFT('Sprint 12'!B:B,7) = ""RDTHANA"")
    )
  ),
0)"),29.0)</f>
        <v>29</v>
      </c>
      <c r="M27" s="99">
        <f>IFERROR(__xludf.DUMMYFUNCTION("IFERROR(
  SUM(
    FILTER(
      'Sprint 12'!O:O,
      ('Sprint 12'!E:E = ""Arm:Worawat Chotipongchoawalit"") *
      (LEFT('Sprint 12'!B:B,7) = ""RDTHANA"")
    )
  ),
0)"),2.0)</f>
        <v>2</v>
      </c>
    </row>
    <row r="28">
      <c r="A28" s="101" t="s">
        <v>4666</v>
      </c>
      <c r="B28" s="99">
        <f>IFERROR(__xludf.DUMMYFUNCTION("IFERROR(
  SUM(
    FILTER(
      'Sprint 12'!O:O,
      ('Sprint 12'!E:E = ""Aek:Atiphat Nanthachitvanich"") *
      (LEFT('Sprint 12'!B:B,9) = ""DEVRDECOM"")
    )
  ),
0)"),21.0)</f>
        <v>21</v>
      </c>
      <c r="C28" s="99">
        <f>IFERROR(__xludf.DUMMYFUNCTION("IFERROR(
  SUM(
    FILTER(
      'Sprint 12'!O:O,
      ('Sprint 12'!E:E = ""Zan : Isarapong Bulan"") *
      (LEFT('Sprint 12'!B:B,9) = ""DEVRDECOM"")
    )
  ),
0)"),0.0)</f>
        <v>0</v>
      </c>
      <c r="D28" s="99">
        <f>IFERROR(__xludf.DUMMYFUNCTION("IFERROR(
  SUM(
    FILTER(
      'Sprint 12'!O:O,
      ('Sprint 12'!E:E = ""Aom: Pornsawan Polnyiem"") *
      (LEFT('Sprint 12'!B:B,9) = ""DEVRDECOM"")
    )
  ),
0)"),0.0)</f>
        <v>0</v>
      </c>
      <c r="E28" s="99">
        <f>IFERROR(__xludf.DUMMYFUNCTION("IFERROR(
  SUM(
    FILTER(
      'Sprint 12'!O:O,
      ('Sprint 12'!E:E = ""Jack: Warin Kesorn"") *
      (LEFT('Sprint 12'!B:B,9) = ""DEVRDECOM"")
    )
  ),
0)"),8.0)</f>
        <v>8</v>
      </c>
      <c r="F28" s="99">
        <f>IFERROR(__xludf.DUMMYFUNCTION("IFERROR(
  SUM(
    FILTER(
      'Sprint 12'!O:O,
      ('Sprint 12'!E:E = ""A:Phongthorn"") *
      (LEFT('Sprint 12'!B:B,9) = ""DEVRDECOM"")
    )
  ),
0)"),0.0)</f>
        <v>0</v>
      </c>
      <c r="G28" s="99">
        <f>IFERROR(__xludf.DUMMYFUNCTION("IFERROR(
  SUM(
    FILTER(
      'Sprint 12'!O:O,
      ('Sprint 12'!E:E = ""Art: Narupontp"") *
      (LEFT('Sprint 12'!B:B,9) = ""DEVRDECOM"")
    )
  ),
0)"),1.0)</f>
        <v>1</v>
      </c>
      <c r="H28" s="99">
        <f>IFERROR(__xludf.DUMMYFUNCTION("IFERROR(
  SUM(
    FILTER(
      'Sprint 12'!O:O,
      ('Sprint 12'!E:E = ""Mai:Sateta Abvanawong"") *
      (LEFT('Sprint 12'!B:B,9) = ""DEVRDECOM"")
    )
  ),
0)"),2.0)</f>
        <v>2</v>
      </c>
      <c r="I28" s="99">
        <f>IFERROR(__xludf.DUMMYFUNCTION("IFERROR(
  SUM(
    FILTER(
      'Sprint 12'!O:O,
      ('Sprint 12'!E:E = ""Kae: Pimonrath Jaiyen"") *
      (LEFT('Sprint 12'!B:B,9) = ""DEVRDECOM"")
    )
  ),
0)"),0.0)</f>
        <v>0</v>
      </c>
      <c r="J28" s="99">
        <f>IFERROR(__xludf.DUMMYFUNCTION("IFERROR(
  SUM(
    FILTER(
      'Sprint 12'!O:O,
      ('Sprint 12'!E:E = ""Mac: Jarupong Pawichpongkul"") *
      (LEFT('Sprint 12'!B:B,9) = ""DEVRDECOM"")
    )
  ),
0)"),0.0)</f>
        <v>0</v>
      </c>
      <c r="K28" s="99">
        <f>IFERROR(__xludf.DUMMYFUNCTION("IFERROR(
  SUM(
    FILTER(
      'Sprint 12'!O:O,
      ('Sprint 12'!E:E = ""Nim : muthita munmueang"") *
      (LEFT('Sprint 12'!B:B,9) = ""DEVRDECOM"")
    )
  ),
0)"),0.0)</f>
        <v>0</v>
      </c>
      <c r="L28" s="99">
        <f>IFERROR(__xludf.DUMMYFUNCTION("IFERROR(
  SUM(
    FILTER(
      'Sprint 12'!O:O,
      ('Sprint 12'!E:E = ""Moss : Kittapath Sangvikukit"") *
      (LEFT('Sprint 12'!B:B,9) = ""DEVRDECOM"")
    )
  ),
0)"),10.0)</f>
        <v>10</v>
      </c>
      <c r="M28" s="99">
        <f>IFERROR(__xludf.DUMMYFUNCTION("IFERROR(
  SUM(
    FILTER(
      'Sprint 12'!O:O,
      ('Sprint 12'!E:E = ""Arm:Worawat Chotipongchoawalit"") *
      (LEFT('Sprint 12'!B:B,9) = ""DEVRDECOM"")
    )
  ),
0)"),3.0)</f>
        <v>3</v>
      </c>
    </row>
    <row r="29" ht="32.25" customHeight="1">
      <c r="A29" s="101" t="s">
        <v>4667</v>
      </c>
      <c r="B29" s="99">
        <f>IFERROR(__xludf.DUMMYFUNCTION("IFERROR(
  SUM(
    FILTER(
      'Sprint 12'!O:O,
      ('Sprint 12'!E:E = ""Aek:Atiphat Nanthachitvanich"") *
      (LEFT('Sprint 12'!B:B,7) = ""DEVRDCT"")
    )
  ),
0)"),8.0)</f>
        <v>8</v>
      </c>
      <c r="C29" s="99">
        <f>IFERROR(__xludf.DUMMYFUNCTION("IFERROR(
  SUM(
    FILTER(
      'Sprint 12'!O:O,
      ('Sprint 12'!E:E = ""Zan : Isarapong Bulan"") *
      (LEFT('Sprint 12'!B:B,7) = ""DEVRDCT"")
    )
  ),
0)"),0.0)</f>
        <v>0</v>
      </c>
      <c r="D29" s="99">
        <f>IFERROR(__xludf.DUMMYFUNCTION("IFERROR(
  SUM(
    FILTER(
      'Sprint 12'!O:O,
      ('Sprint 12'!E:E = ""Aom: Pornsawan Polnyiem"") *
      (LEFT('Sprint 12'!B:B,7) = ""DEVRDCT"")
    )
  ),
0)"),0.0)</f>
        <v>0</v>
      </c>
      <c r="E29" s="99">
        <f>IFERROR(__xludf.DUMMYFUNCTION("IFERROR(
  SUM(
    FILTER(
      'Sprint 12'!O:O,
      ('Sprint 12'!E:E = ""Jack: Warin Kesorn"") *
      (LEFT('Sprint 12'!B:B,7) = ""DEVRDCT"")
    )
  ),
0)"),0.0)</f>
        <v>0</v>
      </c>
      <c r="F29" s="99">
        <f>IFERROR(__xludf.DUMMYFUNCTION("IFERROR(
  SUM(
    FILTER(
      'Sprint 12'!O:O,
      ('Sprint 12'!E:E = ""A:Phongthorn"") *
      (LEFT('Sprint 12'!B:B,7) = ""DEVRDCT"")
    )
  ),
0)"),0.0)</f>
        <v>0</v>
      </c>
      <c r="G29" s="99">
        <f>IFERROR(__xludf.DUMMYFUNCTION("IFERROR(
  SUM(
    FILTER(
      'Sprint 12'!O:O,
      ('Sprint 12'!E:E = ""Art: Narupontp"") *
      (LEFT('Sprint 12'!B:B,7) = ""DEVRDCT"")
    )
  ),
0)"),13.0)</f>
        <v>13</v>
      </c>
      <c r="H29" s="99">
        <f>IFERROR(__xludf.DUMMYFUNCTION("IFERROR(
  SUM(
    FILTER(
      'Sprint 12'!O:O,
      ('Sprint 12'!E:E = ""Mai:Sateta Abvanawong"") *
      (LEFT('Sprint 12'!B:B,7) = ""DEVRDCT"")
    )
  ),
0)"),0.0)</f>
        <v>0</v>
      </c>
      <c r="I29" s="99">
        <f>IFERROR(__xludf.DUMMYFUNCTION("IFERROR(
  SUM(
    FILTER(
      'Sprint 12'!O:O,
      ('Sprint 12'!E:E = ""Moss : Kittapath Sangvikukit"") *
      (LEFT('Sprint 12'!B:B,7) = ""DEVRDCT"")
    )
  ),
0)"),3.0)</f>
        <v>3</v>
      </c>
      <c r="J29" s="99">
        <f>IFERROR(__xludf.DUMMYFUNCTION("IFERROR(
  SUM(
    FILTER(
      'Sprint 12'!O:O,
      ('Sprint 12'!E:E = ""Mac: Jarupong Pawichpongkul"") *
      (LEFT('Sprint 12'!B:B,7) = ""DEVRDCT"")
    )
  ),
0)"),6.0)</f>
        <v>6</v>
      </c>
      <c r="K29" s="99">
        <f>IFERROR(__xludf.DUMMYFUNCTION("IFERROR(
  SUM(
    FILTER(
      'Sprint 12'!O:O,
      ('Sprint 12'!E:E = ""Moss : Kittapath Sangvikukit"") *
      (LEFT('Sprint 12'!B:B,7) = ""DEVRDCT"")
    )
  ),
0)"),3.0)</f>
        <v>3</v>
      </c>
      <c r="L29" s="99">
        <f>IFERROR(__xludf.DUMMYFUNCTION("IFERROR(
  SUM(
    FILTER(
      'Sprint 12'!O:O,
      ('Sprint 12'!E:E = ""Moss : Kittapath Sangvikukit"") *
      (LEFT('Sprint 12'!B:B,7) = ""DEVRDCT"")
    )
  ),
0)"),3.0)</f>
        <v>3</v>
      </c>
      <c r="M29" s="99">
        <f>IFERROR(__xludf.DUMMYFUNCTION("IFERROR(
  SUM(
    FILTER(
      'Sprint 12'!O:O,
      ('Sprint 12'!E:E = ""Arm:Worawat Chotipongchoawalit"") *
      (LEFT('Sprint 12'!B:B,7) = ""DEVRDCT"")
    )
  ),
0)"),8.0)</f>
        <v>8</v>
      </c>
    </row>
    <row r="30" ht="22.5" customHeight="1">
      <c r="A30" s="101" t="s">
        <v>4668</v>
      </c>
      <c r="B30" s="99">
        <f>IFERROR(__xludf.DUMMYFUNCTION("IFERROR(
  SUM(
    FILTER(
      'Sprint 12'!O:O,
      ('Sprint 12'!E:E = ""Aek:Atiphat Nanthachitvanich"") *
      (LEFT('Sprint 12'!B:B,8) = ""DEVRDADJ"")
    )
  ),
0)"),0.0)</f>
        <v>0</v>
      </c>
      <c r="C30" s="99">
        <f>IFERROR(__xludf.DUMMYFUNCTION("IFERROR(
  SUM(
    FILTER(
      'Sprint 12'!O:O,
      ('Sprint 12'!E:E = ""Zan : Isarapong Bulan"") *
      (LEFT('Sprint 12'!B:B,8) = ""DEVRDADJ"")
    )
  ),
0)"),0.0)</f>
        <v>0</v>
      </c>
      <c r="D30" s="99">
        <f>IFERROR(__xludf.DUMMYFUNCTION("IFERROR(
  SUM(
    FILTER(
      'Sprint 12'!O:O,
      ('Sprint 12'!E:E = ""Aom: Pornsawan Polnyiem"") *
      (LEFT('Sprint 12'!B:B,8) = ""DEVRDADJ"")
    )
  ),
0)"),0.0)</f>
        <v>0</v>
      </c>
      <c r="E30" s="99">
        <f>IFERROR(__xludf.DUMMYFUNCTION("IFERROR(
  SUM(
    FILTER(
      'Sprint 12'!O:O,
      ('Sprint 12'!E:E = ""Jack: Warin Kesorn"") *
      (LEFT('Sprint 12'!B:B,8) = ""DEVRDADJ"")
    )
  ),
0)"),0.0)</f>
        <v>0</v>
      </c>
      <c r="F30" s="99">
        <f>IFERROR(__xludf.DUMMYFUNCTION("IFERROR(
  SUM(
    FILTER(
      'Sprint 12'!O:O,
      ('Sprint 12'!E:E = ""A:Phongthorn"") *
      (LEFT('Sprint 12'!B:B,8) = ""DEVRDADJ"")
    )
  ),
0)"),0.0)</f>
        <v>0</v>
      </c>
      <c r="G30" s="99">
        <f>IFERROR(__xludf.DUMMYFUNCTION("IFERROR(
  SUM(
    FILTER(
      'Sprint 12'!O:O,
      ('Sprint 12'!E:E = ""Art: Narupontp"") *
      (LEFT('Sprint 12'!B:B,8) = ""DEVRDADJ"")
    )
  ),
0)"),1.0)</f>
        <v>1</v>
      </c>
      <c r="H30" s="99">
        <f>IFERROR(__xludf.DUMMYFUNCTION("IFERROR(
  SUM(
    FILTER(
      'Sprint 12'!O:O,
      ('Sprint 12'!E:E = ""Mai:Sateta Abvanawong"") *
      (LEFT('Sprint 12'!B:B,8) = ""DEVRDADJ"")
    )
  ),
0)"),3.0)</f>
        <v>3</v>
      </c>
      <c r="I30" s="99">
        <f>IFERROR(__xludf.DUMMYFUNCTION("IFERROR(
  SUM(
    FILTER(
      'Sprint 12'!O:O,
      ('Sprint 12'!E:E = ""Kae: Pimonrath Jaiyen"") *
      (LEFT('Sprint 12'!B:B,8) = ""DEVRDADJ"")
    )
  ),
0)"),3.0)</f>
        <v>3</v>
      </c>
      <c r="J30" s="99">
        <f>IFERROR(__xludf.DUMMYFUNCTION("IFERROR(
  SUM(
    FILTER(
      'Sprint 12'!O:O,
      ('Sprint 12'!E:E = ""Mac: Jarupong Pawichpongkul"") *
      (LEFT('Sprint 12'!B:B,8) = ""DEVRDADJ"")
    )
  ),
0)"),0.0)</f>
        <v>0</v>
      </c>
      <c r="K30" s="99">
        <f>IFERROR(__xludf.DUMMYFUNCTION("IFERROR(
  SUM(
    FILTER(
      'Sprint 12'!O:O,
      ('Sprint 12'!E:E = ""Nim : muthita munmueang"") *
      (LEFT('Sprint 12'!B:B,8) = ""DEVRDADJ"")
    )
  ),
0)"),4.0)</f>
        <v>4</v>
      </c>
      <c r="L30" s="99">
        <f>IFERROR(__xludf.DUMMYFUNCTION("IFERROR(
  SUM(
    FILTER(
      'Sprint 12'!O:O,
      ('Sprint 12'!E:E = ""Moss : Kittapath Sangvikukit"") *
      (LEFT('Sprint 12'!B:B,8) = ""DEVRDADJ"")
    )
  ),
0)"),0.0)</f>
        <v>0</v>
      </c>
      <c r="M30" s="99">
        <f>IFERROR(__xludf.DUMMYFUNCTION("IFERROR(
  SUM(
    FILTER(
      'Sprint 12'!O:O,
      ('Sprint 12'!E:E = ""Arm:Worawat Chotipongchoawalit"") *
      (LEFT('Sprint 12'!B:B,8) = ""DEVRDADJ"")
    )
  ),
0)"),3.0)</f>
        <v>3</v>
      </c>
    </row>
    <row r="31">
      <c r="A31" s="101" t="s">
        <v>4669</v>
      </c>
      <c r="B31" s="101">
        <f>IFERROR(__xludf.DUMMYFUNCTION("IFERROR(
  SUM(
    FILTER(
      'Sprint 12'!O:O,
      ('Sprint 12'!E:E = ""Aek:Atiphat Nanthachitvanich"") *
      (LEFT('Sprint 12'!B:B,5) = ""RDAPS"")
    )
  ),
0)"),0.0)</f>
        <v>0</v>
      </c>
      <c r="C31" s="99">
        <f>IFERROR(__xludf.DUMMYFUNCTION("IFERROR(
  SUM(
    FILTER(
      'Sprint 12'!O:O,
      ('Sprint 12'!E:E = ""Zan : Isarapong Bulan"") *
      (LEFT('Sprint 12'!B:B,5) = ""RDAPS"")
    )
  ),
0)"),2.0)</f>
        <v>2</v>
      </c>
      <c r="D31" s="99">
        <f>IFERROR(__xludf.DUMMYFUNCTION("IFERROR(
  SUM(
    FILTER(
      'Sprint 12'!O:O,
      ('Sprint 12'!E:E = ""Aom: Pornsawan Polnyiem"") *
      (LEFT('Sprint 12'!B:B,5) = ""RDAPS"")
    )
  ),
0)"),17.0)</f>
        <v>17</v>
      </c>
      <c r="E31" s="99">
        <f>IFERROR(__xludf.DUMMYFUNCTION("IFERROR(
  SUM(
    FILTER(
      'Sprint 12'!O:O,
      ('Sprint 12'!E:E = ""Jack: Warin Kesorn"") *
      (LEFT('Sprint 12'!B:B,5) = ""RDAPS"")
    )
  ),
0)"),0.0)</f>
        <v>0</v>
      </c>
      <c r="F31" s="99">
        <f>IFERROR(__xludf.DUMMYFUNCTION("IFERROR(
  SUM(
    FILTER(
      'Sprint 12'!O:O,
      ('Sprint 12'!E:E = ""A:Phongthorn"") *
      (LEFT('Sprint 12'!B:B,5) = ""RDAPS"")
    )
  ),
0)"),5.0)</f>
        <v>5</v>
      </c>
      <c r="G31" s="99">
        <f>IFERROR(__xludf.DUMMYFUNCTION("IFERROR(
  SUM(
    FILTER(
      'Sprint 12'!O:O,
      ('Sprint 12'!E:E = ""Art: Narupontp"") *
      (LEFT('Sprint 12'!B:B,5) = ""RDAPS"")
    )
  ),
0)"),3.0)</f>
        <v>3</v>
      </c>
      <c r="H31" s="99">
        <f>IFERROR(__xludf.DUMMYFUNCTION("IFERROR(
  SUM(
    FILTER(
      'Sprint 12'!O:O,
      ('Sprint 12'!E:E = ""Mai:Sateta Abvanawong"") *
      (LEFT('Sprint 12'!B:B,5) = ""RDAPS"")
    )
  ),
0)"),3.0)</f>
        <v>3</v>
      </c>
      <c r="I31" s="99">
        <f>IFERROR(__xludf.DUMMYFUNCTION("IFERROR(
  SUM(
    FILTER(
      'Sprint 12'!O:O,
      ('Sprint 12'!E:E = ""Kae: Pimonrath Jaiyen"") *
      (LEFT('Sprint 12'!B:B,5) = ""RDAPS"")
    )
  ),
0)"),11.0)</f>
        <v>11</v>
      </c>
      <c r="J31" s="99">
        <f>IFERROR(__xludf.DUMMYFUNCTION("IFERROR(
  SUM(
    FILTER(
      'Sprint 12'!O:O,
      ('Sprint 12'!E:E = ""Mac: Jarupong Pawichpongkul"") *
      (LEFT('Sprint 12'!B:B,5) = ""RDAPS"")
    )
  ),
0)"),12.0)</f>
        <v>12</v>
      </c>
      <c r="K31" s="99">
        <f>IFERROR(__xludf.DUMMYFUNCTION("IFERROR(
  SUM(
    FILTER(
      'Sprint 12'!O:O,
      ('Sprint 12'!E:E = ""Moss : Kittapath Sangvikukitฃ"") *
      (LEFT('Sprint 12'!B:B,5) = ""RDAPS"")
    )
  ),
0)"),0.0)</f>
        <v>0</v>
      </c>
      <c r="L31" s="99">
        <f>IFERROR(__xludf.DUMMYFUNCTION("IFERROR(
  SUM(
    FILTER(
      'Sprint 12'!O:O,
      ('Sprint 12'!E:E = ""Moss : Kittapath Sangvikukit"") *
      (LEFT('Sprint 12'!B:B,5) = ""RDAPS"")
    )
  ),
0)"),0.0)</f>
        <v>0</v>
      </c>
      <c r="M31" s="99">
        <f>IFERROR(__xludf.DUMMYFUNCTION("IFERROR(
  SUM(
    FILTER(
      'Sprint 12'!O:O,
      ('Sprint 12'!E:E = ""Arm:Worawat Chotipongchoawalit"") *
      (LEFT('Sprint 12'!B:B,5) = ""RDAPS"")
    )
  ),
0)"),8.0)</f>
        <v>8</v>
      </c>
    </row>
    <row r="32" ht="21.0" customHeight="1">
      <c r="A32" s="101" t="s">
        <v>4670</v>
      </c>
      <c r="B32" s="101">
        <f>IFERROR(__xludf.DUMMYFUNCTION("IFERROR(
  SUM(
    FILTER(
      'Sprint 12'!O:O,
      ('Sprint 12'!E:E = ""Aek:Atiphat Nanthachitvanich"") *
      (LEFT('Sprint 12'!B:B,8) = ""DEVRDSUP"")
    )
  ),
0)"),2.0)</f>
        <v>2</v>
      </c>
      <c r="C32" s="99">
        <f>IFERROR(__xludf.DUMMYFUNCTION("IFERROR(
  SUM(
    FILTER(
      'Sprint 12'!O:O,
      ('Sprint 12'!E:E = ""Zan : Isarapong Bulan"") *
      (LEFT('Sprint 12'!B:B,8) = ""DEVRDSUP"")
    )
  ),
0)"),3.0)</f>
        <v>3</v>
      </c>
      <c r="D32" s="99">
        <f>IFERROR(__xludf.DUMMYFUNCTION("IFERROR(
  SUM(
    FILTER(
      'Sprint 12'!O:O,
      ('Sprint 12'!E:E = ""Aom: Pornsawan Polnyiem"") *
      (LEFT('Sprint 12'!B:B,8) = ""DEVRDSUP"")
    )
  ),
0)"),28.0)</f>
        <v>28</v>
      </c>
      <c r="E32" s="99">
        <f>IFERROR(__xludf.DUMMYFUNCTION("IFERROR(
  SUM(
    FILTER(
      'Sprint 12'!O:O,
      ('Sprint 12'!E:E = ""Jack: Warin Kesorn"") *
      (LEFT('Sprint 12'!B:B,8) = ""DEVRDSUP"")
    )
  ),
0)"),0.0)</f>
        <v>0</v>
      </c>
      <c r="F32" s="101">
        <f>IFERROR(__xludf.DUMMYFUNCTION("IFERROR(
  SUM(
    FILTER(
      'Sprint 12'!P:P,
      ('Sprint 12'!F:F = ""A:Phongthorn"") *
      (LEFT('Sprint 12'!C:C,8) = ""DEVRDSUP"")
    )
  ),
0)"),0.0)</f>
        <v>0</v>
      </c>
      <c r="G32" s="99">
        <f>IFERROR(__xludf.DUMMYFUNCTION("IFERROR(
  SUM(
    FILTER(
      'Sprint 12'!O:O,
      ('Sprint 12'!E:E = ""Art: Narupontp"") *
      (LEFT('Sprint 12'!B:B,8) = ""DEVRDSUP"")
    )
  ),
0)"),0.0)</f>
        <v>0</v>
      </c>
      <c r="H32" s="99">
        <f>IFERROR(__xludf.DUMMYFUNCTION("IFERROR(
  SUM(
    FILTER(
      'Sprint 12'!O:O,
      ('Sprint 12'!E:E = ""Mai:Sateta Abvanawong"") *
      (LEFT('Sprint 12'!B:B,8) = ""DEVRDSUP"")
    )
  ),
0)"),8.0)</f>
        <v>8</v>
      </c>
      <c r="I32" s="99">
        <f>IFERROR(__xludf.DUMMYFUNCTION("IFERROR(
  SUM(
    FILTER(
      'Sprint 12'!O:O,
      ('Sprint 12'!E:E = ""Kae: Pimonrath Jaiyen"") *
      (LEFT('Sprint 12'!B:B,8) = ""DEVRDSUP"")
    )
  ),
0)"),0.0)</f>
        <v>0</v>
      </c>
      <c r="J32" s="99">
        <f>IFERROR(__xludf.DUMMYFUNCTION("IFERROR(
  SUM(
    FILTER(
      'Sprint 12'!O:O,
      ('Sprint 12'!E:E = ""Mac: Jarupong Pawichpongkul"") *
      (LEFT('Sprint 12'!B:B,8) = ""DEVRDSUP"")
    )
  ),
0)"),5.0)</f>
        <v>5</v>
      </c>
      <c r="K32" s="99">
        <f>IFERROR(__xludf.DUMMYFUNCTION("IFERROR(
  SUM(
    FILTER(
      'Sprint 12'!O:O,
      ('Sprint 12'!E:E = ""Nim : muthita munmueang"") *
      (LEFT('Sprint 12'!B:B,8) = ""DEVRDSUP"")
    )
  ),
0)"),0.0)</f>
        <v>0</v>
      </c>
      <c r="L32" s="99">
        <f>IFERROR(__xludf.DUMMYFUNCTION("IFERROR(
  SUM(
    FILTER(
      'Sprint 12'!O:O,
      ('Sprint 12'!E:E = ""Moss : Kittapath Sangvikukit"") *
      (LEFT('Sprint 12'!B:B,8) = ""DEVRDSUP"")
    )
  ),
0)"),0.0)</f>
        <v>0</v>
      </c>
      <c r="M32" s="99">
        <f>IFERROR(__xludf.DUMMYFUNCTION("IFERROR(
  SUM(
    FILTER(
      'Sprint 12'!O:O,
      ('Sprint 12'!E:E = ""Arm:Worawat Chotipongchoawalit"") *
      (LEFT('Sprint 12'!B:B,8) = ""DEVRDSUP"")
    )
  ),
0)"),0.0)</f>
        <v>0</v>
      </c>
    </row>
    <row r="33">
      <c r="C33" s="125"/>
    </row>
    <row r="34">
      <c r="C34" s="125"/>
    </row>
    <row r="35" ht="24.75" customHeight="1">
      <c r="A35" s="232"/>
      <c r="B35" s="233" t="s">
        <v>2210</v>
      </c>
      <c r="C35" s="234"/>
      <c r="D35" s="234"/>
      <c r="E35" s="235"/>
      <c r="F35" s="236" t="s">
        <v>2211</v>
      </c>
      <c r="G35" s="234"/>
      <c r="H35" s="235"/>
      <c r="I35" s="242" t="s">
        <v>3615</v>
      </c>
      <c r="J35" s="234"/>
      <c r="K35" s="234"/>
      <c r="L35" s="234"/>
      <c r="M35" s="235"/>
    </row>
    <row r="36" ht="20.25" customHeight="1">
      <c r="A36" s="239" t="s">
        <v>3618</v>
      </c>
      <c r="B36" s="243" t="s">
        <v>30</v>
      </c>
      <c r="C36" s="243" t="s">
        <v>24</v>
      </c>
      <c r="D36" s="243" t="s">
        <v>72</v>
      </c>
      <c r="E36" s="243" t="s">
        <v>28</v>
      </c>
      <c r="F36" s="243" t="s">
        <v>32</v>
      </c>
      <c r="G36" s="243" t="s">
        <v>3616</v>
      </c>
      <c r="H36" s="243" t="s">
        <v>73</v>
      </c>
      <c r="I36" s="243" t="s">
        <v>3617</v>
      </c>
      <c r="J36" s="243" t="s">
        <v>74</v>
      </c>
      <c r="K36" s="243" t="s">
        <v>76</v>
      </c>
      <c r="L36" s="243" t="s">
        <v>75</v>
      </c>
      <c r="M36" s="243" t="s">
        <v>77</v>
      </c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101" t="s">
        <v>4665</v>
      </c>
      <c r="B37" s="99">
        <f>IFERROR(__xludf.DUMMYFUNCTION("ROUND(
  IFERROR(
    SUM(
      FILTER(
        'Sprint 12'!U:U,
        ('Sprint 12'!E:E = ""Aek:Atiphat Nanthachitvanich"") *
        (LEFT('Sprint 12'!B:B,7) = ""RDTHANA"")
      )
    ) / 3600,
    0
  ),
  2
)"),0.0)</f>
        <v>0</v>
      </c>
      <c r="C37" s="99">
        <f>IFERROR(__xludf.DUMMYFUNCTION("ROUND(
  IFERROR(
    SUM(
      FILTER(
        'Sprint 12'!U:U,
        ('Sprint 12'!E:E = ""Zan : Isarapong Bulan"") *
        (LEFT('Sprint 12'!B:B,7) = ""RDTHANA"")
      )
    ) / 3600,
    0
  ),
  2
)"),0.0)</f>
        <v>0</v>
      </c>
      <c r="D37" s="99">
        <f>IFERROR(__xludf.DUMMYFUNCTION("ROUND(
  IFERROR(
    SUM(
      FILTER(
        'Sprint 12'!U:U,
        ('Sprint 12'!E:E = ""Aom: Pornsawan Polnyiem"") *
        (LEFT('Sprint 12'!B:B,7) = ""RDTHANA"")
      )
    ) / 3600,
    0
  ),
  2
)"),20.0)</f>
        <v>20</v>
      </c>
      <c r="E37" s="99">
        <f>IFERROR(__xludf.DUMMYFUNCTION("ROUND(
  IFERROR(
    SUM(
      FILTER(
        'Sprint 12'!U:U,
        ('Sprint 12'!E:E = ""Jack: Warin Kesorn"") *
        (LEFT('Sprint 12'!B:B,7) = ""RDTHANA"")
      )
    ) / 3600,
    0
  ),
  2
)"),0.0)</f>
        <v>0</v>
      </c>
      <c r="F37" s="99">
        <f>IFERROR(__xludf.DUMMYFUNCTION("ROUND(
  IFERROR(
    SUM(
      FILTER(
        'Sprint 12'!U:U,
        ('Sprint 12'!E:E = ""A:Phongthorn"") *
        (LEFT('Sprint 12'!B:B,7) = ""RDTHANA"")
      )
    ) / 3600,
    0
  ),
  2
)"),8.0)</f>
        <v>8</v>
      </c>
      <c r="G37" s="99">
        <f>IFERROR(__xludf.DUMMYFUNCTION("ROUND(
  IFERROR(
    SUM(
      FILTER(
        'Sprint 12'!U:U,
        ('Sprint 12'!E:E = ""Art: Narupontp"") *
        (LEFT('Sprint 12'!B:B,7) = ""RDTHANA"")
      )
    ) / 3600,
    0
  ),
  2
)"),0.0)</f>
        <v>0</v>
      </c>
      <c r="H37" s="99">
        <f>IFERROR(__xludf.DUMMYFUNCTION("ROUND(
  IFERROR(
    SUM(
      FILTER(
        'Sprint 12'!U:U,
        ('Sprint 12'!E:E = ""Mai:Sateta Abvanawong"") *
        (LEFT('Sprint 12'!B:B,7) = ""RDTHANA"")
      )
    ) / 3600,
    0
  ),
  2
)"),32.0)</f>
        <v>32</v>
      </c>
      <c r="I37" s="99">
        <f>IFERROR(__xludf.DUMMYFUNCTION("ROUND(
  IFERROR(
    SUM(
      FILTER(
        'Sprint 12'!U:U,
        ('Sprint 12'!E:E = ""Kae: Pimonrath Jaiyen"") *
        (LEFT('Sprint 12'!B:B,7) = ""RDTHANA"")
      )
    ) / 3600,
    0
  ),
  2
)"),0.0)</f>
        <v>0</v>
      </c>
      <c r="J37" s="99">
        <f>IFERROR(__xludf.DUMMYFUNCTION("ROUND(
  IFERROR(
    SUM(
      FILTER(
        'Sprint 12'!U:U,
        ('Sprint 12'!E:E = ""Mac: Jarupong Pawichpongkul"") *
        (LEFT('Sprint 12'!B:B,7) = ""RDTHANA"")
      )
    ) / 3600,
    0
  ),
  2
)"),0.0)</f>
        <v>0</v>
      </c>
      <c r="K37" s="99">
        <f>IFERROR(__xludf.DUMMYFUNCTION("ROUND(
  IFERROR(
    SUM(
      FILTER(
        'Sprint 12'!U:U,
        ('Sprint 12'!E:E = ""Nim : muthita munmueang"") *
        (LEFT('Sprint 12'!B:B,7) = ""RDTHANA"")
      )
    ) / 3600,
    0
  ),
  2
)"),0.0)</f>
        <v>0</v>
      </c>
      <c r="L37" s="99">
        <f>IFERROR(__xludf.DUMMYFUNCTION("ROUND(
  IFERROR(
    SUM(
      FILTER(
        'Sprint 12'!U:U,
        ('Sprint 12'!E:E = ""Moss : Kittapath Sangvikukit"") *
        (LEFT('Sprint 12'!B:B,7) = ""RDTHANA"")
      )
    ) / 3600,
    0
  ),
  2
)"),0.0)</f>
        <v>0</v>
      </c>
      <c r="M37" s="99">
        <f>IFERROR(__xludf.DUMMYFUNCTION("ROUND(
  IFERROR(
    SUM(
      FILTER(
        'Sprint 12'!U:U,
        ('Sprint 12'!E:E = ""Arm:Worawat Chotipongchoawalit"") *
        (LEFT('Sprint 12'!B:B,7) = ""RDTHANA"")
      )
    ) / 3600,
    0
  ),
  2
)"),4.0)</f>
        <v>4</v>
      </c>
    </row>
    <row r="38">
      <c r="A38" s="101" t="s">
        <v>4666</v>
      </c>
      <c r="B38" s="99">
        <f>IFERROR(__xludf.DUMMYFUNCTION("ROUND(
  IFERROR(
    SUM(
      FILTER(
        'Sprint 12'!U:U,
        ('Sprint 12'!E:E = ""Aek:Atiphat Nanthachitvanich"") *
        (LEFT('Sprint 12'!B:B,9) = ""DEVRDECOM"")
      )
    ) / 3600,
    0
  ),
  2
)"),37.0)</f>
        <v>37</v>
      </c>
      <c r="C38" s="99">
        <f>IFERROR(__xludf.DUMMYFUNCTION("ROUND(
  IFERROR(
    SUM(
      FILTER(
        'Sprint 12'!U:U,
        ('Sprint 12'!E:E = ""Zan : Isarapong Bulan"") *
        (LEFT('Sprint 12'!B:B,9) = ""DEVRDECOM"")
      )
    ) / 3600,
    0
  ),
  2
)"),0.0)</f>
        <v>0</v>
      </c>
      <c r="D38" s="99">
        <f>IFERROR(__xludf.DUMMYFUNCTION("ROUND(
  IFERROR(
    SUM(
      FILTER(
        'Sprint 12'!U:U,
        ('Sprint 12'!E:E = ""Aom: Pornsawan Polnyiem"") *
        (LEFT('Sprint 12'!B:B,9) = ""DEVRDECOM"")
      )
    ) / 3600,
    0
  ),
  2
)"),0.0)</f>
        <v>0</v>
      </c>
      <c r="E38" s="99">
        <f>IFERROR(__xludf.DUMMYFUNCTION("ROUND(
  IFERROR(
    SUM(
      FILTER(
        'Sprint 12'!U:U,
        ('Sprint 12'!E:E = ""Jack: Warin Kesorn"") *
        (LEFT('Sprint 12'!B:B,9) = ""DEVRDECOM"")
      )
    ) / 3600,
    0
  ),
  2
)"),0.0)</f>
        <v>0</v>
      </c>
      <c r="F38" s="99">
        <f>IFERROR(__xludf.DUMMYFUNCTION("ROUND(
  IFERROR(
    SUM(
      FILTER(
        'Sprint 12'!U:U,
        ('Sprint 12'!E:E = ""A:Phongthorn"") *
        (LEFT('Sprint 12'!B:B,9) = ""DEVRDECOM"")
      )
    ) / 3600,
    0
  ),
  2
)"),0.0)</f>
        <v>0</v>
      </c>
      <c r="G38" s="99">
        <f>IFERROR(__xludf.DUMMYFUNCTION("ROUND(
  IFERROR(
    SUM(
      FILTER(
        'Sprint 12'!U:U,
        ('Sprint 12'!E:E = ""Art: Narupontp"") *
        (LEFT('Sprint 12'!B:B,9) = ""DEVRDECOM"")
      )
    ) / 3600,
    0
  ),
  2
)"),0.0)</f>
        <v>0</v>
      </c>
      <c r="H38" s="99">
        <f>IFERROR(__xludf.DUMMYFUNCTION("ROUND(
  IFERROR(
    SUM(
      FILTER(
        'Sprint 12'!U:U,
        ('Sprint 12'!E:E = ""Mai:Sateta Abvanawong"") *
        (LEFT('Sprint 12'!B:B,9) = ""DEVRDECOM"")
      )
    ) / 3600,
    0
  ),
  2
)"),4.0)</f>
        <v>4</v>
      </c>
      <c r="I38" s="99">
        <f>IFERROR(__xludf.DUMMYFUNCTION("ROUND(
  IFERROR(
    SUM(
      FILTER(
        'Sprint 12'!U:U,
        ('Sprint 12'!E:E = ""Kae: Pimonrath Jaiyen"") *
        (LEFT('Sprint 12'!B:B,9) = ""DEVRDECOM"")
      )
    ) / 3600,
    0
  ),
  2
)"),0.0)</f>
        <v>0</v>
      </c>
      <c r="J38" s="99">
        <f>IFERROR(__xludf.DUMMYFUNCTION("ROUND(
  IFERROR(
    SUM(
      FILTER(
        'Sprint 12'!U:U,
        ('Sprint 12'!E:E = ""Mac: Jarupong Pawichpongkul"") *
        (LEFT('Sprint 12'!B:B,9) = ""DEVRDECOM"")
      )
    ) / 3600,
    0
  ),
  2
)"),0.0)</f>
        <v>0</v>
      </c>
      <c r="K38" s="99">
        <f>IFERROR(__xludf.DUMMYFUNCTION("ROUND(
  IFERROR(
    SUM(
      FILTER(
        'Sprint 12'!U:U,
        ('Sprint 12'!E:E = ""Nim : muthita munmueang"") *
        (LEFT('Sprint 12'!B:B,9) = ""DEVRDECOM"")
      )
    ) / 3600,
    0
  ),
  2
)"),0.0)</f>
        <v>0</v>
      </c>
      <c r="L38" s="99">
        <f>IFERROR(__xludf.DUMMYFUNCTION("ROUND(
  IFERROR(
    SUM(
      FILTER(
        'Sprint 12'!U:U,
        ('Sprint 12'!E:E = ""Moss : Kittapath Sangvikukit"") *
        (LEFT('Sprint 12'!B:B,9) = ""DEVRDECOM"")
      )
    ) / 3600,
    0
  ),
  2
)"),20.0)</f>
        <v>20</v>
      </c>
      <c r="M38" s="99">
        <f>IFERROR(__xludf.DUMMYFUNCTION("ROUND(
  IFERROR(
    SUM(
      FILTER(
        'Sprint 12'!U:U,
        ('Sprint 12'!E:E = ""Arm:Worawat Chotipongchoawalit"") *
        (LEFT('Sprint 12'!B:B,9) = ""DEVRDECOM"")
      )
    ) / 3600,
    0
  ),
  2
)"),8.0)</f>
        <v>8</v>
      </c>
    </row>
    <row r="39" ht="32.25" customHeight="1">
      <c r="A39" s="101" t="s">
        <v>4667</v>
      </c>
      <c r="B39" s="99">
        <f>IFERROR(__xludf.DUMMYFUNCTION("ROUND(
  IFERROR(
    SUM(
      FILTER(
        'Sprint 12'!U:U,
        ('Sprint 12'!E:E = ""Aek:Atiphat Nanthachitvanich"") *
        (LEFT('Sprint 12'!B:B,7) = ""DEVRDCT"")
      )
    ) / 3600,
    0
  ),
  2
)"),0.0)</f>
        <v>0</v>
      </c>
      <c r="C39" s="99">
        <f>IFERROR(__xludf.DUMMYFUNCTION("ROUND(
  IFERROR(
    SUM(
      FILTER(
        'Sprint 12'!U:U,
        ('Sprint 12'!E:E = ""Zan : Isarapong Bulan"") *
        (LEFT('Sprint 12'!B:B,7) = ""DEVRDCT"")
      )
    ) / 3600,
    0
  ),
  2
)"),0.0)</f>
        <v>0</v>
      </c>
      <c r="D39" s="99">
        <f>IFERROR(__xludf.DUMMYFUNCTION("ROUND(
  IFERROR(
    SUM(
      FILTER(
        'Sprint 12'!U:U,
        ('Sprint 12'!E:E = ""Aom: Pornsawan Polnyiem"") *
        (LEFT('Sprint 12'!B:B,7) = ""DEVRDCT"")
      )
    ) / 3600,
    0
  ),
  2
)"),0.0)</f>
        <v>0</v>
      </c>
      <c r="E39" s="99">
        <f>IFERROR(__xludf.DUMMYFUNCTION("ROUND(
  IFERROR(
    SUM(
      FILTER(
        'Sprint 12'!U:U,
        ('Sprint 12'!E:E = ""Jack: Warin Kesorn"") *
        (LEFT('Sprint 12'!B:B,7) = ""DEVRDCT"")
      )
    ) / 3600,
    0
  ),
  2
)"),0.0)</f>
        <v>0</v>
      </c>
      <c r="F39" s="99">
        <f>IFERROR(__xludf.DUMMYFUNCTION("ROUND(
  IFERROR(
    SUM(
      FILTER(
        'Sprint 12'!U:U,
        ('Sprint 12'!E:E = ""A:Phongthorn"") *
        (LEFT('Sprint 12'!B:B,7) = ""DEVRDCT"")
      )
    ) / 3600,
    0
  ),
  2
)"),0.0)</f>
        <v>0</v>
      </c>
      <c r="G39" s="99">
        <f>IFERROR(__xludf.DUMMYFUNCTION("ROUND(
  IFERROR(
    SUM(
      FILTER(
        'Sprint 12'!U:U,
        ('Sprint 12'!E:E = ""Art: Narupontp"") *
        (LEFT('Sprint 12'!B:B,7) = ""DEVRDCT"")
      )
    ) / 3600,
    0
  ),
  2
)"),0.0)</f>
        <v>0</v>
      </c>
      <c r="H39" s="99">
        <f>IFERROR(__xludf.DUMMYFUNCTION("ROUND(
  IFERROR(
    SUM(
      FILTER(
        'Sprint 12'!U:U,
        ('Sprint 12'!E:E = ""Mai:Sateta Abvanawong"") *
        (LEFT('Sprint 12'!B:B,7) = ""DEVRDCT"")
      )
    ) / 3600,
    0
  ),
  2
)"),0.0)</f>
        <v>0</v>
      </c>
      <c r="I39" s="99">
        <f>IFERROR(__xludf.DUMMYFUNCTION("ROUND(
  IFERROR(
    SUM(
      FILTER(
        'Sprint 12'!U:U,
        ('Sprint 12'!E:E = ""Kae: Pimonrath Jaiyen"") *
        (LEFT('Sprint 12'!B:B,7) = ""DEVRDCT"")
      )
    ) / 3600,
    0
  ),
  2
)"),0.0)</f>
        <v>0</v>
      </c>
      <c r="J39" s="99">
        <f>IFERROR(__xludf.DUMMYFUNCTION("ROUND(
  IFERROR(
    SUM(
      FILTER(
        'Sprint 12'!U:U,
        ('Sprint 12'!E:E = ""Mac: Jarupong Pawichpongkul"") *
        (LEFT('Sprint 12'!B:B,7) = ""DEVRDCT"")
      )
    ) / 3600,
    0
  ),
  2
)"),4.0)</f>
        <v>4</v>
      </c>
      <c r="K39" s="99">
        <f>IFERROR(__xludf.DUMMYFUNCTION("ROUND(
  IFERROR(
    SUM(
      FILTER(
        'Sprint 12'!U:U,
        ('Sprint 12'!E:E = ""Nim : muthita munmueang"") *
        (LEFT('Sprint 12'!B:B,7) = ""DEVRDCT"")
      )
    ) / 3600,
    0
  ),
  2
)"),40.0)</f>
        <v>40</v>
      </c>
      <c r="L39" s="99">
        <f>IFERROR(__xludf.DUMMYFUNCTION("ROUND(
  IFERROR(
    SUM(
      FILTER(
        'Sprint 12'!U:U,
        ('Sprint 12'!E:E = ""Moss : Kittapath Sangvikukit"") *
        (LEFT('Sprint 12'!B:B,7) = ""DEVRDCT"")
      )
    ) / 3600,
    0
  ),
  2
)"),16.0)</f>
        <v>16</v>
      </c>
      <c r="M39" s="99">
        <f>IFERROR(__xludf.DUMMYFUNCTION("ROUND(
  IFERROR(
    SUM(
      FILTER(
        'Sprint 12'!U:U,
        ('Sprint 12'!E:E = ""Arm:Worawat Chotipongchoawalit"") *
        (LEFT('Sprint 12'!B:B,7) = ""DEVRDCT"")
      )
    ) / 3600,
    0
  ),
  2
)"),0.0)</f>
        <v>0</v>
      </c>
    </row>
    <row r="40" ht="22.5" customHeight="1">
      <c r="A40" s="101" t="s">
        <v>4668</v>
      </c>
      <c r="B40" s="99">
        <f>IFERROR(__xludf.DUMMYFUNCTION("ROUND(
  IFERROR(
    SUM(
      FILTER(
        'Sprint 12'!U:U,
        ('Sprint 12'!E:E = ""Aek:Atiphat Nanthachitvanich"") *
        (LEFT('Sprint 12'!B:B,8) = ""DEVRDADJ"")
      )
    ) / 3600,
    0
  ),
  2
)"),0.0)</f>
        <v>0</v>
      </c>
      <c r="C40" s="99">
        <f>IFERROR(__xludf.DUMMYFUNCTION("ROUND(
  IFERROR(
    SUM(
      FILTER(
        'Sprint 12'!U:U,
        ('Sprint 12'!E:E = ""Zan : Isarapong Bulan"") *
        (LEFT('Sprint 12'!B:B,8) = ""DEVRDADJ"")
      )
    ) / 3600,
    0
  ),
  2
)"),0.0)</f>
        <v>0</v>
      </c>
      <c r="D40" s="99">
        <f>IFERROR(__xludf.DUMMYFUNCTION("ROUND(
  IFERROR(
    SUM(
      FILTER(
        'Sprint 12'!U:U,
        ('Sprint 12'!E:E = ""Aom: Pornsawan Polnyiem"") *
        (LEFT('Sprint 12'!B:B,8) = ""DEVRDADJ"")
      )
    ) / 3600,
    0
  ),
  2
)"),0.0)</f>
        <v>0</v>
      </c>
      <c r="E40" s="99">
        <f>IFERROR(__xludf.DUMMYFUNCTION("ROUND(
  IFERROR(
    SUM(
      FILTER(
        'Sprint 12'!U:U,
        ('Sprint 12'!E:E = ""Jack: Warin Kesorn"") *
        (LEFT('Sprint 12'!B:B,8) = ""DEVRDADJ"")
      )
    ) / 3600,
    0
  ),
  2
)"),0.0)</f>
        <v>0</v>
      </c>
      <c r="F40" s="99">
        <f>IFERROR(__xludf.DUMMYFUNCTION("ROUND(
  IFERROR(
    SUM(
      FILTER(
        'Sprint 12'!U:U,
        ('Sprint 12'!E:E = ""A:Phongthorn"") *
        (LEFT('Sprint 12'!B:B,8) = ""DEVRDADJ"")
      )
    ) / 3600,
    0
  ),
  2
)"),0.0)</f>
        <v>0</v>
      </c>
      <c r="G40" s="99">
        <f>IFERROR(__xludf.DUMMYFUNCTION("ROUND(
  IFERROR(
    SUM(
      FILTER(
        'Sprint 12'!U:U,
        ('Sprint 12'!E:E = ""Aek:Atiphat Nanthachitvanich"") *
        (LEFT('Sprint 12'!B:B,8) = ""DEVRDADJ"")
      )
    ) / 3600,
    0
  ),
  2
)"),0.0)</f>
        <v>0</v>
      </c>
      <c r="H40" s="99">
        <f>IFERROR(__xludf.DUMMYFUNCTION("ROUND(
  IFERROR(
    SUM(
      FILTER(
        'Sprint 12'!U:U,
        ('Sprint 12'!E:E = ""Mai:Sateta Abvanawong"") *
        (LEFT('Sprint 12'!B:B,8) = ""DEVRDADJ"")
      )
    ) / 3600,
    0
  ),
  2
)"),0.0)</f>
        <v>0</v>
      </c>
      <c r="I40" s="99">
        <f>IFERROR(__xludf.DUMMYFUNCTION("ROUND(
  IFERROR(
    SUM(
      FILTER(
        'Sprint 12'!U:U,
        ('Sprint 12'!E:E = ""Kae: Pimonrath Jaiyen"") *
        (LEFT('Sprint 12'!B:B,8) = ""DEVRDADJ"")
      )
    ) / 3600,
    0
  ),
  2
)"),0.0)</f>
        <v>0</v>
      </c>
      <c r="J40" s="99">
        <f>IFERROR(__xludf.DUMMYFUNCTION("ROUND(
  IFERROR(
    SUM(
      FILTER(
        'Sprint 12'!U:U,
        ('Sprint 12'!E:E = ""Mac: Jarupong Pawichpongkul"") *
        (LEFT('Sprint 12'!B:B,8) = ""DEVRDADJ"")
      )
    ) / 3600,
    0
  ),
  2
)"),0.0)</f>
        <v>0</v>
      </c>
      <c r="K40" s="99">
        <f>IFERROR(__xludf.DUMMYFUNCTION("ROUND(
  IFERROR(
    SUM(
      FILTER(
        'Sprint 12'!U:U,
        ('Sprint 12'!E:E = ""Aek:Atiphat Nanthachitvanich"") *
        (LEFT('Sprint 12'!B:B,8) = ""DEVRDADJ"")
      )
    ) / 3600,
    0
  ),
  2
)"),0.0)</f>
        <v>0</v>
      </c>
      <c r="L40" s="99">
        <f>IFERROR(__xludf.DUMMYFUNCTION("ROUND(
  IFERROR(
    SUM(
      FILTER(
        'Sprint 12'!U:U,
        ('Sprint 12'!E:E = ""Moss : Kittapath Sangvikukit"") *
        (LEFT('Sprint 12'!B:B,8) = ""DEVRDADJ"")
      )
    ) / 3600,
    0
  ),
  2
)"),0.0)</f>
        <v>0</v>
      </c>
      <c r="M40" s="99">
        <f>IFERROR(__xludf.DUMMYFUNCTION("ROUND(
  IFERROR(
    SUM(
      FILTER(
        'Sprint 12'!U:U,
        ('Sprint 12'!E:E = ""Arm:Worawat Chotipongchoawalit"") *
        (LEFT('Sprint 12'!B:B,8) = ""DEVRDADJ"")
      )
    ) / 3600,
    0
  ),
  2
)"),0.0)</f>
        <v>0</v>
      </c>
    </row>
    <row r="41">
      <c r="A41" s="101" t="s">
        <v>4669</v>
      </c>
      <c r="B41" s="101">
        <f>IFERROR(__xludf.DUMMYFUNCTION("ROUND(
  IFERROR(
    SUM(
      FILTER(
        'Sprint 12'!U:U,
        ('Sprint 12'!E:E = ""Aek:Atiphat Nanthachitvanich"") *
        (LEFT('Sprint 12'!B:B,5) = ""RDAPS"")
      )
    ) / 3600,
    0
  ),
  2
)"),0.0)</f>
        <v>0</v>
      </c>
      <c r="C41" s="99">
        <f>IFERROR(__xludf.DUMMYFUNCTION("ROUND(
  IFERROR(
    SUM(
      FILTER(
        'Sprint 12'!U:U,
        ('Sprint 12'!E:E = ""Zan : Isarapong Bulan"") *
        (LEFT('Sprint 12'!B:B,5) = ""RDAPS"")
      )
    ) / 3600,
    0
  ),
  2
)"),4.0)</f>
        <v>4</v>
      </c>
      <c r="D41" s="99">
        <f>IFERROR(__xludf.DUMMYFUNCTION("ROUND(
  IFERROR(
    SUM(
      FILTER(
        'Sprint 12'!U:U,
        ('Sprint 12'!E:E = ""Aom: Pornsawan Polnyiem"") *
        (LEFT('Sprint 12'!B:B,5) = ""RDAPS"")
      )
    ) / 3600,
    0
  ),
  2
)"),0.5)</f>
        <v>0.5</v>
      </c>
      <c r="E41" s="99">
        <f>IFERROR(__xludf.DUMMYFUNCTION("ROUND(
  IFERROR(
    SUM(
      FILTER(
        'Sprint 12'!U:U,
        ('Sprint 12'!E:E = ""Jack: Warin Kesorn"") *
        (LEFT('Sprint 12'!B:B,5) = ""RDAPS"")
      )
    ) / 3600,
    0
  ),
  2
)"),0.0)</f>
        <v>0</v>
      </c>
      <c r="F41" s="99">
        <f>IFERROR(__xludf.DUMMYFUNCTION("ROUND(
  IFERROR(
    SUM(
      FILTER(
        'Sprint 12'!U:U,
        ('Sprint 12'!E:E = ""A:Phongthorn"") *
        (LEFT('Sprint 12'!B:B,5) = ""RDAPS"")
      )
    ) / 3600,
    0
  ),
  2
)"),8.0)</f>
        <v>8</v>
      </c>
      <c r="G41" s="99">
        <f>IFERROR(__xludf.DUMMYFUNCTION("ROUND(
  IFERROR(
    SUM(
      FILTER(
        'Sprint 12'!U:U,
        ('Sprint 12'!E:E = ""Art: Narupontp"") *
        (LEFT('Sprint 12'!B:B,5) = ""RDAPS"")
      )
    ) / 3600,
    0
  ),
  2
)"),0.0)</f>
        <v>0</v>
      </c>
      <c r="H41" s="99">
        <f>IFERROR(__xludf.DUMMYFUNCTION("ROUND(
  IFERROR(
    SUM(
      FILTER(
        'Sprint 12'!U:U,
        ('Sprint 12'!E:E = ""Mai:Sateta Abvanawong"") *
        (LEFT('Sprint 12'!B:B,5) = ""RDAPS"")
      )
    ) / 3600,
    0
  ),
  2
)"),6.0)</f>
        <v>6</v>
      </c>
      <c r="I41" s="99">
        <f>IFERROR(__xludf.DUMMYFUNCTION("ROUND(
  IFERROR(
    SUM(
      FILTER(
        'Sprint 12'!U:U,
        ('Sprint 12'!E:E = ""Kae: Pimonrath Jaiyen"") *
        (LEFT('Sprint 12'!B:B,5) = ""RDAPS"")
      )
    ) / 3600,
    0
  ),
  2
)"),56.0)</f>
        <v>56</v>
      </c>
      <c r="J41" s="99">
        <f>IFERROR(__xludf.DUMMYFUNCTION("ROUND(
  IFERROR(
    SUM(
      FILTER(
        'Sprint 12'!U:U,
        ('Sprint 12'!E:E = ""Mac: Jarupong Pawichpongkul"") *
        (LEFT('Sprint 12'!B:B,5) = ""RDAPS"")
      )
    ) / 3600,
    0
  ),
  2
)"),28.0)</f>
        <v>28</v>
      </c>
      <c r="K41" s="99">
        <f>IFERROR(__xludf.DUMMYFUNCTION("ROUND(
  IFERROR(
    SUM(
      FILTER(
        'Sprint 12'!U:U,
        ('Sprint 12'!E:E = ""Nim : muthita munmueang"") *
        (LEFT('Sprint 12'!B:B,5) = ""RDAPS"")
      )
    ) / 3600,
    0
  ),
  2
)"),0.0)</f>
        <v>0</v>
      </c>
      <c r="L41" s="99">
        <f>IFERROR(__xludf.DUMMYFUNCTION("ROUND(
  IFERROR(
    SUM(
      FILTER(
        'Sprint 12'!U:U,
        ('Sprint 12'!E:E = ""Moss : Kittapath Sangvikukit"") *
        (LEFT('Sprint 12'!B:B,5) = ""RDAPS"")
      )
    ) / 3600,
    0
  ),
  2
)"),0.0)</f>
        <v>0</v>
      </c>
      <c r="M41" s="99">
        <f>IFERROR(__xludf.DUMMYFUNCTION("ROUND(
  IFERROR(
    SUM(
      FILTER(
        'Sprint 12'!U:U,
        ('Sprint 12'!E:E = ""Arm:Worawat Chotipongchoawalit"") *
        (LEFT('Sprint 12'!B:B,5) = ""RDAPS"")
      )
    ) / 3600,
    0
  ),
  2
)"),24.0)</f>
        <v>24</v>
      </c>
    </row>
    <row r="42" ht="21.0" customHeight="1">
      <c r="A42" s="101" t="s">
        <v>4670</v>
      </c>
      <c r="B42" s="101">
        <f>IFERROR(__xludf.DUMMYFUNCTION("ROUND(
  IFERROR(
    SUM(
      FILTER(
        'Sprint 12'!U:U,
        ('Sprint 12'!E:E = ""Aek:Atiphat Nanthachitvanich"") *
        (LEFT('Sprint 12'!B:B,8) = ""DEVRDSUP"")
      )
    ) / 3600,
    0
  ),
  2
)"),1.5)</f>
        <v>1.5</v>
      </c>
      <c r="C42" s="99">
        <f>IFERROR(__xludf.DUMMYFUNCTION("ROUND(
  IFERROR(
    SUM(
      FILTER(
        'Sprint 12'!U:U,
        ('Sprint 12'!E:E = ""Zan : Isarapong Bulan"") *
        (LEFT('Sprint 12'!B:B,8) = ""DEVRDSUP"")
      )
    ) / 3600,
    0
  ),
  2
)"),1.0)</f>
        <v>1</v>
      </c>
      <c r="D42" s="99">
        <f>IFERROR(__xludf.DUMMYFUNCTION("ROUND(
  IFERROR(
    SUM(
      FILTER(
        'Sprint 12'!U:U,
        ('Sprint 12'!E:E = ""Aom: Pornsawan Polnyiem"") *
        (LEFT('Sprint 12'!B:B,8) = ""DEVRDSUP"")
      )
    ) / 3600,
    0
  ),
  2
)"),0.5)</f>
        <v>0.5</v>
      </c>
      <c r="E42" s="99">
        <f>IFERROR(__xludf.DUMMYFUNCTION("ROUND(
  IFERROR(
    SUM(
      FILTER(
        'Sprint 12'!U:U,
        ('Sprint 12'!E:E = ""Jack: Warin Kesorn"") *
        (LEFT('Sprint 12'!B:B,8) = ""DEVRDSUP"")
      )
    ) / 3600,
    0
  ),
  2
)"),0.0)</f>
        <v>0</v>
      </c>
      <c r="F42" s="101">
        <f>IFERROR(__xludf.DUMMYFUNCTION("ROUND(
  IFERROR(
    SUM(
      FILTER(
        'Sprint 12'!U:U,
        ('Sprint 12'!E:E = ""A:Phongthorn"") *
        (LEFT('Sprint 12'!B:B,8) = ""DEVRDSUP"")
      )
    ) / 3600,
    0
  ),
  2
)"),0.0)</f>
        <v>0</v>
      </c>
      <c r="G42" s="99">
        <f>IFERROR(__xludf.DUMMYFUNCTION("ROUND(
  IFERROR(
    SUM(
      FILTER(
        'Sprint 12'!U:U,
        ('Sprint 12'!E:E = ""Art: Narupontp"") *
        (LEFT('Sprint 12'!B:B,8) = ""DEVRDSUP"")
      )
    ) / 3600,
    0
  ),
  2
)"),0.0)</f>
        <v>0</v>
      </c>
      <c r="H42" s="99">
        <f>IFERROR(__xludf.DUMMYFUNCTION("ROUND(
  IFERROR(
    SUM(
      FILTER(
        'Sprint 12'!U:U,
        ('Sprint 12'!E:E = ""Mai:Sateta Abvanawong"") *
        (LEFT('Sprint 12'!B:B,8) = ""DEVRDSUP"")
      )
    ) / 3600,
    0
  ),
  2
)"),0.0)</f>
        <v>0</v>
      </c>
      <c r="I42" s="99">
        <f>IFERROR(__xludf.DUMMYFUNCTION("ROUND(
  IFERROR(
    SUM(
      FILTER(
        'Sprint 12'!U:U,
        ('Sprint 12'!E:E = ""Kae: Pimonrath Jaiyen"") *
        (LEFT('Sprint 12'!B:B,8) = ""DEVRDSUP"")
      )
    ) / 3600,
    0
  ),
  2
)"),0.0)</f>
        <v>0</v>
      </c>
      <c r="J42" s="99">
        <f>IFERROR(__xludf.DUMMYFUNCTION("ROUND(
  IFERROR(
    SUM(
      FILTER(
        'Sprint 12'!U:U,
        ('Sprint 12'!E:E = ""Mac: Jarupong Pawichpongkul"") *
        (LEFT('Sprint 12'!B:B,8) = ""DEVRDSUP"")
      )
    ) / 3600,
    0
  ),
  2
)"),0.0)</f>
        <v>0</v>
      </c>
      <c r="K42" s="99">
        <f>IFERROR(__xludf.DUMMYFUNCTION("ROUND(
  IFERROR(
    SUM(
      FILTER(
        'Sprint 12'!U:U,
        ('Sprint 12'!E:E = ""Nim : muthita munmueang"") *
        (LEFT('Sprint 12'!B:B,8) = ""DEVRDSUP"")
      )
    ) / 3600,
    0
  ),
  2
)"),0.0)</f>
        <v>0</v>
      </c>
      <c r="L42" s="99">
        <f>IFERROR(__xludf.DUMMYFUNCTION("ROUND(
  IFERROR(
    SUM(
      FILTER(
        'Sprint 12'!U:U,
        ('Sprint 12'!E:E = ""Moss : Kittapath Sangvikukit"") *
        (LEFT('Sprint 12'!B:B,8) = ""DEVRDSUP"")
      )
    ) / 3600,
    0
  ),
  2
)"),0.0)</f>
        <v>0</v>
      </c>
      <c r="M42" s="99">
        <f>IFERROR(__xludf.DUMMYFUNCTION("ROUND(
  IFERROR(
    SUM(
      FILTER(
        'Sprint 12'!U:U,
        ('Sprint 12'!E:E = ""Arm:Worawat Chotipongchoawalit"") *
        (LEFT('Sprint 12'!B:B,8) = ""DEVRDSUP"")
      )
    ) / 3600,
    0
  ),
  2
)"),0.0)</f>
        <v>0</v>
      </c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</sheetData>
  <mergeCells count="6">
    <mergeCell ref="B25:E25"/>
    <mergeCell ref="F25:H25"/>
    <mergeCell ref="I25:M25"/>
    <mergeCell ref="B35:E35"/>
    <mergeCell ref="F35:H35"/>
    <mergeCell ref="I35:M3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31.38"/>
    <col customWidth="1" min="15" max="15" width="18.13"/>
    <col customWidth="1" min="19" max="22" width="17.5"/>
    <col customWidth="1" min="23" max="23" width="21.25"/>
    <col customWidth="1" min="24" max="24" width="17.5"/>
    <col customWidth="1" min="25" max="25" width="21.25"/>
    <col customWidth="1" min="26" max="26" width="20.13"/>
    <col customWidth="1" min="27" max="27" width="21.25"/>
    <col customWidth="1" min="28" max="28" width="20.13"/>
    <col customWidth="1" min="29" max="29" width="21.25"/>
    <col customWidth="1" min="30" max="30" width="20.13"/>
    <col customWidth="1" min="32" max="32" width="17.5"/>
    <col customWidth="1" min="33" max="33" width="21.25"/>
    <col customWidth="1" min="34" max="34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274</v>
      </c>
      <c r="T1" s="102" t="s">
        <v>274</v>
      </c>
      <c r="U1" s="102" t="s">
        <v>275</v>
      </c>
      <c r="V1" s="149" t="s">
        <v>3245</v>
      </c>
      <c r="W1" s="115" t="s">
        <v>7001</v>
      </c>
      <c r="X1" s="115" t="s">
        <v>6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102" t="s">
        <v>70</v>
      </c>
      <c r="AF1" s="102" t="s">
        <v>70</v>
      </c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88"/>
      <c r="AR1" s="88"/>
    </row>
    <row r="2">
      <c r="A2" s="102" t="s">
        <v>332</v>
      </c>
      <c r="B2" s="102" t="s">
        <v>6797</v>
      </c>
      <c r="C2" s="229" t="s">
        <v>6798</v>
      </c>
      <c r="D2" s="102" t="s">
        <v>6799</v>
      </c>
      <c r="E2" s="102" t="s">
        <v>328</v>
      </c>
      <c r="F2" s="102" t="s">
        <v>329</v>
      </c>
      <c r="G2" s="102" t="s">
        <v>521</v>
      </c>
      <c r="H2" s="102" t="s">
        <v>522</v>
      </c>
      <c r="I2" s="102" t="s">
        <v>284</v>
      </c>
      <c r="J2" s="102" t="s">
        <v>2415</v>
      </c>
      <c r="L2" s="229" t="s">
        <v>6800</v>
      </c>
      <c r="M2" s="229" t="s">
        <v>7002</v>
      </c>
      <c r="O2" s="230"/>
      <c r="U2" s="230"/>
      <c r="V2" s="230" t="str">
        <f>IF(ISNUMBER(MATCH(B2, 'Sprint 11'!B:B, 0)), "มาจาก Sprint 11", "")</f>
        <v/>
      </c>
      <c r="W2" s="230" t="str">
        <f t="array" ref="W2">IF(ISNUMBER(MATCH(B2, 'Sprint 11'!B:B, 0)), INDEX('Sprint 11'!J:J, MATCH(B2, 'Sprint 11'!B:B, 0)), "")</f>
        <v/>
      </c>
      <c r="X2" s="230"/>
      <c r="Y2" s="102" t="s">
        <v>4954</v>
      </c>
    </row>
    <row r="3">
      <c r="A3" s="102" t="s">
        <v>332</v>
      </c>
      <c r="B3" s="102" t="s">
        <v>6380</v>
      </c>
      <c r="C3" s="229" t="s">
        <v>6381</v>
      </c>
      <c r="D3" s="102" t="s">
        <v>6382</v>
      </c>
      <c r="E3" s="102" t="s">
        <v>6315</v>
      </c>
      <c r="F3" s="102" t="s">
        <v>6316</v>
      </c>
      <c r="G3" s="102" t="s">
        <v>521</v>
      </c>
      <c r="H3" s="102" t="s">
        <v>522</v>
      </c>
      <c r="I3" s="102" t="s">
        <v>515</v>
      </c>
      <c r="J3" s="102" t="s">
        <v>2415</v>
      </c>
      <c r="L3" s="229" t="s">
        <v>6383</v>
      </c>
      <c r="M3" s="229" t="s">
        <v>7003</v>
      </c>
      <c r="O3" s="102"/>
      <c r="U3" s="230"/>
      <c r="V3" s="230" t="str">
        <f>IF(ISNUMBER(MATCH(B3, 'Sprint 11'!B:B, 0)), "มาจาก Sprint 11", "")</f>
        <v/>
      </c>
      <c r="W3" s="230" t="str">
        <f t="array" ref="W3">IF(ISNUMBER(MATCH(B3, 'Sprint 11'!B:B, 0)), INDEX('Sprint 11'!J:J, MATCH(B3, 'Sprint 11'!B:B, 0)), "")</f>
        <v/>
      </c>
      <c r="X3" s="230"/>
      <c r="Y3" s="102" t="s">
        <v>5896</v>
      </c>
    </row>
    <row r="4">
      <c r="A4" s="102" t="s">
        <v>310</v>
      </c>
      <c r="B4" s="102" t="s">
        <v>7004</v>
      </c>
      <c r="C4" s="229" t="s">
        <v>7005</v>
      </c>
      <c r="D4" s="102" t="s">
        <v>7006</v>
      </c>
      <c r="E4" s="102" t="s">
        <v>513</v>
      </c>
      <c r="F4" s="102" t="s">
        <v>514</v>
      </c>
      <c r="G4" s="102" t="s">
        <v>513</v>
      </c>
      <c r="H4" s="102" t="s">
        <v>514</v>
      </c>
      <c r="I4" s="102" t="s">
        <v>284</v>
      </c>
      <c r="J4" s="102" t="s">
        <v>26</v>
      </c>
      <c r="L4" s="229" t="s">
        <v>7007</v>
      </c>
      <c r="M4" s="229" t="s">
        <v>7008</v>
      </c>
      <c r="O4" s="102">
        <v>1.0</v>
      </c>
      <c r="P4" s="102" t="s">
        <v>593</v>
      </c>
      <c r="U4" s="102">
        <v>7200.0</v>
      </c>
      <c r="V4" s="230" t="str">
        <f>IF(ISNUMBER(MATCH(B4, 'Sprint 11'!B:B, 0)), "มาจาก Sprint 11", "")</f>
        <v/>
      </c>
      <c r="W4" s="230" t="str">
        <f t="array" ref="W4">IF(ISNUMBER(MATCH(B4, 'Sprint 11'!B:B, 0)), INDEX('Sprint 11'!J:J, MATCH(B4, 'Sprint 11'!B:B, 0)), "")</f>
        <v/>
      </c>
      <c r="X4" s="102"/>
      <c r="Y4" s="102" t="s">
        <v>7009</v>
      </c>
    </row>
    <row r="5">
      <c r="A5" s="102" t="s">
        <v>310</v>
      </c>
      <c r="B5" s="102" t="s">
        <v>7010</v>
      </c>
      <c r="C5" s="229" t="s">
        <v>7011</v>
      </c>
      <c r="D5" s="102" t="s">
        <v>7012</v>
      </c>
      <c r="E5" s="102" t="s">
        <v>513</v>
      </c>
      <c r="F5" s="102" t="s">
        <v>514</v>
      </c>
      <c r="G5" s="102" t="s">
        <v>513</v>
      </c>
      <c r="H5" s="102" t="s">
        <v>514</v>
      </c>
      <c r="I5" s="102" t="s">
        <v>284</v>
      </c>
      <c r="J5" s="102" t="s">
        <v>26</v>
      </c>
      <c r="L5" s="229" t="s">
        <v>7007</v>
      </c>
      <c r="M5" s="229" t="s">
        <v>7013</v>
      </c>
      <c r="O5" s="102">
        <v>1.0</v>
      </c>
      <c r="P5" s="102" t="s">
        <v>593</v>
      </c>
      <c r="U5" s="102">
        <v>7200.0</v>
      </c>
      <c r="V5" s="230" t="str">
        <f>IF(ISNUMBER(MATCH(B5, 'Sprint 11'!B:B, 0)), "มาจาก Sprint 11", "")</f>
        <v/>
      </c>
      <c r="W5" s="230" t="str">
        <f t="array" ref="W5">IF(ISNUMBER(MATCH(B5, 'Sprint 11'!B:B, 0)), INDEX('Sprint 11'!J:J, MATCH(B5, 'Sprint 11'!B:B, 0)), "")</f>
        <v/>
      </c>
      <c r="X5" s="102"/>
      <c r="Y5" s="102" t="s">
        <v>7009</v>
      </c>
    </row>
    <row r="6">
      <c r="A6" s="102" t="s">
        <v>310</v>
      </c>
      <c r="B6" s="102" t="s">
        <v>7014</v>
      </c>
      <c r="C6" s="229" t="s">
        <v>7015</v>
      </c>
      <c r="D6" s="102" t="s">
        <v>7016</v>
      </c>
      <c r="E6" s="102" t="s">
        <v>513</v>
      </c>
      <c r="F6" s="102" t="s">
        <v>514</v>
      </c>
      <c r="G6" s="102" t="s">
        <v>513</v>
      </c>
      <c r="H6" s="102" t="s">
        <v>514</v>
      </c>
      <c r="I6" s="102" t="s">
        <v>284</v>
      </c>
      <c r="J6" s="102" t="s">
        <v>26</v>
      </c>
      <c r="L6" s="229" t="s">
        <v>7007</v>
      </c>
      <c r="M6" s="229" t="s">
        <v>7017</v>
      </c>
      <c r="O6" s="102">
        <v>1.0</v>
      </c>
      <c r="P6" s="102" t="s">
        <v>593</v>
      </c>
      <c r="U6" s="102">
        <v>7200.0</v>
      </c>
      <c r="V6" s="230" t="str">
        <f>IF(ISNUMBER(MATCH(B6, 'Sprint 11'!B:B, 0)), "มาจาก Sprint 11", "")</f>
        <v/>
      </c>
      <c r="W6" s="230" t="str">
        <f t="array" ref="W6">IF(ISNUMBER(MATCH(B6, 'Sprint 11'!B:B, 0)), INDEX('Sprint 11'!J:J, MATCH(B6, 'Sprint 11'!B:B, 0)), "")</f>
        <v/>
      </c>
      <c r="X6" s="102"/>
      <c r="Y6" s="102" t="s">
        <v>7009</v>
      </c>
    </row>
    <row r="7">
      <c r="A7" s="102" t="s">
        <v>310</v>
      </c>
      <c r="B7" s="102" t="s">
        <v>7018</v>
      </c>
      <c r="C7" s="229" t="s">
        <v>7019</v>
      </c>
      <c r="D7" s="102" t="s">
        <v>7020</v>
      </c>
      <c r="E7" s="102" t="s">
        <v>513</v>
      </c>
      <c r="F7" s="102" t="s">
        <v>514</v>
      </c>
      <c r="G7" s="102" t="s">
        <v>513</v>
      </c>
      <c r="H7" s="102" t="s">
        <v>514</v>
      </c>
      <c r="I7" s="102" t="s">
        <v>284</v>
      </c>
      <c r="J7" s="102" t="s">
        <v>26</v>
      </c>
      <c r="L7" s="229" t="s">
        <v>7007</v>
      </c>
      <c r="M7" s="229" t="s">
        <v>7021</v>
      </c>
      <c r="N7" s="102"/>
      <c r="O7" s="102">
        <v>2.0</v>
      </c>
      <c r="P7" s="102" t="s">
        <v>593</v>
      </c>
      <c r="U7" s="102">
        <v>14400.0</v>
      </c>
      <c r="V7" s="230" t="str">
        <f>IF(ISNUMBER(MATCH(B7, 'Sprint 11'!B:B, 0)), "มาจาก Sprint 11", "")</f>
        <v/>
      </c>
      <c r="W7" s="230" t="str">
        <f t="array" ref="W7">IF(ISNUMBER(MATCH(B7, 'Sprint 11'!B:B, 0)), INDEX('Sprint 11'!J:J, MATCH(B7, 'Sprint 11'!B:B, 0)), "")</f>
        <v/>
      </c>
      <c r="X7" s="102"/>
      <c r="Y7" s="102" t="s">
        <v>7009</v>
      </c>
    </row>
    <row r="8">
      <c r="A8" s="102" t="s">
        <v>310</v>
      </c>
      <c r="B8" s="102" t="s">
        <v>7022</v>
      </c>
      <c r="C8" s="229" t="s">
        <v>7023</v>
      </c>
      <c r="D8" s="102" t="s">
        <v>7024</v>
      </c>
      <c r="E8" s="102" t="s">
        <v>513</v>
      </c>
      <c r="F8" s="102" t="s">
        <v>514</v>
      </c>
      <c r="G8" s="102" t="s">
        <v>513</v>
      </c>
      <c r="H8" s="102" t="s">
        <v>514</v>
      </c>
      <c r="I8" s="102" t="s">
        <v>284</v>
      </c>
      <c r="J8" s="102" t="s">
        <v>26</v>
      </c>
      <c r="L8" s="229" t="s">
        <v>7025</v>
      </c>
      <c r="M8" s="229" t="s">
        <v>7026</v>
      </c>
      <c r="N8" s="102"/>
      <c r="O8" s="102">
        <v>2.0</v>
      </c>
      <c r="P8" s="102" t="s">
        <v>593</v>
      </c>
      <c r="U8" s="102">
        <v>14400.0</v>
      </c>
      <c r="V8" s="230" t="str">
        <f>IF(ISNUMBER(MATCH(B8, 'Sprint 11'!B:B, 0)), "มาจาก Sprint 11", "")</f>
        <v/>
      </c>
      <c r="W8" s="230" t="str">
        <f t="array" ref="W8">IF(ISNUMBER(MATCH(B8, 'Sprint 11'!B:B, 0)), INDEX('Sprint 11'!J:J, MATCH(B8, 'Sprint 11'!B:B, 0)), "")</f>
        <v/>
      </c>
      <c r="X8" s="102"/>
      <c r="Y8" s="102" t="s">
        <v>7009</v>
      </c>
    </row>
    <row r="9">
      <c r="A9" s="102" t="s">
        <v>310</v>
      </c>
      <c r="B9" s="102" t="s">
        <v>7027</v>
      </c>
      <c r="C9" s="229" t="s">
        <v>7028</v>
      </c>
      <c r="D9" s="102" t="s">
        <v>7029</v>
      </c>
      <c r="E9" s="102" t="s">
        <v>513</v>
      </c>
      <c r="F9" s="102" t="s">
        <v>514</v>
      </c>
      <c r="G9" s="102" t="s">
        <v>513</v>
      </c>
      <c r="H9" s="102" t="s">
        <v>514</v>
      </c>
      <c r="I9" s="102" t="s">
        <v>284</v>
      </c>
      <c r="J9" s="102" t="s">
        <v>26</v>
      </c>
      <c r="L9" s="229" t="s">
        <v>7030</v>
      </c>
      <c r="M9" s="229" t="s">
        <v>7031</v>
      </c>
      <c r="O9" s="102">
        <v>2.0</v>
      </c>
      <c r="P9" s="102" t="s">
        <v>593</v>
      </c>
      <c r="U9" s="102">
        <v>14400.0</v>
      </c>
      <c r="V9" s="230" t="str">
        <f>IF(ISNUMBER(MATCH(B9, 'Sprint 11'!B:B, 0)), "มาจาก Sprint 11", "")</f>
        <v/>
      </c>
      <c r="W9" s="230" t="str">
        <f t="array" ref="W9">IF(ISNUMBER(MATCH(B9, 'Sprint 11'!B:B, 0)), INDEX('Sprint 11'!J:J, MATCH(B9, 'Sprint 11'!B:B, 0)), "")</f>
        <v/>
      </c>
      <c r="X9" s="102"/>
      <c r="Y9" s="102" t="s">
        <v>7009</v>
      </c>
    </row>
    <row r="10">
      <c r="A10" s="102" t="s">
        <v>310</v>
      </c>
      <c r="B10" s="102" t="s">
        <v>7032</v>
      </c>
      <c r="C10" s="229" t="s">
        <v>7033</v>
      </c>
      <c r="D10" s="102" t="s">
        <v>7034</v>
      </c>
      <c r="E10" s="102" t="s">
        <v>513</v>
      </c>
      <c r="F10" s="102" t="s">
        <v>514</v>
      </c>
      <c r="G10" s="102" t="s">
        <v>513</v>
      </c>
      <c r="H10" s="102" t="s">
        <v>514</v>
      </c>
      <c r="I10" s="102" t="s">
        <v>284</v>
      </c>
      <c r="J10" s="102" t="s">
        <v>26</v>
      </c>
      <c r="L10" s="229" t="s">
        <v>7035</v>
      </c>
      <c r="M10" s="229" t="s">
        <v>7036</v>
      </c>
      <c r="O10" s="102">
        <v>2.0</v>
      </c>
      <c r="P10" s="102" t="s">
        <v>593</v>
      </c>
      <c r="U10" s="102">
        <v>14400.0</v>
      </c>
      <c r="V10" s="230" t="str">
        <f>IF(ISNUMBER(MATCH(B10, 'Sprint 11'!B:B, 0)), "มาจาก Sprint 11", "")</f>
        <v/>
      </c>
      <c r="W10" s="230" t="str">
        <f t="array" ref="W10">IF(ISNUMBER(MATCH(B10, 'Sprint 11'!B:B, 0)), INDEX('Sprint 11'!J:J, MATCH(B10, 'Sprint 11'!B:B, 0)), "")</f>
        <v/>
      </c>
      <c r="X10" s="102"/>
      <c r="Y10" s="102" t="s">
        <v>7009</v>
      </c>
    </row>
    <row r="11">
      <c r="A11" s="102" t="s">
        <v>310</v>
      </c>
      <c r="B11" s="102" t="s">
        <v>7037</v>
      </c>
      <c r="C11" s="229" t="s">
        <v>7038</v>
      </c>
      <c r="D11" s="102" t="s">
        <v>7039</v>
      </c>
      <c r="E11" s="102" t="s">
        <v>513</v>
      </c>
      <c r="F11" s="102" t="s">
        <v>514</v>
      </c>
      <c r="G11" s="102" t="s">
        <v>513</v>
      </c>
      <c r="H11" s="102" t="s">
        <v>514</v>
      </c>
      <c r="I11" s="102" t="s">
        <v>284</v>
      </c>
      <c r="J11" s="102" t="s">
        <v>26</v>
      </c>
      <c r="L11" s="229" t="s">
        <v>7040</v>
      </c>
      <c r="M11" s="229" t="s">
        <v>7041</v>
      </c>
      <c r="O11" s="102">
        <v>2.0</v>
      </c>
      <c r="P11" s="102" t="s">
        <v>593</v>
      </c>
      <c r="U11" s="102">
        <v>14400.0</v>
      </c>
      <c r="V11" s="230" t="str">
        <f>IF(ISNUMBER(MATCH(B11, 'Sprint 11'!B:B, 0)), "มาจาก Sprint 11", "")</f>
        <v/>
      </c>
      <c r="W11" s="230" t="str">
        <f t="array" ref="W11">IF(ISNUMBER(MATCH(B11, 'Sprint 11'!B:B, 0)), INDEX('Sprint 11'!J:J, MATCH(B11, 'Sprint 11'!B:B, 0)), "")</f>
        <v/>
      </c>
      <c r="X11" s="102"/>
      <c r="Y11" s="102" t="s">
        <v>7009</v>
      </c>
    </row>
    <row r="12">
      <c r="A12" s="102" t="s">
        <v>310</v>
      </c>
      <c r="B12" s="102" t="s">
        <v>7042</v>
      </c>
      <c r="C12" s="229" t="s">
        <v>7043</v>
      </c>
      <c r="D12" s="102" t="s">
        <v>7044</v>
      </c>
      <c r="E12" s="102" t="s">
        <v>513</v>
      </c>
      <c r="F12" s="102" t="s">
        <v>514</v>
      </c>
      <c r="G12" s="102" t="s">
        <v>513</v>
      </c>
      <c r="H12" s="102" t="s">
        <v>514</v>
      </c>
      <c r="I12" s="102" t="s">
        <v>284</v>
      </c>
      <c r="J12" s="102" t="s">
        <v>26</v>
      </c>
      <c r="L12" s="229" t="s">
        <v>7045</v>
      </c>
      <c r="M12" s="229" t="s">
        <v>7046</v>
      </c>
      <c r="N12" s="229" t="s">
        <v>7047</v>
      </c>
      <c r="O12" s="102">
        <v>2.0</v>
      </c>
      <c r="P12" s="102" t="s">
        <v>593</v>
      </c>
      <c r="U12" s="102">
        <v>14400.0</v>
      </c>
      <c r="V12" s="230" t="str">
        <f>IF(ISNUMBER(MATCH(B12, 'Sprint 11'!B:B, 0)), "มาจาก Sprint 11", "")</f>
        <v/>
      </c>
      <c r="W12" s="230" t="str">
        <f t="array" ref="W12">IF(ISNUMBER(MATCH(B12, 'Sprint 11'!B:B, 0)), INDEX('Sprint 11'!J:J, MATCH(B12, 'Sprint 11'!B:B, 0)), "")</f>
        <v/>
      </c>
      <c r="X12" s="102"/>
      <c r="Y12" s="102" t="s">
        <v>7009</v>
      </c>
    </row>
    <row r="13">
      <c r="A13" s="102" t="s">
        <v>310</v>
      </c>
      <c r="B13" s="102" t="s">
        <v>7048</v>
      </c>
      <c r="C13" s="229" t="s">
        <v>7049</v>
      </c>
      <c r="D13" s="102" t="s">
        <v>7050</v>
      </c>
      <c r="E13" s="102" t="s">
        <v>513</v>
      </c>
      <c r="F13" s="102" t="s">
        <v>514</v>
      </c>
      <c r="G13" s="102" t="s">
        <v>513</v>
      </c>
      <c r="H13" s="102" t="s">
        <v>514</v>
      </c>
      <c r="I13" s="102" t="s">
        <v>284</v>
      </c>
      <c r="J13" s="102" t="s">
        <v>26</v>
      </c>
      <c r="L13" s="229" t="s">
        <v>7051</v>
      </c>
      <c r="M13" s="229" t="s">
        <v>7052</v>
      </c>
      <c r="N13" s="229" t="s">
        <v>7047</v>
      </c>
      <c r="O13" s="102">
        <v>2.0</v>
      </c>
      <c r="P13" s="102" t="s">
        <v>593</v>
      </c>
      <c r="U13" s="102">
        <v>14400.0</v>
      </c>
      <c r="V13" s="230" t="str">
        <f>IF(ISNUMBER(MATCH(B13, 'Sprint 11'!B:B, 0)), "มาจาก Sprint 11", "")</f>
        <v/>
      </c>
      <c r="W13" s="230" t="str">
        <f t="array" ref="W13">IF(ISNUMBER(MATCH(B13, 'Sprint 11'!B:B, 0)), INDEX('Sprint 11'!J:J, MATCH(B13, 'Sprint 11'!B:B, 0)), "")</f>
        <v/>
      </c>
      <c r="X13" s="102"/>
      <c r="Y13" s="102" t="s">
        <v>7009</v>
      </c>
    </row>
    <row r="14">
      <c r="A14" s="102" t="s">
        <v>310</v>
      </c>
      <c r="B14" s="102" t="s">
        <v>7053</v>
      </c>
      <c r="C14" s="229" t="s">
        <v>7054</v>
      </c>
      <c r="D14" s="102" t="s">
        <v>7055</v>
      </c>
      <c r="E14" s="102" t="s">
        <v>282</v>
      </c>
      <c r="F14" s="102" t="s">
        <v>283</v>
      </c>
      <c r="G14" s="102" t="s">
        <v>282</v>
      </c>
      <c r="H14" s="102" t="s">
        <v>283</v>
      </c>
      <c r="I14" s="102" t="s">
        <v>284</v>
      </c>
      <c r="J14" s="102" t="s">
        <v>34</v>
      </c>
      <c r="L14" s="229" t="s">
        <v>7056</v>
      </c>
      <c r="M14" s="229" t="s">
        <v>7056</v>
      </c>
      <c r="N14" s="102"/>
      <c r="O14" s="102">
        <v>13.0</v>
      </c>
      <c r="P14" s="102"/>
      <c r="Q14" s="102"/>
      <c r="R14" s="102"/>
      <c r="U14" s="102"/>
      <c r="V14" s="230" t="str">
        <f>IF(ISNUMBER(MATCH(B14, 'Sprint 11'!B:B, 0)), "มาจาก Sprint 11", "")</f>
        <v/>
      </c>
      <c r="W14" s="230" t="str">
        <f t="array" ref="W14">IF(ISNUMBER(MATCH(B14, 'Sprint 11'!B:B, 0)), INDEX('Sprint 11'!J:J, MATCH(B14, 'Sprint 11'!B:B, 0)), "")</f>
        <v/>
      </c>
      <c r="X14" s="102"/>
      <c r="Y14" s="102" t="s">
        <v>4954</v>
      </c>
    </row>
    <row r="15">
      <c r="A15" s="102" t="s">
        <v>332</v>
      </c>
      <c r="B15" s="102" t="s">
        <v>7057</v>
      </c>
      <c r="C15" s="229" t="s">
        <v>7058</v>
      </c>
      <c r="D15" s="102" t="s">
        <v>7059</v>
      </c>
      <c r="E15" s="102" t="s">
        <v>6315</v>
      </c>
      <c r="F15" s="102" t="s">
        <v>6316</v>
      </c>
      <c r="G15" s="102" t="s">
        <v>3288</v>
      </c>
      <c r="H15" s="102" t="s">
        <v>3289</v>
      </c>
      <c r="I15" s="102" t="s">
        <v>284</v>
      </c>
      <c r="J15" s="102" t="s">
        <v>336</v>
      </c>
      <c r="L15" s="229" t="s">
        <v>7060</v>
      </c>
      <c r="M15" s="229" t="s">
        <v>7061</v>
      </c>
      <c r="O15" s="230"/>
      <c r="U15" s="230"/>
      <c r="V15" s="230" t="str">
        <f>IF(ISNUMBER(MATCH(B15, 'Sprint 11'!B:B, 0)), "มาจาก Sprint 11", "")</f>
        <v/>
      </c>
      <c r="W15" s="230" t="str">
        <f t="array" ref="W15">IF(ISNUMBER(MATCH(B15, 'Sprint 11'!B:B, 0)), INDEX('Sprint 11'!J:J, MATCH(B15, 'Sprint 11'!B:B, 0)), "")</f>
        <v/>
      </c>
      <c r="X15" s="230"/>
      <c r="Y15" s="102" t="s">
        <v>5896</v>
      </c>
    </row>
    <row r="16">
      <c r="A16" s="102" t="s">
        <v>332</v>
      </c>
      <c r="B16" s="102" t="s">
        <v>7062</v>
      </c>
      <c r="C16" s="229" t="s">
        <v>7063</v>
      </c>
      <c r="D16" s="102" t="s">
        <v>7064</v>
      </c>
      <c r="E16" s="102" t="s">
        <v>495</v>
      </c>
      <c r="F16" s="102" t="s">
        <v>496</v>
      </c>
      <c r="G16" s="102" t="s">
        <v>280</v>
      </c>
      <c r="H16" s="102" t="s">
        <v>281</v>
      </c>
      <c r="I16" s="102" t="s">
        <v>284</v>
      </c>
      <c r="J16" s="102" t="s">
        <v>336</v>
      </c>
      <c r="L16" s="229" t="s">
        <v>7065</v>
      </c>
      <c r="M16" s="229" t="s">
        <v>7066</v>
      </c>
      <c r="O16" s="230"/>
      <c r="U16" s="230"/>
      <c r="V16" s="230" t="str">
        <f>IF(ISNUMBER(MATCH(B16, 'Sprint 11'!B:B, 0)), "มาจาก Sprint 11", "")</f>
        <v/>
      </c>
      <c r="W16" s="230" t="str">
        <f t="array" ref="W16">IF(ISNUMBER(MATCH(B16, 'Sprint 11'!B:B, 0)), INDEX('Sprint 11'!J:J, MATCH(B16, 'Sprint 11'!B:B, 0)), "")</f>
        <v/>
      </c>
      <c r="X16" s="230"/>
      <c r="Y16" s="102" t="s">
        <v>1366</v>
      </c>
    </row>
    <row r="17">
      <c r="A17" s="102" t="s">
        <v>332</v>
      </c>
      <c r="B17" s="102" t="s">
        <v>7067</v>
      </c>
      <c r="C17" s="229" t="s">
        <v>7068</v>
      </c>
      <c r="D17" s="102" t="s">
        <v>7069</v>
      </c>
      <c r="E17" s="102" t="s">
        <v>564</v>
      </c>
      <c r="F17" s="102" t="s">
        <v>565</v>
      </c>
      <c r="G17" s="102" t="s">
        <v>304</v>
      </c>
      <c r="H17" s="102" t="s">
        <v>305</v>
      </c>
      <c r="I17" s="102" t="s">
        <v>284</v>
      </c>
      <c r="J17" s="102" t="s">
        <v>336</v>
      </c>
      <c r="L17" s="229" t="s">
        <v>7070</v>
      </c>
      <c r="M17" s="229" t="s">
        <v>7071</v>
      </c>
      <c r="O17" s="230"/>
      <c r="U17" s="230"/>
      <c r="V17" s="230" t="str">
        <f>IF(ISNUMBER(MATCH(B17, 'Sprint 11'!B:B, 0)), "มาจาก Sprint 11", "")</f>
        <v/>
      </c>
      <c r="W17" s="230" t="str">
        <f t="array" ref="W17">IF(ISNUMBER(MATCH(B17, 'Sprint 11'!B:B, 0)), INDEX('Sprint 11'!J:J, MATCH(B17, 'Sprint 11'!B:B, 0)), "")</f>
        <v/>
      </c>
      <c r="X17" s="230"/>
      <c r="Y17" s="102" t="s">
        <v>2205</v>
      </c>
    </row>
    <row r="18">
      <c r="A18" s="102" t="s">
        <v>332</v>
      </c>
      <c r="B18" s="102" t="s">
        <v>7072</v>
      </c>
      <c r="C18" s="229" t="s">
        <v>7073</v>
      </c>
      <c r="D18" s="102" t="s">
        <v>7074</v>
      </c>
      <c r="E18" s="102" t="s">
        <v>564</v>
      </c>
      <c r="F18" s="102" t="s">
        <v>565</v>
      </c>
      <c r="G18" s="102" t="s">
        <v>304</v>
      </c>
      <c r="H18" s="102" t="s">
        <v>305</v>
      </c>
      <c r="I18" s="102" t="s">
        <v>284</v>
      </c>
      <c r="J18" s="102" t="s">
        <v>336</v>
      </c>
      <c r="L18" s="229" t="s">
        <v>7075</v>
      </c>
      <c r="M18" s="229" t="s">
        <v>7071</v>
      </c>
      <c r="O18" s="230"/>
      <c r="U18" s="230"/>
      <c r="V18" s="230" t="str">
        <f>IF(ISNUMBER(MATCH(B18, 'Sprint 11'!B:B, 0)), "มาจาก Sprint 11", "")</f>
        <v/>
      </c>
      <c r="W18" s="230" t="str">
        <f t="array" ref="W18">IF(ISNUMBER(MATCH(B18, 'Sprint 11'!B:B, 0)), INDEX('Sprint 11'!J:J, MATCH(B18, 'Sprint 11'!B:B, 0)), "")</f>
        <v/>
      </c>
      <c r="X18" s="230"/>
      <c r="Y18" s="102" t="s">
        <v>2205</v>
      </c>
      <c r="Z18" s="102"/>
      <c r="AA18" s="102"/>
      <c r="AB18" s="102"/>
      <c r="AC18" s="102"/>
    </row>
    <row r="19">
      <c r="A19" s="102" t="s">
        <v>310</v>
      </c>
      <c r="B19" s="102" t="s">
        <v>7076</v>
      </c>
      <c r="C19" s="229" t="s">
        <v>7077</v>
      </c>
      <c r="D19" s="102" t="s">
        <v>7078</v>
      </c>
      <c r="E19" s="102" t="s">
        <v>282</v>
      </c>
      <c r="F19" s="102" t="s">
        <v>283</v>
      </c>
      <c r="G19" s="102" t="s">
        <v>316</v>
      </c>
      <c r="H19" s="102" t="s">
        <v>317</v>
      </c>
      <c r="I19" s="102" t="s">
        <v>284</v>
      </c>
      <c r="J19" s="102" t="s">
        <v>26</v>
      </c>
      <c r="L19" s="229" t="s">
        <v>7079</v>
      </c>
      <c r="M19" s="229" t="s">
        <v>7080</v>
      </c>
      <c r="N19" s="229" t="s">
        <v>6892</v>
      </c>
      <c r="O19" s="102">
        <v>1.0</v>
      </c>
      <c r="P19" s="102" t="s">
        <v>4656</v>
      </c>
      <c r="Q19" s="102" t="s">
        <v>593</v>
      </c>
      <c r="R19" s="102" t="s">
        <v>368</v>
      </c>
      <c r="U19" s="102">
        <v>1800.0</v>
      </c>
      <c r="V19" s="230" t="str">
        <f>IF(ISNUMBER(MATCH(B19, 'Sprint 11'!B:B, 0)), "มาจาก Sprint 11", "")</f>
        <v/>
      </c>
      <c r="W19" s="230" t="str">
        <f t="array" ref="W19">IF(ISNUMBER(MATCH(B19, 'Sprint 11'!B:B, 0)), INDEX('Sprint 11'!J:J, MATCH(B19, 'Sprint 11'!B:B, 0)), "")</f>
        <v/>
      </c>
      <c r="X19" s="102"/>
      <c r="Y19" s="102" t="s">
        <v>4954</v>
      </c>
      <c r="Z19" s="102"/>
      <c r="AA19" s="102"/>
      <c r="AB19" s="102"/>
      <c r="AC19" s="102"/>
    </row>
    <row r="20">
      <c r="A20" s="102" t="s">
        <v>276</v>
      </c>
      <c r="B20" s="102" t="s">
        <v>7081</v>
      </c>
      <c r="C20" s="229" t="s">
        <v>7082</v>
      </c>
      <c r="D20" s="102" t="s">
        <v>347</v>
      </c>
      <c r="E20" s="102" t="s">
        <v>280</v>
      </c>
      <c r="F20" s="102" t="s">
        <v>281</v>
      </c>
      <c r="G20" s="102" t="s">
        <v>280</v>
      </c>
      <c r="H20" s="102" t="s">
        <v>281</v>
      </c>
      <c r="I20" s="102" t="s">
        <v>284</v>
      </c>
      <c r="J20" s="102" t="s">
        <v>26</v>
      </c>
      <c r="L20" s="229" t="s">
        <v>7083</v>
      </c>
      <c r="M20" s="229" t="s">
        <v>7084</v>
      </c>
      <c r="O20" s="230"/>
      <c r="U20" s="230"/>
      <c r="V20" s="230" t="str">
        <f>IF(ISNUMBER(MATCH(B20, 'Sprint 11'!B:B, 0)), "มาจาก Sprint 11", "")</f>
        <v/>
      </c>
      <c r="W20" s="230" t="str">
        <f t="array" ref="W20">IF(ISNUMBER(MATCH(B20, 'Sprint 11'!B:B, 0)), INDEX('Sprint 11'!J:J, MATCH(B20, 'Sprint 11'!B:B, 0)), "")</f>
        <v/>
      </c>
      <c r="X20" s="230"/>
      <c r="Y20" s="102" t="s">
        <v>1366</v>
      </c>
      <c r="Z20" s="102"/>
      <c r="AA20" s="102"/>
      <c r="AB20" s="102"/>
      <c r="AC20" s="102"/>
      <c r="AD20" s="102"/>
    </row>
    <row r="21">
      <c r="A21" s="102" t="s">
        <v>1459</v>
      </c>
      <c r="B21" s="102" t="s">
        <v>7085</v>
      </c>
      <c r="C21" s="229" t="s">
        <v>7086</v>
      </c>
      <c r="D21" s="102" t="s">
        <v>7087</v>
      </c>
      <c r="E21" s="102" t="s">
        <v>5844</v>
      </c>
      <c r="F21" s="102" t="s">
        <v>5845</v>
      </c>
      <c r="G21" s="102" t="s">
        <v>5844</v>
      </c>
      <c r="H21" s="102" t="s">
        <v>5845</v>
      </c>
      <c r="I21" s="102" t="s">
        <v>284</v>
      </c>
      <c r="J21" s="102" t="s">
        <v>63</v>
      </c>
      <c r="L21" s="229" t="s">
        <v>7088</v>
      </c>
      <c r="M21" s="229" t="s">
        <v>7088</v>
      </c>
      <c r="O21" s="230"/>
      <c r="U21" s="230"/>
      <c r="V21" s="230" t="str">
        <f>IF(ISNUMBER(MATCH(B21, 'Sprint 11'!B:B, 0)), "มาจาก Sprint 11", "")</f>
        <v/>
      </c>
      <c r="W21" s="230" t="str">
        <f t="array" ref="W21">IF(ISNUMBER(MATCH(B21, 'Sprint 11'!B:B, 0)), INDEX('Sprint 11'!J:J, MATCH(B21, 'Sprint 11'!B:B, 0)), "")</f>
        <v/>
      </c>
      <c r="X21" s="230"/>
      <c r="Y21" s="102" t="s">
        <v>4954</v>
      </c>
      <c r="Z21" s="102"/>
      <c r="AA21" s="102"/>
      <c r="AB21" s="102"/>
      <c r="AC21" s="102"/>
      <c r="AD21" s="102"/>
    </row>
    <row r="22">
      <c r="A22" s="102" t="s">
        <v>1465</v>
      </c>
      <c r="B22" s="102" t="s">
        <v>7089</v>
      </c>
      <c r="C22" s="229" t="s">
        <v>7090</v>
      </c>
      <c r="D22" s="102" t="s">
        <v>7091</v>
      </c>
      <c r="E22" s="102" t="s">
        <v>5844</v>
      </c>
      <c r="F22" s="102" t="s">
        <v>5845</v>
      </c>
      <c r="G22" s="102" t="s">
        <v>5844</v>
      </c>
      <c r="H22" s="102" t="s">
        <v>5845</v>
      </c>
      <c r="I22" s="102" t="s">
        <v>284</v>
      </c>
      <c r="J22" s="102" t="s">
        <v>26</v>
      </c>
      <c r="K22" s="102" t="s">
        <v>26</v>
      </c>
      <c r="L22" s="229" t="s">
        <v>7092</v>
      </c>
      <c r="M22" s="229" t="s">
        <v>7093</v>
      </c>
      <c r="O22" s="230"/>
      <c r="U22" s="230"/>
      <c r="V22" s="230" t="str">
        <f>IF(ISNUMBER(MATCH(B22, 'Sprint 11'!B:B, 0)), "มาจาก Sprint 11", "")</f>
        <v/>
      </c>
      <c r="W22" s="230" t="str">
        <f t="array" ref="W22">IF(ISNUMBER(MATCH(B22, 'Sprint 11'!B:B, 0)), INDEX('Sprint 11'!J:J, MATCH(B22, 'Sprint 11'!B:B, 0)), "")</f>
        <v/>
      </c>
      <c r="X22" s="230"/>
      <c r="Y22" s="102" t="s">
        <v>4954</v>
      </c>
      <c r="Z22" s="102"/>
      <c r="AA22" s="102"/>
      <c r="AB22" s="102"/>
      <c r="AC22" s="102"/>
      <c r="AD22" s="102"/>
    </row>
    <row r="23">
      <c r="A23" s="102" t="s">
        <v>276</v>
      </c>
      <c r="B23" s="102" t="s">
        <v>7094</v>
      </c>
      <c r="C23" s="229" t="s">
        <v>7095</v>
      </c>
      <c r="D23" s="102" t="s">
        <v>1567</v>
      </c>
      <c r="E23" s="102" t="s">
        <v>391</v>
      </c>
      <c r="F23" s="102" t="s">
        <v>392</v>
      </c>
      <c r="G23" s="102" t="s">
        <v>391</v>
      </c>
      <c r="H23" s="102" t="s">
        <v>392</v>
      </c>
      <c r="I23" s="102" t="s">
        <v>284</v>
      </c>
      <c r="J23" s="102" t="s">
        <v>26</v>
      </c>
      <c r="L23" s="229" t="s">
        <v>7096</v>
      </c>
      <c r="M23" s="229" t="s">
        <v>7097</v>
      </c>
      <c r="O23" s="230"/>
      <c r="U23" s="230"/>
      <c r="V23" s="230" t="str">
        <f>IF(ISNUMBER(MATCH(B23, 'Sprint 11'!B:B, 0)), "มาจาก Sprint 11", "")</f>
        <v/>
      </c>
      <c r="W23" s="230" t="str">
        <f t="array" ref="W23">IF(ISNUMBER(MATCH(B23, 'Sprint 11'!B:B, 0)), INDEX('Sprint 11'!J:J, MATCH(B23, 'Sprint 11'!B:B, 0)), "")</f>
        <v/>
      </c>
      <c r="X23" s="230"/>
      <c r="Y23" s="102" t="s">
        <v>5919</v>
      </c>
      <c r="Z23" s="102" t="s">
        <v>5920</v>
      </c>
      <c r="AA23" s="102" t="s">
        <v>5901</v>
      </c>
      <c r="AB23" s="102" t="s">
        <v>5901</v>
      </c>
      <c r="AC23" s="102" t="s">
        <v>5896</v>
      </c>
      <c r="AD23" s="102"/>
    </row>
    <row r="24">
      <c r="A24" s="102" t="s">
        <v>276</v>
      </c>
      <c r="B24" s="102" t="s">
        <v>7098</v>
      </c>
      <c r="C24" s="229" t="s">
        <v>7099</v>
      </c>
      <c r="D24" s="102" t="s">
        <v>7100</v>
      </c>
      <c r="E24" s="102" t="s">
        <v>391</v>
      </c>
      <c r="F24" s="102" t="s">
        <v>392</v>
      </c>
      <c r="G24" s="102" t="s">
        <v>391</v>
      </c>
      <c r="H24" s="102" t="s">
        <v>392</v>
      </c>
      <c r="I24" s="102" t="s">
        <v>284</v>
      </c>
      <c r="J24" s="102" t="s">
        <v>26</v>
      </c>
      <c r="L24" s="229" t="s">
        <v>7101</v>
      </c>
      <c r="M24" s="229" t="s">
        <v>7102</v>
      </c>
      <c r="O24" s="230"/>
      <c r="U24" s="230"/>
      <c r="V24" s="230" t="str">
        <f>IF(ISNUMBER(MATCH(B24, 'Sprint 11'!B:B, 0)), "มาจาก Sprint 11", "")</f>
        <v/>
      </c>
      <c r="W24" s="230" t="str">
        <f t="array" ref="W24">IF(ISNUMBER(MATCH(B24, 'Sprint 11'!B:B, 0)), INDEX('Sprint 11'!J:J, MATCH(B24, 'Sprint 11'!B:B, 0)), "")</f>
        <v/>
      </c>
      <c r="X24" s="230"/>
      <c r="Y24" s="102" t="s">
        <v>5919</v>
      </c>
      <c r="Z24" s="102" t="s">
        <v>5920</v>
      </c>
      <c r="AA24" s="102" t="s">
        <v>5901</v>
      </c>
      <c r="AB24" s="102" t="s">
        <v>5901</v>
      </c>
      <c r="AC24" s="102" t="s">
        <v>5896</v>
      </c>
      <c r="AD24" s="102"/>
    </row>
    <row r="25">
      <c r="A25" s="102" t="s">
        <v>276</v>
      </c>
      <c r="B25" s="102" t="s">
        <v>7103</v>
      </c>
      <c r="C25" s="229" t="s">
        <v>7104</v>
      </c>
      <c r="D25" s="102" t="s">
        <v>7105</v>
      </c>
      <c r="E25" s="102" t="s">
        <v>391</v>
      </c>
      <c r="F25" s="102" t="s">
        <v>392</v>
      </c>
      <c r="G25" s="102" t="s">
        <v>391</v>
      </c>
      <c r="H25" s="102" t="s">
        <v>392</v>
      </c>
      <c r="I25" s="102" t="s">
        <v>284</v>
      </c>
      <c r="J25" s="102" t="s">
        <v>26</v>
      </c>
      <c r="L25" s="229" t="s">
        <v>7106</v>
      </c>
      <c r="M25" s="229" t="s">
        <v>7106</v>
      </c>
      <c r="O25" s="230"/>
      <c r="U25" s="230"/>
      <c r="V25" s="230" t="str">
        <f>IF(ISNUMBER(MATCH(B25, 'Sprint 11'!B:B, 0)), "มาจาก Sprint 11", "")</f>
        <v/>
      </c>
      <c r="W25" s="230" t="str">
        <f t="array" ref="W25">IF(ISNUMBER(MATCH(B25, 'Sprint 11'!B:B, 0)), INDEX('Sprint 11'!J:J, MATCH(B25, 'Sprint 11'!B:B, 0)), "")</f>
        <v/>
      </c>
      <c r="X25" s="230"/>
      <c r="Y25" s="102" t="s">
        <v>5944</v>
      </c>
      <c r="Z25" s="102" t="s">
        <v>5919</v>
      </c>
      <c r="AA25" s="102" t="s">
        <v>5920</v>
      </c>
      <c r="AB25" s="102" t="s">
        <v>5901</v>
      </c>
      <c r="AC25" s="102" t="s">
        <v>5901</v>
      </c>
      <c r="AD25" s="102" t="s">
        <v>5896</v>
      </c>
    </row>
    <row r="26">
      <c r="A26" s="102" t="s">
        <v>276</v>
      </c>
      <c r="B26" s="102" t="s">
        <v>7107</v>
      </c>
      <c r="C26" s="229" t="s">
        <v>7108</v>
      </c>
      <c r="D26" s="102" t="s">
        <v>7109</v>
      </c>
      <c r="E26" s="102" t="s">
        <v>391</v>
      </c>
      <c r="F26" s="102" t="s">
        <v>392</v>
      </c>
      <c r="G26" s="102" t="s">
        <v>391</v>
      </c>
      <c r="H26" s="102" t="s">
        <v>392</v>
      </c>
      <c r="I26" s="102" t="s">
        <v>284</v>
      </c>
      <c r="J26" s="102" t="s">
        <v>26</v>
      </c>
      <c r="L26" s="229" t="s">
        <v>7106</v>
      </c>
      <c r="M26" s="229" t="s">
        <v>7106</v>
      </c>
      <c r="O26" s="230"/>
      <c r="U26" s="230"/>
      <c r="V26" s="230" t="str">
        <f>IF(ISNUMBER(MATCH(B26, 'Sprint 11'!B:B, 0)), "มาจาก Sprint 11", "")</f>
        <v/>
      </c>
      <c r="W26" s="230" t="str">
        <f t="array" ref="W26">IF(ISNUMBER(MATCH(B26, 'Sprint 11'!B:B, 0)), INDEX('Sprint 11'!J:J, MATCH(B26, 'Sprint 11'!B:B, 0)), "")</f>
        <v/>
      </c>
      <c r="X26" s="230"/>
      <c r="Y26" s="102" t="s">
        <v>5944</v>
      </c>
      <c r="Z26" s="102" t="s">
        <v>5919</v>
      </c>
      <c r="AA26" s="102" t="s">
        <v>5920</v>
      </c>
      <c r="AB26" s="102" t="s">
        <v>5901</v>
      </c>
      <c r="AC26" s="102" t="s">
        <v>5901</v>
      </c>
      <c r="AD26" s="102" t="s">
        <v>5896</v>
      </c>
    </row>
    <row r="27">
      <c r="A27" s="102" t="s">
        <v>276</v>
      </c>
      <c r="B27" s="102" t="s">
        <v>7110</v>
      </c>
      <c r="C27" s="229" t="s">
        <v>7111</v>
      </c>
      <c r="D27" s="102" t="s">
        <v>7112</v>
      </c>
      <c r="E27" s="102" t="s">
        <v>391</v>
      </c>
      <c r="F27" s="102" t="s">
        <v>392</v>
      </c>
      <c r="G27" s="102" t="s">
        <v>391</v>
      </c>
      <c r="H27" s="102" t="s">
        <v>392</v>
      </c>
      <c r="I27" s="102" t="s">
        <v>284</v>
      </c>
      <c r="J27" s="102" t="s">
        <v>26</v>
      </c>
      <c r="L27" s="229" t="s">
        <v>7113</v>
      </c>
      <c r="M27" s="229" t="s">
        <v>7113</v>
      </c>
      <c r="O27" s="230"/>
      <c r="U27" s="230"/>
      <c r="V27" s="230" t="str">
        <f>IF(ISNUMBER(MATCH(B27, 'Sprint 11'!B:B, 0)), "มาจาก Sprint 11", "")</f>
        <v/>
      </c>
      <c r="W27" s="230" t="str">
        <f t="array" ref="W27">IF(ISNUMBER(MATCH(B27, 'Sprint 11'!B:B, 0)), INDEX('Sprint 11'!J:J, MATCH(B27, 'Sprint 11'!B:B, 0)), "")</f>
        <v/>
      </c>
      <c r="X27" s="230"/>
      <c r="Y27" s="102" t="s">
        <v>5944</v>
      </c>
      <c r="Z27" s="102" t="s">
        <v>5919</v>
      </c>
      <c r="AA27" s="102" t="s">
        <v>5920</v>
      </c>
      <c r="AB27" s="102" t="s">
        <v>5901</v>
      </c>
      <c r="AC27" s="102" t="s">
        <v>5901</v>
      </c>
      <c r="AD27" s="102" t="s">
        <v>5896</v>
      </c>
    </row>
    <row r="28">
      <c r="A28" s="102" t="s">
        <v>276</v>
      </c>
      <c r="B28" s="102" t="s">
        <v>7114</v>
      </c>
      <c r="C28" s="229" t="s">
        <v>7115</v>
      </c>
      <c r="D28" s="102" t="s">
        <v>7116</v>
      </c>
      <c r="E28" s="102" t="s">
        <v>391</v>
      </c>
      <c r="F28" s="102" t="s">
        <v>392</v>
      </c>
      <c r="G28" s="102" t="s">
        <v>391</v>
      </c>
      <c r="H28" s="102" t="s">
        <v>392</v>
      </c>
      <c r="I28" s="102" t="s">
        <v>284</v>
      </c>
      <c r="J28" s="102" t="s">
        <v>26</v>
      </c>
      <c r="L28" s="229" t="s">
        <v>7117</v>
      </c>
      <c r="M28" s="229" t="s">
        <v>7113</v>
      </c>
      <c r="O28" s="230"/>
      <c r="U28" s="230"/>
      <c r="V28" s="230" t="str">
        <f>IF(ISNUMBER(MATCH(B28, 'Sprint 11'!B:B, 0)), "มาจาก Sprint 11", "")</f>
        <v/>
      </c>
      <c r="W28" s="230" t="str">
        <f t="array" ref="W28">IF(ISNUMBER(MATCH(B28, 'Sprint 11'!B:B, 0)), INDEX('Sprint 11'!J:J, MATCH(B28, 'Sprint 11'!B:B, 0)), "")</f>
        <v/>
      </c>
      <c r="X28" s="230"/>
      <c r="Y28" s="102" t="s">
        <v>5944</v>
      </c>
      <c r="Z28" s="102" t="s">
        <v>5919</v>
      </c>
      <c r="AA28" s="102" t="s">
        <v>5920</v>
      </c>
      <c r="AB28" s="102" t="s">
        <v>5901</v>
      </c>
      <c r="AC28" s="102" t="s">
        <v>5901</v>
      </c>
      <c r="AD28" s="102" t="s">
        <v>5896</v>
      </c>
    </row>
    <row r="29">
      <c r="A29" s="102" t="s">
        <v>276</v>
      </c>
      <c r="B29" s="102" t="s">
        <v>7118</v>
      </c>
      <c r="C29" s="229" t="s">
        <v>7119</v>
      </c>
      <c r="D29" s="102" t="s">
        <v>7120</v>
      </c>
      <c r="E29" s="102" t="s">
        <v>391</v>
      </c>
      <c r="F29" s="102" t="s">
        <v>392</v>
      </c>
      <c r="G29" s="102" t="s">
        <v>391</v>
      </c>
      <c r="H29" s="102" t="s">
        <v>392</v>
      </c>
      <c r="I29" s="102" t="s">
        <v>284</v>
      </c>
      <c r="J29" s="102" t="s">
        <v>26</v>
      </c>
      <c r="L29" s="229" t="s">
        <v>7117</v>
      </c>
      <c r="M29" s="229" t="s">
        <v>7117</v>
      </c>
      <c r="O29" s="230"/>
      <c r="U29" s="230"/>
      <c r="V29" s="230" t="str">
        <f>IF(ISNUMBER(MATCH(B29, 'Sprint 11'!B:B, 0)), "มาจาก Sprint 11", "")</f>
        <v/>
      </c>
      <c r="W29" s="230" t="str">
        <f t="array" ref="W29">IF(ISNUMBER(MATCH(B29, 'Sprint 11'!B:B, 0)), INDEX('Sprint 11'!J:J, MATCH(B29, 'Sprint 11'!B:B, 0)), "")</f>
        <v/>
      </c>
      <c r="X29" s="230"/>
      <c r="Y29" s="102" t="s">
        <v>5944</v>
      </c>
      <c r="Z29" s="102" t="s">
        <v>5919</v>
      </c>
      <c r="AA29" s="102" t="s">
        <v>5920</v>
      </c>
      <c r="AB29" s="102" t="s">
        <v>5901</v>
      </c>
      <c r="AC29" s="102" t="s">
        <v>5901</v>
      </c>
      <c r="AD29" s="102" t="s">
        <v>5896</v>
      </c>
    </row>
    <row r="30">
      <c r="A30" s="102" t="s">
        <v>276</v>
      </c>
      <c r="B30" s="102" t="s">
        <v>7121</v>
      </c>
      <c r="C30" s="229" t="s">
        <v>7122</v>
      </c>
      <c r="D30" s="102" t="s">
        <v>7123</v>
      </c>
      <c r="E30" s="102" t="s">
        <v>391</v>
      </c>
      <c r="F30" s="102" t="s">
        <v>392</v>
      </c>
      <c r="G30" s="102" t="s">
        <v>391</v>
      </c>
      <c r="H30" s="102" t="s">
        <v>392</v>
      </c>
      <c r="I30" s="102" t="s">
        <v>284</v>
      </c>
      <c r="J30" s="102" t="s">
        <v>26</v>
      </c>
      <c r="L30" s="229" t="s">
        <v>7124</v>
      </c>
      <c r="M30" s="229" t="s">
        <v>7124</v>
      </c>
      <c r="O30" s="230"/>
      <c r="U30" s="230"/>
      <c r="V30" s="230" t="str">
        <f>IF(ISNUMBER(MATCH(B30, 'Sprint 11'!B:B, 0)), "มาจาก Sprint 11", "")</f>
        <v/>
      </c>
      <c r="W30" s="230" t="str">
        <f t="array" ref="W30">IF(ISNUMBER(MATCH(B30, 'Sprint 11'!B:B, 0)), INDEX('Sprint 11'!J:J, MATCH(B30, 'Sprint 11'!B:B, 0)), "")</f>
        <v/>
      </c>
      <c r="X30" s="230"/>
      <c r="Y30" s="102" t="s">
        <v>5944</v>
      </c>
      <c r="Z30" s="102" t="s">
        <v>5919</v>
      </c>
      <c r="AA30" s="102" t="s">
        <v>5920</v>
      </c>
      <c r="AB30" s="102" t="s">
        <v>5901</v>
      </c>
      <c r="AC30" s="102" t="s">
        <v>5901</v>
      </c>
      <c r="AD30" s="102" t="s">
        <v>5896</v>
      </c>
    </row>
    <row r="31">
      <c r="A31" s="102" t="s">
        <v>276</v>
      </c>
      <c r="B31" s="102" t="s">
        <v>7125</v>
      </c>
      <c r="C31" s="229" t="s">
        <v>7126</v>
      </c>
      <c r="D31" s="102" t="s">
        <v>7127</v>
      </c>
      <c r="E31" s="102" t="s">
        <v>391</v>
      </c>
      <c r="F31" s="102" t="s">
        <v>392</v>
      </c>
      <c r="G31" s="102" t="s">
        <v>391</v>
      </c>
      <c r="H31" s="102" t="s">
        <v>392</v>
      </c>
      <c r="I31" s="102" t="s">
        <v>284</v>
      </c>
      <c r="J31" s="102" t="s">
        <v>26</v>
      </c>
      <c r="L31" s="229" t="s">
        <v>7128</v>
      </c>
      <c r="M31" s="229" t="s">
        <v>7128</v>
      </c>
      <c r="O31" s="230"/>
      <c r="U31" s="230"/>
      <c r="V31" s="230" t="str">
        <f>IF(ISNUMBER(MATCH(B31, 'Sprint 11'!B:B, 0)), "มาจาก Sprint 11", "")</f>
        <v/>
      </c>
      <c r="W31" s="230" t="str">
        <f t="array" ref="W31">IF(ISNUMBER(MATCH(B31, 'Sprint 11'!B:B, 0)), INDEX('Sprint 11'!J:J, MATCH(B31, 'Sprint 11'!B:B, 0)), "")</f>
        <v/>
      </c>
      <c r="X31" s="230"/>
      <c r="Y31" s="102" t="s">
        <v>5944</v>
      </c>
      <c r="Z31" s="102" t="s">
        <v>5919</v>
      </c>
      <c r="AA31" s="102" t="s">
        <v>5920</v>
      </c>
      <c r="AB31" s="102" t="s">
        <v>5901</v>
      </c>
      <c r="AC31" s="102" t="s">
        <v>5901</v>
      </c>
      <c r="AD31" s="102" t="s">
        <v>5896</v>
      </c>
    </row>
    <row r="32">
      <c r="A32" s="102" t="s">
        <v>276</v>
      </c>
      <c r="B32" s="102" t="s">
        <v>7129</v>
      </c>
      <c r="C32" s="229" t="s">
        <v>7130</v>
      </c>
      <c r="D32" s="102" t="s">
        <v>7131</v>
      </c>
      <c r="E32" s="102" t="s">
        <v>391</v>
      </c>
      <c r="F32" s="102" t="s">
        <v>392</v>
      </c>
      <c r="G32" s="102" t="s">
        <v>391</v>
      </c>
      <c r="H32" s="102" t="s">
        <v>392</v>
      </c>
      <c r="I32" s="102" t="s">
        <v>284</v>
      </c>
      <c r="J32" s="102" t="s">
        <v>26</v>
      </c>
      <c r="L32" s="229" t="s">
        <v>7128</v>
      </c>
      <c r="M32" s="229" t="s">
        <v>7128</v>
      </c>
      <c r="O32" s="230"/>
      <c r="U32" s="230"/>
      <c r="V32" s="230" t="str">
        <f>IF(ISNUMBER(MATCH(B32, 'Sprint 11'!B:B, 0)), "มาจาก Sprint 11", "")</f>
        <v/>
      </c>
      <c r="W32" s="230" t="str">
        <f t="array" ref="W32">IF(ISNUMBER(MATCH(B32, 'Sprint 11'!B:B, 0)), INDEX('Sprint 11'!J:J, MATCH(B32, 'Sprint 11'!B:B, 0)), "")</f>
        <v/>
      </c>
      <c r="X32" s="230"/>
      <c r="Y32" s="102" t="s">
        <v>5944</v>
      </c>
      <c r="Z32" s="102" t="s">
        <v>5919</v>
      </c>
      <c r="AA32" s="102" t="s">
        <v>5920</v>
      </c>
      <c r="AB32" s="102" t="s">
        <v>5901</v>
      </c>
      <c r="AC32" s="102" t="s">
        <v>5901</v>
      </c>
      <c r="AD32" s="102" t="s">
        <v>5896</v>
      </c>
    </row>
    <row r="33">
      <c r="A33" s="102" t="s">
        <v>276</v>
      </c>
      <c r="B33" s="102" t="s">
        <v>7132</v>
      </c>
      <c r="C33" s="229" t="s">
        <v>7133</v>
      </c>
      <c r="D33" s="102" t="s">
        <v>7134</v>
      </c>
      <c r="E33" s="102" t="s">
        <v>391</v>
      </c>
      <c r="F33" s="102" t="s">
        <v>392</v>
      </c>
      <c r="G33" s="102" t="s">
        <v>391</v>
      </c>
      <c r="H33" s="102" t="s">
        <v>392</v>
      </c>
      <c r="I33" s="102" t="s">
        <v>284</v>
      </c>
      <c r="J33" s="102" t="s">
        <v>26</v>
      </c>
      <c r="L33" s="229" t="s">
        <v>7135</v>
      </c>
      <c r="M33" s="229" t="s">
        <v>7135</v>
      </c>
      <c r="O33" s="230"/>
      <c r="U33" s="230"/>
      <c r="V33" s="230" t="str">
        <f>IF(ISNUMBER(MATCH(B33, 'Sprint 11'!B:B, 0)), "มาจาก Sprint 11", "")</f>
        <v/>
      </c>
      <c r="W33" s="230" t="str">
        <f t="array" ref="W33">IF(ISNUMBER(MATCH(B33, 'Sprint 11'!B:B, 0)), INDEX('Sprint 11'!J:J, MATCH(B33, 'Sprint 11'!B:B, 0)), "")</f>
        <v/>
      </c>
      <c r="X33" s="230"/>
      <c r="Y33" s="102" t="s">
        <v>5944</v>
      </c>
      <c r="Z33" s="102" t="s">
        <v>5919</v>
      </c>
      <c r="AA33" s="102" t="s">
        <v>5920</v>
      </c>
      <c r="AB33" s="102" t="s">
        <v>5901</v>
      </c>
      <c r="AC33" s="102" t="s">
        <v>5901</v>
      </c>
      <c r="AD33" s="102" t="s">
        <v>5896</v>
      </c>
    </row>
    <row r="34">
      <c r="A34" s="102" t="s">
        <v>276</v>
      </c>
      <c r="B34" s="102" t="s">
        <v>7136</v>
      </c>
      <c r="C34" s="229" t="s">
        <v>7137</v>
      </c>
      <c r="D34" s="102" t="s">
        <v>7138</v>
      </c>
      <c r="E34" s="102" t="s">
        <v>391</v>
      </c>
      <c r="F34" s="102" t="s">
        <v>392</v>
      </c>
      <c r="G34" s="102" t="s">
        <v>391</v>
      </c>
      <c r="H34" s="102" t="s">
        <v>392</v>
      </c>
      <c r="I34" s="102" t="s">
        <v>284</v>
      </c>
      <c r="J34" s="102" t="s">
        <v>26</v>
      </c>
      <c r="L34" s="229" t="s">
        <v>7139</v>
      </c>
      <c r="M34" s="229" t="s">
        <v>7139</v>
      </c>
      <c r="O34" s="102"/>
      <c r="P34" s="102"/>
      <c r="U34" s="230"/>
      <c r="V34" s="230" t="str">
        <f>IF(ISNUMBER(MATCH(B34, 'Sprint 11'!B:B, 0)), "มาจาก Sprint 11", "")</f>
        <v/>
      </c>
      <c r="W34" s="230" t="str">
        <f t="array" ref="W34">IF(ISNUMBER(MATCH(B34, 'Sprint 11'!B:B, 0)), INDEX('Sprint 11'!J:J, MATCH(B34, 'Sprint 11'!B:B, 0)), "")</f>
        <v/>
      </c>
      <c r="X34" s="230"/>
      <c r="Y34" s="102" t="s">
        <v>5944</v>
      </c>
      <c r="Z34" s="102" t="s">
        <v>5919</v>
      </c>
      <c r="AA34" s="102" t="s">
        <v>5920</v>
      </c>
      <c r="AB34" s="102" t="s">
        <v>5901</v>
      </c>
      <c r="AC34" s="102" t="s">
        <v>5901</v>
      </c>
      <c r="AD34" s="102" t="s">
        <v>5896</v>
      </c>
    </row>
    <row r="35">
      <c r="A35" s="102" t="s">
        <v>276</v>
      </c>
      <c r="B35" s="102" t="s">
        <v>6811</v>
      </c>
      <c r="C35" s="229" t="s">
        <v>6812</v>
      </c>
      <c r="D35" s="102" t="s">
        <v>1567</v>
      </c>
      <c r="E35" s="102" t="s">
        <v>3288</v>
      </c>
      <c r="F35" s="102" t="s">
        <v>3289</v>
      </c>
      <c r="G35" s="102" t="s">
        <v>3288</v>
      </c>
      <c r="H35" s="102" t="s">
        <v>3289</v>
      </c>
      <c r="I35" s="102" t="s">
        <v>284</v>
      </c>
      <c r="J35" s="102" t="s">
        <v>63</v>
      </c>
      <c r="L35" s="229" t="s">
        <v>6813</v>
      </c>
      <c r="M35" s="229" t="s">
        <v>6813</v>
      </c>
      <c r="N35" s="102"/>
      <c r="O35" s="102"/>
      <c r="P35" s="102"/>
      <c r="Q35" s="102"/>
      <c r="U35" s="102"/>
      <c r="V35" s="230" t="str">
        <f>IF(ISNUMBER(MATCH(B35, 'Sprint 11'!B:B, 0)), "มาจาก Sprint 11", "")</f>
        <v/>
      </c>
      <c r="W35" s="230" t="str">
        <f t="array" ref="W35">IF(ISNUMBER(MATCH(B35, 'Sprint 11'!B:B, 0)), INDEX('Sprint 11'!J:J, MATCH(B35, 'Sprint 11'!B:B, 0)), "")</f>
        <v/>
      </c>
      <c r="X35" s="102"/>
      <c r="Y35" s="102" t="s">
        <v>2205</v>
      </c>
    </row>
    <row r="36">
      <c r="A36" s="102" t="s">
        <v>276</v>
      </c>
      <c r="B36" s="102" t="s">
        <v>6815</v>
      </c>
      <c r="C36" s="229" t="s">
        <v>6816</v>
      </c>
      <c r="D36" s="102" t="s">
        <v>2030</v>
      </c>
      <c r="E36" s="102" t="s">
        <v>3288</v>
      </c>
      <c r="F36" s="102" t="s">
        <v>3289</v>
      </c>
      <c r="G36" s="102" t="s">
        <v>3288</v>
      </c>
      <c r="H36" s="102" t="s">
        <v>3289</v>
      </c>
      <c r="I36" s="102" t="s">
        <v>284</v>
      </c>
      <c r="J36" s="102" t="s">
        <v>34</v>
      </c>
      <c r="L36" s="229" t="s">
        <v>6813</v>
      </c>
      <c r="M36" s="229" t="s">
        <v>7140</v>
      </c>
      <c r="N36" s="102"/>
      <c r="O36" s="102"/>
      <c r="U36" s="102"/>
      <c r="V36" s="230" t="str">
        <f>IF(ISNUMBER(MATCH(B36, 'Sprint 11'!B:B, 0)), "มาจาก Sprint 11", "")</f>
        <v/>
      </c>
      <c r="W36" s="230" t="str">
        <f t="array" ref="W36">IF(ISNUMBER(MATCH(B36, 'Sprint 11'!B:B, 0)), INDEX('Sprint 11'!J:J, MATCH(B36, 'Sprint 11'!B:B, 0)), "")</f>
        <v/>
      </c>
      <c r="X36" s="102"/>
      <c r="Y36" s="102" t="s">
        <v>2205</v>
      </c>
    </row>
    <row r="37">
      <c r="A37" s="102" t="s">
        <v>276</v>
      </c>
      <c r="B37" s="102" t="s">
        <v>6817</v>
      </c>
      <c r="C37" s="229" t="s">
        <v>6818</v>
      </c>
      <c r="D37" s="102" t="s">
        <v>1567</v>
      </c>
      <c r="E37" s="102" t="s">
        <v>3288</v>
      </c>
      <c r="F37" s="102" t="s">
        <v>3289</v>
      </c>
      <c r="G37" s="102" t="s">
        <v>3288</v>
      </c>
      <c r="H37" s="102" t="s">
        <v>3289</v>
      </c>
      <c r="I37" s="102" t="s">
        <v>284</v>
      </c>
      <c r="J37" s="102" t="s">
        <v>63</v>
      </c>
      <c r="L37" s="229" t="s">
        <v>6819</v>
      </c>
      <c r="M37" s="229" t="s">
        <v>6819</v>
      </c>
      <c r="O37" s="230"/>
      <c r="U37" s="230"/>
      <c r="V37" s="230" t="str">
        <f>IF(ISNUMBER(MATCH(B37, 'Sprint 11'!B:B, 0)), "มาจาก Sprint 11", "")</f>
        <v/>
      </c>
      <c r="W37" s="230" t="str">
        <f t="array" ref="W37">IF(ISNUMBER(MATCH(B37, 'Sprint 11'!B:B, 0)), INDEX('Sprint 11'!J:J, MATCH(B37, 'Sprint 11'!B:B, 0)), "")</f>
        <v/>
      </c>
      <c r="X37" s="230"/>
      <c r="Y37" s="102" t="s">
        <v>2205</v>
      </c>
    </row>
    <row r="38">
      <c r="A38" s="102" t="s">
        <v>276</v>
      </c>
      <c r="B38" s="102" t="s">
        <v>6821</v>
      </c>
      <c r="C38" s="229" t="s">
        <v>6822</v>
      </c>
      <c r="D38" s="102" t="s">
        <v>2030</v>
      </c>
      <c r="E38" s="102" t="s">
        <v>3288</v>
      </c>
      <c r="F38" s="102" t="s">
        <v>3289</v>
      </c>
      <c r="G38" s="102" t="s">
        <v>3288</v>
      </c>
      <c r="H38" s="102" t="s">
        <v>3289</v>
      </c>
      <c r="I38" s="102" t="s">
        <v>284</v>
      </c>
      <c r="J38" s="102" t="s">
        <v>34</v>
      </c>
      <c r="L38" s="229" t="s">
        <v>6819</v>
      </c>
      <c r="M38" s="229" t="s">
        <v>7140</v>
      </c>
      <c r="O38" s="230"/>
      <c r="U38" s="230"/>
      <c r="V38" s="230" t="str">
        <f>IF(ISNUMBER(MATCH(B38, 'Sprint 11'!B:B, 0)), "มาจาก Sprint 11", "")</f>
        <v/>
      </c>
      <c r="W38" s="230" t="str">
        <f t="array" ref="W38">IF(ISNUMBER(MATCH(B38, 'Sprint 11'!B:B, 0)), INDEX('Sprint 11'!J:J, MATCH(B38, 'Sprint 11'!B:B, 0)), "")</f>
        <v/>
      </c>
      <c r="X38" s="230"/>
      <c r="Y38" s="102" t="s">
        <v>2205</v>
      </c>
    </row>
    <row r="39">
      <c r="A39" s="102" t="s">
        <v>310</v>
      </c>
      <c r="B39" s="102" t="s">
        <v>7141</v>
      </c>
      <c r="C39" s="229" t="s">
        <v>7142</v>
      </c>
      <c r="D39" s="102" t="s">
        <v>7143</v>
      </c>
      <c r="E39" s="102" t="s">
        <v>282</v>
      </c>
      <c r="F39" s="102" t="s">
        <v>283</v>
      </c>
      <c r="G39" s="102" t="s">
        <v>282</v>
      </c>
      <c r="H39" s="102" t="s">
        <v>283</v>
      </c>
      <c r="I39" s="102" t="s">
        <v>284</v>
      </c>
      <c r="J39" s="102" t="s">
        <v>26</v>
      </c>
      <c r="L39" s="229" t="s">
        <v>7144</v>
      </c>
      <c r="M39" s="229" t="s">
        <v>7145</v>
      </c>
      <c r="N39" s="102"/>
      <c r="O39" s="102">
        <v>3.0</v>
      </c>
      <c r="P39" s="102" t="s">
        <v>593</v>
      </c>
      <c r="U39" s="102"/>
      <c r="V39" s="230" t="str">
        <f>IF(ISNUMBER(MATCH(B39, 'Sprint 11'!B:B, 0)), "มาจาก Sprint 11", "")</f>
        <v/>
      </c>
      <c r="W39" s="230" t="str">
        <f t="array" ref="W39">IF(ISNUMBER(MATCH(B39, 'Sprint 11'!B:B, 0)), INDEX('Sprint 11'!J:J, MATCH(B39, 'Sprint 11'!B:B, 0)), "")</f>
        <v/>
      </c>
      <c r="X39" s="102"/>
      <c r="Y39" s="102" t="s">
        <v>5896</v>
      </c>
    </row>
    <row r="40">
      <c r="A40" s="102" t="s">
        <v>310</v>
      </c>
      <c r="B40" s="102" t="s">
        <v>7146</v>
      </c>
      <c r="C40" s="229" t="s">
        <v>7147</v>
      </c>
      <c r="D40" s="102" t="s">
        <v>7148</v>
      </c>
      <c r="E40" s="102" t="s">
        <v>314</v>
      </c>
      <c r="F40" s="102" t="s">
        <v>315</v>
      </c>
      <c r="G40" s="102" t="s">
        <v>316</v>
      </c>
      <c r="H40" s="102" t="s">
        <v>317</v>
      </c>
      <c r="I40" s="102" t="s">
        <v>284</v>
      </c>
      <c r="J40" s="102" t="s">
        <v>26</v>
      </c>
      <c r="L40" s="229" t="s">
        <v>7149</v>
      </c>
      <c r="M40" s="229" t="s">
        <v>7150</v>
      </c>
      <c r="N40" s="229" t="s">
        <v>4959</v>
      </c>
      <c r="O40" s="102">
        <v>1.0</v>
      </c>
      <c r="P40" s="102" t="s">
        <v>367</v>
      </c>
      <c r="Q40" s="102" t="s">
        <v>2890</v>
      </c>
      <c r="U40" s="102">
        <v>1800.0</v>
      </c>
      <c r="V40" s="230" t="str">
        <f>IF(ISNUMBER(MATCH(B40, 'Sprint 11'!B:B, 0)), "มาจาก Sprint 11", "")</f>
        <v/>
      </c>
      <c r="W40" s="230" t="str">
        <f t="array" ref="W40">IF(ISNUMBER(MATCH(B40, 'Sprint 11'!B:B, 0)), INDEX('Sprint 11'!J:J, MATCH(B40, 'Sprint 11'!B:B, 0)), "")</f>
        <v/>
      </c>
      <c r="X40" s="102"/>
      <c r="Y40" s="102" t="s">
        <v>4954</v>
      </c>
    </row>
    <row r="41">
      <c r="A41" s="102" t="s">
        <v>310</v>
      </c>
      <c r="B41" s="102" t="s">
        <v>7151</v>
      </c>
      <c r="C41" s="229" t="s">
        <v>7152</v>
      </c>
      <c r="D41" s="102" t="s">
        <v>7153</v>
      </c>
      <c r="E41" s="102" t="s">
        <v>564</v>
      </c>
      <c r="F41" s="102" t="s">
        <v>565</v>
      </c>
      <c r="G41" s="102" t="s">
        <v>353</v>
      </c>
      <c r="H41" s="102" t="s">
        <v>354</v>
      </c>
      <c r="I41" s="102" t="s">
        <v>284</v>
      </c>
      <c r="J41" s="102" t="s">
        <v>26</v>
      </c>
      <c r="L41" s="229" t="s">
        <v>7154</v>
      </c>
      <c r="M41" s="229" t="s">
        <v>7155</v>
      </c>
      <c r="N41" s="229" t="s">
        <v>6904</v>
      </c>
      <c r="O41" s="102">
        <v>1.0</v>
      </c>
      <c r="U41" s="102">
        <v>7200.0</v>
      </c>
      <c r="V41" s="230" t="str">
        <f>IF(ISNUMBER(MATCH(B41, 'Sprint 11'!B:B, 0)), "มาจาก Sprint 11", "")</f>
        <v/>
      </c>
      <c r="W41" s="230" t="str">
        <f t="array" ref="W41">IF(ISNUMBER(MATCH(B41, 'Sprint 11'!B:B, 0)), INDEX('Sprint 11'!J:J, MATCH(B41, 'Sprint 11'!B:B, 0)), "")</f>
        <v/>
      </c>
      <c r="X41" s="102"/>
      <c r="Y41" s="102" t="s">
        <v>4954</v>
      </c>
    </row>
    <row r="42">
      <c r="A42" s="102" t="s">
        <v>332</v>
      </c>
      <c r="B42" s="102" t="s">
        <v>7156</v>
      </c>
      <c r="C42" s="229" t="s">
        <v>7157</v>
      </c>
      <c r="D42" s="102" t="s">
        <v>7158</v>
      </c>
      <c r="E42" s="102" t="s">
        <v>495</v>
      </c>
      <c r="F42" s="102" t="s">
        <v>496</v>
      </c>
      <c r="G42" s="102" t="s">
        <v>280</v>
      </c>
      <c r="H42" s="102" t="s">
        <v>281</v>
      </c>
      <c r="I42" s="102" t="s">
        <v>284</v>
      </c>
      <c r="J42" s="102" t="s">
        <v>336</v>
      </c>
      <c r="L42" s="229" t="s">
        <v>7159</v>
      </c>
      <c r="M42" s="229" t="s">
        <v>7160</v>
      </c>
      <c r="O42" s="102"/>
      <c r="U42" s="230"/>
      <c r="V42" s="230" t="str">
        <f>IF(ISNUMBER(MATCH(B42, 'Sprint 11'!B:B, 0)), "มาจาก Sprint 11", "")</f>
        <v/>
      </c>
      <c r="W42" s="230" t="str">
        <f t="array" ref="W42">IF(ISNUMBER(MATCH(B42, 'Sprint 11'!B:B, 0)), INDEX('Sprint 11'!J:J, MATCH(B42, 'Sprint 11'!B:B, 0)), "")</f>
        <v/>
      </c>
      <c r="X42" s="230"/>
      <c r="Y42" s="102" t="s">
        <v>1366</v>
      </c>
    </row>
    <row r="43">
      <c r="A43" s="102" t="s">
        <v>332</v>
      </c>
      <c r="B43" s="102" t="s">
        <v>6393</v>
      </c>
      <c r="C43" s="229" t="s">
        <v>6394</v>
      </c>
      <c r="D43" s="102" t="s">
        <v>6395</v>
      </c>
      <c r="E43" s="102" t="s">
        <v>495</v>
      </c>
      <c r="F43" s="102" t="s">
        <v>496</v>
      </c>
      <c r="G43" s="102" t="s">
        <v>280</v>
      </c>
      <c r="H43" s="102" t="s">
        <v>281</v>
      </c>
      <c r="I43" s="102" t="s">
        <v>284</v>
      </c>
      <c r="J43" s="102" t="s">
        <v>2415</v>
      </c>
      <c r="L43" s="229" t="s">
        <v>6396</v>
      </c>
      <c r="M43" s="229" t="s">
        <v>7161</v>
      </c>
      <c r="O43" s="230"/>
      <c r="U43" s="230"/>
      <c r="V43" s="230" t="str">
        <f>IF(ISNUMBER(MATCH(B43, 'Sprint 11'!B:B, 0)), "มาจาก Sprint 11", "")</f>
        <v/>
      </c>
      <c r="W43" s="230" t="str">
        <f t="array" ref="W43">IF(ISNUMBER(MATCH(B43, 'Sprint 11'!B:B, 0)), INDEX('Sprint 11'!J:J, MATCH(B43, 'Sprint 11'!B:B, 0)), "")</f>
        <v/>
      </c>
      <c r="X43" s="230"/>
      <c r="Y43" s="102" t="s">
        <v>1366</v>
      </c>
    </row>
    <row r="44">
      <c r="A44" s="102" t="s">
        <v>310</v>
      </c>
      <c r="B44" s="102" t="s">
        <v>7162</v>
      </c>
      <c r="C44" s="229" t="s">
        <v>7163</v>
      </c>
      <c r="D44" s="102" t="s">
        <v>7164</v>
      </c>
      <c r="E44" s="102" t="s">
        <v>513</v>
      </c>
      <c r="F44" s="102" t="s">
        <v>514</v>
      </c>
      <c r="G44" s="102" t="s">
        <v>513</v>
      </c>
      <c r="H44" s="102" t="s">
        <v>514</v>
      </c>
      <c r="I44" s="102" t="s">
        <v>515</v>
      </c>
      <c r="J44" s="102" t="s">
        <v>26</v>
      </c>
      <c r="L44" s="229" t="s">
        <v>7165</v>
      </c>
      <c r="M44" s="229" t="s">
        <v>7166</v>
      </c>
      <c r="N44" s="229" t="s">
        <v>6892</v>
      </c>
      <c r="O44" s="102">
        <v>5.0</v>
      </c>
      <c r="U44" s="102">
        <v>86400.0</v>
      </c>
      <c r="V44" s="230" t="str">
        <f>IF(ISNUMBER(MATCH(B44, 'Sprint 11'!B:B, 0)), "มาจาก Sprint 11", "")</f>
        <v/>
      </c>
      <c r="W44" s="230" t="str">
        <f t="array" ref="W44">IF(ISNUMBER(MATCH(B44, 'Sprint 11'!B:B, 0)), INDEX('Sprint 11'!J:J, MATCH(B44, 'Sprint 11'!B:B, 0)), "")</f>
        <v/>
      </c>
      <c r="X44" s="102"/>
      <c r="Y44" s="102" t="s">
        <v>7009</v>
      </c>
    </row>
    <row r="45">
      <c r="A45" s="102" t="s">
        <v>332</v>
      </c>
      <c r="B45" s="102" t="s">
        <v>7167</v>
      </c>
      <c r="C45" s="229" t="s">
        <v>7168</v>
      </c>
      <c r="D45" s="102" t="s">
        <v>7169</v>
      </c>
      <c r="E45" s="102" t="s">
        <v>6315</v>
      </c>
      <c r="F45" s="102" t="s">
        <v>6316</v>
      </c>
      <c r="G45" s="102" t="s">
        <v>5844</v>
      </c>
      <c r="H45" s="102" t="s">
        <v>5845</v>
      </c>
      <c r="I45" s="102" t="s">
        <v>284</v>
      </c>
      <c r="J45" s="102" t="s">
        <v>336</v>
      </c>
      <c r="L45" s="229" t="s">
        <v>7170</v>
      </c>
      <c r="M45" s="229" t="s">
        <v>7171</v>
      </c>
      <c r="O45" s="102"/>
      <c r="P45" s="102"/>
      <c r="U45" s="102"/>
      <c r="V45" s="230" t="str">
        <f>IF(ISNUMBER(MATCH(B45, 'Sprint 11'!B:B, 0)), "มาจาก Sprint 11", "")</f>
        <v/>
      </c>
      <c r="W45" s="230" t="str">
        <f t="array" ref="W45">IF(ISNUMBER(MATCH(B45, 'Sprint 11'!B:B, 0)), INDEX('Sprint 11'!J:J, MATCH(B45, 'Sprint 11'!B:B, 0)), "")</f>
        <v/>
      </c>
      <c r="X45" s="102"/>
      <c r="Y45" s="102" t="s">
        <v>5896</v>
      </c>
    </row>
    <row r="46">
      <c r="A46" s="102" t="s">
        <v>332</v>
      </c>
      <c r="B46" s="102" t="s">
        <v>7172</v>
      </c>
      <c r="C46" s="229" t="s">
        <v>7173</v>
      </c>
      <c r="D46" s="102" t="s">
        <v>7174</v>
      </c>
      <c r="E46" s="102" t="s">
        <v>6315</v>
      </c>
      <c r="F46" s="102" t="s">
        <v>6316</v>
      </c>
      <c r="G46" s="102" t="s">
        <v>521</v>
      </c>
      <c r="H46" s="102" t="s">
        <v>522</v>
      </c>
      <c r="I46" s="102" t="s">
        <v>284</v>
      </c>
      <c r="J46" s="102" t="s">
        <v>336</v>
      </c>
      <c r="L46" s="229" t="s">
        <v>7175</v>
      </c>
      <c r="M46" s="229" t="s">
        <v>7176</v>
      </c>
      <c r="O46" s="102"/>
      <c r="U46" s="230"/>
      <c r="V46" s="230" t="str">
        <f>IF(ISNUMBER(MATCH(B46, 'Sprint 11'!B:B, 0)), "มาจาก Sprint 11", "")</f>
        <v/>
      </c>
      <c r="W46" s="230" t="str">
        <f t="array" ref="W46">IF(ISNUMBER(MATCH(B46, 'Sprint 11'!B:B, 0)), INDEX('Sprint 11'!J:J, MATCH(B46, 'Sprint 11'!B:B, 0)), "")</f>
        <v/>
      </c>
      <c r="X46" s="230"/>
      <c r="Y46" s="102" t="s">
        <v>5896</v>
      </c>
    </row>
    <row r="47">
      <c r="A47" s="102" t="s">
        <v>310</v>
      </c>
      <c r="B47" s="102" t="s">
        <v>7177</v>
      </c>
      <c r="C47" s="229" t="s">
        <v>7178</v>
      </c>
      <c r="D47" s="102" t="s">
        <v>7179</v>
      </c>
      <c r="E47" s="102" t="s">
        <v>513</v>
      </c>
      <c r="F47" s="102" t="s">
        <v>514</v>
      </c>
      <c r="G47" s="102" t="s">
        <v>513</v>
      </c>
      <c r="H47" s="102" t="s">
        <v>514</v>
      </c>
      <c r="I47" s="102" t="s">
        <v>515</v>
      </c>
      <c r="J47" s="102" t="s">
        <v>26</v>
      </c>
      <c r="L47" s="229" t="s">
        <v>7180</v>
      </c>
      <c r="M47" s="229" t="s">
        <v>7181</v>
      </c>
      <c r="O47" s="102">
        <v>3.0</v>
      </c>
      <c r="P47" s="102"/>
      <c r="U47" s="230"/>
      <c r="V47" s="230" t="str">
        <f>IF(ISNUMBER(MATCH(B47, 'Sprint 11'!B:B, 0)), "มาจาก Sprint 11", "")</f>
        <v/>
      </c>
      <c r="W47" s="230" t="str">
        <f t="array" ref="W47">IF(ISNUMBER(MATCH(B47, 'Sprint 11'!B:B, 0)), INDEX('Sprint 11'!J:J, MATCH(B47, 'Sprint 11'!B:B, 0)), "")</f>
        <v/>
      </c>
      <c r="X47" s="230"/>
      <c r="Y47" s="102" t="s">
        <v>7009</v>
      </c>
    </row>
    <row r="48">
      <c r="A48" s="102" t="s">
        <v>276</v>
      </c>
      <c r="B48" s="102" t="s">
        <v>6824</v>
      </c>
      <c r="C48" s="229" t="s">
        <v>6825</v>
      </c>
      <c r="D48" s="102" t="s">
        <v>347</v>
      </c>
      <c r="E48" s="102" t="s">
        <v>280</v>
      </c>
      <c r="F48" s="102" t="s">
        <v>281</v>
      </c>
      <c r="G48" s="102" t="s">
        <v>280</v>
      </c>
      <c r="H48" s="102" t="s">
        <v>281</v>
      </c>
      <c r="I48" s="102" t="s">
        <v>284</v>
      </c>
      <c r="J48" s="102" t="s">
        <v>26</v>
      </c>
      <c r="L48" s="229" t="s">
        <v>6826</v>
      </c>
      <c r="M48" s="229" t="s">
        <v>6827</v>
      </c>
      <c r="O48" s="230"/>
      <c r="U48" s="230"/>
      <c r="V48" s="230" t="str">
        <f>IF(ISNUMBER(MATCH(B48, 'Sprint 11'!B:B, 0)), "มาจาก Sprint 11", "")</f>
        <v/>
      </c>
      <c r="W48" s="230" t="str">
        <f t="array" ref="W48">IF(ISNUMBER(MATCH(B48, 'Sprint 11'!B:B, 0)), INDEX('Sprint 11'!J:J, MATCH(B48, 'Sprint 11'!B:B, 0)), "")</f>
        <v/>
      </c>
      <c r="X48" s="230"/>
      <c r="Y48" s="102" t="s">
        <v>1366</v>
      </c>
    </row>
    <row r="49">
      <c r="A49" s="102" t="s">
        <v>276</v>
      </c>
      <c r="B49" s="102" t="s">
        <v>6828</v>
      </c>
      <c r="C49" s="229" t="s">
        <v>6829</v>
      </c>
      <c r="D49" s="102" t="s">
        <v>2030</v>
      </c>
      <c r="E49" s="102" t="s">
        <v>280</v>
      </c>
      <c r="F49" s="102" t="s">
        <v>281</v>
      </c>
      <c r="G49" s="102" t="s">
        <v>280</v>
      </c>
      <c r="H49" s="102" t="s">
        <v>281</v>
      </c>
      <c r="I49" s="102" t="s">
        <v>284</v>
      </c>
      <c r="J49" s="102" t="s">
        <v>26</v>
      </c>
      <c r="L49" s="229" t="s">
        <v>6826</v>
      </c>
      <c r="M49" s="229" t="s">
        <v>6830</v>
      </c>
      <c r="O49" s="230"/>
      <c r="P49" s="102"/>
      <c r="U49" s="230"/>
      <c r="V49" s="230" t="str">
        <f>IF(ISNUMBER(MATCH(B49, 'Sprint 11'!B:B, 0)), "มาจาก Sprint 11", "")</f>
        <v/>
      </c>
      <c r="W49" s="230" t="str">
        <f t="array" ref="W49">IF(ISNUMBER(MATCH(B49, 'Sprint 11'!B:B, 0)), INDEX('Sprint 11'!J:J, MATCH(B49, 'Sprint 11'!B:B, 0)), "")</f>
        <v/>
      </c>
      <c r="X49" s="230"/>
      <c r="Y49" s="102" t="s">
        <v>1366</v>
      </c>
    </row>
    <row r="50">
      <c r="A50" s="102" t="s">
        <v>310</v>
      </c>
      <c r="B50" s="102" t="s">
        <v>6831</v>
      </c>
      <c r="C50" s="229" t="s">
        <v>6832</v>
      </c>
      <c r="D50" s="102" t="s">
        <v>6833</v>
      </c>
      <c r="E50" s="102" t="s">
        <v>495</v>
      </c>
      <c r="F50" s="102" t="s">
        <v>496</v>
      </c>
      <c r="G50" s="102" t="s">
        <v>304</v>
      </c>
      <c r="H50" s="102" t="s">
        <v>305</v>
      </c>
      <c r="I50" s="102" t="s">
        <v>284</v>
      </c>
      <c r="J50" s="102" t="s">
        <v>454</v>
      </c>
      <c r="L50" s="229" t="s">
        <v>6834</v>
      </c>
      <c r="M50" s="229" t="s">
        <v>7182</v>
      </c>
      <c r="N50" s="102"/>
      <c r="O50" s="102">
        <v>3.0</v>
      </c>
      <c r="P50" s="102" t="s">
        <v>538</v>
      </c>
      <c r="U50" s="102">
        <v>57600.0</v>
      </c>
      <c r="V50" s="230" t="str">
        <f>IF(ISNUMBER(MATCH(B50, 'Sprint 11'!B:B, 0)), "มาจาก Sprint 11", "")</f>
        <v/>
      </c>
      <c r="W50" s="230" t="str">
        <f t="array" ref="W50">IF(ISNUMBER(MATCH(B50, 'Sprint 11'!B:B, 0)), INDEX('Sprint 11'!J:J, MATCH(B50, 'Sprint 11'!B:B, 0)), "")</f>
        <v/>
      </c>
      <c r="X50" s="102"/>
      <c r="Y50" s="102" t="s">
        <v>2205</v>
      </c>
    </row>
    <row r="51">
      <c r="A51" s="102" t="s">
        <v>310</v>
      </c>
      <c r="B51" s="102" t="s">
        <v>6835</v>
      </c>
      <c r="C51" s="229" t="s">
        <v>6836</v>
      </c>
      <c r="D51" s="102" t="s">
        <v>6837</v>
      </c>
      <c r="E51" s="102" t="s">
        <v>314</v>
      </c>
      <c r="F51" s="102" t="s">
        <v>315</v>
      </c>
      <c r="G51" s="102" t="s">
        <v>314</v>
      </c>
      <c r="H51" s="102" t="s">
        <v>315</v>
      </c>
      <c r="I51" s="102" t="s">
        <v>515</v>
      </c>
      <c r="J51" s="102" t="s">
        <v>34</v>
      </c>
      <c r="L51" s="229" t="s">
        <v>6838</v>
      </c>
      <c r="M51" s="229" t="s">
        <v>7183</v>
      </c>
      <c r="O51" s="102">
        <v>2.0</v>
      </c>
      <c r="U51" s="102">
        <v>14400.0</v>
      </c>
      <c r="V51" s="230" t="str">
        <f>IF(ISNUMBER(MATCH(B51, 'Sprint 11'!B:B, 0)), "มาจาก Sprint 11", "")</f>
        <v/>
      </c>
      <c r="W51" s="230" t="str">
        <f t="array" ref="W51">IF(ISNUMBER(MATCH(B51, 'Sprint 11'!B:B, 0)), INDEX('Sprint 11'!J:J, MATCH(B51, 'Sprint 11'!B:B, 0)), "")</f>
        <v/>
      </c>
      <c r="X51" s="102"/>
      <c r="Y51" s="102" t="s">
        <v>1366</v>
      </c>
    </row>
    <row r="52">
      <c r="A52" s="102" t="s">
        <v>310</v>
      </c>
      <c r="B52" s="102" t="s">
        <v>7184</v>
      </c>
      <c r="C52" s="229" t="s">
        <v>7185</v>
      </c>
      <c r="D52" s="102" t="s">
        <v>7186</v>
      </c>
      <c r="E52" s="102" t="s">
        <v>314</v>
      </c>
      <c r="F52" s="102" t="s">
        <v>315</v>
      </c>
      <c r="G52" s="102" t="s">
        <v>314</v>
      </c>
      <c r="H52" s="102" t="s">
        <v>315</v>
      </c>
      <c r="I52" s="102" t="s">
        <v>284</v>
      </c>
      <c r="J52" s="102" t="s">
        <v>26</v>
      </c>
      <c r="L52" s="229" t="s">
        <v>7187</v>
      </c>
      <c r="M52" s="229" t="s">
        <v>7188</v>
      </c>
      <c r="O52" s="102">
        <v>2.0</v>
      </c>
      <c r="P52" s="102" t="s">
        <v>593</v>
      </c>
      <c r="U52" s="102">
        <v>3600.0</v>
      </c>
      <c r="V52" s="230" t="str">
        <f>IF(ISNUMBER(MATCH(B52, 'Sprint 11'!B:B, 0)), "มาจาก Sprint 11", "")</f>
        <v/>
      </c>
      <c r="W52" s="230" t="str">
        <f t="array" ref="W52">IF(ISNUMBER(MATCH(B52, 'Sprint 11'!B:B, 0)), INDEX('Sprint 11'!J:J, MATCH(B52, 'Sprint 11'!B:B, 0)), "")</f>
        <v/>
      </c>
      <c r="X52" s="102"/>
      <c r="Y52" s="102" t="s">
        <v>1366</v>
      </c>
    </row>
    <row r="53">
      <c r="A53" s="102" t="s">
        <v>630</v>
      </c>
      <c r="B53" s="102" t="s">
        <v>2201</v>
      </c>
      <c r="C53" s="229" t="s">
        <v>2202</v>
      </c>
      <c r="D53" s="102" t="s">
        <v>2203</v>
      </c>
      <c r="E53" s="102"/>
      <c r="F53" s="102"/>
      <c r="G53" s="102" t="s">
        <v>304</v>
      </c>
      <c r="H53" s="102" t="s">
        <v>305</v>
      </c>
      <c r="I53" s="102" t="s">
        <v>284</v>
      </c>
      <c r="J53" s="102" t="s">
        <v>63</v>
      </c>
      <c r="L53" s="229" t="s">
        <v>2204</v>
      </c>
      <c r="M53" s="229" t="s">
        <v>2204</v>
      </c>
      <c r="O53" s="230"/>
      <c r="U53" s="230"/>
      <c r="V53" s="230" t="str">
        <f>IF(ISNUMBER(MATCH(B53, 'Sprint 11'!B:B, 0)), "มาจาก Sprint 11", "")</f>
        <v/>
      </c>
      <c r="W53" s="230" t="str">
        <f t="array" ref="W53">IF(ISNUMBER(MATCH(B53, 'Sprint 11'!B:B, 0)), INDEX('Sprint 11'!J:J, MATCH(B53, 'Sprint 11'!B:B, 0)), "")</f>
        <v/>
      </c>
      <c r="X53" s="230"/>
      <c r="Y53" s="102" t="s">
        <v>2205</v>
      </c>
    </row>
    <row r="54">
      <c r="A54" s="102" t="s">
        <v>630</v>
      </c>
      <c r="B54" s="102" t="s">
        <v>2206</v>
      </c>
      <c r="C54" s="229" t="s">
        <v>2207</v>
      </c>
      <c r="D54" s="102" t="s">
        <v>2208</v>
      </c>
      <c r="E54" s="102"/>
      <c r="F54" s="102"/>
      <c r="G54" s="102" t="s">
        <v>304</v>
      </c>
      <c r="H54" s="102" t="s">
        <v>305</v>
      </c>
      <c r="I54" s="102" t="s">
        <v>284</v>
      </c>
      <c r="J54" s="102" t="s">
        <v>63</v>
      </c>
      <c r="L54" s="229" t="s">
        <v>2209</v>
      </c>
      <c r="M54" s="229" t="s">
        <v>2209</v>
      </c>
      <c r="O54" s="230"/>
      <c r="P54" s="102" t="s">
        <v>1808</v>
      </c>
      <c r="U54" s="230"/>
      <c r="V54" s="230" t="str">
        <f>IF(ISNUMBER(MATCH(B54, 'Sprint 11'!B:B, 0)), "มาจาก Sprint 11", "")</f>
        <v/>
      </c>
      <c r="W54" s="230" t="str">
        <f t="array" ref="W54">IF(ISNUMBER(MATCH(B54, 'Sprint 11'!B:B, 0)), INDEX('Sprint 11'!J:J, MATCH(B54, 'Sprint 11'!B:B, 0)), "")</f>
        <v/>
      </c>
      <c r="X54" s="230"/>
      <c r="Y54" s="102" t="s">
        <v>2205</v>
      </c>
      <c r="Z54" s="102"/>
    </row>
    <row r="55">
      <c r="A55" s="102" t="s">
        <v>332</v>
      </c>
      <c r="B55" s="102" t="s">
        <v>7189</v>
      </c>
      <c r="C55" s="229" t="s">
        <v>7190</v>
      </c>
      <c r="D55" s="102" t="s">
        <v>7191</v>
      </c>
      <c r="E55" s="102" t="s">
        <v>304</v>
      </c>
      <c r="F55" s="102" t="s">
        <v>305</v>
      </c>
      <c r="G55" s="102" t="s">
        <v>304</v>
      </c>
      <c r="H55" s="102" t="s">
        <v>305</v>
      </c>
      <c r="I55" s="102" t="s">
        <v>284</v>
      </c>
      <c r="J55" s="102" t="s">
        <v>336</v>
      </c>
      <c r="L55" s="229" t="s">
        <v>7192</v>
      </c>
      <c r="M55" s="229" t="s">
        <v>7193</v>
      </c>
      <c r="N55" s="229" t="s">
        <v>5895</v>
      </c>
      <c r="O55" s="230"/>
      <c r="P55" s="102" t="s">
        <v>1808</v>
      </c>
      <c r="U55" s="230"/>
      <c r="V55" s="230" t="str">
        <f>IF(ISNUMBER(MATCH(B55, 'Sprint 11'!B:B, 0)), "มาจาก Sprint 11", "")</f>
        <v/>
      </c>
      <c r="W55" s="230" t="str">
        <f t="array" ref="W55">IF(ISNUMBER(MATCH(B55, 'Sprint 11'!B:B, 0)), INDEX('Sprint 11'!J:J, MATCH(B55, 'Sprint 11'!B:B, 0)), "")</f>
        <v/>
      </c>
      <c r="X55" s="230"/>
      <c r="Y55" s="102" t="s">
        <v>2205</v>
      </c>
      <c r="Z55" s="102"/>
    </row>
    <row r="56">
      <c r="A56" s="102" t="s">
        <v>332</v>
      </c>
      <c r="B56" s="102" t="s">
        <v>7194</v>
      </c>
      <c r="C56" s="229" t="s">
        <v>7195</v>
      </c>
      <c r="D56" s="102" t="s">
        <v>7196</v>
      </c>
      <c r="E56" s="102" t="s">
        <v>564</v>
      </c>
      <c r="F56" s="102" t="s">
        <v>565</v>
      </c>
      <c r="G56" s="102" t="s">
        <v>521</v>
      </c>
      <c r="H56" s="102" t="s">
        <v>522</v>
      </c>
      <c r="I56" s="102" t="s">
        <v>284</v>
      </c>
      <c r="J56" s="102" t="s">
        <v>336</v>
      </c>
      <c r="L56" s="229" t="s">
        <v>7197</v>
      </c>
      <c r="M56" s="229" t="s">
        <v>7198</v>
      </c>
      <c r="N56" s="102"/>
      <c r="O56" s="102"/>
      <c r="U56" s="102"/>
      <c r="V56" s="230" t="str">
        <f>IF(ISNUMBER(MATCH(B56, 'Sprint 11'!B:B, 0)), "มาจาก Sprint 11", "")</f>
        <v/>
      </c>
      <c r="W56" s="230" t="str">
        <f t="array" ref="W56">IF(ISNUMBER(MATCH(B56, 'Sprint 11'!B:B, 0)), INDEX('Sprint 11'!J:J, MATCH(B56, 'Sprint 11'!B:B, 0)), "")</f>
        <v/>
      </c>
      <c r="X56" s="102"/>
      <c r="Y56" s="102" t="s">
        <v>5896</v>
      </c>
    </row>
    <row r="57">
      <c r="A57" s="102" t="s">
        <v>332</v>
      </c>
      <c r="B57" s="102" t="s">
        <v>7199</v>
      </c>
      <c r="C57" s="229" t="s">
        <v>7200</v>
      </c>
      <c r="D57" s="102" t="s">
        <v>7201</v>
      </c>
      <c r="E57" s="102" t="s">
        <v>556</v>
      </c>
      <c r="F57" s="102" t="s">
        <v>557</v>
      </c>
      <c r="G57" s="102" t="s">
        <v>521</v>
      </c>
      <c r="H57" s="102" t="s">
        <v>522</v>
      </c>
      <c r="I57" s="102" t="s">
        <v>284</v>
      </c>
      <c r="J57" s="102" t="s">
        <v>2318</v>
      </c>
      <c r="L57" s="229" t="s">
        <v>7202</v>
      </c>
      <c r="M57" s="229" t="s">
        <v>7203</v>
      </c>
      <c r="O57" s="102"/>
      <c r="P57" s="102"/>
      <c r="U57" s="230"/>
      <c r="V57" s="230" t="str">
        <f>IF(ISNUMBER(MATCH(B57, 'Sprint 11'!B:B, 0)), "มาจาก Sprint 11", "")</f>
        <v/>
      </c>
      <c r="W57" s="230" t="str">
        <f t="array" ref="W57">IF(ISNUMBER(MATCH(B57, 'Sprint 11'!B:B, 0)), INDEX('Sprint 11'!J:J, MATCH(B57, 'Sprint 11'!B:B, 0)), "")</f>
        <v/>
      </c>
      <c r="X57" s="230"/>
      <c r="Y57" s="102" t="s">
        <v>5896</v>
      </c>
    </row>
    <row r="58">
      <c r="A58" s="102" t="s">
        <v>332</v>
      </c>
      <c r="B58" s="102" t="s">
        <v>7204</v>
      </c>
      <c r="C58" s="229" t="s">
        <v>7205</v>
      </c>
      <c r="D58" s="102" t="s">
        <v>7206</v>
      </c>
      <c r="E58" s="102" t="s">
        <v>328</v>
      </c>
      <c r="F58" s="102" t="s">
        <v>329</v>
      </c>
      <c r="G58" s="102" t="s">
        <v>521</v>
      </c>
      <c r="H58" s="102" t="s">
        <v>522</v>
      </c>
      <c r="I58" s="102" t="s">
        <v>284</v>
      </c>
      <c r="J58" s="102" t="s">
        <v>336</v>
      </c>
      <c r="L58" s="229" t="s">
        <v>7207</v>
      </c>
      <c r="M58" s="229" t="s">
        <v>7208</v>
      </c>
      <c r="O58" s="230"/>
      <c r="U58" s="230"/>
      <c r="V58" s="230" t="str">
        <f>IF(ISNUMBER(MATCH(B58, 'Sprint 11'!B:B, 0)), "มาจาก Sprint 11", "")</f>
        <v/>
      </c>
      <c r="W58" s="230" t="str">
        <f t="array" ref="W58">IF(ISNUMBER(MATCH(B58, 'Sprint 11'!B:B, 0)), INDEX('Sprint 11'!J:J, MATCH(B58, 'Sprint 11'!B:B, 0)), "")</f>
        <v/>
      </c>
      <c r="X58" s="230"/>
      <c r="Y58" s="102" t="s">
        <v>5896</v>
      </c>
    </row>
    <row r="59">
      <c r="A59" s="102" t="s">
        <v>276</v>
      </c>
      <c r="B59" s="102" t="s">
        <v>7209</v>
      </c>
      <c r="C59" s="229" t="s">
        <v>7210</v>
      </c>
      <c r="D59" s="102" t="s">
        <v>1567</v>
      </c>
      <c r="E59" s="102" t="s">
        <v>3288</v>
      </c>
      <c r="F59" s="102" t="s">
        <v>3289</v>
      </c>
      <c r="G59" s="102" t="s">
        <v>3288</v>
      </c>
      <c r="H59" s="102" t="s">
        <v>3289</v>
      </c>
      <c r="I59" s="102" t="s">
        <v>284</v>
      </c>
      <c r="J59" s="102" t="s">
        <v>26</v>
      </c>
      <c r="L59" s="229" t="s">
        <v>7211</v>
      </c>
      <c r="M59" s="229" t="s">
        <v>7212</v>
      </c>
      <c r="O59" s="102"/>
      <c r="P59" s="102"/>
      <c r="U59" s="102"/>
      <c r="V59" s="230" t="str">
        <f>IF(ISNUMBER(MATCH(B59, 'Sprint 11'!B:B, 0)), "มาจาก Sprint 11", "")</f>
        <v/>
      </c>
      <c r="W59" s="230" t="str">
        <f t="array" ref="W59">IF(ISNUMBER(MATCH(B59, 'Sprint 11'!B:B, 0)), INDEX('Sprint 11'!J:J, MATCH(B59, 'Sprint 11'!B:B, 0)), "")</f>
        <v/>
      </c>
      <c r="X59" s="102"/>
      <c r="Y59" s="102" t="s">
        <v>7213</v>
      </c>
      <c r="Z59" s="102" t="s">
        <v>7214</v>
      </c>
    </row>
    <row r="60">
      <c r="A60" s="102" t="s">
        <v>276</v>
      </c>
      <c r="B60" s="102" t="s">
        <v>7215</v>
      </c>
      <c r="C60" s="229" t="s">
        <v>7216</v>
      </c>
      <c r="D60" s="102" t="s">
        <v>1567</v>
      </c>
      <c r="E60" s="102" t="s">
        <v>3288</v>
      </c>
      <c r="F60" s="102" t="s">
        <v>3289</v>
      </c>
      <c r="G60" s="102" t="s">
        <v>3288</v>
      </c>
      <c r="H60" s="102" t="s">
        <v>3289</v>
      </c>
      <c r="I60" s="102" t="s">
        <v>284</v>
      </c>
      <c r="J60" s="102" t="s">
        <v>26</v>
      </c>
      <c r="L60" s="229" t="s">
        <v>7217</v>
      </c>
      <c r="M60" s="229" t="s">
        <v>7211</v>
      </c>
      <c r="N60" s="102"/>
      <c r="O60" s="102"/>
      <c r="P60" s="102"/>
      <c r="U60" s="230"/>
      <c r="V60" s="230" t="str">
        <f>IF(ISNUMBER(MATCH(B60, 'Sprint 11'!B:B, 0)), "มาจาก Sprint 11", "")</f>
        <v/>
      </c>
      <c r="W60" s="230" t="str">
        <f t="array" ref="W60">IF(ISNUMBER(MATCH(B60, 'Sprint 11'!B:B, 0)), INDEX('Sprint 11'!J:J, MATCH(B60, 'Sprint 11'!B:B, 0)), "")</f>
        <v/>
      </c>
      <c r="X60" s="230"/>
      <c r="Y60" s="102" t="s">
        <v>7213</v>
      </c>
      <c r="Z60" s="102" t="s">
        <v>7214</v>
      </c>
    </row>
    <row r="61">
      <c r="A61" s="102" t="s">
        <v>310</v>
      </c>
      <c r="B61" s="102" t="s">
        <v>5891</v>
      </c>
      <c r="C61" s="229" t="s">
        <v>5892</v>
      </c>
      <c r="D61" s="102" t="s">
        <v>5893</v>
      </c>
      <c r="E61" s="102" t="s">
        <v>513</v>
      </c>
      <c r="F61" s="102" t="s">
        <v>514</v>
      </c>
      <c r="G61" s="102" t="s">
        <v>353</v>
      </c>
      <c r="H61" s="102" t="s">
        <v>354</v>
      </c>
      <c r="I61" s="102" t="s">
        <v>515</v>
      </c>
      <c r="J61" s="102" t="s">
        <v>678</v>
      </c>
      <c r="L61" s="229" t="s">
        <v>5894</v>
      </c>
      <c r="M61" s="229" t="s">
        <v>7218</v>
      </c>
      <c r="N61" s="229" t="s">
        <v>5895</v>
      </c>
      <c r="O61" s="102">
        <v>3.0</v>
      </c>
      <c r="U61" s="102">
        <v>28800.0</v>
      </c>
      <c r="V61" s="230" t="str">
        <f>IF(ISNUMBER(MATCH(B61, 'Sprint 11'!B:B, 0)), "มาจาก Sprint 11", "")</f>
        <v/>
      </c>
      <c r="W61" s="230" t="str">
        <f t="array" ref="W61">IF(ISNUMBER(MATCH(B61, 'Sprint 11'!B:B, 0)), INDEX('Sprint 11'!J:J, MATCH(B61, 'Sprint 11'!B:B, 0)), "")</f>
        <v/>
      </c>
      <c r="X61" s="102"/>
      <c r="Y61" s="102" t="s">
        <v>5896</v>
      </c>
    </row>
    <row r="62">
      <c r="A62" s="102" t="s">
        <v>310</v>
      </c>
      <c r="B62" s="102" t="s">
        <v>6842</v>
      </c>
      <c r="C62" s="229" t="s">
        <v>6843</v>
      </c>
      <c r="D62" s="102" t="s">
        <v>6844</v>
      </c>
      <c r="E62" s="102" t="s">
        <v>282</v>
      </c>
      <c r="F62" s="102" t="s">
        <v>283</v>
      </c>
      <c r="G62" s="102" t="s">
        <v>282</v>
      </c>
      <c r="H62" s="102" t="s">
        <v>283</v>
      </c>
      <c r="I62" s="102" t="s">
        <v>318</v>
      </c>
      <c r="J62" s="102" t="s">
        <v>454</v>
      </c>
      <c r="L62" s="229" t="s">
        <v>6845</v>
      </c>
      <c r="M62" s="229" t="s">
        <v>7219</v>
      </c>
      <c r="O62" s="102">
        <v>8.0</v>
      </c>
      <c r="P62" s="102" t="s">
        <v>504</v>
      </c>
      <c r="U62" s="230"/>
      <c r="V62" s="230" t="str">
        <f>IF(ISNUMBER(MATCH(B62, 'Sprint 11'!B:B, 0)), "มาจาก Sprint 11", "")</f>
        <v/>
      </c>
      <c r="W62" s="230" t="str">
        <f t="array" ref="W62">IF(ISNUMBER(MATCH(B62, 'Sprint 11'!B:B, 0)), INDEX('Sprint 11'!J:J, MATCH(B62, 'Sprint 11'!B:B, 0)), "")</f>
        <v/>
      </c>
      <c r="X62" s="230"/>
      <c r="Y62" s="102" t="s">
        <v>4954</v>
      </c>
    </row>
    <row r="63">
      <c r="A63" s="102" t="s">
        <v>332</v>
      </c>
      <c r="B63" s="102" t="s">
        <v>7220</v>
      </c>
      <c r="C63" s="229" t="s">
        <v>7221</v>
      </c>
      <c r="D63" s="102" t="s">
        <v>7222</v>
      </c>
      <c r="E63" s="102" t="s">
        <v>556</v>
      </c>
      <c r="F63" s="102" t="s">
        <v>557</v>
      </c>
      <c r="G63" s="102" t="s">
        <v>391</v>
      </c>
      <c r="H63" s="102" t="s">
        <v>392</v>
      </c>
      <c r="I63" s="102" t="s">
        <v>284</v>
      </c>
      <c r="J63" s="102" t="s">
        <v>336</v>
      </c>
      <c r="L63" s="229" t="s">
        <v>7223</v>
      </c>
      <c r="M63" s="229" t="s">
        <v>6794</v>
      </c>
      <c r="O63" s="102"/>
      <c r="U63" s="102"/>
      <c r="V63" s="230" t="str">
        <f>IF(ISNUMBER(MATCH(B63, 'Sprint 11'!B:B, 0)), "มาจาก Sprint 11", "")</f>
        <v/>
      </c>
      <c r="W63" s="230" t="str">
        <f t="array" ref="W63">IF(ISNUMBER(MATCH(B63, 'Sprint 11'!B:B, 0)), INDEX('Sprint 11'!J:J, MATCH(B63, 'Sprint 11'!B:B, 0)), "")</f>
        <v/>
      </c>
      <c r="X63" s="102"/>
      <c r="Y63" s="102" t="s">
        <v>5896</v>
      </c>
    </row>
    <row r="64">
      <c r="A64" s="102" t="s">
        <v>310</v>
      </c>
      <c r="B64" s="102" t="s">
        <v>7224</v>
      </c>
      <c r="C64" s="229" t="s">
        <v>7225</v>
      </c>
      <c r="D64" s="102" t="s">
        <v>7226</v>
      </c>
      <c r="E64" s="102" t="s">
        <v>6315</v>
      </c>
      <c r="F64" s="102" t="s">
        <v>6316</v>
      </c>
      <c r="G64" s="102" t="s">
        <v>282</v>
      </c>
      <c r="H64" s="102" t="s">
        <v>283</v>
      </c>
      <c r="I64" s="102" t="s">
        <v>284</v>
      </c>
      <c r="J64" s="102" t="s">
        <v>26</v>
      </c>
      <c r="L64" s="229" t="s">
        <v>7227</v>
      </c>
      <c r="M64" s="229" t="s">
        <v>7228</v>
      </c>
      <c r="O64" s="102">
        <v>3.0</v>
      </c>
      <c r="P64" s="102" t="s">
        <v>7229</v>
      </c>
      <c r="U64" s="102">
        <v>28800.0</v>
      </c>
      <c r="V64" s="230" t="str">
        <f>IF(ISNUMBER(MATCH(B64, 'Sprint 11'!B:B, 0)), "มาจาก Sprint 11", "")</f>
        <v/>
      </c>
      <c r="W64" s="230" t="str">
        <f t="array" ref="W64">IF(ISNUMBER(MATCH(B64, 'Sprint 11'!B:B, 0)), INDEX('Sprint 11'!J:J, MATCH(B64, 'Sprint 11'!B:B, 0)), "")</f>
        <v/>
      </c>
      <c r="X64" s="102"/>
      <c r="Y64" s="102" t="s">
        <v>4954</v>
      </c>
    </row>
    <row r="65">
      <c r="A65" s="102" t="s">
        <v>310</v>
      </c>
      <c r="B65" s="102" t="s">
        <v>7230</v>
      </c>
      <c r="C65" s="229" t="s">
        <v>7231</v>
      </c>
      <c r="D65" s="102" t="s">
        <v>7232</v>
      </c>
      <c r="E65" s="102" t="s">
        <v>314</v>
      </c>
      <c r="F65" s="102" t="s">
        <v>315</v>
      </c>
      <c r="G65" s="102" t="s">
        <v>314</v>
      </c>
      <c r="H65" s="102" t="s">
        <v>315</v>
      </c>
      <c r="I65" s="102" t="s">
        <v>515</v>
      </c>
      <c r="J65" s="102" t="s">
        <v>26</v>
      </c>
      <c r="L65" s="229" t="s">
        <v>7233</v>
      </c>
      <c r="M65" s="229" t="s">
        <v>7234</v>
      </c>
      <c r="O65" s="102">
        <v>3.0</v>
      </c>
      <c r="U65" s="102">
        <v>28800.0</v>
      </c>
      <c r="V65" s="230" t="str">
        <f>IF(ISNUMBER(MATCH(B65, 'Sprint 11'!B:B, 0)), "มาจาก Sprint 11", "")</f>
        <v/>
      </c>
      <c r="W65" s="230" t="str">
        <f t="array" ref="W65">IF(ISNUMBER(MATCH(B65, 'Sprint 11'!B:B, 0)), INDEX('Sprint 11'!J:J, MATCH(B65, 'Sprint 11'!B:B, 0)), "")</f>
        <v/>
      </c>
      <c r="X65" s="102"/>
      <c r="Y65" s="102" t="s">
        <v>1366</v>
      </c>
    </row>
    <row r="66">
      <c r="A66" s="102" t="s">
        <v>310</v>
      </c>
      <c r="B66" s="102" t="s">
        <v>7235</v>
      </c>
      <c r="C66" s="229" t="s">
        <v>7236</v>
      </c>
      <c r="D66" s="102" t="s">
        <v>7237</v>
      </c>
      <c r="E66" s="102" t="s">
        <v>314</v>
      </c>
      <c r="F66" s="102" t="s">
        <v>315</v>
      </c>
      <c r="G66" s="102" t="s">
        <v>314</v>
      </c>
      <c r="H66" s="102" t="s">
        <v>315</v>
      </c>
      <c r="I66" s="102" t="s">
        <v>318</v>
      </c>
      <c r="J66" s="102" t="s">
        <v>26</v>
      </c>
      <c r="L66" s="229" t="s">
        <v>7238</v>
      </c>
      <c r="M66" s="229" t="s">
        <v>7234</v>
      </c>
      <c r="O66" s="102">
        <v>3.0</v>
      </c>
      <c r="P66" s="102" t="s">
        <v>593</v>
      </c>
      <c r="U66" s="102">
        <v>28800.0</v>
      </c>
      <c r="V66" s="230" t="str">
        <f>IF(ISNUMBER(MATCH(B66, 'Sprint 11'!B:B, 0)), "มาจาก Sprint 11", "")</f>
        <v/>
      </c>
      <c r="W66" s="230" t="str">
        <f t="array" ref="W66">IF(ISNUMBER(MATCH(B66, 'Sprint 11'!B:B, 0)), INDEX('Sprint 11'!J:J, MATCH(B66, 'Sprint 11'!B:B, 0)), "")</f>
        <v/>
      </c>
      <c r="X66" s="102"/>
      <c r="Y66" s="102" t="s">
        <v>1366</v>
      </c>
    </row>
    <row r="67">
      <c r="A67" s="102" t="s">
        <v>310</v>
      </c>
      <c r="B67" s="102" t="s">
        <v>7239</v>
      </c>
      <c r="C67" s="229" t="s">
        <v>7240</v>
      </c>
      <c r="D67" s="102" t="s">
        <v>7241</v>
      </c>
      <c r="E67" s="102" t="s">
        <v>282</v>
      </c>
      <c r="F67" s="102" t="s">
        <v>283</v>
      </c>
      <c r="G67" s="102" t="s">
        <v>282</v>
      </c>
      <c r="H67" s="102" t="s">
        <v>283</v>
      </c>
      <c r="I67" s="102" t="s">
        <v>284</v>
      </c>
      <c r="J67" s="102" t="s">
        <v>26</v>
      </c>
      <c r="L67" s="229" t="s">
        <v>7242</v>
      </c>
      <c r="M67" s="229" t="s">
        <v>7243</v>
      </c>
      <c r="O67" s="102">
        <v>8.0</v>
      </c>
      <c r="U67" s="102">
        <v>72000.0</v>
      </c>
      <c r="V67" s="230" t="str">
        <f>IF(ISNUMBER(MATCH(B67, 'Sprint 11'!B:B, 0)), "มาจาก Sprint 11", "")</f>
        <v/>
      </c>
      <c r="W67" s="230" t="str">
        <f t="array" ref="W67">IF(ISNUMBER(MATCH(B67, 'Sprint 11'!B:B, 0)), INDEX('Sprint 11'!J:J, MATCH(B67, 'Sprint 11'!B:B, 0)), "")</f>
        <v/>
      </c>
      <c r="X67" s="102"/>
      <c r="Y67" s="102" t="s">
        <v>5896</v>
      </c>
    </row>
    <row r="68">
      <c r="A68" s="102" t="s">
        <v>310</v>
      </c>
      <c r="B68" s="102" t="s">
        <v>5550</v>
      </c>
      <c r="C68" s="229" t="s">
        <v>5551</v>
      </c>
      <c r="D68" s="102" t="s">
        <v>5552</v>
      </c>
      <c r="E68" s="102" t="s">
        <v>314</v>
      </c>
      <c r="F68" s="102" t="s">
        <v>315</v>
      </c>
      <c r="G68" s="102" t="s">
        <v>314</v>
      </c>
      <c r="H68" s="102" t="s">
        <v>315</v>
      </c>
      <c r="I68" s="102" t="s">
        <v>284</v>
      </c>
      <c r="J68" s="102" t="s">
        <v>34</v>
      </c>
      <c r="L68" s="229" t="s">
        <v>5553</v>
      </c>
      <c r="M68" s="229" t="s">
        <v>7183</v>
      </c>
      <c r="O68" s="102">
        <v>3.0</v>
      </c>
      <c r="P68" s="102" t="s">
        <v>593</v>
      </c>
      <c r="U68" s="102">
        <v>28800.0</v>
      </c>
      <c r="V68" s="230" t="str">
        <f>IF(ISNUMBER(MATCH(B68, 'Sprint 11'!B:B, 0)), "มาจาก Sprint 11", "")</f>
        <v/>
      </c>
      <c r="W68" s="230" t="str">
        <f t="array" ref="W68">IF(ISNUMBER(MATCH(B68, 'Sprint 11'!B:B, 0)), INDEX('Sprint 11'!J:J, MATCH(B68, 'Sprint 11'!B:B, 0)), "")</f>
        <v/>
      </c>
      <c r="X68" s="102"/>
      <c r="Y68" s="102" t="s">
        <v>1366</v>
      </c>
    </row>
    <row r="69">
      <c r="A69" s="102" t="s">
        <v>310</v>
      </c>
      <c r="B69" s="102" t="s">
        <v>6398</v>
      </c>
      <c r="C69" s="229" t="s">
        <v>6399</v>
      </c>
      <c r="D69" s="102" t="s">
        <v>6400</v>
      </c>
      <c r="E69" s="102" t="s">
        <v>304</v>
      </c>
      <c r="F69" s="102" t="s">
        <v>305</v>
      </c>
      <c r="G69" s="102" t="s">
        <v>314</v>
      </c>
      <c r="H69" s="102" t="s">
        <v>315</v>
      </c>
      <c r="I69" s="102" t="s">
        <v>284</v>
      </c>
      <c r="J69" s="102" t="s">
        <v>34</v>
      </c>
      <c r="L69" s="229" t="s">
        <v>6401</v>
      </c>
      <c r="M69" s="229" t="s">
        <v>7244</v>
      </c>
      <c r="N69" s="102"/>
      <c r="O69" s="102">
        <v>3.0</v>
      </c>
      <c r="U69" s="102"/>
      <c r="V69" s="230" t="str">
        <f>IF(ISNUMBER(MATCH(B69, 'Sprint 11'!B:B, 0)), "มาจาก Sprint 11", "")</f>
        <v/>
      </c>
      <c r="W69" s="230" t="str">
        <f t="array" ref="W69">IF(ISNUMBER(MATCH(B69, 'Sprint 11'!B:B, 0)), INDEX('Sprint 11'!J:J, MATCH(B69, 'Sprint 11'!B:B, 0)), "")</f>
        <v/>
      </c>
      <c r="X69" s="102"/>
      <c r="Y69" s="102" t="s">
        <v>1366</v>
      </c>
    </row>
    <row r="70">
      <c r="A70" s="102" t="s">
        <v>310</v>
      </c>
      <c r="B70" s="102" t="s">
        <v>6853</v>
      </c>
      <c r="C70" s="229" t="s">
        <v>6854</v>
      </c>
      <c r="D70" s="102" t="s">
        <v>6855</v>
      </c>
      <c r="E70" s="102" t="s">
        <v>314</v>
      </c>
      <c r="F70" s="102" t="s">
        <v>315</v>
      </c>
      <c r="G70" s="102" t="s">
        <v>314</v>
      </c>
      <c r="H70" s="102" t="s">
        <v>315</v>
      </c>
      <c r="I70" s="102" t="s">
        <v>284</v>
      </c>
      <c r="J70" s="102" t="s">
        <v>34</v>
      </c>
      <c r="L70" s="229" t="s">
        <v>6401</v>
      </c>
      <c r="M70" s="229" t="s">
        <v>7245</v>
      </c>
      <c r="O70" s="102">
        <v>3.0</v>
      </c>
      <c r="P70" s="102" t="s">
        <v>593</v>
      </c>
      <c r="U70" s="102">
        <v>28800.0</v>
      </c>
      <c r="V70" s="230" t="str">
        <f>IF(ISNUMBER(MATCH(B70, 'Sprint 11'!B:B, 0)), "มาจาก Sprint 11", "")</f>
        <v/>
      </c>
      <c r="W70" s="230" t="str">
        <f t="array" ref="W70">IF(ISNUMBER(MATCH(B70, 'Sprint 11'!B:B, 0)), INDEX('Sprint 11'!J:J, MATCH(B70, 'Sprint 11'!B:B, 0)), "")</f>
        <v/>
      </c>
      <c r="X70" s="102"/>
      <c r="Y70" s="102" t="s">
        <v>1366</v>
      </c>
    </row>
    <row r="71">
      <c r="A71" s="102" t="s">
        <v>310</v>
      </c>
      <c r="B71" s="102" t="s">
        <v>6857</v>
      </c>
      <c r="C71" s="229" t="s">
        <v>6858</v>
      </c>
      <c r="D71" s="102" t="s">
        <v>6859</v>
      </c>
      <c r="E71" s="102" t="s">
        <v>6860</v>
      </c>
      <c r="F71" s="102" t="s">
        <v>6861</v>
      </c>
      <c r="G71" s="102" t="s">
        <v>353</v>
      </c>
      <c r="H71" s="102" t="s">
        <v>354</v>
      </c>
      <c r="I71" s="102" t="s">
        <v>284</v>
      </c>
      <c r="J71" s="102" t="s">
        <v>454</v>
      </c>
      <c r="L71" s="229" t="s">
        <v>6862</v>
      </c>
      <c r="M71" s="229" t="s">
        <v>7246</v>
      </c>
      <c r="O71" s="102">
        <v>3.0</v>
      </c>
      <c r="U71" s="230"/>
      <c r="V71" s="230" t="str">
        <f>IF(ISNUMBER(MATCH(B71, 'Sprint 11'!B:B, 0)), "มาจาก Sprint 11", "")</f>
        <v/>
      </c>
      <c r="W71" s="230" t="str">
        <f t="array" ref="W71">IF(ISNUMBER(MATCH(B71, 'Sprint 11'!B:B, 0)), INDEX('Sprint 11'!J:J, MATCH(B71, 'Sprint 11'!B:B, 0)), "")</f>
        <v/>
      </c>
      <c r="X71" s="230"/>
      <c r="Y71" s="102" t="s">
        <v>5896</v>
      </c>
    </row>
    <row r="72">
      <c r="A72" s="102" t="s">
        <v>310</v>
      </c>
      <c r="B72" s="102" t="s">
        <v>6863</v>
      </c>
      <c r="C72" s="229" t="s">
        <v>6864</v>
      </c>
      <c r="D72" s="102" t="s">
        <v>6865</v>
      </c>
      <c r="E72" s="102" t="s">
        <v>328</v>
      </c>
      <c r="F72" s="102" t="s">
        <v>329</v>
      </c>
      <c r="G72" s="102" t="s">
        <v>353</v>
      </c>
      <c r="H72" s="102" t="s">
        <v>354</v>
      </c>
      <c r="I72" s="102" t="s">
        <v>284</v>
      </c>
      <c r="J72" s="102" t="s">
        <v>454</v>
      </c>
      <c r="L72" s="229" t="s">
        <v>6866</v>
      </c>
      <c r="M72" s="229" t="s">
        <v>7247</v>
      </c>
      <c r="O72" s="102">
        <v>2.0</v>
      </c>
      <c r="U72" s="102">
        <v>14400.0</v>
      </c>
      <c r="V72" s="230" t="str">
        <f>IF(ISNUMBER(MATCH(B72, 'Sprint 11'!B:B, 0)), "มาจาก Sprint 11", "")</f>
        <v/>
      </c>
      <c r="W72" s="230" t="str">
        <f t="array" ref="W72">IF(ISNUMBER(MATCH(B72, 'Sprint 11'!B:B, 0)), INDEX('Sprint 11'!J:J, MATCH(B72, 'Sprint 11'!B:B, 0)), "")</f>
        <v/>
      </c>
      <c r="X72" s="102"/>
      <c r="Y72" s="102" t="s">
        <v>5896</v>
      </c>
      <c r="Z72" s="102"/>
    </row>
    <row r="73">
      <c r="A73" s="102" t="s">
        <v>310</v>
      </c>
      <c r="B73" s="102" t="s">
        <v>6867</v>
      </c>
      <c r="C73" s="229" t="s">
        <v>6868</v>
      </c>
      <c r="D73" s="102" t="s">
        <v>6869</v>
      </c>
      <c r="E73" s="102" t="s">
        <v>556</v>
      </c>
      <c r="F73" s="102" t="s">
        <v>557</v>
      </c>
      <c r="G73" s="102" t="s">
        <v>353</v>
      </c>
      <c r="H73" s="102" t="s">
        <v>354</v>
      </c>
      <c r="I73" s="102" t="s">
        <v>284</v>
      </c>
      <c r="J73" s="102" t="s">
        <v>454</v>
      </c>
      <c r="L73" s="229" t="s">
        <v>6870</v>
      </c>
      <c r="M73" s="229" t="s">
        <v>7248</v>
      </c>
      <c r="N73" s="229" t="s">
        <v>6871</v>
      </c>
      <c r="O73" s="102">
        <v>5.0</v>
      </c>
      <c r="U73" s="102">
        <v>57600.0</v>
      </c>
      <c r="V73" s="230" t="str">
        <f>IF(ISNUMBER(MATCH(B73, 'Sprint 11'!B:B, 0)), "มาจาก Sprint 11", "")</f>
        <v/>
      </c>
      <c r="W73" s="230" t="str">
        <f t="array" ref="W73">IF(ISNUMBER(MATCH(B73, 'Sprint 11'!B:B, 0)), INDEX('Sprint 11'!J:J, MATCH(B73, 'Sprint 11'!B:B, 0)), "")</f>
        <v/>
      </c>
      <c r="X73" s="102"/>
      <c r="Y73" s="102" t="s">
        <v>5896</v>
      </c>
      <c r="Z73" s="102"/>
    </row>
    <row r="74">
      <c r="A74" s="102" t="s">
        <v>310</v>
      </c>
      <c r="B74" s="102" t="s">
        <v>6873</v>
      </c>
      <c r="C74" s="229" t="s">
        <v>6874</v>
      </c>
      <c r="D74" s="102" t="s">
        <v>6875</v>
      </c>
      <c r="E74" s="102" t="s">
        <v>353</v>
      </c>
      <c r="F74" s="102" t="s">
        <v>354</v>
      </c>
      <c r="G74" s="102" t="s">
        <v>353</v>
      </c>
      <c r="H74" s="102" t="s">
        <v>354</v>
      </c>
      <c r="I74" s="102" t="s">
        <v>284</v>
      </c>
      <c r="J74" s="102" t="s">
        <v>34</v>
      </c>
      <c r="L74" s="229" t="s">
        <v>6876</v>
      </c>
      <c r="M74" s="229" t="s">
        <v>7249</v>
      </c>
      <c r="O74" s="102"/>
      <c r="P74" s="102"/>
      <c r="U74" s="102">
        <v>7200.0</v>
      </c>
      <c r="V74" s="230" t="str">
        <f>IF(ISNUMBER(MATCH(B74, 'Sprint 11'!B:B, 0)), "มาจาก Sprint 11", "")</f>
        <v/>
      </c>
      <c r="W74" s="230" t="str">
        <f t="array" ref="W74">IF(ISNUMBER(MATCH(B74, 'Sprint 11'!B:B, 0)), INDEX('Sprint 11'!J:J, MATCH(B74, 'Sprint 11'!B:B, 0)), "")</f>
        <v/>
      </c>
      <c r="X74" s="102"/>
      <c r="Y74" s="102" t="s">
        <v>4954</v>
      </c>
    </row>
    <row r="75">
      <c r="A75" s="102" t="s">
        <v>310</v>
      </c>
      <c r="B75" s="102" t="s">
        <v>6878</v>
      </c>
      <c r="C75" s="229" t="s">
        <v>6879</v>
      </c>
      <c r="D75" s="102" t="s">
        <v>6880</v>
      </c>
      <c r="E75" s="102" t="s">
        <v>353</v>
      </c>
      <c r="F75" s="102" t="s">
        <v>354</v>
      </c>
      <c r="G75" s="102" t="s">
        <v>353</v>
      </c>
      <c r="H75" s="102" t="s">
        <v>354</v>
      </c>
      <c r="I75" s="102" t="s">
        <v>284</v>
      </c>
      <c r="J75" s="102" t="s">
        <v>34</v>
      </c>
      <c r="L75" s="229" t="s">
        <v>6881</v>
      </c>
      <c r="M75" s="229" t="s">
        <v>7249</v>
      </c>
      <c r="N75" s="102"/>
      <c r="O75" s="102"/>
      <c r="P75" s="102"/>
      <c r="U75" s="102">
        <v>7200.0</v>
      </c>
      <c r="V75" s="230" t="str">
        <f>IF(ISNUMBER(MATCH(B75, 'Sprint 11'!B:B, 0)), "มาจาก Sprint 11", "")</f>
        <v/>
      </c>
      <c r="W75" s="230" t="str">
        <f t="array" ref="W75">IF(ISNUMBER(MATCH(B75, 'Sprint 11'!B:B, 0)), INDEX('Sprint 11'!J:J, MATCH(B75, 'Sprint 11'!B:B, 0)), "")</f>
        <v/>
      </c>
      <c r="X75" s="102"/>
      <c r="Y75" s="102" t="s">
        <v>4954</v>
      </c>
    </row>
    <row r="76">
      <c r="A76" s="102" t="s">
        <v>310</v>
      </c>
      <c r="B76" s="102" t="s">
        <v>7250</v>
      </c>
      <c r="C76" s="229" t="s">
        <v>7251</v>
      </c>
      <c r="D76" s="102" t="s">
        <v>7252</v>
      </c>
      <c r="E76" s="102" t="s">
        <v>564</v>
      </c>
      <c r="F76" s="102" t="s">
        <v>565</v>
      </c>
      <c r="G76" s="102" t="s">
        <v>282</v>
      </c>
      <c r="H76" s="102" t="s">
        <v>283</v>
      </c>
      <c r="I76" s="102" t="s">
        <v>284</v>
      </c>
      <c r="J76" s="102" t="s">
        <v>454</v>
      </c>
      <c r="L76" s="229" t="s">
        <v>7253</v>
      </c>
      <c r="M76" s="229" t="s">
        <v>7254</v>
      </c>
      <c r="N76" s="102"/>
      <c r="O76" s="102">
        <v>1.0</v>
      </c>
      <c r="U76" s="102">
        <v>0.0</v>
      </c>
      <c r="V76" s="230" t="str">
        <f>IF(ISNUMBER(MATCH(B76, 'Sprint 11'!B:B, 0)), "มาจาก Sprint 11", "")</f>
        <v>มาจาก Sprint 11</v>
      </c>
      <c r="W76" s="230" t="str">
        <f t="array" ref="W76">IF(ISNUMBER(MATCH(B76, 'Sprint 11'!B:B, 0)), INDEX('Sprint 11'!J:J, MATCH(B76, 'Sprint 11'!B:B, 0)), "")</f>
        <v>Ready To Test</v>
      </c>
      <c r="X76" s="102">
        <v>3600.0</v>
      </c>
      <c r="Y76" s="102" t="s">
        <v>5901</v>
      </c>
      <c r="Z76" s="102" t="s">
        <v>5896</v>
      </c>
    </row>
    <row r="77">
      <c r="A77" s="102" t="s">
        <v>310</v>
      </c>
      <c r="B77" s="102" t="s">
        <v>7255</v>
      </c>
      <c r="C77" s="229" t="s">
        <v>7256</v>
      </c>
      <c r="D77" s="102" t="s">
        <v>7257</v>
      </c>
      <c r="E77" s="102" t="s">
        <v>564</v>
      </c>
      <c r="F77" s="102" t="s">
        <v>565</v>
      </c>
      <c r="G77" s="102" t="s">
        <v>282</v>
      </c>
      <c r="H77" s="102" t="s">
        <v>283</v>
      </c>
      <c r="I77" s="102" t="s">
        <v>284</v>
      </c>
      <c r="J77" s="102" t="s">
        <v>454</v>
      </c>
      <c r="L77" s="229" t="s">
        <v>7258</v>
      </c>
      <c r="M77" s="229" t="s">
        <v>7259</v>
      </c>
      <c r="N77" s="102"/>
      <c r="O77" s="102">
        <v>1.0</v>
      </c>
      <c r="P77" s="102"/>
      <c r="U77" s="102">
        <v>0.0</v>
      </c>
      <c r="V77" s="230" t="str">
        <f>IF(ISNUMBER(MATCH(B77, 'Sprint 11'!B:B, 0)), "มาจาก Sprint 11", "")</f>
        <v>มาจาก Sprint 11</v>
      </c>
      <c r="W77" s="230" t="str">
        <f t="array" ref="W77">IF(ISNUMBER(MATCH(B77, 'Sprint 11'!B:B, 0)), INDEX('Sprint 11'!J:J, MATCH(B77, 'Sprint 11'!B:B, 0)), "")</f>
        <v>Ready To Test</v>
      </c>
      <c r="X77" s="102">
        <v>3600.0</v>
      </c>
      <c r="Y77" s="102" t="s">
        <v>5901</v>
      </c>
      <c r="Z77" s="102" t="s">
        <v>5896</v>
      </c>
    </row>
    <row r="78">
      <c r="A78" s="102" t="s">
        <v>310</v>
      </c>
      <c r="B78" s="102" t="s">
        <v>6883</v>
      </c>
      <c r="C78" s="229" t="s">
        <v>6884</v>
      </c>
      <c r="D78" s="102" t="s">
        <v>6885</v>
      </c>
      <c r="E78" s="102" t="s">
        <v>584</v>
      </c>
      <c r="F78" s="102" t="s">
        <v>585</v>
      </c>
      <c r="G78" s="102" t="s">
        <v>304</v>
      </c>
      <c r="H78" s="102" t="s">
        <v>305</v>
      </c>
      <c r="I78" s="102" t="s">
        <v>515</v>
      </c>
      <c r="J78" s="102" t="s">
        <v>454</v>
      </c>
      <c r="L78" s="229" t="s">
        <v>6886</v>
      </c>
      <c r="M78" s="229" t="s">
        <v>7260</v>
      </c>
      <c r="N78" s="102"/>
      <c r="O78" s="102">
        <v>8.0</v>
      </c>
      <c r="P78" s="102" t="s">
        <v>538</v>
      </c>
      <c r="Q78" s="102"/>
      <c r="U78" s="102">
        <v>144000.0</v>
      </c>
      <c r="V78" s="230" t="str">
        <f>IF(ISNUMBER(MATCH(B78, 'Sprint 11'!B:B, 0)), "มาจาก Sprint 11", "")</f>
        <v/>
      </c>
      <c r="W78" s="230" t="str">
        <f t="array" ref="W78">IF(ISNUMBER(MATCH(B78, 'Sprint 11'!B:B, 0)), INDEX('Sprint 11'!J:J, MATCH(B78, 'Sprint 11'!B:B, 0)), "")</f>
        <v/>
      </c>
      <c r="X78" s="102"/>
      <c r="Y78" s="102" t="s">
        <v>2205</v>
      </c>
    </row>
    <row r="79">
      <c r="A79" s="102" t="s">
        <v>310</v>
      </c>
      <c r="B79" s="102" t="s">
        <v>6404</v>
      </c>
      <c r="C79" s="229" t="s">
        <v>6405</v>
      </c>
      <c r="D79" s="102" t="s">
        <v>6406</v>
      </c>
      <c r="E79" s="102" t="s">
        <v>564</v>
      </c>
      <c r="F79" s="102" t="s">
        <v>565</v>
      </c>
      <c r="G79" s="102" t="s">
        <v>304</v>
      </c>
      <c r="H79" s="102" t="s">
        <v>305</v>
      </c>
      <c r="I79" s="102" t="s">
        <v>284</v>
      </c>
      <c r="J79" s="102" t="s">
        <v>678</v>
      </c>
      <c r="L79" s="229" t="s">
        <v>6407</v>
      </c>
      <c r="M79" s="229" t="s">
        <v>7261</v>
      </c>
      <c r="N79" s="229" t="s">
        <v>5895</v>
      </c>
      <c r="O79" s="102">
        <v>2.0</v>
      </c>
      <c r="P79" s="102" t="s">
        <v>1808</v>
      </c>
      <c r="U79" s="102">
        <v>14400.0</v>
      </c>
      <c r="V79" s="230" t="str">
        <f>IF(ISNUMBER(MATCH(B79, 'Sprint 11'!B:B, 0)), "มาจาก Sprint 11", "")</f>
        <v/>
      </c>
      <c r="W79" s="230" t="str">
        <f t="array" ref="W79">IF(ISNUMBER(MATCH(B79, 'Sprint 11'!B:B, 0)), INDEX('Sprint 11'!J:J, MATCH(B79, 'Sprint 11'!B:B, 0)), "")</f>
        <v/>
      </c>
      <c r="X79" s="102"/>
      <c r="Y79" s="102" t="s">
        <v>2205</v>
      </c>
    </row>
    <row r="80">
      <c r="A80" s="102" t="s">
        <v>310</v>
      </c>
      <c r="B80" s="102" t="s">
        <v>6888</v>
      </c>
      <c r="C80" s="229" t="s">
        <v>6889</v>
      </c>
      <c r="D80" s="102" t="s">
        <v>6890</v>
      </c>
      <c r="E80" s="102" t="s">
        <v>556</v>
      </c>
      <c r="F80" s="102" t="s">
        <v>557</v>
      </c>
      <c r="G80" s="102" t="s">
        <v>353</v>
      </c>
      <c r="H80" s="102" t="s">
        <v>354</v>
      </c>
      <c r="I80" s="102" t="s">
        <v>284</v>
      </c>
      <c r="J80" s="102" t="s">
        <v>454</v>
      </c>
      <c r="L80" s="229" t="s">
        <v>6891</v>
      </c>
      <c r="M80" s="229" t="s">
        <v>7248</v>
      </c>
      <c r="N80" s="229" t="s">
        <v>6892</v>
      </c>
      <c r="O80" s="102">
        <v>5.0</v>
      </c>
      <c r="P80" s="102"/>
      <c r="U80" s="102">
        <v>57600.0</v>
      </c>
      <c r="V80" s="230" t="str">
        <f>IF(ISNUMBER(MATCH(B80, 'Sprint 11'!B:B, 0)), "มาจาก Sprint 11", "")</f>
        <v/>
      </c>
      <c r="W80" s="230" t="str">
        <f t="array" ref="W80">IF(ISNUMBER(MATCH(B80, 'Sprint 11'!B:B, 0)), INDEX('Sprint 11'!J:J, MATCH(B80, 'Sprint 11'!B:B, 0)), "")</f>
        <v/>
      </c>
      <c r="X80" s="102"/>
      <c r="Y80" s="102" t="s">
        <v>5896</v>
      </c>
    </row>
    <row r="81">
      <c r="A81" s="102" t="s">
        <v>310</v>
      </c>
      <c r="B81" s="102" t="s">
        <v>6893</v>
      </c>
      <c r="C81" s="229" t="s">
        <v>6894</v>
      </c>
      <c r="D81" s="102" t="s">
        <v>6895</v>
      </c>
      <c r="E81" s="102" t="s">
        <v>564</v>
      </c>
      <c r="F81" s="102" t="s">
        <v>565</v>
      </c>
      <c r="G81" s="102" t="s">
        <v>282</v>
      </c>
      <c r="H81" s="102" t="s">
        <v>283</v>
      </c>
      <c r="I81" s="102" t="s">
        <v>284</v>
      </c>
      <c r="J81" s="102" t="s">
        <v>678</v>
      </c>
      <c r="L81" s="229" t="s">
        <v>6896</v>
      </c>
      <c r="M81" s="229" t="s">
        <v>7262</v>
      </c>
      <c r="N81" s="229" t="s">
        <v>5895</v>
      </c>
      <c r="O81" s="102">
        <v>1.0</v>
      </c>
      <c r="P81" s="102" t="s">
        <v>6898</v>
      </c>
      <c r="U81" s="102">
        <v>7200.0</v>
      </c>
      <c r="V81" s="230" t="str">
        <f>IF(ISNUMBER(MATCH(B81, 'Sprint 11'!B:B, 0)), "มาจาก Sprint 11", "")</f>
        <v/>
      </c>
      <c r="W81" s="230" t="str">
        <f t="array" ref="W81">IF(ISNUMBER(MATCH(B81, 'Sprint 11'!B:B, 0)), INDEX('Sprint 11'!J:J, MATCH(B81, 'Sprint 11'!B:B, 0)), "")</f>
        <v/>
      </c>
      <c r="X81" s="102"/>
      <c r="Y81" s="102" t="s">
        <v>4954</v>
      </c>
    </row>
    <row r="82">
      <c r="A82" s="102" t="s">
        <v>310</v>
      </c>
      <c r="B82" s="102" t="s">
        <v>7263</v>
      </c>
      <c r="C82" s="229" t="s">
        <v>7264</v>
      </c>
      <c r="D82" s="102" t="s">
        <v>7265</v>
      </c>
      <c r="E82" s="102" t="s">
        <v>564</v>
      </c>
      <c r="F82" s="102" t="s">
        <v>565</v>
      </c>
      <c r="G82" s="102" t="s">
        <v>282</v>
      </c>
      <c r="H82" s="102" t="s">
        <v>283</v>
      </c>
      <c r="I82" s="102" t="s">
        <v>284</v>
      </c>
      <c r="J82" s="102" t="s">
        <v>26</v>
      </c>
      <c r="L82" s="229" t="s">
        <v>7266</v>
      </c>
      <c r="M82" s="229" t="s">
        <v>7267</v>
      </c>
      <c r="N82" s="229" t="s">
        <v>5895</v>
      </c>
      <c r="O82" s="102">
        <v>1.0</v>
      </c>
      <c r="P82" s="102" t="s">
        <v>593</v>
      </c>
      <c r="Q82" s="102" t="s">
        <v>6898</v>
      </c>
      <c r="U82" s="102">
        <v>7200.0</v>
      </c>
      <c r="V82" s="230" t="str">
        <f>IF(ISNUMBER(MATCH(B82, 'Sprint 11'!B:B, 0)), "มาจาก Sprint 11", "")</f>
        <v/>
      </c>
      <c r="W82" s="230" t="str">
        <f t="array" ref="W82">IF(ISNUMBER(MATCH(B82, 'Sprint 11'!B:B, 0)), INDEX('Sprint 11'!J:J, MATCH(B82, 'Sprint 11'!B:B, 0)), "")</f>
        <v/>
      </c>
      <c r="X82" s="102"/>
      <c r="Y82" s="102" t="s">
        <v>4954</v>
      </c>
    </row>
    <row r="83">
      <c r="A83" s="102" t="s">
        <v>310</v>
      </c>
      <c r="B83" s="102" t="s">
        <v>7268</v>
      </c>
      <c r="C83" s="229" t="s">
        <v>7269</v>
      </c>
      <c r="D83" s="102" t="s">
        <v>7270</v>
      </c>
      <c r="E83" s="102" t="s">
        <v>6315</v>
      </c>
      <c r="F83" s="102" t="s">
        <v>6316</v>
      </c>
      <c r="G83" s="102" t="s">
        <v>282</v>
      </c>
      <c r="H83" s="102" t="s">
        <v>283</v>
      </c>
      <c r="I83" s="102" t="s">
        <v>284</v>
      </c>
      <c r="J83" s="102" t="s">
        <v>26</v>
      </c>
      <c r="L83" s="229" t="s">
        <v>7271</v>
      </c>
      <c r="M83" s="229" t="s">
        <v>6304</v>
      </c>
      <c r="O83" s="102">
        <v>3.0</v>
      </c>
      <c r="P83" s="102" t="s">
        <v>1808</v>
      </c>
      <c r="U83" s="102">
        <v>57600.0</v>
      </c>
      <c r="V83" s="230" t="str">
        <f>IF(ISNUMBER(MATCH(B83, 'Sprint 11'!B:B, 0)), "มาจาก Sprint 11", "")</f>
        <v/>
      </c>
      <c r="W83" s="230" t="str">
        <f t="array" ref="W83">IF(ISNUMBER(MATCH(B83, 'Sprint 11'!B:B, 0)), INDEX('Sprint 11'!J:J, MATCH(B83, 'Sprint 11'!B:B, 0)), "")</f>
        <v/>
      </c>
      <c r="X83" s="102"/>
      <c r="Y83" s="102" t="s">
        <v>4954</v>
      </c>
      <c r="Z83" s="102"/>
    </row>
    <row r="84">
      <c r="A84" s="102" t="s">
        <v>310</v>
      </c>
      <c r="B84" s="102" t="s">
        <v>7272</v>
      </c>
      <c r="C84" s="229" t="s">
        <v>7273</v>
      </c>
      <c r="D84" s="102" t="s">
        <v>7274</v>
      </c>
      <c r="E84" s="102" t="s">
        <v>564</v>
      </c>
      <c r="F84" s="102" t="s">
        <v>565</v>
      </c>
      <c r="G84" s="102" t="s">
        <v>282</v>
      </c>
      <c r="H84" s="102" t="s">
        <v>283</v>
      </c>
      <c r="I84" s="102" t="s">
        <v>284</v>
      </c>
      <c r="J84" s="102" t="s">
        <v>26</v>
      </c>
      <c r="L84" s="229" t="s">
        <v>7275</v>
      </c>
      <c r="M84" s="229" t="s">
        <v>7276</v>
      </c>
      <c r="N84" s="229" t="s">
        <v>6904</v>
      </c>
      <c r="O84" s="102">
        <v>3.0</v>
      </c>
      <c r="P84" s="102" t="s">
        <v>504</v>
      </c>
      <c r="U84" s="102">
        <v>28800.0</v>
      </c>
      <c r="V84" s="230" t="str">
        <f>IF(ISNUMBER(MATCH(B84, 'Sprint 11'!B:B, 0)), "มาจาก Sprint 11", "")</f>
        <v/>
      </c>
      <c r="W84" s="230" t="str">
        <f t="array" ref="W84">IF(ISNUMBER(MATCH(B84, 'Sprint 11'!B:B, 0)), INDEX('Sprint 11'!J:J, MATCH(B84, 'Sprint 11'!B:B, 0)), "")</f>
        <v/>
      </c>
      <c r="X84" s="102"/>
      <c r="Y84" s="102" t="s">
        <v>4954</v>
      </c>
      <c r="Z84" s="102"/>
    </row>
    <row r="85">
      <c r="A85" s="102" t="s">
        <v>310</v>
      </c>
      <c r="B85" s="102" t="s">
        <v>6899</v>
      </c>
      <c r="C85" s="229" t="s">
        <v>6900</v>
      </c>
      <c r="D85" s="102" t="s">
        <v>6901</v>
      </c>
      <c r="E85" s="102" t="s">
        <v>556</v>
      </c>
      <c r="F85" s="102" t="s">
        <v>557</v>
      </c>
      <c r="G85" s="102" t="s">
        <v>282</v>
      </c>
      <c r="H85" s="102" t="s">
        <v>283</v>
      </c>
      <c r="I85" s="102" t="s">
        <v>284</v>
      </c>
      <c r="J85" s="102" t="s">
        <v>678</v>
      </c>
      <c r="L85" s="229" t="s">
        <v>6902</v>
      </c>
      <c r="M85" s="229" t="s">
        <v>7277</v>
      </c>
      <c r="N85" s="229" t="s">
        <v>6904</v>
      </c>
      <c r="O85" s="102">
        <v>2.0</v>
      </c>
      <c r="P85" s="102" t="s">
        <v>504</v>
      </c>
      <c r="U85" s="102">
        <v>14400.0</v>
      </c>
      <c r="V85" s="230" t="str">
        <f>IF(ISNUMBER(MATCH(B85, 'Sprint 11'!B:B, 0)), "มาจาก Sprint 11", "")</f>
        <v/>
      </c>
      <c r="W85" s="230" t="str">
        <f t="array" ref="W85">IF(ISNUMBER(MATCH(B85, 'Sprint 11'!B:B, 0)), INDEX('Sprint 11'!J:J, MATCH(B85, 'Sprint 11'!B:B, 0)), "")</f>
        <v/>
      </c>
      <c r="X85" s="102"/>
      <c r="Y85" s="102" t="s">
        <v>1366</v>
      </c>
      <c r="Z85" s="102"/>
    </row>
    <row r="86">
      <c r="A86" s="102" t="s">
        <v>310</v>
      </c>
      <c r="B86" s="102" t="s">
        <v>6905</v>
      </c>
      <c r="C86" s="229" t="s">
        <v>6906</v>
      </c>
      <c r="D86" s="102" t="s">
        <v>6907</v>
      </c>
      <c r="E86" s="102" t="s">
        <v>6860</v>
      </c>
      <c r="F86" s="102" t="s">
        <v>6861</v>
      </c>
      <c r="G86" s="102" t="s">
        <v>353</v>
      </c>
      <c r="H86" s="102" t="s">
        <v>354</v>
      </c>
      <c r="I86" s="102" t="s">
        <v>284</v>
      </c>
      <c r="J86" s="102" t="s">
        <v>678</v>
      </c>
      <c r="L86" s="229" t="s">
        <v>6908</v>
      </c>
      <c r="M86" s="229" t="s">
        <v>7278</v>
      </c>
      <c r="O86" s="102">
        <v>3.0</v>
      </c>
      <c r="P86" s="102" t="s">
        <v>538</v>
      </c>
      <c r="U86" s="230"/>
      <c r="V86" s="230" t="str">
        <f>IF(ISNUMBER(MATCH(B86, 'Sprint 11'!B:B, 0)), "มาจาก Sprint 11", "")</f>
        <v/>
      </c>
      <c r="W86" s="230" t="str">
        <f t="array" ref="W86">IF(ISNUMBER(MATCH(B86, 'Sprint 11'!B:B, 0)), INDEX('Sprint 11'!J:J, MATCH(B86, 'Sprint 11'!B:B, 0)), "")</f>
        <v/>
      </c>
      <c r="X86" s="230"/>
      <c r="Y86" s="102" t="s">
        <v>4954</v>
      </c>
      <c r="Z86" s="102"/>
    </row>
    <row r="87">
      <c r="A87" s="102" t="s">
        <v>276</v>
      </c>
      <c r="B87" s="102" t="s">
        <v>7279</v>
      </c>
      <c r="C87" s="229" t="s">
        <v>7280</v>
      </c>
      <c r="D87" s="102" t="s">
        <v>347</v>
      </c>
      <c r="E87" s="102" t="s">
        <v>280</v>
      </c>
      <c r="F87" s="102" t="s">
        <v>281</v>
      </c>
      <c r="G87" s="102" t="s">
        <v>280</v>
      </c>
      <c r="H87" s="102" t="s">
        <v>281</v>
      </c>
      <c r="I87" s="102" t="s">
        <v>284</v>
      </c>
      <c r="J87" s="102" t="s">
        <v>26</v>
      </c>
      <c r="L87" s="229" t="s">
        <v>7281</v>
      </c>
      <c r="M87" s="229" t="s">
        <v>7282</v>
      </c>
      <c r="O87" s="230"/>
      <c r="U87" s="230"/>
      <c r="V87" s="230" t="str">
        <f>IF(ISNUMBER(MATCH(B87, 'Sprint 11'!B:B, 0)), "มาจาก Sprint 11", "")</f>
        <v>มาจาก Sprint 11</v>
      </c>
      <c r="W87" s="230" t="str">
        <f t="array" ref="W87">IF(ISNUMBER(MATCH(B87, 'Sprint 11'!B:B, 0)), INDEX('Sprint 11'!J:J, MATCH(B87, 'Sprint 11'!B:B, 0)), "")</f>
        <v>To Do</v>
      </c>
      <c r="X87" s="230"/>
      <c r="Y87" s="102" t="s">
        <v>1365</v>
      </c>
      <c r="Z87" s="102" t="s">
        <v>1366</v>
      </c>
    </row>
    <row r="88">
      <c r="A88" s="102" t="s">
        <v>276</v>
      </c>
      <c r="B88" s="102" t="s">
        <v>7283</v>
      </c>
      <c r="C88" s="229" t="s">
        <v>7284</v>
      </c>
      <c r="D88" s="102" t="s">
        <v>347</v>
      </c>
      <c r="E88" s="102" t="s">
        <v>280</v>
      </c>
      <c r="F88" s="102" t="s">
        <v>281</v>
      </c>
      <c r="G88" s="102" t="s">
        <v>280</v>
      </c>
      <c r="H88" s="102" t="s">
        <v>281</v>
      </c>
      <c r="I88" s="102" t="s">
        <v>284</v>
      </c>
      <c r="J88" s="102" t="s">
        <v>26</v>
      </c>
      <c r="L88" s="229" t="s">
        <v>7281</v>
      </c>
      <c r="M88" s="229" t="s">
        <v>7285</v>
      </c>
      <c r="N88" s="102"/>
      <c r="O88" s="230"/>
      <c r="P88" s="102"/>
      <c r="Q88" s="102"/>
      <c r="U88" s="230"/>
      <c r="V88" s="230" t="str">
        <f>IF(ISNUMBER(MATCH(B88, 'Sprint 11'!B:B, 0)), "มาจาก Sprint 11", "")</f>
        <v>มาจาก Sprint 11</v>
      </c>
      <c r="W88" s="230" t="str">
        <f t="array" ref="W88">IF(ISNUMBER(MATCH(B88, 'Sprint 11'!B:B, 0)), INDEX('Sprint 11'!J:J, MATCH(B88, 'Sprint 11'!B:B, 0)), "")</f>
        <v>In Progress</v>
      </c>
      <c r="X88" s="230"/>
      <c r="Y88" s="102" t="s">
        <v>1365</v>
      </c>
      <c r="Z88" s="102" t="s">
        <v>1366</v>
      </c>
    </row>
    <row r="89">
      <c r="A89" s="102" t="s">
        <v>276</v>
      </c>
      <c r="B89" s="102" t="s">
        <v>7286</v>
      </c>
      <c r="C89" s="229" t="s">
        <v>7287</v>
      </c>
      <c r="D89" s="102" t="s">
        <v>2030</v>
      </c>
      <c r="E89" s="102" t="s">
        <v>280</v>
      </c>
      <c r="F89" s="102" t="s">
        <v>281</v>
      </c>
      <c r="G89" s="102" t="s">
        <v>280</v>
      </c>
      <c r="H89" s="102" t="s">
        <v>281</v>
      </c>
      <c r="I89" s="102" t="s">
        <v>284</v>
      </c>
      <c r="J89" s="102" t="s">
        <v>26</v>
      </c>
      <c r="L89" s="229" t="s">
        <v>7281</v>
      </c>
      <c r="M89" s="229" t="s">
        <v>7285</v>
      </c>
      <c r="O89" s="102"/>
      <c r="P89" s="102"/>
      <c r="U89" s="230"/>
      <c r="V89" s="230" t="str">
        <f>IF(ISNUMBER(MATCH(B89, 'Sprint 11'!B:B, 0)), "มาจาก Sprint 11", "")</f>
        <v>มาจาก Sprint 11</v>
      </c>
      <c r="W89" s="230" t="str">
        <f t="array" ref="W89">IF(ISNUMBER(MATCH(B89, 'Sprint 11'!B:B, 0)), INDEX('Sprint 11'!J:J, MATCH(B89, 'Sprint 11'!B:B, 0)), "")</f>
        <v>In Review</v>
      </c>
      <c r="X89" s="230"/>
      <c r="Y89" s="102" t="s">
        <v>1365</v>
      </c>
      <c r="Z89" s="102" t="s">
        <v>1366</v>
      </c>
    </row>
    <row r="90">
      <c r="A90" s="102" t="s">
        <v>276</v>
      </c>
      <c r="B90" s="102" t="s">
        <v>7288</v>
      </c>
      <c r="C90" s="229" t="s">
        <v>7289</v>
      </c>
      <c r="D90" s="102" t="s">
        <v>347</v>
      </c>
      <c r="E90" s="102" t="s">
        <v>280</v>
      </c>
      <c r="F90" s="102" t="s">
        <v>281</v>
      </c>
      <c r="G90" s="102" t="s">
        <v>280</v>
      </c>
      <c r="H90" s="102" t="s">
        <v>281</v>
      </c>
      <c r="I90" s="102" t="s">
        <v>284</v>
      </c>
      <c r="J90" s="102" t="s">
        <v>26</v>
      </c>
      <c r="L90" s="229" t="s">
        <v>7290</v>
      </c>
      <c r="M90" s="229" t="s">
        <v>7291</v>
      </c>
      <c r="O90" s="230"/>
      <c r="U90" s="230"/>
      <c r="V90" s="230" t="str">
        <f>IF(ISNUMBER(MATCH(B90, 'Sprint 11'!B:B, 0)), "มาจาก Sprint 11", "")</f>
        <v>มาจาก Sprint 11</v>
      </c>
      <c r="W90" s="230" t="str">
        <f t="array" ref="W90">IF(ISNUMBER(MATCH(B90, 'Sprint 11'!B:B, 0)), INDEX('Sprint 11'!J:J, MATCH(B90, 'Sprint 11'!B:B, 0)), "")</f>
        <v>To Do</v>
      </c>
      <c r="X90" s="230"/>
      <c r="Y90" s="102" t="s">
        <v>1365</v>
      </c>
      <c r="Z90" s="102" t="s">
        <v>1366</v>
      </c>
    </row>
    <row r="91">
      <c r="A91" s="102" t="s">
        <v>276</v>
      </c>
      <c r="B91" s="102" t="s">
        <v>7292</v>
      </c>
      <c r="C91" s="229" t="s">
        <v>7293</v>
      </c>
      <c r="D91" s="102" t="s">
        <v>2030</v>
      </c>
      <c r="E91" s="102" t="s">
        <v>280</v>
      </c>
      <c r="F91" s="102" t="s">
        <v>281</v>
      </c>
      <c r="G91" s="102" t="s">
        <v>280</v>
      </c>
      <c r="H91" s="102" t="s">
        <v>281</v>
      </c>
      <c r="I91" s="102" t="s">
        <v>284</v>
      </c>
      <c r="J91" s="102" t="s">
        <v>26</v>
      </c>
      <c r="L91" s="229" t="s">
        <v>7290</v>
      </c>
      <c r="M91" s="229" t="s">
        <v>7294</v>
      </c>
      <c r="O91" s="230"/>
      <c r="U91" s="230"/>
      <c r="V91" s="230" t="str">
        <f>IF(ISNUMBER(MATCH(B91, 'Sprint 11'!B:B, 0)), "มาจาก Sprint 11", "")</f>
        <v>มาจาก Sprint 11</v>
      </c>
      <c r="W91" s="230" t="str">
        <f t="array" ref="W91">IF(ISNUMBER(MATCH(B91, 'Sprint 11'!B:B, 0)), INDEX('Sprint 11'!J:J, MATCH(B91, 'Sprint 11'!B:B, 0)), "")</f>
        <v>In Review</v>
      </c>
      <c r="X91" s="230"/>
      <c r="Y91" s="102" t="s">
        <v>1365</v>
      </c>
      <c r="Z91" s="102" t="s">
        <v>1366</v>
      </c>
    </row>
    <row r="92">
      <c r="A92" s="102" t="s">
        <v>332</v>
      </c>
      <c r="B92" s="102" t="s">
        <v>7295</v>
      </c>
      <c r="C92" s="229" t="s">
        <v>7296</v>
      </c>
      <c r="D92" s="102" t="s">
        <v>7297</v>
      </c>
      <c r="E92" s="102" t="s">
        <v>314</v>
      </c>
      <c r="F92" s="102" t="s">
        <v>315</v>
      </c>
      <c r="G92" s="102" t="s">
        <v>316</v>
      </c>
      <c r="H92" s="102" t="s">
        <v>317</v>
      </c>
      <c r="I92" s="102" t="s">
        <v>284</v>
      </c>
      <c r="J92" s="102" t="s">
        <v>336</v>
      </c>
      <c r="L92" s="229" t="s">
        <v>7298</v>
      </c>
      <c r="M92" s="229" t="s">
        <v>7299</v>
      </c>
      <c r="N92" s="229" t="s">
        <v>4959</v>
      </c>
      <c r="O92" s="230"/>
      <c r="P92" s="102" t="s">
        <v>1756</v>
      </c>
      <c r="Q92" s="102" t="s">
        <v>367</v>
      </c>
      <c r="U92" s="230"/>
      <c r="V92" s="230" t="str">
        <f>IF(ISNUMBER(MATCH(B92, 'Sprint 11'!B:B, 0)), "มาจาก Sprint 11", "")</f>
        <v/>
      </c>
      <c r="W92" s="230" t="str">
        <f t="array" ref="W92">IF(ISNUMBER(MATCH(B92, 'Sprint 11'!B:B, 0)), INDEX('Sprint 11'!J:J, MATCH(B92, 'Sprint 11'!B:B, 0)), "")</f>
        <v/>
      </c>
      <c r="X92" s="230"/>
      <c r="Y92" s="102" t="s">
        <v>4954</v>
      </c>
      <c r="Z92" s="102"/>
    </row>
    <row r="93">
      <c r="A93" s="102" t="s">
        <v>332</v>
      </c>
      <c r="B93" s="102" t="s">
        <v>4949</v>
      </c>
      <c r="C93" s="229" t="s">
        <v>4950</v>
      </c>
      <c r="D93" s="102" t="s">
        <v>4951</v>
      </c>
      <c r="E93" s="102" t="s">
        <v>353</v>
      </c>
      <c r="F93" s="102" t="s">
        <v>354</v>
      </c>
      <c r="G93" s="102" t="s">
        <v>353</v>
      </c>
      <c r="H93" s="102" t="s">
        <v>354</v>
      </c>
      <c r="I93" s="102" t="s">
        <v>284</v>
      </c>
      <c r="J93" s="102" t="s">
        <v>1738</v>
      </c>
      <c r="L93" s="229" t="s">
        <v>4952</v>
      </c>
      <c r="M93" s="229" t="s">
        <v>7300</v>
      </c>
      <c r="O93" s="102">
        <v>2.0</v>
      </c>
      <c r="P93" s="102" t="s">
        <v>593</v>
      </c>
      <c r="U93" s="230"/>
      <c r="V93" s="230" t="str">
        <f>IF(ISNUMBER(MATCH(B93, 'Sprint 11'!B:B, 0)), "มาจาก Sprint 11", "")</f>
        <v/>
      </c>
      <c r="W93" s="230" t="str">
        <f t="array" ref="W93">IF(ISNUMBER(MATCH(B93, 'Sprint 11'!B:B, 0)), INDEX('Sprint 11'!J:J, MATCH(B93, 'Sprint 11'!B:B, 0)), "")</f>
        <v/>
      </c>
      <c r="X93" s="230"/>
      <c r="Y93" s="102" t="s">
        <v>4953</v>
      </c>
      <c r="Z93" s="102" t="s">
        <v>4954</v>
      </c>
    </row>
    <row r="94">
      <c r="A94" s="102" t="s">
        <v>276</v>
      </c>
      <c r="B94" s="102" t="s">
        <v>7301</v>
      </c>
      <c r="C94" s="229" t="s">
        <v>7302</v>
      </c>
      <c r="D94" s="102" t="s">
        <v>7303</v>
      </c>
      <c r="E94" s="102" t="s">
        <v>3288</v>
      </c>
      <c r="F94" s="102" t="s">
        <v>3289</v>
      </c>
      <c r="G94" s="102" t="s">
        <v>3288</v>
      </c>
      <c r="H94" s="102" t="s">
        <v>3289</v>
      </c>
      <c r="I94" s="102" t="s">
        <v>284</v>
      </c>
      <c r="J94" s="102" t="s">
        <v>26</v>
      </c>
      <c r="L94" s="229" t="s">
        <v>7304</v>
      </c>
      <c r="M94" s="229" t="s">
        <v>7305</v>
      </c>
      <c r="O94" s="102"/>
      <c r="P94" s="102"/>
      <c r="U94" s="102"/>
      <c r="V94" s="230" t="str">
        <f>IF(ISNUMBER(MATCH(B94, 'Sprint 11'!B:B, 0)), "มาจาก Sprint 11", "")</f>
        <v>มาจาก Sprint 11</v>
      </c>
      <c r="W94" s="230" t="str">
        <f t="array" ref="W94">IF(ISNUMBER(MATCH(B94, 'Sprint 11'!B:B, 0)), INDEX('Sprint 11'!J:J, MATCH(B94, 'Sprint 11'!B:B, 0)), "")</f>
        <v>To Do</v>
      </c>
      <c r="X94" s="102"/>
      <c r="Y94" s="102" t="s">
        <v>7213</v>
      </c>
      <c r="Z94" s="102" t="s">
        <v>7214</v>
      </c>
    </row>
    <row r="95">
      <c r="A95" s="102" t="s">
        <v>276</v>
      </c>
      <c r="B95" s="102" t="s">
        <v>7306</v>
      </c>
      <c r="C95" s="229" t="s">
        <v>7307</v>
      </c>
      <c r="D95" s="102" t="s">
        <v>7303</v>
      </c>
      <c r="E95" s="102" t="s">
        <v>3288</v>
      </c>
      <c r="F95" s="102" t="s">
        <v>3289</v>
      </c>
      <c r="G95" s="102" t="s">
        <v>3288</v>
      </c>
      <c r="H95" s="102" t="s">
        <v>3289</v>
      </c>
      <c r="I95" s="102" t="s">
        <v>284</v>
      </c>
      <c r="J95" s="102" t="s">
        <v>26</v>
      </c>
      <c r="L95" s="229" t="s">
        <v>7308</v>
      </c>
      <c r="M95" s="229" t="s">
        <v>7309</v>
      </c>
      <c r="N95" s="102"/>
      <c r="O95" s="102"/>
      <c r="P95" s="102"/>
      <c r="U95" s="102"/>
      <c r="V95" s="230" t="str">
        <f>IF(ISNUMBER(MATCH(B95, 'Sprint 11'!B:B, 0)), "มาจาก Sprint 11", "")</f>
        <v>มาจาก Sprint 11</v>
      </c>
      <c r="W95" s="230" t="str">
        <f t="array" ref="W95">IF(ISNUMBER(MATCH(B95, 'Sprint 11'!B:B, 0)), INDEX('Sprint 11'!J:J, MATCH(B95, 'Sprint 11'!B:B, 0)), "")</f>
        <v>To Do</v>
      </c>
      <c r="X95" s="102"/>
      <c r="Y95" s="102" t="s">
        <v>7213</v>
      </c>
      <c r="Z95" s="102" t="s">
        <v>7214</v>
      </c>
    </row>
    <row r="96">
      <c r="A96" s="102" t="s">
        <v>276</v>
      </c>
      <c r="B96" s="102" t="s">
        <v>7310</v>
      </c>
      <c r="C96" s="229" t="s">
        <v>7311</v>
      </c>
      <c r="D96" s="102" t="s">
        <v>7312</v>
      </c>
      <c r="E96" s="102" t="s">
        <v>3288</v>
      </c>
      <c r="F96" s="102" t="s">
        <v>3289</v>
      </c>
      <c r="G96" s="102" t="s">
        <v>3288</v>
      </c>
      <c r="H96" s="102" t="s">
        <v>3289</v>
      </c>
      <c r="I96" s="102" t="s">
        <v>284</v>
      </c>
      <c r="J96" s="102" t="s">
        <v>34</v>
      </c>
      <c r="L96" s="229" t="s">
        <v>7313</v>
      </c>
      <c r="M96" s="229" t="s">
        <v>7314</v>
      </c>
      <c r="N96" s="102"/>
      <c r="O96" s="102"/>
      <c r="P96" s="102"/>
      <c r="U96" s="102"/>
      <c r="V96" s="230" t="str">
        <f>IF(ISNUMBER(MATCH(B96, 'Sprint 11'!B:B, 0)), "มาจาก Sprint 11", "")</f>
        <v>มาจาก Sprint 11</v>
      </c>
      <c r="W96" s="230" t="str">
        <f t="array" ref="W96">IF(ISNUMBER(MATCH(B96, 'Sprint 11'!B:B, 0)), INDEX('Sprint 11'!J:J, MATCH(B96, 'Sprint 11'!B:B, 0)), "")</f>
        <v>To Do</v>
      </c>
      <c r="X96" s="102"/>
      <c r="Y96" s="102" t="s">
        <v>7213</v>
      </c>
      <c r="Z96" s="102" t="s">
        <v>7214</v>
      </c>
    </row>
    <row r="97">
      <c r="A97" s="102" t="s">
        <v>276</v>
      </c>
      <c r="B97" s="102" t="s">
        <v>7315</v>
      </c>
      <c r="C97" s="229" t="s">
        <v>7316</v>
      </c>
      <c r="D97" s="102" t="s">
        <v>7317</v>
      </c>
      <c r="E97" s="102" t="s">
        <v>3288</v>
      </c>
      <c r="F97" s="102" t="s">
        <v>3289</v>
      </c>
      <c r="G97" s="102" t="s">
        <v>3288</v>
      </c>
      <c r="H97" s="102" t="s">
        <v>3289</v>
      </c>
      <c r="I97" s="102" t="s">
        <v>284</v>
      </c>
      <c r="J97" s="102" t="s">
        <v>26</v>
      </c>
      <c r="L97" s="229" t="s">
        <v>7318</v>
      </c>
      <c r="M97" s="229" t="s">
        <v>7319</v>
      </c>
      <c r="O97" s="230"/>
      <c r="U97" s="230"/>
      <c r="V97" s="230" t="str">
        <f>IF(ISNUMBER(MATCH(B97, 'Sprint 11'!B:B, 0)), "มาจาก Sprint 11", "")</f>
        <v>มาจาก Sprint 11</v>
      </c>
      <c r="W97" s="230" t="str">
        <f t="array" ref="W97">IF(ISNUMBER(MATCH(B97, 'Sprint 11'!B:B, 0)), INDEX('Sprint 11'!J:J, MATCH(B97, 'Sprint 11'!B:B, 0)), "")</f>
        <v>To Do</v>
      </c>
      <c r="X97" s="230"/>
      <c r="Y97" s="102" t="s">
        <v>7213</v>
      </c>
      <c r="Z97" s="102" t="s">
        <v>7214</v>
      </c>
    </row>
    <row r="98">
      <c r="A98" s="102" t="s">
        <v>310</v>
      </c>
      <c r="B98" s="102" t="s">
        <v>7320</v>
      </c>
      <c r="C98" s="229" t="s">
        <v>7321</v>
      </c>
      <c r="D98" s="102" t="s">
        <v>7322</v>
      </c>
      <c r="E98" s="102" t="s">
        <v>328</v>
      </c>
      <c r="F98" s="102" t="s">
        <v>329</v>
      </c>
      <c r="G98" s="102" t="s">
        <v>314</v>
      </c>
      <c r="H98" s="102" t="s">
        <v>315</v>
      </c>
      <c r="I98" s="102" t="s">
        <v>284</v>
      </c>
      <c r="J98" s="102" t="s">
        <v>26</v>
      </c>
      <c r="L98" s="229" t="s">
        <v>7323</v>
      </c>
      <c r="M98" s="229" t="s">
        <v>7261</v>
      </c>
      <c r="O98" s="102">
        <v>3.0</v>
      </c>
      <c r="P98" s="102" t="s">
        <v>1305</v>
      </c>
      <c r="U98" s="102">
        <v>28800.0</v>
      </c>
      <c r="V98" s="230" t="str">
        <f>IF(ISNUMBER(MATCH(B98, 'Sprint 11'!B:B, 0)), "มาจาก Sprint 11", "")</f>
        <v/>
      </c>
      <c r="W98" s="230" t="str">
        <f t="array" ref="W98">IF(ISNUMBER(MATCH(B98, 'Sprint 11'!B:B, 0)), INDEX('Sprint 11'!J:J, MATCH(B98, 'Sprint 11'!B:B, 0)), "")</f>
        <v/>
      </c>
      <c r="X98" s="102"/>
      <c r="Y98" s="102" t="s">
        <v>1366</v>
      </c>
      <c r="Z98" s="102"/>
    </row>
    <row r="99">
      <c r="A99" s="102" t="s">
        <v>310</v>
      </c>
      <c r="B99" s="102" t="s">
        <v>7324</v>
      </c>
      <c r="C99" s="229" t="s">
        <v>7325</v>
      </c>
      <c r="D99" s="102" t="s">
        <v>7326</v>
      </c>
      <c r="E99" s="102" t="s">
        <v>495</v>
      </c>
      <c r="F99" s="102" t="s">
        <v>496</v>
      </c>
      <c r="G99" s="102" t="s">
        <v>314</v>
      </c>
      <c r="H99" s="102" t="s">
        <v>315</v>
      </c>
      <c r="I99" s="102" t="s">
        <v>284</v>
      </c>
      <c r="J99" s="102" t="s">
        <v>26</v>
      </c>
      <c r="L99" s="229" t="s">
        <v>7327</v>
      </c>
      <c r="M99" s="229" t="s">
        <v>7282</v>
      </c>
      <c r="N99" s="229" t="s">
        <v>7328</v>
      </c>
      <c r="O99" s="102">
        <v>2.0</v>
      </c>
      <c r="P99" s="102" t="s">
        <v>1305</v>
      </c>
      <c r="U99" s="102">
        <v>0.0</v>
      </c>
      <c r="V99" s="230" t="str">
        <f>IF(ISNUMBER(MATCH(B99, 'Sprint 11'!B:B, 0)), "มาจาก Sprint 11", "")</f>
        <v>มาจาก Sprint 11</v>
      </c>
      <c r="W99" s="230" t="str">
        <f t="array" ref="W99">IF(ISNUMBER(MATCH(B99, 'Sprint 11'!B:B, 0)), INDEX('Sprint 11'!J:J, MATCH(B99, 'Sprint 11'!B:B, 0)), "")</f>
        <v>Ready To Test</v>
      </c>
      <c r="X99" s="102">
        <v>28800.0</v>
      </c>
      <c r="Y99" s="102" t="s">
        <v>1365</v>
      </c>
      <c r="Z99" s="102" t="s">
        <v>1366</v>
      </c>
    </row>
    <row r="100">
      <c r="A100" s="102" t="s">
        <v>310</v>
      </c>
      <c r="B100" s="102" t="s">
        <v>6409</v>
      </c>
      <c r="C100" s="229" t="s">
        <v>6410</v>
      </c>
      <c r="D100" s="102" t="s">
        <v>6411</v>
      </c>
      <c r="E100" s="102" t="s">
        <v>564</v>
      </c>
      <c r="F100" s="102" t="s">
        <v>565</v>
      </c>
      <c r="G100" s="102" t="s">
        <v>282</v>
      </c>
      <c r="H100" s="102" t="s">
        <v>283</v>
      </c>
      <c r="I100" s="102" t="s">
        <v>284</v>
      </c>
      <c r="J100" s="102" t="s">
        <v>454</v>
      </c>
      <c r="L100" s="229" t="s">
        <v>6412</v>
      </c>
      <c r="M100" s="229" t="s">
        <v>7329</v>
      </c>
      <c r="N100" s="229" t="s">
        <v>6414</v>
      </c>
      <c r="O100" s="102">
        <v>3.0</v>
      </c>
      <c r="P100" s="102" t="s">
        <v>6415</v>
      </c>
      <c r="U100" s="102">
        <v>28800.0</v>
      </c>
      <c r="V100" s="230" t="str">
        <f>IF(ISNUMBER(MATCH(B100, 'Sprint 11'!B:B, 0)), "มาจาก Sprint 11", "")</f>
        <v/>
      </c>
      <c r="W100" s="230" t="str">
        <f t="array" ref="W100">IF(ISNUMBER(MATCH(B100, 'Sprint 11'!B:B, 0)), INDEX('Sprint 11'!J:J, MATCH(B100, 'Sprint 11'!B:B, 0)), "")</f>
        <v/>
      </c>
      <c r="X100" s="102"/>
      <c r="Y100" s="102" t="s">
        <v>4954</v>
      </c>
      <c r="Z100" s="102"/>
    </row>
    <row r="101">
      <c r="A101" s="102" t="s">
        <v>276</v>
      </c>
      <c r="B101" s="102" t="s">
        <v>7330</v>
      </c>
      <c r="C101" s="229" t="s">
        <v>7331</v>
      </c>
      <c r="D101" s="102" t="s">
        <v>7332</v>
      </c>
      <c r="E101" s="102" t="s">
        <v>3288</v>
      </c>
      <c r="F101" s="102" t="s">
        <v>3289</v>
      </c>
      <c r="G101" s="102" t="s">
        <v>3288</v>
      </c>
      <c r="H101" s="102" t="s">
        <v>3289</v>
      </c>
      <c r="I101" s="102" t="s">
        <v>284</v>
      </c>
      <c r="J101" s="102" t="s">
        <v>26</v>
      </c>
      <c r="L101" s="229" t="s">
        <v>7333</v>
      </c>
      <c r="M101" s="229" t="s">
        <v>7334</v>
      </c>
      <c r="O101" s="230"/>
      <c r="U101" s="230"/>
      <c r="V101" s="230" t="str">
        <f>IF(ISNUMBER(MATCH(B101, 'Sprint 11'!B:B, 0)), "มาจาก Sprint 11", "")</f>
        <v>มาจาก Sprint 11</v>
      </c>
      <c r="W101" s="230" t="str">
        <f t="array" ref="W101">IF(ISNUMBER(MATCH(B101, 'Sprint 11'!B:B, 0)), INDEX('Sprint 11'!J:J, MATCH(B101, 'Sprint 11'!B:B, 0)), "")</f>
        <v>Done</v>
      </c>
      <c r="X101" s="230"/>
      <c r="Y101" s="102" t="s">
        <v>7213</v>
      </c>
      <c r="Z101" s="102" t="s">
        <v>7214</v>
      </c>
      <c r="AA101" s="102"/>
    </row>
    <row r="102">
      <c r="A102" s="102" t="s">
        <v>276</v>
      </c>
      <c r="B102" s="102" t="s">
        <v>7335</v>
      </c>
      <c r="C102" s="229" t="s">
        <v>7336</v>
      </c>
      <c r="D102" s="102" t="s">
        <v>7337</v>
      </c>
      <c r="E102" s="102" t="s">
        <v>3288</v>
      </c>
      <c r="F102" s="102" t="s">
        <v>3289</v>
      </c>
      <c r="G102" s="102" t="s">
        <v>3288</v>
      </c>
      <c r="H102" s="102" t="s">
        <v>3289</v>
      </c>
      <c r="I102" s="102" t="s">
        <v>284</v>
      </c>
      <c r="J102" s="102" t="s">
        <v>26</v>
      </c>
      <c r="L102" s="229" t="s">
        <v>7338</v>
      </c>
      <c r="M102" s="229" t="s">
        <v>7313</v>
      </c>
      <c r="O102" s="230"/>
      <c r="U102" s="230"/>
      <c r="V102" s="230" t="str">
        <f>IF(ISNUMBER(MATCH(B102, 'Sprint 11'!B:B, 0)), "มาจาก Sprint 11", "")</f>
        <v>มาจาก Sprint 11</v>
      </c>
      <c r="W102" s="230" t="str">
        <f t="array" ref="W102">IF(ISNUMBER(MATCH(B102, 'Sprint 11'!B:B, 0)), INDEX('Sprint 11'!J:J, MATCH(B102, 'Sprint 11'!B:B, 0)), "")</f>
        <v>Done</v>
      </c>
      <c r="X102" s="230"/>
      <c r="Y102" s="102" t="s">
        <v>7213</v>
      </c>
      <c r="Z102" s="102" t="s">
        <v>7214</v>
      </c>
      <c r="AA102" s="102"/>
    </row>
    <row r="103">
      <c r="A103" s="102" t="s">
        <v>276</v>
      </c>
      <c r="B103" s="102" t="s">
        <v>7339</v>
      </c>
      <c r="C103" s="229" t="s">
        <v>7340</v>
      </c>
      <c r="D103" s="102" t="s">
        <v>7341</v>
      </c>
      <c r="E103" s="102" t="s">
        <v>3288</v>
      </c>
      <c r="F103" s="102" t="s">
        <v>3289</v>
      </c>
      <c r="G103" s="102" t="s">
        <v>3288</v>
      </c>
      <c r="H103" s="102" t="s">
        <v>3289</v>
      </c>
      <c r="I103" s="102" t="s">
        <v>284</v>
      </c>
      <c r="J103" s="102" t="s">
        <v>26</v>
      </c>
      <c r="L103" s="229" t="s">
        <v>7338</v>
      </c>
      <c r="M103" s="229" t="s">
        <v>7308</v>
      </c>
      <c r="O103" s="230"/>
      <c r="U103" s="230"/>
      <c r="V103" s="230" t="str">
        <f>IF(ISNUMBER(MATCH(B103, 'Sprint 11'!B:B, 0)), "มาจาก Sprint 11", "")</f>
        <v>มาจาก Sprint 11</v>
      </c>
      <c r="W103" s="230" t="str">
        <f t="array" ref="W103">IF(ISNUMBER(MATCH(B103, 'Sprint 11'!B:B, 0)), INDEX('Sprint 11'!J:J, MATCH(B103, 'Sprint 11'!B:B, 0)), "")</f>
        <v>Done</v>
      </c>
      <c r="X103" s="230"/>
      <c r="Y103" s="102" t="s">
        <v>7213</v>
      </c>
      <c r="Z103" s="102" t="s">
        <v>7214</v>
      </c>
      <c r="AA103" s="102"/>
    </row>
    <row r="104">
      <c r="A104" s="102" t="s">
        <v>276</v>
      </c>
      <c r="B104" s="102" t="s">
        <v>7342</v>
      </c>
      <c r="C104" s="229" t="s">
        <v>7343</v>
      </c>
      <c r="D104" s="102" t="s">
        <v>7344</v>
      </c>
      <c r="E104" s="102" t="s">
        <v>3288</v>
      </c>
      <c r="F104" s="102" t="s">
        <v>3289</v>
      </c>
      <c r="G104" s="102" t="s">
        <v>3288</v>
      </c>
      <c r="H104" s="102" t="s">
        <v>3289</v>
      </c>
      <c r="I104" s="102" t="s">
        <v>284</v>
      </c>
      <c r="J104" s="102" t="s">
        <v>26</v>
      </c>
      <c r="L104" s="229" t="s">
        <v>7345</v>
      </c>
      <c r="M104" s="229" t="s">
        <v>7346</v>
      </c>
      <c r="O104" s="230"/>
      <c r="U104" s="230"/>
      <c r="V104" s="230" t="str">
        <f>IF(ISNUMBER(MATCH(B104, 'Sprint 11'!B:B, 0)), "มาจาก Sprint 11", "")</f>
        <v>มาจาก Sprint 11</v>
      </c>
      <c r="W104" s="230" t="str">
        <f t="array" ref="W104">IF(ISNUMBER(MATCH(B104, 'Sprint 11'!B:B, 0)), INDEX('Sprint 11'!J:J, MATCH(B104, 'Sprint 11'!B:B, 0)), "")</f>
        <v>Done</v>
      </c>
      <c r="X104" s="230"/>
      <c r="Y104" s="102" t="s">
        <v>7213</v>
      </c>
      <c r="Z104" s="102" t="s">
        <v>7214</v>
      </c>
      <c r="AA104" s="102"/>
    </row>
    <row r="105">
      <c r="A105" s="102" t="s">
        <v>276</v>
      </c>
      <c r="B105" s="102" t="s">
        <v>7347</v>
      </c>
      <c r="C105" s="229" t="s">
        <v>7348</v>
      </c>
      <c r="D105" s="102" t="s">
        <v>7349</v>
      </c>
      <c r="E105" s="102" t="s">
        <v>3288</v>
      </c>
      <c r="F105" s="102" t="s">
        <v>3289</v>
      </c>
      <c r="G105" s="102" t="s">
        <v>521</v>
      </c>
      <c r="H105" s="102" t="s">
        <v>522</v>
      </c>
      <c r="I105" s="102" t="s">
        <v>284</v>
      </c>
      <c r="J105" s="102" t="s">
        <v>26</v>
      </c>
      <c r="L105" s="229" t="s">
        <v>7350</v>
      </c>
      <c r="M105" s="229" t="s">
        <v>7351</v>
      </c>
      <c r="O105" s="230"/>
      <c r="U105" s="230"/>
      <c r="V105" s="230" t="str">
        <f>IF(ISNUMBER(MATCH(B105, 'Sprint 11'!B:B, 0)), "มาจาก Sprint 11", "")</f>
        <v>มาจาก Sprint 11</v>
      </c>
      <c r="W105" s="230" t="str">
        <f t="array" ref="W105">IF(ISNUMBER(MATCH(B105, 'Sprint 11'!B:B, 0)), INDEX('Sprint 11'!J:J, MATCH(B105, 'Sprint 11'!B:B, 0)), "")</f>
        <v>To Do</v>
      </c>
      <c r="X105" s="230"/>
      <c r="Y105" s="102" t="s">
        <v>6450</v>
      </c>
      <c r="Z105" s="102" t="s">
        <v>5901</v>
      </c>
      <c r="AA105" s="102" t="s">
        <v>2205</v>
      </c>
      <c r="AB105" s="102"/>
    </row>
    <row r="106">
      <c r="A106" s="102" t="s">
        <v>276</v>
      </c>
      <c r="B106" s="102" t="s">
        <v>7352</v>
      </c>
      <c r="C106" s="229" t="s">
        <v>7353</v>
      </c>
      <c r="D106" s="102" t="s">
        <v>7354</v>
      </c>
      <c r="E106" s="102" t="s">
        <v>3288</v>
      </c>
      <c r="F106" s="102" t="s">
        <v>3289</v>
      </c>
      <c r="G106" s="102" t="s">
        <v>521</v>
      </c>
      <c r="H106" s="102" t="s">
        <v>522</v>
      </c>
      <c r="I106" s="102" t="s">
        <v>284</v>
      </c>
      <c r="J106" s="102" t="s">
        <v>26</v>
      </c>
      <c r="L106" s="229" t="s">
        <v>7355</v>
      </c>
      <c r="M106" s="229" t="s">
        <v>7356</v>
      </c>
      <c r="O106" s="230"/>
      <c r="U106" s="230"/>
      <c r="V106" s="230" t="str">
        <f>IF(ISNUMBER(MATCH(B106, 'Sprint 11'!B:B, 0)), "มาจาก Sprint 11", "")</f>
        <v>มาจาก Sprint 11</v>
      </c>
      <c r="W106" s="230" t="str">
        <f t="array" ref="W106">IF(ISNUMBER(MATCH(B106, 'Sprint 11'!B:B, 0)), INDEX('Sprint 11'!J:J, MATCH(B106, 'Sprint 11'!B:B, 0)), "")</f>
        <v>Done</v>
      </c>
      <c r="X106" s="230"/>
      <c r="Y106" s="102" t="s">
        <v>6450</v>
      </c>
      <c r="Z106" s="102" t="s">
        <v>5901</v>
      </c>
      <c r="AA106" s="102" t="s">
        <v>2205</v>
      </c>
      <c r="AB106" s="102"/>
    </row>
    <row r="107">
      <c r="A107" s="102" t="s">
        <v>276</v>
      </c>
      <c r="B107" s="102" t="s">
        <v>7357</v>
      </c>
      <c r="C107" s="229" t="s">
        <v>7358</v>
      </c>
      <c r="D107" s="102" t="s">
        <v>7359</v>
      </c>
      <c r="E107" s="102" t="s">
        <v>3288</v>
      </c>
      <c r="F107" s="102" t="s">
        <v>3289</v>
      </c>
      <c r="G107" s="102" t="s">
        <v>521</v>
      </c>
      <c r="H107" s="102" t="s">
        <v>522</v>
      </c>
      <c r="I107" s="102" t="s">
        <v>284</v>
      </c>
      <c r="J107" s="102" t="s">
        <v>34</v>
      </c>
      <c r="L107" s="229" t="s">
        <v>7360</v>
      </c>
      <c r="M107" s="229" t="s">
        <v>7361</v>
      </c>
      <c r="O107" s="230"/>
      <c r="U107" s="230"/>
      <c r="V107" s="230" t="str">
        <f>IF(ISNUMBER(MATCH(B107, 'Sprint 11'!B:B, 0)), "มาจาก Sprint 11", "")</f>
        <v>มาจาก Sprint 11</v>
      </c>
      <c r="W107" s="230" t="str">
        <f t="array" ref="W107">IF(ISNUMBER(MATCH(B107, 'Sprint 11'!B:B, 0)), INDEX('Sprint 11'!J:J, MATCH(B107, 'Sprint 11'!B:B, 0)), "")</f>
        <v>In Progress</v>
      </c>
      <c r="X107" s="230"/>
      <c r="Y107" s="102" t="s">
        <v>6450</v>
      </c>
      <c r="Z107" s="102" t="s">
        <v>5901</v>
      </c>
      <c r="AA107" s="102" t="s">
        <v>2205</v>
      </c>
      <c r="AB107" s="102"/>
    </row>
    <row r="108">
      <c r="A108" s="102" t="s">
        <v>276</v>
      </c>
      <c r="B108" s="102" t="s">
        <v>7362</v>
      </c>
      <c r="C108" s="229" t="s">
        <v>7363</v>
      </c>
      <c r="D108" s="102" t="s">
        <v>7364</v>
      </c>
      <c r="E108" s="102" t="s">
        <v>3288</v>
      </c>
      <c r="F108" s="102" t="s">
        <v>3289</v>
      </c>
      <c r="G108" s="102" t="s">
        <v>521</v>
      </c>
      <c r="H108" s="102" t="s">
        <v>522</v>
      </c>
      <c r="I108" s="102" t="s">
        <v>284</v>
      </c>
      <c r="J108" s="102" t="s">
        <v>26</v>
      </c>
      <c r="L108" s="229" t="s">
        <v>7365</v>
      </c>
      <c r="M108" s="229" t="s">
        <v>7356</v>
      </c>
      <c r="O108" s="230"/>
      <c r="U108" s="230"/>
      <c r="V108" s="230" t="str">
        <f>IF(ISNUMBER(MATCH(B108, 'Sprint 11'!B:B, 0)), "มาจาก Sprint 11", "")</f>
        <v>มาจาก Sprint 11</v>
      </c>
      <c r="W108" s="230" t="str">
        <f t="array" ref="W108">IF(ISNUMBER(MATCH(B108, 'Sprint 11'!B:B, 0)), INDEX('Sprint 11'!J:J, MATCH(B108, 'Sprint 11'!B:B, 0)), "")</f>
        <v>Done</v>
      </c>
      <c r="X108" s="230"/>
      <c r="Y108" s="102" t="s">
        <v>6450</v>
      </c>
      <c r="Z108" s="102" t="s">
        <v>5901</v>
      </c>
      <c r="AA108" s="102" t="s">
        <v>2205</v>
      </c>
      <c r="AB108" s="102"/>
    </row>
    <row r="109">
      <c r="A109" s="102" t="s">
        <v>276</v>
      </c>
      <c r="B109" s="102" t="s">
        <v>6912</v>
      </c>
      <c r="C109" s="229" t="s">
        <v>6913</v>
      </c>
      <c r="D109" s="102" t="s">
        <v>6914</v>
      </c>
      <c r="E109" s="102" t="s">
        <v>521</v>
      </c>
      <c r="F109" s="102" t="s">
        <v>522</v>
      </c>
      <c r="G109" s="102" t="s">
        <v>521</v>
      </c>
      <c r="H109" s="102" t="s">
        <v>522</v>
      </c>
      <c r="I109" s="102" t="s">
        <v>284</v>
      </c>
      <c r="J109" s="102" t="s">
        <v>63</v>
      </c>
      <c r="L109" s="229" t="s">
        <v>6915</v>
      </c>
      <c r="M109" s="229" t="s">
        <v>7361</v>
      </c>
      <c r="O109" s="230"/>
      <c r="U109" s="230"/>
      <c r="V109" s="230" t="str">
        <f>IF(ISNUMBER(MATCH(B109, 'Sprint 11'!B:B, 0)), "มาจาก Sprint 11", "")</f>
        <v>มาจาก Sprint 11</v>
      </c>
      <c r="W109" s="230" t="str">
        <f t="array" ref="W109">IF(ISNUMBER(MATCH(B109, 'Sprint 11'!B:B, 0)), INDEX('Sprint 11'!J:J, MATCH(B109, 'Sprint 11'!B:B, 0)), "")</f>
        <v>To Do</v>
      </c>
      <c r="X109" s="230"/>
      <c r="Y109" s="102" t="s">
        <v>6450</v>
      </c>
      <c r="Z109" s="102" t="s">
        <v>6450</v>
      </c>
      <c r="AA109" s="102" t="s">
        <v>5901</v>
      </c>
      <c r="AB109" s="102" t="s">
        <v>2205</v>
      </c>
    </row>
    <row r="110">
      <c r="A110" s="102" t="s">
        <v>276</v>
      </c>
      <c r="B110" s="102" t="s">
        <v>6916</v>
      </c>
      <c r="C110" s="229" t="s">
        <v>6917</v>
      </c>
      <c r="D110" s="102" t="s">
        <v>6918</v>
      </c>
      <c r="E110" s="102" t="s">
        <v>521</v>
      </c>
      <c r="F110" s="102" t="s">
        <v>522</v>
      </c>
      <c r="G110" s="102" t="s">
        <v>521</v>
      </c>
      <c r="H110" s="102" t="s">
        <v>522</v>
      </c>
      <c r="I110" s="102" t="s">
        <v>284</v>
      </c>
      <c r="J110" s="102" t="s">
        <v>63</v>
      </c>
      <c r="L110" s="229" t="s">
        <v>6915</v>
      </c>
      <c r="M110" s="229" t="s">
        <v>7361</v>
      </c>
      <c r="O110" s="230"/>
      <c r="U110" s="230"/>
      <c r="V110" s="230" t="str">
        <f>IF(ISNUMBER(MATCH(B110, 'Sprint 11'!B:B, 0)), "มาจาก Sprint 11", "")</f>
        <v>มาจาก Sprint 11</v>
      </c>
      <c r="W110" s="230" t="str">
        <f t="array" ref="W110">IF(ISNUMBER(MATCH(B110, 'Sprint 11'!B:B, 0)), INDEX('Sprint 11'!J:J, MATCH(B110, 'Sprint 11'!B:B, 0)), "")</f>
        <v>To Do</v>
      </c>
      <c r="X110" s="230"/>
      <c r="Y110" s="102" t="s">
        <v>6450</v>
      </c>
      <c r="Z110" s="102" t="s">
        <v>6450</v>
      </c>
      <c r="AA110" s="102" t="s">
        <v>5901</v>
      </c>
      <c r="AB110" s="102" t="s">
        <v>2205</v>
      </c>
    </row>
    <row r="111">
      <c r="A111" s="102" t="s">
        <v>276</v>
      </c>
      <c r="B111" s="102" t="s">
        <v>7366</v>
      </c>
      <c r="C111" s="229" t="s">
        <v>7367</v>
      </c>
      <c r="D111" s="102" t="s">
        <v>7368</v>
      </c>
      <c r="E111" s="102" t="s">
        <v>521</v>
      </c>
      <c r="F111" s="102" t="s">
        <v>522</v>
      </c>
      <c r="G111" s="102" t="s">
        <v>521</v>
      </c>
      <c r="H111" s="102" t="s">
        <v>522</v>
      </c>
      <c r="I111" s="102" t="s">
        <v>284</v>
      </c>
      <c r="J111" s="102" t="s">
        <v>26</v>
      </c>
      <c r="L111" s="229" t="s">
        <v>7369</v>
      </c>
      <c r="M111" s="229" t="s">
        <v>7370</v>
      </c>
      <c r="O111" s="230"/>
      <c r="U111" s="230"/>
      <c r="V111" s="230" t="str">
        <f>IF(ISNUMBER(MATCH(B111, 'Sprint 11'!B:B, 0)), "มาจาก Sprint 11", "")</f>
        <v>มาจาก Sprint 11</v>
      </c>
      <c r="W111" s="230" t="str">
        <f t="array" ref="W111">IF(ISNUMBER(MATCH(B111, 'Sprint 11'!B:B, 0)), INDEX('Sprint 11'!J:J, MATCH(B111, 'Sprint 11'!B:B, 0)), "")</f>
        <v>To Do</v>
      </c>
      <c r="X111" s="230"/>
      <c r="Y111" s="102" t="s">
        <v>6450</v>
      </c>
      <c r="Z111" s="102" t="s">
        <v>6450</v>
      </c>
      <c r="AA111" s="102" t="s">
        <v>5901</v>
      </c>
      <c r="AB111" s="102" t="s">
        <v>2205</v>
      </c>
    </row>
    <row r="112">
      <c r="A112" s="102" t="s">
        <v>276</v>
      </c>
      <c r="B112" s="102" t="s">
        <v>7371</v>
      </c>
      <c r="C112" s="229" t="s">
        <v>7372</v>
      </c>
      <c r="D112" s="102" t="s">
        <v>7373</v>
      </c>
      <c r="E112" s="102" t="s">
        <v>521</v>
      </c>
      <c r="F112" s="102" t="s">
        <v>522</v>
      </c>
      <c r="G112" s="102" t="s">
        <v>521</v>
      </c>
      <c r="H112" s="102" t="s">
        <v>522</v>
      </c>
      <c r="I112" s="102" t="s">
        <v>284</v>
      </c>
      <c r="J112" s="102" t="s">
        <v>63</v>
      </c>
      <c r="L112" s="229" t="s">
        <v>7374</v>
      </c>
      <c r="M112" s="229" t="s">
        <v>7361</v>
      </c>
      <c r="O112" s="230"/>
      <c r="U112" s="230"/>
      <c r="V112" s="230" t="str">
        <f>IF(ISNUMBER(MATCH(B112, 'Sprint 11'!B:B, 0)), "มาจาก Sprint 11", "")</f>
        <v>มาจาก Sprint 11</v>
      </c>
      <c r="W112" s="230" t="str">
        <f t="array" ref="W112">IF(ISNUMBER(MATCH(B112, 'Sprint 11'!B:B, 0)), INDEX('Sprint 11'!J:J, MATCH(B112, 'Sprint 11'!B:B, 0)), "")</f>
        <v>To Do</v>
      </c>
      <c r="X112" s="230"/>
      <c r="Y112" s="102" t="s">
        <v>6450</v>
      </c>
      <c r="Z112" s="102" t="s">
        <v>6450</v>
      </c>
      <c r="AA112" s="102" t="s">
        <v>5901</v>
      </c>
      <c r="AB112" s="102" t="s">
        <v>2205</v>
      </c>
    </row>
    <row r="113">
      <c r="A113" s="102" t="s">
        <v>276</v>
      </c>
      <c r="B113" s="102" t="s">
        <v>7375</v>
      </c>
      <c r="C113" s="229" t="s">
        <v>7376</v>
      </c>
      <c r="D113" s="102" t="s">
        <v>7377</v>
      </c>
      <c r="E113" s="102" t="s">
        <v>521</v>
      </c>
      <c r="F113" s="102" t="s">
        <v>522</v>
      </c>
      <c r="G113" s="102" t="s">
        <v>521</v>
      </c>
      <c r="H113" s="102" t="s">
        <v>522</v>
      </c>
      <c r="I113" s="102" t="s">
        <v>284</v>
      </c>
      <c r="J113" s="102" t="s">
        <v>26</v>
      </c>
      <c r="L113" s="229" t="s">
        <v>7378</v>
      </c>
      <c r="M113" s="229" t="s">
        <v>7370</v>
      </c>
      <c r="O113" s="102"/>
      <c r="P113" s="102"/>
      <c r="Q113" s="102"/>
      <c r="R113" s="102"/>
      <c r="S113" s="102"/>
      <c r="T113" s="102"/>
      <c r="U113" s="230"/>
      <c r="V113" s="230" t="str">
        <f>IF(ISNUMBER(MATCH(B113, 'Sprint 11'!B:B, 0)), "มาจาก Sprint 11", "")</f>
        <v>มาจาก Sprint 11</v>
      </c>
      <c r="W113" s="230" t="str">
        <f t="array" ref="W113">IF(ISNUMBER(MATCH(B113, 'Sprint 11'!B:B, 0)), INDEX('Sprint 11'!J:J, MATCH(B113, 'Sprint 11'!B:B, 0)), "")</f>
        <v>To Do</v>
      </c>
      <c r="X113" s="230"/>
      <c r="Y113" s="102" t="s">
        <v>6450</v>
      </c>
      <c r="Z113" s="102" t="s">
        <v>6450</v>
      </c>
      <c r="AA113" s="102" t="s">
        <v>5901</v>
      </c>
      <c r="AB113" s="102" t="s">
        <v>2205</v>
      </c>
    </row>
    <row r="114">
      <c r="A114" s="102" t="s">
        <v>276</v>
      </c>
      <c r="B114" s="102" t="s">
        <v>7379</v>
      </c>
      <c r="C114" s="229" t="s">
        <v>7380</v>
      </c>
      <c r="D114" s="102" t="s">
        <v>7381</v>
      </c>
      <c r="E114" s="102" t="s">
        <v>521</v>
      </c>
      <c r="F114" s="102" t="s">
        <v>522</v>
      </c>
      <c r="G114" s="102" t="s">
        <v>521</v>
      </c>
      <c r="H114" s="102" t="s">
        <v>522</v>
      </c>
      <c r="I114" s="102" t="s">
        <v>284</v>
      </c>
      <c r="J114" s="102" t="s">
        <v>26</v>
      </c>
      <c r="L114" s="229" t="s">
        <v>7382</v>
      </c>
      <c r="M114" s="229" t="s">
        <v>7370</v>
      </c>
      <c r="O114" s="230"/>
      <c r="U114" s="230"/>
      <c r="V114" s="230" t="str">
        <f>IF(ISNUMBER(MATCH(B114, 'Sprint 11'!B:B, 0)), "มาจาก Sprint 11", "")</f>
        <v>มาจาก Sprint 11</v>
      </c>
      <c r="W114" s="230" t="str">
        <f t="array" ref="W114">IF(ISNUMBER(MATCH(B114, 'Sprint 11'!B:B, 0)), INDEX('Sprint 11'!J:J, MATCH(B114, 'Sprint 11'!B:B, 0)), "")</f>
        <v>To Do</v>
      </c>
      <c r="X114" s="230"/>
      <c r="Y114" s="102" t="s">
        <v>6450</v>
      </c>
      <c r="Z114" s="102" t="s">
        <v>6450</v>
      </c>
      <c r="AA114" s="102" t="s">
        <v>5901</v>
      </c>
      <c r="AB114" s="102" t="s">
        <v>2205</v>
      </c>
    </row>
    <row r="115">
      <c r="A115" s="102" t="s">
        <v>332</v>
      </c>
      <c r="B115" s="102" t="s">
        <v>7383</v>
      </c>
      <c r="C115" s="229" t="s">
        <v>7384</v>
      </c>
      <c r="D115" s="102" t="s">
        <v>7385</v>
      </c>
      <c r="E115" s="102" t="s">
        <v>564</v>
      </c>
      <c r="F115" s="102" t="s">
        <v>565</v>
      </c>
      <c r="G115" s="102" t="s">
        <v>391</v>
      </c>
      <c r="H115" s="102" t="s">
        <v>392</v>
      </c>
      <c r="I115" s="102" t="s">
        <v>284</v>
      </c>
      <c r="J115" s="102" t="s">
        <v>336</v>
      </c>
      <c r="L115" s="229" t="s">
        <v>7386</v>
      </c>
      <c r="M115" s="229" t="s">
        <v>7387</v>
      </c>
      <c r="O115" s="102"/>
      <c r="P115" s="102"/>
      <c r="U115" s="102"/>
      <c r="V115" s="230" t="str">
        <f>IF(ISNUMBER(MATCH(B115, 'Sprint 11'!B:B, 0)), "มาจาก Sprint 11", "")</f>
        <v/>
      </c>
      <c r="W115" s="230" t="str">
        <f t="array" ref="W115">IF(ISNUMBER(MATCH(B115, 'Sprint 11'!B:B, 0)), INDEX('Sprint 11'!J:J, MATCH(B115, 'Sprint 11'!B:B, 0)), "")</f>
        <v/>
      </c>
      <c r="X115" s="102"/>
      <c r="Y115" s="102" t="s">
        <v>5901</v>
      </c>
      <c r="Z115" s="102" t="s">
        <v>5896</v>
      </c>
    </row>
    <row r="116">
      <c r="A116" s="102" t="s">
        <v>332</v>
      </c>
      <c r="B116" s="102" t="s">
        <v>7388</v>
      </c>
      <c r="C116" s="229" t="s">
        <v>7389</v>
      </c>
      <c r="D116" s="102" t="s">
        <v>7390</v>
      </c>
      <c r="E116" s="102" t="s">
        <v>564</v>
      </c>
      <c r="F116" s="102" t="s">
        <v>565</v>
      </c>
      <c r="G116" s="102" t="s">
        <v>391</v>
      </c>
      <c r="H116" s="102" t="s">
        <v>392</v>
      </c>
      <c r="I116" s="102" t="s">
        <v>284</v>
      </c>
      <c r="J116" s="102" t="s">
        <v>336</v>
      </c>
      <c r="L116" s="229" t="s">
        <v>7391</v>
      </c>
      <c r="M116" s="229" t="s">
        <v>7392</v>
      </c>
      <c r="O116" s="102"/>
      <c r="P116" s="102"/>
      <c r="U116" s="230"/>
      <c r="V116" s="230" t="str">
        <f>IF(ISNUMBER(MATCH(B116, 'Sprint 11'!B:B, 0)), "มาจาก Sprint 11", "")</f>
        <v>มาจาก Sprint 11</v>
      </c>
      <c r="W116" s="230" t="str">
        <f t="array" ref="W116">IF(ISNUMBER(MATCH(B116, 'Sprint 11'!B:B, 0)), INDEX('Sprint 11'!J:J, MATCH(B116, 'Sprint 11'!B:B, 0)), "")</f>
        <v>Resolved</v>
      </c>
      <c r="X116" s="230"/>
      <c r="Y116" s="102" t="s">
        <v>5901</v>
      </c>
      <c r="Z116" s="102" t="s">
        <v>5896</v>
      </c>
    </row>
    <row r="117">
      <c r="A117" s="102" t="s">
        <v>310</v>
      </c>
      <c r="B117" s="102" t="s">
        <v>7393</v>
      </c>
      <c r="C117" s="229" t="s">
        <v>7394</v>
      </c>
      <c r="D117" s="102" t="s">
        <v>7395</v>
      </c>
      <c r="E117" s="102" t="s">
        <v>314</v>
      </c>
      <c r="F117" s="102" t="s">
        <v>315</v>
      </c>
      <c r="G117" s="102" t="s">
        <v>316</v>
      </c>
      <c r="H117" s="102" t="s">
        <v>317</v>
      </c>
      <c r="I117" s="102" t="s">
        <v>284</v>
      </c>
      <c r="J117" s="102" t="s">
        <v>26</v>
      </c>
      <c r="L117" s="229" t="s">
        <v>7396</v>
      </c>
      <c r="M117" s="229" t="s">
        <v>7397</v>
      </c>
      <c r="N117" s="102"/>
      <c r="O117" s="102">
        <v>1.0</v>
      </c>
      <c r="P117" s="102" t="s">
        <v>366</v>
      </c>
      <c r="Q117" s="102" t="s">
        <v>4656</v>
      </c>
      <c r="R117" s="102" t="s">
        <v>367</v>
      </c>
      <c r="S117" s="102" t="s">
        <v>2890</v>
      </c>
      <c r="T117" s="102" t="s">
        <v>368</v>
      </c>
      <c r="U117" s="102">
        <v>3600.0</v>
      </c>
      <c r="V117" s="230" t="str">
        <f>IF(ISNUMBER(MATCH(B117, 'Sprint 11'!B:B, 0)), "มาจาก Sprint 11", "")</f>
        <v/>
      </c>
      <c r="W117" s="230" t="str">
        <f t="array" ref="W117">IF(ISNUMBER(MATCH(B117, 'Sprint 11'!B:B, 0)), INDEX('Sprint 11'!J:J, MATCH(B117, 'Sprint 11'!B:B, 0)), "")</f>
        <v/>
      </c>
      <c r="X117" s="102"/>
      <c r="Y117" s="102" t="s">
        <v>4953</v>
      </c>
      <c r="Z117" s="102" t="s">
        <v>4954</v>
      </c>
    </row>
    <row r="118">
      <c r="A118" s="102" t="s">
        <v>332</v>
      </c>
      <c r="B118" s="102" t="s">
        <v>5897</v>
      </c>
      <c r="C118" s="229" t="s">
        <v>5898</v>
      </c>
      <c r="D118" s="102" t="s">
        <v>5899</v>
      </c>
      <c r="E118" s="102" t="s">
        <v>556</v>
      </c>
      <c r="F118" s="102" t="s">
        <v>557</v>
      </c>
      <c r="G118" s="102" t="s">
        <v>391</v>
      </c>
      <c r="H118" s="102" t="s">
        <v>392</v>
      </c>
      <c r="I118" s="102" t="s">
        <v>284</v>
      </c>
      <c r="J118" s="102" t="s">
        <v>922</v>
      </c>
      <c r="L118" s="229" t="s">
        <v>5900</v>
      </c>
      <c r="M118" s="229" t="s">
        <v>7398</v>
      </c>
      <c r="O118" s="230"/>
      <c r="P118" s="102"/>
      <c r="U118" s="230"/>
      <c r="V118" s="230" t="str">
        <f>IF(ISNUMBER(MATCH(B118, 'Sprint 11'!B:B, 0)), "มาจาก Sprint 11", "")</f>
        <v>มาจาก Sprint 11</v>
      </c>
      <c r="W118" s="230" t="str">
        <f t="array" ref="W118">IF(ISNUMBER(MATCH(B118, 'Sprint 11'!B:B, 0)), INDEX('Sprint 11'!J:J, MATCH(B118, 'Sprint 11'!B:B, 0)), "")</f>
        <v>Resolved</v>
      </c>
      <c r="X118" s="230"/>
      <c r="Y118" s="102" t="s">
        <v>5901</v>
      </c>
      <c r="Z118" s="102" t="s">
        <v>5896</v>
      </c>
    </row>
    <row r="119">
      <c r="A119" s="102" t="s">
        <v>310</v>
      </c>
      <c r="B119" s="102" t="s">
        <v>7399</v>
      </c>
      <c r="C119" s="229" t="s">
        <v>7400</v>
      </c>
      <c r="D119" s="102" t="s">
        <v>7401</v>
      </c>
      <c r="E119" s="102" t="s">
        <v>584</v>
      </c>
      <c r="F119" s="102" t="s">
        <v>585</v>
      </c>
      <c r="G119" s="102" t="s">
        <v>353</v>
      </c>
      <c r="H119" s="102" t="s">
        <v>354</v>
      </c>
      <c r="I119" s="102" t="s">
        <v>284</v>
      </c>
      <c r="J119" s="102" t="s">
        <v>26</v>
      </c>
      <c r="L119" s="229" t="s">
        <v>7402</v>
      </c>
      <c r="M119" s="229" t="s">
        <v>7217</v>
      </c>
      <c r="O119" s="102">
        <v>1.0</v>
      </c>
      <c r="P119" s="102" t="s">
        <v>504</v>
      </c>
      <c r="U119" s="102">
        <v>0.0</v>
      </c>
      <c r="V119" s="230" t="str">
        <f>IF(ISNUMBER(MATCH(B119, 'Sprint 11'!B:B, 0)), "มาจาก Sprint 11", "")</f>
        <v>มาจาก Sprint 11</v>
      </c>
      <c r="W119" s="230" t="str">
        <f t="array" ref="W119">IF(ISNUMBER(MATCH(B119, 'Sprint 11'!B:B, 0)), INDEX('Sprint 11'!J:J, MATCH(B119, 'Sprint 11'!B:B, 0)), "")</f>
        <v>Ready To Test</v>
      </c>
      <c r="X119" s="102">
        <v>7200.0</v>
      </c>
      <c r="Y119" s="102" t="s">
        <v>7213</v>
      </c>
      <c r="Z119" s="102" t="s">
        <v>7214</v>
      </c>
      <c r="AA119" s="102"/>
      <c r="AB119" s="102"/>
      <c r="AC119" s="102"/>
    </row>
    <row r="120">
      <c r="A120" s="102" t="s">
        <v>310</v>
      </c>
      <c r="B120" s="102" t="s">
        <v>7403</v>
      </c>
      <c r="C120" s="229" t="s">
        <v>7404</v>
      </c>
      <c r="D120" s="102" t="s">
        <v>7405</v>
      </c>
      <c r="E120" s="102" t="s">
        <v>6860</v>
      </c>
      <c r="F120" s="102" t="s">
        <v>6861</v>
      </c>
      <c r="G120" s="102" t="s">
        <v>353</v>
      </c>
      <c r="H120" s="102" t="s">
        <v>354</v>
      </c>
      <c r="I120" s="102" t="s">
        <v>284</v>
      </c>
      <c r="J120" s="102" t="s">
        <v>26</v>
      </c>
      <c r="L120" s="229" t="s">
        <v>7402</v>
      </c>
      <c r="M120" s="229" t="s">
        <v>7212</v>
      </c>
      <c r="O120" s="102">
        <v>1.0</v>
      </c>
      <c r="P120" s="102" t="s">
        <v>6872</v>
      </c>
      <c r="U120" s="230"/>
      <c r="V120" s="230" t="str">
        <f>IF(ISNUMBER(MATCH(B120, 'Sprint 11'!B:B, 0)), "มาจาก Sprint 11", "")</f>
        <v>มาจาก Sprint 11</v>
      </c>
      <c r="W120" s="230" t="str">
        <f t="array" ref="W120">IF(ISNUMBER(MATCH(B120, 'Sprint 11'!B:B, 0)), INDEX('Sprint 11'!J:J, MATCH(B120, 'Sprint 11'!B:B, 0)), "")</f>
        <v>Ready to Staging</v>
      </c>
      <c r="X120" s="230"/>
      <c r="Y120" s="102" t="s">
        <v>7213</v>
      </c>
      <c r="Z120" s="102" t="s">
        <v>7214</v>
      </c>
      <c r="AA120" s="102"/>
      <c r="AB120" s="102"/>
      <c r="AC120" s="102"/>
    </row>
    <row r="121">
      <c r="A121" s="102" t="s">
        <v>332</v>
      </c>
      <c r="B121" s="102" t="s">
        <v>6416</v>
      </c>
      <c r="C121" s="229" t="s">
        <v>6417</v>
      </c>
      <c r="D121" s="102" t="s">
        <v>6418</v>
      </c>
      <c r="E121" s="102" t="s">
        <v>282</v>
      </c>
      <c r="F121" s="102" t="s">
        <v>283</v>
      </c>
      <c r="G121" s="102" t="s">
        <v>316</v>
      </c>
      <c r="H121" s="102" t="s">
        <v>317</v>
      </c>
      <c r="I121" s="102" t="s">
        <v>284</v>
      </c>
      <c r="J121" s="102" t="s">
        <v>2231</v>
      </c>
      <c r="L121" s="229" t="s">
        <v>6419</v>
      </c>
      <c r="M121" s="229" t="s">
        <v>7056</v>
      </c>
      <c r="N121" s="229" t="s">
        <v>4959</v>
      </c>
      <c r="O121" s="230"/>
      <c r="P121" s="102" t="s">
        <v>4656</v>
      </c>
      <c r="Q121" s="102" t="s">
        <v>367</v>
      </c>
      <c r="R121" s="102" t="s">
        <v>783</v>
      </c>
      <c r="U121" s="230"/>
      <c r="V121" s="230" t="str">
        <f>IF(ISNUMBER(MATCH(B121, 'Sprint 11'!B:B, 0)), "มาจาก Sprint 11", "")</f>
        <v/>
      </c>
      <c r="W121" s="230" t="str">
        <f t="array" ref="W121">IF(ISNUMBER(MATCH(B121, 'Sprint 11'!B:B, 0)), INDEX('Sprint 11'!J:J, MATCH(B121, 'Sprint 11'!B:B, 0)), "")</f>
        <v/>
      </c>
      <c r="X121" s="230"/>
      <c r="Y121" s="102" t="s">
        <v>4954</v>
      </c>
      <c r="Z121" s="102"/>
      <c r="AA121" s="102"/>
      <c r="AB121" s="102"/>
      <c r="AC121" s="102"/>
    </row>
    <row r="122">
      <c r="A122" s="102" t="s">
        <v>310</v>
      </c>
      <c r="B122" s="102" t="s">
        <v>6420</v>
      </c>
      <c r="C122" s="229" t="s">
        <v>6421</v>
      </c>
      <c r="D122" s="102" t="s">
        <v>6422</v>
      </c>
      <c r="E122" s="102" t="s">
        <v>584</v>
      </c>
      <c r="F122" s="102" t="s">
        <v>585</v>
      </c>
      <c r="G122" s="102" t="s">
        <v>282</v>
      </c>
      <c r="H122" s="102" t="s">
        <v>283</v>
      </c>
      <c r="I122" s="102" t="s">
        <v>284</v>
      </c>
      <c r="J122" s="102" t="s">
        <v>454</v>
      </c>
      <c r="L122" s="229" t="s">
        <v>6423</v>
      </c>
      <c r="M122" s="229" t="s">
        <v>7300</v>
      </c>
      <c r="O122" s="230"/>
      <c r="P122" s="102" t="s">
        <v>5547</v>
      </c>
      <c r="U122" s="230"/>
      <c r="V122" s="230" t="str">
        <f>IF(ISNUMBER(MATCH(B122, 'Sprint 11'!B:B, 0)), "มาจาก Sprint 11", "")</f>
        <v/>
      </c>
      <c r="W122" s="230" t="str">
        <f t="array" ref="W122">IF(ISNUMBER(MATCH(B122, 'Sprint 11'!B:B, 0)), INDEX('Sprint 11'!J:J, MATCH(B122, 'Sprint 11'!B:B, 0)), "")</f>
        <v/>
      </c>
      <c r="X122" s="230"/>
      <c r="Y122" s="102" t="s">
        <v>4953</v>
      </c>
      <c r="Z122" s="102" t="s">
        <v>4954</v>
      </c>
      <c r="AA122" s="102"/>
      <c r="AB122" s="102"/>
      <c r="AC122" s="102"/>
    </row>
    <row r="123">
      <c r="A123" s="102" t="s">
        <v>276</v>
      </c>
      <c r="B123" s="102" t="s">
        <v>6919</v>
      </c>
      <c r="C123" s="229" t="s">
        <v>6920</v>
      </c>
      <c r="D123" s="102" t="s">
        <v>6921</v>
      </c>
      <c r="E123" s="102" t="s">
        <v>521</v>
      </c>
      <c r="F123" s="102" t="s">
        <v>522</v>
      </c>
      <c r="G123" s="102" t="s">
        <v>521</v>
      </c>
      <c r="H123" s="102" t="s">
        <v>522</v>
      </c>
      <c r="I123" s="102" t="s">
        <v>284</v>
      </c>
      <c r="J123" s="102" t="s">
        <v>63</v>
      </c>
      <c r="L123" s="229" t="s">
        <v>6922</v>
      </c>
      <c r="M123" s="229" t="s">
        <v>7361</v>
      </c>
      <c r="O123" s="230"/>
      <c r="U123" s="230"/>
      <c r="V123" s="230" t="str">
        <f>IF(ISNUMBER(MATCH(B123, 'Sprint 11'!B:B, 0)), "มาจาก Sprint 11", "")</f>
        <v>มาจาก Sprint 11</v>
      </c>
      <c r="W123" s="230" t="str">
        <f t="array" ref="W123">IF(ISNUMBER(MATCH(B123, 'Sprint 11'!B:B, 0)), INDEX('Sprint 11'!J:J, MATCH(B123, 'Sprint 11'!B:B, 0)), "")</f>
        <v>To Do</v>
      </c>
      <c r="X123" s="230"/>
      <c r="Y123" s="102" t="s">
        <v>6448</v>
      </c>
      <c r="Z123" s="102" t="s">
        <v>6450</v>
      </c>
      <c r="AA123" s="102" t="s">
        <v>6450</v>
      </c>
      <c r="AB123" s="102" t="s">
        <v>5901</v>
      </c>
      <c r="AC123" s="102" t="s">
        <v>2205</v>
      </c>
    </row>
    <row r="124">
      <c r="A124" s="102" t="s">
        <v>276</v>
      </c>
      <c r="B124" s="102" t="s">
        <v>6924</v>
      </c>
      <c r="C124" s="229" t="s">
        <v>6925</v>
      </c>
      <c r="D124" s="102" t="s">
        <v>6926</v>
      </c>
      <c r="E124" s="102" t="s">
        <v>521</v>
      </c>
      <c r="F124" s="102" t="s">
        <v>522</v>
      </c>
      <c r="G124" s="102" t="s">
        <v>521</v>
      </c>
      <c r="H124" s="102" t="s">
        <v>522</v>
      </c>
      <c r="I124" s="102" t="s">
        <v>284</v>
      </c>
      <c r="J124" s="102" t="s">
        <v>63</v>
      </c>
      <c r="L124" s="229" t="s">
        <v>6927</v>
      </c>
      <c r="M124" s="229" t="s">
        <v>7361</v>
      </c>
      <c r="O124" s="230"/>
      <c r="U124" s="230"/>
      <c r="V124" s="230" t="str">
        <f>IF(ISNUMBER(MATCH(B124, 'Sprint 11'!B:B, 0)), "มาจาก Sprint 11", "")</f>
        <v>มาจาก Sprint 11</v>
      </c>
      <c r="W124" s="230" t="str">
        <f t="array" ref="W124">IF(ISNUMBER(MATCH(B124, 'Sprint 11'!B:B, 0)), INDEX('Sprint 11'!J:J, MATCH(B124, 'Sprint 11'!B:B, 0)), "")</f>
        <v>To Do</v>
      </c>
      <c r="X124" s="230"/>
      <c r="Y124" s="102" t="s">
        <v>6448</v>
      </c>
      <c r="Z124" s="102" t="s">
        <v>6450</v>
      </c>
      <c r="AA124" s="102" t="s">
        <v>6450</v>
      </c>
      <c r="AB124" s="102" t="s">
        <v>5901</v>
      </c>
      <c r="AC124" s="102" t="s">
        <v>2205</v>
      </c>
    </row>
    <row r="125">
      <c r="A125" s="102" t="s">
        <v>276</v>
      </c>
      <c r="B125" s="102" t="s">
        <v>6928</v>
      </c>
      <c r="C125" s="229" t="s">
        <v>6929</v>
      </c>
      <c r="D125" s="102" t="s">
        <v>6930</v>
      </c>
      <c r="E125" s="102" t="s">
        <v>5844</v>
      </c>
      <c r="F125" s="102" t="s">
        <v>5845</v>
      </c>
      <c r="G125" s="102" t="s">
        <v>521</v>
      </c>
      <c r="H125" s="102" t="s">
        <v>522</v>
      </c>
      <c r="I125" s="102" t="s">
        <v>284</v>
      </c>
      <c r="J125" s="102" t="s">
        <v>63</v>
      </c>
      <c r="L125" s="229" t="s">
        <v>6931</v>
      </c>
      <c r="M125" s="229" t="s">
        <v>7361</v>
      </c>
      <c r="O125" s="230"/>
      <c r="U125" s="230"/>
      <c r="V125" s="230" t="str">
        <f>IF(ISNUMBER(MATCH(B125, 'Sprint 11'!B:B, 0)), "มาจาก Sprint 11", "")</f>
        <v>มาจาก Sprint 11</v>
      </c>
      <c r="W125" s="230" t="str">
        <f t="array" ref="W125">IF(ISNUMBER(MATCH(B125, 'Sprint 11'!B:B, 0)), INDEX('Sprint 11'!J:J, MATCH(B125, 'Sprint 11'!B:B, 0)), "")</f>
        <v>To Do</v>
      </c>
      <c r="X125" s="230"/>
      <c r="Y125" s="102" t="s">
        <v>6448</v>
      </c>
      <c r="Z125" s="102" t="s">
        <v>6450</v>
      </c>
      <c r="AA125" s="102" t="s">
        <v>6450</v>
      </c>
      <c r="AB125" s="102" t="s">
        <v>5901</v>
      </c>
      <c r="AC125" s="102" t="s">
        <v>2205</v>
      </c>
    </row>
    <row r="126">
      <c r="A126" s="102" t="s">
        <v>276</v>
      </c>
      <c r="B126" s="102" t="s">
        <v>6932</v>
      </c>
      <c r="C126" s="229" t="s">
        <v>6933</v>
      </c>
      <c r="D126" s="102" t="s">
        <v>6934</v>
      </c>
      <c r="E126" s="102" t="s">
        <v>5844</v>
      </c>
      <c r="F126" s="102" t="s">
        <v>5845</v>
      </c>
      <c r="G126" s="102" t="s">
        <v>521</v>
      </c>
      <c r="H126" s="102" t="s">
        <v>522</v>
      </c>
      <c r="I126" s="102" t="s">
        <v>284</v>
      </c>
      <c r="J126" s="102" t="s">
        <v>63</v>
      </c>
      <c r="L126" s="229" t="s">
        <v>6931</v>
      </c>
      <c r="M126" s="229" t="s">
        <v>7361</v>
      </c>
      <c r="O126" s="230"/>
      <c r="U126" s="230"/>
      <c r="V126" s="230" t="str">
        <f>IF(ISNUMBER(MATCH(B126, 'Sprint 11'!B:B, 0)), "มาจาก Sprint 11", "")</f>
        <v>มาจาก Sprint 11</v>
      </c>
      <c r="W126" s="230" t="str">
        <f t="array" ref="W126">IF(ISNUMBER(MATCH(B126, 'Sprint 11'!B:B, 0)), INDEX('Sprint 11'!J:J, MATCH(B126, 'Sprint 11'!B:B, 0)), "")</f>
        <v>To Do</v>
      </c>
      <c r="X126" s="230"/>
      <c r="Y126" s="102" t="s">
        <v>6448</v>
      </c>
      <c r="Z126" s="102" t="s">
        <v>6450</v>
      </c>
      <c r="AA126" s="102" t="s">
        <v>6450</v>
      </c>
      <c r="AB126" s="102" t="s">
        <v>5901</v>
      </c>
      <c r="AC126" s="102" t="s">
        <v>2205</v>
      </c>
    </row>
    <row r="127">
      <c r="A127" s="102" t="s">
        <v>276</v>
      </c>
      <c r="B127" s="102" t="s">
        <v>6935</v>
      </c>
      <c r="C127" s="229" t="s">
        <v>6936</v>
      </c>
      <c r="D127" s="102" t="s">
        <v>6937</v>
      </c>
      <c r="E127" s="102" t="s">
        <v>521</v>
      </c>
      <c r="F127" s="102" t="s">
        <v>522</v>
      </c>
      <c r="G127" s="102" t="s">
        <v>521</v>
      </c>
      <c r="H127" s="102" t="s">
        <v>522</v>
      </c>
      <c r="I127" s="102" t="s">
        <v>284</v>
      </c>
      <c r="J127" s="102" t="s">
        <v>63</v>
      </c>
      <c r="L127" s="229" t="s">
        <v>6938</v>
      </c>
      <c r="M127" s="229" t="s">
        <v>7361</v>
      </c>
      <c r="O127" s="230"/>
      <c r="U127" s="230"/>
      <c r="V127" s="230" t="str">
        <f>IF(ISNUMBER(MATCH(B127, 'Sprint 11'!B:B, 0)), "มาจาก Sprint 11", "")</f>
        <v>มาจาก Sprint 11</v>
      </c>
      <c r="W127" s="230" t="str">
        <f t="array" ref="W127">IF(ISNUMBER(MATCH(B127, 'Sprint 11'!B:B, 0)), INDEX('Sprint 11'!J:J, MATCH(B127, 'Sprint 11'!B:B, 0)), "")</f>
        <v>To Do</v>
      </c>
      <c r="X127" s="230"/>
      <c r="Y127" s="102" t="s">
        <v>6448</v>
      </c>
      <c r="Z127" s="102" t="s">
        <v>6450</v>
      </c>
      <c r="AA127" s="102" t="s">
        <v>6450</v>
      </c>
      <c r="AB127" s="102" t="s">
        <v>5901</v>
      </c>
      <c r="AC127" s="102" t="s">
        <v>2205</v>
      </c>
    </row>
    <row r="128">
      <c r="A128" s="102" t="s">
        <v>276</v>
      </c>
      <c r="B128" s="102" t="s">
        <v>7406</v>
      </c>
      <c r="C128" s="229" t="s">
        <v>7407</v>
      </c>
      <c r="D128" s="102" t="s">
        <v>210</v>
      </c>
      <c r="E128" s="102"/>
      <c r="F128" s="102"/>
      <c r="G128" s="102" t="s">
        <v>521</v>
      </c>
      <c r="H128" s="102" t="s">
        <v>522</v>
      </c>
      <c r="I128" s="102" t="s">
        <v>284</v>
      </c>
      <c r="J128" s="102" t="s">
        <v>63</v>
      </c>
      <c r="L128" s="229" t="s">
        <v>7408</v>
      </c>
      <c r="M128" s="229" t="s">
        <v>7361</v>
      </c>
      <c r="O128" s="230"/>
      <c r="U128" s="230"/>
      <c r="V128" s="230" t="str">
        <f>IF(ISNUMBER(MATCH(B128, 'Sprint 11'!B:B, 0)), "มาจาก Sprint 11", "")</f>
        <v>มาจาก Sprint 11</v>
      </c>
      <c r="W128" s="230" t="str">
        <f t="array" ref="W128">IF(ISNUMBER(MATCH(B128, 'Sprint 11'!B:B, 0)), INDEX('Sprint 11'!J:J, MATCH(B128, 'Sprint 11'!B:B, 0)), "")</f>
        <v>To Do</v>
      </c>
      <c r="X128" s="230"/>
      <c r="Y128" s="102" t="s">
        <v>6448</v>
      </c>
      <c r="Z128" s="102" t="s">
        <v>6450</v>
      </c>
      <c r="AA128" s="102" t="s">
        <v>6450</v>
      </c>
      <c r="AB128" s="102" t="s">
        <v>5901</v>
      </c>
      <c r="AC128" s="102" t="s">
        <v>2205</v>
      </c>
    </row>
    <row r="129">
      <c r="A129" s="102" t="s">
        <v>276</v>
      </c>
      <c r="B129" s="102" t="s">
        <v>6940</v>
      </c>
      <c r="C129" s="229" t="s">
        <v>6941</v>
      </c>
      <c r="D129" s="102" t="s">
        <v>6942</v>
      </c>
      <c r="E129" s="102" t="s">
        <v>521</v>
      </c>
      <c r="F129" s="102" t="s">
        <v>522</v>
      </c>
      <c r="G129" s="102" t="s">
        <v>521</v>
      </c>
      <c r="H129" s="102" t="s">
        <v>522</v>
      </c>
      <c r="I129" s="102" t="s">
        <v>284</v>
      </c>
      <c r="J129" s="102" t="s">
        <v>63</v>
      </c>
      <c r="L129" s="229" t="s">
        <v>6943</v>
      </c>
      <c r="M129" s="229" t="s">
        <v>7361</v>
      </c>
      <c r="O129" s="230"/>
      <c r="U129" s="230"/>
      <c r="V129" s="230" t="str">
        <f>IF(ISNUMBER(MATCH(B129, 'Sprint 11'!B:B, 0)), "มาจาก Sprint 11", "")</f>
        <v>มาจาก Sprint 11</v>
      </c>
      <c r="W129" s="230" t="str">
        <f t="array" ref="W129">IF(ISNUMBER(MATCH(B129, 'Sprint 11'!B:B, 0)), INDEX('Sprint 11'!J:J, MATCH(B129, 'Sprint 11'!B:B, 0)), "")</f>
        <v>To Do</v>
      </c>
      <c r="X129" s="230"/>
      <c r="Y129" s="102" t="s">
        <v>6448</v>
      </c>
      <c r="Z129" s="102" t="s">
        <v>6450</v>
      </c>
      <c r="AA129" s="102" t="s">
        <v>6450</v>
      </c>
      <c r="AB129" s="102" t="s">
        <v>5901</v>
      </c>
      <c r="AC129" s="102" t="s">
        <v>2205</v>
      </c>
    </row>
    <row r="130">
      <c r="A130" s="102" t="s">
        <v>276</v>
      </c>
      <c r="B130" s="102" t="s">
        <v>7409</v>
      </c>
      <c r="C130" s="229" t="s">
        <v>7410</v>
      </c>
      <c r="D130" s="102" t="s">
        <v>7411</v>
      </c>
      <c r="E130" s="102" t="s">
        <v>391</v>
      </c>
      <c r="F130" s="102" t="s">
        <v>392</v>
      </c>
      <c r="G130" s="102" t="s">
        <v>521</v>
      </c>
      <c r="H130" s="102" t="s">
        <v>522</v>
      </c>
      <c r="I130" s="102" t="s">
        <v>284</v>
      </c>
      <c r="J130" s="102" t="s">
        <v>26</v>
      </c>
      <c r="L130" s="229" t="s">
        <v>7412</v>
      </c>
      <c r="M130" s="229" t="s">
        <v>7413</v>
      </c>
      <c r="O130" s="230"/>
      <c r="U130" s="230"/>
      <c r="V130" s="230" t="str">
        <f>IF(ISNUMBER(MATCH(B130, 'Sprint 11'!B:B, 0)), "มาจาก Sprint 11", "")</f>
        <v>มาจาก Sprint 11</v>
      </c>
      <c r="W130" s="230" t="str">
        <f t="array" ref="W130">IF(ISNUMBER(MATCH(B130, 'Sprint 11'!B:B, 0)), INDEX('Sprint 11'!J:J, MATCH(B130, 'Sprint 11'!B:B, 0)), "")</f>
        <v>To Do</v>
      </c>
      <c r="X130" s="230"/>
      <c r="Y130" s="102" t="s">
        <v>5920</v>
      </c>
      <c r="Z130" s="102" t="s">
        <v>5901</v>
      </c>
      <c r="AA130" s="102" t="s">
        <v>5901</v>
      </c>
      <c r="AB130" s="102" t="s">
        <v>5896</v>
      </c>
      <c r="AC130" s="102"/>
    </row>
    <row r="131">
      <c r="A131" s="102" t="s">
        <v>276</v>
      </c>
      <c r="B131" s="102" t="s">
        <v>7414</v>
      </c>
      <c r="C131" s="229" t="s">
        <v>7415</v>
      </c>
      <c r="D131" s="102" t="s">
        <v>7416</v>
      </c>
      <c r="E131" s="102" t="s">
        <v>391</v>
      </c>
      <c r="F131" s="102" t="s">
        <v>392</v>
      </c>
      <c r="G131" s="102" t="s">
        <v>521</v>
      </c>
      <c r="H131" s="102" t="s">
        <v>522</v>
      </c>
      <c r="I131" s="102" t="s">
        <v>284</v>
      </c>
      <c r="J131" s="102" t="s">
        <v>26</v>
      </c>
      <c r="L131" s="229" t="s">
        <v>7417</v>
      </c>
      <c r="M131" s="229" t="s">
        <v>7418</v>
      </c>
      <c r="O131" s="230"/>
      <c r="U131" s="230"/>
      <c r="V131" s="230" t="str">
        <f>IF(ISNUMBER(MATCH(B131, 'Sprint 11'!B:B, 0)), "มาจาก Sprint 11", "")</f>
        <v>มาจาก Sprint 11</v>
      </c>
      <c r="W131" s="230" t="str">
        <f t="array" ref="W131">IF(ISNUMBER(MATCH(B131, 'Sprint 11'!B:B, 0)), INDEX('Sprint 11'!J:J, MATCH(B131, 'Sprint 11'!B:B, 0)), "")</f>
        <v>To Do</v>
      </c>
      <c r="X131" s="230"/>
      <c r="Y131" s="102" t="s">
        <v>5920</v>
      </c>
      <c r="Z131" s="102" t="s">
        <v>5901</v>
      </c>
      <c r="AA131" s="102" t="s">
        <v>5901</v>
      </c>
      <c r="AB131" s="102" t="s">
        <v>5896</v>
      </c>
      <c r="AC131" s="102"/>
    </row>
    <row r="132">
      <c r="A132" s="102" t="s">
        <v>276</v>
      </c>
      <c r="B132" s="102" t="s">
        <v>7419</v>
      </c>
      <c r="C132" s="229" t="s">
        <v>7420</v>
      </c>
      <c r="D132" s="102" t="s">
        <v>7421</v>
      </c>
      <c r="E132" s="102" t="s">
        <v>521</v>
      </c>
      <c r="F132" s="102" t="s">
        <v>522</v>
      </c>
      <c r="G132" s="102" t="s">
        <v>521</v>
      </c>
      <c r="H132" s="102" t="s">
        <v>522</v>
      </c>
      <c r="I132" s="102" t="s">
        <v>284</v>
      </c>
      <c r="J132" s="102" t="s">
        <v>26</v>
      </c>
      <c r="L132" s="229" t="s">
        <v>7422</v>
      </c>
      <c r="M132" s="229" t="s">
        <v>7423</v>
      </c>
      <c r="O132" s="230"/>
      <c r="U132" s="230"/>
      <c r="V132" s="230" t="str">
        <f>IF(ISNUMBER(MATCH(B132, 'Sprint 11'!B:B, 0)), "มาจาก Sprint 11", "")</f>
        <v>มาจาก Sprint 11</v>
      </c>
      <c r="W132" s="230" t="str">
        <f t="array" ref="W132">IF(ISNUMBER(MATCH(B132, 'Sprint 11'!B:B, 0)), INDEX('Sprint 11'!J:J, MATCH(B132, 'Sprint 11'!B:B, 0)), "")</f>
        <v>To Do</v>
      </c>
      <c r="X132" s="230"/>
      <c r="Y132" s="102" t="s">
        <v>5901</v>
      </c>
      <c r="Z132" s="102" t="s">
        <v>5901</v>
      </c>
      <c r="AA132" s="102" t="s">
        <v>5896</v>
      </c>
      <c r="AB132" s="102"/>
      <c r="AC132" s="102"/>
      <c r="AD132" s="102"/>
    </row>
    <row r="133">
      <c r="A133" s="102" t="s">
        <v>276</v>
      </c>
      <c r="B133" s="102" t="s">
        <v>7424</v>
      </c>
      <c r="C133" s="229" t="s">
        <v>7425</v>
      </c>
      <c r="D133" s="102" t="s">
        <v>7426</v>
      </c>
      <c r="E133" s="102" t="s">
        <v>521</v>
      </c>
      <c r="F133" s="102" t="s">
        <v>522</v>
      </c>
      <c r="G133" s="102" t="s">
        <v>521</v>
      </c>
      <c r="H133" s="102" t="s">
        <v>522</v>
      </c>
      <c r="I133" s="102" t="s">
        <v>284</v>
      </c>
      <c r="J133" s="102" t="s">
        <v>26</v>
      </c>
      <c r="L133" s="229" t="s">
        <v>7422</v>
      </c>
      <c r="M133" s="229" t="s">
        <v>7427</v>
      </c>
      <c r="O133" s="230"/>
      <c r="U133" s="230"/>
      <c r="V133" s="230" t="str">
        <f>IF(ISNUMBER(MATCH(B133, 'Sprint 11'!B:B, 0)), "มาจาก Sprint 11", "")</f>
        <v>มาจาก Sprint 11</v>
      </c>
      <c r="W133" s="230" t="str">
        <f t="array" ref="W133">IF(ISNUMBER(MATCH(B133, 'Sprint 11'!B:B, 0)), INDEX('Sprint 11'!J:J, MATCH(B133, 'Sprint 11'!B:B, 0)), "")</f>
        <v>To Do</v>
      </c>
      <c r="X133" s="230"/>
      <c r="Y133" s="102" t="s">
        <v>5901</v>
      </c>
      <c r="Z133" s="102" t="s">
        <v>5901</v>
      </c>
      <c r="AA133" s="102" t="s">
        <v>5896</v>
      </c>
    </row>
    <row r="134">
      <c r="A134" s="102" t="s">
        <v>276</v>
      </c>
      <c r="B134" s="102" t="s">
        <v>7428</v>
      </c>
      <c r="C134" s="229" t="s">
        <v>7429</v>
      </c>
      <c r="D134" s="102" t="s">
        <v>7430</v>
      </c>
      <c r="E134" s="102" t="s">
        <v>521</v>
      </c>
      <c r="F134" s="102" t="s">
        <v>522</v>
      </c>
      <c r="G134" s="102" t="s">
        <v>521</v>
      </c>
      <c r="H134" s="102" t="s">
        <v>522</v>
      </c>
      <c r="I134" s="102" t="s">
        <v>284</v>
      </c>
      <c r="J134" s="102" t="s">
        <v>26</v>
      </c>
      <c r="L134" s="229" t="s">
        <v>7431</v>
      </c>
      <c r="M134" s="229" t="s">
        <v>7432</v>
      </c>
      <c r="O134" s="230"/>
      <c r="U134" s="230"/>
      <c r="V134" s="230" t="str">
        <f>IF(ISNUMBER(MATCH(B134, 'Sprint 11'!B:B, 0)), "มาจาก Sprint 11", "")</f>
        <v>มาจาก Sprint 11</v>
      </c>
      <c r="W134" s="230" t="str">
        <f t="array" ref="W134">IF(ISNUMBER(MATCH(B134, 'Sprint 11'!B:B, 0)), INDEX('Sprint 11'!J:J, MATCH(B134, 'Sprint 11'!B:B, 0)), "")</f>
        <v>To Do</v>
      </c>
      <c r="X134" s="230"/>
      <c r="Y134" s="102" t="s">
        <v>5919</v>
      </c>
      <c r="Z134" s="102" t="s">
        <v>5920</v>
      </c>
      <c r="AA134" s="102" t="s">
        <v>5901</v>
      </c>
      <c r="AB134" s="102" t="s">
        <v>5901</v>
      </c>
      <c r="AC134" s="102" t="s">
        <v>5896</v>
      </c>
    </row>
    <row r="135">
      <c r="A135" s="102" t="s">
        <v>276</v>
      </c>
      <c r="B135" s="102" t="s">
        <v>7433</v>
      </c>
      <c r="C135" s="229" t="s">
        <v>7434</v>
      </c>
      <c r="D135" s="102" t="s">
        <v>7435</v>
      </c>
      <c r="E135" s="102" t="s">
        <v>521</v>
      </c>
      <c r="F135" s="102" t="s">
        <v>522</v>
      </c>
      <c r="G135" s="102" t="s">
        <v>521</v>
      </c>
      <c r="H135" s="102" t="s">
        <v>522</v>
      </c>
      <c r="I135" s="102" t="s">
        <v>284</v>
      </c>
      <c r="J135" s="102" t="s">
        <v>26</v>
      </c>
      <c r="L135" s="229" t="s">
        <v>7431</v>
      </c>
      <c r="M135" s="229" t="s">
        <v>7436</v>
      </c>
      <c r="N135" s="102"/>
      <c r="O135" s="230"/>
      <c r="P135" s="102"/>
      <c r="Q135" s="102"/>
      <c r="U135" s="230"/>
      <c r="V135" s="230" t="str">
        <f>IF(ISNUMBER(MATCH(B135, 'Sprint 11'!B:B, 0)), "มาจาก Sprint 11", "")</f>
        <v>มาจาก Sprint 11</v>
      </c>
      <c r="W135" s="230" t="str">
        <f t="array" ref="W135">IF(ISNUMBER(MATCH(B135, 'Sprint 11'!B:B, 0)), INDEX('Sprint 11'!J:J, MATCH(B135, 'Sprint 11'!B:B, 0)), "")</f>
        <v>Done</v>
      </c>
      <c r="X135" s="230"/>
      <c r="Y135" s="102" t="s">
        <v>5919</v>
      </c>
      <c r="Z135" s="102" t="s">
        <v>5920</v>
      </c>
      <c r="AA135" s="102" t="s">
        <v>5901</v>
      </c>
      <c r="AB135" s="102" t="s">
        <v>5901</v>
      </c>
      <c r="AC135" s="102" t="s">
        <v>5896</v>
      </c>
    </row>
    <row r="136">
      <c r="A136" s="102" t="s">
        <v>276</v>
      </c>
      <c r="B136" s="102" t="s">
        <v>7437</v>
      </c>
      <c r="C136" s="229" t="s">
        <v>7438</v>
      </c>
      <c r="D136" s="102" t="s">
        <v>7439</v>
      </c>
      <c r="E136" s="102" t="s">
        <v>521</v>
      </c>
      <c r="F136" s="102" t="s">
        <v>522</v>
      </c>
      <c r="G136" s="102" t="s">
        <v>521</v>
      </c>
      <c r="H136" s="102" t="s">
        <v>522</v>
      </c>
      <c r="I136" s="102" t="s">
        <v>284</v>
      </c>
      <c r="J136" s="102" t="s">
        <v>26</v>
      </c>
      <c r="L136" s="229" t="s">
        <v>7440</v>
      </c>
      <c r="M136" s="229" t="s">
        <v>7441</v>
      </c>
      <c r="N136" s="102"/>
      <c r="O136" s="102"/>
      <c r="U136" s="102"/>
      <c r="V136" s="230" t="str">
        <f>IF(ISNUMBER(MATCH(B136, 'Sprint 11'!B:B, 0)), "มาจาก Sprint 11", "")</f>
        <v>มาจาก Sprint 11</v>
      </c>
      <c r="W136" s="230" t="str">
        <f t="array" ref="W136">IF(ISNUMBER(MATCH(B136, 'Sprint 11'!B:B, 0)), INDEX('Sprint 11'!J:J, MATCH(B136, 'Sprint 11'!B:B, 0)), "")</f>
        <v>In Progress</v>
      </c>
      <c r="X136" s="102"/>
      <c r="Y136" s="102" t="s">
        <v>5944</v>
      </c>
      <c r="Z136" s="102" t="s">
        <v>5919</v>
      </c>
      <c r="AA136" s="102" t="s">
        <v>5920</v>
      </c>
      <c r="AB136" s="102" t="s">
        <v>5901</v>
      </c>
      <c r="AC136" s="102" t="s">
        <v>5901</v>
      </c>
      <c r="AD136" s="102" t="s">
        <v>5896</v>
      </c>
    </row>
    <row r="137">
      <c r="A137" s="102" t="s">
        <v>276</v>
      </c>
      <c r="B137" s="102" t="s">
        <v>7442</v>
      </c>
      <c r="C137" s="229" t="s">
        <v>7443</v>
      </c>
      <c r="D137" s="102" t="s">
        <v>7444</v>
      </c>
      <c r="E137" s="102" t="s">
        <v>495</v>
      </c>
      <c r="F137" s="102" t="s">
        <v>496</v>
      </c>
      <c r="G137" s="102" t="s">
        <v>316</v>
      </c>
      <c r="H137" s="102" t="s">
        <v>317</v>
      </c>
      <c r="I137" s="102" t="s">
        <v>284</v>
      </c>
      <c r="J137" s="102" t="s">
        <v>63</v>
      </c>
      <c r="L137" s="229" t="s">
        <v>7445</v>
      </c>
      <c r="M137" s="229" t="s">
        <v>7446</v>
      </c>
      <c r="N137" s="102"/>
      <c r="O137" s="102"/>
      <c r="P137" s="102"/>
      <c r="Q137" s="102"/>
      <c r="R137" s="102"/>
      <c r="U137" s="230"/>
      <c r="V137" s="230" t="str">
        <f>IF(ISNUMBER(MATCH(B137, 'Sprint 11'!B:B, 0)), "มาจาก Sprint 11", "")</f>
        <v/>
      </c>
      <c r="W137" s="230" t="str">
        <f t="array" ref="W137">IF(ISNUMBER(MATCH(B137, 'Sprint 11'!B:B, 0)), INDEX('Sprint 11'!J:J, MATCH(B137, 'Sprint 11'!B:B, 0)), "")</f>
        <v/>
      </c>
      <c r="X137" s="230"/>
      <c r="Y137" s="102" t="s">
        <v>4953</v>
      </c>
      <c r="Z137" s="102" t="s">
        <v>4954</v>
      </c>
    </row>
    <row r="138">
      <c r="A138" s="102" t="s">
        <v>276</v>
      </c>
      <c r="B138" s="102" t="s">
        <v>7447</v>
      </c>
      <c r="C138" s="229" t="s">
        <v>7448</v>
      </c>
      <c r="D138" s="102" t="s">
        <v>7449</v>
      </c>
      <c r="E138" s="102" t="s">
        <v>353</v>
      </c>
      <c r="F138" s="102" t="s">
        <v>354</v>
      </c>
      <c r="G138" s="102" t="s">
        <v>316</v>
      </c>
      <c r="H138" s="102" t="s">
        <v>317</v>
      </c>
      <c r="I138" s="102" t="s">
        <v>284</v>
      </c>
      <c r="J138" s="102" t="s">
        <v>34</v>
      </c>
      <c r="L138" s="229" t="s">
        <v>7450</v>
      </c>
      <c r="M138" s="229" t="s">
        <v>7451</v>
      </c>
      <c r="N138" s="102"/>
      <c r="O138" s="102"/>
      <c r="P138" s="102"/>
      <c r="U138" s="102">
        <v>3600.0</v>
      </c>
      <c r="V138" s="230" t="str">
        <f>IF(ISNUMBER(MATCH(B138, 'Sprint 11'!B:B, 0)), "มาจาก Sprint 11", "")</f>
        <v/>
      </c>
      <c r="W138" s="230" t="str">
        <f t="array" ref="W138">IF(ISNUMBER(MATCH(B138, 'Sprint 11'!B:B, 0)), INDEX('Sprint 11'!J:J, MATCH(B138, 'Sprint 11'!B:B, 0)), "")</f>
        <v/>
      </c>
      <c r="X138" s="102"/>
      <c r="Y138" s="102" t="s">
        <v>4953</v>
      </c>
      <c r="Z138" s="102" t="s">
        <v>4954</v>
      </c>
    </row>
    <row r="139">
      <c r="A139" s="102" t="s">
        <v>332</v>
      </c>
      <c r="B139" s="102" t="s">
        <v>7452</v>
      </c>
      <c r="C139" s="229" t="s">
        <v>7453</v>
      </c>
      <c r="D139" s="102" t="s">
        <v>7454</v>
      </c>
      <c r="E139" s="102" t="s">
        <v>495</v>
      </c>
      <c r="F139" s="102" t="s">
        <v>496</v>
      </c>
      <c r="G139" s="102" t="s">
        <v>316</v>
      </c>
      <c r="H139" s="102" t="s">
        <v>317</v>
      </c>
      <c r="I139" s="102" t="s">
        <v>648</v>
      </c>
      <c r="J139" s="102" t="s">
        <v>336</v>
      </c>
      <c r="L139" s="229" t="s">
        <v>7455</v>
      </c>
      <c r="M139" s="229" t="s">
        <v>7456</v>
      </c>
      <c r="N139" s="229" t="s">
        <v>5881</v>
      </c>
      <c r="O139" s="102"/>
      <c r="P139" s="102" t="s">
        <v>538</v>
      </c>
      <c r="Q139" s="102" t="s">
        <v>4656</v>
      </c>
      <c r="U139" s="230"/>
      <c r="V139" s="230" t="str">
        <f>IF(ISNUMBER(MATCH(B139, 'Sprint 11'!B:B, 0)), "มาจาก Sprint 11", "")</f>
        <v/>
      </c>
      <c r="W139" s="230" t="str">
        <f t="array" ref="W139">IF(ISNUMBER(MATCH(B139, 'Sprint 11'!B:B, 0)), INDEX('Sprint 11'!J:J, MATCH(B139, 'Sprint 11'!B:B, 0)), "")</f>
        <v/>
      </c>
      <c r="X139" s="230"/>
      <c r="Y139" s="102" t="s">
        <v>4953</v>
      </c>
      <c r="Z139" s="102" t="s">
        <v>4954</v>
      </c>
    </row>
    <row r="140">
      <c r="A140" s="102" t="s">
        <v>310</v>
      </c>
      <c r="B140" s="102" t="s">
        <v>6944</v>
      </c>
      <c r="C140" s="229" t="s">
        <v>6945</v>
      </c>
      <c r="D140" s="102" t="s">
        <v>6946</v>
      </c>
      <c r="E140" s="102" t="s">
        <v>6860</v>
      </c>
      <c r="F140" s="102" t="s">
        <v>6861</v>
      </c>
      <c r="G140" s="102" t="s">
        <v>353</v>
      </c>
      <c r="H140" s="102" t="s">
        <v>354</v>
      </c>
      <c r="I140" s="102" t="s">
        <v>284</v>
      </c>
      <c r="J140" s="102" t="s">
        <v>454</v>
      </c>
      <c r="L140" s="229" t="s">
        <v>6947</v>
      </c>
      <c r="M140" s="229" t="s">
        <v>7457</v>
      </c>
      <c r="N140" s="229" t="s">
        <v>6949</v>
      </c>
      <c r="O140" s="102">
        <v>1.0</v>
      </c>
      <c r="P140" s="102"/>
      <c r="Q140" s="102"/>
      <c r="U140" s="102">
        <v>0.0</v>
      </c>
      <c r="V140" s="230" t="str">
        <f>IF(ISNUMBER(MATCH(B140, 'Sprint 11'!B:B, 0)), "มาจาก Sprint 11", "")</f>
        <v>มาจาก Sprint 11</v>
      </c>
      <c r="W140" s="230" t="str">
        <f t="array" ref="W140">IF(ISNUMBER(MATCH(B140, 'Sprint 11'!B:B, 0)), INDEX('Sprint 11'!J:J, MATCH(B140, 'Sprint 11'!B:B, 0)), "")</f>
        <v>Ready to Staging</v>
      </c>
      <c r="X140" s="102">
        <v>3600.0</v>
      </c>
      <c r="Y140" s="102" t="s">
        <v>1365</v>
      </c>
      <c r="Z140" s="102" t="s">
        <v>1366</v>
      </c>
    </row>
    <row r="141">
      <c r="A141" s="102" t="s">
        <v>310</v>
      </c>
      <c r="B141" s="102" t="s">
        <v>6424</v>
      </c>
      <c r="C141" s="229" t="s">
        <v>6425</v>
      </c>
      <c r="D141" s="102" t="s">
        <v>6426</v>
      </c>
      <c r="E141" s="102" t="s">
        <v>282</v>
      </c>
      <c r="F141" s="102" t="s">
        <v>283</v>
      </c>
      <c r="G141" s="102" t="s">
        <v>316</v>
      </c>
      <c r="H141" s="102" t="s">
        <v>317</v>
      </c>
      <c r="I141" s="102" t="s">
        <v>515</v>
      </c>
      <c r="J141" s="102" t="s">
        <v>2509</v>
      </c>
      <c r="L141" s="229" t="s">
        <v>6427</v>
      </c>
      <c r="M141" s="229" t="s">
        <v>7458</v>
      </c>
      <c r="N141" s="229" t="s">
        <v>4959</v>
      </c>
      <c r="O141" s="102">
        <v>8.0</v>
      </c>
      <c r="P141" s="102" t="s">
        <v>366</v>
      </c>
      <c r="Q141" s="102" t="s">
        <v>367</v>
      </c>
      <c r="R141" s="102" t="s">
        <v>368</v>
      </c>
      <c r="U141" s="102"/>
      <c r="V141" s="230" t="str">
        <f>IF(ISNUMBER(MATCH(B141, 'Sprint 11'!B:B, 0)), "มาจาก Sprint 11", "")</f>
        <v/>
      </c>
      <c r="W141" s="230" t="str">
        <f t="array" ref="W141">IF(ISNUMBER(MATCH(B141, 'Sprint 11'!B:B, 0)), INDEX('Sprint 11'!J:J, MATCH(B141, 'Sprint 11'!B:B, 0)), "")</f>
        <v/>
      </c>
      <c r="X141" s="102"/>
      <c r="Y141" s="102" t="s">
        <v>4954</v>
      </c>
      <c r="Z141" s="102"/>
    </row>
    <row r="142">
      <c r="A142" s="102" t="s">
        <v>310</v>
      </c>
      <c r="B142" s="102" t="s">
        <v>7459</v>
      </c>
      <c r="C142" s="229" t="s">
        <v>7460</v>
      </c>
      <c r="D142" s="102" t="s">
        <v>7461</v>
      </c>
      <c r="E142" s="102" t="s">
        <v>304</v>
      </c>
      <c r="F142" s="102" t="s">
        <v>305</v>
      </c>
      <c r="G142" s="102" t="s">
        <v>314</v>
      </c>
      <c r="H142" s="102" t="s">
        <v>315</v>
      </c>
      <c r="I142" s="102" t="s">
        <v>284</v>
      </c>
      <c r="J142" s="102" t="s">
        <v>26</v>
      </c>
      <c r="L142" s="229" t="s">
        <v>7462</v>
      </c>
      <c r="M142" s="229" t="s">
        <v>7291</v>
      </c>
      <c r="N142" s="229" t="s">
        <v>7463</v>
      </c>
      <c r="O142" s="102">
        <v>5.0</v>
      </c>
      <c r="P142" s="102" t="s">
        <v>1305</v>
      </c>
      <c r="U142" s="102">
        <v>0.0</v>
      </c>
      <c r="V142" s="230" t="str">
        <f>IF(ISNUMBER(MATCH(B142, 'Sprint 11'!B:B, 0)), "มาจาก Sprint 11", "")</f>
        <v>มาจาก Sprint 11</v>
      </c>
      <c r="W142" s="230" t="str">
        <f t="array" ref="W142">IF(ISNUMBER(MATCH(B142, 'Sprint 11'!B:B, 0)), INDEX('Sprint 11'!J:J, MATCH(B142, 'Sprint 11'!B:B, 0)), "")</f>
        <v>Ready To Test</v>
      </c>
      <c r="X142" s="102">
        <v>57600.0</v>
      </c>
      <c r="Y142" s="102" t="s">
        <v>1365</v>
      </c>
      <c r="Z142" s="102" t="s">
        <v>1366</v>
      </c>
    </row>
    <row r="143">
      <c r="A143" s="102" t="s">
        <v>310</v>
      </c>
      <c r="B143" s="102" t="s">
        <v>7464</v>
      </c>
      <c r="C143" s="229" t="s">
        <v>7465</v>
      </c>
      <c r="D143" s="102" t="s">
        <v>7466</v>
      </c>
      <c r="E143" s="102" t="s">
        <v>495</v>
      </c>
      <c r="F143" s="102" t="s">
        <v>496</v>
      </c>
      <c r="G143" s="102" t="s">
        <v>314</v>
      </c>
      <c r="H143" s="102" t="s">
        <v>315</v>
      </c>
      <c r="I143" s="102" t="s">
        <v>284</v>
      </c>
      <c r="J143" s="102" t="s">
        <v>26</v>
      </c>
      <c r="L143" s="229" t="s">
        <v>7467</v>
      </c>
      <c r="M143" s="229" t="s">
        <v>7468</v>
      </c>
      <c r="N143" s="229" t="s">
        <v>6949</v>
      </c>
      <c r="O143" s="102">
        <v>3.0</v>
      </c>
      <c r="P143" s="102" t="s">
        <v>651</v>
      </c>
      <c r="U143" s="102"/>
      <c r="V143" s="230" t="str">
        <f>IF(ISNUMBER(MATCH(B143, 'Sprint 11'!B:B, 0)), "มาจาก Sprint 11", "")</f>
        <v>มาจาก Sprint 11</v>
      </c>
      <c r="W143" s="230" t="str">
        <f t="array" ref="W143">IF(ISNUMBER(MATCH(B143, 'Sprint 11'!B:B, 0)), INDEX('Sprint 11'!J:J, MATCH(B143, 'Sprint 11'!B:B, 0)), "")</f>
        <v>Ready To Test</v>
      </c>
      <c r="X143" s="102"/>
      <c r="Y143" s="102" t="s">
        <v>1365</v>
      </c>
      <c r="Z143" s="102" t="s">
        <v>1366</v>
      </c>
    </row>
    <row r="144">
      <c r="A144" s="102" t="s">
        <v>310</v>
      </c>
      <c r="B144" s="102" t="s">
        <v>7469</v>
      </c>
      <c r="C144" s="229" t="s">
        <v>7470</v>
      </c>
      <c r="D144" s="102" t="s">
        <v>7471</v>
      </c>
      <c r="E144" s="102" t="s">
        <v>584</v>
      </c>
      <c r="F144" s="102" t="s">
        <v>585</v>
      </c>
      <c r="G144" s="102" t="s">
        <v>353</v>
      </c>
      <c r="H144" s="102" t="s">
        <v>354</v>
      </c>
      <c r="I144" s="102" t="s">
        <v>284</v>
      </c>
      <c r="J144" s="102" t="s">
        <v>26</v>
      </c>
      <c r="L144" s="229" t="s">
        <v>7472</v>
      </c>
      <c r="M144" s="229" t="s">
        <v>7473</v>
      </c>
      <c r="O144" s="102">
        <v>3.0</v>
      </c>
      <c r="P144" s="102" t="s">
        <v>6872</v>
      </c>
      <c r="Q144" s="102" t="s">
        <v>593</v>
      </c>
      <c r="U144" s="102">
        <v>0.0</v>
      </c>
      <c r="V144" s="230" t="str">
        <f>IF(ISNUMBER(MATCH(B144, 'Sprint 11'!B:B, 0)), "มาจาก Sprint 11", "")</f>
        <v>มาจาก Sprint 11</v>
      </c>
      <c r="W144" s="230" t="str">
        <f t="array" ref="W144">IF(ISNUMBER(MATCH(B144, 'Sprint 11'!B:B, 0)), INDEX('Sprint 11'!J:J, MATCH(B144, 'Sprint 11'!B:B, 0)), "")</f>
        <v>Ready To Test</v>
      </c>
      <c r="X144" s="102">
        <v>28800.0</v>
      </c>
      <c r="Y144" s="102" t="s">
        <v>7213</v>
      </c>
      <c r="Z144" s="102" t="s">
        <v>7214</v>
      </c>
    </row>
    <row r="145">
      <c r="A145" s="102" t="s">
        <v>310</v>
      </c>
      <c r="B145" s="102" t="s">
        <v>7474</v>
      </c>
      <c r="C145" s="229" t="s">
        <v>7475</v>
      </c>
      <c r="D145" s="102" t="s">
        <v>7476</v>
      </c>
      <c r="E145" s="102" t="s">
        <v>6315</v>
      </c>
      <c r="F145" s="102" t="s">
        <v>6316</v>
      </c>
      <c r="G145" s="102" t="s">
        <v>353</v>
      </c>
      <c r="H145" s="102" t="s">
        <v>354</v>
      </c>
      <c r="I145" s="102" t="s">
        <v>284</v>
      </c>
      <c r="J145" s="102" t="s">
        <v>26</v>
      </c>
      <c r="L145" s="229" t="s">
        <v>7477</v>
      </c>
      <c r="M145" s="229" t="s">
        <v>7473</v>
      </c>
      <c r="N145" s="102"/>
      <c r="O145" s="102">
        <v>3.0</v>
      </c>
      <c r="P145" s="102" t="s">
        <v>6872</v>
      </c>
      <c r="Q145" s="102" t="s">
        <v>593</v>
      </c>
      <c r="U145" s="102">
        <v>0.0</v>
      </c>
      <c r="V145" s="230" t="str">
        <f>IF(ISNUMBER(MATCH(B145, 'Sprint 11'!B:B, 0)), "มาจาก Sprint 11", "")</f>
        <v>มาจาก Sprint 11</v>
      </c>
      <c r="W145" s="230" t="str">
        <f t="array" ref="W145">IF(ISNUMBER(MATCH(B145, 'Sprint 11'!B:B, 0)), INDEX('Sprint 11'!J:J, MATCH(B145, 'Sprint 11'!B:B, 0)), "")</f>
        <v>Ready To Test</v>
      </c>
      <c r="X145" s="102">
        <v>39600.0</v>
      </c>
      <c r="Y145" s="102" t="s">
        <v>7213</v>
      </c>
      <c r="Z145" s="102" t="s">
        <v>7214</v>
      </c>
    </row>
    <row r="146">
      <c r="A146" s="102" t="s">
        <v>310</v>
      </c>
      <c r="B146" s="102" t="s">
        <v>6429</v>
      </c>
      <c r="C146" s="229" t="s">
        <v>6430</v>
      </c>
      <c r="D146" s="102" t="s">
        <v>6431</v>
      </c>
      <c r="E146" s="102" t="s">
        <v>6315</v>
      </c>
      <c r="F146" s="102" t="s">
        <v>6316</v>
      </c>
      <c r="G146" s="102" t="s">
        <v>282</v>
      </c>
      <c r="H146" s="102" t="s">
        <v>283</v>
      </c>
      <c r="I146" s="102" t="s">
        <v>284</v>
      </c>
      <c r="J146" s="102" t="s">
        <v>678</v>
      </c>
      <c r="L146" s="229" t="s">
        <v>6432</v>
      </c>
      <c r="M146" s="229" t="s">
        <v>7300</v>
      </c>
      <c r="O146" s="102">
        <v>5.0</v>
      </c>
      <c r="P146" s="102" t="s">
        <v>5907</v>
      </c>
      <c r="Q146" s="102"/>
      <c r="U146" s="102">
        <v>115200.0</v>
      </c>
      <c r="V146" s="230" t="str">
        <f>IF(ISNUMBER(MATCH(B146, 'Sprint 11'!B:B, 0)), "มาจาก Sprint 11", "")</f>
        <v/>
      </c>
      <c r="W146" s="230" t="str">
        <f t="array" ref="W146">IF(ISNUMBER(MATCH(B146, 'Sprint 11'!B:B, 0)), INDEX('Sprint 11'!J:J, MATCH(B146, 'Sprint 11'!B:B, 0)), "")</f>
        <v/>
      </c>
      <c r="X146" s="102"/>
      <c r="Y146" s="102" t="s">
        <v>4953</v>
      </c>
      <c r="Z146" s="102" t="s">
        <v>4954</v>
      </c>
      <c r="AA146" s="102"/>
    </row>
    <row r="147">
      <c r="A147" s="102" t="s">
        <v>310</v>
      </c>
      <c r="B147" s="102" t="s">
        <v>5902</v>
      </c>
      <c r="C147" s="229" t="s">
        <v>5903</v>
      </c>
      <c r="D147" s="102" t="s">
        <v>5904</v>
      </c>
      <c r="E147" s="102" t="s">
        <v>564</v>
      </c>
      <c r="F147" s="102" t="s">
        <v>565</v>
      </c>
      <c r="G147" s="102" t="s">
        <v>282</v>
      </c>
      <c r="H147" s="102" t="s">
        <v>283</v>
      </c>
      <c r="I147" s="102" t="s">
        <v>284</v>
      </c>
      <c r="J147" s="102" t="s">
        <v>454</v>
      </c>
      <c r="L147" s="229" t="s">
        <v>5905</v>
      </c>
      <c r="M147" s="229" t="s">
        <v>7300</v>
      </c>
      <c r="N147" s="229" t="s">
        <v>5906</v>
      </c>
      <c r="O147" s="102">
        <v>3.0</v>
      </c>
      <c r="P147" s="102" t="s">
        <v>5907</v>
      </c>
      <c r="U147" s="102">
        <v>21600.0</v>
      </c>
      <c r="V147" s="230" t="str">
        <f>IF(ISNUMBER(MATCH(B147, 'Sprint 11'!B:B, 0)), "มาจาก Sprint 11", "")</f>
        <v/>
      </c>
      <c r="W147" s="230" t="str">
        <f t="array" ref="W147">IF(ISNUMBER(MATCH(B147, 'Sprint 11'!B:B, 0)), INDEX('Sprint 11'!J:J, MATCH(B147, 'Sprint 11'!B:B, 0)), "")</f>
        <v/>
      </c>
      <c r="X147" s="102"/>
      <c r="Y147" s="102" t="s">
        <v>4953</v>
      </c>
      <c r="Z147" s="102" t="s">
        <v>4954</v>
      </c>
      <c r="AA147" s="102"/>
    </row>
    <row r="148">
      <c r="A148" s="102" t="s">
        <v>310</v>
      </c>
      <c r="B148" s="102" t="s">
        <v>7478</v>
      </c>
      <c r="C148" s="229" t="s">
        <v>7479</v>
      </c>
      <c r="D148" s="102" t="s">
        <v>7480</v>
      </c>
      <c r="E148" s="102" t="s">
        <v>328</v>
      </c>
      <c r="F148" s="102" t="s">
        <v>329</v>
      </c>
      <c r="G148" s="102" t="s">
        <v>353</v>
      </c>
      <c r="H148" s="102" t="s">
        <v>354</v>
      </c>
      <c r="I148" s="102" t="s">
        <v>284</v>
      </c>
      <c r="J148" s="102" t="s">
        <v>26</v>
      </c>
      <c r="L148" s="229" t="s">
        <v>7481</v>
      </c>
      <c r="M148" s="229" t="s">
        <v>7473</v>
      </c>
      <c r="O148" s="102">
        <v>3.0</v>
      </c>
      <c r="P148" s="102" t="s">
        <v>6872</v>
      </c>
      <c r="Q148" s="102" t="s">
        <v>593</v>
      </c>
      <c r="U148" s="102">
        <v>0.0</v>
      </c>
      <c r="V148" s="230" t="str">
        <f>IF(ISNUMBER(MATCH(B148, 'Sprint 11'!B:B, 0)), "มาจาก Sprint 11", "")</f>
        <v>มาจาก Sprint 11</v>
      </c>
      <c r="W148" s="230" t="str">
        <f t="array" ref="W148">IF(ISNUMBER(MATCH(B148, 'Sprint 11'!B:B, 0)), INDEX('Sprint 11'!J:J, MATCH(B148, 'Sprint 11'!B:B, 0)), "")</f>
        <v>Ready To Test</v>
      </c>
      <c r="X148" s="102">
        <v>28800.0</v>
      </c>
      <c r="Y148" s="102" t="s">
        <v>7213</v>
      </c>
      <c r="Z148" s="102" t="s">
        <v>7214</v>
      </c>
      <c r="AA148" s="102"/>
    </row>
    <row r="149">
      <c r="A149" s="102" t="s">
        <v>310</v>
      </c>
      <c r="B149" s="102" t="s">
        <v>7482</v>
      </c>
      <c r="C149" s="229" t="s">
        <v>7483</v>
      </c>
      <c r="D149" s="102" t="s">
        <v>7484</v>
      </c>
      <c r="E149" s="102" t="s">
        <v>556</v>
      </c>
      <c r="F149" s="102" t="s">
        <v>557</v>
      </c>
      <c r="G149" s="102" t="s">
        <v>353</v>
      </c>
      <c r="H149" s="102" t="s">
        <v>354</v>
      </c>
      <c r="I149" s="102" t="s">
        <v>284</v>
      </c>
      <c r="J149" s="102" t="s">
        <v>26</v>
      </c>
      <c r="L149" s="229" t="s">
        <v>7485</v>
      </c>
      <c r="M149" s="229" t="s">
        <v>7486</v>
      </c>
      <c r="N149" s="229" t="s">
        <v>7487</v>
      </c>
      <c r="O149" s="102">
        <v>3.0</v>
      </c>
      <c r="P149" s="102" t="s">
        <v>6872</v>
      </c>
      <c r="U149" s="102">
        <v>0.0</v>
      </c>
      <c r="V149" s="230" t="str">
        <f>IF(ISNUMBER(MATCH(B149, 'Sprint 11'!B:B, 0)), "มาจาก Sprint 11", "")</f>
        <v>มาจาก Sprint 11</v>
      </c>
      <c r="W149" s="230" t="str">
        <f t="array" ref="W149">IF(ISNUMBER(MATCH(B149, 'Sprint 11'!B:B, 0)), INDEX('Sprint 11'!J:J, MATCH(B149, 'Sprint 11'!B:B, 0)), "")</f>
        <v>Ready to Staging</v>
      </c>
      <c r="X149" s="102">
        <v>28800.0</v>
      </c>
      <c r="Y149" s="102" t="s">
        <v>7213</v>
      </c>
      <c r="Z149" s="102" t="s">
        <v>7214</v>
      </c>
    </row>
    <row r="150">
      <c r="A150" s="102" t="s">
        <v>310</v>
      </c>
      <c r="B150" s="102" t="s">
        <v>7488</v>
      </c>
      <c r="C150" s="229" t="s">
        <v>7489</v>
      </c>
      <c r="D150" s="102" t="s">
        <v>7490</v>
      </c>
      <c r="E150" s="102" t="s">
        <v>584</v>
      </c>
      <c r="F150" s="102" t="s">
        <v>585</v>
      </c>
      <c r="G150" s="102" t="s">
        <v>304</v>
      </c>
      <c r="H150" s="102" t="s">
        <v>305</v>
      </c>
      <c r="I150" s="102" t="s">
        <v>284</v>
      </c>
      <c r="J150" s="102" t="s">
        <v>26</v>
      </c>
      <c r="L150" s="229" t="s">
        <v>7491</v>
      </c>
      <c r="M150" s="229" t="s">
        <v>7492</v>
      </c>
      <c r="O150" s="102">
        <v>5.0</v>
      </c>
      <c r="P150" s="102" t="s">
        <v>593</v>
      </c>
      <c r="Q150" s="102" t="s">
        <v>5547</v>
      </c>
      <c r="U150" s="102">
        <v>0.0</v>
      </c>
      <c r="V150" s="230" t="str">
        <f>IF(ISNUMBER(MATCH(B150, 'Sprint 11'!B:B, 0)), "มาจาก Sprint 11", "")</f>
        <v>มาจาก Sprint 11</v>
      </c>
      <c r="W150" s="230" t="str">
        <f t="array" ref="W150">IF(ISNUMBER(MATCH(B150, 'Sprint 11'!B:B, 0)), INDEX('Sprint 11'!J:J, MATCH(B150, 'Sprint 11'!B:B, 0)), "")</f>
        <v>Ready To Test</v>
      </c>
      <c r="X150" s="102">
        <v>86400.0</v>
      </c>
      <c r="Y150" s="102" t="s">
        <v>6450</v>
      </c>
      <c r="Z150" s="102" t="s">
        <v>5901</v>
      </c>
      <c r="AA150" s="102" t="s">
        <v>2205</v>
      </c>
    </row>
    <row r="151">
      <c r="A151" s="102" t="s">
        <v>310</v>
      </c>
      <c r="B151" s="102" t="s">
        <v>7493</v>
      </c>
      <c r="C151" s="229" t="s">
        <v>7494</v>
      </c>
      <c r="D151" s="102" t="s">
        <v>7495</v>
      </c>
      <c r="E151" s="102" t="s">
        <v>328</v>
      </c>
      <c r="F151" s="102" t="s">
        <v>329</v>
      </c>
      <c r="G151" s="102" t="s">
        <v>304</v>
      </c>
      <c r="H151" s="102" t="s">
        <v>305</v>
      </c>
      <c r="I151" s="102" t="s">
        <v>284</v>
      </c>
      <c r="J151" s="102" t="s">
        <v>454</v>
      </c>
      <c r="L151" s="229" t="s">
        <v>7496</v>
      </c>
      <c r="M151" s="229" t="s">
        <v>7361</v>
      </c>
      <c r="N151" s="229" t="s">
        <v>7487</v>
      </c>
      <c r="O151" s="102">
        <v>8.0</v>
      </c>
      <c r="P151" s="102" t="s">
        <v>27</v>
      </c>
      <c r="Q151" s="102"/>
      <c r="R151" s="102"/>
      <c r="U151" s="102">
        <v>0.0</v>
      </c>
      <c r="V151" s="230" t="str">
        <f>IF(ISNUMBER(MATCH(B151, 'Sprint 11'!B:B, 0)), "มาจาก Sprint 11", "")</f>
        <v>มาจาก Sprint 11</v>
      </c>
      <c r="W151" s="230" t="str">
        <f t="array" ref="W151">IF(ISNUMBER(MATCH(B151, 'Sprint 11'!B:B, 0)), INDEX('Sprint 11'!J:J, MATCH(B151, 'Sprint 11'!B:B, 0)), "")</f>
        <v>Ready To Test</v>
      </c>
      <c r="X151" s="102">
        <v>86400.0</v>
      </c>
      <c r="Y151" s="102" t="s">
        <v>6450</v>
      </c>
      <c r="Z151" s="102" t="s">
        <v>5901</v>
      </c>
      <c r="AA151" s="102" t="s">
        <v>2205</v>
      </c>
    </row>
    <row r="152">
      <c r="A152" s="102" t="s">
        <v>310</v>
      </c>
      <c r="B152" s="102" t="s">
        <v>6951</v>
      </c>
      <c r="C152" s="229" t="s">
        <v>6952</v>
      </c>
      <c r="D152" s="102" t="s">
        <v>6953</v>
      </c>
      <c r="E152" s="102" t="s">
        <v>314</v>
      </c>
      <c r="F152" s="102" t="s">
        <v>315</v>
      </c>
      <c r="G152" s="102" t="s">
        <v>314</v>
      </c>
      <c r="H152" s="102" t="s">
        <v>315</v>
      </c>
      <c r="I152" s="102" t="s">
        <v>648</v>
      </c>
      <c r="J152" s="102" t="s">
        <v>34</v>
      </c>
      <c r="L152" s="229" t="s">
        <v>6954</v>
      </c>
      <c r="M152" s="229" t="s">
        <v>7497</v>
      </c>
      <c r="N152" s="102"/>
      <c r="O152" s="102">
        <v>5.0</v>
      </c>
      <c r="P152" s="102" t="s">
        <v>593</v>
      </c>
      <c r="U152" s="102"/>
      <c r="V152" s="230" t="str">
        <f>IF(ISNUMBER(MATCH(B152, 'Sprint 11'!B:B, 0)), "มาจาก Sprint 11", "")</f>
        <v>มาจาก Sprint 11</v>
      </c>
      <c r="W152" s="230" t="str">
        <f t="array" ref="W152">IF(ISNUMBER(MATCH(B152, 'Sprint 11'!B:B, 0)), INDEX('Sprint 11'!J:J, MATCH(B152, 'Sprint 11'!B:B, 0)), "")</f>
        <v>In Progress</v>
      </c>
      <c r="X152" s="102"/>
      <c r="Y152" s="102" t="s">
        <v>1365</v>
      </c>
      <c r="Z152" s="102" t="s">
        <v>1365</v>
      </c>
      <c r="AA152" s="102" t="s">
        <v>1366</v>
      </c>
    </row>
    <row r="153">
      <c r="A153" s="102" t="s">
        <v>310</v>
      </c>
      <c r="B153" s="102" t="s">
        <v>6955</v>
      </c>
      <c r="C153" s="229" t="s">
        <v>6956</v>
      </c>
      <c r="D153" s="102" t="s">
        <v>6957</v>
      </c>
      <c r="E153" s="102" t="s">
        <v>328</v>
      </c>
      <c r="F153" s="102" t="s">
        <v>329</v>
      </c>
      <c r="G153" s="102" t="s">
        <v>282</v>
      </c>
      <c r="H153" s="102" t="s">
        <v>283</v>
      </c>
      <c r="I153" s="102" t="s">
        <v>515</v>
      </c>
      <c r="J153" s="102" t="s">
        <v>454</v>
      </c>
      <c r="L153" s="229" t="s">
        <v>6958</v>
      </c>
      <c r="M153" s="229" t="s">
        <v>7498</v>
      </c>
      <c r="N153" s="102"/>
      <c r="O153" s="102">
        <v>8.0</v>
      </c>
      <c r="P153" s="102" t="s">
        <v>5547</v>
      </c>
      <c r="U153" s="102">
        <v>86400.0</v>
      </c>
      <c r="V153" s="230" t="str">
        <f>IF(ISNUMBER(MATCH(B153, 'Sprint 11'!B:B, 0)), "มาจาก Sprint 11", "")</f>
        <v/>
      </c>
      <c r="W153" s="230" t="str">
        <f t="array" ref="W153">IF(ISNUMBER(MATCH(B153, 'Sprint 11'!B:B, 0)), INDEX('Sprint 11'!J:J, MATCH(B153, 'Sprint 11'!B:B, 0)), "")</f>
        <v/>
      </c>
      <c r="X153" s="102"/>
      <c r="Y153" s="102" t="s">
        <v>4954</v>
      </c>
      <c r="Z153" s="102"/>
      <c r="AA153" s="102"/>
    </row>
    <row r="154">
      <c r="A154" s="102" t="s">
        <v>310</v>
      </c>
      <c r="B154" s="102" t="s">
        <v>5908</v>
      </c>
      <c r="C154" s="229" t="s">
        <v>5909</v>
      </c>
      <c r="D154" s="102" t="s">
        <v>5910</v>
      </c>
      <c r="E154" s="102" t="s">
        <v>584</v>
      </c>
      <c r="F154" s="102" t="s">
        <v>585</v>
      </c>
      <c r="G154" s="102" t="s">
        <v>282</v>
      </c>
      <c r="H154" s="102" t="s">
        <v>283</v>
      </c>
      <c r="I154" s="102" t="s">
        <v>284</v>
      </c>
      <c r="J154" s="102" t="s">
        <v>454</v>
      </c>
      <c r="L154" s="229" t="s">
        <v>5911</v>
      </c>
      <c r="M154" s="229" t="s">
        <v>7398</v>
      </c>
      <c r="N154" s="102"/>
      <c r="O154" s="102">
        <v>2.0</v>
      </c>
      <c r="P154" s="102" t="s">
        <v>5912</v>
      </c>
      <c r="Q154" s="102"/>
      <c r="U154" s="230"/>
      <c r="V154" s="230" t="str">
        <f>IF(ISNUMBER(MATCH(B154, 'Sprint 11'!B:B, 0)), "มาจาก Sprint 11", "")</f>
        <v>มาจาก Sprint 11</v>
      </c>
      <c r="W154" s="230" t="str">
        <f t="array" ref="W154">IF(ISNUMBER(MATCH(B154, 'Sprint 11'!B:B, 0)), INDEX('Sprint 11'!J:J, MATCH(B154, 'Sprint 11'!B:B, 0)), "")</f>
        <v>Ready To Test</v>
      </c>
      <c r="X154" s="230"/>
      <c r="Y154" s="102" t="s">
        <v>5901</v>
      </c>
      <c r="Z154" s="102" t="s">
        <v>5901</v>
      </c>
      <c r="AA154" s="102" t="s">
        <v>5896</v>
      </c>
    </row>
    <row r="155">
      <c r="A155" s="102" t="s">
        <v>332</v>
      </c>
      <c r="B155" s="102" t="s">
        <v>7499</v>
      </c>
      <c r="C155" s="229" t="s">
        <v>7500</v>
      </c>
      <c r="D155" s="102" t="s">
        <v>7501</v>
      </c>
      <c r="E155" s="102" t="s">
        <v>353</v>
      </c>
      <c r="F155" s="102" t="s">
        <v>354</v>
      </c>
      <c r="G155" s="102" t="s">
        <v>316</v>
      </c>
      <c r="H155" s="102" t="s">
        <v>317</v>
      </c>
      <c r="I155" s="102" t="s">
        <v>284</v>
      </c>
      <c r="J155" s="102" t="s">
        <v>336</v>
      </c>
      <c r="L155" s="229" t="s">
        <v>7502</v>
      </c>
      <c r="M155" s="229" t="s">
        <v>7503</v>
      </c>
      <c r="N155" s="229" t="s">
        <v>7328</v>
      </c>
      <c r="O155" s="102">
        <v>3.0</v>
      </c>
      <c r="P155" s="102" t="s">
        <v>4656</v>
      </c>
      <c r="Q155" s="102" t="s">
        <v>367</v>
      </c>
      <c r="R155" s="102" t="s">
        <v>783</v>
      </c>
      <c r="U155" s="102"/>
      <c r="V155" s="230" t="str">
        <f>IF(ISNUMBER(MATCH(B155, 'Sprint 11'!B:B, 0)), "มาจาก Sprint 11", "")</f>
        <v/>
      </c>
      <c r="W155" s="230" t="str">
        <f t="array" ref="W155">IF(ISNUMBER(MATCH(B155, 'Sprint 11'!B:B, 0)), INDEX('Sprint 11'!J:J, MATCH(B155, 'Sprint 11'!B:B, 0)), "")</f>
        <v/>
      </c>
      <c r="X155" s="102"/>
      <c r="Y155" s="102" t="s">
        <v>4953</v>
      </c>
      <c r="Z155" s="102" t="s">
        <v>4954</v>
      </c>
      <c r="AA155" s="102"/>
    </row>
    <row r="156">
      <c r="A156" s="102" t="s">
        <v>310</v>
      </c>
      <c r="B156" s="102" t="s">
        <v>7504</v>
      </c>
      <c r="C156" s="229" t="s">
        <v>7505</v>
      </c>
      <c r="D156" s="102" t="s">
        <v>7506</v>
      </c>
      <c r="E156" s="102" t="s">
        <v>564</v>
      </c>
      <c r="F156" s="102" t="s">
        <v>565</v>
      </c>
      <c r="G156" s="102" t="s">
        <v>353</v>
      </c>
      <c r="H156" s="102" t="s">
        <v>354</v>
      </c>
      <c r="I156" s="102" t="s">
        <v>284</v>
      </c>
      <c r="J156" s="102" t="s">
        <v>26</v>
      </c>
      <c r="L156" s="229" t="s">
        <v>7507</v>
      </c>
      <c r="M156" s="229" t="s">
        <v>7508</v>
      </c>
      <c r="N156" s="229" t="s">
        <v>7509</v>
      </c>
      <c r="O156" s="102">
        <v>1.0</v>
      </c>
      <c r="P156" s="102"/>
      <c r="Q156" s="102"/>
      <c r="R156" s="102"/>
      <c r="U156" s="102">
        <v>0.0</v>
      </c>
      <c r="V156" s="230" t="str">
        <f>IF(ISNUMBER(MATCH(B156, 'Sprint 11'!B:B, 0)), "มาจาก Sprint 11", "")</f>
        <v>มาจาก Sprint 11</v>
      </c>
      <c r="W156" s="230" t="str">
        <f t="array" ref="W156">IF(ISNUMBER(MATCH(B156, 'Sprint 11'!B:B, 0)), INDEX('Sprint 11'!J:J, MATCH(B156, 'Sprint 11'!B:B, 0)), "")</f>
        <v>Ready To Test</v>
      </c>
      <c r="X156" s="102">
        <v>3600.0</v>
      </c>
      <c r="Y156" s="102" t="s">
        <v>5901</v>
      </c>
      <c r="Z156" s="102" t="s">
        <v>5901</v>
      </c>
      <c r="AA156" s="102" t="s">
        <v>5896</v>
      </c>
    </row>
    <row r="157">
      <c r="A157" s="102" t="s">
        <v>310</v>
      </c>
      <c r="B157" s="102" t="s">
        <v>7510</v>
      </c>
      <c r="C157" s="229" t="s">
        <v>7511</v>
      </c>
      <c r="D157" s="102" t="s">
        <v>7512</v>
      </c>
      <c r="E157" s="102" t="s">
        <v>564</v>
      </c>
      <c r="F157" s="102" t="s">
        <v>565</v>
      </c>
      <c r="G157" s="102" t="s">
        <v>353</v>
      </c>
      <c r="H157" s="102" t="s">
        <v>354</v>
      </c>
      <c r="I157" s="102" t="s">
        <v>284</v>
      </c>
      <c r="J157" s="102" t="s">
        <v>26</v>
      </c>
      <c r="L157" s="229" t="s">
        <v>7513</v>
      </c>
      <c r="M157" s="229" t="s">
        <v>7514</v>
      </c>
      <c r="N157" s="229" t="s">
        <v>7509</v>
      </c>
      <c r="O157" s="102">
        <v>2.0</v>
      </c>
      <c r="P157" s="102" t="s">
        <v>593</v>
      </c>
      <c r="U157" s="102">
        <v>0.0</v>
      </c>
      <c r="V157" s="230" t="str">
        <f>IF(ISNUMBER(MATCH(B157, 'Sprint 11'!B:B, 0)), "มาจาก Sprint 11", "")</f>
        <v>มาจาก Sprint 11</v>
      </c>
      <c r="W157" s="230" t="str">
        <f t="array" ref="W157">IF(ISNUMBER(MATCH(B157, 'Sprint 11'!B:B, 0)), INDEX('Sprint 11'!J:J, MATCH(B157, 'Sprint 11'!B:B, 0)), "")</f>
        <v>Ready To Test</v>
      </c>
      <c r="X157" s="102">
        <v>10800.0</v>
      </c>
      <c r="Y157" s="102" t="s">
        <v>5901</v>
      </c>
      <c r="Z157" s="102" t="s">
        <v>5901</v>
      </c>
      <c r="AA157" s="102" t="s">
        <v>5896</v>
      </c>
    </row>
    <row r="158">
      <c r="A158" s="102" t="s">
        <v>332</v>
      </c>
      <c r="B158" s="102" t="s">
        <v>6433</v>
      </c>
      <c r="C158" s="229" t="s">
        <v>6434</v>
      </c>
      <c r="D158" s="102" t="s">
        <v>6435</v>
      </c>
      <c r="E158" s="102" t="s">
        <v>282</v>
      </c>
      <c r="F158" s="102" t="s">
        <v>283</v>
      </c>
      <c r="G158" s="102" t="s">
        <v>316</v>
      </c>
      <c r="H158" s="102" t="s">
        <v>317</v>
      </c>
      <c r="I158" s="102" t="s">
        <v>284</v>
      </c>
      <c r="J158" s="102" t="s">
        <v>478</v>
      </c>
      <c r="L158" s="229" t="s">
        <v>6436</v>
      </c>
      <c r="M158" s="229" t="s">
        <v>7300</v>
      </c>
      <c r="N158" s="229" t="s">
        <v>6438</v>
      </c>
      <c r="O158" s="102">
        <v>1.0</v>
      </c>
      <c r="P158" s="102" t="s">
        <v>367</v>
      </c>
      <c r="Q158" s="102" t="s">
        <v>783</v>
      </c>
      <c r="U158" s="230"/>
      <c r="V158" s="230" t="str">
        <f>IF(ISNUMBER(MATCH(B158, 'Sprint 11'!B:B, 0)), "มาจาก Sprint 11", "")</f>
        <v/>
      </c>
      <c r="W158" s="230" t="str">
        <f t="array" ref="W158">IF(ISNUMBER(MATCH(B158, 'Sprint 11'!B:B, 0)), INDEX('Sprint 11'!J:J, MATCH(B158, 'Sprint 11'!B:B, 0)), "")</f>
        <v/>
      </c>
      <c r="X158" s="230"/>
      <c r="Y158" s="102" t="s">
        <v>4953</v>
      </c>
      <c r="Z158" s="102" t="s">
        <v>4954</v>
      </c>
      <c r="AA158" s="102"/>
      <c r="AB158" s="102"/>
    </row>
    <row r="159">
      <c r="A159" s="102" t="s">
        <v>310</v>
      </c>
      <c r="B159" s="102" t="s">
        <v>7515</v>
      </c>
      <c r="C159" s="229" t="s">
        <v>7516</v>
      </c>
      <c r="D159" s="102" t="s">
        <v>7517</v>
      </c>
      <c r="E159" s="102" t="s">
        <v>495</v>
      </c>
      <c r="F159" s="102" t="s">
        <v>496</v>
      </c>
      <c r="G159" s="102" t="s">
        <v>282</v>
      </c>
      <c r="H159" s="102" t="s">
        <v>283</v>
      </c>
      <c r="I159" s="102" t="s">
        <v>515</v>
      </c>
      <c r="J159" s="102" t="s">
        <v>26</v>
      </c>
      <c r="L159" s="229" t="s">
        <v>7518</v>
      </c>
      <c r="M159" s="229" t="s">
        <v>7519</v>
      </c>
      <c r="N159" s="229" t="s">
        <v>7520</v>
      </c>
      <c r="O159" s="102">
        <v>3.0</v>
      </c>
      <c r="P159" s="102" t="s">
        <v>777</v>
      </c>
      <c r="Q159" s="102" t="s">
        <v>4656</v>
      </c>
      <c r="U159" s="102">
        <v>0.0</v>
      </c>
      <c r="V159" s="230" t="str">
        <f>IF(ISNUMBER(MATCH(B159, 'Sprint 11'!B:B, 0)), "มาจาก Sprint 11", "")</f>
        <v>มาจาก Sprint 11</v>
      </c>
      <c r="W159" s="230" t="str">
        <f t="array" ref="W159">IF(ISNUMBER(MATCH(B159, 'Sprint 11'!B:B, 0)), INDEX('Sprint 11'!J:J, MATCH(B159, 'Sprint 11'!B:B, 0)), "")</f>
        <v>Ready To Test</v>
      </c>
      <c r="X159" s="102">
        <v>28800.0</v>
      </c>
      <c r="Y159" s="102" t="s">
        <v>5901</v>
      </c>
      <c r="Z159" s="102" t="s">
        <v>5901</v>
      </c>
      <c r="AA159" s="102" t="s">
        <v>5896</v>
      </c>
    </row>
    <row r="160">
      <c r="A160" s="102" t="s">
        <v>310</v>
      </c>
      <c r="B160" s="102" t="s">
        <v>7521</v>
      </c>
      <c r="C160" s="229" t="s">
        <v>7522</v>
      </c>
      <c r="D160" s="102" t="s">
        <v>7523</v>
      </c>
      <c r="E160" s="102" t="s">
        <v>495</v>
      </c>
      <c r="F160" s="102" t="s">
        <v>496</v>
      </c>
      <c r="G160" s="102" t="s">
        <v>282</v>
      </c>
      <c r="H160" s="102" t="s">
        <v>283</v>
      </c>
      <c r="I160" s="102" t="s">
        <v>515</v>
      </c>
      <c r="J160" s="102" t="s">
        <v>26</v>
      </c>
      <c r="L160" s="229" t="s">
        <v>7518</v>
      </c>
      <c r="M160" s="229" t="s">
        <v>7524</v>
      </c>
      <c r="N160" s="229" t="s">
        <v>7509</v>
      </c>
      <c r="O160" s="102">
        <v>3.0</v>
      </c>
      <c r="P160" s="102" t="s">
        <v>7525</v>
      </c>
      <c r="Q160" s="102" t="s">
        <v>4656</v>
      </c>
      <c r="R160" s="102" t="s">
        <v>593</v>
      </c>
      <c r="U160" s="102">
        <v>0.0</v>
      </c>
      <c r="V160" s="230" t="str">
        <f>IF(ISNUMBER(MATCH(B160, 'Sprint 11'!B:B, 0)), "มาจาก Sprint 11", "")</f>
        <v>มาจาก Sprint 11</v>
      </c>
      <c r="W160" s="230" t="str">
        <f t="array" ref="W160">IF(ISNUMBER(MATCH(B160, 'Sprint 11'!B:B, 0)), INDEX('Sprint 11'!J:J, MATCH(B160, 'Sprint 11'!B:B, 0)), "")</f>
        <v>Ready To Test</v>
      </c>
      <c r="X160" s="102">
        <v>43200.0</v>
      </c>
      <c r="Y160" s="102" t="s">
        <v>5901</v>
      </c>
      <c r="Z160" s="102" t="s">
        <v>5901</v>
      </c>
      <c r="AA160" s="102" t="s">
        <v>5896</v>
      </c>
      <c r="AB160" s="102"/>
    </row>
    <row r="161">
      <c r="A161" s="102" t="s">
        <v>310</v>
      </c>
      <c r="B161" s="102" t="s">
        <v>6439</v>
      </c>
      <c r="C161" s="229" t="s">
        <v>6440</v>
      </c>
      <c r="D161" s="102" t="s">
        <v>6441</v>
      </c>
      <c r="E161" s="102" t="s">
        <v>282</v>
      </c>
      <c r="F161" s="102" t="s">
        <v>283</v>
      </c>
      <c r="G161" s="102" t="s">
        <v>282</v>
      </c>
      <c r="H161" s="102" t="s">
        <v>283</v>
      </c>
      <c r="I161" s="102" t="s">
        <v>284</v>
      </c>
      <c r="J161" s="102" t="s">
        <v>2509</v>
      </c>
      <c r="L161" s="229" t="s">
        <v>6442</v>
      </c>
      <c r="M161" s="229" t="s">
        <v>7458</v>
      </c>
      <c r="N161" s="102"/>
      <c r="O161" s="102">
        <v>5.0</v>
      </c>
      <c r="P161" s="102" t="s">
        <v>5547</v>
      </c>
      <c r="U161" s="102"/>
      <c r="V161" s="230" t="str">
        <f>IF(ISNUMBER(MATCH(B161, 'Sprint 11'!B:B, 0)), "มาจาก Sprint 11", "")</f>
        <v/>
      </c>
      <c r="W161" s="230" t="str">
        <f t="array" ref="W161">IF(ISNUMBER(MATCH(B161, 'Sprint 11'!B:B, 0)), INDEX('Sprint 11'!J:J, MATCH(B161, 'Sprint 11'!B:B, 0)), "")</f>
        <v/>
      </c>
      <c r="X161" s="102"/>
      <c r="Y161" s="102" t="s">
        <v>4953</v>
      </c>
      <c r="Z161" s="102" t="s">
        <v>4954</v>
      </c>
      <c r="AA161" s="102"/>
    </row>
    <row r="162">
      <c r="A162" s="102" t="s">
        <v>276</v>
      </c>
      <c r="B162" s="102" t="s">
        <v>7526</v>
      </c>
      <c r="C162" s="229" t="s">
        <v>7527</v>
      </c>
      <c r="D162" s="102" t="s">
        <v>1567</v>
      </c>
      <c r="E162" s="102" t="s">
        <v>3288</v>
      </c>
      <c r="F162" s="102" t="s">
        <v>3289</v>
      </c>
      <c r="G162" s="102" t="s">
        <v>3288</v>
      </c>
      <c r="H162" s="102" t="s">
        <v>3289</v>
      </c>
      <c r="I162" s="102" t="s">
        <v>284</v>
      </c>
      <c r="J162" s="102" t="s">
        <v>26</v>
      </c>
      <c r="L162" s="229" t="s">
        <v>7528</v>
      </c>
      <c r="M162" s="229" t="s">
        <v>7314</v>
      </c>
      <c r="N162" s="102"/>
      <c r="O162" s="102"/>
      <c r="P162" s="102"/>
      <c r="U162" s="102"/>
      <c r="V162" s="230" t="str">
        <f>IF(ISNUMBER(MATCH(B162, 'Sprint 11'!B:B, 0)), "มาจาก Sprint 11", "")</f>
        <v>มาจาก Sprint 11</v>
      </c>
      <c r="W162" s="230" t="str">
        <f t="array" ref="W162">IF(ISNUMBER(MATCH(B162, 'Sprint 11'!B:B, 0)), INDEX('Sprint 11'!J:J, MATCH(B162, 'Sprint 11'!B:B, 0)), "")</f>
        <v>In Progress</v>
      </c>
      <c r="X162" s="102"/>
      <c r="Y162" s="102" t="s">
        <v>5920</v>
      </c>
      <c r="Z162" s="102" t="s">
        <v>5901</v>
      </c>
      <c r="AA162" s="102" t="s">
        <v>5901</v>
      </c>
      <c r="AB162" s="102" t="s">
        <v>5896</v>
      </c>
    </row>
    <row r="163">
      <c r="A163" s="102" t="s">
        <v>310</v>
      </c>
      <c r="B163" s="102" t="s">
        <v>7529</v>
      </c>
      <c r="C163" s="229" t="s">
        <v>7530</v>
      </c>
      <c r="D163" s="102" t="s">
        <v>7531</v>
      </c>
      <c r="E163" s="102" t="s">
        <v>6315</v>
      </c>
      <c r="F163" s="102" t="s">
        <v>6316</v>
      </c>
      <c r="G163" s="102" t="s">
        <v>282</v>
      </c>
      <c r="H163" s="102" t="s">
        <v>283</v>
      </c>
      <c r="I163" s="102" t="s">
        <v>284</v>
      </c>
      <c r="J163" s="102" t="s">
        <v>26</v>
      </c>
      <c r="L163" s="229" t="s">
        <v>7532</v>
      </c>
      <c r="M163" s="229" t="s">
        <v>7533</v>
      </c>
      <c r="N163" s="229" t="s">
        <v>7534</v>
      </c>
      <c r="O163" s="102">
        <v>3.0</v>
      </c>
      <c r="P163" s="102"/>
      <c r="U163" s="102">
        <v>0.0</v>
      </c>
      <c r="V163" s="230" t="str">
        <f>IF(ISNUMBER(MATCH(B163, 'Sprint 11'!B:B, 0)), "มาจาก Sprint 11", "")</f>
        <v>มาจาก Sprint 11</v>
      </c>
      <c r="W163" s="230" t="str">
        <f t="array" ref="W163">IF(ISNUMBER(MATCH(B163, 'Sprint 11'!B:B, 0)), INDEX('Sprint 11'!J:J, MATCH(B163, 'Sprint 11'!B:B, 0)), "")</f>
        <v>Ready To Test</v>
      </c>
      <c r="X163" s="102">
        <v>28800.0</v>
      </c>
      <c r="Y163" s="102" t="s">
        <v>5901</v>
      </c>
      <c r="Z163" s="102" t="s">
        <v>5901</v>
      </c>
      <c r="AA163" s="102" t="s">
        <v>5896</v>
      </c>
    </row>
    <row r="164">
      <c r="A164" s="102" t="s">
        <v>310</v>
      </c>
      <c r="B164" s="102" t="s">
        <v>6960</v>
      </c>
      <c r="C164" s="229" t="s">
        <v>6961</v>
      </c>
      <c r="D164" s="102" t="s">
        <v>6962</v>
      </c>
      <c r="E164" s="102" t="s">
        <v>6860</v>
      </c>
      <c r="F164" s="102" t="s">
        <v>6861</v>
      </c>
      <c r="G164" s="102" t="s">
        <v>353</v>
      </c>
      <c r="H164" s="102" t="s">
        <v>354</v>
      </c>
      <c r="I164" s="102" t="s">
        <v>284</v>
      </c>
      <c r="J164" s="102" t="s">
        <v>454</v>
      </c>
      <c r="L164" s="229" t="s">
        <v>6963</v>
      </c>
      <c r="M164" s="229" t="s">
        <v>7361</v>
      </c>
      <c r="N164" s="229" t="s">
        <v>5567</v>
      </c>
      <c r="O164" s="102">
        <v>3.0</v>
      </c>
      <c r="P164" s="102"/>
      <c r="U164" s="102">
        <v>0.0</v>
      </c>
      <c r="V164" s="230" t="str">
        <f>IF(ISNUMBER(MATCH(B164, 'Sprint 11'!B:B, 0)), "มาจาก Sprint 11", "")</f>
        <v>มาจาก Sprint 11</v>
      </c>
      <c r="W164" s="230" t="str">
        <f t="array" ref="W164">IF(ISNUMBER(MATCH(B164, 'Sprint 11'!B:B, 0)), INDEX('Sprint 11'!J:J, MATCH(B164, 'Sprint 11'!B:B, 0)), "")</f>
        <v>Ready To Test</v>
      </c>
      <c r="X164" s="102">
        <v>28800.0</v>
      </c>
      <c r="Y164" s="102" t="s">
        <v>6450</v>
      </c>
      <c r="Z164" s="102" t="s">
        <v>6450</v>
      </c>
      <c r="AA164" s="102" t="s">
        <v>5901</v>
      </c>
      <c r="AB164" s="102" t="s">
        <v>2205</v>
      </c>
    </row>
    <row r="165">
      <c r="A165" s="102" t="s">
        <v>310</v>
      </c>
      <c r="B165" s="102" t="s">
        <v>5562</v>
      </c>
      <c r="C165" s="229" t="s">
        <v>5563</v>
      </c>
      <c r="D165" s="102" t="s">
        <v>5564</v>
      </c>
      <c r="E165" s="102" t="s">
        <v>556</v>
      </c>
      <c r="F165" s="102" t="s">
        <v>557</v>
      </c>
      <c r="G165" s="102" t="s">
        <v>282</v>
      </c>
      <c r="H165" s="102" t="s">
        <v>283</v>
      </c>
      <c r="I165" s="102" t="s">
        <v>284</v>
      </c>
      <c r="J165" s="102" t="s">
        <v>2509</v>
      </c>
      <c r="L165" s="229" t="s">
        <v>5565</v>
      </c>
      <c r="M165" s="229" t="s">
        <v>7300</v>
      </c>
      <c r="N165" s="229" t="s">
        <v>5567</v>
      </c>
      <c r="O165" s="102">
        <v>2.0</v>
      </c>
      <c r="P165" s="102" t="s">
        <v>5547</v>
      </c>
      <c r="Q165" s="102"/>
      <c r="R165" s="102"/>
      <c r="U165" s="102">
        <v>14400.0</v>
      </c>
      <c r="V165" s="230" t="str">
        <f>IF(ISNUMBER(MATCH(B165, 'Sprint 11'!B:B, 0)), "มาจาก Sprint 11", "")</f>
        <v/>
      </c>
      <c r="W165" s="230" t="str">
        <f t="array" ref="W165">IF(ISNUMBER(MATCH(B165, 'Sprint 11'!B:B, 0)), INDEX('Sprint 11'!J:J, MATCH(B165, 'Sprint 11'!B:B, 0)), "")</f>
        <v/>
      </c>
      <c r="X165" s="102"/>
      <c r="Y165" s="102" t="s">
        <v>4953</v>
      </c>
      <c r="Z165" s="102" t="s">
        <v>4953</v>
      </c>
      <c r="AA165" s="102" t="s">
        <v>4954</v>
      </c>
      <c r="AB165" s="102"/>
    </row>
    <row r="166">
      <c r="A166" s="102" t="s">
        <v>310</v>
      </c>
      <c r="B166" s="102" t="s">
        <v>7535</v>
      </c>
      <c r="C166" s="229" t="s">
        <v>7536</v>
      </c>
      <c r="D166" s="102" t="s">
        <v>7537</v>
      </c>
      <c r="E166" s="102" t="s">
        <v>564</v>
      </c>
      <c r="F166" s="102" t="s">
        <v>565</v>
      </c>
      <c r="G166" s="102" t="s">
        <v>304</v>
      </c>
      <c r="H166" s="102" t="s">
        <v>305</v>
      </c>
      <c r="I166" s="102" t="s">
        <v>284</v>
      </c>
      <c r="J166" s="102" t="s">
        <v>26</v>
      </c>
      <c r="L166" s="229" t="s">
        <v>7538</v>
      </c>
      <c r="M166" s="229" t="s">
        <v>7539</v>
      </c>
      <c r="N166" s="229" t="s">
        <v>7520</v>
      </c>
      <c r="O166" s="102">
        <v>3.0</v>
      </c>
      <c r="P166" s="102" t="s">
        <v>777</v>
      </c>
      <c r="U166" s="102">
        <v>0.0</v>
      </c>
      <c r="V166" s="230" t="str">
        <f>IF(ISNUMBER(MATCH(B166, 'Sprint 11'!B:B, 0)), "มาจาก Sprint 11", "")</f>
        <v>มาจาก Sprint 11</v>
      </c>
      <c r="W166" s="230" t="str">
        <f t="array" ref="W166">IF(ISNUMBER(MATCH(B166, 'Sprint 11'!B:B, 0)), INDEX('Sprint 11'!J:J, MATCH(B166, 'Sprint 11'!B:B, 0)), "")</f>
        <v>Ready To Test</v>
      </c>
      <c r="X166" s="102">
        <v>21600.0</v>
      </c>
      <c r="Y166" s="102" t="s">
        <v>5901</v>
      </c>
      <c r="Z166" s="102" t="s">
        <v>5901</v>
      </c>
      <c r="AA166" s="102" t="s">
        <v>5896</v>
      </c>
      <c r="AB166" s="102"/>
    </row>
    <row r="167">
      <c r="A167" s="102" t="s">
        <v>310</v>
      </c>
      <c r="B167" s="102" t="s">
        <v>7540</v>
      </c>
      <c r="C167" s="229" t="s">
        <v>7541</v>
      </c>
      <c r="D167" s="102" t="s">
        <v>7542</v>
      </c>
      <c r="E167" s="102" t="s">
        <v>495</v>
      </c>
      <c r="F167" s="102" t="s">
        <v>496</v>
      </c>
      <c r="G167" s="102" t="s">
        <v>304</v>
      </c>
      <c r="H167" s="102" t="s">
        <v>305</v>
      </c>
      <c r="I167" s="102" t="s">
        <v>284</v>
      </c>
      <c r="J167" s="102" t="s">
        <v>26</v>
      </c>
      <c r="L167" s="229" t="s">
        <v>7543</v>
      </c>
      <c r="M167" s="229" t="s">
        <v>7423</v>
      </c>
      <c r="N167" s="229" t="s">
        <v>7544</v>
      </c>
      <c r="O167" s="102">
        <v>8.0</v>
      </c>
      <c r="P167" s="102" t="s">
        <v>538</v>
      </c>
      <c r="U167" s="102">
        <v>0.0</v>
      </c>
      <c r="V167" s="230" t="str">
        <f>IF(ISNUMBER(MATCH(B167, 'Sprint 11'!B:B, 0)), "มาจาก Sprint 11", "")</f>
        <v>มาจาก Sprint 11</v>
      </c>
      <c r="W167" s="230" t="str">
        <f t="array" ref="W167">IF(ISNUMBER(MATCH(B167, 'Sprint 11'!B:B, 0)), INDEX('Sprint 11'!J:J, MATCH(B167, 'Sprint 11'!B:B, 0)), "")</f>
        <v>Ready To Test</v>
      </c>
      <c r="X167" s="102">
        <v>57600.0</v>
      </c>
      <c r="Y167" s="102" t="s">
        <v>5901</v>
      </c>
      <c r="Z167" s="102" t="s">
        <v>5901</v>
      </c>
      <c r="AA167" s="102" t="s">
        <v>5896</v>
      </c>
    </row>
    <row r="168">
      <c r="A168" s="102" t="s">
        <v>310</v>
      </c>
      <c r="B168" s="102" t="s">
        <v>7545</v>
      </c>
      <c r="C168" s="229" t="s">
        <v>7546</v>
      </c>
      <c r="D168" s="102" t="s">
        <v>7547</v>
      </c>
      <c r="E168" s="102" t="s">
        <v>6315</v>
      </c>
      <c r="F168" s="102" t="s">
        <v>6316</v>
      </c>
      <c r="G168" s="102" t="s">
        <v>282</v>
      </c>
      <c r="H168" s="102" t="s">
        <v>283</v>
      </c>
      <c r="I168" s="102" t="s">
        <v>284</v>
      </c>
      <c r="J168" s="102" t="s">
        <v>26</v>
      </c>
      <c r="L168" s="229" t="s">
        <v>7548</v>
      </c>
      <c r="M168" s="229" t="s">
        <v>7549</v>
      </c>
      <c r="N168" s="229" t="s">
        <v>7509</v>
      </c>
      <c r="O168" s="102">
        <v>3.0</v>
      </c>
      <c r="P168" s="102" t="s">
        <v>777</v>
      </c>
      <c r="U168" s="102">
        <v>0.0</v>
      </c>
      <c r="V168" s="230" t="str">
        <f>IF(ISNUMBER(MATCH(B168, 'Sprint 11'!B:B, 0)), "มาจาก Sprint 11", "")</f>
        <v>มาจาก Sprint 11</v>
      </c>
      <c r="W168" s="230" t="str">
        <f t="array" ref="W168">IF(ISNUMBER(MATCH(B168, 'Sprint 11'!B:B, 0)), INDEX('Sprint 11'!J:J, MATCH(B168, 'Sprint 11'!B:B, 0)), "")</f>
        <v>Ready To Test</v>
      </c>
      <c r="X168" s="102">
        <v>28800.0</v>
      </c>
      <c r="Y168" s="102" t="s">
        <v>6450</v>
      </c>
      <c r="Z168" s="102" t="s">
        <v>6450</v>
      </c>
      <c r="AA168" s="102" t="s">
        <v>5901</v>
      </c>
      <c r="AB168" s="102" t="s">
        <v>2205</v>
      </c>
    </row>
    <row r="169">
      <c r="A169" s="102" t="s">
        <v>310</v>
      </c>
      <c r="B169" s="102" t="s">
        <v>7550</v>
      </c>
      <c r="C169" s="229" t="s">
        <v>7551</v>
      </c>
      <c r="D169" s="102" t="s">
        <v>7552</v>
      </c>
      <c r="E169" s="102" t="s">
        <v>564</v>
      </c>
      <c r="F169" s="102" t="s">
        <v>565</v>
      </c>
      <c r="G169" s="102" t="s">
        <v>282</v>
      </c>
      <c r="H169" s="102" t="s">
        <v>283</v>
      </c>
      <c r="I169" s="102" t="s">
        <v>284</v>
      </c>
      <c r="J169" s="102" t="s">
        <v>26</v>
      </c>
      <c r="L169" s="229" t="s">
        <v>7553</v>
      </c>
      <c r="M169" s="229" t="s">
        <v>7554</v>
      </c>
      <c r="N169" s="229" t="s">
        <v>7555</v>
      </c>
      <c r="O169" s="102">
        <v>1.0</v>
      </c>
      <c r="P169" s="102" t="s">
        <v>7556</v>
      </c>
      <c r="Q169" s="102" t="s">
        <v>593</v>
      </c>
      <c r="R169" s="102" t="s">
        <v>6527</v>
      </c>
      <c r="U169" s="102">
        <v>0.0</v>
      </c>
      <c r="V169" s="230" t="str">
        <f>IF(ISNUMBER(MATCH(B169, 'Sprint 11'!B:B, 0)), "มาจาก Sprint 11", "")</f>
        <v>มาจาก Sprint 11</v>
      </c>
      <c r="W169" s="230" t="str">
        <f t="array" ref="W169">IF(ISNUMBER(MATCH(B169, 'Sprint 11'!B:B, 0)), INDEX('Sprint 11'!J:J, MATCH(B169, 'Sprint 11'!B:B, 0)), "")</f>
        <v>Ready To Test</v>
      </c>
      <c r="X169" s="102">
        <v>3600.0</v>
      </c>
      <c r="Y169" s="102" t="s">
        <v>6450</v>
      </c>
      <c r="Z169" s="102" t="s">
        <v>6450</v>
      </c>
      <c r="AA169" s="102" t="s">
        <v>5901</v>
      </c>
      <c r="AB169" s="102" t="s">
        <v>2205</v>
      </c>
      <c r="AC169" s="102"/>
    </row>
    <row r="170">
      <c r="A170" s="102" t="s">
        <v>310</v>
      </c>
      <c r="B170" s="102" t="s">
        <v>7557</v>
      </c>
      <c r="C170" s="229" t="s">
        <v>7558</v>
      </c>
      <c r="D170" s="102" t="s">
        <v>7559</v>
      </c>
      <c r="E170" s="102" t="s">
        <v>564</v>
      </c>
      <c r="F170" s="102" t="s">
        <v>565</v>
      </c>
      <c r="G170" s="102" t="s">
        <v>282</v>
      </c>
      <c r="H170" s="102" t="s">
        <v>283</v>
      </c>
      <c r="I170" s="102" t="s">
        <v>284</v>
      </c>
      <c r="J170" s="102" t="s">
        <v>26</v>
      </c>
      <c r="L170" s="229" t="s">
        <v>7560</v>
      </c>
      <c r="M170" s="229" t="s">
        <v>7554</v>
      </c>
      <c r="N170" s="229" t="s">
        <v>5567</v>
      </c>
      <c r="O170" s="102">
        <v>3.0</v>
      </c>
      <c r="P170" s="102" t="s">
        <v>504</v>
      </c>
      <c r="U170" s="102">
        <v>0.0</v>
      </c>
      <c r="V170" s="230" t="str">
        <f>IF(ISNUMBER(MATCH(B170, 'Sprint 11'!B:B, 0)), "มาจาก Sprint 11", "")</f>
        <v>มาจาก Sprint 11</v>
      </c>
      <c r="W170" s="230" t="str">
        <f t="array" ref="W170">IF(ISNUMBER(MATCH(B170, 'Sprint 11'!B:B, 0)), INDEX('Sprint 11'!J:J, MATCH(B170, 'Sprint 11'!B:B, 0)), "")</f>
        <v>Ready To Test</v>
      </c>
      <c r="X170" s="102">
        <v>21600.0</v>
      </c>
      <c r="Y170" s="102" t="s">
        <v>6450</v>
      </c>
      <c r="Z170" s="102" t="s">
        <v>6450</v>
      </c>
      <c r="AA170" s="102" t="s">
        <v>5901</v>
      </c>
      <c r="AB170" s="102" t="s">
        <v>2205</v>
      </c>
    </row>
    <row r="171">
      <c r="A171" s="102" t="s">
        <v>310</v>
      </c>
      <c r="B171" s="102" t="s">
        <v>5568</v>
      </c>
      <c r="C171" s="229" t="s">
        <v>5569</v>
      </c>
      <c r="D171" s="102" t="s">
        <v>5570</v>
      </c>
      <c r="E171" s="102" t="s">
        <v>556</v>
      </c>
      <c r="F171" s="102" t="s">
        <v>557</v>
      </c>
      <c r="G171" s="102" t="s">
        <v>316</v>
      </c>
      <c r="H171" s="102" t="s">
        <v>317</v>
      </c>
      <c r="I171" s="102" t="s">
        <v>515</v>
      </c>
      <c r="J171" s="102" t="s">
        <v>2509</v>
      </c>
      <c r="L171" s="229" t="s">
        <v>5571</v>
      </c>
      <c r="M171" s="229" t="s">
        <v>7561</v>
      </c>
      <c r="N171" s="229" t="s">
        <v>5573</v>
      </c>
      <c r="O171" s="102">
        <v>5.0</v>
      </c>
      <c r="P171" s="102" t="s">
        <v>1756</v>
      </c>
      <c r="U171" s="102"/>
      <c r="V171" s="230" t="str">
        <f>IF(ISNUMBER(MATCH(B171, 'Sprint 11'!B:B, 0)), "มาจาก Sprint 11", "")</f>
        <v/>
      </c>
      <c r="W171" s="230" t="str">
        <f t="array" ref="W171">IF(ISNUMBER(MATCH(B171, 'Sprint 11'!B:B, 0)), INDEX('Sprint 11'!J:J, MATCH(B171, 'Sprint 11'!B:B, 0)), "")</f>
        <v/>
      </c>
      <c r="X171" s="102"/>
      <c r="Y171" s="102" t="s">
        <v>4953</v>
      </c>
      <c r="Z171" s="102" t="s">
        <v>4953</v>
      </c>
      <c r="AA171" s="102" t="s">
        <v>4954</v>
      </c>
      <c r="AB171" s="102"/>
    </row>
    <row r="172">
      <c r="A172" s="102" t="s">
        <v>310</v>
      </c>
      <c r="B172" s="102" t="s">
        <v>7562</v>
      </c>
      <c r="C172" s="229" t="s">
        <v>7563</v>
      </c>
      <c r="D172" s="102" t="s">
        <v>7564</v>
      </c>
      <c r="E172" s="102" t="s">
        <v>564</v>
      </c>
      <c r="F172" s="102" t="s">
        <v>565</v>
      </c>
      <c r="G172" s="102" t="s">
        <v>316</v>
      </c>
      <c r="H172" s="102" t="s">
        <v>317</v>
      </c>
      <c r="I172" s="102" t="s">
        <v>515</v>
      </c>
      <c r="J172" s="102" t="s">
        <v>26</v>
      </c>
      <c r="L172" s="229" t="s">
        <v>7565</v>
      </c>
      <c r="M172" s="229" t="s">
        <v>7566</v>
      </c>
      <c r="N172" s="229" t="s">
        <v>7567</v>
      </c>
      <c r="O172" s="102">
        <v>5.0</v>
      </c>
      <c r="P172" s="102" t="s">
        <v>1756</v>
      </c>
      <c r="U172" s="102">
        <v>0.0</v>
      </c>
      <c r="V172" s="230" t="str">
        <f>IF(ISNUMBER(MATCH(B172, 'Sprint 11'!B:B, 0)), "มาจาก Sprint 11", "")</f>
        <v/>
      </c>
      <c r="W172" s="230" t="str">
        <f t="array" ref="W172">IF(ISNUMBER(MATCH(B172, 'Sprint 11'!B:B, 0)), INDEX('Sprint 11'!J:J, MATCH(B172, 'Sprint 11'!B:B, 0)), "")</f>
        <v/>
      </c>
      <c r="X172" s="102"/>
      <c r="Y172" s="102" t="s">
        <v>4953</v>
      </c>
      <c r="Z172" s="102" t="s">
        <v>4953</v>
      </c>
      <c r="AA172" s="102" t="s">
        <v>4954</v>
      </c>
      <c r="AB172" s="102"/>
      <c r="AC172" s="102"/>
    </row>
    <row r="173">
      <c r="A173" s="102" t="s">
        <v>310</v>
      </c>
      <c r="B173" s="102" t="s">
        <v>6964</v>
      </c>
      <c r="C173" s="229" t="s">
        <v>6965</v>
      </c>
      <c r="D173" s="102" t="s">
        <v>6966</v>
      </c>
      <c r="E173" s="102" t="s">
        <v>314</v>
      </c>
      <c r="F173" s="102" t="s">
        <v>315</v>
      </c>
      <c r="G173" s="102" t="s">
        <v>353</v>
      </c>
      <c r="H173" s="102" t="s">
        <v>354</v>
      </c>
      <c r="I173" s="102" t="s">
        <v>284</v>
      </c>
      <c r="J173" s="102" t="s">
        <v>454</v>
      </c>
      <c r="L173" s="229" t="s">
        <v>6967</v>
      </c>
      <c r="M173" s="229" t="s">
        <v>7361</v>
      </c>
      <c r="O173" s="102">
        <v>2.0</v>
      </c>
      <c r="P173" s="102" t="s">
        <v>593</v>
      </c>
      <c r="U173" s="102">
        <v>0.0</v>
      </c>
      <c r="V173" s="230" t="str">
        <f>IF(ISNUMBER(MATCH(B173, 'Sprint 11'!B:B, 0)), "มาจาก Sprint 11", "")</f>
        <v>มาจาก Sprint 11</v>
      </c>
      <c r="W173" s="230" t="str">
        <f t="array" ref="W173">IF(ISNUMBER(MATCH(B173, 'Sprint 11'!B:B, 0)), INDEX('Sprint 11'!J:J, MATCH(B173, 'Sprint 11'!B:B, 0)), "")</f>
        <v>Ready To Test</v>
      </c>
      <c r="X173" s="102">
        <v>10800.0</v>
      </c>
      <c r="Y173" s="102" t="s">
        <v>6448</v>
      </c>
      <c r="Z173" s="102" t="s">
        <v>6450</v>
      </c>
      <c r="AA173" s="102" t="s">
        <v>6450</v>
      </c>
      <c r="AB173" s="102" t="s">
        <v>5901</v>
      </c>
      <c r="AC173" s="102" t="s">
        <v>2205</v>
      </c>
    </row>
    <row r="174">
      <c r="A174" s="102" t="s">
        <v>276</v>
      </c>
      <c r="B174" s="102" t="s">
        <v>7568</v>
      </c>
      <c r="C174" s="229" t="s">
        <v>7569</v>
      </c>
      <c r="D174" s="102" t="s">
        <v>7570</v>
      </c>
      <c r="E174" s="102" t="s">
        <v>3288</v>
      </c>
      <c r="F174" s="102" t="s">
        <v>3289</v>
      </c>
      <c r="G174" s="102" t="s">
        <v>3288</v>
      </c>
      <c r="H174" s="102" t="s">
        <v>3289</v>
      </c>
      <c r="I174" s="102" t="s">
        <v>284</v>
      </c>
      <c r="J174" s="102" t="s">
        <v>26</v>
      </c>
      <c r="L174" s="229" t="s">
        <v>7571</v>
      </c>
      <c r="M174" s="229" t="s">
        <v>7572</v>
      </c>
      <c r="O174" s="230"/>
      <c r="U174" s="230"/>
      <c r="V174" s="230" t="str">
        <f>IF(ISNUMBER(MATCH(B174, 'Sprint 11'!B:B, 0)), "มาจาก Sprint 11", "")</f>
        <v>มาจาก Sprint 11</v>
      </c>
      <c r="W174" s="230" t="str">
        <f t="array" ref="W174">IF(ISNUMBER(MATCH(B174, 'Sprint 11'!B:B, 0)), INDEX('Sprint 11'!J:J, MATCH(B174, 'Sprint 11'!B:B, 0)), "")</f>
        <v>Done</v>
      </c>
      <c r="X174" s="230"/>
      <c r="Y174" s="102" t="s">
        <v>5920</v>
      </c>
      <c r="Z174" s="102" t="s">
        <v>5901</v>
      </c>
      <c r="AA174" s="102" t="s">
        <v>5901</v>
      </c>
      <c r="AB174" s="102" t="s">
        <v>5896</v>
      </c>
      <c r="AC174" s="102"/>
    </row>
    <row r="175">
      <c r="A175" s="102" t="s">
        <v>310</v>
      </c>
      <c r="B175" s="102" t="s">
        <v>7573</v>
      </c>
      <c r="C175" s="229" t="s">
        <v>7574</v>
      </c>
      <c r="D175" s="102" t="s">
        <v>7575</v>
      </c>
      <c r="E175" s="102" t="s">
        <v>6315</v>
      </c>
      <c r="F175" s="102" t="s">
        <v>6316</v>
      </c>
      <c r="G175" s="102" t="s">
        <v>282</v>
      </c>
      <c r="H175" s="102" t="s">
        <v>283</v>
      </c>
      <c r="I175" s="102" t="s">
        <v>284</v>
      </c>
      <c r="J175" s="102" t="s">
        <v>26</v>
      </c>
      <c r="L175" s="229" t="s">
        <v>7576</v>
      </c>
      <c r="M175" s="229" t="s">
        <v>7413</v>
      </c>
      <c r="N175" s="229" t="s">
        <v>7577</v>
      </c>
      <c r="O175" s="102">
        <v>5.0</v>
      </c>
      <c r="P175" s="102" t="s">
        <v>504</v>
      </c>
      <c r="U175" s="102">
        <v>0.0</v>
      </c>
      <c r="V175" s="230" t="str">
        <f>IF(ISNUMBER(MATCH(B175, 'Sprint 11'!B:B, 0)), "มาจาก Sprint 11", "")</f>
        <v>มาจาก Sprint 11</v>
      </c>
      <c r="W175" s="230" t="str">
        <f t="array" ref="W175">IF(ISNUMBER(MATCH(B175, 'Sprint 11'!B:B, 0)), INDEX('Sprint 11'!J:J, MATCH(B175, 'Sprint 11'!B:B, 0)), "")</f>
        <v>Ready To Test</v>
      </c>
      <c r="X175" s="102">
        <v>57600.0</v>
      </c>
      <c r="Y175" s="102" t="s">
        <v>5920</v>
      </c>
      <c r="Z175" s="102" t="s">
        <v>5901</v>
      </c>
      <c r="AA175" s="102" t="s">
        <v>5901</v>
      </c>
      <c r="AB175" s="102" t="s">
        <v>5896</v>
      </c>
      <c r="AC175" s="102"/>
    </row>
    <row r="176">
      <c r="A176" s="102" t="s">
        <v>310</v>
      </c>
      <c r="B176" s="102" t="s">
        <v>6969</v>
      </c>
      <c r="C176" s="229" t="s">
        <v>6970</v>
      </c>
      <c r="D176" s="102" t="s">
        <v>6971</v>
      </c>
      <c r="E176" s="102" t="s">
        <v>6860</v>
      </c>
      <c r="F176" s="102" t="s">
        <v>6861</v>
      </c>
      <c r="G176" s="102" t="s">
        <v>353</v>
      </c>
      <c r="H176" s="102" t="s">
        <v>354</v>
      </c>
      <c r="I176" s="102" t="s">
        <v>284</v>
      </c>
      <c r="J176" s="102" t="s">
        <v>454</v>
      </c>
      <c r="L176" s="229" t="s">
        <v>6972</v>
      </c>
      <c r="M176" s="229" t="s">
        <v>7361</v>
      </c>
      <c r="N176" s="102"/>
      <c r="O176" s="102">
        <v>5.0</v>
      </c>
      <c r="P176" s="102"/>
      <c r="U176" s="102"/>
      <c r="V176" s="230" t="str">
        <f>IF(ISNUMBER(MATCH(B176, 'Sprint 11'!B:B, 0)), "มาจาก Sprint 11", "")</f>
        <v>มาจาก Sprint 11</v>
      </c>
      <c r="W176" s="230" t="str">
        <f t="array" ref="W176">IF(ISNUMBER(MATCH(B176, 'Sprint 11'!B:B, 0)), INDEX('Sprint 11'!J:J, MATCH(B176, 'Sprint 11'!B:B, 0)), "")</f>
        <v>Ready To Test</v>
      </c>
      <c r="X176" s="102"/>
      <c r="Y176" s="102" t="s">
        <v>6448</v>
      </c>
      <c r="Z176" s="102" t="s">
        <v>6450</v>
      </c>
      <c r="AA176" s="102" t="s">
        <v>6450</v>
      </c>
      <c r="AB176" s="102" t="s">
        <v>5901</v>
      </c>
      <c r="AC176" s="102" t="s">
        <v>2205</v>
      </c>
    </row>
    <row r="177">
      <c r="A177" s="102" t="s">
        <v>276</v>
      </c>
      <c r="B177" s="102" t="s">
        <v>6973</v>
      </c>
      <c r="C177" s="229" t="s">
        <v>6974</v>
      </c>
      <c r="D177" s="102" t="s">
        <v>6975</v>
      </c>
      <c r="E177" s="102" t="s">
        <v>521</v>
      </c>
      <c r="F177" s="102" t="s">
        <v>522</v>
      </c>
      <c r="G177" s="102" t="s">
        <v>521</v>
      </c>
      <c r="H177" s="102" t="s">
        <v>522</v>
      </c>
      <c r="I177" s="102" t="s">
        <v>284</v>
      </c>
      <c r="J177" s="102" t="s">
        <v>63</v>
      </c>
      <c r="L177" s="229" t="s">
        <v>6976</v>
      </c>
      <c r="M177" s="229" t="s">
        <v>7361</v>
      </c>
      <c r="N177" s="102"/>
      <c r="O177" s="102"/>
      <c r="P177" s="102"/>
      <c r="Q177" s="102"/>
      <c r="U177" s="102"/>
      <c r="V177" s="230" t="str">
        <f>IF(ISNUMBER(MATCH(B177, 'Sprint 11'!B:B, 0)), "มาจาก Sprint 11", "")</f>
        <v>มาจาก Sprint 11</v>
      </c>
      <c r="W177" s="230" t="str">
        <f t="array" ref="W177">IF(ISNUMBER(MATCH(B177, 'Sprint 11'!B:B, 0)), INDEX('Sprint 11'!J:J, MATCH(B177, 'Sprint 11'!B:B, 0)), "")</f>
        <v>To Do</v>
      </c>
      <c r="X177" s="102"/>
      <c r="Y177" s="102" t="s">
        <v>6448</v>
      </c>
      <c r="Z177" s="102" t="s">
        <v>6450</v>
      </c>
      <c r="AA177" s="102" t="s">
        <v>6450</v>
      </c>
      <c r="AB177" s="102" t="s">
        <v>5901</v>
      </c>
      <c r="AC177" s="102" t="s">
        <v>2205</v>
      </c>
    </row>
    <row r="178">
      <c r="A178" s="102" t="s">
        <v>276</v>
      </c>
      <c r="B178" s="102" t="s">
        <v>6977</v>
      </c>
      <c r="C178" s="229" t="s">
        <v>6978</v>
      </c>
      <c r="D178" s="102" t="s">
        <v>6979</v>
      </c>
      <c r="E178" s="102" t="s">
        <v>521</v>
      </c>
      <c r="F178" s="102" t="s">
        <v>522</v>
      </c>
      <c r="G178" s="102" t="s">
        <v>521</v>
      </c>
      <c r="H178" s="102" t="s">
        <v>522</v>
      </c>
      <c r="I178" s="102" t="s">
        <v>284</v>
      </c>
      <c r="J178" s="102" t="s">
        <v>63</v>
      </c>
      <c r="L178" s="229" t="s">
        <v>6980</v>
      </c>
      <c r="M178" s="229" t="s">
        <v>7361</v>
      </c>
      <c r="N178" s="102"/>
      <c r="O178" s="102"/>
      <c r="P178" s="102"/>
      <c r="U178" s="102"/>
      <c r="V178" s="230" t="str">
        <f>IF(ISNUMBER(MATCH(B178, 'Sprint 11'!B:B, 0)), "มาจาก Sprint 11", "")</f>
        <v>มาจาก Sprint 11</v>
      </c>
      <c r="W178" s="230" t="str">
        <f t="array" ref="W178">IF(ISNUMBER(MATCH(B178, 'Sprint 11'!B:B, 0)), INDEX('Sprint 11'!J:J, MATCH(B178, 'Sprint 11'!B:B, 0)), "")</f>
        <v>To Do</v>
      </c>
      <c r="X178" s="102"/>
      <c r="Y178" s="102" t="s">
        <v>6448</v>
      </c>
      <c r="Z178" s="102" t="s">
        <v>6450</v>
      </c>
      <c r="AA178" s="102" t="s">
        <v>6450</v>
      </c>
      <c r="AB178" s="102" t="s">
        <v>5901</v>
      </c>
      <c r="AC178" s="102" t="s">
        <v>2205</v>
      </c>
    </row>
    <row r="179">
      <c r="A179" s="102" t="s">
        <v>276</v>
      </c>
      <c r="B179" s="102" t="s">
        <v>6981</v>
      </c>
      <c r="C179" s="229" t="s">
        <v>6982</v>
      </c>
      <c r="D179" s="102" t="s">
        <v>7578</v>
      </c>
      <c r="E179" s="102" t="s">
        <v>5844</v>
      </c>
      <c r="F179" s="102" t="s">
        <v>5845</v>
      </c>
      <c r="G179" s="102" t="s">
        <v>521</v>
      </c>
      <c r="H179" s="102" t="s">
        <v>522</v>
      </c>
      <c r="I179" s="102" t="s">
        <v>284</v>
      </c>
      <c r="J179" s="102" t="s">
        <v>26</v>
      </c>
      <c r="L179" s="229" t="s">
        <v>6984</v>
      </c>
      <c r="M179" s="229" t="s">
        <v>7579</v>
      </c>
      <c r="O179" s="102"/>
      <c r="P179" s="102"/>
      <c r="U179" s="102"/>
      <c r="V179" s="230" t="str">
        <f>IF(ISNUMBER(MATCH(B179, 'Sprint 11'!B:B, 0)), "มาจาก Sprint 11", "")</f>
        <v>มาจาก Sprint 11</v>
      </c>
      <c r="W179" s="230" t="str">
        <f t="array" ref="W179">IF(ISNUMBER(MATCH(B179, 'Sprint 11'!B:B, 0)), INDEX('Sprint 11'!J:J, MATCH(B179, 'Sprint 11'!B:B, 0)), "")</f>
        <v>To Do</v>
      </c>
      <c r="X179" s="102"/>
      <c r="Y179" s="102" t="s">
        <v>6448</v>
      </c>
      <c r="Z179" s="102" t="s">
        <v>6450</v>
      </c>
      <c r="AA179" s="102" t="s">
        <v>6450</v>
      </c>
      <c r="AB179" s="102" t="s">
        <v>5901</v>
      </c>
      <c r="AC179" s="102" t="s">
        <v>2205</v>
      </c>
    </row>
    <row r="180">
      <c r="A180" s="102" t="s">
        <v>310</v>
      </c>
      <c r="B180" s="102" t="s">
        <v>7580</v>
      </c>
      <c r="C180" s="229" t="s">
        <v>7581</v>
      </c>
      <c r="D180" s="102" t="s">
        <v>7582</v>
      </c>
      <c r="E180" s="102" t="s">
        <v>564</v>
      </c>
      <c r="F180" s="102" t="s">
        <v>565</v>
      </c>
      <c r="G180" s="102" t="s">
        <v>353</v>
      </c>
      <c r="H180" s="102" t="s">
        <v>354</v>
      </c>
      <c r="I180" s="102" t="s">
        <v>284</v>
      </c>
      <c r="J180" s="102" t="s">
        <v>26</v>
      </c>
      <c r="L180" s="229" t="s">
        <v>7583</v>
      </c>
      <c r="M180" s="229" t="s">
        <v>7584</v>
      </c>
      <c r="N180" s="229" t="s">
        <v>6990</v>
      </c>
      <c r="O180" s="102">
        <v>2.0</v>
      </c>
      <c r="P180" s="102" t="s">
        <v>777</v>
      </c>
      <c r="Q180" s="102"/>
      <c r="U180" s="102">
        <v>0.0</v>
      </c>
      <c r="V180" s="230" t="str">
        <f>IF(ISNUMBER(MATCH(B180, 'Sprint 11'!B:B, 0)), "มาจาก Sprint 11", "")</f>
        <v>มาจาก Sprint 11</v>
      </c>
      <c r="W180" s="230" t="str">
        <f t="array" ref="W180">IF(ISNUMBER(MATCH(B180, 'Sprint 11'!B:B, 0)), INDEX('Sprint 11'!J:J, MATCH(B180, 'Sprint 11'!B:B, 0)), "")</f>
        <v>Ready To Test</v>
      </c>
      <c r="X180" s="102">
        <v>10800.0</v>
      </c>
      <c r="Y180" s="102" t="s">
        <v>5920</v>
      </c>
      <c r="Z180" s="102" t="s">
        <v>5901</v>
      </c>
      <c r="AA180" s="102" t="s">
        <v>5901</v>
      </c>
      <c r="AB180" s="102" t="s">
        <v>5896</v>
      </c>
      <c r="AC180" s="102"/>
    </row>
    <row r="181">
      <c r="A181" s="102" t="s">
        <v>310</v>
      </c>
      <c r="B181" s="102" t="s">
        <v>7585</v>
      </c>
      <c r="C181" s="229" t="s">
        <v>7586</v>
      </c>
      <c r="D181" s="102" t="s">
        <v>7587</v>
      </c>
      <c r="E181" s="102" t="s">
        <v>564</v>
      </c>
      <c r="F181" s="102" t="s">
        <v>565</v>
      </c>
      <c r="G181" s="102" t="s">
        <v>353</v>
      </c>
      <c r="H181" s="102" t="s">
        <v>354</v>
      </c>
      <c r="I181" s="102" t="s">
        <v>284</v>
      </c>
      <c r="J181" s="102" t="s">
        <v>26</v>
      </c>
      <c r="L181" s="229" t="s">
        <v>7583</v>
      </c>
      <c r="M181" s="229" t="s">
        <v>7514</v>
      </c>
      <c r="N181" s="229" t="s">
        <v>6990</v>
      </c>
      <c r="O181" s="102">
        <v>3.0</v>
      </c>
      <c r="P181" s="102" t="s">
        <v>7525</v>
      </c>
      <c r="Q181" s="102" t="s">
        <v>593</v>
      </c>
      <c r="U181" s="102">
        <v>0.0</v>
      </c>
      <c r="V181" s="230" t="str">
        <f>IF(ISNUMBER(MATCH(B181, 'Sprint 11'!B:B, 0)), "มาจาก Sprint 11", "")</f>
        <v>มาจาก Sprint 11</v>
      </c>
      <c r="W181" s="230" t="str">
        <f t="array" ref="W181">IF(ISNUMBER(MATCH(B181, 'Sprint 11'!B:B, 0)), INDEX('Sprint 11'!J:J, MATCH(B181, 'Sprint 11'!B:B, 0)), "")</f>
        <v>Ready To Test</v>
      </c>
      <c r="X181" s="102">
        <v>28800.0</v>
      </c>
      <c r="Y181" s="102" t="s">
        <v>5920</v>
      </c>
      <c r="Z181" s="102" t="s">
        <v>5901</v>
      </c>
      <c r="AA181" s="102" t="s">
        <v>5901</v>
      </c>
      <c r="AB181" s="102" t="s">
        <v>5896</v>
      </c>
    </row>
    <row r="182">
      <c r="A182" s="102" t="s">
        <v>310</v>
      </c>
      <c r="B182" s="102" t="s">
        <v>6986</v>
      </c>
      <c r="C182" s="229" t="s">
        <v>6987</v>
      </c>
      <c r="D182" s="102" t="s">
        <v>6988</v>
      </c>
      <c r="E182" s="102" t="s">
        <v>6860</v>
      </c>
      <c r="F182" s="102" t="s">
        <v>6861</v>
      </c>
      <c r="G182" s="102" t="s">
        <v>353</v>
      </c>
      <c r="H182" s="102" t="s">
        <v>354</v>
      </c>
      <c r="I182" s="102" t="s">
        <v>284</v>
      </c>
      <c r="J182" s="102" t="s">
        <v>454</v>
      </c>
      <c r="L182" s="229" t="s">
        <v>6989</v>
      </c>
      <c r="M182" s="229" t="s">
        <v>7549</v>
      </c>
      <c r="N182" s="229" t="s">
        <v>6990</v>
      </c>
      <c r="O182" s="102">
        <v>5.0</v>
      </c>
      <c r="P182" s="102" t="s">
        <v>6991</v>
      </c>
      <c r="U182" s="102">
        <v>0.0</v>
      </c>
      <c r="V182" s="230" t="str">
        <f>IF(ISNUMBER(MATCH(B182, 'Sprint 11'!B:B, 0)), "มาจาก Sprint 11", "")</f>
        <v>มาจาก Sprint 11</v>
      </c>
      <c r="W182" s="230" t="str">
        <f t="array" ref="W182">IF(ISNUMBER(MATCH(B182, 'Sprint 11'!B:B, 0)), INDEX('Sprint 11'!J:J, MATCH(B182, 'Sprint 11'!B:B, 0)), "")</f>
        <v>Ready To Test</v>
      </c>
      <c r="X182" s="102">
        <v>57600.0</v>
      </c>
      <c r="Y182" s="102" t="s">
        <v>6448</v>
      </c>
      <c r="Z182" s="102" t="s">
        <v>6450</v>
      </c>
      <c r="AA182" s="102" t="s">
        <v>6450</v>
      </c>
      <c r="AB182" s="102" t="s">
        <v>5901</v>
      </c>
      <c r="AC182" s="102" t="s">
        <v>2205</v>
      </c>
    </row>
    <row r="183">
      <c r="A183" s="102" t="s">
        <v>310</v>
      </c>
      <c r="B183" s="102" t="s">
        <v>6992</v>
      </c>
      <c r="C183" s="229" t="s">
        <v>6993</v>
      </c>
      <c r="D183" s="102" t="s">
        <v>6994</v>
      </c>
      <c r="E183" s="102" t="s">
        <v>314</v>
      </c>
      <c r="F183" s="102" t="s">
        <v>315</v>
      </c>
      <c r="G183" s="102" t="s">
        <v>353</v>
      </c>
      <c r="H183" s="102" t="s">
        <v>354</v>
      </c>
      <c r="I183" s="102" t="s">
        <v>284</v>
      </c>
      <c r="J183" s="102" t="s">
        <v>454</v>
      </c>
      <c r="L183" s="229" t="s">
        <v>6995</v>
      </c>
      <c r="M183" s="229" t="s">
        <v>7361</v>
      </c>
      <c r="O183" s="102">
        <v>3.0</v>
      </c>
      <c r="P183" s="102" t="s">
        <v>593</v>
      </c>
      <c r="U183" s="102">
        <v>0.0</v>
      </c>
      <c r="V183" s="230" t="str">
        <f>IF(ISNUMBER(MATCH(B183, 'Sprint 11'!B:B, 0)), "มาจาก Sprint 11", "")</f>
        <v>มาจาก Sprint 11</v>
      </c>
      <c r="W183" s="230" t="str">
        <f t="array" ref="W183">IF(ISNUMBER(MATCH(B183, 'Sprint 11'!B:B, 0)), INDEX('Sprint 11'!J:J, MATCH(B183, 'Sprint 11'!B:B, 0)), "")</f>
        <v>Ready To Test</v>
      </c>
      <c r="X183" s="102">
        <v>10800.0</v>
      </c>
      <c r="Y183" s="102" t="s">
        <v>6448</v>
      </c>
      <c r="Z183" s="102" t="s">
        <v>6450</v>
      </c>
      <c r="AA183" s="102" t="s">
        <v>6450</v>
      </c>
      <c r="AB183" s="102" t="s">
        <v>5901</v>
      </c>
      <c r="AC183" s="102" t="s">
        <v>2205</v>
      </c>
    </row>
    <row r="184">
      <c r="A184" s="102" t="s">
        <v>310</v>
      </c>
      <c r="B184" s="102" t="s">
        <v>6996</v>
      </c>
      <c r="C184" s="229" t="s">
        <v>6997</v>
      </c>
      <c r="D184" s="102" t="s">
        <v>6998</v>
      </c>
      <c r="E184" s="102" t="s">
        <v>314</v>
      </c>
      <c r="F184" s="102" t="s">
        <v>315</v>
      </c>
      <c r="G184" s="102" t="s">
        <v>353</v>
      </c>
      <c r="H184" s="102" t="s">
        <v>354</v>
      </c>
      <c r="I184" s="102" t="s">
        <v>284</v>
      </c>
      <c r="J184" s="102" t="s">
        <v>454</v>
      </c>
      <c r="L184" s="229" t="s">
        <v>6995</v>
      </c>
      <c r="M184" s="229" t="s">
        <v>7361</v>
      </c>
      <c r="N184" s="102"/>
      <c r="O184" s="102">
        <v>3.0</v>
      </c>
      <c r="P184" s="102" t="s">
        <v>593</v>
      </c>
      <c r="Q184" s="102" t="s">
        <v>6991</v>
      </c>
      <c r="U184" s="102">
        <v>0.0</v>
      </c>
      <c r="V184" s="230" t="str">
        <f>IF(ISNUMBER(MATCH(B184, 'Sprint 11'!B:B, 0)), "มาจาก Sprint 11", "")</f>
        <v>มาจาก Sprint 11</v>
      </c>
      <c r="W184" s="230" t="str">
        <f t="array" ref="W184">IF(ISNUMBER(MATCH(B184, 'Sprint 11'!B:B, 0)), INDEX('Sprint 11'!J:J, MATCH(B184, 'Sprint 11'!B:B, 0)), "")</f>
        <v>Ready To Test</v>
      </c>
      <c r="X184" s="102">
        <v>10800.0</v>
      </c>
      <c r="Y184" s="102" t="s">
        <v>6448</v>
      </c>
      <c r="Z184" s="102" t="s">
        <v>6450</v>
      </c>
      <c r="AA184" s="102" t="s">
        <v>6450</v>
      </c>
      <c r="AB184" s="102" t="s">
        <v>5901</v>
      </c>
      <c r="AC184" s="102" t="s">
        <v>2205</v>
      </c>
    </row>
    <row r="185">
      <c r="A185" s="102" t="s">
        <v>310</v>
      </c>
      <c r="B185" s="102" t="s">
        <v>7588</v>
      </c>
      <c r="C185" s="229" t="s">
        <v>7589</v>
      </c>
      <c r="D185" s="102" t="s">
        <v>7590</v>
      </c>
      <c r="E185" s="102" t="s">
        <v>513</v>
      </c>
      <c r="F185" s="102" t="s">
        <v>514</v>
      </c>
      <c r="G185" s="102" t="s">
        <v>314</v>
      </c>
      <c r="H185" s="102" t="s">
        <v>315</v>
      </c>
      <c r="I185" s="102" t="s">
        <v>284</v>
      </c>
      <c r="J185" s="102" t="s">
        <v>26</v>
      </c>
      <c r="L185" s="229" t="s">
        <v>7591</v>
      </c>
      <c r="M185" s="229" t="s">
        <v>7592</v>
      </c>
      <c r="N185" s="102"/>
      <c r="O185" s="102">
        <v>5.0</v>
      </c>
      <c r="P185" s="102" t="s">
        <v>7593</v>
      </c>
      <c r="U185" s="102">
        <v>28800.0</v>
      </c>
      <c r="V185" s="230" t="str">
        <f>IF(ISNUMBER(MATCH(B185, 'Sprint 11'!B:B, 0)), "มาจาก Sprint 11", "")</f>
        <v/>
      </c>
      <c r="W185" s="230" t="str">
        <f t="array" ref="W185">IF(ISNUMBER(MATCH(B185, 'Sprint 11'!B:B, 0)), INDEX('Sprint 11'!J:J, MATCH(B185, 'Sprint 11'!B:B, 0)), "")</f>
        <v/>
      </c>
      <c r="X185" s="102"/>
      <c r="Y185" s="102" t="s">
        <v>4960</v>
      </c>
      <c r="Z185" s="102" t="s">
        <v>4953</v>
      </c>
      <c r="AA185" s="102" t="s">
        <v>4953</v>
      </c>
      <c r="AB185" s="102" t="s">
        <v>4954</v>
      </c>
      <c r="AC185" s="102"/>
    </row>
    <row r="186">
      <c r="A186" s="102" t="s">
        <v>310</v>
      </c>
      <c r="B186" s="102" t="s">
        <v>7594</v>
      </c>
      <c r="C186" s="229" t="s">
        <v>7595</v>
      </c>
      <c r="D186" s="102" t="s">
        <v>7596</v>
      </c>
      <c r="E186" s="102" t="s">
        <v>556</v>
      </c>
      <c r="F186" s="102" t="s">
        <v>557</v>
      </c>
      <c r="G186" s="102" t="s">
        <v>353</v>
      </c>
      <c r="H186" s="102" t="s">
        <v>354</v>
      </c>
      <c r="I186" s="102" t="s">
        <v>284</v>
      </c>
      <c r="J186" s="102" t="s">
        <v>26</v>
      </c>
      <c r="L186" s="229" t="s">
        <v>7597</v>
      </c>
      <c r="M186" s="229" t="s">
        <v>7598</v>
      </c>
      <c r="N186" s="229" t="s">
        <v>6810</v>
      </c>
      <c r="O186" s="102">
        <v>3.0</v>
      </c>
      <c r="P186" s="102" t="s">
        <v>5912</v>
      </c>
      <c r="U186" s="102"/>
      <c r="V186" s="230" t="str">
        <f>IF(ISNUMBER(MATCH(B186, 'Sprint 11'!B:B, 0)), "มาจาก Sprint 11", "")</f>
        <v>มาจาก Sprint 11</v>
      </c>
      <c r="W186" s="230" t="str">
        <f t="array" ref="W186">IF(ISNUMBER(MATCH(B186, 'Sprint 11'!B:B, 0)), INDEX('Sprint 11'!J:J, MATCH(B186, 'Sprint 11'!B:B, 0)), "")</f>
        <v>Ready To Test</v>
      </c>
      <c r="X186" s="102"/>
      <c r="Y186" s="102" t="s">
        <v>5920</v>
      </c>
      <c r="Z186" s="102" t="s">
        <v>5901</v>
      </c>
      <c r="AA186" s="102" t="s">
        <v>5901</v>
      </c>
      <c r="AB186" s="102" t="s">
        <v>5896</v>
      </c>
      <c r="AC186" s="102"/>
    </row>
    <row r="187">
      <c r="A187" s="102" t="s">
        <v>332</v>
      </c>
      <c r="B187" s="102" t="s">
        <v>6443</v>
      </c>
      <c r="C187" s="229" t="s">
        <v>6444</v>
      </c>
      <c r="D187" s="102" t="s">
        <v>6445</v>
      </c>
      <c r="E187" s="102" t="s">
        <v>353</v>
      </c>
      <c r="F187" s="102" t="s">
        <v>354</v>
      </c>
      <c r="G187" s="102" t="s">
        <v>521</v>
      </c>
      <c r="H187" s="102" t="s">
        <v>522</v>
      </c>
      <c r="I187" s="102" t="s">
        <v>284</v>
      </c>
      <c r="J187" s="102" t="s">
        <v>1075</v>
      </c>
      <c r="L187" s="229" t="s">
        <v>6446</v>
      </c>
      <c r="M187" s="229" t="s">
        <v>7599</v>
      </c>
      <c r="N187" s="102"/>
      <c r="O187" s="102"/>
      <c r="P187" s="102"/>
      <c r="U187" s="102"/>
      <c r="V187" s="230" t="str">
        <f>IF(ISNUMBER(MATCH(B187, 'Sprint 11'!B:B, 0)), "มาจาก Sprint 11", "")</f>
        <v>มาจาก Sprint 11</v>
      </c>
      <c r="W187" s="230" t="str">
        <f t="array" ref="W187">IF(ISNUMBER(MATCH(B187, 'Sprint 11'!B:B, 0)), INDEX('Sprint 11'!J:J, MATCH(B187, 'Sprint 11'!B:B, 0)), "")</f>
        <v>Open</v>
      </c>
      <c r="X187" s="102"/>
      <c r="Y187" s="102" t="s">
        <v>6448</v>
      </c>
      <c r="Z187" s="102" t="s">
        <v>6450</v>
      </c>
      <c r="AA187" s="102" t="s">
        <v>6450</v>
      </c>
      <c r="AB187" s="102" t="s">
        <v>5901</v>
      </c>
      <c r="AC187" s="102" t="s">
        <v>2205</v>
      </c>
    </row>
    <row r="188">
      <c r="A188" s="102" t="s">
        <v>4410</v>
      </c>
      <c r="B188" s="102" t="s">
        <v>4955</v>
      </c>
      <c r="C188" s="229" t="s">
        <v>4956</v>
      </c>
      <c r="D188" s="102" t="s">
        <v>4957</v>
      </c>
      <c r="E188" s="102" t="s">
        <v>282</v>
      </c>
      <c r="F188" s="102" t="s">
        <v>283</v>
      </c>
      <c r="G188" s="102" t="s">
        <v>316</v>
      </c>
      <c r="H188" s="102" t="s">
        <v>317</v>
      </c>
      <c r="I188" s="102" t="s">
        <v>284</v>
      </c>
      <c r="J188" s="102" t="s">
        <v>2509</v>
      </c>
      <c r="L188" s="229" t="s">
        <v>4958</v>
      </c>
      <c r="M188" s="229" t="s">
        <v>7600</v>
      </c>
      <c r="N188" s="229" t="s">
        <v>4959</v>
      </c>
      <c r="O188" s="102">
        <v>5.0</v>
      </c>
      <c r="U188" s="230"/>
      <c r="V188" s="230" t="str">
        <f>IF(ISNUMBER(MATCH(B188, 'Sprint 11'!B:B, 0)), "มาจาก Sprint 11", "")</f>
        <v/>
      </c>
      <c r="W188" s="230" t="str">
        <f t="array" ref="W188">IF(ISNUMBER(MATCH(B188, 'Sprint 11'!B:B, 0)), INDEX('Sprint 11'!J:J, MATCH(B188, 'Sprint 11'!B:B, 0)), "")</f>
        <v/>
      </c>
      <c r="X188" s="230"/>
      <c r="Y188" s="102" t="s">
        <v>4960</v>
      </c>
      <c r="Z188" s="102" t="s">
        <v>4953</v>
      </c>
      <c r="AA188" s="102" t="s">
        <v>4953</v>
      </c>
      <c r="AB188" s="102" t="s">
        <v>4954</v>
      </c>
      <c r="AC188" s="102"/>
    </row>
    <row r="189">
      <c r="A189" s="102" t="s">
        <v>310</v>
      </c>
      <c r="B189" s="102" t="s">
        <v>7601</v>
      </c>
      <c r="C189" s="229" t="s">
        <v>7602</v>
      </c>
      <c r="D189" s="102" t="s">
        <v>7603</v>
      </c>
      <c r="E189" s="102" t="s">
        <v>564</v>
      </c>
      <c r="F189" s="102" t="s">
        <v>565</v>
      </c>
      <c r="G189" s="102" t="s">
        <v>282</v>
      </c>
      <c r="H189" s="102" t="s">
        <v>283</v>
      </c>
      <c r="I189" s="102" t="s">
        <v>515</v>
      </c>
      <c r="J189" s="102" t="s">
        <v>26</v>
      </c>
      <c r="L189" s="229" t="s">
        <v>7604</v>
      </c>
      <c r="M189" s="229" t="s">
        <v>7605</v>
      </c>
      <c r="N189" s="229" t="s">
        <v>7606</v>
      </c>
      <c r="O189" s="102">
        <v>2.0</v>
      </c>
      <c r="U189" s="102">
        <v>0.0</v>
      </c>
      <c r="V189" s="230" t="str">
        <f>IF(ISNUMBER(MATCH(B189, 'Sprint 11'!B:B, 0)), "มาจาก Sprint 11", "")</f>
        <v>มาจาก Sprint 11</v>
      </c>
      <c r="W189" s="230" t="str">
        <f t="array" ref="W189">IF(ISNUMBER(MATCH(B189, 'Sprint 11'!B:B, 0)), INDEX('Sprint 11'!J:J, MATCH(B189, 'Sprint 11'!B:B, 0)), "")</f>
        <v>Ready To Test</v>
      </c>
      <c r="X189" s="102">
        <v>14400.0</v>
      </c>
      <c r="Y189" s="102" t="s">
        <v>5919</v>
      </c>
      <c r="Z189" s="102" t="s">
        <v>5920</v>
      </c>
      <c r="AA189" s="102" t="s">
        <v>5901</v>
      </c>
      <c r="AB189" s="102" t="s">
        <v>5901</v>
      </c>
      <c r="AC189" s="102" t="s">
        <v>5896</v>
      </c>
      <c r="AD189" s="102"/>
    </row>
    <row r="190">
      <c r="A190" s="102" t="s">
        <v>310</v>
      </c>
      <c r="B190" s="102" t="s">
        <v>5914</v>
      </c>
      <c r="C190" s="229" t="s">
        <v>5915</v>
      </c>
      <c r="D190" s="102" t="s">
        <v>5916</v>
      </c>
      <c r="E190" s="102" t="s">
        <v>584</v>
      </c>
      <c r="F190" s="102" t="s">
        <v>585</v>
      </c>
      <c r="G190" s="102" t="s">
        <v>353</v>
      </c>
      <c r="H190" s="102" t="s">
        <v>354</v>
      </c>
      <c r="I190" s="102" t="s">
        <v>284</v>
      </c>
      <c r="J190" s="102" t="s">
        <v>454</v>
      </c>
      <c r="L190" s="229" t="s">
        <v>5917</v>
      </c>
      <c r="M190" s="229" t="s">
        <v>7607</v>
      </c>
      <c r="N190" s="229" t="s">
        <v>5918</v>
      </c>
      <c r="O190" s="102">
        <v>3.0</v>
      </c>
      <c r="U190" s="102">
        <v>0.0</v>
      </c>
      <c r="V190" s="230" t="str">
        <f>IF(ISNUMBER(MATCH(B190, 'Sprint 11'!B:B, 0)), "มาจาก Sprint 11", "")</f>
        <v>มาจาก Sprint 11</v>
      </c>
      <c r="W190" s="230" t="str">
        <f t="array" ref="W190">IF(ISNUMBER(MATCH(B190, 'Sprint 11'!B:B, 0)), INDEX('Sprint 11'!J:J, MATCH(B190, 'Sprint 11'!B:B, 0)), "")</f>
        <v>Ready To Test</v>
      </c>
      <c r="X190" s="102">
        <v>21600.0</v>
      </c>
      <c r="Y190" s="102" t="s">
        <v>5919</v>
      </c>
      <c r="Z190" s="102" t="s">
        <v>5920</v>
      </c>
      <c r="AA190" s="102" t="s">
        <v>5901</v>
      </c>
      <c r="AB190" s="102" t="s">
        <v>5901</v>
      </c>
      <c r="AC190" s="102" t="s">
        <v>5896</v>
      </c>
    </row>
    <row r="191">
      <c r="A191" s="102" t="s">
        <v>310</v>
      </c>
      <c r="B191" s="102" t="s">
        <v>7608</v>
      </c>
      <c r="C191" s="229" t="s">
        <v>7609</v>
      </c>
      <c r="D191" s="102" t="s">
        <v>7610</v>
      </c>
      <c r="E191" s="102" t="s">
        <v>564</v>
      </c>
      <c r="F191" s="102" t="s">
        <v>565</v>
      </c>
      <c r="G191" s="102" t="s">
        <v>282</v>
      </c>
      <c r="H191" s="102" t="s">
        <v>283</v>
      </c>
      <c r="I191" s="102" t="s">
        <v>284</v>
      </c>
      <c r="J191" s="102" t="s">
        <v>26</v>
      </c>
      <c r="L191" s="229" t="s">
        <v>7611</v>
      </c>
      <c r="M191" s="229" t="s">
        <v>7612</v>
      </c>
      <c r="N191" s="229" t="s">
        <v>5918</v>
      </c>
      <c r="O191" s="102">
        <v>1.0</v>
      </c>
      <c r="P191" s="102" t="s">
        <v>504</v>
      </c>
      <c r="U191" s="102">
        <v>0.0</v>
      </c>
      <c r="V191" s="230" t="str">
        <f>IF(ISNUMBER(MATCH(B191, 'Sprint 11'!B:B, 0)), "มาจาก Sprint 11", "")</f>
        <v>มาจาก Sprint 11</v>
      </c>
      <c r="W191" s="230" t="str">
        <f t="array" ref="W191">IF(ISNUMBER(MATCH(B191, 'Sprint 11'!B:B, 0)), INDEX('Sprint 11'!J:J, MATCH(B191, 'Sprint 11'!B:B, 0)), "")</f>
        <v>Ready To Test</v>
      </c>
      <c r="X191" s="102">
        <v>3600.0</v>
      </c>
      <c r="Y191" s="102" t="s">
        <v>5919</v>
      </c>
      <c r="Z191" s="102" t="s">
        <v>5920</v>
      </c>
      <c r="AA191" s="102" t="s">
        <v>5901</v>
      </c>
      <c r="AB191" s="102" t="s">
        <v>5901</v>
      </c>
      <c r="AC191" s="102" t="s">
        <v>5896</v>
      </c>
    </row>
    <row r="192">
      <c r="A192" s="102" t="s">
        <v>630</v>
      </c>
      <c r="B192" s="102" t="s">
        <v>1357</v>
      </c>
      <c r="C192" s="229" t="s">
        <v>1358</v>
      </c>
      <c r="D192" s="102" t="s">
        <v>1359</v>
      </c>
      <c r="E192" s="102"/>
      <c r="F192" s="102"/>
      <c r="G192" s="102" t="s">
        <v>314</v>
      </c>
      <c r="H192" s="102" t="s">
        <v>315</v>
      </c>
      <c r="I192" s="102" t="s">
        <v>284</v>
      </c>
      <c r="J192" s="102" t="s">
        <v>63</v>
      </c>
      <c r="L192" s="229" t="s">
        <v>1360</v>
      </c>
      <c r="M192" s="229" t="s">
        <v>7613</v>
      </c>
      <c r="N192" s="102"/>
      <c r="O192" s="102"/>
      <c r="U192" s="102"/>
      <c r="V192" s="230" t="str">
        <f>IF(ISNUMBER(MATCH(B192, 'Sprint 11'!B:B, 0)), "มาจาก Sprint 11", "")</f>
        <v>มาจาก Sprint 11</v>
      </c>
      <c r="W192" s="230" t="str">
        <f t="array" ref="W192">IF(ISNUMBER(MATCH(B192, 'Sprint 11'!B:B, 0)), INDEX('Sprint 11'!J:J, MATCH(B192, 'Sprint 11'!B:B, 0)), "")</f>
        <v>To Do</v>
      </c>
      <c r="X192" s="102"/>
      <c r="Y192" s="102" t="s">
        <v>1362</v>
      </c>
      <c r="Z192" s="102" t="s">
        <v>1363</v>
      </c>
      <c r="AA192" s="102" t="s">
        <v>1365</v>
      </c>
      <c r="AB192" s="102" t="s">
        <v>1365</v>
      </c>
      <c r="AC192" s="102" t="s">
        <v>1366</v>
      </c>
    </row>
    <row r="193">
      <c r="A193" s="102" t="s">
        <v>276</v>
      </c>
      <c r="B193" s="102" t="s">
        <v>7614</v>
      </c>
      <c r="C193" s="229" t="s">
        <v>7615</v>
      </c>
      <c r="D193" s="102" t="s">
        <v>7616</v>
      </c>
      <c r="E193" s="102" t="s">
        <v>391</v>
      </c>
      <c r="F193" s="102" t="s">
        <v>392</v>
      </c>
      <c r="G193" s="102" t="s">
        <v>391</v>
      </c>
      <c r="H193" s="102" t="s">
        <v>392</v>
      </c>
      <c r="I193" s="102" t="s">
        <v>284</v>
      </c>
      <c r="J193" s="102" t="s">
        <v>26</v>
      </c>
      <c r="L193" s="229" t="s">
        <v>7617</v>
      </c>
      <c r="M193" s="229" t="s">
        <v>7128</v>
      </c>
      <c r="N193" s="102"/>
      <c r="O193" s="102"/>
      <c r="U193" s="102"/>
      <c r="V193" s="230" t="str">
        <f>IF(ISNUMBER(MATCH(B193, 'Sprint 11'!B:B, 0)), "มาจาก Sprint 11", "")</f>
        <v>มาจาก Sprint 11</v>
      </c>
      <c r="W193" s="230" t="str">
        <f t="array" ref="W193">IF(ISNUMBER(MATCH(B193, 'Sprint 11'!B:B, 0)), INDEX('Sprint 11'!J:J, MATCH(B193, 'Sprint 11'!B:B, 0)), "")</f>
        <v>In Progress</v>
      </c>
      <c r="X193" s="102"/>
      <c r="Y193" s="102" t="s">
        <v>5944</v>
      </c>
      <c r="Z193" s="102" t="s">
        <v>5919</v>
      </c>
      <c r="AA193" s="102" t="s">
        <v>5920</v>
      </c>
      <c r="AB193" s="102" t="s">
        <v>5901</v>
      </c>
      <c r="AC193" s="102" t="s">
        <v>5901</v>
      </c>
      <c r="AD193" s="102" t="s">
        <v>5896</v>
      </c>
    </row>
    <row r="194">
      <c r="A194" s="102" t="s">
        <v>310</v>
      </c>
      <c r="B194" s="102" t="s">
        <v>5921</v>
      </c>
      <c r="C194" s="229" t="s">
        <v>5922</v>
      </c>
      <c r="D194" s="102" t="s">
        <v>5923</v>
      </c>
      <c r="E194" s="102" t="s">
        <v>556</v>
      </c>
      <c r="F194" s="102" t="s">
        <v>557</v>
      </c>
      <c r="G194" s="102" t="s">
        <v>353</v>
      </c>
      <c r="H194" s="102" t="s">
        <v>354</v>
      </c>
      <c r="I194" s="102" t="s">
        <v>284</v>
      </c>
      <c r="J194" s="102" t="s">
        <v>454</v>
      </c>
      <c r="L194" s="229" t="s">
        <v>5924</v>
      </c>
      <c r="M194" s="229" t="s">
        <v>7607</v>
      </c>
      <c r="N194" s="229" t="s">
        <v>5925</v>
      </c>
      <c r="O194" s="102">
        <v>1.0</v>
      </c>
      <c r="P194" s="102"/>
      <c r="S194" s="230"/>
      <c r="U194" s="102"/>
      <c r="V194" s="230" t="str">
        <f>IF(ISNUMBER(MATCH(B194, 'Sprint 11'!B:B, 0)), "มาจาก Sprint 11", "")</f>
        <v>มาจาก Sprint 11</v>
      </c>
      <c r="W194" s="230" t="str">
        <f t="array" ref="W194">IF(ISNUMBER(MATCH(B194, 'Sprint 11'!B:B, 0)), INDEX('Sprint 11'!J:J, MATCH(B194, 'Sprint 11'!B:B, 0)), "")</f>
        <v>Ready To Test</v>
      </c>
      <c r="X194" s="102"/>
      <c r="Y194" s="102" t="s">
        <v>5919</v>
      </c>
      <c r="Z194" s="102" t="s">
        <v>5920</v>
      </c>
      <c r="AA194" s="102" t="s">
        <v>5901</v>
      </c>
      <c r="AB194" s="102" t="s">
        <v>5901</v>
      </c>
      <c r="AC194" s="102" t="s">
        <v>5896</v>
      </c>
    </row>
    <row r="195">
      <c r="A195" s="102" t="s">
        <v>310</v>
      </c>
      <c r="B195" s="102" t="s">
        <v>5926</v>
      </c>
      <c r="C195" s="229" t="s">
        <v>5927</v>
      </c>
      <c r="D195" s="102" t="s">
        <v>5928</v>
      </c>
      <c r="E195" s="102" t="s">
        <v>564</v>
      </c>
      <c r="F195" s="102" t="s">
        <v>565</v>
      </c>
      <c r="G195" s="102" t="s">
        <v>353</v>
      </c>
      <c r="H195" s="102" t="s">
        <v>354</v>
      </c>
      <c r="I195" s="102" t="s">
        <v>515</v>
      </c>
      <c r="J195" s="102" t="s">
        <v>454</v>
      </c>
      <c r="L195" s="229" t="s">
        <v>5929</v>
      </c>
      <c r="M195" s="229" t="s">
        <v>7607</v>
      </c>
      <c r="N195" s="229" t="s">
        <v>5925</v>
      </c>
      <c r="O195" s="102">
        <v>3.0</v>
      </c>
      <c r="P195" s="102"/>
      <c r="S195" s="230"/>
      <c r="U195" s="102">
        <v>0.0</v>
      </c>
      <c r="V195" s="230" t="str">
        <f>IF(ISNUMBER(MATCH(B195, 'Sprint 11'!B:B, 0)), "มาจาก Sprint 11", "")</f>
        <v>มาจาก Sprint 11</v>
      </c>
      <c r="W195" s="230" t="str">
        <f t="array" ref="W195">IF(ISNUMBER(MATCH(B195, 'Sprint 11'!B:B, 0)), INDEX('Sprint 11'!J:J, MATCH(B195, 'Sprint 11'!B:B, 0)), "")</f>
        <v>Ready To Test</v>
      </c>
      <c r="X195" s="102">
        <v>28800.0</v>
      </c>
      <c r="Y195" s="102" t="s">
        <v>5919</v>
      </c>
      <c r="Z195" s="102" t="s">
        <v>5920</v>
      </c>
      <c r="AA195" s="102" t="s">
        <v>5901</v>
      </c>
      <c r="AB195" s="102" t="s">
        <v>5901</v>
      </c>
      <c r="AC195" s="102" t="s">
        <v>5896</v>
      </c>
    </row>
    <row r="196">
      <c r="A196" s="102" t="s">
        <v>310</v>
      </c>
      <c r="B196" s="102" t="s">
        <v>7618</v>
      </c>
      <c r="C196" s="229" t="s">
        <v>7619</v>
      </c>
      <c r="D196" s="102" t="s">
        <v>7620</v>
      </c>
      <c r="E196" s="102" t="s">
        <v>513</v>
      </c>
      <c r="F196" s="102" t="s">
        <v>514</v>
      </c>
      <c r="G196" s="102" t="s">
        <v>353</v>
      </c>
      <c r="H196" s="102" t="s">
        <v>354</v>
      </c>
      <c r="I196" s="102" t="s">
        <v>515</v>
      </c>
      <c r="J196" s="102" t="s">
        <v>26</v>
      </c>
      <c r="L196" s="229" t="s">
        <v>5929</v>
      </c>
      <c r="M196" s="229" t="s">
        <v>7621</v>
      </c>
      <c r="N196" s="229" t="s">
        <v>6456</v>
      </c>
      <c r="O196" s="102">
        <v>8.0</v>
      </c>
      <c r="S196" s="230"/>
      <c r="U196" s="102">
        <v>0.0</v>
      </c>
      <c r="V196" s="230" t="str">
        <f>IF(ISNUMBER(MATCH(B196, 'Sprint 11'!B:B, 0)), "มาจาก Sprint 11", "")</f>
        <v>มาจาก Sprint 11</v>
      </c>
      <c r="W196" s="230" t="str">
        <f t="array" ref="W196">IF(ISNUMBER(MATCH(B196, 'Sprint 11'!B:B, 0)), INDEX('Sprint 11'!J:J, MATCH(B196, 'Sprint 11'!B:B, 0)), "")</f>
        <v>Ready To Test</v>
      </c>
      <c r="X196" s="102">
        <v>144000.0</v>
      </c>
      <c r="Y196" s="102" t="s">
        <v>5919</v>
      </c>
      <c r="Z196" s="102" t="s">
        <v>5920</v>
      </c>
      <c r="AA196" s="102" t="s">
        <v>5901</v>
      </c>
      <c r="AB196" s="102" t="s">
        <v>5901</v>
      </c>
      <c r="AC196" s="102" t="s">
        <v>5896</v>
      </c>
    </row>
    <row r="197">
      <c r="A197" s="102" t="s">
        <v>310</v>
      </c>
      <c r="B197" s="102" t="s">
        <v>7622</v>
      </c>
      <c r="C197" s="229" t="s">
        <v>7623</v>
      </c>
      <c r="D197" s="102" t="s">
        <v>7624</v>
      </c>
      <c r="E197" s="102" t="s">
        <v>584</v>
      </c>
      <c r="F197" s="102" t="s">
        <v>585</v>
      </c>
      <c r="G197" s="102" t="s">
        <v>353</v>
      </c>
      <c r="H197" s="102" t="s">
        <v>354</v>
      </c>
      <c r="I197" s="102" t="s">
        <v>515</v>
      </c>
      <c r="J197" s="102" t="s">
        <v>26</v>
      </c>
      <c r="L197" s="229" t="s">
        <v>5929</v>
      </c>
      <c r="M197" s="229" t="s">
        <v>7621</v>
      </c>
      <c r="N197" s="229" t="s">
        <v>6456</v>
      </c>
      <c r="O197" s="102">
        <v>8.0</v>
      </c>
      <c r="S197" s="230"/>
      <c r="U197" s="102">
        <v>0.0</v>
      </c>
      <c r="V197" s="230" t="str">
        <f>IF(ISNUMBER(MATCH(B197, 'Sprint 11'!B:B, 0)), "มาจาก Sprint 11", "")</f>
        <v>มาจาก Sprint 11</v>
      </c>
      <c r="W197" s="230" t="str">
        <f t="array" ref="W197">IF(ISNUMBER(MATCH(B197, 'Sprint 11'!B:B, 0)), INDEX('Sprint 11'!J:J, MATCH(B197, 'Sprint 11'!B:B, 0)), "")</f>
        <v>Ready To Test</v>
      </c>
      <c r="X197" s="102">
        <v>57600.0</v>
      </c>
      <c r="Y197" s="102" t="s">
        <v>5919</v>
      </c>
      <c r="Z197" s="102" t="s">
        <v>5920</v>
      </c>
      <c r="AA197" s="102" t="s">
        <v>5901</v>
      </c>
      <c r="AB197" s="102" t="s">
        <v>5901</v>
      </c>
      <c r="AC197" s="102" t="s">
        <v>5896</v>
      </c>
    </row>
    <row r="198">
      <c r="A198" s="102" t="s">
        <v>310</v>
      </c>
      <c r="B198" s="102" t="s">
        <v>5930</v>
      </c>
      <c r="C198" s="229" t="s">
        <v>5931</v>
      </c>
      <c r="D198" s="102" t="s">
        <v>5932</v>
      </c>
      <c r="E198" s="102" t="s">
        <v>556</v>
      </c>
      <c r="F198" s="102" t="s">
        <v>557</v>
      </c>
      <c r="G198" s="102" t="s">
        <v>353</v>
      </c>
      <c r="H198" s="102" t="s">
        <v>354</v>
      </c>
      <c r="I198" s="102" t="s">
        <v>318</v>
      </c>
      <c r="J198" s="102" t="s">
        <v>454</v>
      </c>
      <c r="L198" s="229" t="s">
        <v>5933</v>
      </c>
      <c r="M198" s="229" t="s">
        <v>7398</v>
      </c>
      <c r="N198" s="229" t="s">
        <v>5934</v>
      </c>
      <c r="O198" s="102">
        <v>3.0</v>
      </c>
      <c r="P198" s="102" t="s">
        <v>5912</v>
      </c>
      <c r="S198" s="230"/>
      <c r="U198" s="102">
        <v>0.0</v>
      </c>
      <c r="V198" s="230" t="str">
        <f>IF(ISNUMBER(MATCH(B198, 'Sprint 11'!B:B, 0)), "มาจาก Sprint 11", "")</f>
        <v>มาจาก Sprint 11</v>
      </c>
      <c r="W198" s="230" t="str">
        <f t="array" ref="W198">IF(ISNUMBER(MATCH(B198, 'Sprint 11'!B:B, 0)), INDEX('Sprint 11'!J:J, MATCH(B198, 'Sprint 11'!B:B, 0)), "")</f>
        <v>Ready To Test</v>
      </c>
      <c r="X198" s="102">
        <v>28800.0</v>
      </c>
      <c r="Y198" s="102" t="s">
        <v>5919</v>
      </c>
      <c r="Z198" s="102" t="s">
        <v>5920</v>
      </c>
      <c r="AA198" s="102" t="s">
        <v>5901</v>
      </c>
      <c r="AB198" s="102" t="s">
        <v>5901</v>
      </c>
      <c r="AC198" s="102" t="s">
        <v>5896</v>
      </c>
    </row>
    <row r="199">
      <c r="A199" s="102" t="s">
        <v>310</v>
      </c>
      <c r="B199" s="102" t="s">
        <v>7625</v>
      </c>
      <c r="C199" s="229" t="s">
        <v>7626</v>
      </c>
      <c r="D199" s="102" t="s">
        <v>7627</v>
      </c>
      <c r="E199" s="102" t="s">
        <v>495</v>
      </c>
      <c r="F199" s="102" t="s">
        <v>496</v>
      </c>
      <c r="G199" s="102" t="s">
        <v>314</v>
      </c>
      <c r="H199" s="102" t="s">
        <v>315</v>
      </c>
      <c r="I199" s="102" t="s">
        <v>284</v>
      </c>
      <c r="J199" s="102" t="s">
        <v>26</v>
      </c>
      <c r="L199" s="229" t="s">
        <v>7628</v>
      </c>
      <c r="M199" s="229" t="s">
        <v>7629</v>
      </c>
      <c r="N199" s="102"/>
      <c r="O199" s="102">
        <v>5.0</v>
      </c>
      <c r="P199" s="102" t="s">
        <v>1305</v>
      </c>
      <c r="S199" s="230"/>
      <c r="U199" s="102">
        <v>72000.0</v>
      </c>
      <c r="V199" s="230" t="str">
        <f>IF(ISNUMBER(MATCH(B199, 'Sprint 11'!B:B, 0)), "มาจาก Sprint 11", "")</f>
        <v/>
      </c>
      <c r="W199" s="230" t="str">
        <f t="array" ref="W199">IF(ISNUMBER(MATCH(B199, 'Sprint 11'!B:B, 0)), INDEX('Sprint 11'!J:J, MATCH(B199, 'Sprint 11'!B:B, 0)), "")</f>
        <v/>
      </c>
      <c r="X199" s="102"/>
      <c r="Y199" s="102" t="s">
        <v>1366</v>
      </c>
      <c r="Z199" s="102"/>
      <c r="AA199" s="102"/>
      <c r="AB199" s="102"/>
      <c r="AC199" s="102"/>
    </row>
    <row r="200">
      <c r="A200" s="102" t="s">
        <v>310</v>
      </c>
      <c r="B200" s="102" t="s">
        <v>7630</v>
      </c>
      <c r="C200" s="229" t="s">
        <v>7631</v>
      </c>
      <c r="D200" s="102" t="s">
        <v>7632</v>
      </c>
      <c r="E200" s="102" t="s">
        <v>513</v>
      </c>
      <c r="F200" s="102" t="s">
        <v>514</v>
      </c>
      <c r="G200" s="102" t="s">
        <v>353</v>
      </c>
      <c r="H200" s="102" t="s">
        <v>354</v>
      </c>
      <c r="I200" s="102" t="s">
        <v>318</v>
      </c>
      <c r="J200" s="102" t="s">
        <v>26</v>
      </c>
      <c r="L200" s="229" t="s">
        <v>7633</v>
      </c>
      <c r="M200" s="229" t="s">
        <v>7634</v>
      </c>
      <c r="O200" s="102">
        <v>1.0</v>
      </c>
      <c r="S200" s="230"/>
      <c r="U200" s="102">
        <v>0.0</v>
      </c>
      <c r="V200" s="230" t="str">
        <f>IF(ISNUMBER(MATCH(B200, 'Sprint 11'!B:B, 0)), "มาจาก Sprint 11", "")</f>
        <v>มาจาก Sprint 11</v>
      </c>
      <c r="W200" s="230" t="str">
        <f t="array" ref="W200">IF(ISNUMBER(MATCH(B200, 'Sprint 11'!B:B, 0)), INDEX('Sprint 11'!J:J, MATCH(B200, 'Sprint 11'!B:B, 0)), "")</f>
        <v>Ready To Test</v>
      </c>
      <c r="X200" s="102">
        <v>7200.0</v>
      </c>
      <c r="Y200" s="102" t="s">
        <v>5919</v>
      </c>
      <c r="Z200" s="102" t="s">
        <v>5920</v>
      </c>
      <c r="AA200" s="102" t="s">
        <v>5901</v>
      </c>
      <c r="AB200" s="102" t="s">
        <v>5901</v>
      </c>
      <c r="AC200" s="102" t="s">
        <v>5896</v>
      </c>
      <c r="AD200" s="102"/>
    </row>
    <row r="201">
      <c r="A201" s="102" t="s">
        <v>310</v>
      </c>
      <c r="B201" s="102" t="s">
        <v>6451</v>
      </c>
      <c r="C201" s="229" t="s">
        <v>6452</v>
      </c>
      <c r="D201" s="102" t="s">
        <v>6453</v>
      </c>
      <c r="E201" s="102" t="s">
        <v>556</v>
      </c>
      <c r="F201" s="102" t="s">
        <v>557</v>
      </c>
      <c r="G201" s="102" t="s">
        <v>353</v>
      </c>
      <c r="H201" s="102" t="s">
        <v>354</v>
      </c>
      <c r="I201" s="102" t="s">
        <v>515</v>
      </c>
      <c r="J201" s="102" t="s">
        <v>454</v>
      </c>
      <c r="L201" s="229" t="s">
        <v>6454</v>
      </c>
      <c r="M201" s="229" t="s">
        <v>7635</v>
      </c>
      <c r="N201" s="229" t="s">
        <v>6456</v>
      </c>
      <c r="O201" s="102">
        <v>5.0</v>
      </c>
      <c r="S201" s="230"/>
      <c r="U201" s="102">
        <v>0.0</v>
      </c>
      <c r="V201" s="230" t="str">
        <f>IF(ISNUMBER(MATCH(B201, 'Sprint 11'!B:B, 0)), "มาจาก Sprint 11", "")</f>
        <v>มาจาก Sprint 11</v>
      </c>
      <c r="W201" s="230" t="str">
        <f t="array" ref="W201">IF(ISNUMBER(MATCH(B201, 'Sprint 11'!B:B, 0)), INDEX('Sprint 11'!J:J, MATCH(B201, 'Sprint 11'!B:B, 0)), "")</f>
        <v>Ready To Test</v>
      </c>
      <c r="X201" s="102">
        <v>57600.0</v>
      </c>
      <c r="Y201" s="102" t="s">
        <v>5919</v>
      </c>
      <c r="Z201" s="102" t="s">
        <v>5920</v>
      </c>
      <c r="AA201" s="102" t="s">
        <v>5901</v>
      </c>
      <c r="AB201" s="102" t="s">
        <v>5901</v>
      </c>
      <c r="AC201" s="102" t="s">
        <v>5896</v>
      </c>
      <c r="AD201" s="102"/>
    </row>
    <row r="202">
      <c r="A202" s="102" t="s">
        <v>310</v>
      </c>
      <c r="B202" s="102" t="s">
        <v>6457</v>
      </c>
      <c r="C202" s="229" t="s">
        <v>6458</v>
      </c>
      <c r="D202" s="102" t="s">
        <v>6459</v>
      </c>
      <c r="E202" s="102" t="s">
        <v>564</v>
      </c>
      <c r="F202" s="102" t="s">
        <v>565</v>
      </c>
      <c r="G202" s="102" t="s">
        <v>353</v>
      </c>
      <c r="H202" s="102" t="s">
        <v>354</v>
      </c>
      <c r="I202" s="102" t="s">
        <v>515</v>
      </c>
      <c r="J202" s="102" t="s">
        <v>454</v>
      </c>
      <c r="L202" s="229" t="s">
        <v>6460</v>
      </c>
      <c r="M202" s="229" t="s">
        <v>7635</v>
      </c>
      <c r="N202" s="229" t="s">
        <v>6456</v>
      </c>
      <c r="O202" s="102">
        <v>2.0</v>
      </c>
      <c r="S202" s="230"/>
      <c r="U202" s="102">
        <v>0.0</v>
      </c>
      <c r="V202" s="230" t="str">
        <f>IF(ISNUMBER(MATCH(B202, 'Sprint 11'!B:B, 0)), "มาจาก Sprint 11", "")</f>
        <v>มาจาก Sprint 11</v>
      </c>
      <c r="W202" s="230" t="str">
        <f t="array" ref="W202">IF(ISNUMBER(MATCH(B202, 'Sprint 11'!B:B, 0)), INDEX('Sprint 11'!J:J, MATCH(B202, 'Sprint 11'!B:B, 0)), "")</f>
        <v>Ready To Test</v>
      </c>
      <c r="X202" s="102">
        <v>7200.0</v>
      </c>
      <c r="Y202" s="102" t="s">
        <v>5919</v>
      </c>
      <c r="Z202" s="102" t="s">
        <v>5920</v>
      </c>
      <c r="AA202" s="102" t="s">
        <v>5901</v>
      </c>
      <c r="AB202" s="102" t="s">
        <v>5901</v>
      </c>
      <c r="AC202" s="102" t="s">
        <v>5896</v>
      </c>
      <c r="AD202" s="102"/>
    </row>
    <row r="203">
      <c r="A203" s="102" t="s">
        <v>310</v>
      </c>
      <c r="B203" s="102" t="s">
        <v>7636</v>
      </c>
      <c r="C203" s="229" t="s">
        <v>7637</v>
      </c>
      <c r="D203" s="102" t="s">
        <v>7638</v>
      </c>
      <c r="E203" s="102" t="s">
        <v>564</v>
      </c>
      <c r="F203" s="102" t="s">
        <v>565</v>
      </c>
      <c r="G203" s="102" t="s">
        <v>353</v>
      </c>
      <c r="H203" s="102" t="s">
        <v>354</v>
      </c>
      <c r="I203" s="102" t="s">
        <v>515</v>
      </c>
      <c r="J203" s="102" t="s">
        <v>26</v>
      </c>
      <c r="L203" s="229" t="s">
        <v>7639</v>
      </c>
      <c r="M203" s="229" t="s">
        <v>7097</v>
      </c>
      <c r="N203" s="229" t="s">
        <v>6456</v>
      </c>
      <c r="O203" s="102">
        <v>5.0</v>
      </c>
      <c r="S203" s="230"/>
      <c r="U203" s="102">
        <v>0.0</v>
      </c>
      <c r="V203" s="230" t="str">
        <f>IF(ISNUMBER(MATCH(B203, 'Sprint 11'!B:B, 0)), "มาจาก Sprint 11", "")</f>
        <v>มาจาก Sprint 11</v>
      </c>
      <c r="W203" s="230" t="str">
        <f t="array" ref="W203">IF(ISNUMBER(MATCH(B203, 'Sprint 11'!B:B, 0)), INDEX('Sprint 11'!J:J, MATCH(B203, 'Sprint 11'!B:B, 0)), "")</f>
        <v>Ready To Test</v>
      </c>
      <c r="X203" s="102">
        <v>57600.0</v>
      </c>
      <c r="Y203" s="102" t="s">
        <v>5919</v>
      </c>
      <c r="Z203" s="102" t="s">
        <v>5920</v>
      </c>
      <c r="AA203" s="102" t="s">
        <v>5901</v>
      </c>
      <c r="AB203" s="102" t="s">
        <v>5901</v>
      </c>
      <c r="AC203" s="102" t="s">
        <v>5896</v>
      </c>
      <c r="AD203" s="102"/>
    </row>
    <row r="204">
      <c r="A204" s="102" t="s">
        <v>276</v>
      </c>
      <c r="B204" s="102" t="s">
        <v>7640</v>
      </c>
      <c r="C204" s="229" t="s">
        <v>7641</v>
      </c>
      <c r="D204" s="102" t="s">
        <v>7642</v>
      </c>
      <c r="E204" s="102" t="s">
        <v>391</v>
      </c>
      <c r="F204" s="102" t="s">
        <v>392</v>
      </c>
      <c r="G204" s="102" t="s">
        <v>391</v>
      </c>
      <c r="H204" s="102" t="s">
        <v>392</v>
      </c>
      <c r="I204" s="102" t="s">
        <v>284</v>
      </c>
      <c r="J204" s="102" t="s">
        <v>26</v>
      </c>
      <c r="L204" s="229" t="s">
        <v>7643</v>
      </c>
      <c r="M204" s="229" t="s">
        <v>7113</v>
      </c>
      <c r="O204" s="230"/>
      <c r="S204" s="230"/>
      <c r="U204" s="230"/>
      <c r="V204" s="230" t="str">
        <f>IF(ISNUMBER(MATCH(B204, 'Sprint 11'!B:B, 0)), "มาจาก Sprint 11", "")</f>
        <v>มาจาก Sprint 11</v>
      </c>
      <c r="W204" s="230" t="str">
        <f t="array" ref="W204">IF(ISNUMBER(MATCH(B204, 'Sprint 11'!B:B, 0)), INDEX('Sprint 11'!J:J, MATCH(B204, 'Sprint 11'!B:B, 0)), "")</f>
        <v>In Progress</v>
      </c>
      <c r="X204" s="230"/>
      <c r="Y204" s="102" t="s">
        <v>5944</v>
      </c>
      <c r="Z204" s="102" t="s">
        <v>5919</v>
      </c>
      <c r="AA204" s="102" t="s">
        <v>5920</v>
      </c>
      <c r="AB204" s="102" t="s">
        <v>5901</v>
      </c>
      <c r="AC204" s="102" t="s">
        <v>5901</v>
      </c>
      <c r="AD204" s="102" t="s">
        <v>5896</v>
      </c>
    </row>
    <row r="205">
      <c r="A205" s="102" t="s">
        <v>276</v>
      </c>
      <c r="B205" s="102" t="s">
        <v>7644</v>
      </c>
      <c r="C205" s="229" t="s">
        <v>7645</v>
      </c>
      <c r="D205" s="102" t="s">
        <v>7646</v>
      </c>
      <c r="E205" s="102" t="s">
        <v>391</v>
      </c>
      <c r="F205" s="102" t="s">
        <v>392</v>
      </c>
      <c r="G205" s="102" t="s">
        <v>391</v>
      </c>
      <c r="H205" s="102" t="s">
        <v>392</v>
      </c>
      <c r="I205" s="102" t="s">
        <v>284</v>
      </c>
      <c r="J205" s="102" t="s">
        <v>34</v>
      </c>
      <c r="L205" s="229" t="s">
        <v>7643</v>
      </c>
      <c r="M205" s="229" t="s">
        <v>7647</v>
      </c>
      <c r="O205" s="230"/>
      <c r="S205" s="230"/>
      <c r="U205" s="230"/>
      <c r="V205" s="230" t="str">
        <f>IF(ISNUMBER(MATCH(B205, 'Sprint 11'!B:B, 0)), "มาจาก Sprint 11", "")</f>
        <v>มาจาก Sprint 11</v>
      </c>
      <c r="W205" s="230" t="str">
        <f t="array" ref="W205">IF(ISNUMBER(MATCH(B205, 'Sprint 11'!B:B, 0)), INDEX('Sprint 11'!J:J, MATCH(B205, 'Sprint 11'!B:B, 0)), "")</f>
        <v>In Progress</v>
      </c>
      <c r="X205" s="230"/>
      <c r="Y205" s="102" t="s">
        <v>5944</v>
      </c>
      <c r="Z205" s="102" t="s">
        <v>5919</v>
      </c>
      <c r="AA205" s="102" t="s">
        <v>5920</v>
      </c>
      <c r="AB205" s="102" t="s">
        <v>5901</v>
      </c>
      <c r="AC205" s="102" t="s">
        <v>5901</v>
      </c>
      <c r="AD205" s="102" t="s">
        <v>5896</v>
      </c>
    </row>
    <row r="206">
      <c r="A206" s="102" t="s">
        <v>276</v>
      </c>
      <c r="B206" s="102" t="s">
        <v>7648</v>
      </c>
      <c r="C206" s="229" t="s">
        <v>7649</v>
      </c>
      <c r="D206" s="102" t="s">
        <v>7650</v>
      </c>
      <c r="E206" s="102" t="s">
        <v>391</v>
      </c>
      <c r="F206" s="102" t="s">
        <v>392</v>
      </c>
      <c r="G206" s="102" t="s">
        <v>391</v>
      </c>
      <c r="H206" s="102" t="s">
        <v>392</v>
      </c>
      <c r="I206" s="102" t="s">
        <v>284</v>
      </c>
      <c r="J206" s="102" t="s">
        <v>26</v>
      </c>
      <c r="L206" s="229" t="s">
        <v>7643</v>
      </c>
      <c r="M206" s="229" t="s">
        <v>7106</v>
      </c>
      <c r="O206" s="230"/>
      <c r="S206" s="230"/>
      <c r="U206" s="230"/>
      <c r="V206" s="230" t="str">
        <f>IF(ISNUMBER(MATCH(B206, 'Sprint 11'!B:B, 0)), "มาจาก Sprint 11", "")</f>
        <v>มาจาก Sprint 11</v>
      </c>
      <c r="W206" s="230" t="str">
        <f t="array" ref="W206">IF(ISNUMBER(MATCH(B206, 'Sprint 11'!B:B, 0)), INDEX('Sprint 11'!J:J, MATCH(B206, 'Sprint 11'!B:B, 0)), "")</f>
        <v>In Progress</v>
      </c>
      <c r="X206" s="230"/>
      <c r="Y206" s="102" t="s">
        <v>5944</v>
      </c>
      <c r="Z206" s="102" t="s">
        <v>5919</v>
      </c>
      <c r="AA206" s="102" t="s">
        <v>5920</v>
      </c>
      <c r="AB206" s="102" t="s">
        <v>5901</v>
      </c>
      <c r="AC206" s="102" t="s">
        <v>5901</v>
      </c>
      <c r="AD206" s="102" t="s">
        <v>5896</v>
      </c>
    </row>
    <row r="207">
      <c r="A207" s="102" t="s">
        <v>276</v>
      </c>
      <c r="B207" s="102" t="s">
        <v>7651</v>
      </c>
      <c r="C207" s="229" t="s">
        <v>7652</v>
      </c>
      <c r="D207" s="102" t="s">
        <v>7653</v>
      </c>
      <c r="E207" s="102" t="s">
        <v>391</v>
      </c>
      <c r="F207" s="102" t="s">
        <v>392</v>
      </c>
      <c r="G207" s="102" t="s">
        <v>391</v>
      </c>
      <c r="H207" s="102" t="s">
        <v>392</v>
      </c>
      <c r="I207" s="102" t="s">
        <v>284</v>
      </c>
      <c r="J207" s="102" t="s">
        <v>26</v>
      </c>
      <c r="L207" s="229" t="s">
        <v>7654</v>
      </c>
      <c r="M207" s="229" t="s">
        <v>7655</v>
      </c>
      <c r="O207" s="230"/>
      <c r="S207" s="230"/>
      <c r="U207" s="230"/>
      <c r="V207" s="230" t="str">
        <f>IF(ISNUMBER(MATCH(B207, 'Sprint 11'!B:B, 0)), "มาจาก Sprint 11", "")</f>
        <v>มาจาก Sprint 11</v>
      </c>
      <c r="W207" s="230" t="str">
        <f t="array" ref="W207">IF(ISNUMBER(MATCH(B207, 'Sprint 11'!B:B, 0)), INDEX('Sprint 11'!J:J, MATCH(B207, 'Sprint 11'!B:B, 0)), "")</f>
        <v>To Do</v>
      </c>
      <c r="X207" s="230"/>
      <c r="Y207" s="102" t="s">
        <v>5944</v>
      </c>
      <c r="Z207" s="102" t="s">
        <v>5919</v>
      </c>
      <c r="AA207" s="102" t="s">
        <v>5920</v>
      </c>
      <c r="AB207" s="102" t="s">
        <v>5901</v>
      </c>
      <c r="AC207" s="102" t="s">
        <v>5901</v>
      </c>
      <c r="AD207" s="102" t="s">
        <v>5896</v>
      </c>
    </row>
    <row r="208">
      <c r="A208" s="102" t="s">
        <v>276</v>
      </c>
      <c r="B208" s="102" t="s">
        <v>7656</v>
      </c>
      <c r="C208" s="229" t="s">
        <v>7657</v>
      </c>
      <c r="D208" s="102" t="s">
        <v>7658</v>
      </c>
      <c r="E208" s="102" t="s">
        <v>391</v>
      </c>
      <c r="F208" s="102" t="s">
        <v>392</v>
      </c>
      <c r="G208" s="102" t="s">
        <v>391</v>
      </c>
      <c r="H208" s="102" t="s">
        <v>392</v>
      </c>
      <c r="I208" s="102" t="s">
        <v>284</v>
      </c>
      <c r="J208" s="102" t="s">
        <v>26</v>
      </c>
      <c r="L208" s="229" t="s">
        <v>7654</v>
      </c>
      <c r="M208" s="229" t="s">
        <v>7655</v>
      </c>
      <c r="O208" s="230"/>
      <c r="S208" s="230"/>
      <c r="U208" s="230"/>
      <c r="V208" s="230" t="str">
        <f>IF(ISNUMBER(MATCH(B208, 'Sprint 11'!B:B, 0)), "มาจาก Sprint 11", "")</f>
        <v>มาจาก Sprint 11</v>
      </c>
      <c r="W208" s="230" t="str">
        <f t="array" ref="W208">IF(ISNUMBER(MATCH(B208, 'Sprint 11'!B:B, 0)), INDEX('Sprint 11'!J:J, MATCH(B208, 'Sprint 11'!B:B, 0)), "")</f>
        <v>In Progress</v>
      </c>
      <c r="X208" s="230"/>
      <c r="Y208" s="102" t="s">
        <v>5944</v>
      </c>
      <c r="Z208" s="102" t="s">
        <v>5919</v>
      </c>
      <c r="AA208" s="102" t="s">
        <v>5920</v>
      </c>
      <c r="AB208" s="102" t="s">
        <v>5901</v>
      </c>
      <c r="AC208" s="102" t="s">
        <v>5901</v>
      </c>
      <c r="AD208" s="102" t="s">
        <v>5896</v>
      </c>
    </row>
    <row r="209">
      <c r="A209" s="102" t="s">
        <v>276</v>
      </c>
      <c r="B209" s="102" t="s">
        <v>7659</v>
      </c>
      <c r="C209" s="229" t="s">
        <v>7660</v>
      </c>
      <c r="D209" s="102" t="s">
        <v>7661</v>
      </c>
      <c r="E209" s="102" t="s">
        <v>391</v>
      </c>
      <c r="F209" s="102" t="s">
        <v>392</v>
      </c>
      <c r="G209" s="102" t="s">
        <v>391</v>
      </c>
      <c r="H209" s="102" t="s">
        <v>392</v>
      </c>
      <c r="I209" s="102" t="s">
        <v>284</v>
      </c>
      <c r="J209" s="102" t="s">
        <v>26</v>
      </c>
      <c r="L209" s="229" t="s">
        <v>7654</v>
      </c>
      <c r="M209" s="229" t="s">
        <v>7106</v>
      </c>
      <c r="O209" s="230"/>
      <c r="S209" s="230"/>
      <c r="U209" s="230"/>
      <c r="V209" s="230" t="str">
        <f>IF(ISNUMBER(MATCH(B209, 'Sprint 11'!B:B, 0)), "มาจาก Sprint 11", "")</f>
        <v>มาจาก Sprint 11</v>
      </c>
      <c r="W209" s="230" t="str">
        <f t="array" ref="W209">IF(ISNUMBER(MATCH(B209, 'Sprint 11'!B:B, 0)), INDEX('Sprint 11'!J:J, MATCH(B209, 'Sprint 11'!B:B, 0)), "")</f>
        <v>In Progress</v>
      </c>
      <c r="X209" s="230"/>
      <c r="Y209" s="102" t="s">
        <v>5944</v>
      </c>
      <c r="Z209" s="102" t="s">
        <v>5919</v>
      </c>
      <c r="AA209" s="102" t="s">
        <v>5920</v>
      </c>
      <c r="AB209" s="102" t="s">
        <v>5901</v>
      </c>
      <c r="AC209" s="102" t="s">
        <v>5901</v>
      </c>
      <c r="AD209" s="102" t="s">
        <v>5896</v>
      </c>
    </row>
    <row r="210">
      <c r="A210" s="102" t="s">
        <v>276</v>
      </c>
      <c r="B210" s="102" t="s">
        <v>7662</v>
      </c>
      <c r="C210" s="229" t="s">
        <v>7663</v>
      </c>
      <c r="D210" s="102" t="s">
        <v>7664</v>
      </c>
      <c r="E210" s="102" t="s">
        <v>391</v>
      </c>
      <c r="F210" s="102" t="s">
        <v>392</v>
      </c>
      <c r="G210" s="102" t="s">
        <v>391</v>
      </c>
      <c r="H210" s="102" t="s">
        <v>392</v>
      </c>
      <c r="I210" s="102" t="s">
        <v>284</v>
      </c>
      <c r="J210" s="102" t="s">
        <v>26</v>
      </c>
      <c r="L210" s="229" t="s">
        <v>7654</v>
      </c>
      <c r="M210" s="229" t="s">
        <v>7665</v>
      </c>
      <c r="O210" s="230"/>
      <c r="S210" s="230"/>
      <c r="U210" s="230"/>
      <c r="V210" s="230" t="str">
        <f>IF(ISNUMBER(MATCH(B210, 'Sprint 11'!B:B, 0)), "มาจาก Sprint 11", "")</f>
        <v>มาจาก Sprint 11</v>
      </c>
      <c r="W210" s="230" t="str">
        <f t="array" ref="W210">IF(ISNUMBER(MATCH(B210, 'Sprint 11'!B:B, 0)), INDEX('Sprint 11'!J:J, MATCH(B210, 'Sprint 11'!B:B, 0)), "")</f>
        <v>In Progress</v>
      </c>
      <c r="X210" s="230"/>
      <c r="Y210" s="102" t="s">
        <v>5944</v>
      </c>
      <c r="Z210" s="102" t="s">
        <v>5919</v>
      </c>
      <c r="AA210" s="102" t="s">
        <v>5920</v>
      </c>
      <c r="AB210" s="102" t="s">
        <v>5901</v>
      </c>
      <c r="AC210" s="102" t="s">
        <v>5901</v>
      </c>
      <c r="AD210" s="102" t="s">
        <v>5896</v>
      </c>
    </row>
    <row r="211">
      <c r="A211" s="102" t="s">
        <v>276</v>
      </c>
      <c r="B211" s="102" t="s">
        <v>7666</v>
      </c>
      <c r="C211" s="229" t="s">
        <v>7667</v>
      </c>
      <c r="D211" s="102" t="s">
        <v>7668</v>
      </c>
      <c r="E211" s="102" t="s">
        <v>391</v>
      </c>
      <c r="F211" s="102" t="s">
        <v>392</v>
      </c>
      <c r="G211" s="102" t="s">
        <v>391</v>
      </c>
      <c r="H211" s="102" t="s">
        <v>392</v>
      </c>
      <c r="I211" s="102" t="s">
        <v>284</v>
      </c>
      <c r="J211" s="102" t="s">
        <v>26</v>
      </c>
      <c r="L211" s="229" t="s">
        <v>7669</v>
      </c>
      <c r="M211" s="229" t="s">
        <v>7117</v>
      </c>
      <c r="O211" s="230"/>
      <c r="S211" s="230"/>
      <c r="U211" s="230"/>
      <c r="V211" s="230" t="str">
        <f>IF(ISNUMBER(MATCH(B211, 'Sprint 11'!B:B, 0)), "มาจาก Sprint 11", "")</f>
        <v>มาจาก Sprint 11</v>
      </c>
      <c r="W211" s="230" t="str">
        <f t="array" ref="W211">IF(ISNUMBER(MATCH(B211, 'Sprint 11'!B:B, 0)), INDEX('Sprint 11'!J:J, MATCH(B211, 'Sprint 11'!B:B, 0)), "")</f>
        <v>In Progress</v>
      </c>
      <c r="X211" s="230"/>
      <c r="Y211" s="102" t="s">
        <v>5944</v>
      </c>
      <c r="Z211" s="102" t="s">
        <v>5919</v>
      </c>
      <c r="AA211" s="102" t="s">
        <v>5920</v>
      </c>
      <c r="AB211" s="102" t="s">
        <v>5901</v>
      </c>
      <c r="AC211" s="102" t="s">
        <v>5901</v>
      </c>
      <c r="AD211" s="102" t="s">
        <v>5896</v>
      </c>
    </row>
    <row r="212">
      <c r="A212" s="102" t="s">
        <v>276</v>
      </c>
      <c r="B212" s="102" t="s">
        <v>7670</v>
      </c>
      <c r="C212" s="229" t="s">
        <v>7671</v>
      </c>
      <c r="D212" s="102" t="s">
        <v>7672</v>
      </c>
      <c r="E212" s="102" t="s">
        <v>391</v>
      </c>
      <c r="F212" s="102" t="s">
        <v>392</v>
      </c>
      <c r="G212" s="102" t="s">
        <v>391</v>
      </c>
      <c r="H212" s="102" t="s">
        <v>392</v>
      </c>
      <c r="I212" s="102" t="s">
        <v>284</v>
      </c>
      <c r="J212" s="102" t="s">
        <v>26</v>
      </c>
      <c r="L212" s="229" t="s">
        <v>7669</v>
      </c>
      <c r="M212" s="229" t="s">
        <v>7665</v>
      </c>
      <c r="O212" s="230"/>
      <c r="S212" s="230"/>
      <c r="U212" s="230"/>
      <c r="V212" s="230" t="str">
        <f>IF(ISNUMBER(MATCH(B212, 'Sprint 11'!B:B, 0)), "มาจาก Sprint 11", "")</f>
        <v>มาจาก Sprint 11</v>
      </c>
      <c r="W212" s="230" t="str">
        <f t="array" ref="W212">IF(ISNUMBER(MATCH(B212, 'Sprint 11'!B:B, 0)), INDEX('Sprint 11'!J:J, MATCH(B212, 'Sprint 11'!B:B, 0)), "")</f>
        <v>In Progress</v>
      </c>
      <c r="X212" s="230"/>
      <c r="Y212" s="102" t="s">
        <v>5944</v>
      </c>
      <c r="Z212" s="102" t="s">
        <v>5919</v>
      </c>
      <c r="AA212" s="102" t="s">
        <v>5920</v>
      </c>
      <c r="AB212" s="102" t="s">
        <v>5901</v>
      </c>
      <c r="AC212" s="102" t="s">
        <v>5901</v>
      </c>
      <c r="AD212" s="102" t="s">
        <v>5896</v>
      </c>
    </row>
    <row r="213">
      <c r="A213" s="102" t="s">
        <v>276</v>
      </c>
      <c r="B213" s="102" t="s">
        <v>7673</v>
      </c>
      <c r="C213" s="229" t="s">
        <v>7674</v>
      </c>
      <c r="D213" s="102" t="s">
        <v>7675</v>
      </c>
      <c r="E213" s="102" t="s">
        <v>391</v>
      </c>
      <c r="F213" s="102" t="s">
        <v>392</v>
      </c>
      <c r="G213" s="102" t="s">
        <v>391</v>
      </c>
      <c r="H213" s="102" t="s">
        <v>392</v>
      </c>
      <c r="I213" s="102" t="s">
        <v>284</v>
      </c>
      <c r="J213" s="102" t="s">
        <v>26</v>
      </c>
      <c r="L213" s="229" t="s">
        <v>7676</v>
      </c>
      <c r="M213" s="229" t="s">
        <v>7117</v>
      </c>
      <c r="O213" s="230"/>
      <c r="S213" s="230"/>
      <c r="U213" s="230"/>
      <c r="V213" s="230" t="str">
        <f>IF(ISNUMBER(MATCH(B213, 'Sprint 11'!B:B, 0)), "มาจาก Sprint 11", "")</f>
        <v>มาจาก Sprint 11</v>
      </c>
      <c r="W213" s="230" t="str">
        <f t="array" ref="W213">IF(ISNUMBER(MATCH(B213, 'Sprint 11'!B:B, 0)), INDEX('Sprint 11'!J:J, MATCH(B213, 'Sprint 11'!B:B, 0)), "")</f>
        <v>In Progress</v>
      </c>
      <c r="X213" s="230"/>
      <c r="Y213" s="102" t="s">
        <v>5944</v>
      </c>
      <c r="Z213" s="102" t="s">
        <v>5919</v>
      </c>
      <c r="AA213" s="102" t="s">
        <v>5920</v>
      </c>
      <c r="AB213" s="102" t="s">
        <v>5901</v>
      </c>
      <c r="AC213" s="102" t="s">
        <v>5901</v>
      </c>
      <c r="AD213" s="102" t="s">
        <v>5896</v>
      </c>
    </row>
    <row r="214">
      <c r="A214" s="102" t="s">
        <v>276</v>
      </c>
      <c r="B214" s="102" t="s">
        <v>7677</v>
      </c>
      <c r="C214" s="229" t="s">
        <v>7678</v>
      </c>
      <c r="D214" s="102" t="s">
        <v>7679</v>
      </c>
      <c r="E214" s="102" t="s">
        <v>391</v>
      </c>
      <c r="F214" s="102" t="s">
        <v>392</v>
      </c>
      <c r="G214" s="102" t="s">
        <v>391</v>
      </c>
      <c r="H214" s="102" t="s">
        <v>392</v>
      </c>
      <c r="I214" s="102" t="s">
        <v>284</v>
      </c>
      <c r="J214" s="102" t="s">
        <v>26</v>
      </c>
      <c r="L214" s="229" t="s">
        <v>7676</v>
      </c>
      <c r="M214" s="229" t="s">
        <v>7124</v>
      </c>
      <c r="O214" s="230"/>
      <c r="S214" s="230"/>
      <c r="U214" s="230"/>
      <c r="V214" s="230" t="str">
        <f>IF(ISNUMBER(MATCH(B214, 'Sprint 11'!B:B, 0)), "มาจาก Sprint 11", "")</f>
        <v>มาจาก Sprint 11</v>
      </c>
      <c r="W214" s="230" t="str">
        <f t="array" ref="W214">IF(ISNUMBER(MATCH(B214, 'Sprint 11'!B:B, 0)), INDEX('Sprint 11'!J:J, MATCH(B214, 'Sprint 11'!B:B, 0)), "")</f>
        <v>In Progress</v>
      </c>
      <c r="X214" s="230"/>
      <c r="Y214" s="102" t="s">
        <v>5944</v>
      </c>
      <c r="Z214" s="102" t="s">
        <v>5919</v>
      </c>
      <c r="AA214" s="102" t="s">
        <v>5920</v>
      </c>
      <c r="AB214" s="102" t="s">
        <v>5901</v>
      </c>
      <c r="AC214" s="102" t="s">
        <v>5901</v>
      </c>
      <c r="AD214" s="102" t="s">
        <v>5896</v>
      </c>
      <c r="AE214" s="102"/>
      <c r="AF214" s="102"/>
    </row>
    <row r="215">
      <c r="A215" s="102" t="s">
        <v>276</v>
      </c>
      <c r="B215" s="102" t="s">
        <v>7680</v>
      </c>
      <c r="C215" s="229" t="s">
        <v>7681</v>
      </c>
      <c r="D215" s="102" t="s">
        <v>7682</v>
      </c>
      <c r="E215" s="102" t="s">
        <v>391</v>
      </c>
      <c r="F215" s="102" t="s">
        <v>392</v>
      </c>
      <c r="G215" s="102" t="s">
        <v>391</v>
      </c>
      <c r="H215" s="102" t="s">
        <v>392</v>
      </c>
      <c r="I215" s="102" t="s">
        <v>284</v>
      </c>
      <c r="J215" s="102" t="s">
        <v>26</v>
      </c>
      <c r="L215" s="229" t="s">
        <v>7683</v>
      </c>
      <c r="M215" s="229" t="s">
        <v>7128</v>
      </c>
      <c r="O215" s="230"/>
      <c r="S215" s="230"/>
      <c r="U215" s="230"/>
      <c r="V215" s="230" t="str">
        <f>IF(ISNUMBER(MATCH(B215, 'Sprint 11'!B:B, 0)), "มาจาก Sprint 11", "")</f>
        <v>มาจาก Sprint 11</v>
      </c>
      <c r="W215" s="230" t="str">
        <f t="array" ref="W215">IF(ISNUMBER(MATCH(B215, 'Sprint 11'!B:B, 0)), INDEX('Sprint 11'!J:J, MATCH(B215, 'Sprint 11'!B:B, 0)), "")</f>
        <v>In Progress</v>
      </c>
      <c r="X215" s="230"/>
      <c r="Y215" s="102" t="s">
        <v>5944</v>
      </c>
      <c r="Z215" s="102" t="s">
        <v>5919</v>
      </c>
      <c r="AA215" s="102" t="s">
        <v>5920</v>
      </c>
      <c r="AB215" s="102" t="s">
        <v>5901</v>
      </c>
      <c r="AC215" s="102" t="s">
        <v>5901</v>
      </c>
      <c r="AD215" s="102" t="s">
        <v>5896</v>
      </c>
    </row>
    <row r="216">
      <c r="A216" s="102" t="s">
        <v>276</v>
      </c>
      <c r="B216" s="102" t="s">
        <v>7684</v>
      </c>
      <c r="C216" s="229" t="s">
        <v>7685</v>
      </c>
      <c r="D216" s="102" t="s">
        <v>7686</v>
      </c>
      <c r="E216" s="102" t="s">
        <v>391</v>
      </c>
      <c r="F216" s="102" t="s">
        <v>392</v>
      </c>
      <c r="G216" s="102" t="s">
        <v>391</v>
      </c>
      <c r="H216" s="102" t="s">
        <v>392</v>
      </c>
      <c r="I216" s="102" t="s">
        <v>284</v>
      </c>
      <c r="J216" s="102" t="s">
        <v>26</v>
      </c>
      <c r="L216" s="229" t="s">
        <v>7683</v>
      </c>
      <c r="M216" s="229" t="s">
        <v>7135</v>
      </c>
      <c r="O216" s="230"/>
      <c r="S216" s="230"/>
      <c r="U216" s="230"/>
      <c r="V216" s="230" t="str">
        <f>IF(ISNUMBER(MATCH(B216, 'Sprint 11'!B:B, 0)), "มาจาก Sprint 11", "")</f>
        <v>มาจาก Sprint 11</v>
      </c>
      <c r="W216" s="230" t="str">
        <f t="array" ref="W216">IF(ISNUMBER(MATCH(B216, 'Sprint 11'!B:B, 0)), INDEX('Sprint 11'!J:J, MATCH(B216, 'Sprint 11'!B:B, 0)), "")</f>
        <v>In Progress</v>
      </c>
      <c r="X216" s="230"/>
      <c r="Y216" s="102" t="s">
        <v>5944</v>
      </c>
      <c r="Z216" s="102" t="s">
        <v>5919</v>
      </c>
      <c r="AA216" s="102" t="s">
        <v>5920</v>
      </c>
      <c r="AB216" s="102" t="s">
        <v>5901</v>
      </c>
      <c r="AC216" s="102" t="s">
        <v>5901</v>
      </c>
      <c r="AD216" s="102" t="s">
        <v>5896</v>
      </c>
    </row>
    <row r="217">
      <c r="A217" s="102" t="s">
        <v>276</v>
      </c>
      <c r="B217" s="102" t="s">
        <v>7687</v>
      </c>
      <c r="C217" s="229" t="s">
        <v>7688</v>
      </c>
      <c r="D217" s="102" t="s">
        <v>7689</v>
      </c>
      <c r="E217" s="102" t="s">
        <v>391</v>
      </c>
      <c r="F217" s="102" t="s">
        <v>392</v>
      </c>
      <c r="G217" s="102" t="s">
        <v>391</v>
      </c>
      <c r="H217" s="102" t="s">
        <v>392</v>
      </c>
      <c r="I217" s="102" t="s">
        <v>284</v>
      </c>
      <c r="J217" s="102" t="s">
        <v>26</v>
      </c>
      <c r="L217" s="229" t="s">
        <v>7690</v>
      </c>
      <c r="M217" s="229" t="s">
        <v>7139</v>
      </c>
      <c r="N217" s="102"/>
      <c r="O217" s="102"/>
      <c r="P217" s="102"/>
      <c r="S217" s="230"/>
      <c r="U217" s="102"/>
      <c r="V217" s="230" t="str">
        <f>IF(ISNUMBER(MATCH(B217, 'Sprint 11'!B:B, 0)), "มาจาก Sprint 11", "")</f>
        <v>มาจาก Sprint 11</v>
      </c>
      <c r="W217" s="230" t="str">
        <f t="array" ref="W217">IF(ISNUMBER(MATCH(B217, 'Sprint 11'!B:B, 0)), INDEX('Sprint 11'!J:J, MATCH(B217, 'Sprint 11'!B:B, 0)), "")</f>
        <v>In Progress</v>
      </c>
      <c r="X217" s="102"/>
      <c r="Y217" s="102" t="s">
        <v>5944</v>
      </c>
      <c r="Z217" s="102" t="s">
        <v>5919</v>
      </c>
      <c r="AA217" s="102" t="s">
        <v>5920</v>
      </c>
      <c r="AB217" s="102" t="s">
        <v>5901</v>
      </c>
      <c r="AC217" s="102" t="s">
        <v>5901</v>
      </c>
      <c r="AD217" s="102" t="s">
        <v>5896</v>
      </c>
    </row>
    <row r="218">
      <c r="A218" s="102" t="s">
        <v>276</v>
      </c>
      <c r="B218" s="102" t="s">
        <v>7691</v>
      </c>
      <c r="C218" s="229" t="s">
        <v>7692</v>
      </c>
      <c r="D218" s="102" t="s">
        <v>4345</v>
      </c>
      <c r="E218" s="102" t="s">
        <v>391</v>
      </c>
      <c r="F218" s="102" t="s">
        <v>392</v>
      </c>
      <c r="G218" s="102" t="s">
        <v>391</v>
      </c>
      <c r="H218" s="102" t="s">
        <v>392</v>
      </c>
      <c r="I218" s="102" t="s">
        <v>284</v>
      </c>
      <c r="J218" s="102" t="s">
        <v>26</v>
      </c>
      <c r="L218" s="229" t="s">
        <v>7693</v>
      </c>
      <c r="M218" s="229" t="s">
        <v>7694</v>
      </c>
      <c r="N218" s="102"/>
      <c r="O218" s="102"/>
      <c r="P218" s="102"/>
      <c r="Q218" s="102"/>
      <c r="S218" s="230"/>
      <c r="U218" s="102"/>
      <c r="V218" s="230" t="str">
        <f>IF(ISNUMBER(MATCH(B218, 'Sprint 11'!B:B, 0)), "มาจาก Sprint 11", "")</f>
        <v>มาจาก Sprint 11</v>
      </c>
      <c r="W218" s="230" t="str">
        <f t="array" ref="W218">IF(ISNUMBER(MATCH(B218, 'Sprint 11'!B:B, 0)), INDEX('Sprint 11'!J:J, MATCH(B218, 'Sprint 11'!B:B, 0)), "")</f>
        <v>To Do</v>
      </c>
      <c r="X218" s="102"/>
      <c r="Y218" s="102" t="s">
        <v>7695</v>
      </c>
      <c r="Z218" s="102" t="s">
        <v>7696</v>
      </c>
      <c r="AA218" s="102" t="s">
        <v>5944</v>
      </c>
      <c r="AB218" s="102" t="s">
        <v>5919</v>
      </c>
      <c r="AC218" s="102" t="s">
        <v>5920</v>
      </c>
      <c r="AD218" s="102" t="s">
        <v>5901</v>
      </c>
      <c r="AE218" s="102" t="s">
        <v>5901</v>
      </c>
      <c r="AF218" s="102" t="s">
        <v>5896</v>
      </c>
    </row>
    <row r="219">
      <c r="A219" s="102" t="s">
        <v>276</v>
      </c>
      <c r="B219" s="102" t="s">
        <v>6462</v>
      </c>
      <c r="C219" s="229" t="s">
        <v>6463</v>
      </c>
      <c r="D219" s="102" t="s">
        <v>4345</v>
      </c>
      <c r="E219" s="102" t="s">
        <v>280</v>
      </c>
      <c r="F219" s="102" t="s">
        <v>281</v>
      </c>
      <c r="G219" s="102" t="s">
        <v>391</v>
      </c>
      <c r="H219" s="102" t="s">
        <v>392</v>
      </c>
      <c r="I219" s="102" t="s">
        <v>284</v>
      </c>
      <c r="J219" s="102" t="s">
        <v>63</v>
      </c>
      <c r="L219" s="229" t="s">
        <v>6464</v>
      </c>
      <c r="M219" s="229" t="s">
        <v>6464</v>
      </c>
      <c r="O219" s="102"/>
      <c r="S219" s="230"/>
      <c r="U219" s="102"/>
      <c r="V219" s="230" t="str">
        <f>IF(ISNUMBER(MATCH(B219, 'Sprint 11'!B:B, 0)), "มาจาก Sprint 11", "")</f>
        <v>มาจาก Sprint 11</v>
      </c>
      <c r="W219" s="230" t="str">
        <f t="array" ref="W219">IF(ISNUMBER(MATCH(B219, 'Sprint 11'!B:B, 0)), INDEX('Sprint 11'!J:J, MATCH(B219, 'Sprint 11'!B:B, 0)), "")</f>
        <v>To Do</v>
      </c>
      <c r="X219" s="102"/>
      <c r="Y219" s="102" t="s">
        <v>5944</v>
      </c>
      <c r="Z219" s="102" t="s">
        <v>5919</v>
      </c>
      <c r="AA219" s="102" t="s">
        <v>5920</v>
      </c>
      <c r="AB219" s="102" t="s">
        <v>5901</v>
      </c>
      <c r="AC219" s="102" t="s">
        <v>5901</v>
      </c>
      <c r="AD219" s="102" t="s">
        <v>5896</v>
      </c>
    </row>
    <row r="220">
      <c r="A220" s="102" t="s">
        <v>276</v>
      </c>
      <c r="B220" s="102" t="s">
        <v>7697</v>
      </c>
      <c r="C220" s="229" t="s">
        <v>7698</v>
      </c>
      <c r="D220" s="102" t="s">
        <v>7699</v>
      </c>
      <c r="E220" s="102" t="s">
        <v>521</v>
      </c>
      <c r="F220" s="102" t="s">
        <v>522</v>
      </c>
      <c r="G220" s="102" t="s">
        <v>391</v>
      </c>
      <c r="H220" s="102" t="s">
        <v>392</v>
      </c>
      <c r="I220" s="102" t="s">
        <v>284</v>
      </c>
      <c r="J220" s="102" t="s">
        <v>26</v>
      </c>
      <c r="L220" s="229" t="s">
        <v>7700</v>
      </c>
      <c r="M220" s="229" t="s">
        <v>7701</v>
      </c>
      <c r="O220" s="102"/>
      <c r="S220" s="230"/>
      <c r="U220" s="230"/>
      <c r="V220" s="230" t="str">
        <f>IF(ISNUMBER(MATCH(B220, 'Sprint 11'!B:B, 0)), "มาจาก Sprint 11", "")</f>
        <v>มาจาก Sprint 11</v>
      </c>
      <c r="W220" s="230" t="str">
        <f t="array" ref="W220">IF(ISNUMBER(MATCH(B220, 'Sprint 11'!B:B, 0)), INDEX('Sprint 11'!J:J, MATCH(B220, 'Sprint 11'!B:B, 0)), "")</f>
        <v>Done</v>
      </c>
      <c r="X220" s="230"/>
      <c r="Y220" s="102" t="s">
        <v>5944</v>
      </c>
      <c r="Z220" s="102" t="s">
        <v>5919</v>
      </c>
      <c r="AA220" s="102" t="s">
        <v>5920</v>
      </c>
      <c r="AB220" s="102" t="s">
        <v>5901</v>
      </c>
      <c r="AC220" s="102" t="s">
        <v>5901</v>
      </c>
      <c r="AD220" s="102" t="s">
        <v>5896</v>
      </c>
    </row>
    <row r="221">
      <c r="A221" s="102" t="s">
        <v>310</v>
      </c>
      <c r="B221" s="102" t="s">
        <v>7702</v>
      </c>
      <c r="C221" s="229" t="s">
        <v>7703</v>
      </c>
      <c r="D221" s="102" t="s">
        <v>7704</v>
      </c>
      <c r="E221" s="102" t="s">
        <v>584</v>
      </c>
      <c r="F221" s="102" t="s">
        <v>585</v>
      </c>
      <c r="G221" s="102" t="s">
        <v>282</v>
      </c>
      <c r="H221" s="102" t="s">
        <v>283</v>
      </c>
      <c r="I221" s="102" t="s">
        <v>284</v>
      </c>
      <c r="J221" s="102" t="s">
        <v>26</v>
      </c>
      <c r="L221" s="229" t="s">
        <v>7705</v>
      </c>
      <c r="M221" s="229" t="s">
        <v>7102</v>
      </c>
      <c r="N221" s="229" t="s">
        <v>6456</v>
      </c>
      <c r="O221" s="102">
        <v>3.0</v>
      </c>
      <c r="P221" s="102" t="s">
        <v>5912</v>
      </c>
      <c r="S221" s="230"/>
      <c r="U221" s="102">
        <v>0.0</v>
      </c>
      <c r="V221" s="230" t="str">
        <f>IF(ISNUMBER(MATCH(B221, 'Sprint 11'!B:B, 0)), "มาจาก Sprint 11", "")</f>
        <v>มาจาก Sprint 11</v>
      </c>
      <c r="W221" s="230" t="str">
        <f t="array" ref="W221">IF(ISNUMBER(MATCH(B221, 'Sprint 11'!B:B, 0)), INDEX('Sprint 11'!J:J, MATCH(B221, 'Sprint 11'!B:B, 0)), "")</f>
        <v>Ready To Test</v>
      </c>
      <c r="X221" s="102">
        <v>21600.0</v>
      </c>
      <c r="Y221" s="102" t="s">
        <v>5919</v>
      </c>
      <c r="Z221" s="102" t="s">
        <v>5920</v>
      </c>
      <c r="AA221" s="102" t="s">
        <v>5901</v>
      </c>
      <c r="AB221" s="102" t="s">
        <v>5901</v>
      </c>
      <c r="AC221" s="102" t="s">
        <v>5896</v>
      </c>
      <c r="AD221" s="102"/>
    </row>
    <row r="222">
      <c r="A222" s="102" t="s">
        <v>310</v>
      </c>
      <c r="B222" s="102" t="s">
        <v>6466</v>
      </c>
      <c r="C222" s="229" t="s">
        <v>6467</v>
      </c>
      <c r="D222" s="102" t="s">
        <v>6468</v>
      </c>
      <c r="E222" s="102" t="s">
        <v>304</v>
      </c>
      <c r="F222" s="102" t="s">
        <v>305</v>
      </c>
      <c r="G222" s="102" t="s">
        <v>353</v>
      </c>
      <c r="H222" s="102" t="s">
        <v>354</v>
      </c>
      <c r="I222" s="102" t="s">
        <v>284</v>
      </c>
      <c r="J222" s="102" t="s">
        <v>454</v>
      </c>
      <c r="L222" s="229" t="s">
        <v>6469</v>
      </c>
      <c r="M222" s="229" t="s">
        <v>7398</v>
      </c>
      <c r="N222" s="229" t="s">
        <v>6471</v>
      </c>
      <c r="O222" s="102">
        <v>3.0</v>
      </c>
      <c r="P222" s="102" t="s">
        <v>3197</v>
      </c>
      <c r="Q222" s="102" t="s">
        <v>593</v>
      </c>
      <c r="S222" s="230"/>
      <c r="U222" s="102">
        <v>0.0</v>
      </c>
      <c r="V222" s="230" t="str">
        <f>IF(ISNUMBER(MATCH(B222, 'Sprint 11'!B:B, 0)), "มาจาก Sprint 11", "")</f>
        <v>มาจาก Sprint 11</v>
      </c>
      <c r="W222" s="230" t="str">
        <f t="array" ref="W222">IF(ISNUMBER(MATCH(B222, 'Sprint 11'!B:B, 0)), INDEX('Sprint 11'!J:J, MATCH(B222, 'Sprint 11'!B:B, 0)), "")</f>
        <v>Ready To Test</v>
      </c>
      <c r="X222" s="102">
        <v>18000.0</v>
      </c>
      <c r="Y222" s="102" t="s">
        <v>5944</v>
      </c>
      <c r="Z222" s="102" t="s">
        <v>5919</v>
      </c>
      <c r="AA222" s="102" t="s">
        <v>5920</v>
      </c>
      <c r="AB222" s="102" t="s">
        <v>5901</v>
      </c>
      <c r="AC222" s="102" t="s">
        <v>5901</v>
      </c>
      <c r="AD222" s="102" t="s">
        <v>5896</v>
      </c>
    </row>
    <row r="223">
      <c r="A223" s="102" t="s">
        <v>310</v>
      </c>
      <c r="B223" s="102" t="s">
        <v>7706</v>
      </c>
      <c r="C223" s="229" t="s">
        <v>7707</v>
      </c>
      <c r="D223" s="102" t="s">
        <v>7708</v>
      </c>
      <c r="E223" s="102" t="s">
        <v>353</v>
      </c>
      <c r="F223" s="102" t="s">
        <v>354</v>
      </c>
      <c r="G223" s="102" t="s">
        <v>353</v>
      </c>
      <c r="H223" s="102" t="s">
        <v>354</v>
      </c>
      <c r="I223" s="102" t="s">
        <v>515</v>
      </c>
      <c r="J223" s="102" t="s">
        <v>26</v>
      </c>
      <c r="L223" s="229" t="s">
        <v>7709</v>
      </c>
      <c r="M223" s="229" t="s">
        <v>7710</v>
      </c>
      <c r="N223" s="102"/>
      <c r="O223" s="102">
        <v>5.0</v>
      </c>
      <c r="P223" s="102"/>
      <c r="S223" s="230"/>
      <c r="U223" s="102">
        <v>0.0</v>
      </c>
      <c r="V223" s="230" t="str">
        <f>IF(ISNUMBER(MATCH(B223, 'Sprint 11'!B:B, 0)), "มาจาก Sprint 11", "")</f>
        <v>มาจาก Sprint 11</v>
      </c>
      <c r="W223" s="230" t="str">
        <f t="array" ref="W223">IF(ISNUMBER(MATCH(B223, 'Sprint 11'!B:B, 0)), INDEX('Sprint 11'!J:J, MATCH(B223, 'Sprint 11'!B:B, 0)), "")</f>
        <v>Ready To Test</v>
      </c>
      <c r="X223" s="102">
        <v>86400.0</v>
      </c>
      <c r="Y223" s="102" t="s">
        <v>5919</v>
      </c>
      <c r="Z223" s="102" t="s">
        <v>5920</v>
      </c>
      <c r="AA223" s="102" t="s">
        <v>5901</v>
      </c>
      <c r="AB223" s="102" t="s">
        <v>5901</v>
      </c>
      <c r="AC223" s="102" t="s">
        <v>5896</v>
      </c>
      <c r="AD223" s="102"/>
    </row>
    <row r="224">
      <c r="A224" s="102" t="s">
        <v>310</v>
      </c>
      <c r="B224" s="102" t="s">
        <v>6472</v>
      </c>
      <c r="C224" s="229" t="s">
        <v>6473</v>
      </c>
      <c r="D224" s="102" t="s">
        <v>6474</v>
      </c>
      <c r="E224" s="102" t="s">
        <v>282</v>
      </c>
      <c r="F224" s="102" t="s">
        <v>283</v>
      </c>
      <c r="G224" s="102" t="s">
        <v>282</v>
      </c>
      <c r="H224" s="102" t="s">
        <v>283</v>
      </c>
      <c r="I224" s="102" t="s">
        <v>284</v>
      </c>
      <c r="J224" s="102" t="s">
        <v>454</v>
      </c>
      <c r="L224" s="229" t="s">
        <v>6475</v>
      </c>
      <c r="M224" s="229" t="s">
        <v>7398</v>
      </c>
      <c r="N224" s="102"/>
      <c r="O224" s="102">
        <v>0.0</v>
      </c>
      <c r="P224" s="102"/>
      <c r="S224" s="230"/>
      <c r="U224" s="102"/>
      <c r="V224" s="230" t="str">
        <f>IF(ISNUMBER(MATCH(B224, 'Sprint 11'!B:B, 0)), "มาจาก Sprint 11", "")</f>
        <v>มาจาก Sprint 11</v>
      </c>
      <c r="W224" s="230" t="str">
        <f t="array" ref="W224">IF(ISNUMBER(MATCH(B224, 'Sprint 11'!B:B, 0)), INDEX('Sprint 11'!J:J, MATCH(B224, 'Sprint 11'!B:B, 0)), "")</f>
        <v>Ready To Test</v>
      </c>
      <c r="X224" s="102"/>
      <c r="Y224" s="102" t="s">
        <v>5944</v>
      </c>
      <c r="Z224" s="102" t="s">
        <v>5919</v>
      </c>
      <c r="AA224" s="102" t="s">
        <v>5920</v>
      </c>
      <c r="AB224" s="102" t="s">
        <v>5901</v>
      </c>
      <c r="AC224" s="102" t="s">
        <v>5901</v>
      </c>
      <c r="AD224" s="102" t="s">
        <v>5896</v>
      </c>
    </row>
    <row r="225">
      <c r="A225" s="102" t="s">
        <v>310</v>
      </c>
      <c r="B225" s="102" t="s">
        <v>7711</v>
      </c>
      <c r="C225" s="229" t="s">
        <v>7712</v>
      </c>
      <c r="D225" s="102" t="s">
        <v>7713</v>
      </c>
      <c r="E225" s="102" t="s">
        <v>556</v>
      </c>
      <c r="F225" s="102" t="s">
        <v>557</v>
      </c>
      <c r="G225" s="102" t="s">
        <v>282</v>
      </c>
      <c r="H225" s="102" t="s">
        <v>283</v>
      </c>
      <c r="I225" s="102" t="s">
        <v>284</v>
      </c>
      <c r="J225" s="102" t="s">
        <v>26</v>
      </c>
      <c r="L225" s="229" t="s">
        <v>7714</v>
      </c>
      <c r="M225" s="229" t="s">
        <v>7715</v>
      </c>
      <c r="N225" s="229" t="s">
        <v>6471</v>
      </c>
      <c r="O225" s="102">
        <v>5.0</v>
      </c>
      <c r="P225" s="102" t="s">
        <v>504</v>
      </c>
      <c r="S225" s="230"/>
      <c r="U225" s="102">
        <v>0.0</v>
      </c>
      <c r="V225" s="230" t="str">
        <f>IF(ISNUMBER(MATCH(B225, 'Sprint 11'!B:B, 0)), "มาจาก Sprint 11", "")</f>
        <v>มาจาก Sprint 11</v>
      </c>
      <c r="W225" s="230" t="str">
        <f t="array" ref="W225">IF(ISNUMBER(MATCH(B225, 'Sprint 11'!B:B, 0)), INDEX('Sprint 11'!J:J, MATCH(B225, 'Sprint 11'!B:B, 0)), "")</f>
        <v>Ready To Test</v>
      </c>
      <c r="X225" s="102">
        <v>57600.0</v>
      </c>
      <c r="Y225" s="102" t="s">
        <v>5944</v>
      </c>
      <c r="Z225" s="102" t="s">
        <v>5919</v>
      </c>
      <c r="AA225" s="102" t="s">
        <v>5920</v>
      </c>
      <c r="AB225" s="102" t="s">
        <v>5901</v>
      </c>
      <c r="AC225" s="102" t="s">
        <v>5901</v>
      </c>
      <c r="AD225" s="102" t="s">
        <v>5896</v>
      </c>
    </row>
    <row r="226">
      <c r="A226" s="102" t="s">
        <v>310</v>
      </c>
      <c r="B226" s="102" t="s">
        <v>7716</v>
      </c>
      <c r="C226" s="229" t="s">
        <v>7717</v>
      </c>
      <c r="D226" s="102" t="s">
        <v>7718</v>
      </c>
      <c r="E226" s="102" t="s">
        <v>564</v>
      </c>
      <c r="F226" s="102" t="s">
        <v>565</v>
      </c>
      <c r="G226" s="102" t="s">
        <v>282</v>
      </c>
      <c r="H226" s="102" t="s">
        <v>283</v>
      </c>
      <c r="I226" s="102" t="s">
        <v>284</v>
      </c>
      <c r="J226" s="102" t="s">
        <v>26</v>
      </c>
      <c r="L226" s="229" t="s">
        <v>7719</v>
      </c>
      <c r="M226" s="229" t="s">
        <v>7655</v>
      </c>
      <c r="N226" s="229" t="s">
        <v>7720</v>
      </c>
      <c r="O226" s="102">
        <v>2.0</v>
      </c>
      <c r="P226" s="102" t="s">
        <v>504</v>
      </c>
      <c r="S226" s="230"/>
      <c r="U226" s="102">
        <v>0.0</v>
      </c>
      <c r="V226" s="230" t="str">
        <f>IF(ISNUMBER(MATCH(B226, 'Sprint 11'!B:B, 0)), "มาจาก Sprint 11", "")</f>
        <v>มาจาก Sprint 11</v>
      </c>
      <c r="W226" s="230" t="str">
        <f t="array" ref="W226">IF(ISNUMBER(MATCH(B226, 'Sprint 11'!B:B, 0)), INDEX('Sprint 11'!J:J, MATCH(B226, 'Sprint 11'!B:B, 0)), "")</f>
        <v>Ready To Test</v>
      </c>
      <c r="X226" s="102">
        <v>10800.0</v>
      </c>
      <c r="Y226" s="102" t="s">
        <v>5944</v>
      </c>
      <c r="Z226" s="102" t="s">
        <v>5919</v>
      </c>
      <c r="AA226" s="102" t="s">
        <v>5920</v>
      </c>
      <c r="AB226" s="102" t="s">
        <v>5901</v>
      </c>
      <c r="AC226" s="102" t="s">
        <v>5901</v>
      </c>
      <c r="AD226" s="102" t="s">
        <v>5896</v>
      </c>
    </row>
    <row r="227">
      <c r="A227" s="102" t="s">
        <v>310</v>
      </c>
      <c r="B227" s="102" t="s">
        <v>7721</v>
      </c>
      <c r="C227" s="229" t="s">
        <v>7722</v>
      </c>
      <c r="D227" s="102" t="s">
        <v>7723</v>
      </c>
      <c r="E227" s="102" t="s">
        <v>564</v>
      </c>
      <c r="F227" s="102" t="s">
        <v>565</v>
      </c>
      <c r="G227" s="102" t="s">
        <v>282</v>
      </c>
      <c r="H227" s="102" t="s">
        <v>283</v>
      </c>
      <c r="I227" s="102" t="s">
        <v>284</v>
      </c>
      <c r="J227" s="102" t="s">
        <v>26</v>
      </c>
      <c r="L227" s="229" t="s">
        <v>7724</v>
      </c>
      <c r="M227" s="229" t="s">
        <v>7725</v>
      </c>
      <c r="N227" s="229" t="s">
        <v>7726</v>
      </c>
      <c r="O227" s="102">
        <v>3.0</v>
      </c>
      <c r="P227" s="102" t="s">
        <v>504</v>
      </c>
      <c r="S227" s="230"/>
      <c r="U227" s="102">
        <v>0.0</v>
      </c>
      <c r="V227" s="230" t="str">
        <f>IF(ISNUMBER(MATCH(B227, 'Sprint 11'!B:B, 0)), "มาจาก Sprint 11", "")</f>
        <v>มาจาก Sprint 11</v>
      </c>
      <c r="W227" s="230" t="str">
        <f t="array" ref="W227">IF(ISNUMBER(MATCH(B227, 'Sprint 11'!B:B, 0)), INDEX('Sprint 11'!J:J, MATCH(B227, 'Sprint 11'!B:B, 0)), "")</f>
        <v>Ready To Test</v>
      </c>
      <c r="X227" s="102">
        <v>28800.0</v>
      </c>
      <c r="Y227" s="102" t="s">
        <v>5944</v>
      </c>
      <c r="Z227" s="102" t="s">
        <v>5919</v>
      </c>
      <c r="AA227" s="102" t="s">
        <v>5920</v>
      </c>
      <c r="AB227" s="102" t="s">
        <v>5901</v>
      </c>
      <c r="AC227" s="102" t="s">
        <v>5901</v>
      </c>
      <c r="AD227" s="102" t="s">
        <v>5896</v>
      </c>
    </row>
    <row r="228">
      <c r="A228" s="102" t="s">
        <v>310</v>
      </c>
      <c r="B228" s="102" t="s">
        <v>7727</v>
      </c>
      <c r="C228" s="229" t="s">
        <v>7728</v>
      </c>
      <c r="D228" s="102" t="s">
        <v>7729</v>
      </c>
      <c r="E228" s="102" t="s">
        <v>564</v>
      </c>
      <c r="F228" s="102" t="s">
        <v>565</v>
      </c>
      <c r="G228" s="102" t="s">
        <v>282</v>
      </c>
      <c r="H228" s="102" t="s">
        <v>283</v>
      </c>
      <c r="I228" s="102" t="s">
        <v>284</v>
      </c>
      <c r="J228" s="102" t="s">
        <v>26</v>
      </c>
      <c r="L228" s="229" t="s">
        <v>7730</v>
      </c>
      <c r="M228" s="229" t="s">
        <v>7106</v>
      </c>
      <c r="N228" s="229" t="s">
        <v>7720</v>
      </c>
      <c r="O228" s="102">
        <v>2.0</v>
      </c>
      <c r="P228" s="102" t="s">
        <v>504</v>
      </c>
      <c r="S228" s="230"/>
      <c r="U228" s="102">
        <v>0.0</v>
      </c>
      <c r="V228" s="230" t="str">
        <f>IF(ISNUMBER(MATCH(B228, 'Sprint 11'!B:B, 0)), "มาจาก Sprint 11", "")</f>
        <v>มาจาก Sprint 11</v>
      </c>
      <c r="W228" s="230" t="str">
        <f t="array" ref="W228">IF(ISNUMBER(MATCH(B228, 'Sprint 11'!B:B, 0)), INDEX('Sprint 11'!J:J, MATCH(B228, 'Sprint 11'!B:B, 0)), "")</f>
        <v>Ready To Test</v>
      </c>
      <c r="X228" s="102">
        <v>10800.0</v>
      </c>
      <c r="Y228" s="102" t="s">
        <v>5944</v>
      </c>
      <c r="Z228" s="102" t="s">
        <v>5919</v>
      </c>
      <c r="AA228" s="102" t="s">
        <v>5920</v>
      </c>
      <c r="AB228" s="102" t="s">
        <v>5901</v>
      </c>
      <c r="AC228" s="102" t="s">
        <v>5901</v>
      </c>
      <c r="AD228" s="102" t="s">
        <v>5896</v>
      </c>
    </row>
    <row r="229">
      <c r="A229" s="102" t="s">
        <v>310</v>
      </c>
      <c r="B229" s="102" t="s">
        <v>7731</v>
      </c>
      <c r="C229" s="229" t="s">
        <v>7732</v>
      </c>
      <c r="D229" s="102" t="s">
        <v>7733</v>
      </c>
      <c r="E229" s="102" t="s">
        <v>564</v>
      </c>
      <c r="F229" s="102" t="s">
        <v>565</v>
      </c>
      <c r="G229" s="102" t="s">
        <v>282</v>
      </c>
      <c r="H229" s="102" t="s">
        <v>283</v>
      </c>
      <c r="I229" s="102" t="s">
        <v>284</v>
      </c>
      <c r="J229" s="102" t="s">
        <v>26</v>
      </c>
      <c r="L229" s="229" t="s">
        <v>7734</v>
      </c>
      <c r="M229" s="229" t="s">
        <v>7665</v>
      </c>
      <c r="N229" s="229" t="s">
        <v>7735</v>
      </c>
      <c r="O229" s="102">
        <v>2.0</v>
      </c>
      <c r="P229" s="102" t="s">
        <v>504</v>
      </c>
      <c r="S229" s="230"/>
      <c r="U229" s="102">
        <v>0.0</v>
      </c>
      <c r="V229" s="230" t="str">
        <f>IF(ISNUMBER(MATCH(B229, 'Sprint 11'!B:B, 0)), "มาจาก Sprint 11", "")</f>
        <v>มาจาก Sprint 11</v>
      </c>
      <c r="W229" s="230" t="str">
        <f t="array" ref="W229">IF(ISNUMBER(MATCH(B229, 'Sprint 11'!B:B, 0)), INDEX('Sprint 11'!J:J, MATCH(B229, 'Sprint 11'!B:B, 0)), "")</f>
        <v>Ready To Test</v>
      </c>
      <c r="X229" s="102">
        <v>10800.0</v>
      </c>
      <c r="Y229" s="102" t="s">
        <v>5944</v>
      </c>
      <c r="Z229" s="102" t="s">
        <v>5919</v>
      </c>
      <c r="AA229" s="102" t="s">
        <v>5920</v>
      </c>
      <c r="AB229" s="102" t="s">
        <v>5901</v>
      </c>
      <c r="AC229" s="102" t="s">
        <v>5901</v>
      </c>
      <c r="AD229" s="102" t="s">
        <v>5896</v>
      </c>
    </row>
    <row r="230">
      <c r="A230" s="102" t="s">
        <v>310</v>
      </c>
      <c r="B230" s="102" t="s">
        <v>7736</v>
      </c>
      <c r="C230" s="229" t="s">
        <v>7737</v>
      </c>
      <c r="D230" s="102" t="s">
        <v>7738</v>
      </c>
      <c r="E230" s="102" t="s">
        <v>495</v>
      </c>
      <c r="F230" s="102" t="s">
        <v>496</v>
      </c>
      <c r="G230" s="102" t="s">
        <v>282</v>
      </c>
      <c r="H230" s="102" t="s">
        <v>283</v>
      </c>
      <c r="I230" s="102" t="s">
        <v>284</v>
      </c>
      <c r="J230" s="102" t="s">
        <v>26</v>
      </c>
      <c r="L230" s="229" t="s">
        <v>7739</v>
      </c>
      <c r="M230" s="229" t="s">
        <v>7665</v>
      </c>
      <c r="O230" s="102">
        <v>2.0</v>
      </c>
      <c r="P230" s="102" t="s">
        <v>504</v>
      </c>
      <c r="S230" s="230"/>
      <c r="U230" s="102">
        <v>0.0</v>
      </c>
      <c r="V230" s="230" t="str">
        <f>IF(ISNUMBER(MATCH(B230, 'Sprint 11'!B:B, 0)), "มาจาก Sprint 11", "")</f>
        <v>มาจาก Sprint 11</v>
      </c>
      <c r="W230" s="230" t="str">
        <f t="array" ref="W230">IF(ISNUMBER(MATCH(B230, 'Sprint 11'!B:B, 0)), INDEX('Sprint 11'!J:J, MATCH(B230, 'Sprint 11'!B:B, 0)), "")</f>
        <v>Ready To Test</v>
      </c>
      <c r="X230" s="102">
        <v>28800.0</v>
      </c>
      <c r="Y230" s="102" t="s">
        <v>5944</v>
      </c>
      <c r="Z230" s="102" t="s">
        <v>5919</v>
      </c>
      <c r="AA230" s="102" t="s">
        <v>5920</v>
      </c>
      <c r="AB230" s="102" t="s">
        <v>5901</v>
      </c>
      <c r="AC230" s="102" t="s">
        <v>5901</v>
      </c>
      <c r="AD230" s="102" t="s">
        <v>5896</v>
      </c>
    </row>
    <row r="231">
      <c r="A231" s="102" t="s">
        <v>310</v>
      </c>
      <c r="B231" s="102" t="s">
        <v>7740</v>
      </c>
      <c r="C231" s="229" t="s">
        <v>7741</v>
      </c>
      <c r="D231" s="102" t="s">
        <v>7742</v>
      </c>
      <c r="E231" s="102" t="s">
        <v>556</v>
      </c>
      <c r="F231" s="102" t="s">
        <v>557</v>
      </c>
      <c r="G231" s="102" t="s">
        <v>282</v>
      </c>
      <c r="H231" s="102" t="s">
        <v>283</v>
      </c>
      <c r="I231" s="102" t="s">
        <v>284</v>
      </c>
      <c r="J231" s="102" t="s">
        <v>26</v>
      </c>
      <c r="L231" s="229" t="s">
        <v>7739</v>
      </c>
      <c r="M231" s="229" t="s">
        <v>7113</v>
      </c>
      <c r="N231" s="229" t="s">
        <v>7743</v>
      </c>
      <c r="O231" s="102">
        <v>5.0</v>
      </c>
      <c r="P231" s="102" t="s">
        <v>504</v>
      </c>
      <c r="S231" s="230"/>
      <c r="U231" s="102">
        <v>0.0</v>
      </c>
      <c r="V231" s="230" t="str">
        <f>IF(ISNUMBER(MATCH(B231, 'Sprint 11'!B:B, 0)), "มาจาก Sprint 11", "")</f>
        <v>มาจาก Sprint 11</v>
      </c>
      <c r="W231" s="230" t="str">
        <f t="array" ref="W231">IF(ISNUMBER(MATCH(B231, 'Sprint 11'!B:B, 0)), INDEX('Sprint 11'!J:J, MATCH(B231, 'Sprint 11'!B:B, 0)), "")</f>
        <v>Ready To Test</v>
      </c>
      <c r="X231" s="102">
        <v>57600.0</v>
      </c>
      <c r="Y231" s="102" t="s">
        <v>5944</v>
      </c>
      <c r="Z231" s="102" t="s">
        <v>5919</v>
      </c>
      <c r="AA231" s="102" t="s">
        <v>5920</v>
      </c>
      <c r="AB231" s="102" t="s">
        <v>5901</v>
      </c>
      <c r="AC231" s="102" t="s">
        <v>5901</v>
      </c>
      <c r="AD231" s="102" t="s">
        <v>5896</v>
      </c>
    </row>
    <row r="232">
      <c r="A232" s="102" t="s">
        <v>310</v>
      </c>
      <c r="B232" s="102" t="s">
        <v>7744</v>
      </c>
      <c r="C232" s="229" t="s">
        <v>7745</v>
      </c>
      <c r="D232" s="102" t="s">
        <v>7746</v>
      </c>
      <c r="E232" s="102" t="s">
        <v>564</v>
      </c>
      <c r="F232" s="102" t="s">
        <v>565</v>
      </c>
      <c r="G232" s="102" t="s">
        <v>282</v>
      </c>
      <c r="H232" s="102" t="s">
        <v>283</v>
      </c>
      <c r="I232" s="102" t="s">
        <v>284</v>
      </c>
      <c r="J232" s="102" t="s">
        <v>26</v>
      </c>
      <c r="L232" s="229" t="s">
        <v>7739</v>
      </c>
      <c r="M232" s="229" t="s">
        <v>7113</v>
      </c>
      <c r="N232" s="229" t="s">
        <v>7735</v>
      </c>
      <c r="O232" s="102">
        <v>3.0</v>
      </c>
      <c r="P232" s="102" t="s">
        <v>504</v>
      </c>
      <c r="S232" s="230"/>
      <c r="U232" s="102">
        <v>0.0</v>
      </c>
      <c r="V232" s="230" t="str">
        <f>IF(ISNUMBER(MATCH(B232, 'Sprint 11'!B:B, 0)), "มาจาก Sprint 11", "")</f>
        <v>มาจาก Sprint 11</v>
      </c>
      <c r="W232" s="230" t="str">
        <f t="array" ref="W232">IF(ISNUMBER(MATCH(B232, 'Sprint 11'!B:B, 0)), INDEX('Sprint 11'!J:J, MATCH(B232, 'Sprint 11'!B:B, 0)), "")</f>
        <v>Ready To Test</v>
      </c>
      <c r="X232" s="102">
        <v>28800.0</v>
      </c>
      <c r="Y232" s="102" t="s">
        <v>5944</v>
      </c>
      <c r="Z232" s="102" t="s">
        <v>5919</v>
      </c>
      <c r="AA232" s="102" t="s">
        <v>5920</v>
      </c>
      <c r="AB232" s="102" t="s">
        <v>5901</v>
      </c>
      <c r="AC232" s="102" t="s">
        <v>5901</v>
      </c>
      <c r="AD232" s="102" t="s">
        <v>5896</v>
      </c>
    </row>
    <row r="233">
      <c r="A233" s="102" t="s">
        <v>310</v>
      </c>
      <c r="B233" s="102" t="s">
        <v>7747</v>
      </c>
      <c r="C233" s="229" t="s">
        <v>7748</v>
      </c>
      <c r="D233" s="102" t="s">
        <v>7749</v>
      </c>
      <c r="E233" s="102" t="s">
        <v>495</v>
      </c>
      <c r="F233" s="102" t="s">
        <v>496</v>
      </c>
      <c r="G233" s="102" t="s">
        <v>282</v>
      </c>
      <c r="H233" s="102" t="s">
        <v>283</v>
      </c>
      <c r="I233" s="102" t="s">
        <v>284</v>
      </c>
      <c r="J233" s="102" t="s">
        <v>26</v>
      </c>
      <c r="L233" s="229" t="s">
        <v>7739</v>
      </c>
      <c r="M233" s="229" t="s">
        <v>7117</v>
      </c>
      <c r="O233" s="102">
        <v>8.0</v>
      </c>
      <c r="P233" s="102" t="s">
        <v>504</v>
      </c>
      <c r="S233" s="230"/>
      <c r="U233" s="102">
        <v>0.0</v>
      </c>
      <c r="V233" s="230" t="str">
        <f>IF(ISNUMBER(MATCH(B233, 'Sprint 11'!B:B, 0)), "มาจาก Sprint 11", "")</f>
        <v>มาจาก Sprint 11</v>
      </c>
      <c r="W233" s="230" t="str">
        <f t="array" ref="W233">IF(ISNUMBER(MATCH(B233, 'Sprint 11'!B:B, 0)), INDEX('Sprint 11'!J:J, MATCH(B233, 'Sprint 11'!B:B, 0)), "")</f>
        <v>Ready To Test</v>
      </c>
      <c r="X233" s="102">
        <v>86400.0</v>
      </c>
      <c r="Y233" s="102" t="s">
        <v>5944</v>
      </c>
      <c r="Z233" s="102" t="s">
        <v>5919</v>
      </c>
      <c r="AA233" s="102" t="s">
        <v>5920</v>
      </c>
      <c r="AB233" s="102" t="s">
        <v>5901</v>
      </c>
      <c r="AC233" s="102" t="s">
        <v>5901</v>
      </c>
      <c r="AD233" s="102" t="s">
        <v>5896</v>
      </c>
    </row>
    <row r="234">
      <c r="A234" s="102" t="s">
        <v>310</v>
      </c>
      <c r="B234" s="102" t="s">
        <v>7750</v>
      </c>
      <c r="C234" s="229" t="s">
        <v>7751</v>
      </c>
      <c r="D234" s="102" t="s">
        <v>7752</v>
      </c>
      <c r="E234" s="102" t="s">
        <v>495</v>
      </c>
      <c r="F234" s="102" t="s">
        <v>496</v>
      </c>
      <c r="G234" s="102" t="s">
        <v>282</v>
      </c>
      <c r="H234" s="102" t="s">
        <v>283</v>
      </c>
      <c r="I234" s="102" t="s">
        <v>284</v>
      </c>
      <c r="J234" s="102" t="s">
        <v>26</v>
      </c>
      <c r="L234" s="229" t="s">
        <v>7753</v>
      </c>
      <c r="M234" s="229" t="s">
        <v>7124</v>
      </c>
      <c r="N234" s="102"/>
      <c r="O234" s="102">
        <v>5.0</v>
      </c>
      <c r="P234" s="102" t="s">
        <v>504</v>
      </c>
      <c r="S234" s="230"/>
      <c r="U234" s="102">
        <v>0.0</v>
      </c>
      <c r="V234" s="230" t="str">
        <f>IF(ISNUMBER(MATCH(B234, 'Sprint 11'!B:B, 0)), "มาจาก Sprint 11", "")</f>
        <v>มาจาก Sprint 11</v>
      </c>
      <c r="W234" s="230" t="str">
        <f t="array" ref="W234">IF(ISNUMBER(MATCH(B234, 'Sprint 11'!B:B, 0)), INDEX('Sprint 11'!J:J, MATCH(B234, 'Sprint 11'!B:B, 0)), "")</f>
        <v>Ready To Test</v>
      </c>
      <c r="X234" s="102">
        <v>28800.0</v>
      </c>
      <c r="Y234" s="102" t="s">
        <v>5944</v>
      </c>
      <c r="Z234" s="102" t="s">
        <v>5919</v>
      </c>
      <c r="AA234" s="102" t="s">
        <v>5920</v>
      </c>
      <c r="AB234" s="102" t="s">
        <v>5901</v>
      </c>
      <c r="AC234" s="102" t="s">
        <v>5901</v>
      </c>
      <c r="AD234" s="102" t="s">
        <v>5896</v>
      </c>
    </row>
    <row r="235">
      <c r="A235" s="102" t="s">
        <v>310</v>
      </c>
      <c r="B235" s="102" t="s">
        <v>7754</v>
      </c>
      <c r="C235" s="229" t="s">
        <v>7755</v>
      </c>
      <c r="D235" s="102" t="s">
        <v>7756</v>
      </c>
      <c r="E235" s="102" t="s">
        <v>556</v>
      </c>
      <c r="F235" s="102" t="s">
        <v>557</v>
      </c>
      <c r="G235" s="102" t="s">
        <v>282</v>
      </c>
      <c r="H235" s="102" t="s">
        <v>283</v>
      </c>
      <c r="I235" s="102" t="s">
        <v>284</v>
      </c>
      <c r="J235" s="102" t="s">
        <v>26</v>
      </c>
      <c r="L235" s="229" t="s">
        <v>7757</v>
      </c>
      <c r="M235" s="229" t="s">
        <v>7725</v>
      </c>
      <c r="N235" s="229" t="s">
        <v>7726</v>
      </c>
      <c r="O235" s="102">
        <v>3.0</v>
      </c>
      <c r="P235" s="102" t="s">
        <v>504</v>
      </c>
      <c r="S235" s="230"/>
      <c r="U235" s="102">
        <v>0.0</v>
      </c>
      <c r="V235" s="230" t="str">
        <f>IF(ISNUMBER(MATCH(B235, 'Sprint 11'!B:B, 0)), "มาจาก Sprint 11", "")</f>
        <v>มาจาก Sprint 11</v>
      </c>
      <c r="W235" s="230" t="str">
        <f t="array" ref="W235">IF(ISNUMBER(MATCH(B235, 'Sprint 11'!B:B, 0)), INDEX('Sprint 11'!J:J, MATCH(B235, 'Sprint 11'!B:B, 0)), "")</f>
        <v>Ready To Test</v>
      </c>
      <c r="X235" s="102">
        <v>28800.0</v>
      </c>
      <c r="Y235" s="102" t="s">
        <v>5944</v>
      </c>
      <c r="Z235" s="102" t="s">
        <v>5919</v>
      </c>
      <c r="AA235" s="102" t="s">
        <v>5920</v>
      </c>
      <c r="AB235" s="102" t="s">
        <v>5901</v>
      </c>
      <c r="AC235" s="102" t="s">
        <v>5901</v>
      </c>
      <c r="AD235" s="102" t="s">
        <v>5896</v>
      </c>
    </row>
    <row r="236">
      <c r="A236" s="102" t="s">
        <v>310</v>
      </c>
      <c r="B236" s="102" t="s">
        <v>7758</v>
      </c>
      <c r="C236" s="229" t="s">
        <v>7759</v>
      </c>
      <c r="D236" s="102" t="s">
        <v>7760</v>
      </c>
      <c r="E236" s="102" t="s">
        <v>564</v>
      </c>
      <c r="F236" s="102" t="s">
        <v>565</v>
      </c>
      <c r="G236" s="102" t="s">
        <v>282</v>
      </c>
      <c r="H236" s="102" t="s">
        <v>283</v>
      </c>
      <c r="I236" s="102" t="s">
        <v>284</v>
      </c>
      <c r="J236" s="102" t="s">
        <v>26</v>
      </c>
      <c r="L236" s="229" t="s">
        <v>7757</v>
      </c>
      <c r="M236" s="229" t="s">
        <v>7351</v>
      </c>
      <c r="N236" s="229" t="s">
        <v>7761</v>
      </c>
      <c r="O236" s="102">
        <v>3.0</v>
      </c>
      <c r="P236" s="102" t="s">
        <v>504</v>
      </c>
      <c r="S236" s="230"/>
      <c r="U236" s="102">
        <v>0.0</v>
      </c>
      <c r="V236" s="230" t="str">
        <f>IF(ISNUMBER(MATCH(B236, 'Sprint 11'!B:B, 0)), "มาจาก Sprint 11", "")</f>
        <v>มาจาก Sprint 11</v>
      </c>
      <c r="W236" s="230" t="str">
        <f t="array" ref="W236">IF(ISNUMBER(MATCH(B236, 'Sprint 11'!B:B, 0)), INDEX('Sprint 11'!J:J, MATCH(B236, 'Sprint 11'!B:B, 0)), "")</f>
        <v>Ready To Test</v>
      </c>
      <c r="X236" s="102">
        <v>28800.0</v>
      </c>
      <c r="Y236" s="102" t="s">
        <v>5944</v>
      </c>
      <c r="Z236" s="102" t="s">
        <v>5919</v>
      </c>
      <c r="AA236" s="102" t="s">
        <v>5920</v>
      </c>
      <c r="AB236" s="102" t="s">
        <v>5901</v>
      </c>
      <c r="AC236" s="102" t="s">
        <v>5901</v>
      </c>
      <c r="AD236" s="102" t="s">
        <v>5896</v>
      </c>
      <c r="AE236" s="102"/>
      <c r="AF236" s="102"/>
    </row>
    <row r="237">
      <c r="A237" s="102" t="s">
        <v>310</v>
      </c>
      <c r="B237" s="102" t="s">
        <v>7762</v>
      </c>
      <c r="C237" s="229" t="s">
        <v>7763</v>
      </c>
      <c r="D237" s="102" t="s">
        <v>7764</v>
      </c>
      <c r="E237" s="102" t="s">
        <v>304</v>
      </c>
      <c r="F237" s="102" t="s">
        <v>305</v>
      </c>
      <c r="G237" s="102" t="s">
        <v>282</v>
      </c>
      <c r="H237" s="102" t="s">
        <v>283</v>
      </c>
      <c r="I237" s="102" t="s">
        <v>284</v>
      </c>
      <c r="J237" s="102" t="s">
        <v>26</v>
      </c>
      <c r="L237" s="229" t="s">
        <v>7757</v>
      </c>
      <c r="M237" s="229" t="s">
        <v>7128</v>
      </c>
      <c r="N237" s="102"/>
      <c r="O237" s="102">
        <v>5.0</v>
      </c>
      <c r="P237" s="102" t="s">
        <v>504</v>
      </c>
      <c r="S237" s="230"/>
      <c r="U237" s="102">
        <v>0.0</v>
      </c>
      <c r="V237" s="230" t="str">
        <f>IF(ISNUMBER(MATCH(B237, 'Sprint 11'!B:B, 0)), "มาจาก Sprint 11", "")</f>
        <v>มาจาก Sprint 11</v>
      </c>
      <c r="W237" s="230" t="str">
        <f t="array" ref="W237">IF(ISNUMBER(MATCH(B237, 'Sprint 11'!B:B, 0)), INDEX('Sprint 11'!J:J, MATCH(B237, 'Sprint 11'!B:B, 0)), "")</f>
        <v>Ready To Test</v>
      </c>
      <c r="X237" s="102">
        <v>86400.0</v>
      </c>
      <c r="Y237" s="102" t="s">
        <v>5944</v>
      </c>
      <c r="Z237" s="102" t="s">
        <v>5919</v>
      </c>
      <c r="AA237" s="102" t="s">
        <v>5920</v>
      </c>
      <c r="AB237" s="102" t="s">
        <v>5901</v>
      </c>
      <c r="AC237" s="102" t="s">
        <v>5901</v>
      </c>
      <c r="AD237" s="102" t="s">
        <v>5896</v>
      </c>
    </row>
    <row r="238">
      <c r="A238" s="102" t="s">
        <v>310</v>
      </c>
      <c r="B238" s="102" t="s">
        <v>7765</v>
      </c>
      <c r="C238" s="229" t="s">
        <v>7766</v>
      </c>
      <c r="D238" s="102" t="s">
        <v>7767</v>
      </c>
      <c r="E238" s="102" t="s">
        <v>556</v>
      </c>
      <c r="F238" s="102" t="s">
        <v>557</v>
      </c>
      <c r="G238" s="102" t="s">
        <v>282</v>
      </c>
      <c r="H238" s="102" t="s">
        <v>283</v>
      </c>
      <c r="I238" s="102" t="s">
        <v>284</v>
      </c>
      <c r="J238" s="102" t="s">
        <v>26</v>
      </c>
      <c r="L238" s="229" t="s">
        <v>7757</v>
      </c>
      <c r="M238" s="229" t="s">
        <v>7135</v>
      </c>
      <c r="N238" s="229" t="s">
        <v>7720</v>
      </c>
      <c r="O238" s="102">
        <v>3.0</v>
      </c>
      <c r="P238" s="102" t="s">
        <v>504</v>
      </c>
      <c r="S238" s="230"/>
      <c r="U238" s="102">
        <v>0.0</v>
      </c>
      <c r="V238" s="230" t="str">
        <f>IF(ISNUMBER(MATCH(B238, 'Sprint 11'!B:B, 0)), "มาจาก Sprint 11", "")</f>
        <v>มาจาก Sprint 11</v>
      </c>
      <c r="W238" s="230" t="str">
        <f t="array" ref="W238">IF(ISNUMBER(MATCH(B238, 'Sprint 11'!B:B, 0)), INDEX('Sprint 11'!J:J, MATCH(B238, 'Sprint 11'!B:B, 0)), "")</f>
        <v>Ready To Test</v>
      </c>
      <c r="X238" s="102">
        <v>28800.0</v>
      </c>
      <c r="Y238" s="102" t="s">
        <v>5944</v>
      </c>
      <c r="Z238" s="102" t="s">
        <v>5919</v>
      </c>
      <c r="AA238" s="102" t="s">
        <v>5920</v>
      </c>
      <c r="AB238" s="102" t="s">
        <v>5901</v>
      </c>
      <c r="AC238" s="102" t="s">
        <v>5901</v>
      </c>
      <c r="AD238" s="102" t="s">
        <v>5896</v>
      </c>
    </row>
    <row r="239">
      <c r="A239" s="102" t="s">
        <v>310</v>
      </c>
      <c r="B239" s="102" t="s">
        <v>7768</v>
      </c>
      <c r="C239" s="229" t="s">
        <v>7769</v>
      </c>
      <c r="D239" s="102" t="s">
        <v>7770</v>
      </c>
      <c r="E239" s="102" t="s">
        <v>564</v>
      </c>
      <c r="F239" s="102" t="s">
        <v>565</v>
      </c>
      <c r="G239" s="102" t="s">
        <v>282</v>
      </c>
      <c r="H239" s="102" t="s">
        <v>283</v>
      </c>
      <c r="I239" s="102" t="s">
        <v>284</v>
      </c>
      <c r="J239" s="102" t="s">
        <v>26</v>
      </c>
      <c r="L239" s="229" t="s">
        <v>7771</v>
      </c>
      <c r="M239" s="229" t="s">
        <v>7139</v>
      </c>
      <c r="N239" s="229" t="s">
        <v>6471</v>
      </c>
      <c r="O239" s="102">
        <v>5.0</v>
      </c>
      <c r="P239" s="102" t="s">
        <v>504</v>
      </c>
      <c r="S239" s="230"/>
      <c r="U239" s="102">
        <v>0.0</v>
      </c>
      <c r="V239" s="230" t="str">
        <f>IF(ISNUMBER(MATCH(B239, 'Sprint 11'!B:B, 0)), "มาจาก Sprint 11", "")</f>
        <v>มาจาก Sprint 11</v>
      </c>
      <c r="W239" s="230" t="str">
        <f t="array" ref="W239">IF(ISNUMBER(MATCH(B239, 'Sprint 11'!B:B, 0)), INDEX('Sprint 11'!J:J, MATCH(B239, 'Sprint 11'!B:B, 0)), "")</f>
        <v>Ready To Test</v>
      </c>
      <c r="X239" s="102">
        <v>43200.0</v>
      </c>
      <c r="Y239" s="102" t="s">
        <v>5944</v>
      </c>
      <c r="Z239" s="102" t="s">
        <v>5919</v>
      </c>
      <c r="AA239" s="102" t="s">
        <v>5920</v>
      </c>
      <c r="AB239" s="102" t="s">
        <v>5901</v>
      </c>
      <c r="AC239" s="102" t="s">
        <v>5901</v>
      </c>
      <c r="AD239" s="102" t="s">
        <v>5896</v>
      </c>
    </row>
    <row r="240">
      <c r="A240" s="102" t="s">
        <v>310</v>
      </c>
      <c r="B240" s="102" t="s">
        <v>7772</v>
      </c>
      <c r="C240" s="229" t="s">
        <v>7773</v>
      </c>
      <c r="D240" s="102" t="s">
        <v>7774</v>
      </c>
      <c r="E240" s="102" t="s">
        <v>282</v>
      </c>
      <c r="F240" s="102" t="s">
        <v>283</v>
      </c>
      <c r="G240" s="102" t="s">
        <v>282</v>
      </c>
      <c r="H240" s="102" t="s">
        <v>283</v>
      </c>
      <c r="I240" s="102" t="s">
        <v>284</v>
      </c>
      <c r="J240" s="102" t="s">
        <v>26</v>
      </c>
      <c r="L240" s="229" t="s">
        <v>7775</v>
      </c>
      <c r="M240" s="229" t="s">
        <v>7319</v>
      </c>
      <c r="N240" s="102"/>
      <c r="O240" s="102">
        <v>1.0</v>
      </c>
      <c r="P240" s="102" t="s">
        <v>777</v>
      </c>
      <c r="Q240" s="102"/>
      <c r="S240" s="230"/>
      <c r="U240" s="102"/>
      <c r="V240" s="230" t="str">
        <f>IF(ISNUMBER(MATCH(B240, 'Sprint 11'!B:B, 0)), "มาจาก Sprint 11", "")</f>
        <v>มาจาก Sprint 11</v>
      </c>
      <c r="W240" s="230" t="str">
        <f t="array" ref="W240">IF(ISNUMBER(MATCH(B240, 'Sprint 11'!B:B, 0)), INDEX('Sprint 11'!J:J, MATCH(B240, 'Sprint 11'!B:B, 0)), "")</f>
        <v>Ready To Test</v>
      </c>
      <c r="X240" s="102"/>
      <c r="Y240" s="102" t="s">
        <v>7695</v>
      </c>
      <c r="Z240" s="102" t="s">
        <v>7696</v>
      </c>
      <c r="AA240" s="102" t="s">
        <v>5944</v>
      </c>
      <c r="AB240" s="102" t="s">
        <v>5919</v>
      </c>
      <c r="AC240" s="102" t="s">
        <v>5920</v>
      </c>
      <c r="AD240" s="102" t="s">
        <v>5901</v>
      </c>
      <c r="AE240" s="102" t="s">
        <v>5901</v>
      </c>
      <c r="AF240" s="102" t="s">
        <v>5896</v>
      </c>
    </row>
    <row r="241">
      <c r="A241" s="102" t="s">
        <v>310</v>
      </c>
      <c r="B241" s="102" t="s">
        <v>4962</v>
      </c>
      <c r="C241" s="229" t="s">
        <v>4963</v>
      </c>
      <c r="D241" s="102" t="s">
        <v>4964</v>
      </c>
      <c r="E241" s="102" t="s">
        <v>556</v>
      </c>
      <c r="F241" s="102" t="s">
        <v>557</v>
      </c>
      <c r="G241" s="102" t="s">
        <v>353</v>
      </c>
      <c r="H241" s="102" t="s">
        <v>354</v>
      </c>
      <c r="I241" s="102" t="s">
        <v>284</v>
      </c>
      <c r="J241" s="102" t="s">
        <v>454</v>
      </c>
      <c r="L241" s="229" t="s">
        <v>4965</v>
      </c>
      <c r="M241" s="229" t="s">
        <v>7300</v>
      </c>
      <c r="N241" s="229" t="s">
        <v>4966</v>
      </c>
      <c r="O241" s="102">
        <v>1.0</v>
      </c>
      <c r="S241" s="230"/>
      <c r="U241" s="102">
        <v>7200.0</v>
      </c>
      <c r="V241" s="230" t="str">
        <f>IF(ISNUMBER(MATCH(B241, 'Sprint 11'!B:B, 0)), "มาจาก Sprint 11", "")</f>
        <v/>
      </c>
      <c r="W241" s="230" t="str">
        <f t="array" ref="W241">IF(ISNUMBER(MATCH(B241, 'Sprint 11'!B:B, 0)), INDEX('Sprint 11'!J:J, MATCH(B241, 'Sprint 11'!B:B, 0)), "")</f>
        <v/>
      </c>
      <c r="X241" s="102"/>
      <c r="Y241" s="102" t="s">
        <v>4967</v>
      </c>
      <c r="Z241" s="102" t="s">
        <v>4968</v>
      </c>
      <c r="AA241" s="102" t="s">
        <v>4960</v>
      </c>
      <c r="AB241" s="102" t="s">
        <v>4953</v>
      </c>
      <c r="AC241" s="102" t="s">
        <v>4953</v>
      </c>
      <c r="AD241" s="102" t="s">
        <v>4954</v>
      </c>
    </row>
    <row r="242">
      <c r="A242" s="102" t="s">
        <v>310</v>
      </c>
      <c r="B242" s="102" t="s">
        <v>5940</v>
      </c>
      <c r="C242" s="229" t="s">
        <v>5941</v>
      </c>
      <c r="D242" s="102" t="s">
        <v>5942</v>
      </c>
      <c r="E242" s="102" t="s">
        <v>513</v>
      </c>
      <c r="F242" s="102" t="s">
        <v>514</v>
      </c>
      <c r="G242" s="102" t="s">
        <v>282</v>
      </c>
      <c r="H242" s="102" t="s">
        <v>283</v>
      </c>
      <c r="I242" s="102" t="s">
        <v>284</v>
      </c>
      <c r="J242" s="102" t="s">
        <v>454</v>
      </c>
      <c r="L242" s="229" t="s">
        <v>5943</v>
      </c>
      <c r="M242" s="229" t="s">
        <v>7398</v>
      </c>
      <c r="O242" s="102">
        <v>3.0</v>
      </c>
      <c r="S242" s="230"/>
      <c r="U242" s="102">
        <v>0.0</v>
      </c>
      <c r="V242" s="230" t="str">
        <f>IF(ISNUMBER(MATCH(B242, 'Sprint 11'!B:B, 0)), "มาจาก Sprint 11", "")</f>
        <v>มาจาก Sprint 11</v>
      </c>
      <c r="W242" s="230" t="str">
        <f t="array" ref="W242">IF(ISNUMBER(MATCH(B242, 'Sprint 11'!B:B, 0)), INDEX('Sprint 11'!J:J, MATCH(B242, 'Sprint 11'!B:B, 0)), "")</f>
        <v>Ready To Test</v>
      </c>
      <c r="X242" s="102">
        <v>28800.0</v>
      </c>
      <c r="Y242" s="102" t="s">
        <v>5944</v>
      </c>
      <c r="Z242" s="102" t="s">
        <v>5919</v>
      </c>
      <c r="AA242" s="102" t="s">
        <v>5920</v>
      </c>
      <c r="AB242" s="102" t="s">
        <v>5901</v>
      </c>
      <c r="AC242" s="102" t="s">
        <v>5901</v>
      </c>
      <c r="AD242" s="102" t="s">
        <v>5896</v>
      </c>
    </row>
    <row r="243">
      <c r="A243" s="102" t="s">
        <v>332</v>
      </c>
      <c r="B243" s="102" t="s">
        <v>6476</v>
      </c>
      <c r="C243" s="229" t="s">
        <v>6477</v>
      </c>
      <c r="D243" s="102" t="s">
        <v>6478</v>
      </c>
      <c r="E243" s="102" t="s">
        <v>556</v>
      </c>
      <c r="F243" s="102" t="s">
        <v>557</v>
      </c>
      <c r="G243" s="102" t="s">
        <v>316</v>
      </c>
      <c r="H243" s="102" t="s">
        <v>317</v>
      </c>
      <c r="I243" s="102" t="s">
        <v>1921</v>
      </c>
      <c r="J243" s="102" t="s">
        <v>922</v>
      </c>
      <c r="L243" s="229" t="s">
        <v>6479</v>
      </c>
      <c r="M243" s="229" t="s">
        <v>7300</v>
      </c>
      <c r="N243" s="229" t="s">
        <v>6481</v>
      </c>
      <c r="O243" s="102">
        <v>3.0</v>
      </c>
      <c r="S243" s="230"/>
      <c r="U243" s="230"/>
      <c r="V243" s="230" t="str">
        <f>IF(ISNUMBER(MATCH(B243, 'Sprint 11'!B:B, 0)), "มาจาก Sprint 11", "")</f>
        <v/>
      </c>
      <c r="W243" s="230" t="str">
        <f t="array" ref="W243">IF(ISNUMBER(MATCH(B243, 'Sprint 11'!B:B, 0)), INDEX('Sprint 11'!J:J, MATCH(B243, 'Sprint 11'!B:B, 0)), "")</f>
        <v/>
      </c>
      <c r="X243" s="230"/>
      <c r="Y243" s="102" t="s">
        <v>4953</v>
      </c>
      <c r="Z243" s="102" t="s">
        <v>4953</v>
      </c>
      <c r="AA243" s="102" t="s">
        <v>4954</v>
      </c>
    </row>
    <row r="244">
      <c r="A244" s="102" t="s">
        <v>4410</v>
      </c>
      <c r="B244" s="102" t="s">
        <v>7776</v>
      </c>
      <c r="C244" s="229" t="s">
        <v>7777</v>
      </c>
      <c r="D244" s="102" t="s">
        <v>7778</v>
      </c>
      <c r="E244" s="102" t="s">
        <v>282</v>
      </c>
      <c r="F244" s="102" t="s">
        <v>283</v>
      </c>
      <c r="G244" s="102" t="s">
        <v>282</v>
      </c>
      <c r="H244" s="102" t="s">
        <v>283</v>
      </c>
      <c r="I244" s="102" t="s">
        <v>284</v>
      </c>
      <c r="J244" s="102" t="s">
        <v>26</v>
      </c>
      <c r="L244" s="229" t="s">
        <v>7779</v>
      </c>
      <c r="M244" s="229" t="s">
        <v>7780</v>
      </c>
      <c r="N244" s="229" t="s">
        <v>7606</v>
      </c>
      <c r="O244" s="102">
        <v>1.0</v>
      </c>
      <c r="P244" s="102" t="s">
        <v>593</v>
      </c>
      <c r="Q244" s="102" t="s">
        <v>6898</v>
      </c>
      <c r="S244" s="230"/>
      <c r="U244" s="102">
        <v>1800.0</v>
      </c>
      <c r="V244" s="230" t="str">
        <f>IF(ISNUMBER(MATCH(B244, 'Sprint 11'!B:B, 0)), "มาจาก Sprint 11", "")</f>
        <v/>
      </c>
      <c r="W244" s="230" t="str">
        <f t="array" ref="W244">IF(ISNUMBER(MATCH(B244, 'Sprint 11'!B:B, 0)), INDEX('Sprint 11'!J:J, MATCH(B244, 'Sprint 11'!B:B, 0)), "")</f>
        <v/>
      </c>
      <c r="X244" s="102"/>
      <c r="Y244" s="102" t="s">
        <v>4954</v>
      </c>
    </row>
    <row r="245">
      <c r="A245" s="102" t="s">
        <v>310</v>
      </c>
      <c r="B245" s="102" t="s">
        <v>7781</v>
      </c>
      <c r="C245" s="229" t="s">
        <v>7782</v>
      </c>
      <c r="D245" s="102" t="s">
        <v>7783</v>
      </c>
      <c r="E245" s="102" t="s">
        <v>282</v>
      </c>
      <c r="F245" s="102" t="s">
        <v>283</v>
      </c>
      <c r="G245" s="102" t="s">
        <v>282</v>
      </c>
      <c r="H245" s="102" t="s">
        <v>283</v>
      </c>
      <c r="I245" s="102" t="s">
        <v>648</v>
      </c>
      <c r="J245" s="102" t="s">
        <v>63</v>
      </c>
      <c r="L245" s="229" t="s">
        <v>7784</v>
      </c>
      <c r="M245" s="229" t="s">
        <v>7599</v>
      </c>
      <c r="O245" s="230"/>
      <c r="S245" s="230"/>
      <c r="U245" s="230"/>
      <c r="V245" s="230" t="str">
        <f>IF(ISNUMBER(MATCH(B245, 'Sprint 11'!B:B, 0)), "มาจาก Sprint 11", "")</f>
        <v/>
      </c>
      <c r="W245" s="230" t="str">
        <f t="array" ref="W245">IF(ISNUMBER(MATCH(B245, 'Sprint 11'!B:B, 0)), INDEX('Sprint 11'!J:J, MATCH(B245, 'Sprint 11'!B:B, 0)), "")</f>
        <v/>
      </c>
      <c r="X245" s="230"/>
      <c r="Y245" s="102" t="s">
        <v>2205</v>
      </c>
    </row>
    <row r="246">
      <c r="O246" s="230"/>
      <c r="S246" s="230"/>
      <c r="U246" s="230"/>
      <c r="V246" s="230" t="str">
        <f>IF(ISNUMBER(MATCH(D246, 'Sprint 11'!D:D, 0)), "มาจาก Sprint 11", "")</f>
        <v/>
      </c>
      <c r="W246" s="230" t="str">
        <f t="array" ref="W246">IF(ISNUMBER(MATCH(C246, 'Sprint 11'!C:C, 0)), INDEX('Sprint 11'!J:J, MATCH(C246, 'Sprint 11'!C:C, 0)), "")</f>
        <v/>
      </c>
      <c r="X246" s="230"/>
    </row>
    <row r="247">
      <c r="O247" s="230"/>
      <c r="S247" s="230"/>
      <c r="U247" s="230"/>
      <c r="V247" s="230" t="str">
        <f>IF(ISNUMBER(MATCH(D247, 'Sprint 11'!D:D, 0)), "มาจาก Sprint 11", "")</f>
        <v/>
      </c>
      <c r="W247" s="230" t="str">
        <f t="array" ref="W247">IF(ISNUMBER(MATCH(C247, 'Sprint 11'!C:C, 0)), INDEX('Sprint 11'!J:J, MATCH(C247, 'Sprint 11'!C:C, 0)), "")</f>
        <v/>
      </c>
      <c r="X247" s="230"/>
    </row>
    <row r="248">
      <c r="O248" s="230"/>
      <c r="S248" s="230"/>
      <c r="U248" s="230"/>
      <c r="V248" s="230" t="str">
        <f>IF(ISNUMBER(MATCH(D248, 'Sprint 11'!D:D, 0)), "มาจาก Sprint 11", "")</f>
        <v/>
      </c>
      <c r="W248" s="230" t="str">
        <f t="array" ref="W248">IF(ISNUMBER(MATCH(C248, 'Sprint 11'!C:C, 0)), INDEX('Sprint 11'!J:J, MATCH(C248, 'Sprint 11'!C:C, 0)), "")</f>
        <v/>
      </c>
      <c r="X248" s="230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L249" s="102"/>
      <c r="M249" s="102"/>
      <c r="N249" s="102"/>
      <c r="O249" s="102"/>
      <c r="P249" s="102"/>
      <c r="R249" s="230"/>
      <c r="S249" s="230"/>
      <c r="T249" s="102"/>
      <c r="U249" s="230"/>
      <c r="V249" s="230"/>
      <c r="W249" s="230"/>
      <c r="X249" s="230"/>
      <c r="Y249" s="230"/>
      <c r="Z249" s="230"/>
      <c r="AA249" s="102"/>
      <c r="AB249" s="102"/>
      <c r="AC249" s="230"/>
      <c r="AD249" s="230"/>
      <c r="AE249" s="230"/>
      <c r="AF249" s="230"/>
      <c r="AG249" s="230"/>
      <c r="AH249" s="230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L250" s="102"/>
      <c r="M250" s="102"/>
      <c r="O250" s="102"/>
      <c r="P250" s="102"/>
      <c r="R250" s="230"/>
      <c r="S250" s="102"/>
      <c r="T250" s="102"/>
      <c r="U250" s="230"/>
      <c r="V250" s="230"/>
      <c r="W250" s="230"/>
      <c r="X250" s="230"/>
      <c r="Y250" s="230"/>
      <c r="Z250" s="230"/>
      <c r="AA250" s="102"/>
      <c r="AB250" s="102"/>
      <c r="AC250" s="230"/>
      <c r="AD250" s="230"/>
      <c r="AE250" s="230"/>
      <c r="AF250" s="230"/>
      <c r="AG250" s="230"/>
      <c r="AH250" s="230"/>
    </row>
    <row r="251">
      <c r="O251" s="230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  <c r="AD251" s="230"/>
      <c r="AE251" s="230"/>
      <c r="AF251" s="230"/>
      <c r="AG251" s="230"/>
      <c r="AH251" s="230"/>
    </row>
    <row r="252">
      <c r="O252" s="230"/>
      <c r="R252" s="230"/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  <c r="AC252" s="230"/>
      <c r="AD252" s="230"/>
      <c r="AE252" s="230"/>
      <c r="AF252" s="230"/>
      <c r="AG252" s="230"/>
      <c r="AH252" s="230"/>
    </row>
    <row r="253">
      <c r="O253" s="230"/>
      <c r="R253" s="230"/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  <c r="AC253" s="230"/>
      <c r="AD253" s="230"/>
      <c r="AE253" s="230"/>
      <c r="AF253" s="230"/>
      <c r="AG253" s="230"/>
      <c r="AH253" s="230"/>
    </row>
    <row r="254">
      <c r="O254" s="230"/>
      <c r="R254" s="230"/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  <c r="AC254" s="230"/>
      <c r="AD254" s="230"/>
      <c r="AE254" s="230"/>
      <c r="AF254" s="230"/>
      <c r="AG254" s="230"/>
      <c r="AH254" s="230"/>
    </row>
    <row r="255">
      <c r="O255" s="230"/>
      <c r="R255" s="230"/>
      <c r="S255" s="230"/>
      <c r="T255" s="230"/>
      <c r="U255" s="230"/>
      <c r="V255" s="230"/>
      <c r="W255" s="230"/>
      <c r="X255" s="230"/>
      <c r="Y255" s="230"/>
      <c r="Z255" s="230"/>
      <c r="AA255" s="230"/>
      <c r="AB255" s="230"/>
      <c r="AC255" s="230"/>
      <c r="AD255" s="230"/>
      <c r="AE255" s="230"/>
      <c r="AF255" s="230"/>
      <c r="AG255" s="230"/>
      <c r="AH255" s="230"/>
    </row>
    <row r="256">
      <c r="O256" s="230"/>
      <c r="R256" s="230"/>
      <c r="S256" s="230"/>
      <c r="T256" s="230"/>
      <c r="U256" s="230"/>
      <c r="V256" s="230"/>
      <c r="W256" s="230"/>
      <c r="X256" s="230"/>
      <c r="Y256" s="230"/>
      <c r="Z256" s="230"/>
      <c r="AA256" s="230"/>
      <c r="AB256" s="230"/>
      <c r="AC256" s="230"/>
      <c r="AD256" s="230"/>
      <c r="AE256" s="230"/>
      <c r="AF256" s="230"/>
      <c r="AG256" s="230"/>
      <c r="AH256" s="230"/>
    </row>
    <row r="257">
      <c r="O257" s="230"/>
      <c r="R257" s="230"/>
      <c r="S257" s="230"/>
      <c r="T257" s="230"/>
      <c r="U257" s="230"/>
      <c r="V257" s="230"/>
      <c r="W257" s="230"/>
      <c r="X257" s="230"/>
      <c r="Y257" s="230"/>
      <c r="Z257" s="230"/>
      <c r="AA257" s="230"/>
      <c r="AB257" s="230"/>
      <c r="AC257" s="230"/>
      <c r="AD257" s="230"/>
      <c r="AE257" s="230"/>
      <c r="AF257" s="230"/>
      <c r="AG257" s="230"/>
      <c r="AH257" s="230"/>
    </row>
    <row r="258">
      <c r="O258" s="230"/>
      <c r="R258" s="230"/>
      <c r="S258" s="230"/>
      <c r="T258" s="230"/>
      <c r="U258" s="230"/>
      <c r="V258" s="230"/>
      <c r="W258" s="230"/>
      <c r="X258" s="230"/>
      <c r="Y258" s="230"/>
      <c r="Z258" s="230"/>
      <c r="AA258" s="230"/>
      <c r="AB258" s="230"/>
      <c r="AC258" s="230"/>
      <c r="AD258" s="230"/>
      <c r="AE258" s="230"/>
      <c r="AF258" s="230"/>
      <c r="AG258" s="230"/>
      <c r="AH258" s="230"/>
    </row>
    <row r="259">
      <c r="O259" s="230"/>
      <c r="R259" s="230"/>
      <c r="S259" s="230"/>
      <c r="T259" s="230"/>
      <c r="U259" s="230"/>
      <c r="V259" s="230"/>
      <c r="W259" s="230"/>
      <c r="X259" s="230"/>
      <c r="Y259" s="230"/>
      <c r="Z259" s="230"/>
      <c r="AA259" s="230"/>
      <c r="AB259" s="230"/>
      <c r="AC259" s="230"/>
      <c r="AD259" s="230"/>
      <c r="AE259" s="230"/>
      <c r="AF259" s="230"/>
      <c r="AG259" s="230"/>
      <c r="AH259" s="230"/>
    </row>
    <row r="260">
      <c r="O260" s="230"/>
      <c r="R260" s="230"/>
      <c r="S260" s="230"/>
      <c r="T260" s="230"/>
      <c r="U260" s="230"/>
      <c r="V260" s="230"/>
      <c r="W260" s="230"/>
      <c r="X260" s="230"/>
      <c r="Y260" s="230"/>
      <c r="Z260" s="230"/>
      <c r="AA260" s="230"/>
      <c r="AB260" s="230"/>
      <c r="AC260" s="230"/>
      <c r="AD260" s="230"/>
      <c r="AE260" s="230"/>
      <c r="AF260" s="230"/>
      <c r="AG260" s="230"/>
      <c r="AH260" s="230"/>
    </row>
    <row r="261">
      <c r="O261" s="230"/>
      <c r="R261" s="230"/>
      <c r="S261" s="230"/>
      <c r="T261" s="230"/>
      <c r="U261" s="230"/>
      <c r="V261" s="230"/>
      <c r="W261" s="230"/>
      <c r="X261" s="230"/>
      <c r="Y261" s="230"/>
      <c r="Z261" s="230"/>
      <c r="AA261" s="230"/>
      <c r="AB261" s="230"/>
      <c r="AC261" s="230"/>
      <c r="AD261" s="230"/>
      <c r="AE261" s="230"/>
      <c r="AF261" s="230"/>
      <c r="AG261" s="230"/>
      <c r="AH261" s="230"/>
    </row>
    <row r="262">
      <c r="O262" s="230"/>
      <c r="R262" s="230"/>
      <c r="S262" s="230"/>
      <c r="T262" s="230"/>
      <c r="U262" s="230"/>
      <c r="V262" s="230"/>
      <c r="W262" s="230"/>
      <c r="X262" s="230"/>
      <c r="Y262" s="230"/>
      <c r="Z262" s="230"/>
      <c r="AA262" s="230"/>
      <c r="AB262" s="230"/>
      <c r="AC262" s="230"/>
      <c r="AD262" s="230"/>
      <c r="AE262" s="230"/>
      <c r="AF262" s="230"/>
      <c r="AG262" s="230"/>
      <c r="AH262" s="230"/>
    </row>
    <row r="263">
      <c r="O263" s="230"/>
      <c r="R263" s="230"/>
      <c r="S263" s="230"/>
      <c r="T263" s="230"/>
      <c r="U263" s="230"/>
      <c r="V263" s="230"/>
      <c r="W263" s="230"/>
      <c r="X263" s="230"/>
      <c r="Y263" s="230"/>
      <c r="Z263" s="230"/>
      <c r="AA263" s="230"/>
      <c r="AB263" s="230"/>
      <c r="AC263" s="230"/>
      <c r="AD263" s="230"/>
      <c r="AE263" s="230"/>
      <c r="AF263" s="230"/>
      <c r="AG263" s="230"/>
      <c r="AH263" s="230"/>
    </row>
    <row r="264">
      <c r="O264" s="230"/>
      <c r="R264" s="230"/>
      <c r="S264" s="230"/>
      <c r="T264" s="230"/>
      <c r="U264" s="230"/>
      <c r="V264" s="230"/>
      <c r="W264" s="230"/>
      <c r="X264" s="230"/>
      <c r="Y264" s="230"/>
      <c r="Z264" s="230"/>
      <c r="AA264" s="230"/>
      <c r="AB264" s="230"/>
      <c r="AC264" s="230"/>
      <c r="AD264" s="230"/>
      <c r="AE264" s="230"/>
      <c r="AF264" s="230"/>
      <c r="AG264" s="230"/>
      <c r="AH264" s="230"/>
    </row>
    <row r="265">
      <c r="O265" s="230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  <c r="AD265" s="230"/>
      <c r="AE265" s="230"/>
      <c r="AF265" s="230"/>
      <c r="AG265" s="230"/>
      <c r="AH265" s="230"/>
    </row>
    <row r="266">
      <c r="O266" s="230"/>
      <c r="R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  <c r="AC266" s="230"/>
      <c r="AD266" s="230"/>
      <c r="AE266" s="230"/>
      <c r="AF266" s="230"/>
      <c r="AG266" s="230"/>
      <c r="AH266" s="230"/>
    </row>
    <row r="267">
      <c r="O267" s="230"/>
      <c r="R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  <c r="AC267" s="230"/>
      <c r="AD267" s="230"/>
      <c r="AE267" s="230"/>
      <c r="AF267" s="230"/>
      <c r="AG267" s="230"/>
      <c r="AH267" s="230"/>
    </row>
    <row r="268">
      <c r="O268" s="230"/>
      <c r="R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  <c r="AC268" s="230"/>
      <c r="AD268" s="230"/>
      <c r="AE268" s="230"/>
      <c r="AF268" s="230"/>
      <c r="AG268" s="230"/>
      <c r="AH268" s="230"/>
    </row>
    <row r="269">
      <c r="O269" s="230"/>
      <c r="R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  <c r="AC269" s="230"/>
      <c r="AD269" s="230"/>
      <c r="AE269" s="230"/>
      <c r="AF269" s="230"/>
      <c r="AG269" s="230"/>
      <c r="AH269" s="230"/>
    </row>
    <row r="270">
      <c r="O270" s="230"/>
      <c r="R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  <c r="AC270" s="230"/>
      <c r="AD270" s="230"/>
      <c r="AE270" s="230"/>
      <c r="AF270" s="230"/>
      <c r="AG270" s="230"/>
      <c r="AH270" s="230"/>
    </row>
    <row r="271">
      <c r="O271" s="230"/>
      <c r="R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  <c r="AC271" s="230"/>
      <c r="AD271" s="230"/>
      <c r="AE271" s="230"/>
      <c r="AF271" s="230"/>
      <c r="AG271" s="230"/>
      <c r="AH271" s="230"/>
    </row>
    <row r="272">
      <c r="O272" s="230"/>
      <c r="R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  <c r="AC272" s="230"/>
      <c r="AD272" s="230"/>
      <c r="AE272" s="230"/>
      <c r="AF272" s="230"/>
      <c r="AG272" s="230"/>
      <c r="AH272" s="230"/>
    </row>
    <row r="273">
      <c r="O273" s="230"/>
      <c r="R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  <c r="AC273" s="230"/>
      <c r="AD273" s="230"/>
      <c r="AE273" s="230"/>
      <c r="AF273" s="230"/>
      <c r="AG273" s="230"/>
      <c r="AH273" s="230"/>
    </row>
    <row r="274">
      <c r="O274" s="230"/>
      <c r="R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  <c r="AC274" s="230"/>
      <c r="AD274" s="230"/>
      <c r="AE274" s="230"/>
      <c r="AF274" s="230"/>
      <c r="AG274" s="230"/>
      <c r="AH274" s="230"/>
    </row>
    <row r="275">
      <c r="O275" s="230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  <c r="AF275" s="230"/>
      <c r="AG275" s="230"/>
      <c r="AH275" s="230"/>
    </row>
    <row r="276">
      <c r="O276" s="230"/>
      <c r="R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  <c r="AC276" s="230"/>
      <c r="AD276" s="230"/>
      <c r="AE276" s="230"/>
      <c r="AF276" s="230"/>
      <c r="AG276" s="230"/>
      <c r="AH276" s="230"/>
    </row>
    <row r="277">
      <c r="O277" s="230"/>
      <c r="R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  <c r="AC277" s="230"/>
      <c r="AD277" s="230"/>
      <c r="AE277" s="230"/>
      <c r="AF277" s="230"/>
      <c r="AG277" s="230"/>
      <c r="AH277" s="230"/>
    </row>
    <row r="278">
      <c r="O278" s="230"/>
      <c r="R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  <c r="AC278" s="230"/>
      <c r="AD278" s="230"/>
      <c r="AE278" s="230"/>
      <c r="AF278" s="230"/>
      <c r="AG278" s="230"/>
      <c r="AH278" s="230"/>
    </row>
    <row r="279">
      <c r="O279" s="230"/>
      <c r="R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  <c r="AC279" s="230"/>
      <c r="AD279" s="230"/>
      <c r="AE279" s="230"/>
      <c r="AF279" s="230"/>
      <c r="AG279" s="230"/>
      <c r="AH279" s="230"/>
    </row>
    <row r="280">
      <c r="O280" s="230"/>
      <c r="R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  <c r="AC280" s="230"/>
      <c r="AD280" s="230"/>
      <c r="AE280" s="230"/>
      <c r="AF280" s="230"/>
      <c r="AG280" s="230"/>
      <c r="AH280" s="230"/>
    </row>
    <row r="281">
      <c r="O281" s="230"/>
      <c r="R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  <c r="AC281" s="230"/>
      <c r="AD281" s="230"/>
      <c r="AE281" s="230"/>
      <c r="AF281" s="230"/>
      <c r="AG281" s="230"/>
      <c r="AH281" s="230"/>
    </row>
    <row r="282">
      <c r="O282" s="230"/>
      <c r="R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  <c r="AC282" s="230"/>
      <c r="AD282" s="230"/>
      <c r="AE282" s="230"/>
      <c r="AF282" s="230"/>
      <c r="AG282" s="230"/>
      <c r="AH282" s="230"/>
    </row>
    <row r="283">
      <c r="O283" s="230"/>
      <c r="R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  <c r="AC283" s="230"/>
      <c r="AD283" s="230"/>
      <c r="AE283" s="230"/>
      <c r="AF283" s="230"/>
      <c r="AG283" s="230"/>
      <c r="AH283" s="230"/>
    </row>
    <row r="284">
      <c r="O284" s="230"/>
      <c r="R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  <c r="AC284" s="230"/>
      <c r="AD284" s="230"/>
      <c r="AE284" s="230"/>
      <c r="AF284" s="230"/>
      <c r="AG284" s="230"/>
      <c r="AH284" s="230"/>
    </row>
    <row r="285">
      <c r="O285" s="230"/>
      <c r="R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  <c r="AC285" s="230"/>
      <c r="AD285" s="230"/>
      <c r="AE285" s="230"/>
      <c r="AF285" s="230"/>
      <c r="AG285" s="230"/>
      <c r="AH285" s="230"/>
    </row>
    <row r="286">
      <c r="O286" s="230"/>
      <c r="R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  <c r="AC286" s="230"/>
      <c r="AD286" s="230"/>
      <c r="AE286" s="230"/>
      <c r="AF286" s="230"/>
      <c r="AG286" s="230"/>
      <c r="AH286" s="230"/>
    </row>
    <row r="287">
      <c r="O287" s="230"/>
      <c r="R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  <c r="AD287" s="230"/>
      <c r="AE287" s="230"/>
      <c r="AF287" s="230"/>
      <c r="AG287" s="230"/>
      <c r="AH287" s="230"/>
    </row>
    <row r="288">
      <c r="O288" s="230"/>
      <c r="R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  <c r="AC288" s="230"/>
      <c r="AD288" s="230"/>
      <c r="AE288" s="230"/>
      <c r="AF288" s="230"/>
      <c r="AG288" s="230"/>
      <c r="AH288" s="230"/>
    </row>
    <row r="289">
      <c r="O289" s="230"/>
      <c r="R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  <c r="AC289" s="230"/>
      <c r="AD289" s="230"/>
      <c r="AE289" s="230"/>
      <c r="AF289" s="230"/>
      <c r="AG289" s="230"/>
      <c r="AH289" s="230"/>
    </row>
    <row r="290">
      <c r="O290" s="230"/>
      <c r="R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  <c r="AC290" s="230"/>
      <c r="AD290" s="230"/>
      <c r="AE290" s="230"/>
      <c r="AF290" s="230"/>
      <c r="AG290" s="230"/>
      <c r="AH290" s="230"/>
    </row>
    <row r="291">
      <c r="O291" s="230"/>
      <c r="R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  <c r="AC291" s="230"/>
      <c r="AD291" s="230"/>
      <c r="AE291" s="230"/>
      <c r="AF291" s="230"/>
      <c r="AG291" s="230"/>
      <c r="AH291" s="230"/>
    </row>
    <row r="292">
      <c r="O292" s="230"/>
      <c r="R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  <c r="AC292" s="230"/>
      <c r="AD292" s="230"/>
      <c r="AE292" s="230"/>
      <c r="AF292" s="230"/>
      <c r="AG292" s="230"/>
      <c r="AH292" s="230"/>
    </row>
    <row r="293">
      <c r="O293" s="230"/>
      <c r="R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  <c r="AC293" s="230"/>
      <c r="AD293" s="230"/>
      <c r="AE293" s="230"/>
      <c r="AF293" s="230"/>
      <c r="AG293" s="230"/>
      <c r="AH293" s="230"/>
    </row>
    <row r="294">
      <c r="O294" s="230"/>
      <c r="R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  <c r="AD294" s="230"/>
      <c r="AE294" s="230"/>
      <c r="AF294" s="230"/>
      <c r="AG294" s="230"/>
      <c r="AH294" s="230"/>
    </row>
    <row r="295">
      <c r="O295" s="230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  <c r="AF295" s="230"/>
      <c r="AG295" s="230"/>
      <c r="AH295" s="230"/>
    </row>
    <row r="296">
      <c r="O296" s="230"/>
      <c r="R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  <c r="AD296" s="230"/>
      <c r="AE296" s="230"/>
      <c r="AF296" s="230"/>
      <c r="AG296" s="230"/>
      <c r="AH296" s="230"/>
    </row>
    <row r="297">
      <c r="O297" s="230"/>
      <c r="R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  <c r="AD297" s="230"/>
      <c r="AE297" s="230"/>
      <c r="AF297" s="230"/>
      <c r="AG297" s="230"/>
      <c r="AH297" s="230"/>
    </row>
    <row r="298">
      <c r="O298" s="230"/>
      <c r="R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  <c r="AD298" s="230"/>
      <c r="AE298" s="230"/>
      <c r="AF298" s="230"/>
      <c r="AG298" s="230"/>
      <c r="AH298" s="230"/>
    </row>
    <row r="299">
      <c r="O299" s="230"/>
      <c r="R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  <c r="AD299" s="230"/>
      <c r="AE299" s="230"/>
      <c r="AF299" s="230"/>
      <c r="AG299" s="230"/>
      <c r="AH299" s="230"/>
    </row>
    <row r="300">
      <c r="O300" s="230"/>
      <c r="R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  <c r="AD300" s="230"/>
      <c r="AE300" s="230"/>
      <c r="AF300" s="230"/>
      <c r="AG300" s="230"/>
      <c r="AH300" s="230"/>
    </row>
    <row r="301">
      <c r="O301" s="230"/>
      <c r="R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  <c r="AD301" s="230"/>
      <c r="AE301" s="230"/>
      <c r="AF301" s="230"/>
      <c r="AG301" s="230"/>
      <c r="AH301" s="230"/>
    </row>
    <row r="302">
      <c r="O302" s="230"/>
      <c r="R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  <c r="AD302" s="230"/>
      <c r="AE302" s="230"/>
      <c r="AF302" s="230"/>
      <c r="AG302" s="230"/>
      <c r="AH302" s="230"/>
    </row>
    <row r="303">
      <c r="O303" s="230"/>
      <c r="R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  <c r="AD303" s="230"/>
      <c r="AE303" s="230"/>
      <c r="AF303" s="230"/>
      <c r="AG303" s="230"/>
      <c r="AH303" s="230"/>
    </row>
    <row r="304">
      <c r="O304" s="230"/>
      <c r="R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  <c r="AD304" s="230"/>
      <c r="AE304" s="230"/>
      <c r="AF304" s="230"/>
      <c r="AG304" s="230"/>
      <c r="AH304" s="230"/>
    </row>
    <row r="305">
      <c r="O305" s="230"/>
      <c r="R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  <c r="AD305" s="230"/>
      <c r="AE305" s="230"/>
      <c r="AF305" s="230"/>
      <c r="AG305" s="230"/>
      <c r="AH305" s="230"/>
    </row>
    <row r="306">
      <c r="O306" s="230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230"/>
      <c r="AH306" s="230"/>
    </row>
    <row r="307">
      <c r="O307" s="230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  <c r="AD307" s="230"/>
      <c r="AE307" s="230"/>
      <c r="AF307" s="230"/>
      <c r="AG307" s="230"/>
      <c r="AH307" s="230"/>
    </row>
    <row r="308">
      <c r="O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  <c r="AF308" s="230"/>
      <c r="AG308" s="230"/>
      <c r="AH308" s="230"/>
    </row>
    <row r="309">
      <c r="O309" s="230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  <c r="AD309" s="230"/>
      <c r="AE309" s="230"/>
      <c r="AF309" s="230"/>
      <c r="AG309" s="230"/>
      <c r="AH309" s="230"/>
    </row>
    <row r="310">
      <c r="O310" s="230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  <c r="AD310" s="230"/>
      <c r="AE310" s="230"/>
      <c r="AF310" s="230"/>
      <c r="AG310" s="230"/>
      <c r="AH310" s="230"/>
    </row>
    <row r="311">
      <c r="O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</row>
    <row r="312">
      <c r="O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</row>
    <row r="313">
      <c r="O313" s="230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</row>
    <row r="314">
      <c r="O314" s="230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</row>
    <row r="315">
      <c r="O315" s="230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</row>
    <row r="316">
      <c r="O316" s="230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</row>
    <row r="317">
      <c r="O317" s="230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</row>
    <row r="318">
      <c r="O318" s="230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</row>
    <row r="319">
      <c r="O319" s="230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</row>
    <row r="320">
      <c r="O320" s="230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</row>
    <row r="321">
      <c r="O321" s="230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</row>
    <row r="322">
      <c r="O322" s="230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</row>
    <row r="323">
      <c r="O323" s="230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</row>
    <row r="324">
      <c r="O324" s="230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</row>
    <row r="325">
      <c r="O325" s="230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</row>
    <row r="326">
      <c r="O326" s="230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</row>
    <row r="327">
      <c r="O327" s="230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</row>
    <row r="328">
      <c r="O328" s="230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</row>
    <row r="329">
      <c r="O329" s="230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</row>
    <row r="330">
      <c r="O330" s="230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</row>
    <row r="331">
      <c r="O331" s="230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</row>
    <row r="332">
      <c r="O332" s="230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</row>
    <row r="333">
      <c r="O333" s="230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</row>
    <row r="334">
      <c r="O334" s="230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</row>
    <row r="335">
      <c r="O335" s="230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</row>
    <row r="336">
      <c r="O336" s="230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</row>
    <row r="337">
      <c r="O337" s="230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</row>
    <row r="338">
      <c r="O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</row>
    <row r="339">
      <c r="O339" s="230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</row>
    <row r="340">
      <c r="O340" s="230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</row>
    <row r="341">
      <c r="O341" s="230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</row>
    <row r="342">
      <c r="O342" s="230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</row>
    <row r="343">
      <c r="O343" s="230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</row>
    <row r="344">
      <c r="O344" s="230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</row>
    <row r="345">
      <c r="O345" s="230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</row>
    <row r="346">
      <c r="O346" s="230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</row>
    <row r="347">
      <c r="O347" s="230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</row>
    <row r="348">
      <c r="O348" s="230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</row>
    <row r="349">
      <c r="O349" s="230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</row>
    <row r="350">
      <c r="O350" s="230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</row>
    <row r="351">
      <c r="O351" s="230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</row>
    <row r="352">
      <c r="O352" s="230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</row>
    <row r="353">
      <c r="O353" s="230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</row>
    <row r="354">
      <c r="O354" s="230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</row>
    <row r="355">
      <c r="O355" s="230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</row>
    <row r="356">
      <c r="O356" s="230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</row>
    <row r="357">
      <c r="O357" s="230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</row>
    <row r="358">
      <c r="O358" s="230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</row>
    <row r="359">
      <c r="O359" s="230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</row>
    <row r="360">
      <c r="O360" s="230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</row>
    <row r="361">
      <c r="O361" s="230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</row>
    <row r="362">
      <c r="O362" s="230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</row>
    <row r="363">
      <c r="O363" s="230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</row>
    <row r="364">
      <c r="O364" s="230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</row>
    <row r="365">
      <c r="O365" s="230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</row>
    <row r="366">
      <c r="O366" s="230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</row>
    <row r="367">
      <c r="O367" s="230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</row>
    <row r="368">
      <c r="O368" s="230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</row>
    <row r="369">
      <c r="O369" s="230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</row>
    <row r="370">
      <c r="O370" s="230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</row>
    <row r="371">
      <c r="O371" s="230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</row>
    <row r="372">
      <c r="O372" s="230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</row>
    <row r="373">
      <c r="O373" s="230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</row>
    <row r="374">
      <c r="O374" s="230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</row>
    <row r="375">
      <c r="O375" s="230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</row>
    <row r="376">
      <c r="O376" s="230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</row>
    <row r="377">
      <c r="O377" s="230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</row>
    <row r="378">
      <c r="O378" s="230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</row>
    <row r="379">
      <c r="O379" s="230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</row>
    <row r="380">
      <c r="O380" s="230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</row>
    <row r="381">
      <c r="O381" s="230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</row>
    <row r="382">
      <c r="O382" s="230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</row>
    <row r="383">
      <c r="O383" s="230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</row>
    <row r="384">
      <c r="O384" s="230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</row>
    <row r="385">
      <c r="O385" s="230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</row>
    <row r="386">
      <c r="O386" s="230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</row>
    <row r="387">
      <c r="O387" s="230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</row>
    <row r="388">
      <c r="O388" s="230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</row>
    <row r="389">
      <c r="O389" s="230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</row>
    <row r="390">
      <c r="O390" s="230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</row>
    <row r="391">
      <c r="O391" s="230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</row>
    <row r="392">
      <c r="O392" s="230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</row>
    <row r="393">
      <c r="O393" s="230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</row>
    <row r="394">
      <c r="O394" s="230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</row>
    <row r="395">
      <c r="O395" s="230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</row>
    <row r="396">
      <c r="O396" s="230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</row>
    <row r="397">
      <c r="O397" s="230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</row>
    <row r="398">
      <c r="O398" s="230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</row>
    <row r="399">
      <c r="O399" s="230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</row>
    <row r="400">
      <c r="O400" s="230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</row>
    <row r="401">
      <c r="O401" s="230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</row>
    <row r="402">
      <c r="O402" s="230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</row>
    <row r="403">
      <c r="O403" s="230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</row>
    <row r="404">
      <c r="O404" s="230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</row>
    <row r="405">
      <c r="O405" s="230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</row>
    <row r="406">
      <c r="O406" s="230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</row>
    <row r="407">
      <c r="O407" s="230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</row>
    <row r="408">
      <c r="O408" s="230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</row>
    <row r="409">
      <c r="O409" s="230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</row>
    <row r="410">
      <c r="O410" s="230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</row>
    <row r="411">
      <c r="O411" s="230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</row>
    <row r="412">
      <c r="O412" s="230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</row>
    <row r="413">
      <c r="O413" s="230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</row>
    <row r="414">
      <c r="O414" s="230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</row>
    <row r="415">
      <c r="O415" s="230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</row>
    <row r="416">
      <c r="O416" s="230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</row>
    <row r="417">
      <c r="O417" s="230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</row>
    <row r="418">
      <c r="O418" s="230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</row>
    <row r="419">
      <c r="O419" s="230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</row>
    <row r="420">
      <c r="O420" s="230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</row>
    <row r="421">
      <c r="O421" s="230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</row>
    <row r="422">
      <c r="O422" s="230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</row>
    <row r="423">
      <c r="O423" s="230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</row>
    <row r="424">
      <c r="O424" s="230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</row>
    <row r="425">
      <c r="O425" s="230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</row>
    <row r="426">
      <c r="O426" s="230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</row>
    <row r="427">
      <c r="O427" s="230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</row>
    <row r="428">
      <c r="O428" s="230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</row>
    <row r="429">
      <c r="O429" s="230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</row>
    <row r="430">
      <c r="O430" s="230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</row>
    <row r="431">
      <c r="O431" s="230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</row>
    <row r="432">
      <c r="O432" s="230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</row>
    <row r="433">
      <c r="O433" s="230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</row>
    <row r="434">
      <c r="O434" s="230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</row>
    <row r="435">
      <c r="O435" s="230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</row>
    <row r="436">
      <c r="O436" s="230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</row>
    <row r="437">
      <c r="O437" s="230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</row>
    <row r="438">
      <c r="O438" s="230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</row>
    <row r="439">
      <c r="O439" s="230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</row>
    <row r="440">
      <c r="O440" s="230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</row>
    <row r="441">
      <c r="O441" s="230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</row>
    <row r="442">
      <c r="O442" s="230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</row>
    <row r="443">
      <c r="O443" s="230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</row>
    <row r="444">
      <c r="O444" s="230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</row>
    <row r="445">
      <c r="O445" s="230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</row>
    <row r="446">
      <c r="O446" s="230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</row>
    <row r="447">
      <c r="O447" s="230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</row>
    <row r="448">
      <c r="O448" s="230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</row>
    <row r="449">
      <c r="O449" s="230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</row>
    <row r="450">
      <c r="O450" s="230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</row>
    <row r="451">
      <c r="O451" s="230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</row>
    <row r="452">
      <c r="O452" s="230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</row>
    <row r="453">
      <c r="O453" s="230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</row>
    <row r="454">
      <c r="O454" s="230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</row>
    <row r="455">
      <c r="O455" s="230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</row>
    <row r="456">
      <c r="O456" s="230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</row>
    <row r="457">
      <c r="O457" s="230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</row>
    <row r="458">
      <c r="O458" s="230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</row>
    <row r="459">
      <c r="O459" s="230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</row>
    <row r="460">
      <c r="O460" s="230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</row>
    <row r="461">
      <c r="O461" s="230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</row>
    <row r="462">
      <c r="O462" s="230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</row>
    <row r="463">
      <c r="O463" s="230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</row>
    <row r="464">
      <c r="O464" s="230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</row>
    <row r="465">
      <c r="O465" s="230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</row>
    <row r="466">
      <c r="O466" s="230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</row>
    <row r="467">
      <c r="O467" s="230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</row>
    <row r="468">
      <c r="O468" s="230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</row>
    <row r="469">
      <c r="O469" s="230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</row>
    <row r="470">
      <c r="O470" s="230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</row>
    <row r="471">
      <c r="O471" s="230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</row>
    <row r="472">
      <c r="O472" s="230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</row>
    <row r="473">
      <c r="O473" s="230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</row>
    <row r="474">
      <c r="O474" s="230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</row>
    <row r="475">
      <c r="O475" s="230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</row>
    <row r="476">
      <c r="O476" s="230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</row>
    <row r="477">
      <c r="O477" s="230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</row>
    <row r="478">
      <c r="O478" s="230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</row>
    <row r="479">
      <c r="O479" s="230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</row>
    <row r="480">
      <c r="O480" s="230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</row>
    <row r="481">
      <c r="O481" s="230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</row>
    <row r="482">
      <c r="O482" s="230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</row>
    <row r="483">
      <c r="O483" s="230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</row>
    <row r="484">
      <c r="O484" s="230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</row>
    <row r="485">
      <c r="O485" s="230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</row>
    <row r="486">
      <c r="O486" s="230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</row>
    <row r="487">
      <c r="O487" s="230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</row>
    <row r="488">
      <c r="O488" s="230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</row>
    <row r="489">
      <c r="O489" s="230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</row>
    <row r="490">
      <c r="O490" s="230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</row>
    <row r="491">
      <c r="O491" s="230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</row>
    <row r="492">
      <c r="O492" s="230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</row>
    <row r="493">
      <c r="O493" s="230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</row>
    <row r="494">
      <c r="O494" s="230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</row>
    <row r="495">
      <c r="O495" s="230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</row>
    <row r="496">
      <c r="O496" s="230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</row>
    <row r="497">
      <c r="O497" s="230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</row>
    <row r="498">
      <c r="O498" s="230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</row>
    <row r="499">
      <c r="O499" s="230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</row>
    <row r="500">
      <c r="O500" s="230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</row>
    <row r="501">
      <c r="O501" s="230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</row>
    <row r="502">
      <c r="O502" s="230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</row>
    <row r="503">
      <c r="O503" s="230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</row>
    <row r="504">
      <c r="O504" s="230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</row>
    <row r="505">
      <c r="O505" s="230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</row>
    <row r="506">
      <c r="O506" s="230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</row>
    <row r="507">
      <c r="O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</row>
    <row r="508">
      <c r="O508" s="230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</row>
    <row r="509">
      <c r="O509" s="230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</row>
    <row r="510">
      <c r="O510" s="230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</row>
    <row r="511">
      <c r="O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</row>
    <row r="512">
      <c r="O512" s="230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</row>
    <row r="513">
      <c r="O513" s="230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</row>
    <row r="514">
      <c r="O514" s="230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</row>
    <row r="515">
      <c r="O515" s="230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</row>
    <row r="516">
      <c r="O516" s="230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</row>
    <row r="517">
      <c r="O517" s="230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</row>
    <row r="518">
      <c r="O518" s="230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</row>
    <row r="519">
      <c r="O519" s="230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</row>
    <row r="520">
      <c r="O520" s="230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</row>
    <row r="521">
      <c r="O521" s="230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</row>
    <row r="522">
      <c r="O522" s="230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</row>
    <row r="523">
      <c r="O523" s="230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</row>
    <row r="524">
      <c r="O524" s="230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</row>
    <row r="525">
      <c r="O525" s="230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</row>
    <row r="526">
      <c r="O526" s="230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</row>
    <row r="527">
      <c r="O527" s="230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</row>
    <row r="528">
      <c r="O528" s="230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</row>
    <row r="529">
      <c r="O529" s="230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</row>
    <row r="530">
      <c r="O530" s="230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</row>
    <row r="531">
      <c r="O531" s="230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</row>
    <row r="532">
      <c r="O532" s="230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</row>
    <row r="533">
      <c r="O533" s="230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</row>
    <row r="534">
      <c r="O534" s="230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</row>
    <row r="535">
      <c r="O535" s="230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</row>
    <row r="536">
      <c r="O536" s="230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</row>
    <row r="537">
      <c r="O537" s="230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</row>
    <row r="538">
      <c r="O538" s="230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</row>
    <row r="539">
      <c r="O539" s="230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</row>
    <row r="540">
      <c r="O540" s="230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</row>
    <row r="541">
      <c r="O541" s="230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</row>
    <row r="542">
      <c r="O542" s="230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</row>
    <row r="543">
      <c r="O543" s="230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</row>
    <row r="544">
      <c r="O544" s="230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</row>
    <row r="545">
      <c r="O545" s="230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</row>
    <row r="546">
      <c r="O546" s="230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</row>
    <row r="547">
      <c r="O547" s="230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</row>
    <row r="548">
      <c r="O548" s="230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</row>
    <row r="549">
      <c r="O549" s="230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</row>
    <row r="550">
      <c r="O550" s="230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</row>
    <row r="551">
      <c r="O551" s="230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</row>
    <row r="552">
      <c r="O552" s="230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</row>
    <row r="553">
      <c r="O553" s="230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</row>
    <row r="554">
      <c r="O554" s="230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</row>
    <row r="555">
      <c r="O555" s="230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</row>
    <row r="556">
      <c r="O556" s="230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</row>
    <row r="557">
      <c r="O557" s="230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</row>
    <row r="558">
      <c r="O558" s="230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</row>
    <row r="559">
      <c r="O559" s="230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</row>
    <row r="560">
      <c r="O560" s="230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</row>
    <row r="561">
      <c r="O561" s="230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</row>
    <row r="562">
      <c r="O562" s="230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</row>
    <row r="563">
      <c r="O563" s="230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</row>
    <row r="564">
      <c r="O564" s="230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</row>
    <row r="565">
      <c r="O565" s="230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</row>
    <row r="566">
      <c r="O566" s="230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</row>
    <row r="567">
      <c r="O567" s="230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</row>
    <row r="568">
      <c r="O568" s="230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</row>
    <row r="569">
      <c r="O569" s="230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</row>
    <row r="570">
      <c r="O570" s="230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</row>
    <row r="571">
      <c r="O571" s="230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</row>
    <row r="572">
      <c r="O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</row>
    <row r="573">
      <c r="O573" s="230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</row>
    <row r="574">
      <c r="O574" s="230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</row>
    <row r="575">
      <c r="O575" s="230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</row>
    <row r="576">
      <c r="O576" s="230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</row>
    <row r="577">
      <c r="O577" s="230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</row>
    <row r="578">
      <c r="O578" s="230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</row>
    <row r="579">
      <c r="O579" s="230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</row>
    <row r="580">
      <c r="O580" s="230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</row>
    <row r="581">
      <c r="O581" s="230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</row>
    <row r="582">
      <c r="O582" s="230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</row>
    <row r="583">
      <c r="O583" s="230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</row>
    <row r="584">
      <c r="O584" s="230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</row>
    <row r="585">
      <c r="O585" s="230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</row>
    <row r="586">
      <c r="O586" s="230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</row>
    <row r="587">
      <c r="O587" s="230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</row>
    <row r="588">
      <c r="O588" s="230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</row>
    <row r="589">
      <c r="O589" s="230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</row>
    <row r="590">
      <c r="O590" s="230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</row>
    <row r="591">
      <c r="O591" s="230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</row>
    <row r="592">
      <c r="O592" s="230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</row>
    <row r="593">
      <c r="O593" s="230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</row>
    <row r="594">
      <c r="O594" s="230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</row>
    <row r="595">
      <c r="O595" s="230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</row>
    <row r="596">
      <c r="O596" s="230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</row>
    <row r="597">
      <c r="O597" s="230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</row>
    <row r="598">
      <c r="O598" s="230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</row>
    <row r="599">
      <c r="O599" s="230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</row>
    <row r="600">
      <c r="O600" s="230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</row>
    <row r="601">
      <c r="O601" s="230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</row>
    <row r="602">
      <c r="O602" s="230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</row>
    <row r="603">
      <c r="O603" s="230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</row>
    <row r="604">
      <c r="O604" s="230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</row>
    <row r="605">
      <c r="O605" s="230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</row>
    <row r="606">
      <c r="O606" s="230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</row>
    <row r="607">
      <c r="O607" s="230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</row>
    <row r="608">
      <c r="O608" s="230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</row>
    <row r="609">
      <c r="O609" s="230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</row>
    <row r="610">
      <c r="O610" s="230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</row>
    <row r="611">
      <c r="O611" s="230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</row>
    <row r="612">
      <c r="O612" s="230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</row>
    <row r="613">
      <c r="O613" s="230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</row>
    <row r="614">
      <c r="O614" s="230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</row>
    <row r="615">
      <c r="O615" s="230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</row>
    <row r="616">
      <c r="O616" s="230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</row>
    <row r="617">
      <c r="O617" s="230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</row>
    <row r="618">
      <c r="O618" s="230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</row>
    <row r="619">
      <c r="O619" s="230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</row>
    <row r="620">
      <c r="O620" s="230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</row>
    <row r="621">
      <c r="O621" s="230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</row>
    <row r="622">
      <c r="O622" s="230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</row>
    <row r="623">
      <c r="O623" s="230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</row>
    <row r="624">
      <c r="O624" s="230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</row>
    <row r="625">
      <c r="O625" s="230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</row>
    <row r="626">
      <c r="O626" s="230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</row>
    <row r="627">
      <c r="O627" s="230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</row>
    <row r="628">
      <c r="O628" s="230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</row>
    <row r="629">
      <c r="O629" s="230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</row>
    <row r="630">
      <c r="O630" s="230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</row>
    <row r="631">
      <c r="O631" s="230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</row>
    <row r="632">
      <c r="O632" s="230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</row>
    <row r="633">
      <c r="O633" s="230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</row>
    <row r="634">
      <c r="O634" s="230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</row>
    <row r="635">
      <c r="O635" s="230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</row>
    <row r="636">
      <c r="O636" s="230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</row>
    <row r="637">
      <c r="O637" s="230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</row>
    <row r="638">
      <c r="O638" s="230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</row>
    <row r="639">
      <c r="O639" s="230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</row>
    <row r="640">
      <c r="O640" s="230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</row>
    <row r="641">
      <c r="O641" s="230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</row>
    <row r="642">
      <c r="O642" s="230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</row>
    <row r="643">
      <c r="O643" s="230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</row>
    <row r="644">
      <c r="O644" s="230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</row>
    <row r="645">
      <c r="O645" s="230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</row>
    <row r="646">
      <c r="O646" s="230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</row>
    <row r="647">
      <c r="O647" s="230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</row>
    <row r="648">
      <c r="O648" s="230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</row>
    <row r="649">
      <c r="O649" s="230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</row>
    <row r="650">
      <c r="O650" s="230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</row>
    <row r="651">
      <c r="O651" s="230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</row>
    <row r="652">
      <c r="O652" s="230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</row>
    <row r="653">
      <c r="O653" s="230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</row>
    <row r="654">
      <c r="O654" s="230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</row>
    <row r="655">
      <c r="O655" s="230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</row>
    <row r="656">
      <c r="O656" s="230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</row>
    <row r="657">
      <c r="O657" s="230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</row>
    <row r="658">
      <c r="O658" s="230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</row>
    <row r="659">
      <c r="O659" s="230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</row>
    <row r="660">
      <c r="O660" s="230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</row>
    <row r="661">
      <c r="O661" s="230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</row>
    <row r="662">
      <c r="O662" s="230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</row>
    <row r="663">
      <c r="O663" s="230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</row>
    <row r="664">
      <c r="O664" s="230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</row>
    <row r="665">
      <c r="O665" s="230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</row>
    <row r="666">
      <c r="O666" s="230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</row>
    <row r="667">
      <c r="O667" s="230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</row>
    <row r="668">
      <c r="O668" s="230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</row>
    <row r="669">
      <c r="O669" s="230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</row>
    <row r="670">
      <c r="O670" s="230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</row>
    <row r="671">
      <c r="O671" s="230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</row>
    <row r="672">
      <c r="O672" s="230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</row>
    <row r="673">
      <c r="O673" s="230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</row>
    <row r="674">
      <c r="O674" s="230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</row>
    <row r="675">
      <c r="O675" s="230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</row>
    <row r="676">
      <c r="O676" s="230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</row>
    <row r="677">
      <c r="O677" s="230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</row>
    <row r="678">
      <c r="O678" s="230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</row>
    <row r="679">
      <c r="O679" s="230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</row>
    <row r="680">
      <c r="O680" s="230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</row>
    <row r="681">
      <c r="O681" s="230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</row>
    <row r="682">
      <c r="O682" s="230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</row>
    <row r="683">
      <c r="O683" s="230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</row>
    <row r="684">
      <c r="O684" s="230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</row>
    <row r="685">
      <c r="O685" s="230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</row>
    <row r="686">
      <c r="O686" s="230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</row>
    <row r="687">
      <c r="O687" s="230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</row>
    <row r="688">
      <c r="O688" s="230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</row>
    <row r="689">
      <c r="O689" s="230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</row>
    <row r="690">
      <c r="O690" s="230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</row>
    <row r="691">
      <c r="O691" s="230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</row>
    <row r="692">
      <c r="O692" s="230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</row>
    <row r="693">
      <c r="O693" s="230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</row>
    <row r="694">
      <c r="O694" s="230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</row>
    <row r="695">
      <c r="O695" s="230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</row>
    <row r="696">
      <c r="O696" s="230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</row>
    <row r="697">
      <c r="O697" s="230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</row>
    <row r="698">
      <c r="O698" s="230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</row>
    <row r="699">
      <c r="O699" s="230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</row>
    <row r="700">
      <c r="O700" s="230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</row>
    <row r="701">
      <c r="O701" s="230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</row>
    <row r="702">
      <c r="O702" s="230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</row>
    <row r="703">
      <c r="O703" s="230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</row>
    <row r="704">
      <c r="O704" s="230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</row>
    <row r="705">
      <c r="O705" s="230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</row>
    <row r="706">
      <c r="O706" s="230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</row>
    <row r="707">
      <c r="O707" s="230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</row>
    <row r="708">
      <c r="O708" s="230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</row>
    <row r="709">
      <c r="O709" s="230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</row>
    <row r="710">
      <c r="O710" s="230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</row>
    <row r="711">
      <c r="O711" s="230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</row>
    <row r="712">
      <c r="O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</row>
    <row r="713">
      <c r="O713" s="230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</row>
    <row r="714">
      <c r="O714" s="230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</row>
    <row r="715">
      <c r="O715" s="230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</row>
    <row r="716">
      <c r="O716" s="230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</row>
    <row r="717">
      <c r="O717" s="230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</row>
    <row r="718">
      <c r="O718" s="230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</row>
    <row r="719">
      <c r="O719" s="230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</row>
    <row r="720">
      <c r="O720" s="230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</row>
    <row r="721">
      <c r="O721" s="230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</row>
    <row r="722">
      <c r="O722" s="230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</row>
    <row r="723">
      <c r="O723" s="230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</row>
    <row r="724">
      <c r="O724" s="230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</row>
    <row r="725">
      <c r="O725" s="230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</row>
    <row r="726">
      <c r="O726" s="230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</row>
    <row r="727">
      <c r="O727" s="230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</row>
    <row r="728">
      <c r="O728" s="230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</row>
    <row r="729">
      <c r="O729" s="230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</row>
    <row r="730">
      <c r="O730" s="230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</row>
    <row r="731">
      <c r="O731" s="230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</row>
    <row r="732">
      <c r="O732" s="230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</row>
    <row r="733">
      <c r="O733" s="230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</row>
    <row r="734">
      <c r="O734" s="230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</row>
    <row r="735">
      <c r="O735" s="230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</row>
    <row r="736">
      <c r="O736" s="230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</row>
    <row r="737">
      <c r="O737" s="230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</row>
    <row r="738">
      <c r="O738" s="230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</row>
    <row r="739">
      <c r="O739" s="230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</row>
    <row r="740">
      <c r="O740" s="230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</row>
    <row r="741">
      <c r="O741" s="230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</row>
    <row r="742">
      <c r="O742" s="230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</row>
    <row r="743">
      <c r="O743" s="230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</row>
    <row r="744">
      <c r="O744" s="230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</row>
    <row r="745">
      <c r="O745" s="230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</row>
    <row r="746">
      <c r="O746" s="230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</row>
    <row r="747">
      <c r="O747" s="230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</row>
    <row r="748">
      <c r="O748" s="230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</row>
    <row r="749">
      <c r="O749" s="230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</row>
    <row r="750">
      <c r="O750" s="230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</row>
    <row r="751">
      <c r="O751" s="230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</row>
    <row r="752">
      <c r="O752" s="230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</row>
    <row r="753">
      <c r="O753" s="230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</row>
    <row r="754">
      <c r="O754" s="230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</row>
    <row r="755">
      <c r="O755" s="230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</row>
    <row r="756">
      <c r="O756" s="230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</row>
    <row r="757">
      <c r="O757" s="230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</row>
    <row r="758">
      <c r="O758" s="230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</row>
    <row r="759">
      <c r="O759" s="230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</row>
    <row r="760">
      <c r="O760" s="230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</row>
    <row r="761">
      <c r="O761" s="230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</row>
    <row r="762">
      <c r="O762" s="230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</row>
    <row r="763">
      <c r="O763" s="230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</row>
    <row r="764">
      <c r="O764" s="230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</row>
    <row r="765">
      <c r="O765" s="230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</row>
    <row r="766">
      <c r="O766" s="230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</row>
    <row r="767">
      <c r="O767" s="230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</row>
    <row r="768">
      <c r="O768" s="230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</row>
    <row r="769">
      <c r="O769" s="230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</row>
    <row r="770">
      <c r="O770" s="230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</row>
    <row r="771">
      <c r="O771" s="230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</row>
    <row r="772">
      <c r="O772" s="230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</row>
    <row r="773">
      <c r="O773" s="230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</row>
    <row r="774">
      <c r="O774" s="230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</row>
    <row r="775">
      <c r="O775" s="230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</row>
    <row r="776">
      <c r="O776" s="230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</row>
    <row r="777">
      <c r="O777" s="230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</row>
    <row r="778">
      <c r="O778" s="230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</row>
    <row r="779">
      <c r="O779" s="230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</row>
    <row r="780">
      <c r="O780" s="230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</row>
    <row r="781">
      <c r="O781" s="230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</row>
    <row r="782">
      <c r="O782" s="230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</row>
    <row r="783">
      <c r="O783" s="230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</row>
    <row r="784">
      <c r="O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</row>
    <row r="785">
      <c r="O785" s="230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</row>
    <row r="786">
      <c r="O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</row>
    <row r="787">
      <c r="O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</row>
    <row r="788">
      <c r="O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</row>
    <row r="789">
      <c r="O789" s="230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</row>
    <row r="790">
      <c r="O790" s="230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</row>
    <row r="791">
      <c r="O791" s="230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</row>
    <row r="792">
      <c r="O792" s="230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</row>
    <row r="793">
      <c r="O793" s="230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</row>
    <row r="794">
      <c r="O794" s="230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</row>
    <row r="795">
      <c r="O795" s="230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</row>
    <row r="796">
      <c r="O796" s="230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</row>
    <row r="797">
      <c r="O797" s="230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</row>
    <row r="798">
      <c r="O798" s="230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</row>
    <row r="799">
      <c r="O799" s="230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</row>
    <row r="800">
      <c r="O800" s="230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</row>
    <row r="801">
      <c r="O801" s="230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</row>
    <row r="802">
      <c r="O802" s="230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</row>
    <row r="803">
      <c r="O803" s="230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</row>
    <row r="804">
      <c r="O804" s="230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</row>
    <row r="805">
      <c r="O805" s="230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</row>
    <row r="806">
      <c r="O806" s="230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</row>
    <row r="807">
      <c r="O807" s="230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</row>
    <row r="808">
      <c r="O808" s="230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</row>
    <row r="809">
      <c r="O809" s="230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</row>
    <row r="810">
      <c r="O810" s="230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</row>
    <row r="811">
      <c r="O811" s="230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</row>
    <row r="812">
      <c r="O812" s="230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</row>
    <row r="813">
      <c r="O813" s="230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</row>
    <row r="814">
      <c r="O814" s="230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</row>
    <row r="815">
      <c r="O815" s="230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</row>
    <row r="816">
      <c r="O816" s="230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</row>
    <row r="817">
      <c r="O817" s="230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</row>
    <row r="818">
      <c r="O818" s="230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</row>
    <row r="819">
      <c r="O819" s="230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</row>
    <row r="820">
      <c r="O820" s="230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</row>
    <row r="821">
      <c r="O821" s="230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</row>
    <row r="822">
      <c r="O822" s="230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</row>
    <row r="823">
      <c r="O823" s="230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</row>
    <row r="824">
      <c r="O824" s="230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</row>
    <row r="825">
      <c r="O825" s="230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</row>
    <row r="826">
      <c r="O826" s="230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</row>
    <row r="827">
      <c r="O827" s="230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</row>
    <row r="828">
      <c r="O828" s="230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</row>
    <row r="829">
      <c r="O829" s="230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</row>
    <row r="830">
      <c r="O830" s="230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</row>
    <row r="831">
      <c r="O831" s="230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</row>
    <row r="832">
      <c r="O832" s="230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</row>
    <row r="833">
      <c r="O833" s="230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</row>
    <row r="834">
      <c r="O834" s="230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</row>
    <row r="835">
      <c r="O835" s="230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</row>
    <row r="836">
      <c r="O836" s="230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</row>
    <row r="837">
      <c r="O837" s="230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</row>
    <row r="838">
      <c r="O838" s="230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</row>
    <row r="839">
      <c r="O839" s="230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</row>
    <row r="840">
      <c r="O840" s="230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</row>
    <row r="841">
      <c r="O841" s="230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</row>
    <row r="842">
      <c r="O842" s="230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</row>
    <row r="843">
      <c r="O843" s="230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</row>
    <row r="844">
      <c r="O844" s="230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</row>
    <row r="845">
      <c r="O845" s="230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</row>
    <row r="846">
      <c r="O846" s="230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</row>
    <row r="847">
      <c r="O847" s="230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</row>
    <row r="848">
      <c r="O848" s="230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</row>
    <row r="849">
      <c r="O849" s="230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</row>
    <row r="850">
      <c r="O850" s="230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</row>
    <row r="851">
      <c r="O851" s="230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</row>
    <row r="852">
      <c r="O852" s="230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</row>
    <row r="853">
      <c r="O853" s="230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</row>
    <row r="854">
      <c r="O854" s="230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</row>
    <row r="855">
      <c r="O855" s="230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</row>
    <row r="856">
      <c r="O856" s="230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</row>
    <row r="857">
      <c r="O857" s="230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</row>
    <row r="858">
      <c r="O858" s="230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</row>
    <row r="859">
      <c r="O859" s="230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</row>
    <row r="860">
      <c r="O860" s="230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</row>
    <row r="861">
      <c r="O861" s="230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</row>
    <row r="862">
      <c r="O862" s="230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</row>
    <row r="863">
      <c r="O863" s="230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</row>
    <row r="864">
      <c r="O864" s="230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</row>
    <row r="865">
      <c r="O865" s="230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</row>
    <row r="866">
      <c r="O866" s="230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</row>
    <row r="867">
      <c r="O867" s="230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</row>
    <row r="868">
      <c r="O868" s="230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</row>
    <row r="869">
      <c r="O869" s="230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</row>
    <row r="870">
      <c r="O870" s="230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</row>
    <row r="871">
      <c r="O871" s="230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</row>
    <row r="872">
      <c r="O872" s="230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</row>
    <row r="873">
      <c r="O873" s="230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</row>
    <row r="874">
      <c r="O874" s="230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</row>
    <row r="875">
      <c r="O875" s="230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</row>
    <row r="876">
      <c r="O876" s="230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</row>
    <row r="877">
      <c r="O877" s="230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</row>
    <row r="878">
      <c r="O878" s="230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</row>
    <row r="879">
      <c r="O879" s="230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</row>
    <row r="880">
      <c r="O880" s="230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</row>
    <row r="881">
      <c r="O881" s="230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</row>
    <row r="882">
      <c r="O882" s="230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</row>
    <row r="883">
      <c r="O883" s="230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</row>
    <row r="884">
      <c r="O884" s="230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</row>
    <row r="885">
      <c r="O885" s="230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</row>
    <row r="886">
      <c r="O886" s="230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</row>
    <row r="887">
      <c r="O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</row>
    <row r="888">
      <c r="O888" s="230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</row>
    <row r="889">
      <c r="O889" s="230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</row>
    <row r="890">
      <c r="O890" s="230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</row>
    <row r="891">
      <c r="O891" s="230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</row>
    <row r="892">
      <c r="O892" s="230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</row>
    <row r="893">
      <c r="O893" s="230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</row>
    <row r="894">
      <c r="O894" s="230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</row>
    <row r="895">
      <c r="O895" s="230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</row>
    <row r="896">
      <c r="O896" s="230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</row>
    <row r="897">
      <c r="O897" s="230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</row>
    <row r="898">
      <c r="O898" s="230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</row>
    <row r="899">
      <c r="O899" s="230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</row>
    <row r="900">
      <c r="O900" s="230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</row>
    <row r="901">
      <c r="O901" s="230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</row>
    <row r="902">
      <c r="O902" s="230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</row>
    <row r="903">
      <c r="O903" s="230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</row>
    <row r="904">
      <c r="O904" s="230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</row>
    <row r="905">
      <c r="O905" s="230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</row>
    <row r="906">
      <c r="O906" s="230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</row>
    <row r="907">
      <c r="O907" s="230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</row>
    <row r="908">
      <c r="O908" s="230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</row>
    <row r="909">
      <c r="O909" s="230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</row>
    <row r="910">
      <c r="O910" s="230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</row>
    <row r="911">
      <c r="O911" s="230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</row>
    <row r="912">
      <c r="O912" s="230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</row>
    <row r="913">
      <c r="O913" s="230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</row>
    <row r="914">
      <c r="O914" s="230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</row>
    <row r="915">
      <c r="O915" s="230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</row>
    <row r="916">
      <c r="O916" s="230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</row>
    <row r="917">
      <c r="O917" s="230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</row>
    <row r="918">
      <c r="O918" s="230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</row>
    <row r="919">
      <c r="O919" s="230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</row>
    <row r="920">
      <c r="O920" s="230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</row>
    <row r="921">
      <c r="O921" s="230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</row>
    <row r="922">
      <c r="O922" s="230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</row>
    <row r="923">
      <c r="O923" s="230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</row>
    <row r="924">
      <c r="O924" s="230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</row>
    <row r="925">
      <c r="O925" s="230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</row>
    <row r="926">
      <c r="O926" s="230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</row>
    <row r="927">
      <c r="O927" s="230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</row>
    <row r="928">
      <c r="O928" s="230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</row>
    <row r="929">
      <c r="O929" s="230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</row>
    <row r="930">
      <c r="O930" s="230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</row>
    <row r="931">
      <c r="O931" s="230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</row>
    <row r="932">
      <c r="O932" s="230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</row>
    <row r="933">
      <c r="O933" s="230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</row>
    <row r="934">
      <c r="O934" s="230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</row>
    <row r="935">
      <c r="O935" s="230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</row>
    <row r="936">
      <c r="O936" s="230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</row>
    <row r="937">
      <c r="O937" s="230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</row>
    <row r="938">
      <c r="O938" s="230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</row>
    <row r="939">
      <c r="O939" s="230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</row>
    <row r="940">
      <c r="O940" s="230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</row>
    <row r="941">
      <c r="O941" s="230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</row>
    <row r="942">
      <c r="O942" s="230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</row>
    <row r="943">
      <c r="O943" s="230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</row>
    <row r="944">
      <c r="O944" s="230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</row>
    <row r="945">
      <c r="O945" s="230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</row>
    <row r="946">
      <c r="O946" s="230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</row>
    <row r="947">
      <c r="O947" s="230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</row>
    <row r="948">
      <c r="O948" s="230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</row>
    <row r="949">
      <c r="O949" s="230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</row>
    <row r="950">
      <c r="O950" s="230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</row>
    <row r="951">
      <c r="O951" s="230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</row>
    <row r="952">
      <c r="O952" s="230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</row>
    <row r="953">
      <c r="O953" s="230"/>
      <c r="R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</row>
    <row r="954">
      <c r="O954" s="230"/>
      <c r="R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</row>
    <row r="955">
      <c r="O955" s="230"/>
      <c r="R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</row>
    <row r="956">
      <c r="O956" s="230"/>
      <c r="R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</row>
    <row r="957">
      <c r="O957" s="230"/>
      <c r="R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</row>
    <row r="958">
      <c r="O958" s="230"/>
      <c r="R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</row>
    <row r="959">
      <c r="O959" s="230"/>
      <c r="R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</row>
    <row r="960">
      <c r="O960" s="230"/>
      <c r="R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</row>
    <row r="961">
      <c r="O961" s="230"/>
      <c r="R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</row>
    <row r="962">
      <c r="O962" s="230"/>
      <c r="R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</row>
    <row r="963">
      <c r="O963" s="230"/>
      <c r="R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</row>
    <row r="964">
      <c r="O964" s="230"/>
      <c r="R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</row>
    <row r="965">
      <c r="O965" s="230"/>
      <c r="R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</row>
    <row r="966">
      <c r="O966" s="230"/>
      <c r="R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</row>
    <row r="967">
      <c r="O967" s="230"/>
      <c r="R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</row>
    <row r="968">
      <c r="O968" s="230"/>
      <c r="R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</row>
    <row r="969">
      <c r="O969" s="230"/>
      <c r="R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</row>
    <row r="970">
      <c r="O970" s="230"/>
      <c r="R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</row>
    <row r="971">
      <c r="O971" s="230"/>
      <c r="R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</row>
    <row r="972">
      <c r="O972" s="230"/>
      <c r="R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</row>
    <row r="973">
      <c r="O973" s="230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</row>
    <row r="974">
      <c r="O974" s="230"/>
      <c r="R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</row>
    <row r="975">
      <c r="O975" s="230"/>
      <c r="R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</row>
    <row r="976">
      <c r="O976" s="230"/>
      <c r="R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</row>
    <row r="977">
      <c r="O977" s="230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</row>
    <row r="978">
      <c r="O978" s="230"/>
      <c r="R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</row>
    <row r="979">
      <c r="O979" s="230"/>
      <c r="R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</row>
    <row r="980">
      <c r="O980" s="230"/>
      <c r="R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</row>
    <row r="981">
      <c r="O981" s="230"/>
      <c r="R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</row>
    <row r="982">
      <c r="O982" s="230"/>
      <c r="R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</row>
    <row r="983">
      <c r="O983" s="230"/>
      <c r="R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</row>
    <row r="984">
      <c r="O984" s="230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</row>
    <row r="985">
      <c r="O985" s="230"/>
      <c r="R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</row>
    <row r="986">
      <c r="O986" s="230"/>
      <c r="R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</row>
    <row r="987">
      <c r="O987" s="230"/>
      <c r="R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</row>
    <row r="988">
      <c r="O988" s="230"/>
      <c r="R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</row>
    <row r="989">
      <c r="O989" s="230"/>
      <c r="R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</row>
    <row r="990">
      <c r="O990" s="230"/>
      <c r="R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</row>
    <row r="991">
      <c r="O991" s="230"/>
      <c r="R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</row>
    <row r="992">
      <c r="O992" s="230"/>
      <c r="R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</row>
    <row r="993">
      <c r="O993" s="230"/>
      <c r="R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</row>
    <row r="994">
      <c r="O994" s="230"/>
      <c r="R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</row>
    <row r="995">
      <c r="O995" s="230"/>
      <c r="R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</row>
    <row r="996">
      <c r="O996" s="230"/>
      <c r="R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</row>
    <row r="997">
      <c r="O997" s="230"/>
      <c r="R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</row>
    <row r="998">
      <c r="O998" s="230"/>
      <c r="R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</row>
    <row r="999">
      <c r="O999" s="230"/>
      <c r="R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</row>
    <row r="1000">
      <c r="O1000" s="230"/>
      <c r="R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</row>
    <row r="1001">
      <c r="O1001" s="230"/>
      <c r="R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</row>
    <row r="1002">
      <c r="O1002" s="230"/>
      <c r="R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</row>
    <row r="1003">
      <c r="O1003" s="230"/>
      <c r="R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</row>
    <row r="1004">
      <c r="O1004" s="230"/>
      <c r="R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</row>
    <row r="1005">
      <c r="O1005" s="230"/>
      <c r="R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</row>
    <row r="1006">
      <c r="O1006" s="230"/>
      <c r="R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</row>
    <row r="1007">
      <c r="O1007" s="230"/>
      <c r="R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</row>
    <row r="1008">
      <c r="O1008" s="230"/>
      <c r="R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</row>
    <row r="1009">
      <c r="O1009" s="230"/>
      <c r="R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</row>
    <row r="1010">
      <c r="O1010" s="230"/>
      <c r="R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</row>
    <row r="1011">
      <c r="O1011" s="230"/>
      <c r="R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</row>
    <row r="1012">
      <c r="O1012" s="230"/>
      <c r="R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</row>
    <row r="1013">
      <c r="O1013" s="230"/>
      <c r="R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</row>
    <row r="1014">
      <c r="O1014" s="230"/>
      <c r="R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</row>
    <row r="1015">
      <c r="O1015" s="230"/>
      <c r="R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</row>
    <row r="1016">
      <c r="O1016" s="230"/>
      <c r="R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</row>
    <row r="1017">
      <c r="O1017" s="230"/>
      <c r="R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</row>
    <row r="1018">
      <c r="O1018" s="230"/>
      <c r="R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</row>
    <row r="1019">
      <c r="O1019" s="230"/>
      <c r="R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</row>
    <row r="1020">
      <c r="O1020" s="230"/>
      <c r="R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</row>
    <row r="1021">
      <c r="O1021" s="230"/>
      <c r="R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</row>
    <row r="1022">
      <c r="O1022" s="230"/>
      <c r="R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</row>
    <row r="1023">
      <c r="O1023" s="230"/>
      <c r="R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</row>
    <row r="1024">
      <c r="O1024" s="230"/>
      <c r="R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</row>
    <row r="1025">
      <c r="O1025" s="230"/>
      <c r="R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</row>
    <row r="1026">
      <c r="O1026" s="230"/>
      <c r="R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</row>
    <row r="1027">
      <c r="O1027" s="230"/>
      <c r="R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</row>
    <row r="1028">
      <c r="O1028" s="230"/>
      <c r="R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</row>
    <row r="1029">
      <c r="O1029" s="230"/>
      <c r="R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</row>
    <row r="1030">
      <c r="O1030" s="230"/>
      <c r="R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</row>
    <row r="1031">
      <c r="O1031" s="230"/>
      <c r="R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</row>
    <row r="1032">
      <c r="O1032" s="230"/>
      <c r="R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</row>
    <row r="1033">
      <c r="O1033" s="230"/>
      <c r="R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</row>
    <row r="1034">
      <c r="O1034" s="230"/>
      <c r="R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</row>
    <row r="1035">
      <c r="O1035" s="230"/>
      <c r="R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</row>
    <row r="1036">
      <c r="O1036" s="230"/>
      <c r="R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</row>
    <row r="1037">
      <c r="O1037" s="230"/>
      <c r="R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</row>
    <row r="1038">
      <c r="O1038" s="230"/>
      <c r="R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</row>
    <row r="1039">
      <c r="O1039" s="230"/>
      <c r="R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</row>
    <row r="1040">
      <c r="O1040" s="230"/>
      <c r="R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</row>
    <row r="1041">
      <c r="O1041" s="230"/>
      <c r="R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</row>
    <row r="1042">
      <c r="O1042" s="230"/>
      <c r="R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</row>
    <row r="1043">
      <c r="O1043" s="230"/>
      <c r="R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</row>
    <row r="1044">
      <c r="O1044" s="230"/>
      <c r="R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</row>
    <row r="1045">
      <c r="O1045" s="230"/>
      <c r="R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</row>
    <row r="1046">
      <c r="O1046" s="230"/>
      <c r="R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</row>
    <row r="1047">
      <c r="O1047" s="230"/>
      <c r="R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</row>
    <row r="1048">
      <c r="O1048" s="230"/>
      <c r="R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</row>
    <row r="1049">
      <c r="O1049" s="230"/>
      <c r="R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</row>
    <row r="1050">
      <c r="O1050" s="230"/>
      <c r="R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</row>
    <row r="1051">
      <c r="O1051" s="230"/>
      <c r="R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</row>
    <row r="1052">
      <c r="O1052" s="230"/>
      <c r="R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</row>
    <row r="1053">
      <c r="O1053" s="230"/>
      <c r="R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</row>
    <row r="1054">
      <c r="O1054" s="230"/>
      <c r="R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</row>
    <row r="1055">
      <c r="O1055" s="230"/>
      <c r="R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</row>
    <row r="1056">
      <c r="O1056" s="230"/>
      <c r="R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</row>
    <row r="1057">
      <c r="O1057" s="230"/>
      <c r="R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</row>
    <row r="1058">
      <c r="O1058" s="230"/>
      <c r="R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</row>
    <row r="1059">
      <c r="O1059" s="230"/>
      <c r="R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</row>
    <row r="1060">
      <c r="O1060" s="230"/>
      <c r="R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</row>
    <row r="1061">
      <c r="O1061" s="230"/>
      <c r="R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</row>
    <row r="1062">
      <c r="O1062" s="230"/>
      <c r="R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</row>
    <row r="1063">
      <c r="O1063" s="230"/>
      <c r="R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</row>
    <row r="1064">
      <c r="O1064" s="230"/>
      <c r="R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</row>
    <row r="1065">
      <c r="O1065" s="230"/>
      <c r="R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</row>
    <row r="1066">
      <c r="O1066" s="230"/>
      <c r="R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</row>
    <row r="1067">
      <c r="O1067" s="230"/>
      <c r="R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</row>
    <row r="1068">
      <c r="O1068" s="230"/>
      <c r="R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</row>
    <row r="1069">
      <c r="O1069" s="230"/>
      <c r="R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</row>
    <row r="1070">
      <c r="O1070" s="230"/>
      <c r="R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</row>
    <row r="1071">
      <c r="O1071" s="230"/>
      <c r="R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</row>
    <row r="1072">
      <c r="O1072" s="230"/>
      <c r="R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</row>
    <row r="1073">
      <c r="O1073" s="230"/>
      <c r="R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</row>
    <row r="1074">
      <c r="O1074" s="230"/>
      <c r="R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</row>
    <row r="1075">
      <c r="O1075" s="230"/>
      <c r="R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</row>
    <row r="1076">
      <c r="O1076" s="230"/>
      <c r="R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</row>
    <row r="1077">
      <c r="O1077" s="230"/>
      <c r="R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</row>
    <row r="1078">
      <c r="O1078" s="230"/>
      <c r="R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</row>
    <row r="1079">
      <c r="O1079" s="230"/>
      <c r="R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</row>
    <row r="1080">
      <c r="O1080" s="230"/>
      <c r="R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</row>
    <row r="1081">
      <c r="O1081" s="230"/>
      <c r="R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</row>
    <row r="1082">
      <c r="O1082" s="230"/>
      <c r="R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</row>
    <row r="1083">
      <c r="O1083" s="230"/>
      <c r="R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</row>
    <row r="1084">
      <c r="O1084" s="230"/>
      <c r="R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</row>
    <row r="1085">
      <c r="O1085" s="230"/>
      <c r="R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</row>
    <row r="1086">
      <c r="O1086" s="230"/>
      <c r="R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</row>
    <row r="1087">
      <c r="O1087" s="230"/>
      <c r="R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</row>
    <row r="1088">
      <c r="O1088" s="230"/>
      <c r="R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</row>
    <row r="1089">
      <c r="O1089" s="230"/>
      <c r="R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</row>
    <row r="1090">
      <c r="O1090" s="230"/>
      <c r="R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</row>
    <row r="1091">
      <c r="O1091" s="230"/>
      <c r="R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</row>
    <row r="1092">
      <c r="O1092" s="230"/>
      <c r="R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</row>
    <row r="1093">
      <c r="O1093" s="230"/>
      <c r="R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</row>
    <row r="1094">
      <c r="O1094" s="230"/>
      <c r="R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</row>
    <row r="1095">
      <c r="O1095" s="230"/>
      <c r="R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</row>
    <row r="1096">
      <c r="O1096" s="230"/>
      <c r="R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</row>
    <row r="1097">
      <c r="O1097" s="230"/>
      <c r="R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</row>
    <row r="1098">
      <c r="O1098" s="230"/>
      <c r="R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</row>
    <row r="1099">
      <c r="O1099" s="230"/>
      <c r="R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</row>
    <row r="1100">
      <c r="O1100" s="230"/>
      <c r="R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</row>
    <row r="1101">
      <c r="O1101" s="230"/>
      <c r="R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</row>
    <row r="1102">
      <c r="O1102" s="230"/>
      <c r="R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</row>
    <row r="1103">
      <c r="O1103" s="230"/>
      <c r="R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</row>
    <row r="1104">
      <c r="O1104" s="230"/>
      <c r="R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</row>
    <row r="1105">
      <c r="O1105" s="230"/>
      <c r="R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</row>
    <row r="1106">
      <c r="O1106" s="230"/>
      <c r="R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</row>
    <row r="1107">
      <c r="O1107" s="230"/>
      <c r="R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</row>
    <row r="1108">
      <c r="O1108" s="230"/>
      <c r="R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</row>
    <row r="1109">
      <c r="O1109" s="230"/>
      <c r="R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</row>
    <row r="1110">
      <c r="O1110" s="230"/>
      <c r="R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</row>
    <row r="1111">
      <c r="O1111" s="230"/>
      <c r="R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</row>
    <row r="1112">
      <c r="O1112" s="230"/>
      <c r="R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</row>
    <row r="1113">
      <c r="O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</row>
    <row r="1114">
      <c r="O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</row>
    <row r="1115">
      <c r="O1115" s="230"/>
      <c r="R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</row>
    <row r="1116">
      <c r="O1116" s="230"/>
      <c r="R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</row>
    <row r="1117">
      <c r="O1117" s="230"/>
      <c r="R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</row>
    <row r="1118">
      <c r="O1118" s="230"/>
      <c r="R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</row>
    <row r="1119">
      <c r="O1119" s="230"/>
      <c r="R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</row>
    <row r="1120">
      <c r="O1120" s="230"/>
      <c r="R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</row>
    <row r="1121">
      <c r="O1121" s="230"/>
      <c r="R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</row>
    <row r="1122">
      <c r="O1122" s="230"/>
      <c r="R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</row>
    <row r="1123">
      <c r="O1123" s="230"/>
      <c r="R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</row>
    <row r="1124">
      <c r="O1124" s="230"/>
      <c r="R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</row>
    <row r="1125">
      <c r="O1125" s="230"/>
      <c r="R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</row>
    <row r="1126">
      <c r="O1126" s="230"/>
      <c r="R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</row>
    <row r="1127">
      <c r="O1127" s="230"/>
      <c r="R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</row>
    <row r="1128">
      <c r="O1128" s="230"/>
      <c r="R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</row>
    <row r="1129">
      <c r="O1129" s="230"/>
      <c r="R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</row>
    <row r="1130">
      <c r="O1130" s="230"/>
      <c r="R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</row>
    <row r="1131">
      <c r="O1131" s="230"/>
      <c r="R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</row>
    <row r="1132">
      <c r="O1132" s="230"/>
      <c r="R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</row>
    <row r="1133">
      <c r="O1133" s="230"/>
      <c r="R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</row>
    <row r="1134">
      <c r="O1134" s="230"/>
      <c r="R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</row>
    <row r="1135">
      <c r="O1135" s="230"/>
      <c r="R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</row>
    <row r="1136">
      <c r="O1136" s="230"/>
      <c r="R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</row>
    <row r="1137">
      <c r="O1137" s="230"/>
      <c r="R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</row>
    <row r="1138">
      <c r="O1138" s="230"/>
      <c r="R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</row>
    <row r="1139">
      <c r="O1139" s="230"/>
      <c r="R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</row>
    <row r="1140">
      <c r="O1140" s="230"/>
      <c r="R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</row>
    <row r="1141">
      <c r="O1141" s="230"/>
      <c r="R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</row>
    <row r="1142">
      <c r="O1142" s="230"/>
      <c r="R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</row>
    <row r="1143">
      <c r="O1143" s="230"/>
      <c r="R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</row>
    <row r="1144">
      <c r="O1144" s="230"/>
      <c r="R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</row>
    <row r="1145">
      <c r="O1145" s="230"/>
      <c r="R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</row>
    <row r="1146">
      <c r="O1146" s="230"/>
      <c r="R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</row>
    <row r="1147">
      <c r="O1147" s="230"/>
      <c r="R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</row>
    <row r="1148">
      <c r="O1148" s="230"/>
      <c r="R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</row>
    <row r="1149">
      <c r="O1149" s="230"/>
      <c r="R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</row>
    <row r="1150">
      <c r="O1150" s="230"/>
      <c r="R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</row>
    <row r="1151">
      <c r="O1151" s="230"/>
      <c r="R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</row>
    <row r="1152">
      <c r="O1152" s="230"/>
      <c r="R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</row>
    <row r="1153">
      <c r="O1153" s="230"/>
      <c r="R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</row>
    <row r="1154">
      <c r="O1154" s="230"/>
      <c r="R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</row>
    <row r="1155">
      <c r="O1155" s="230"/>
      <c r="R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</row>
    <row r="1156">
      <c r="O1156" s="230"/>
      <c r="R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</row>
    <row r="1157">
      <c r="O1157" s="230"/>
      <c r="R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</row>
    <row r="1158">
      <c r="O1158" s="230"/>
      <c r="R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</row>
    <row r="1159">
      <c r="O1159" s="230"/>
      <c r="R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</row>
    <row r="1160">
      <c r="O1160" s="230"/>
      <c r="R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</row>
    <row r="1161">
      <c r="O1161" s="230"/>
      <c r="R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</row>
    <row r="1162">
      <c r="O1162" s="230"/>
      <c r="R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</row>
    <row r="1163">
      <c r="O1163" s="230"/>
      <c r="R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</row>
    <row r="1164">
      <c r="O1164" s="230"/>
      <c r="R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</row>
    <row r="1165">
      <c r="O1165" s="230"/>
      <c r="R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</row>
    <row r="1166">
      <c r="O1166" s="230"/>
      <c r="R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</row>
    <row r="1167">
      <c r="O1167" s="230"/>
      <c r="R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</row>
    <row r="1168">
      <c r="O1168" s="230"/>
      <c r="R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</row>
    <row r="1169">
      <c r="O1169" s="230"/>
      <c r="R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</row>
    <row r="1170">
      <c r="O1170" s="230"/>
      <c r="R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</row>
    <row r="1171">
      <c r="O1171" s="230"/>
      <c r="R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</row>
    <row r="1172">
      <c r="O1172" s="230"/>
      <c r="R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</row>
    <row r="1173">
      <c r="O1173" s="230"/>
      <c r="R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</row>
    <row r="1174">
      <c r="O1174" s="230"/>
      <c r="R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</row>
    <row r="1175">
      <c r="O1175" s="230"/>
      <c r="R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</row>
    <row r="1176">
      <c r="O1176" s="230"/>
      <c r="R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</row>
    <row r="1177">
      <c r="O1177" s="230"/>
      <c r="R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</row>
    <row r="1178">
      <c r="O1178" s="230"/>
      <c r="R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</row>
    <row r="1179">
      <c r="O1179" s="230"/>
      <c r="R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</row>
    <row r="1180">
      <c r="O1180" s="230"/>
      <c r="R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</row>
    <row r="1181">
      <c r="O1181" s="230"/>
      <c r="R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</row>
    <row r="1182">
      <c r="O1182" s="230"/>
      <c r="R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</row>
    <row r="1183">
      <c r="O1183" s="230"/>
      <c r="R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</row>
    <row r="1184">
      <c r="O1184" s="230"/>
      <c r="R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</row>
    <row r="1185">
      <c r="O1185" s="230"/>
      <c r="R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</row>
    <row r="1186">
      <c r="O1186" s="230"/>
      <c r="R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</row>
    <row r="1187">
      <c r="O1187" s="230"/>
      <c r="R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</row>
    <row r="1188">
      <c r="O1188" s="230"/>
      <c r="R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</row>
    <row r="1189">
      <c r="O1189" s="230"/>
      <c r="R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</row>
    <row r="1190">
      <c r="O1190" s="230"/>
      <c r="R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</row>
    <row r="1191">
      <c r="O1191" s="230"/>
      <c r="R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</row>
    <row r="1192">
      <c r="O1192" s="230"/>
      <c r="R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</row>
    <row r="1193">
      <c r="O1193" s="230"/>
      <c r="R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</row>
    <row r="1194">
      <c r="O1194" s="230"/>
      <c r="R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</row>
    <row r="1195">
      <c r="O1195" s="230"/>
      <c r="R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</row>
    <row r="1196">
      <c r="O1196" s="230"/>
      <c r="R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</row>
    <row r="1197">
      <c r="O1197" s="230"/>
      <c r="R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</row>
    <row r="1198">
      <c r="O1198" s="230"/>
      <c r="R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</row>
    <row r="1199">
      <c r="O1199" s="230"/>
      <c r="R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</row>
    <row r="1200">
      <c r="O1200" s="230"/>
      <c r="R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</row>
    <row r="1201">
      <c r="O1201" s="230"/>
      <c r="R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</row>
    <row r="1202">
      <c r="O1202" s="230"/>
      <c r="R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</row>
    <row r="1203">
      <c r="O1203" s="230"/>
      <c r="R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</row>
    <row r="1204">
      <c r="O1204" s="230"/>
      <c r="R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</row>
    <row r="1205">
      <c r="O1205" s="230"/>
      <c r="R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</row>
    <row r="1206">
      <c r="O1206" s="230"/>
      <c r="R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</row>
    <row r="1207">
      <c r="O1207" s="230"/>
      <c r="R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</row>
    <row r="1208">
      <c r="O1208" s="230"/>
      <c r="R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</row>
    <row r="1209">
      <c r="O1209" s="230"/>
      <c r="R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</row>
    <row r="1210">
      <c r="O1210" s="230"/>
      <c r="R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</row>
    <row r="1211">
      <c r="O1211" s="230"/>
      <c r="R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</row>
    <row r="1212">
      <c r="O1212" s="230"/>
      <c r="R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</row>
    <row r="1213">
      <c r="O1213" s="230"/>
      <c r="R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</row>
    <row r="1214">
      <c r="O1214" s="230"/>
      <c r="R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</row>
    <row r="1215">
      <c r="O1215" s="230"/>
      <c r="R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</row>
    <row r="1216">
      <c r="O1216" s="230"/>
      <c r="R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</row>
    <row r="1217">
      <c r="O1217" s="230"/>
      <c r="R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</row>
    <row r="1218">
      <c r="O1218" s="230"/>
      <c r="R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</row>
    <row r="1219">
      <c r="O1219" s="230"/>
      <c r="R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</row>
    <row r="1220">
      <c r="O1220" s="230"/>
      <c r="R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</row>
    <row r="1221">
      <c r="O1221" s="230"/>
      <c r="R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</row>
    <row r="1222">
      <c r="O1222" s="230"/>
      <c r="R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</row>
    <row r="1223">
      <c r="O1223" s="230"/>
      <c r="R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</row>
    <row r="1224">
      <c r="O1224" s="230"/>
      <c r="R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</row>
    <row r="1225">
      <c r="O1225" s="230"/>
      <c r="R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</row>
    <row r="1226">
      <c r="O1226" s="230"/>
      <c r="R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</row>
    <row r="1227">
      <c r="O1227" s="230"/>
      <c r="R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</row>
    <row r="1228">
      <c r="O1228" s="230"/>
      <c r="R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</row>
    <row r="1229">
      <c r="O1229" s="230"/>
      <c r="R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</row>
    <row r="1230">
      <c r="O1230" s="230"/>
      <c r="R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</row>
    <row r="1231">
      <c r="O1231" s="230"/>
      <c r="R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</row>
    <row r="1232">
      <c r="O1232" s="230"/>
      <c r="R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</row>
    <row r="1233">
      <c r="O1233" s="230"/>
      <c r="R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</row>
    <row r="1234">
      <c r="O1234" s="230"/>
      <c r="R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</row>
    <row r="1235">
      <c r="O1235" s="230"/>
      <c r="R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</row>
    <row r="1236">
      <c r="O1236" s="230"/>
      <c r="R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</row>
    <row r="1237">
      <c r="O1237" s="230"/>
      <c r="R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</row>
    <row r="1238">
      <c r="O1238" s="230"/>
      <c r="R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</row>
    <row r="1239">
      <c r="O1239" s="230"/>
      <c r="R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</row>
    <row r="1240">
      <c r="O1240" s="230"/>
      <c r="R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</row>
    <row r="1241">
      <c r="O1241" s="230"/>
      <c r="R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</row>
    <row r="1242">
      <c r="O1242" s="230"/>
      <c r="R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</row>
    <row r="1243">
      <c r="O1243" s="230"/>
      <c r="R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</row>
    <row r="1244">
      <c r="O1244" s="230"/>
      <c r="R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</row>
    <row r="1245">
      <c r="O1245" s="230"/>
      <c r="R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</row>
    <row r="1246">
      <c r="O1246" s="230"/>
      <c r="R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</row>
    <row r="1247">
      <c r="O1247" s="230"/>
      <c r="R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</row>
    <row r="1248">
      <c r="O1248" s="230"/>
      <c r="R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</row>
    <row r="1249">
      <c r="O1249" s="230"/>
      <c r="R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</row>
    <row r="1250">
      <c r="O1250" s="230"/>
      <c r="R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</row>
    <row r="1251">
      <c r="O1251" s="230"/>
      <c r="R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</row>
    <row r="1252">
      <c r="O1252" s="230"/>
      <c r="R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</row>
    <row r="1253">
      <c r="O1253" s="230"/>
      <c r="R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</row>
    <row r="1254">
      <c r="O1254" s="230"/>
      <c r="R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</row>
    <row r="1255">
      <c r="O1255" s="230"/>
      <c r="R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</row>
    <row r="1256">
      <c r="O1256" s="230"/>
      <c r="R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</row>
    <row r="1257">
      <c r="O1257" s="230"/>
      <c r="R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</row>
    <row r="1258">
      <c r="O1258" s="230"/>
      <c r="R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</row>
    <row r="1259">
      <c r="O1259" s="230"/>
      <c r="R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</row>
    <row r="1260">
      <c r="O1260" s="230"/>
      <c r="R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</row>
    <row r="1261">
      <c r="O1261" s="230"/>
      <c r="R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</row>
    <row r="1262">
      <c r="O1262" s="230"/>
      <c r="R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</row>
    <row r="1263">
      <c r="O1263" s="230"/>
      <c r="R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</row>
    <row r="1264">
      <c r="O1264" s="230"/>
      <c r="R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</row>
    <row r="1265">
      <c r="O1265" s="230"/>
      <c r="R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</row>
    <row r="1266">
      <c r="O1266" s="230"/>
      <c r="R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</row>
    <row r="1267">
      <c r="O1267" s="230"/>
      <c r="R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</row>
    <row r="1268">
      <c r="O1268" s="230"/>
      <c r="R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</row>
    <row r="1269">
      <c r="O1269" s="230"/>
      <c r="R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</row>
    <row r="1270">
      <c r="O1270" s="230"/>
      <c r="R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</row>
    <row r="1271">
      <c r="O1271" s="230"/>
      <c r="R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</row>
    <row r="1272">
      <c r="O1272" s="230"/>
      <c r="R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</row>
    <row r="1273">
      <c r="O1273" s="230"/>
      <c r="R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</row>
    <row r="1274">
      <c r="O1274" s="230"/>
      <c r="R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</row>
    <row r="1275">
      <c r="O1275" s="230"/>
      <c r="R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</row>
    <row r="1276">
      <c r="O1276" s="230"/>
      <c r="R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</row>
    <row r="1277">
      <c r="O1277" s="230"/>
      <c r="R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</row>
    <row r="1278">
      <c r="O1278" s="230"/>
      <c r="R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</row>
    <row r="1279">
      <c r="O1279" s="230"/>
      <c r="R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</row>
    <row r="1280">
      <c r="O1280" s="230"/>
      <c r="R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</row>
    <row r="1281">
      <c r="O1281" s="230"/>
      <c r="R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</row>
    <row r="1282">
      <c r="O1282" s="230"/>
      <c r="R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</row>
    <row r="1283">
      <c r="O1283" s="230"/>
      <c r="R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</row>
    <row r="1284">
      <c r="O1284" s="230"/>
      <c r="R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</row>
    <row r="1285">
      <c r="O1285" s="230"/>
      <c r="R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</row>
    <row r="1286">
      <c r="O1286" s="230"/>
      <c r="R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</row>
    <row r="1287">
      <c r="O1287" s="230"/>
      <c r="R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</row>
    <row r="1288">
      <c r="O1288" s="230"/>
      <c r="R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</row>
    <row r="1289">
      <c r="O1289" s="230"/>
      <c r="R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</row>
    <row r="1290">
      <c r="O1290" s="230"/>
      <c r="R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</row>
    <row r="1291">
      <c r="O1291" s="230"/>
      <c r="R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</row>
    <row r="1292">
      <c r="O1292" s="230"/>
      <c r="R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</row>
    <row r="1293">
      <c r="O1293" s="230"/>
      <c r="R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</row>
    <row r="1294">
      <c r="O1294" s="230"/>
      <c r="R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</row>
    <row r="1295">
      <c r="O1295" s="230"/>
      <c r="R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</row>
    <row r="1296">
      <c r="O1296" s="230"/>
      <c r="R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</row>
    <row r="1297">
      <c r="O1297" s="230"/>
      <c r="R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</row>
    <row r="1298">
      <c r="O1298" s="230"/>
      <c r="R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</row>
    <row r="1299">
      <c r="O1299" s="230"/>
      <c r="R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</row>
    <row r="1300">
      <c r="O1300" s="230"/>
      <c r="R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</row>
    <row r="1301">
      <c r="O1301" s="230"/>
      <c r="R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</row>
    <row r="1302">
      <c r="O1302" s="230"/>
      <c r="R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</row>
    <row r="1303">
      <c r="O1303" s="230"/>
      <c r="R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</row>
    <row r="1304">
      <c r="O1304" s="230"/>
      <c r="R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</row>
    <row r="1305">
      <c r="O1305" s="230"/>
      <c r="R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</row>
    <row r="1306">
      <c r="O1306" s="230"/>
      <c r="R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</row>
    <row r="1307">
      <c r="O1307" s="230"/>
      <c r="R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</row>
    <row r="1308">
      <c r="O1308" s="230"/>
      <c r="R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</row>
    <row r="1309">
      <c r="O1309" s="230"/>
      <c r="R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</row>
    <row r="1310">
      <c r="O1310" s="230"/>
      <c r="R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</row>
    <row r="1311">
      <c r="O1311" s="230"/>
      <c r="R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</row>
    <row r="1312">
      <c r="O1312" s="230"/>
      <c r="R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</row>
    <row r="1313">
      <c r="O1313" s="230"/>
      <c r="R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</row>
    <row r="1314">
      <c r="O1314" s="230"/>
      <c r="R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</row>
    <row r="1315">
      <c r="O1315" s="230"/>
      <c r="R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</row>
    <row r="1316">
      <c r="O1316" s="230"/>
      <c r="R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</row>
    <row r="1317">
      <c r="O1317" s="230"/>
      <c r="R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</row>
    <row r="1318">
      <c r="O1318" s="230"/>
      <c r="R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</row>
    <row r="1319">
      <c r="O1319" s="230"/>
      <c r="R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</row>
    <row r="1320">
      <c r="O1320" s="230"/>
      <c r="R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</row>
    <row r="1321">
      <c r="O1321" s="230"/>
      <c r="R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</row>
    <row r="1322">
      <c r="O1322" s="230"/>
      <c r="R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</row>
    <row r="1323">
      <c r="O1323" s="230"/>
      <c r="R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</row>
    <row r="1324">
      <c r="O1324" s="230"/>
      <c r="R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</row>
    <row r="1325">
      <c r="O1325" s="230"/>
      <c r="R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</row>
    <row r="1326">
      <c r="O1326" s="230"/>
      <c r="R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</row>
    <row r="1327">
      <c r="O1327" s="230"/>
      <c r="R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</row>
    <row r="1328">
      <c r="O1328" s="230"/>
      <c r="R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</row>
    <row r="1329">
      <c r="O1329" s="230"/>
      <c r="R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</row>
    <row r="1330">
      <c r="O1330" s="230"/>
      <c r="R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</row>
    <row r="1331">
      <c r="O1331" s="230"/>
      <c r="R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</row>
    <row r="1332">
      <c r="O1332" s="230"/>
      <c r="R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</row>
    <row r="1333">
      <c r="O1333" s="230"/>
      <c r="R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</row>
    <row r="1334">
      <c r="O1334" s="230"/>
      <c r="R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</row>
    <row r="1335">
      <c r="O1335" s="230"/>
      <c r="R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</row>
    <row r="1336">
      <c r="O1336" s="230"/>
      <c r="R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</row>
    <row r="1337">
      <c r="O1337" s="230"/>
      <c r="R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</row>
    <row r="1338">
      <c r="O1338" s="230"/>
      <c r="R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</row>
    <row r="1339">
      <c r="O1339" s="230"/>
      <c r="R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</row>
    <row r="1340">
      <c r="O1340" s="230"/>
      <c r="R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</row>
    <row r="1341">
      <c r="O1341" s="230"/>
      <c r="R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</row>
    <row r="1342">
      <c r="O1342" s="230"/>
      <c r="R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</row>
    <row r="1343">
      <c r="O1343" s="230"/>
      <c r="R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</row>
    <row r="1344">
      <c r="O1344" s="230"/>
      <c r="R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</row>
    <row r="1345">
      <c r="O1345" s="230"/>
      <c r="R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</row>
    <row r="1346">
      <c r="O1346" s="230"/>
      <c r="R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</row>
    <row r="1347">
      <c r="O1347" s="230"/>
      <c r="R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</row>
    <row r="1348">
      <c r="O1348" s="230"/>
      <c r="R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</row>
    <row r="1349">
      <c r="O1349" s="230"/>
      <c r="R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</row>
    <row r="1350">
      <c r="O1350" s="230"/>
      <c r="R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</row>
    <row r="1351">
      <c r="O1351" s="230"/>
      <c r="R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</row>
    <row r="1352">
      <c r="O1352" s="230"/>
      <c r="R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</row>
    <row r="1353">
      <c r="O1353" s="230"/>
      <c r="R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</row>
    <row r="1354">
      <c r="O1354" s="230"/>
      <c r="R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</row>
    <row r="1355">
      <c r="O1355" s="230"/>
      <c r="R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</row>
    <row r="1356">
      <c r="O1356" s="230"/>
      <c r="R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</row>
    <row r="1357">
      <c r="O1357" s="230"/>
      <c r="R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</row>
    <row r="1358">
      <c r="O1358" s="230"/>
      <c r="R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</row>
    <row r="1359">
      <c r="O1359" s="230"/>
      <c r="R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</row>
    <row r="1360">
      <c r="O1360" s="230"/>
      <c r="R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</row>
    <row r="1361">
      <c r="O1361" s="230"/>
      <c r="R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</row>
    <row r="1362">
      <c r="O1362" s="230"/>
      <c r="R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</row>
    <row r="1363">
      <c r="O1363" s="230"/>
      <c r="R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</row>
    <row r="1364">
      <c r="O1364" s="230"/>
      <c r="R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</row>
    <row r="1365">
      <c r="O1365" s="230"/>
      <c r="R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</row>
    <row r="1366">
      <c r="O1366" s="230"/>
      <c r="R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</row>
    <row r="1367">
      <c r="O1367" s="230"/>
      <c r="R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</row>
    <row r="1368">
      <c r="O1368" s="230"/>
      <c r="R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</row>
    <row r="1369">
      <c r="O1369" s="230"/>
      <c r="R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</row>
    <row r="1370">
      <c r="O1370" s="230"/>
      <c r="R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</row>
    <row r="1371">
      <c r="O1371" s="230"/>
      <c r="R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</row>
    <row r="1372">
      <c r="O1372" s="230"/>
      <c r="R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</row>
    <row r="1373">
      <c r="O1373" s="230"/>
      <c r="R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</row>
    <row r="1374">
      <c r="O1374" s="230"/>
      <c r="R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</row>
    <row r="1375">
      <c r="O1375" s="230"/>
      <c r="R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</row>
    <row r="1376">
      <c r="O1376" s="230"/>
      <c r="R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</row>
    <row r="1377">
      <c r="O1377" s="230"/>
      <c r="R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</row>
    <row r="1378">
      <c r="O1378" s="230"/>
      <c r="R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</row>
    <row r="1379">
      <c r="O1379" s="230"/>
      <c r="R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</row>
    <row r="1380">
      <c r="O1380" s="230"/>
      <c r="R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</row>
    <row r="1381">
      <c r="O1381" s="230"/>
      <c r="R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</row>
    <row r="1382">
      <c r="O1382" s="230"/>
      <c r="R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</row>
    <row r="1383">
      <c r="O1383" s="230"/>
      <c r="R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</row>
    <row r="1384">
      <c r="O1384" s="230"/>
      <c r="R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</row>
    <row r="1385">
      <c r="O1385" s="230"/>
      <c r="R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</row>
    <row r="1386">
      <c r="O1386" s="230"/>
      <c r="R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</row>
    <row r="1387">
      <c r="O1387" s="230"/>
      <c r="R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</row>
    <row r="1388">
      <c r="O1388" s="230"/>
      <c r="R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</row>
    <row r="1389">
      <c r="O1389" s="230"/>
      <c r="R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</row>
    <row r="1390">
      <c r="O1390" s="230"/>
      <c r="R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</row>
    <row r="1391">
      <c r="O1391" s="230"/>
      <c r="R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</row>
    <row r="1392">
      <c r="O1392" s="230"/>
      <c r="R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</row>
    <row r="1393">
      <c r="O1393" s="230"/>
      <c r="R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</row>
    <row r="1394">
      <c r="O1394" s="230"/>
      <c r="R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</row>
    <row r="1395">
      <c r="O1395" s="230"/>
      <c r="R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</row>
    <row r="1396">
      <c r="O1396" s="230"/>
      <c r="R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</row>
    <row r="1397">
      <c r="O1397" s="230"/>
      <c r="R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</row>
    <row r="1398">
      <c r="O1398" s="230"/>
      <c r="R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</row>
    <row r="1399">
      <c r="O1399" s="230"/>
      <c r="R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</row>
    <row r="1400">
      <c r="O1400" s="230"/>
      <c r="R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</row>
    <row r="1401">
      <c r="O1401" s="230"/>
      <c r="R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</row>
    <row r="1402">
      <c r="O1402" s="230"/>
      <c r="R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</row>
    <row r="1403">
      <c r="O1403" s="230"/>
      <c r="R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</row>
    <row r="1404">
      <c r="O1404" s="230"/>
      <c r="R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</row>
    <row r="1405">
      <c r="O1405" s="230"/>
      <c r="R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</row>
    <row r="1406">
      <c r="O1406" s="230"/>
      <c r="R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</row>
    <row r="1407">
      <c r="O1407" s="230"/>
      <c r="R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</row>
    <row r="1408">
      <c r="O1408" s="230"/>
      <c r="R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</row>
    <row r="1409">
      <c r="O1409" s="230"/>
      <c r="R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</row>
    <row r="1410">
      <c r="O1410" s="230"/>
      <c r="R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</row>
    <row r="1411">
      <c r="O1411" s="230"/>
      <c r="R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</row>
    <row r="1412">
      <c r="O1412" s="230"/>
      <c r="R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</row>
    <row r="1413">
      <c r="O1413" s="230"/>
      <c r="R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</row>
    <row r="1414">
      <c r="O1414" s="230"/>
      <c r="R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</row>
    <row r="1415">
      <c r="O1415" s="230"/>
      <c r="R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</row>
    <row r="1416">
      <c r="O1416" s="230"/>
      <c r="R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</row>
    <row r="1417">
      <c r="O1417" s="230"/>
      <c r="R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</row>
    <row r="1418">
      <c r="O1418" s="230"/>
      <c r="R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</row>
    <row r="1419">
      <c r="O1419" s="230"/>
      <c r="R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</row>
    <row r="1420">
      <c r="O1420" s="230"/>
      <c r="R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</row>
    <row r="1421">
      <c r="O1421" s="230"/>
      <c r="R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</row>
    <row r="1422">
      <c r="O1422" s="230"/>
      <c r="R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</row>
    <row r="1423">
      <c r="O1423" s="230"/>
      <c r="R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</row>
    <row r="1424">
      <c r="O1424" s="230"/>
      <c r="R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</row>
    <row r="1425">
      <c r="O1425" s="230"/>
      <c r="R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</row>
    <row r="1426">
      <c r="O1426" s="230"/>
      <c r="R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</row>
    <row r="1427">
      <c r="O1427" s="230"/>
      <c r="R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</row>
    <row r="1428">
      <c r="O1428" s="230"/>
      <c r="R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</row>
    <row r="1429">
      <c r="O1429" s="230"/>
      <c r="R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</row>
    <row r="1430">
      <c r="O1430" s="230"/>
      <c r="R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</row>
    <row r="1431">
      <c r="O1431" s="230"/>
      <c r="R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</row>
    <row r="1432">
      <c r="O1432" s="230"/>
      <c r="R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</row>
    <row r="1433">
      <c r="O1433" s="230"/>
      <c r="R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</row>
    <row r="1434">
      <c r="O1434" s="230"/>
      <c r="R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</row>
    <row r="1435">
      <c r="O1435" s="230"/>
      <c r="R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</row>
    <row r="1436">
      <c r="O1436" s="230"/>
      <c r="R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</row>
    <row r="1437">
      <c r="O1437" s="230"/>
      <c r="R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</row>
    <row r="1438">
      <c r="O1438" s="230"/>
      <c r="R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</row>
    <row r="1439">
      <c r="O1439" s="230"/>
      <c r="R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</row>
    <row r="1440">
      <c r="O1440" s="230"/>
      <c r="R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</row>
    <row r="1441">
      <c r="O1441" s="230"/>
      <c r="R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</row>
    <row r="1442">
      <c r="O1442" s="230"/>
      <c r="R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</row>
    <row r="1443">
      <c r="O1443" s="230"/>
      <c r="R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</row>
    <row r="1444">
      <c r="O1444" s="230"/>
      <c r="R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</row>
    <row r="1445">
      <c r="O1445" s="230"/>
      <c r="R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</row>
    <row r="1446">
      <c r="O1446" s="230"/>
      <c r="R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</row>
    <row r="1447">
      <c r="O1447" s="230"/>
      <c r="R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</row>
    <row r="1448">
      <c r="O1448" s="230"/>
      <c r="R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</row>
    <row r="1449">
      <c r="O1449" s="230"/>
      <c r="R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</row>
    <row r="1450">
      <c r="O1450" s="230"/>
      <c r="R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</row>
    <row r="1451">
      <c r="O1451" s="230"/>
      <c r="R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</row>
    <row r="1452">
      <c r="O1452" s="230"/>
      <c r="R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</row>
    <row r="1453">
      <c r="O1453" s="230"/>
      <c r="R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</row>
    <row r="1454">
      <c r="O1454" s="230"/>
      <c r="R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</row>
    <row r="1455">
      <c r="O1455" s="230"/>
      <c r="R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</row>
    <row r="1456">
      <c r="O1456" s="230"/>
      <c r="R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</row>
    <row r="1457">
      <c r="O1457" s="230"/>
      <c r="R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</row>
    <row r="1458">
      <c r="O1458" s="230"/>
      <c r="R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</row>
    <row r="1459">
      <c r="O1459" s="230"/>
      <c r="R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</row>
    <row r="1460">
      <c r="O1460" s="230"/>
      <c r="R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</row>
    <row r="1461">
      <c r="O1461" s="230"/>
      <c r="R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</row>
    <row r="1462">
      <c r="O1462" s="230"/>
      <c r="R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</row>
    <row r="1463">
      <c r="O1463" s="230"/>
      <c r="R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</row>
    <row r="1464">
      <c r="O1464" s="230"/>
      <c r="R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</row>
    <row r="1465">
      <c r="O1465" s="230"/>
      <c r="R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</row>
    <row r="1466">
      <c r="O1466" s="230"/>
      <c r="R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</row>
    <row r="1467">
      <c r="O1467" s="230"/>
      <c r="R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</row>
    <row r="1468">
      <c r="O1468" s="230"/>
      <c r="R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</row>
    <row r="1469">
      <c r="O1469" s="230"/>
      <c r="R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</row>
    <row r="1470">
      <c r="O1470" s="230"/>
      <c r="R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</row>
    <row r="1471">
      <c r="O1471" s="230"/>
      <c r="R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</row>
    <row r="1472">
      <c r="O1472" s="230"/>
      <c r="R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</row>
    <row r="1473">
      <c r="O1473" s="230"/>
      <c r="R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</row>
    <row r="1474">
      <c r="O1474" s="230"/>
      <c r="R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</row>
    <row r="1475">
      <c r="O1475" s="230"/>
      <c r="R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</row>
    <row r="1476">
      <c r="O1476" s="230"/>
      <c r="R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</row>
    <row r="1477">
      <c r="O1477" s="230"/>
      <c r="R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</row>
    <row r="1478">
      <c r="O1478" s="230"/>
      <c r="R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</row>
    <row r="1479">
      <c r="O1479" s="230"/>
      <c r="R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</row>
    <row r="1480">
      <c r="O1480" s="230"/>
      <c r="R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</row>
    <row r="1481">
      <c r="O1481" s="230"/>
      <c r="R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</row>
    <row r="1482">
      <c r="O1482" s="230"/>
      <c r="R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</row>
    <row r="1483">
      <c r="O1483" s="230"/>
      <c r="R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</row>
    <row r="1484">
      <c r="O1484" s="230"/>
      <c r="R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</row>
    <row r="1485">
      <c r="O1485" s="230"/>
      <c r="R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</row>
    <row r="1486">
      <c r="O1486" s="230"/>
      <c r="R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</row>
    <row r="1487">
      <c r="O1487" s="230"/>
      <c r="R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</row>
    <row r="1488">
      <c r="O1488" s="230"/>
      <c r="R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</row>
    <row r="1489">
      <c r="O1489" s="230"/>
      <c r="R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</row>
    <row r="1490">
      <c r="O1490" s="230"/>
      <c r="R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</row>
    <row r="1491">
      <c r="O1491" s="230"/>
      <c r="R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</row>
    <row r="1492">
      <c r="O1492" s="230"/>
      <c r="R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</row>
    <row r="1493">
      <c r="O1493" s="230"/>
      <c r="R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</row>
    <row r="1494">
      <c r="O1494" s="230"/>
      <c r="R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</row>
    <row r="1495">
      <c r="O1495" s="230"/>
      <c r="R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</row>
    <row r="1496">
      <c r="O1496" s="230"/>
      <c r="R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</row>
    <row r="1497">
      <c r="O1497" s="230"/>
      <c r="R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</row>
    <row r="1498">
      <c r="O1498" s="230"/>
      <c r="R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</row>
    <row r="1499">
      <c r="O1499" s="230"/>
      <c r="R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</row>
    <row r="1500">
      <c r="O1500" s="230"/>
      <c r="R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</row>
    <row r="1501">
      <c r="O1501" s="230"/>
      <c r="R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</row>
    <row r="1502">
      <c r="O1502" s="230"/>
      <c r="R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</row>
    <row r="1503">
      <c r="O1503" s="230"/>
      <c r="R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</row>
    <row r="1504">
      <c r="O1504" s="230"/>
      <c r="R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</row>
    <row r="1505">
      <c r="O1505" s="230"/>
      <c r="R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</row>
    <row r="1506">
      <c r="O1506" s="230"/>
      <c r="R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</row>
    <row r="1507">
      <c r="O1507" s="230"/>
      <c r="R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</row>
    <row r="1508">
      <c r="O1508" s="230"/>
      <c r="R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</row>
    <row r="1509">
      <c r="O1509" s="230"/>
      <c r="R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</row>
    <row r="1510">
      <c r="O1510" s="230"/>
      <c r="R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</row>
    <row r="1511">
      <c r="O1511" s="230"/>
      <c r="R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</row>
    <row r="1512">
      <c r="O1512" s="230"/>
      <c r="R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</row>
    <row r="1513">
      <c r="O1513" s="230"/>
      <c r="R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</row>
    <row r="1514">
      <c r="O1514" s="230"/>
      <c r="R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</row>
    <row r="1515">
      <c r="O1515" s="230"/>
      <c r="R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</row>
    <row r="1516">
      <c r="O1516" s="230"/>
      <c r="R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</row>
    <row r="1517">
      <c r="O1517" s="230"/>
      <c r="R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</row>
    <row r="1518">
      <c r="O1518" s="230"/>
      <c r="R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</row>
    <row r="1519">
      <c r="O1519" s="230"/>
      <c r="R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</row>
    <row r="1520">
      <c r="O1520" s="230"/>
      <c r="R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</row>
    <row r="1521">
      <c r="O1521" s="230"/>
      <c r="R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</row>
    <row r="1522">
      <c r="O1522" s="230"/>
      <c r="R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</row>
    <row r="1523">
      <c r="O1523" s="230"/>
      <c r="R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</row>
    <row r="1524">
      <c r="O1524" s="230"/>
      <c r="R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</row>
    <row r="1525">
      <c r="O1525" s="230"/>
      <c r="R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</row>
    <row r="1526">
      <c r="O1526" s="230"/>
      <c r="R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</row>
    <row r="1527">
      <c r="O1527" s="230"/>
      <c r="R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</row>
    <row r="1528">
      <c r="O1528" s="230"/>
      <c r="R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</row>
    <row r="1529">
      <c r="O1529" s="230"/>
      <c r="R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</row>
    <row r="1530">
      <c r="O1530" s="230"/>
      <c r="R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</row>
    <row r="1531">
      <c r="O1531" s="230"/>
      <c r="R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</row>
    <row r="1532">
      <c r="O1532" s="230"/>
      <c r="R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</row>
    <row r="1533">
      <c r="O1533" s="230"/>
      <c r="R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</row>
    <row r="1534">
      <c r="O1534" s="230"/>
      <c r="R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</row>
    <row r="1535">
      <c r="O1535" s="230"/>
      <c r="R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</row>
    <row r="1536">
      <c r="O1536" s="230"/>
      <c r="R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</row>
    <row r="1537">
      <c r="O1537" s="230"/>
      <c r="R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</row>
    <row r="1538">
      <c r="O1538" s="230"/>
      <c r="R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</row>
    <row r="1539">
      <c r="O1539" s="230"/>
      <c r="R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</row>
    <row r="1540">
      <c r="O1540" s="230"/>
      <c r="R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</row>
    <row r="1541">
      <c r="O1541" s="230"/>
      <c r="R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</row>
    <row r="1542">
      <c r="O1542" s="230"/>
      <c r="R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</row>
    <row r="1543">
      <c r="O1543" s="230"/>
      <c r="R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</row>
    <row r="1544">
      <c r="O1544" s="230"/>
      <c r="R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</row>
    <row r="1545">
      <c r="O1545" s="230"/>
      <c r="R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</row>
    <row r="1546">
      <c r="O1546" s="230"/>
      <c r="R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</row>
    <row r="1547">
      <c r="O1547" s="230"/>
      <c r="R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</row>
    <row r="1548">
      <c r="O1548" s="230"/>
      <c r="R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</row>
    <row r="1549">
      <c r="O1549" s="230"/>
      <c r="R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</row>
    <row r="1550">
      <c r="O1550" s="230"/>
      <c r="R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</row>
    <row r="1551">
      <c r="O1551" s="230"/>
      <c r="R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</row>
    <row r="1552">
      <c r="O1552" s="230"/>
      <c r="R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</row>
    <row r="1553">
      <c r="O1553" s="230"/>
      <c r="R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</row>
    <row r="1554">
      <c r="O1554" s="230"/>
      <c r="R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</row>
    <row r="1555">
      <c r="O1555" s="230"/>
      <c r="R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</row>
    <row r="1556">
      <c r="O1556" s="230"/>
      <c r="R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</row>
    <row r="1557">
      <c r="O1557" s="230"/>
      <c r="R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</row>
    <row r="1558">
      <c r="O1558" s="230"/>
      <c r="R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</row>
    <row r="1559">
      <c r="O1559" s="230"/>
      <c r="R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</row>
    <row r="1560">
      <c r="O1560" s="230"/>
      <c r="R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</row>
    <row r="1561">
      <c r="O1561" s="230"/>
      <c r="R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</row>
    <row r="1562">
      <c r="O1562" s="230"/>
      <c r="R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</row>
    <row r="1563">
      <c r="O1563" s="230"/>
      <c r="R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</row>
    <row r="1564">
      <c r="O1564" s="230"/>
      <c r="R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</row>
    <row r="1565">
      <c r="O1565" s="230"/>
      <c r="R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</row>
    <row r="1566">
      <c r="O1566" s="230"/>
      <c r="R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</row>
    <row r="1567">
      <c r="O1567" s="230"/>
      <c r="R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</row>
    <row r="1568">
      <c r="O1568" s="230"/>
      <c r="R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</row>
    <row r="1569">
      <c r="O1569" s="230"/>
      <c r="R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</row>
    <row r="1570">
      <c r="O1570" s="230"/>
      <c r="R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</row>
    <row r="1571">
      <c r="O1571" s="230"/>
      <c r="R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</row>
    <row r="1572">
      <c r="O1572" s="230"/>
      <c r="R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</row>
    <row r="1573">
      <c r="O1573" s="230"/>
      <c r="R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</row>
    <row r="1574">
      <c r="O1574" s="230"/>
      <c r="R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</row>
    <row r="1575">
      <c r="O1575" s="230"/>
      <c r="R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</row>
    <row r="1576">
      <c r="O1576" s="230"/>
      <c r="R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</row>
    <row r="1577">
      <c r="O1577" s="230"/>
      <c r="R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</row>
    <row r="1578">
      <c r="O1578" s="230"/>
      <c r="R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</row>
    <row r="1579">
      <c r="O1579" s="230"/>
      <c r="R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</row>
    <row r="1580">
      <c r="O1580" s="230"/>
      <c r="R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</row>
    <row r="1581">
      <c r="O1581" s="230"/>
      <c r="R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</row>
    <row r="1582">
      <c r="O1582" s="230"/>
      <c r="R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</row>
    <row r="1583">
      <c r="O1583" s="230"/>
      <c r="R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</row>
    <row r="1584">
      <c r="O1584" s="230"/>
      <c r="R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</row>
    <row r="1585">
      <c r="O1585" s="230"/>
      <c r="R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</row>
    <row r="1586">
      <c r="O1586" s="230"/>
      <c r="R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</row>
    <row r="1587">
      <c r="O1587" s="230"/>
      <c r="R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</row>
    <row r="1588">
      <c r="O1588" s="230"/>
      <c r="R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</row>
    <row r="1589">
      <c r="O1589" s="230"/>
      <c r="R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</row>
    <row r="1590">
      <c r="O1590" s="230"/>
      <c r="R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</row>
    <row r="1591">
      <c r="O1591" s="230"/>
      <c r="R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</row>
    <row r="1592">
      <c r="O1592" s="230"/>
      <c r="R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</row>
    <row r="1593">
      <c r="O1593" s="230"/>
      <c r="R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</row>
    <row r="1594">
      <c r="O1594" s="230"/>
      <c r="R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</row>
    <row r="1595">
      <c r="O1595" s="230"/>
      <c r="R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</row>
    <row r="1596">
      <c r="O1596" s="230"/>
      <c r="R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</row>
    <row r="1597">
      <c r="O1597" s="230"/>
      <c r="R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</row>
    <row r="1598">
      <c r="O1598" s="230"/>
      <c r="R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</row>
    <row r="1599">
      <c r="O1599" s="230"/>
      <c r="R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</row>
    <row r="1600">
      <c r="O1600" s="230"/>
      <c r="R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</row>
    <row r="1601">
      <c r="O1601" s="230"/>
      <c r="R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</row>
    <row r="1602">
      <c r="O1602" s="230"/>
      <c r="R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</row>
    <row r="1603">
      <c r="O1603" s="230"/>
      <c r="R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</row>
    <row r="1604">
      <c r="O1604" s="230"/>
      <c r="R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</row>
    <row r="1605">
      <c r="O1605" s="230"/>
      <c r="R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</row>
    <row r="1606">
      <c r="O1606" s="230"/>
      <c r="R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</row>
    <row r="1607">
      <c r="O1607" s="230"/>
      <c r="R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</row>
    <row r="1608">
      <c r="O1608" s="230"/>
      <c r="R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</row>
    <row r="1609">
      <c r="O1609" s="230"/>
      <c r="R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</row>
    <row r="1610">
      <c r="O1610" s="230"/>
      <c r="R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</row>
    <row r="1611">
      <c r="O1611" s="230"/>
      <c r="R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</row>
    <row r="1612">
      <c r="O1612" s="230"/>
      <c r="R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</row>
    <row r="1613">
      <c r="O1613" s="230"/>
      <c r="R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</row>
    <row r="1614">
      <c r="O1614" s="230"/>
      <c r="R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</row>
    <row r="1615">
      <c r="O1615" s="230"/>
      <c r="R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</row>
    <row r="1616">
      <c r="O1616" s="230"/>
      <c r="R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</row>
    <row r="1617">
      <c r="O1617" s="230"/>
      <c r="R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</row>
    <row r="1618">
      <c r="O1618" s="230"/>
      <c r="R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</row>
    <row r="1619">
      <c r="O1619" s="230"/>
      <c r="R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</row>
    <row r="1620">
      <c r="O1620" s="230"/>
      <c r="R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</row>
    <row r="1621">
      <c r="O1621" s="230"/>
      <c r="R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</row>
    <row r="1622">
      <c r="O1622" s="230"/>
      <c r="R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</row>
    <row r="1623">
      <c r="O1623" s="230"/>
      <c r="R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</row>
    <row r="1624">
      <c r="O1624" s="230"/>
      <c r="R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</row>
    <row r="1625">
      <c r="O1625" s="230"/>
      <c r="R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</row>
    <row r="1626">
      <c r="O1626" s="230"/>
      <c r="R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</row>
    <row r="1627">
      <c r="O1627" s="230"/>
      <c r="R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</row>
    <row r="1628">
      <c r="O1628" s="230"/>
      <c r="R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</row>
    <row r="1629">
      <c r="O1629" s="230"/>
      <c r="R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</row>
    <row r="1630">
      <c r="O1630" s="230"/>
      <c r="R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</row>
    <row r="1631">
      <c r="O1631" s="230"/>
      <c r="R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</row>
    <row r="1632">
      <c r="O1632" s="230"/>
      <c r="R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</row>
    <row r="1633">
      <c r="O1633" s="230"/>
      <c r="R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</row>
    <row r="1634">
      <c r="O1634" s="230"/>
      <c r="R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</row>
    <row r="1635">
      <c r="O1635" s="230"/>
      <c r="R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</row>
    <row r="1636">
      <c r="O1636" s="230"/>
      <c r="R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</row>
    <row r="1637">
      <c r="O1637" s="230"/>
      <c r="R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</row>
    <row r="1638">
      <c r="O1638" s="230"/>
      <c r="R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</row>
    <row r="1639">
      <c r="O1639" s="230"/>
      <c r="R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</row>
    <row r="1640">
      <c r="O1640" s="230"/>
      <c r="R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</row>
    <row r="1641">
      <c r="O1641" s="230"/>
      <c r="R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</row>
    <row r="1642">
      <c r="O1642" s="230"/>
      <c r="R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</row>
    <row r="1643">
      <c r="O1643" s="230"/>
      <c r="R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</row>
    <row r="1644">
      <c r="O1644" s="230"/>
      <c r="R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</row>
    <row r="1645">
      <c r="O1645" s="230"/>
      <c r="R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</row>
    <row r="1646">
      <c r="O1646" s="230"/>
      <c r="R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</row>
    <row r="1647">
      <c r="O1647" s="230"/>
      <c r="R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</row>
    <row r="1648">
      <c r="O1648" s="230"/>
      <c r="R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</row>
    <row r="1649">
      <c r="O1649" s="230"/>
      <c r="R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</row>
    <row r="1650">
      <c r="O1650" s="230"/>
      <c r="R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</row>
    <row r="1651">
      <c r="O1651" s="230"/>
      <c r="R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</row>
    <row r="1652">
      <c r="O1652" s="230"/>
      <c r="R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</row>
    <row r="1653">
      <c r="O1653" s="230"/>
      <c r="R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</row>
    <row r="1654">
      <c r="O1654" s="230"/>
      <c r="R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</row>
    <row r="1655">
      <c r="O1655" s="230"/>
      <c r="R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</row>
    <row r="1656">
      <c r="O1656" s="230"/>
      <c r="R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</row>
    <row r="1657">
      <c r="O1657" s="230"/>
      <c r="R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</row>
    <row r="1658">
      <c r="O1658" s="230"/>
      <c r="R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</row>
    <row r="1659">
      <c r="O1659" s="230"/>
      <c r="R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</row>
    <row r="1660">
      <c r="O1660" s="230"/>
      <c r="R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</row>
    <row r="1661">
      <c r="O1661" s="230"/>
      <c r="R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</row>
    <row r="1662">
      <c r="O1662" s="230"/>
      <c r="R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</row>
    <row r="1663">
      <c r="O1663" s="230"/>
      <c r="R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</row>
    <row r="1664">
      <c r="O1664" s="230"/>
      <c r="R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</row>
    <row r="1665">
      <c r="O1665" s="230"/>
      <c r="R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</row>
    <row r="1666">
      <c r="O1666" s="230"/>
      <c r="R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</row>
    <row r="1667">
      <c r="O1667" s="230"/>
      <c r="R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</row>
    <row r="1668">
      <c r="O1668" s="230"/>
      <c r="R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</row>
    <row r="1669">
      <c r="O1669" s="230"/>
      <c r="R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</row>
    <row r="1670">
      <c r="O1670" s="230"/>
      <c r="R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</row>
    <row r="1671">
      <c r="O1671" s="230"/>
      <c r="R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</row>
    <row r="1672">
      <c r="O1672" s="230"/>
      <c r="R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</row>
    <row r="1673">
      <c r="O1673" s="230"/>
      <c r="R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</row>
    <row r="1674">
      <c r="O1674" s="230"/>
      <c r="R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</row>
    <row r="1675">
      <c r="O1675" s="230"/>
      <c r="R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</row>
    <row r="1676">
      <c r="O1676" s="230"/>
      <c r="R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</row>
    <row r="1677">
      <c r="O1677" s="230"/>
      <c r="R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</row>
    <row r="1678">
      <c r="O1678" s="230"/>
      <c r="R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</row>
    <row r="1679">
      <c r="O1679" s="230"/>
      <c r="R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</row>
    <row r="1680">
      <c r="O1680" s="230"/>
      <c r="R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</row>
    <row r="1681">
      <c r="O1681" s="230"/>
      <c r="R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</row>
    <row r="1682">
      <c r="O1682" s="230"/>
      <c r="R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</row>
    <row r="1683">
      <c r="O1683" s="230"/>
      <c r="R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</row>
    <row r="1684">
      <c r="O1684" s="230"/>
      <c r="R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</row>
    <row r="1685">
      <c r="O1685" s="230"/>
      <c r="R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</row>
    <row r="1686">
      <c r="O1686" s="230"/>
      <c r="R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</row>
    <row r="1687">
      <c r="O1687" s="230"/>
      <c r="R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</row>
    <row r="1688">
      <c r="O1688" s="230"/>
      <c r="R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</row>
    <row r="1689">
      <c r="O1689" s="230"/>
      <c r="R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</row>
    <row r="1690">
      <c r="O1690" s="230"/>
      <c r="R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</row>
    <row r="1691">
      <c r="O1691" s="230"/>
      <c r="R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</row>
    <row r="1692">
      <c r="O1692" s="230"/>
      <c r="R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</row>
    <row r="1693">
      <c r="O1693" s="230"/>
      <c r="R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</row>
    <row r="1694">
      <c r="O1694" s="230"/>
      <c r="R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</row>
    <row r="1695">
      <c r="O1695" s="230"/>
      <c r="R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</row>
    <row r="1696">
      <c r="O1696" s="230"/>
      <c r="R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</row>
    <row r="1697">
      <c r="O1697" s="230"/>
      <c r="R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</row>
    <row r="1698">
      <c r="O1698" s="230"/>
      <c r="R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</row>
    <row r="1699">
      <c r="O1699" s="230"/>
      <c r="R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</row>
    <row r="1700">
      <c r="O1700" s="230"/>
      <c r="R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</row>
    <row r="1701">
      <c r="O1701" s="230"/>
      <c r="R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</row>
    <row r="1702">
      <c r="O1702" s="230"/>
      <c r="R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</row>
    <row r="1703">
      <c r="O1703" s="230"/>
      <c r="R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</row>
    <row r="1704">
      <c r="O1704" s="230"/>
      <c r="R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</row>
    <row r="1705">
      <c r="O1705" s="230"/>
      <c r="R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</row>
    <row r="1706">
      <c r="O1706" s="230"/>
      <c r="R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</row>
    <row r="1707">
      <c r="O1707" s="230"/>
      <c r="R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</row>
    <row r="1708">
      <c r="O1708" s="230"/>
      <c r="R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</row>
    <row r="1709">
      <c r="O1709" s="230"/>
      <c r="R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</row>
    <row r="1710">
      <c r="O1710" s="230"/>
      <c r="R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</row>
    <row r="1711">
      <c r="O1711" s="230"/>
      <c r="R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</row>
    <row r="1712">
      <c r="O1712" s="230"/>
      <c r="R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</row>
    <row r="1713">
      <c r="O1713" s="230"/>
      <c r="R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</row>
    <row r="1714">
      <c r="O1714" s="230"/>
      <c r="R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</row>
    <row r="1715">
      <c r="O1715" s="230"/>
      <c r="R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</row>
    <row r="1716">
      <c r="O1716" s="230"/>
      <c r="R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</row>
    <row r="1717">
      <c r="O1717" s="230"/>
      <c r="R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</row>
    <row r="1718">
      <c r="O1718" s="230"/>
      <c r="R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</row>
    <row r="1719">
      <c r="O1719" s="230"/>
      <c r="R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</row>
    <row r="1720">
      <c r="O1720" s="230"/>
      <c r="R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</row>
    <row r="1721">
      <c r="O1721" s="230"/>
      <c r="R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</row>
    <row r="1722">
      <c r="O1722" s="230"/>
      <c r="R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</row>
    <row r="1723">
      <c r="O1723" s="230"/>
      <c r="R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</row>
    <row r="1724">
      <c r="O1724" s="230"/>
      <c r="R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</row>
    <row r="1725">
      <c r="O1725" s="230"/>
      <c r="R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</row>
    <row r="1726">
      <c r="O1726" s="230"/>
      <c r="R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</row>
    <row r="1727">
      <c r="O1727" s="230"/>
      <c r="R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</row>
    <row r="1728">
      <c r="O1728" s="230"/>
      <c r="R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</row>
    <row r="1729">
      <c r="O1729" s="230"/>
      <c r="R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</row>
    <row r="1730">
      <c r="O1730" s="230"/>
      <c r="R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</row>
    <row r="1731">
      <c r="O1731" s="230"/>
      <c r="R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</row>
    <row r="1732">
      <c r="O1732" s="230"/>
      <c r="R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</row>
    <row r="1733">
      <c r="O1733" s="230"/>
      <c r="R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</row>
    <row r="1734">
      <c r="O1734" s="230"/>
      <c r="R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</row>
    <row r="1735">
      <c r="O1735" s="230"/>
      <c r="R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</row>
    <row r="1736">
      <c r="O1736" s="230"/>
      <c r="R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</row>
    <row r="1737">
      <c r="O1737" s="230"/>
      <c r="R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</row>
    <row r="1738">
      <c r="O1738" s="230"/>
      <c r="R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</row>
    <row r="1739">
      <c r="O1739" s="230"/>
      <c r="R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</row>
    <row r="1740">
      <c r="O1740" s="230"/>
      <c r="R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</row>
    <row r="1741">
      <c r="O1741" s="230"/>
      <c r="R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</row>
    <row r="1742">
      <c r="O1742" s="230"/>
      <c r="R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</row>
    <row r="1743">
      <c r="O1743" s="230"/>
      <c r="R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</row>
    <row r="1744">
      <c r="O1744" s="230"/>
      <c r="R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</row>
    <row r="1745">
      <c r="O1745" s="230"/>
      <c r="R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</row>
    <row r="1746">
      <c r="O1746" s="230"/>
      <c r="R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</row>
    <row r="1747">
      <c r="O1747" s="230"/>
      <c r="R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</row>
    <row r="1748">
      <c r="O1748" s="230"/>
      <c r="R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</row>
    <row r="1749">
      <c r="O1749" s="230"/>
      <c r="R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</row>
    <row r="1750">
      <c r="O1750" s="230"/>
      <c r="R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</row>
    <row r="1751">
      <c r="O1751" s="230"/>
      <c r="R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</row>
    <row r="1752">
      <c r="O1752" s="230"/>
      <c r="R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</row>
    <row r="1753">
      <c r="O1753" s="230"/>
      <c r="R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</row>
    <row r="1754">
      <c r="O1754" s="230"/>
      <c r="R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</row>
    <row r="1755">
      <c r="O1755" s="230"/>
      <c r="R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</row>
    <row r="1756">
      <c r="O1756" s="230"/>
      <c r="R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</row>
    <row r="1757">
      <c r="O1757" s="230"/>
      <c r="R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</row>
    <row r="1758">
      <c r="O1758" s="230"/>
      <c r="R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</row>
    <row r="1759">
      <c r="O1759" s="230"/>
      <c r="R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</row>
    <row r="1760">
      <c r="O1760" s="230"/>
      <c r="R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</row>
    <row r="1761">
      <c r="O1761" s="230"/>
      <c r="R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</row>
    <row r="1762">
      <c r="O1762" s="230"/>
      <c r="R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</row>
    <row r="1763">
      <c r="O1763" s="230"/>
      <c r="R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</row>
    <row r="1764">
      <c r="O1764" s="230"/>
      <c r="R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</row>
    <row r="1765">
      <c r="O1765" s="230"/>
      <c r="R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</row>
    <row r="1766">
      <c r="O1766" s="230"/>
      <c r="R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</row>
    <row r="1767">
      <c r="O1767" s="230"/>
      <c r="R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</row>
    <row r="1768">
      <c r="O1768" s="230"/>
      <c r="R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</row>
    <row r="1769">
      <c r="O1769" s="230"/>
      <c r="R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</row>
    <row r="1770">
      <c r="O1770" s="230"/>
      <c r="R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</row>
    <row r="1771">
      <c r="O1771" s="230"/>
      <c r="R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</row>
    <row r="1772">
      <c r="O1772" s="230"/>
      <c r="R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</row>
    <row r="1773">
      <c r="O1773" s="230"/>
      <c r="R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</row>
    <row r="1774">
      <c r="O1774" s="230"/>
      <c r="R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</row>
    <row r="1775">
      <c r="O1775" s="230"/>
      <c r="R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</row>
    <row r="1776">
      <c r="O1776" s="230"/>
      <c r="R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</row>
    <row r="1777">
      <c r="O1777" s="230"/>
      <c r="R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</row>
    <row r="1778">
      <c r="O1778" s="230"/>
      <c r="R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</row>
    <row r="1779">
      <c r="O1779" s="230"/>
      <c r="R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</row>
    <row r="1780">
      <c r="O1780" s="230"/>
      <c r="R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</row>
    <row r="1781">
      <c r="O1781" s="230"/>
      <c r="R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</row>
    <row r="1782">
      <c r="O1782" s="230"/>
      <c r="R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</row>
    <row r="1783">
      <c r="O1783" s="230"/>
      <c r="R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</row>
    <row r="1784">
      <c r="O1784" s="230"/>
      <c r="R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</row>
    <row r="1785">
      <c r="O1785" s="230"/>
      <c r="R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</row>
    <row r="1786">
      <c r="O1786" s="230"/>
      <c r="R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</row>
    <row r="1787">
      <c r="O1787" s="230"/>
      <c r="R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</row>
    <row r="1788">
      <c r="O1788" s="230"/>
      <c r="R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</row>
    <row r="1789">
      <c r="O1789" s="230"/>
      <c r="R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</row>
    <row r="1790">
      <c r="O1790" s="230"/>
      <c r="R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</row>
    <row r="1791">
      <c r="O1791" s="230"/>
      <c r="R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</row>
    <row r="1792">
      <c r="O1792" s="230"/>
      <c r="R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</row>
    <row r="1793">
      <c r="O1793" s="230"/>
      <c r="R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</row>
    <row r="1794">
      <c r="O1794" s="230"/>
      <c r="R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</row>
    <row r="1795">
      <c r="O1795" s="230"/>
      <c r="R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</row>
    <row r="1796">
      <c r="O1796" s="230"/>
      <c r="R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</row>
    <row r="1797">
      <c r="O1797" s="230"/>
      <c r="R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</row>
    <row r="1798">
      <c r="O1798" s="230"/>
      <c r="R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</row>
    <row r="1799">
      <c r="O1799" s="230"/>
      <c r="R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</row>
    <row r="1800">
      <c r="O1800" s="230"/>
      <c r="R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</row>
    <row r="1801">
      <c r="O1801" s="230"/>
      <c r="R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</row>
    <row r="1802">
      <c r="O1802" s="230"/>
      <c r="R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</row>
    <row r="1803">
      <c r="O1803" s="230"/>
      <c r="R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</row>
    <row r="1804">
      <c r="O1804" s="230"/>
      <c r="R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</row>
    <row r="1805">
      <c r="O1805" s="230"/>
      <c r="R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</row>
    <row r="1806">
      <c r="O1806" s="230"/>
      <c r="R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</row>
    <row r="1807">
      <c r="O1807" s="230"/>
      <c r="R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</row>
    <row r="1808">
      <c r="O1808" s="230"/>
      <c r="R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</row>
    <row r="1809">
      <c r="O1809" s="230"/>
      <c r="R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</row>
    <row r="1810">
      <c r="O1810" s="230"/>
      <c r="R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</row>
    <row r="1811">
      <c r="O1811" s="230"/>
      <c r="R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</row>
    <row r="1812">
      <c r="O1812" s="230"/>
      <c r="R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</row>
    <row r="1813">
      <c r="O1813" s="230"/>
      <c r="R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</row>
    <row r="1814">
      <c r="O1814" s="230"/>
      <c r="R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</row>
    <row r="1815">
      <c r="O1815" s="230"/>
      <c r="R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</row>
    <row r="1816">
      <c r="O1816" s="230"/>
      <c r="R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</row>
    <row r="1817">
      <c r="O1817" s="230"/>
      <c r="R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</row>
    <row r="1818">
      <c r="O1818" s="230"/>
      <c r="R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</row>
    <row r="1819">
      <c r="O1819" s="230"/>
      <c r="R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</row>
    <row r="1820">
      <c r="O1820" s="230"/>
      <c r="R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</row>
    <row r="1821">
      <c r="O1821" s="230"/>
      <c r="R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</row>
    <row r="1822">
      <c r="O1822" s="230"/>
      <c r="R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</row>
    <row r="1823">
      <c r="O1823" s="230"/>
      <c r="R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</row>
    <row r="1824">
      <c r="O1824" s="230"/>
      <c r="R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</row>
    <row r="1825">
      <c r="O1825" s="230"/>
      <c r="R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</row>
    <row r="1826">
      <c r="O1826" s="230"/>
      <c r="R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</row>
    <row r="1827">
      <c r="O1827" s="230"/>
      <c r="R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</row>
    <row r="1828">
      <c r="O1828" s="230"/>
      <c r="R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</row>
    <row r="1829">
      <c r="O1829" s="230"/>
      <c r="R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</row>
    <row r="1830">
      <c r="O1830" s="230"/>
      <c r="R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</row>
    <row r="1831">
      <c r="O1831" s="230"/>
      <c r="R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</row>
    <row r="1832">
      <c r="O1832" s="230"/>
      <c r="R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</row>
    <row r="1833">
      <c r="O1833" s="230"/>
      <c r="R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</row>
    <row r="1834">
      <c r="O1834" s="230"/>
      <c r="R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</row>
    <row r="1835">
      <c r="O1835" s="230"/>
      <c r="R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</row>
    <row r="1836">
      <c r="O1836" s="230"/>
      <c r="R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</row>
    <row r="1837">
      <c r="O1837" s="230"/>
      <c r="R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</row>
    <row r="1838">
      <c r="O1838" s="230"/>
      <c r="R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</row>
    <row r="1839">
      <c r="O1839" s="230"/>
      <c r="R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</row>
    <row r="1840">
      <c r="O1840" s="230"/>
      <c r="R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</row>
    <row r="1841">
      <c r="O1841" s="230"/>
      <c r="R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</row>
    <row r="1842">
      <c r="O1842" s="230"/>
      <c r="R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</row>
    <row r="1843">
      <c r="O1843" s="230"/>
      <c r="R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</row>
    <row r="1844">
      <c r="O1844" s="230"/>
      <c r="R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</row>
    <row r="1845">
      <c r="O1845" s="230"/>
      <c r="R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</row>
    <row r="1846">
      <c r="O1846" s="230"/>
      <c r="R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</row>
    <row r="1847">
      <c r="O1847" s="230"/>
      <c r="R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</row>
    <row r="1848">
      <c r="O1848" s="230"/>
      <c r="R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</row>
    <row r="1849">
      <c r="O1849" s="230"/>
      <c r="R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</row>
    <row r="1850">
      <c r="O1850" s="230"/>
      <c r="R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</row>
    <row r="1851">
      <c r="O1851" s="230"/>
      <c r="R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</row>
    <row r="1852">
      <c r="O1852" s="230"/>
      <c r="R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</row>
    <row r="1853">
      <c r="O1853" s="230"/>
      <c r="R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</row>
    <row r="1854">
      <c r="O1854" s="230"/>
      <c r="R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</row>
    <row r="1855">
      <c r="O1855" s="230"/>
      <c r="R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</row>
    <row r="1856">
      <c r="O1856" s="230"/>
      <c r="R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</row>
    <row r="1857">
      <c r="O1857" s="230"/>
      <c r="R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</row>
    <row r="1858">
      <c r="O1858" s="230"/>
      <c r="R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</row>
    <row r="1859">
      <c r="O1859" s="230"/>
      <c r="R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</row>
    <row r="1860">
      <c r="O1860" s="230"/>
      <c r="R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</row>
    <row r="1861">
      <c r="O1861" s="230"/>
      <c r="R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</row>
    <row r="1862">
      <c r="O1862" s="230"/>
      <c r="R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</row>
    <row r="1863">
      <c r="O1863" s="230"/>
      <c r="R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</row>
    <row r="1864">
      <c r="O1864" s="230"/>
      <c r="R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</row>
    <row r="1865">
      <c r="O1865" s="230"/>
      <c r="R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</row>
    <row r="1866">
      <c r="O1866" s="230"/>
      <c r="R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</row>
    <row r="1867">
      <c r="O1867" s="230"/>
      <c r="R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</row>
    <row r="1868">
      <c r="O1868" s="230"/>
      <c r="R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</row>
    <row r="1869">
      <c r="O1869" s="230"/>
      <c r="R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</row>
    <row r="1870">
      <c r="O1870" s="230"/>
      <c r="R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</row>
    <row r="1871">
      <c r="O1871" s="230"/>
      <c r="R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</row>
    <row r="1872">
      <c r="O1872" s="230"/>
      <c r="R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</row>
    <row r="1873">
      <c r="O1873" s="230"/>
      <c r="R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</row>
    <row r="1874">
      <c r="O1874" s="230"/>
      <c r="R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</row>
    <row r="1875">
      <c r="O1875" s="230"/>
      <c r="R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</row>
    <row r="1876">
      <c r="O1876" s="230"/>
      <c r="R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</row>
    <row r="1877">
      <c r="O1877" s="230"/>
      <c r="R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</row>
    <row r="1878">
      <c r="O1878" s="230"/>
      <c r="R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</row>
    <row r="1879">
      <c r="O1879" s="230"/>
      <c r="R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</row>
    <row r="1880">
      <c r="O1880" s="230"/>
      <c r="R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</row>
    <row r="1881">
      <c r="O1881" s="230"/>
      <c r="R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</row>
    <row r="1882">
      <c r="O1882" s="230"/>
      <c r="R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</row>
    <row r="1883">
      <c r="O1883" s="230"/>
      <c r="R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</row>
    <row r="1884">
      <c r="O1884" s="230"/>
      <c r="R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</row>
    <row r="1885">
      <c r="O1885" s="230"/>
      <c r="R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</row>
    <row r="1886">
      <c r="O1886" s="230"/>
      <c r="R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</row>
    <row r="1887">
      <c r="O1887" s="230"/>
      <c r="R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</row>
    <row r="1888">
      <c r="O1888" s="230"/>
      <c r="R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</row>
    <row r="1889">
      <c r="O1889" s="230"/>
      <c r="R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</row>
    <row r="1890">
      <c r="O1890" s="230"/>
      <c r="R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</row>
    <row r="1891">
      <c r="O1891" s="230"/>
      <c r="R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</row>
    <row r="1892">
      <c r="O1892" s="230"/>
      <c r="R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</row>
    <row r="1893">
      <c r="O1893" s="230"/>
      <c r="R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</row>
    <row r="1894">
      <c r="O1894" s="230"/>
      <c r="R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</row>
    <row r="1895">
      <c r="O1895" s="230"/>
      <c r="R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</row>
    <row r="1896">
      <c r="O1896" s="230"/>
      <c r="R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</row>
    <row r="1897">
      <c r="O1897" s="230"/>
      <c r="R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</row>
    <row r="1898">
      <c r="O1898" s="230"/>
      <c r="R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</row>
    <row r="1899">
      <c r="O1899" s="230"/>
      <c r="R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</row>
    <row r="1900">
      <c r="O1900" s="230"/>
      <c r="R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</row>
    <row r="1901">
      <c r="O1901" s="230"/>
      <c r="R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</row>
    <row r="1902">
      <c r="O1902" s="230"/>
      <c r="R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</row>
    <row r="1903">
      <c r="O1903" s="230"/>
      <c r="R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</row>
    <row r="1904">
      <c r="O1904" s="230"/>
      <c r="R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</row>
    <row r="1905">
      <c r="O1905" s="230"/>
      <c r="R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</row>
    <row r="1906">
      <c r="O1906" s="230"/>
      <c r="R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</row>
    <row r="1907">
      <c r="O1907" s="230"/>
      <c r="R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</row>
    <row r="1908">
      <c r="O1908" s="230"/>
      <c r="R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</row>
    <row r="1909">
      <c r="O1909" s="230"/>
      <c r="R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</row>
    <row r="1910">
      <c r="O1910" s="230"/>
      <c r="R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</row>
    <row r="1911">
      <c r="O1911" s="230"/>
      <c r="R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</row>
    <row r="1912">
      <c r="O1912" s="230"/>
      <c r="R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</row>
    <row r="1913">
      <c r="O1913" s="230"/>
      <c r="R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</row>
    <row r="1914">
      <c r="O1914" s="230"/>
      <c r="R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</row>
    <row r="1915">
      <c r="O1915" s="230"/>
      <c r="R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</row>
    <row r="1916">
      <c r="O1916" s="230"/>
      <c r="R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</row>
    <row r="1917">
      <c r="O1917" s="230"/>
      <c r="R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</row>
    <row r="1918">
      <c r="O1918" s="230"/>
      <c r="R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</row>
    <row r="1919">
      <c r="O1919" s="230"/>
      <c r="R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</row>
    <row r="1920">
      <c r="O1920" s="230"/>
      <c r="R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</row>
    <row r="1921">
      <c r="O1921" s="230"/>
      <c r="R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</row>
    <row r="1922">
      <c r="O1922" s="230"/>
      <c r="R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</row>
    <row r="1923">
      <c r="O1923" s="230"/>
      <c r="R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</row>
    <row r="1924">
      <c r="O1924" s="230"/>
      <c r="R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</row>
    <row r="1925">
      <c r="O1925" s="230"/>
      <c r="R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</row>
    <row r="1926">
      <c r="O1926" s="230"/>
      <c r="R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</row>
    <row r="1927">
      <c r="O1927" s="230"/>
      <c r="R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</row>
    <row r="1928">
      <c r="O1928" s="230"/>
      <c r="R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</row>
    <row r="1929">
      <c r="O1929" s="230"/>
      <c r="R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</row>
    <row r="1930">
      <c r="O1930" s="230"/>
      <c r="R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</row>
    <row r="1931">
      <c r="O1931" s="230"/>
      <c r="R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</row>
    <row r="1932">
      <c r="O1932" s="230"/>
      <c r="R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</row>
    <row r="1933">
      <c r="O1933" s="230"/>
      <c r="R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</row>
    <row r="1934">
      <c r="O1934" s="230"/>
      <c r="R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</row>
    <row r="1935">
      <c r="O1935" s="230"/>
      <c r="R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</row>
    <row r="1936">
      <c r="O1936" s="230"/>
      <c r="R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</row>
    <row r="1937">
      <c r="O1937" s="230"/>
      <c r="R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</row>
    <row r="1938">
      <c r="O1938" s="230"/>
      <c r="R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</row>
    <row r="1939">
      <c r="O1939" s="230"/>
      <c r="R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</row>
    <row r="1940">
      <c r="O1940" s="230"/>
      <c r="R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</row>
    <row r="1941">
      <c r="O1941" s="230"/>
      <c r="R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</row>
    <row r="1942">
      <c r="O1942" s="230"/>
      <c r="R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</row>
    <row r="1943">
      <c r="O1943" s="230"/>
      <c r="R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</row>
    <row r="1944">
      <c r="O1944" s="230"/>
      <c r="R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</row>
    <row r="1945">
      <c r="O1945" s="230"/>
      <c r="R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</row>
    <row r="1946">
      <c r="O1946" s="230"/>
      <c r="R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</row>
    <row r="1947">
      <c r="O1947" s="230"/>
      <c r="R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</row>
    <row r="1948">
      <c r="O1948" s="230"/>
      <c r="R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</row>
    <row r="1949">
      <c r="O1949" s="230"/>
      <c r="R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</row>
    <row r="1950">
      <c r="O1950" s="230"/>
      <c r="R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</row>
    <row r="1951">
      <c r="O1951" s="230"/>
      <c r="R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</row>
    <row r="1952">
      <c r="O1952" s="230"/>
      <c r="R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</row>
    <row r="1953">
      <c r="O1953" s="230"/>
      <c r="R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</row>
    <row r="1954">
      <c r="O1954" s="230"/>
      <c r="R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</row>
    <row r="1955">
      <c r="O1955" s="230"/>
      <c r="R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</row>
    <row r="1956">
      <c r="O1956" s="230"/>
      <c r="R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</row>
    <row r="1957">
      <c r="O1957" s="230"/>
      <c r="R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</row>
    <row r="1958">
      <c r="O1958" s="230"/>
      <c r="R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</row>
    <row r="1959">
      <c r="O1959" s="230"/>
      <c r="R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</row>
    <row r="1960">
      <c r="O1960" s="230"/>
      <c r="R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</row>
    <row r="1961">
      <c r="O1961" s="230"/>
      <c r="R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</row>
    <row r="1962">
      <c r="O1962" s="230"/>
      <c r="R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</row>
    <row r="1963">
      <c r="O1963" s="230"/>
      <c r="R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</row>
    <row r="1964">
      <c r="O1964" s="230"/>
      <c r="R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</row>
    <row r="1965">
      <c r="O1965" s="230"/>
      <c r="R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</row>
    <row r="1966">
      <c r="O1966" s="230"/>
      <c r="R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</row>
    <row r="1967">
      <c r="O1967" s="230"/>
      <c r="R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</row>
    <row r="1968">
      <c r="O1968" s="230"/>
      <c r="R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</row>
    <row r="1969">
      <c r="O1969" s="230"/>
      <c r="R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</row>
    <row r="1970">
      <c r="O1970" s="230"/>
      <c r="R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</row>
    <row r="1971">
      <c r="O1971" s="230"/>
      <c r="R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</row>
    <row r="1972">
      <c r="O1972" s="230"/>
      <c r="R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</row>
    <row r="1973">
      <c r="O1973" s="230"/>
      <c r="R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</row>
    <row r="1974">
      <c r="O1974" s="230"/>
      <c r="R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</row>
    <row r="1975">
      <c r="O1975" s="230"/>
      <c r="R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</row>
    <row r="1976">
      <c r="O1976" s="230"/>
      <c r="R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</row>
    <row r="1977">
      <c r="O1977" s="230"/>
      <c r="R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</row>
    <row r="1978">
      <c r="O1978" s="230"/>
      <c r="R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</row>
    <row r="1979">
      <c r="O1979" s="230"/>
      <c r="R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</row>
    <row r="1980">
      <c r="O1980" s="230"/>
      <c r="R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</row>
    <row r="1981">
      <c r="O1981" s="230"/>
      <c r="R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</row>
    <row r="1982">
      <c r="O1982" s="230"/>
      <c r="R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</row>
    <row r="1983">
      <c r="O1983" s="230"/>
      <c r="R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</row>
    <row r="1984">
      <c r="O1984" s="230"/>
      <c r="R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</row>
    <row r="1985">
      <c r="O1985" s="230"/>
      <c r="R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</row>
    <row r="1986">
      <c r="O1986" s="230"/>
      <c r="R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</row>
    <row r="1987">
      <c r="O1987" s="230"/>
      <c r="R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</row>
    <row r="1988">
      <c r="O1988" s="230"/>
      <c r="R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</row>
    <row r="1989">
      <c r="O1989" s="230"/>
      <c r="R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</row>
    <row r="1990">
      <c r="O1990" s="230"/>
      <c r="R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</row>
    <row r="1991">
      <c r="O1991" s="230"/>
      <c r="R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</row>
    <row r="1992">
      <c r="O1992" s="230"/>
      <c r="R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</row>
    <row r="1993">
      <c r="O1993" s="230"/>
      <c r="R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</row>
    <row r="1994">
      <c r="O1994" s="230"/>
      <c r="R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</row>
    <row r="1995">
      <c r="O1995" s="230"/>
      <c r="R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</row>
    <row r="1996">
      <c r="O1996" s="230"/>
      <c r="R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</row>
    <row r="1997">
      <c r="O1997" s="230"/>
      <c r="R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</row>
    <row r="1998">
      <c r="O1998" s="230"/>
      <c r="R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</row>
    <row r="1999">
      <c r="O1999" s="230"/>
      <c r="R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</row>
    <row r="2000">
      <c r="O2000" s="230"/>
      <c r="R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</row>
    <row r="2001">
      <c r="O2001" s="230"/>
      <c r="R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</row>
    <row r="2002">
      <c r="O2002" s="230"/>
      <c r="R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</row>
    <row r="2003">
      <c r="O2003" s="230"/>
      <c r="R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</row>
    <row r="2004">
      <c r="O2004" s="230"/>
      <c r="R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</row>
  </sheetData>
  <autoFilter ref="$A$1:$AR$2004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105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19.0</v>
      </c>
      <c r="C3" s="219">
        <v>565.5</v>
      </c>
      <c r="D3" s="216"/>
      <c r="E3" s="212"/>
      <c r="F3" s="217"/>
    </row>
    <row r="4" ht="22.5" customHeight="1">
      <c r="A4" s="218" t="s">
        <v>250</v>
      </c>
      <c r="B4" s="216"/>
      <c r="C4" s="212">
        <v>198.0</v>
      </c>
      <c r="D4" s="216"/>
      <c r="E4" s="212"/>
      <c r="F4" s="220" t="s">
        <v>251</v>
      </c>
    </row>
    <row r="5" ht="22.5" customHeight="1">
      <c r="A5" s="218" t="s">
        <v>252</v>
      </c>
      <c r="B5" s="216"/>
      <c r="C5" s="212">
        <v>37.5</v>
      </c>
      <c r="D5" s="216"/>
      <c r="E5" s="212"/>
      <c r="F5" s="220" t="s">
        <v>251</v>
      </c>
    </row>
    <row r="6" ht="22.5" customHeight="1">
      <c r="A6" s="218" t="s">
        <v>253</v>
      </c>
      <c r="B6" s="216"/>
      <c r="C6" s="212">
        <v>9.0</v>
      </c>
      <c r="D6" s="216"/>
      <c r="E6" s="212"/>
      <c r="F6" s="221" t="s">
        <v>7785</v>
      </c>
    </row>
    <row r="7" ht="22.5" customHeight="1">
      <c r="A7" s="218" t="s">
        <v>255</v>
      </c>
      <c r="B7" s="216">
        <f>SUM('Sprint 11'!O:O)</f>
        <v>284</v>
      </c>
      <c r="C7" s="212">
        <f>ROUND(SUM('Sprint 11'!S:S)/3600,2)</f>
        <v>132</v>
      </c>
      <c r="D7" s="216">
        <f>SUMIF('Sprint 11'!J:J, "Done", 'Sprint 11'!O:O)</f>
        <v>44</v>
      </c>
      <c r="E7" s="212">
        <f>ROUND(SUMIF('Sprint 11'!J:J, "Done", 'Sprint 11'!S:S)/3600,2)</f>
        <v>22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v>6.0</v>
      </c>
      <c r="C9" s="212">
        <f>IFERROR(__xludf.DUMMYFUNCTION("ROUND(IFERROR(SUM(FILTER('Sprint 11'!S:S, ('Sprint 11'!Q:Q = ""mid-sprint"")))/3600,0),2)"),0.0)</f>
        <v>0</v>
      </c>
      <c r="D9" s="212">
        <f>IFERROR(__xludf.DUMMYFUNCTION("IFERROR(SUM(FILTER('Sprint 11'!O:O, (('Sprint 11'!J:J = ""Done"")) * ('Sprint 11'!Q:Q = ""mid-sprint""))),0)"),0.0)</f>
        <v>0</v>
      </c>
      <c r="E9" s="212">
        <f>IFERROR(__xludf.DUMMYFUNCTION("ROUND(IFERROR(SUM(FILTER('Sprint 11'!S:S, (('Sprint 11'!J:J = ""Done"")) * ('Sprint 11'!P:P = ""mid-sprint"")))/3600,0),2)"),0.0)</f>
        <v>0</v>
      </c>
      <c r="F9" s="225" t="s">
        <v>257</v>
      </c>
    </row>
    <row r="10" ht="22.5" customHeight="1">
      <c r="A10" s="218" t="s">
        <v>258</v>
      </c>
      <c r="B10" s="212">
        <f>IFERROR(__xludf.DUMMYFUNCTION("IFERROR(SUM(FILTER('Sprint 11'!O:O, ('Sprint 11'!Q:Q = ""change-request""))),0)"),0.0)</f>
        <v>0</v>
      </c>
      <c r="C10" s="212">
        <f>IFERROR(__xludf.DUMMYFUNCTION("ROUND(IFERROR(SUM(FILTER('Sprint 11'!S:S, ('Sprint 11'!Q:Q = ""change-request"")))/3600,0),2)"),0.0)</f>
        <v>0</v>
      </c>
      <c r="D10" s="212">
        <f>IFERROR(__xludf.DUMMYFUNCTION("IFERROR(SUM(FILTER('Sprint 11'!O:O, (('Sprint 11'!J:J = ""Done"")) * ('Sprint 11'!Q:Q = ""change-request""))),0)"),0.0)</f>
        <v>0</v>
      </c>
      <c r="E10" s="212">
        <f>IFERROR(__xludf.DUMMYFUNCTION("ROUND(IFERROR(SUM(FILTER('Sprint 11'!S:S, (('Sprint 11'!J:J = ""Done"")) * ('Sprint 11'!Q:Q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11'!O:O, ('Sprint 11'!E:E = ""Aek:Atiphat Nanthachitvanich""))),0)"),16.0)</f>
        <v>16</v>
      </c>
      <c r="C12" s="223">
        <f>IFERROR(__xludf.DUMMYFUNCTION("ROUND(IFERROR(SUM(FILTER('Sprint 11'!S:S, ('Sprint 11'!E:E = ""Aek:Atiphat Nanthachitvanich"")))/3600,0),2)"),0.0)</f>
        <v>0</v>
      </c>
      <c r="D12" s="216">
        <f>IFERROR(__xludf.DUMMYFUNCTION("IFERROR(SUM(FILTER('Sprint 11'!O:O, (('Sprint 11'!J:J = ""Done"")) * ('Sprint 11'!E:E = ""Aek:Atiphat Nanthachitvanich""))),0)"),3.0)</f>
        <v>3</v>
      </c>
      <c r="E12" s="223">
        <f>IFERROR(__xludf.DUMMYFUNCTION("ROUND(IFERROR(SUM(FILTER('Sprint 11'!S:S, (('Sprint 11'!J:J = ""Done"")) * ('Sprint 11'!E:E = ""Aek:Atiphat Nanthachitvanich"")))/3600,0),2)"),0.0)</f>
        <v>0</v>
      </c>
      <c r="F12" s="224"/>
    </row>
    <row r="13" ht="22.5" customHeight="1">
      <c r="A13" s="218" t="s">
        <v>32</v>
      </c>
      <c r="B13" s="216">
        <f>IFERROR(__xludf.DUMMYFUNCTION("IFERROR(SUM(FILTER('Sprint 11'!O:O, ('Sprint 11'!E:E = ""A:Phongthorn""))),0)"),14.0)</f>
        <v>14</v>
      </c>
      <c r="C13" s="223">
        <f>IFERROR(__xludf.DUMMYFUNCTION("ROUND(IFERROR(SUM(FILTER('Sprint 11'!S:S, ('Sprint 11'!E:E = ""A:Phongthorn"")))/3600,0),2)"),4.0)</f>
        <v>4</v>
      </c>
      <c r="D13" s="216">
        <f>IFERROR(__xludf.DUMMYFUNCTION("IFERROR(SUM(FILTER('Sprint 11'!O:O, (('Sprint 11'!J:J = ""Done"")) * ('Sprint 11'!E:E = ""A:Phongthorn""))),0)"),2.0)</f>
        <v>2</v>
      </c>
      <c r="E13" s="223">
        <f>IFERROR(__xludf.DUMMYFUNCTION("ROUND(IFERROR(SUM(FILTER('Sprint 11'!S:S, (('Sprint 11'!J:J = ""Done"")) * ('Sprint 11'!E:E = ""A:Phongthorn"")))/3600,0),2)"),4.0)</f>
        <v>4</v>
      </c>
      <c r="F13" s="224"/>
    </row>
    <row r="14" ht="22.5" customHeight="1">
      <c r="A14" s="218" t="s">
        <v>72</v>
      </c>
      <c r="B14" s="216">
        <f>IFERROR(__xludf.DUMMYFUNCTION("IFERROR(SUM(FILTER('Sprint 11'!O:O, ('Sprint 11'!E:E = ""Aom: Pornsawan Polnyiem""))),0)"),1.0)</f>
        <v>1</v>
      </c>
      <c r="C14" s="223">
        <f>IFERROR(__xludf.DUMMYFUNCTION("ROUND(IFERROR(SUM(FILTER('Sprint 11'!S:S, ('Sprint 11'!E:E = ""Aom: Pornsawan Polnyiem"")))/3600,0),2)"),0.0)</f>
        <v>0</v>
      </c>
      <c r="D14" s="216">
        <f>IFERROR(__xludf.DUMMYFUNCTION("IFERROR(SUM(FILTER('Sprint 11'!O:O, (('Sprint 11'!J:J = ""Done"")) * ('Sprint 11'!E:E = ""Aom: Pornsawan Polnyiem""))),0)"),0.0)</f>
        <v>0</v>
      </c>
      <c r="E14" s="223">
        <f>IFERROR(__xludf.DUMMYFUNCTION("ROUND(IFERROR(SUM(FILTER('Sprint 11'!S:S, (('Sprint 11'!J:J = ""Done"")) * ('Sprint 11'!E:E = ""Aom: Pornsawan Polnyiem"")))/3600,0),2)"),0.0)</f>
        <v>0</v>
      </c>
      <c r="F14" s="224"/>
    </row>
    <row r="15" ht="22.5" customHeight="1">
      <c r="A15" s="218" t="s">
        <v>24</v>
      </c>
      <c r="B15" s="216">
        <f>IFERROR(__xludf.DUMMYFUNCTION("IFERROR(SUM(FILTER('Sprint 11'!O:O, ('Sprint 11'!E:E = ""Zan : Isarapong Bulan""))),0)"),5.0)</f>
        <v>5</v>
      </c>
      <c r="C15" s="223">
        <f>IFERROR(__xludf.DUMMYFUNCTION("ROUND(IFERROR(SUM(FILTER('Sprint 11'!S:S, ('Sprint 11'!E:E = ""Zan : Isarapong Bulan"")))/3600,0),2)"),0.0)</f>
        <v>0</v>
      </c>
      <c r="D15" s="216">
        <f>IFERROR(__xludf.DUMMYFUNCTION("IFERROR(SUM(FILTER('Sprint 11'!O:O, (('Sprint 11'!J:J = ""Done"")) * ('Sprint 11'!E:E = ""Zan : Isarapong Bulan""))),0)"),0.0)</f>
        <v>0</v>
      </c>
      <c r="E15" s="223">
        <f>IFERROR(__xludf.DUMMYFUNCTION("ROUND(IFERROR(SUM(FILTER('Sprint 11'!S:S, (('Sprint 11'!J:J = ""Done"")) * ('Sprint 11'!E:E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11'!O:O, ('Sprint 11'!E:E = ""Mai:Sateta Abvanawong""))),0)"),41.0)</f>
        <v>41</v>
      </c>
      <c r="C16" s="223">
        <f>IFERROR(__xludf.DUMMYFUNCTION("ROUND(IFERROR(SUM(FILTER('Sprint 11'!S:S, ('Sprint 11'!E:E = ""Mai:Sateta Abvanawong"")))/3600,0),2)"),8.0)</f>
        <v>8</v>
      </c>
      <c r="D16" s="216">
        <f>IFERROR(__xludf.DUMMYFUNCTION("IFERROR(SUM(FILTER('Sprint 11'!O:O, (('Sprint 11'!J:J = ""Done"")) * ('Sprint 11'!E:E = ""Mai:Sateta Abvanawong""))),0)"),10.0)</f>
        <v>10</v>
      </c>
      <c r="E16" s="223">
        <f>IFERROR(__xludf.DUMMYFUNCTION("ROUND(IFERROR(SUM(FILTER('Sprint 11'!S:S, (('Sprint 11'!J:J = ""Done"")) * ('Sprint 11'!E:E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11'!O:O, ('Sprint 11'!E:E = ""Mac: Jarupong Pawichpongkul""))),0)"),51.0)</f>
        <v>51</v>
      </c>
      <c r="C17" s="223">
        <f>IFERROR(__xludf.DUMMYFUNCTION("ROUND(IFERROR(SUM(FILTER('Sprint 11'!S:S, ('Sprint 11'!E:E = ""Mac: Jarupong Pawichpongkul"")))/3600,0),2)"),0.0)</f>
        <v>0</v>
      </c>
      <c r="D17" s="216">
        <f>IFERROR(__xludf.DUMMYFUNCTION("IFERROR(SUM(FILTER('Sprint 11'!O:O, (('Sprint 11'!J:J = ""Done"")) * ('Sprint 11'!E:E = ""Mac: Jarupong Pawichpongkul""))),0)"),3.0)</f>
        <v>3</v>
      </c>
      <c r="E17" s="223">
        <f>IFERROR(__xludf.DUMMYFUNCTION("ROUND(IFERROR(SUM(FILTER('Sprint 11'!S:S, (('Sprint 11'!J:J = ""Done"")) * ('Sprint 11'!E:E = ""Mac: 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11'!O:O, ('Sprint 11'!E:E = ""Moss : Kittapath Sangvikukit""))),0)"),43.0)</f>
        <v>43</v>
      </c>
      <c r="C18" s="223">
        <f>IFERROR(__xludf.DUMMYFUNCTION("ROUND(IFERROR(SUM(FILTER('Sprint 11'!S:S, ('Sprint 11'!E:E = ""Moss : Kittapath Sangvikukit"")))/3600,0),2)"),8.0)</f>
        <v>8</v>
      </c>
      <c r="D18" s="216">
        <f>IFERROR(__xludf.DUMMYFUNCTION("IFERROR(SUM(FILTER('Sprint 11'!O:O, (('Sprint 11'!J:J = ""Done"")) * ('Sprint 11'!E:E = ""Moss : Kittapath Sangvikukit""))),0)"),9.0)</f>
        <v>9</v>
      </c>
      <c r="E18" s="223">
        <f>IFERROR(__xludf.DUMMYFUNCTION("ROUND(IFERROR(SUM(FILTER('Sprint 11'!S:S, (('Sprint 11'!J:J = ""Done"")) * ('Sprint 11'!E:E = ""Moss : Kittapath Sangvikukit"")))/3600,0),2)"),0.0)</f>
        <v>0</v>
      </c>
      <c r="F18" s="224"/>
    </row>
    <row r="19" ht="22.5" customHeight="1">
      <c r="A19" s="218" t="s">
        <v>28</v>
      </c>
      <c r="B19" s="216">
        <f>IFERROR(__xludf.DUMMYFUNCTION("IFERROR(SUM(FILTER('Sprint 11'!O:O, ('Sprint 11'!E:E = ""Jack: Warin Kesorn""))),0)"),13.0)</f>
        <v>13</v>
      </c>
      <c r="C19" s="223">
        <f>IFERROR(__xludf.DUMMYFUNCTION("ROUND(IFERROR(SUM(FILTER('Sprint 11'!S:S, ('Sprint 11'!E:E = ""Jack: Warin Kesorn"")))/3600,0),2)"),16.0)</f>
        <v>16</v>
      </c>
      <c r="D19" s="216">
        <f>IFERROR(__xludf.DUMMYFUNCTION("IFERROR(SUM(FILTER('Sprint 11'!O:O, (('Sprint 11'!J:J = ""Done"")) * ('Sprint 11'!E:E = ""Jack: Warin Kesorn""))),0)"),0.0)</f>
        <v>0</v>
      </c>
      <c r="E19" s="223">
        <f>IFERROR(__xludf.DUMMYFUNCTION("ROUND(IFERROR(SUM(FILTER('Sprint 11'!S:S, (('Sprint 11'!J:J = ""Done"")) * ('Sprint 11'!E:E = ""Jack: Warin Kesorn"")))/3600,0),2)"),0.0)</f>
        <v>0</v>
      </c>
      <c r="F19" s="224"/>
    </row>
    <row r="20" ht="22.5" customHeight="1">
      <c r="A20" s="218" t="s">
        <v>3616</v>
      </c>
      <c r="B20" s="216">
        <f>IFERROR(__xludf.DUMMYFUNCTION("IFERROR(SUM(FILTER('Sprint 11'!O:O, ('Sprint 11'!E:E = ""Art_narupontp""))),0)"),0.0)</f>
        <v>0</v>
      </c>
      <c r="C20" s="223">
        <f>IFERROR(__xludf.DUMMYFUNCTION("ROUND(IFERROR(SUM(FILTER('Sprint 11'!S:S, ('Sprint 11'!E:E = ""Art_narupontp"")))/3600,0),2)"),0.0)</f>
        <v>0</v>
      </c>
      <c r="D20" s="216">
        <f>IFERROR(__xludf.DUMMYFUNCTION("IFERROR(SUM(FILTER('Sprint 11'!O:O, (('Sprint 11'!J:J = ""Done"")) * ('Sprint 11'!E:E = ""Art_narupontp""))),0)"),0.0)</f>
        <v>0</v>
      </c>
      <c r="E20" s="223">
        <f>IFERROR(__xludf.DUMMYFUNCTION("ROUND(IFERROR(SUM(FILTER('Sprint 11'!S:S, (('Sprint 11'!J:J = ""Done"")) * ('Sprint 11'!E:E = ""Art_narupontp"")))/3600,0),2)"),0.0)</f>
        <v>0</v>
      </c>
      <c r="F20" s="224"/>
    </row>
    <row r="21" ht="22.5" customHeight="1">
      <c r="A21" s="218" t="s">
        <v>3617</v>
      </c>
      <c r="B21" s="216">
        <f>IFERROR(__xludf.DUMMYFUNCTION("IFERROR(SUM(FILTER('Sprint 11'!O:O, ('Sprint 11'!E:E = ""Kae: Pimonrath Jaiyen""))),0)"),17.0)</f>
        <v>17</v>
      </c>
      <c r="C21" s="223">
        <f>IFERROR(__xludf.DUMMYFUNCTION("ROUND(IFERROR(SUM(FILTER('Sprint 11'!S:S, ('Sprint 11'!E:E = ""Kae: Pimonrath Jaiyen"")))/3600,0),2)"),11.0)</f>
        <v>11</v>
      </c>
      <c r="D21" s="216">
        <f>IFERROR(__xludf.DUMMYFUNCTION("IFERROR(SUM(FILTER('Sprint 11'!O:O, (('Sprint 11'!J:J = ""Done"")) * ('Sprint 11'!E:E = ""Kae: Pimonrath Jaiyen""))),0)"),3.0)</f>
        <v>3</v>
      </c>
      <c r="E21" s="223">
        <f>IFERROR(__xludf.DUMMYFUNCTION("ROUND(IFERROR(SUM(FILTER('Sprint 11'!S:S, (('Sprint 11'!J:J = ""Done"")) * ('Sprint 11'!E:E = ""Kae: Pimonrath Jaiyen"")))/3600,0),2)"),0.0)</f>
        <v>0</v>
      </c>
      <c r="F21" s="224"/>
    </row>
    <row r="22" ht="22.5" customHeight="1">
      <c r="A22" s="218" t="s">
        <v>76</v>
      </c>
      <c r="B22" s="216">
        <f>IFERROR(__xludf.DUMMYFUNCTION("IFERROR(SUM(FILTER('Sprint 11'!O:O, ('Sprint 11'!E:E = ""Nim : muthita munmueang""))),0)"),39.0)</f>
        <v>39</v>
      </c>
      <c r="C22" s="223">
        <f>IFERROR(__xludf.DUMMYFUNCTION("ROUND(IFERROR(SUM(FILTER('Sprint 11'!S:S, ('Sprint 11'!E:E = ""Nim : muthita munmueang"")))/3600,0),2)"),34.0)</f>
        <v>34</v>
      </c>
      <c r="D22" s="216">
        <f>IFERROR(__xludf.DUMMYFUNCTION("IFERROR(SUM(FILTER('Sprint 11'!O:O, (('Sprint 11'!J:J = ""Done"")) * ('Sprint 11'!E:E = ""Nim : muthita munmueang""))),0)"),3.0)</f>
        <v>3</v>
      </c>
      <c r="E22" s="223">
        <f>IFERROR(__xludf.DUMMYFUNCTION("ROUND(IFERROR(SUM(FILTER('Sprint 11'!S:S, (('Sprint 11'!J:J = ""Done"")) * ('Sprint 11'!E:E = ""Nim : muthita munmueang"")))/3600,0),2)"),0.0)</f>
        <v>0</v>
      </c>
      <c r="F22" s="224"/>
    </row>
    <row r="23" ht="22.5" customHeight="1">
      <c r="A23" s="221" t="s">
        <v>77</v>
      </c>
      <c r="B23" s="224">
        <f>IFERROR(__xludf.DUMMYFUNCTION("IFERROR(SUM(FILTER('Sprint 11'!O:O, ('Sprint 11'!E:E = ""Arm:Worawat Chotipongchoawalit""))),0)"),17.0)</f>
        <v>17</v>
      </c>
      <c r="C23" s="223">
        <f>IFERROR(__xludf.DUMMYFUNCTION("ROUND(IFERROR(SUM(FILTER('Sprint 11'!S:S, ('Sprint 11'!E:E = ""Arm:Worawat Chotipongchoawalit"")))/3600,0),2)"),50.0)</f>
        <v>50</v>
      </c>
      <c r="D23" s="216">
        <f>IFERROR(__xludf.DUMMYFUNCTION("IFERROR(SUM(FILTER('Sprint 11'!O:O, (('Sprint 11'!J:J = ""Done"")) * ('Sprint 11'!E:E = ""Arm:Worawat Chotipongchoawalit""))),0)"),6.0)</f>
        <v>6</v>
      </c>
      <c r="E23" s="223">
        <f>IFERROR(__xludf.DUMMYFUNCTION("ROUND(IFERROR(SUM(FILTER('Sprint 11'!S:S, (('Sprint 11'!J:J = ""Done"")) * ('Sprint 11'!E:E = ""Arm:Worawat Chotipongchoawalit"")))/3600,0),2)"),18.0)</f>
        <v>18</v>
      </c>
      <c r="F23" s="224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42" t="s">
        <v>3615</v>
      </c>
      <c r="J25" s="234"/>
      <c r="K25" s="234"/>
      <c r="L25" s="234"/>
      <c r="M25" s="235"/>
    </row>
    <row r="26" ht="20.25" customHeight="1">
      <c r="A26" s="239" t="s">
        <v>2214</v>
      </c>
      <c r="B26" s="243" t="s">
        <v>30</v>
      </c>
      <c r="C26" s="243" t="s">
        <v>24</v>
      </c>
      <c r="D26" s="243" t="s">
        <v>72</v>
      </c>
      <c r="E26" s="243" t="s">
        <v>28</v>
      </c>
      <c r="F26" s="243" t="s">
        <v>32</v>
      </c>
      <c r="G26" s="243" t="s">
        <v>3616</v>
      </c>
      <c r="H26" s="243" t="s">
        <v>73</v>
      </c>
      <c r="I26" s="243" t="s">
        <v>3617</v>
      </c>
      <c r="J26" s="243" t="s">
        <v>74</v>
      </c>
      <c r="K26" s="243" t="s">
        <v>76</v>
      </c>
      <c r="L26" s="243" t="s">
        <v>75</v>
      </c>
      <c r="M26" s="243" t="s">
        <v>77</v>
      </c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101" t="s">
        <v>4665</v>
      </c>
      <c r="B27" s="99">
        <f>IFERROR(__xludf.DUMMYFUNCTION("IFERROR(
  SUM(
    FILTER(
      'Sprint 11'!O:O,
      ('Sprint 11'!E:E = ""Aek:Atiphat Nanthachitvanich"") *
      (LEFT('Sprint 11'!B:B,7) = ""RDTHANA"")
    )
  ),
0)"),0.0)</f>
        <v>0</v>
      </c>
      <c r="C27" s="99">
        <f>IFERROR(__xludf.DUMMYFUNCTION("IFERROR(
  SUM(
    FILTER(
      'Sprint 11'!O:O,
      ('Sprint 11'!E:E = ""Zan : Isarapong Bulan"") *
      (LEFT('Sprint 11'!B:B,7) = ""RDTHANA"")
    )
  ),
0)"),5.0)</f>
        <v>5</v>
      </c>
      <c r="D27" s="99">
        <f>IFERROR(__xludf.DUMMYFUNCTION("IFERROR(
  SUM(
    FILTER(
      'Sprint 11'!O:O,
      ('Sprint 11'!E:E = ""Aom: Pornsawan Polnyiem"") *
      (LEFT('Sprint 11'!B:B,7) = ""RDTHANA"")
    )
  ),
0)"),1.0)</f>
        <v>1</v>
      </c>
      <c r="E27" s="99">
        <f>IFERROR(__xludf.DUMMYFUNCTION("IFERROR(
  SUM(
    FILTER(
      'Sprint 11'!O:O,
      ('Sprint 11'!E:E = ""Jack: Warin Kesorn"") *
      (LEFT('Sprint 11'!B:B,7) = ""RDTHANA"")
    )
  ),
0)"),8.0)</f>
        <v>8</v>
      </c>
      <c r="F27" s="99">
        <f>IFERROR(__xludf.DUMMYFUNCTION("IFERROR(
  SUM(
    FILTER(
      'Sprint 11'!O:O,
      ('Sprint 11'!E:E = ""A:Phongthorn"") *
      (LEFT('Sprint 11'!B:B,7) = ""RDTHANA"")
    )
  ),
0)"),12.0)</f>
        <v>12</v>
      </c>
      <c r="G27" s="99">
        <f>IFERROR(__xludf.DUMMYFUNCTION("IFERROR(
  SUM(
    FILTER(
      'Sprint 11'!O:O,
      ('Sprint 11'!E:E = ""Art_narupontp"") *
      (LEFT('Sprint 11'!B:B,7) = ""RDTHANA"")
    )
  ),
0)"),0.0)</f>
        <v>0</v>
      </c>
      <c r="H27" s="99">
        <f>IFERROR(__xludf.DUMMYFUNCTION("IFERROR(
  SUM(
    FILTER(
      'Sprint 11'!O:O,
      ('Sprint 11'!E:E = ""Mai:Sateta Abvanawong"") *
      (LEFT('Sprint 11'!B:B,7) = ""RDTHANA"")
    )
  ),
0)"),35.0)</f>
        <v>35</v>
      </c>
      <c r="I27" s="99">
        <f>IFERROR(__xludf.DUMMYFUNCTION("IFERROR(
  SUM(
    FILTER(
      'Sprint 11'!O:O,
      ('Sprint 11'!E:E = ""Kae: Pimonrath Jaiyen"") *
      (LEFT('Sprint 11'!B:B,7) = ""RDTHANA"")
    )
  ),
0)"),8.0)</f>
        <v>8</v>
      </c>
      <c r="J27" s="99">
        <f>IFERROR(__xludf.DUMMYFUNCTION("IFERROR(
  SUM(
    FILTER(
      'Sprint 11'!O:O,
      ('Sprint 11'!E:E = ""Mac: Jarupong Pawichpongkul"") *
      (LEFT('Sprint 11'!B:B,7) = ""RDTHANA"")
    )
  ),
0)"),44.0)</f>
        <v>44</v>
      </c>
      <c r="K27" s="99">
        <f>IFERROR(__xludf.DUMMYFUNCTION("IFERROR(
  SUM(
    FILTER(
      'Sprint 11'!O:O,
      ('Sprint 11'!E:E = ""Nim : muthita munmueang"") *
      (LEFT('Sprint 11'!B:B,7) = ""RDTHANA"")
    )
  ),
0)"),16.0)</f>
        <v>16</v>
      </c>
      <c r="L27" s="99">
        <f>IFERROR(__xludf.DUMMYFUNCTION("IFERROR(
  SUM(
    FILTER(
      'Sprint 11'!O:O,
      ('Sprint 11'!E:E = ""Moss : Kittapath Sangvikukit"") *
      (LEFT('Sprint 11'!B:B,7) = ""RDTHANA"")
    )
  ),
0)"),38.0)</f>
        <v>38</v>
      </c>
      <c r="M27" s="99">
        <f>IFERROR(__xludf.DUMMYFUNCTION("IFERROR(
  SUM(
    FILTER(
      'Sprint 11'!O:O,
      ('Sprint 11'!E:E = ""Arm:Worawat Chotipongchoawalit"") *
      (LEFT('Sprint 11'!B:B,7) = ""RDTHANA"")
    )
  ),
0)"),0.0)</f>
        <v>0</v>
      </c>
    </row>
    <row r="28">
      <c r="A28" s="101" t="s">
        <v>4666</v>
      </c>
      <c r="B28" s="99">
        <f>IFERROR(__xludf.DUMMYFUNCTION("IFERROR(
  SUM(
    FILTER(
      'Sprint 11'!O:O,
      ('Sprint 11'!E:E = ""Aek:Atiphat Nanthachitvanich"") *
      (LEFT('Sprint 11'!B:B,9) = ""DEVRDECOM"")
    )
  ),
0)"),8.0)</f>
        <v>8</v>
      </c>
      <c r="C28" s="99">
        <f>IFERROR(__xludf.DUMMYFUNCTION("IFERROR(
  SUM(
    FILTER(
      'Sprint 11'!O:O,
      ('Sprint 11'!E:E = ""Zan : Isarapong Bulan"") *
      (LEFT('Sprint 11'!B:B,9) = ""DEVRDECOM"")
    )
  ),
0)"),0.0)</f>
        <v>0</v>
      </c>
      <c r="D28" s="99">
        <f>IFERROR(__xludf.DUMMYFUNCTION("IFERROR(
  SUM(
    FILTER(
      'Sprint 11'!O:O,
      ('Sprint 11'!E:E = ""Aom: Pornsawan Polnyiem"") *
      (LEFT('Sprint 11'!B:B,9) = ""DEVRDECOM"")
    )
  ),
0)"),0.0)</f>
        <v>0</v>
      </c>
      <c r="E28" s="99">
        <f>IFERROR(__xludf.DUMMYFUNCTION("IFERROR(
  SUM(
    FILTER(
      'Sprint 11'!O:O,
      ('Sprint 11'!E:E = ""Jack: Warin Kesorn"") *
      (LEFT('Sprint 11'!B:B,9) = ""DEVRDECOM"")
    )
  ),
0)"),5.0)</f>
        <v>5</v>
      </c>
      <c r="F28" s="99">
        <f>IFERROR(__xludf.DUMMYFUNCTION("IFERROR(
  SUM(
    FILTER(
      'Sprint 11'!O:O,
      ('Sprint 11'!E:E = ""A:Phongthorn"") *
      (LEFT('Sprint 11'!B:B,9) = ""DEVRDECOM"")
    )
  ),
0)"),2.0)</f>
        <v>2</v>
      </c>
      <c r="G28" s="99">
        <f>IFERROR(__xludf.DUMMYFUNCTION("IFERROR(
  SUM(
    FILTER(
      'Sprint 11'!O:O,
      ('Sprint 11'!E:E = ""Art_narupontp"") *
      (LEFT('Sprint 11'!B:B,9) = ""DEVRDECOM"")
    )
  ),
0)"),0.0)</f>
        <v>0</v>
      </c>
      <c r="H28" s="99">
        <f>IFERROR(__xludf.DUMMYFUNCTION("IFERROR(
  SUM(
    FILTER(
      'Sprint 11'!O:O,
      ('Sprint 11'!E:E = ""Mai:Sateta Abvanawong"") *
      (LEFT('Sprint 11'!B:B,9) = ""DEVRDECOM"")
    )
  ),
0)"),3.0)</f>
        <v>3</v>
      </c>
      <c r="I28" s="99">
        <f>IFERROR(__xludf.DUMMYFUNCTION("IFERROR(
  SUM(
    FILTER(
      'Sprint 11'!O:O,
      ('Sprint 11'!E:E = ""Kae: Pimonrath Jaiyen"") *
      (LEFT('Sprint 11'!B:B,9) = ""DEVRDECOM"")
    )
  ),
0)"),3.0)</f>
        <v>3</v>
      </c>
      <c r="J28" s="99">
        <f>IFERROR(__xludf.DUMMYFUNCTION("IFERROR(
  SUM(
    FILTER(
      'Sprint 11'!O:O,
      ('Sprint 11'!E:E = ""Mac: Jarupong Pawichpongkul"") *
      (LEFT('Sprint 11'!B:B,9) = ""DEVRDECOM"")
    )
  ),
0)"),3.0)</f>
        <v>3</v>
      </c>
      <c r="K28" s="99">
        <f>IFERROR(__xludf.DUMMYFUNCTION("IFERROR(
  SUM(
    FILTER(
      'Sprint 11'!O:O,
      ('Sprint 11'!E:E = ""Nim : muthita munmueang"") *
      (LEFT('Sprint 11'!B:B,9) = ""DEVRDECOM"")
    )
  ),
0)"),2.0)</f>
        <v>2</v>
      </c>
      <c r="L28" s="99">
        <f>IFERROR(__xludf.DUMMYFUNCTION("IFERROR(
  SUM(
    FILTER(
      'Sprint 11'!O:O,
      ('Sprint 11'!E:E = ""Moss : Kittapath Sangvikukit"") *
      (LEFT('Sprint 11'!B:B,9) = ""DEVRDECOM"")
    )
  ),
0)"),5.0)</f>
        <v>5</v>
      </c>
      <c r="M28" s="99">
        <f>IFERROR(__xludf.DUMMYFUNCTION("IFERROR(
  SUM(
    FILTER(
      'Sprint 11'!O:O,
      ('Sprint 11'!E:E = ""Arm:Worawat Chotipongchoawalit"") *
      (LEFT('Sprint 11'!B:B,9) = ""DEVRDECOM"")
    )
  ),
0)"),6.0)</f>
        <v>6</v>
      </c>
    </row>
    <row r="29" ht="32.25" customHeight="1">
      <c r="A29" s="101" t="s">
        <v>4667</v>
      </c>
      <c r="B29" s="99">
        <f>IFERROR(__xludf.DUMMYFUNCTION("IFERROR(
  SUM(
    FILTER(
      'Sprint 11'!O:O,
      ('Sprint 11'!E:E = ""Aek:Atiphat Nanthachitvanich"") *
      (LEFT('Sprint 11'!B:B,7) = ""DEVRDCT"")
    )
  ),
0)"),8.0)</f>
        <v>8</v>
      </c>
      <c r="C29" s="99">
        <f>IFERROR(__xludf.DUMMYFUNCTION("IFERROR(
  SUM(
    FILTER(
      'Sprint 11'!O:O,
      ('Sprint 11'!E:E = ""Zan : Isarapong Bulan"") *
      (LEFT('Sprint 11'!B:B,7) = ""DEVRDCT"")
    )
  ),
0)"),0.0)</f>
        <v>0</v>
      </c>
      <c r="D29" s="99">
        <f>IFERROR(__xludf.DUMMYFUNCTION("IFERROR(
  SUM(
    FILTER(
      'Sprint 11'!O:O,
      ('Sprint 11'!E:E = ""Aom: Pornsawan Polnyiem"") *
      (LEFT('Sprint 11'!B:B,7) = ""DEVRDCT"")
    )
  ),
0)"),0.0)</f>
        <v>0</v>
      </c>
      <c r="E29" s="99">
        <f>IFERROR(__xludf.DUMMYFUNCTION("IFERROR(
  SUM(
    FILTER(
      'Sprint 11'!O:O,
      ('Sprint 11'!E:E = ""Jack: Warin Kesorn"") *
      (LEFT('Sprint 11'!B:B,7) = ""DEVRDCT"")
    )
  ),
0)"),0.0)</f>
        <v>0</v>
      </c>
      <c r="F29" s="99">
        <f>IFERROR(__xludf.DUMMYFUNCTION("IFERROR(
  SUM(
    FILTER(
      'Sprint 11'!O:O,
      ('Sprint 11'!E:E = ""A:Phongthorn"") *
      (LEFT('Sprint 11'!B:B,7) = ""DEVRDCT"")
    )
  ),
0)"),0.0)</f>
        <v>0</v>
      </c>
      <c r="G29" s="99">
        <f>IFERROR(__xludf.DUMMYFUNCTION("IFERROR(
  SUM(
    FILTER(
      'Sprint 11'!O:O,
      ('Sprint 11'!E:E = ""Art_narupontp"") *
      (LEFT('Sprint 11'!B:B,7) = ""DEVRDCT"")
    )
  ),
0)"),0.0)</f>
        <v>0</v>
      </c>
      <c r="H29" s="99">
        <f>IFERROR(__xludf.DUMMYFUNCTION("IFERROR(
  SUM(
    FILTER(
      'Sprint 11'!O:O,
      ('Sprint 11'!E:E = ""Mai:Sateta Abvanawong"") *
      (LEFT('Sprint 11'!B:B,7) = ""DEVRDCT"")
    )
  ),
0)"),0.0)</f>
        <v>0</v>
      </c>
      <c r="I29" s="99">
        <f>IFERROR(__xludf.DUMMYFUNCTION("IFERROR(
  SUM(
    FILTER(
      'Sprint 11'!O:O,
      ('Sprint 11'!E:E = ""Moss : Kittapath Sangvikukit"") *
      (LEFT('Sprint 11'!B:B,7) = ""DEVRDCT"")
    )
  ),
0)"),0.0)</f>
        <v>0</v>
      </c>
      <c r="J29" s="99">
        <f>IFERROR(__xludf.DUMMYFUNCTION("IFERROR(
  SUM(
    FILTER(
      'Sprint 11'!O:O,
      ('Sprint 11'!E:E = ""Mac: Jarupong Pawichpongkul"") *
      (LEFT('Sprint 11'!B:B,7) = ""DEVRDCT"")
    )
  ),
0)"),4.0)</f>
        <v>4</v>
      </c>
      <c r="K29" s="99">
        <f>IFERROR(__xludf.DUMMYFUNCTION("IFERROR(
  SUM(
    FILTER(
      'Sprint 11'!O:O,
      ('Sprint 11'!E:E = ""Moss : Kittapath Sangvikukit"") *
      (LEFT('Sprint 11'!B:B,7) = ""DEVRDCT"")
    )
  ),
0)"),0.0)</f>
        <v>0</v>
      </c>
      <c r="L29" s="99">
        <f>IFERROR(__xludf.DUMMYFUNCTION("IFERROR(
  SUM(
    FILTER(
      'Sprint 11'!O:O,
      ('Sprint 11'!E:E = ""Moss : Kittapath Sangvikukit"") *
      (LEFT('Sprint 11'!B:B,7) = ""DEVRDCT"")
    )
  ),
0)"),0.0)</f>
        <v>0</v>
      </c>
      <c r="M29" s="99">
        <f>IFERROR(__xludf.DUMMYFUNCTION("IFERROR(
  SUM(
    FILTER(
      'Sprint 11'!O:O,
      ('Sprint 11'!E:E = ""Arm:Worawat Chotipongchoawalit"") *
      (LEFT('Sprint 11'!B:B,7) = ""DEVRDCT"")
    )
  ),
0)"),8.0)</f>
        <v>8</v>
      </c>
    </row>
    <row r="30" ht="22.5" customHeight="1">
      <c r="A30" s="101" t="s">
        <v>4668</v>
      </c>
      <c r="B30" s="99">
        <f>IFERROR(__xludf.DUMMYFUNCTION("IFERROR(
  SUM(
    FILTER(
      'Sprint 11'!O:O,
      ('Sprint 11'!E:E = ""Aek:Atiphat Nanthachitvanich"") *
      (LEFT('Sprint 11'!B:B,8) = ""DEVRDADJ"")
    )
  ),
0)"),0.0)</f>
        <v>0</v>
      </c>
      <c r="C30" s="99">
        <f>IFERROR(__xludf.DUMMYFUNCTION("IFERROR(
  SUM(
    FILTER(
      'Sprint 11'!O:O,
      ('Sprint 11'!E:E = ""Zan : Isarapong Bulan"") *
      (LEFT('Sprint 11'!B:B,8) = ""DEVRDADJ"")
    )
  ),
0)"),0.0)</f>
        <v>0</v>
      </c>
      <c r="D30" s="99">
        <f>IFERROR(__xludf.DUMMYFUNCTION("IFERROR(
  SUM(
    FILTER(
      'Sprint 11'!O:O,
      ('Sprint 11'!E:E = ""Aom: Pornsawan Polnyiem"") *
      (LEFT('Sprint 11'!B:B,8) = ""DEVRDADJ"")
    )
  ),
0)"),0.0)</f>
        <v>0</v>
      </c>
      <c r="E30" s="99">
        <f>IFERROR(__xludf.DUMMYFUNCTION("IFERROR(
  SUM(
    FILTER(
      'Sprint 11'!O:O,
      ('Sprint 11'!E:E = ""Jack: Warin Kesorn"") *
      (LEFT('Sprint 11'!B:B,8) = ""DEVRDADJ"")
    )
  ),
0)"),0.0)</f>
        <v>0</v>
      </c>
      <c r="F30" s="99">
        <f>IFERROR(__xludf.DUMMYFUNCTION("IFERROR(
  SUM(
    FILTER(
      'Sprint 11'!O:O,
      ('Sprint 11'!E:E = ""A:Phongthorn"") *
      (LEFT('Sprint 11'!B:B,8) = ""DEVRDADJ"")
    )
  ),
0)"),0.0)</f>
        <v>0</v>
      </c>
      <c r="G30" s="99">
        <f>IFERROR(__xludf.DUMMYFUNCTION("IFERROR(
  SUM(
    FILTER(
      'Sprint 11'!O:O,
      ('Sprint 11'!E:E = ""Art_narupontp"") *
      (LEFT('Sprint 11'!B:B,8) = ""DEVRDADJ"")
    )
  ),
0)"),0.0)</f>
        <v>0</v>
      </c>
      <c r="H30" s="99">
        <f>IFERROR(__xludf.DUMMYFUNCTION("IFERROR(
  SUM(
    FILTER(
      'Sprint 11'!O:O,
      ('Sprint 11'!E:E = ""Mai:Sateta Abvanawong"") *
      (LEFT('Sprint 11'!B:B,8) = ""DEVRDADJ"")
    )
  ),
0)"),3.0)</f>
        <v>3</v>
      </c>
      <c r="I30" s="99">
        <f>IFERROR(__xludf.DUMMYFUNCTION("IFERROR(
  SUM(
    FILTER(
      'Sprint 11'!O:O,
      ('Sprint 11'!E:E = ""Kae: Pimonrath Jaiyen"") *
      (LEFT('Sprint 11'!B:B,8) = ""DEVRDADJ"")
    )
  ),
0)"),3.0)</f>
        <v>3</v>
      </c>
      <c r="J30" s="99">
        <f>IFERROR(__xludf.DUMMYFUNCTION("IFERROR(
  SUM(
    FILTER(
      'Sprint 11'!O:O,
      ('Sprint 11'!E:E = ""Mac: Jarupong Pawichpongkul"") *
      (LEFT('Sprint 11'!B:B,8) = ""DEVRDADJ"")
    )
  ),
0)"),0.0)</f>
        <v>0</v>
      </c>
      <c r="K30" s="99">
        <f>IFERROR(__xludf.DUMMYFUNCTION("IFERROR(
  SUM(
    FILTER(
      'Sprint 11'!O:O,
      ('Sprint 11'!E:E = ""Nim : muthita munmueang"") *
      (LEFT('Sprint 11'!B:B,8) = ""DEVRDADJ"")
    )
  ),
0)"),4.0)</f>
        <v>4</v>
      </c>
      <c r="L30" s="99">
        <f>IFERROR(__xludf.DUMMYFUNCTION("IFERROR(
  SUM(
    FILTER(
      'Sprint 11'!O:O,
      ('Sprint 11'!E:E = ""Moss : Kittapath Sangvikukit"") *
      (LEFT('Sprint 11'!B:B,8) = ""DEVRDADJ"")
    )
  ),
0)"),0.0)</f>
        <v>0</v>
      </c>
      <c r="M30" s="99">
        <f>IFERROR(__xludf.DUMMYFUNCTION("IFERROR(
  SUM(
    FILTER(
      'Sprint 11'!O:O,
      ('Sprint 11'!E:E = ""Arm:Worawat Chotipongchoawalit"") *
      (LEFT('Sprint 11'!B:B,8) = ""DEVRDADJ"")
    )
  ),
0)"),3.0)</f>
        <v>3</v>
      </c>
    </row>
    <row r="31">
      <c r="A31" s="101" t="s">
        <v>4669</v>
      </c>
      <c r="B31" s="101">
        <f>IFERROR(__xludf.DUMMYFUNCTION("IFERROR(
  SUM(
    FILTER(
      'Sprint 11'!O:O,
      ('Sprint 11'!E:E = ""Aek:Atiphat Nanthachitvanich"") *
      (LEFT('Sprint 11'!B:B,5) = ""RDAPS"")
    )
  ),
0)"),0.0)</f>
        <v>0</v>
      </c>
      <c r="C31" s="99">
        <f>IFERROR(__xludf.DUMMYFUNCTION("IFERROR(
  SUM(
    FILTER(
      'Sprint 11'!O:O,
      ('Sprint 11'!E:E = ""Zan : Isarapong Bulan"") *
      (LEFT('Sprint 11'!B:B,5) = ""RDAPS"")
    )
  ),
0)"),0.0)</f>
        <v>0</v>
      </c>
      <c r="D31" s="99">
        <f>IFERROR(__xludf.DUMMYFUNCTION("IFERROR(
  SUM(
    FILTER(
      'Sprint 11'!O:O,
      ('Sprint 11'!E:E = ""Aom: Pornsawan Polnyiem"") *
      (LEFT('Sprint 11'!B:B,5) = ""RDAPS"")
    )
  ),
0)"),0.0)</f>
        <v>0</v>
      </c>
      <c r="E31" s="99">
        <f>IFERROR(__xludf.DUMMYFUNCTION("IFERROR(
  SUM(
    FILTER(
      'Sprint 11'!O:O,
      ('Sprint 11'!E:E = ""Jack: Warin Kesorn"") *
      (LEFT('Sprint 11'!B:B,5) = ""RDAPS"")
    )
  ),
0)"),0.0)</f>
        <v>0</v>
      </c>
      <c r="F31" s="99">
        <f>IFERROR(__xludf.DUMMYFUNCTION("IFERROR(
  SUM(
    FILTER(
      'Sprint 11'!O:O,
      ('Sprint 11'!E:E = ""A:Phongthorn"") *
      (LEFT('Sprint 11'!B:B,5) = ""RDAPS"")
    )
  ),
0)"),0.0)</f>
        <v>0</v>
      </c>
      <c r="G31" s="99">
        <f>IFERROR(__xludf.DUMMYFUNCTION("IFERROR(
  SUM(
    FILTER(
      'Sprint 11'!O:O,
      ('Sprint 11'!E:E = ""Art_narupontp"") *
      (LEFT('Sprint 11'!B:B,5) = ""RDAPS"")
    )
  ),
0)"),0.0)</f>
        <v>0</v>
      </c>
      <c r="H31" s="99">
        <f>IFERROR(__xludf.DUMMYFUNCTION("IFERROR(
  SUM(
    FILTER(
      'Sprint 11'!O:O,
      ('Sprint 11'!E:E = ""Mai:Sateta Abvanawong"") *
      (LEFT('Sprint 11'!B:B,5) = ""RDAPS"")
    )
  ),
0)"),0.0)</f>
        <v>0</v>
      </c>
      <c r="I31" s="99">
        <f>IFERROR(__xludf.DUMMYFUNCTION("IFERROR(
  SUM(
    FILTER(
      'Sprint 11'!O:O,
      ('Sprint 11'!E:E = ""Kae: Pimonrath Jaiyen"") *
      (LEFT('Sprint 11'!B:B,5) = ""RDAPS"")
    )
  ),
0)"),0.0)</f>
        <v>0</v>
      </c>
      <c r="J31" s="99">
        <f>IFERROR(__xludf.DUMMYFUNCTION("IFERROR(
  SUM(
    FILTER(
      'Sprint 11'!O:O,
      ('Sprint 11'!E:E = ""Mac: Jarupong Pawichpongkul"") *
      (LEFT('Sprint 11'!B:B,5) = ""RDAPS"")
    )
  ),
0)"),0.0)</f>
        <v>0</v>
      </c>
      <c r="K31" s="99">
        <f>IFERROR(__xludf.DUMMYFUNCTION("IFERROR(
  SUM(
    FILTER(
      'Sprint 11'!O:O,
      ('Sprint 11'!E:E = ""Moss : Kittapath Sangvikukitฃ"") *
      (LEFT('Sprint 11'!B:B,5) = ""RDAPS"")
    )
  ),
0)"),0.0)</f>
        <v>0</v>
      </c>
      <c r="L31" s="99">
        <f>IFERROR(__xludf.DUMMYFUNCTION("IFERROR(
  SUM(
    FILTER(
      'Sprint 11'!O:O,
      ('Sprint 11'!E:E = ""Moss : Kittapath Sangvikukit"") *
      (LEFT('Sprint 11'!B:B,5) = ""RDAPS"")
    )
  ),
0)"),0.0)</f>
        <v>0</v>
      </c>
      <c r="M31" s="99">
        <f>IFERROR(__xludf.DUMMYFUNCTION("IFERROR(
  SUM(
    FILTER(
      'Sprint 11'!O:O,
      ('Sprint 11'!E:E = ""Arm:Worawat Chotipongchoawalit"") *
      (LEFT('Sprint 11'!B:B,5) = ""RDAPS"")
    )
  ),
0)"),0.0)</f>
        <v>0</v>
      </c>
    </row>
    <row r="32" ht="21.0" customHeight="1">
      <c r="A32" s="101" t="s">
        <v>4670</v>
      </c>
      <c r="B32" s="101">
        <f>IFERROR(__xludf.DUMMYFUNCTION("IFERROR(
  SUM(
    FILTER(
      'Sprint 11'!O:O,
      ('Sprint 11'!E:E = ""Aek:Atiphat Nanthachitvanich"") *
      (LEFT('Sprint 11'!B:B,8) = ""DEVRDSUP"")
    )
  ),
0)"),0.0)</f>
        <v>0</v>
      </c>
      <c r="C32" s="99">
        <f>IFERROR(__xludf.DUMMYFUNCTION("IFERROR(
  SUM(
    FILTER(
      'Sprint 11'!O:O,
      ('Sprint 11'!E:E = ""Zan : Isarapong Bulan"") *
      (LEFT('Sprint 11'!B:B,8) = ""DEVRDSUP"")
    )
  ),
0)"),0.0)</f>
        <v>0</v>
      </c>
      <c r="D32" s="99">
        <f>IFERROR(__xludf.DUMMYFUNCTION("IFERROR(
  SUM(
    FILTER(
      'Sprint 11'!O:O,
      ('Sprint 11'!E:E = ""Aom: Pornsawan Polnyiem"") *
      (LEFT('Sprint 11'!B:B,8) = ""DEVRDSUP"")
    )
  ),
0)"),0.0)</f>
        <v>0</v>
      </c>
      <c r="E32" s="99">
        <f>IFERROR(__xludf.DUMMYFUNCTION("IFERROR(
  SUM(
    FILTER(
      'Sprint 11'!O:O,
      ('Sprint 11'!E:E = ""Jack: Warin Kesorn"") *
      (LEFT('Sprint 11'!B:B,8) = ""DEVRDSUP"")
    )
  ),
0)"),0.0)</f>
        <v>0</v>
      </c>
      <c r="F32" s="101">
        <f>IFERROR(__xludf.DUMMYFUNCTION("IFERROR(
  SUM(
    FILTER(
      'Sprint 11'!P:P,
      ('Sprint 11'!F:F = ""A:Phongthorn"") *
      (LEFT('Sprint 11'!C:C,8) = ""DEVRDSUP"")
    )
  ),
0)"),0.0)</f>
        <v>0</v>
      </c>
      <c r="G32" s="99">
        <f>IFERROR(__xludf.DUMMYFUNCTION("IFERROR(
  SUM(
    FILTER(
      'Sprint 11'!O:O,
      ('Sprint 11'!E:E = ""Art_narupontp"") *
      (LEFT('Sprint 11'!B:B,8) = ""DEVRDSUP"")
    )
  ),
0)"),0.0)</f>
        <v>0</v>
      </c>
      <c r="H32" s="99">
        <f>IFERROR(__xludf.DUMMYFUNCTION("IFERROR(
  SUM(
    FILTER(
      'Sprint 11'!O:O,
      ('Sprint 11'!E:E = ""Mai:Sateta Abvanawong"") *
      (LEFT('Sprint 11'!B:B,8) = ""DEVRDSUP"")
    )
  ),
0)"),0.0)</f>
        <v>0</v>
      </c>
      <c r="I32" s="99">
        <f>IFERROR(__xludf.DUMMYFUNCTION("IFERROR(
  SUM(
    FILTER(
      'Sprint 11'!O:O,
      ('Sprint 11'!E:E = ""Kae: Pimonrath Jaiyen"") *
      (LEFT('Sprint 11'!B:B,8) = ""DEVRDSUP"")
    )
  ),
0)"),0.0)</f>
        <v>0</v>
      </c>
      <c r="J32" s="99">
        <f>IFERROR(__xludf.DUMMYFUNCTION("IFERROR(
  SUM(
    FILTER(
      'Sprint 11'!O:O,
      ('Sprint 11'!E:E = ""Mac: Jarupong Pawichpongkul"") *
      (LEFT('Sprint 11'!B:B,8) = ""DEVRDSUP"")
    )
  ),
0)"),0.0)</f>
        <v>0</v>
      </c>
      <c r="K32" s="99">
        <f>IFERROR(__xludf.DUMMYFUNCTION("IFERROR(
  SUM(
    FILTER(
      'Sprint 11'!O:O,
      ('Sprint 11'!E:E = ""Nim : muthita munmueang"") *
      (LEFT('Sprint 11'!B:B,8) = ""DEVRDSUP"")
    )
  ),
0)"),0.0)</f>
        <v>0</v>
      </c>
      <c r="L32" s="99">
        <f>IFERROR(__xludf.DUMMYFUNCTION("IFERROR(
  SUM(
    FILTER(
      'Sprint 11'!O:O,
      ('Sprint 11'!E:E = ""Moss : Kittapath Sangvikukit"") *
      (LEFT('Sprint 11'!B:B,8) = ""DEVRDSUP"")
    )
  ),
0)"),0.0)</f>
        <v>0</v>
      </c>
      <c r="M32" s="99">
        <f>IFERROR(__xludf.DUMMYFUNCTION("IFERROR(
  SUM(
    FILTER(
      'Sprint 11'!O:O,
      ('Sprint 11'!E:E = ""Arm:Worawat Chotipongchoawalit"") *
      (LEFT('Sprint 11'!B:B,8) = ""DEVRDSUP"")
    )
  ),
0)"),0.0)</f>
        <v>0</v>
      </c>
    </row>
    <row r="33">
      <c r="C33" s="125"/>
    </row>
    <row r="34">
      <c r="C34" s="125"/>
    </row>
    <row r="35" ht="24.75" customHeight="1">
      <c r="A35" s="232"/>
      <c r="B35" s="233" t="s">
        <v>2210</v>
      </c>
      <c r="C35" s="234"/>
      <c r="D35" s="234"/>
      <c r="E35" s="235"/>
      <c r="F35" s="236" t="s">
        <v>2211</v>
      </c>
      <c r="G35" s="234"/>
      <c r="H35" s="235"/>
      <c r="I35" s="242" t="s">
        <v>3615</v>
      </c>
      <c r="J35" s="234"/>
      <c r="K35" s="234"/>
      <c r="L35" s="234"/>
      <c r="M35" s="235"/>
    </row>
    <row r="36" ht="20.25" customHeight="1">
      <c r="A36" s="239" t="s">
        <v>3618</v>
      </c>
      <c r="B36" s="243" t="s">
        <v>30</v>
      </c>
      <c r="C36" s="243" t="s">
        <v>24</v>
      </c>
      <c r="D36" s="243" t="s">
        <v>72</v>
      </c>
      <c r="E36" s="243" t="s">
        <v>28</v>
      </c>
      <c r="F36" s="243" t="s">
        <v>32</v>
      </c>
      <c r="G36" s="243" t="s">
        <v>3616</v>
      </c>
      <c r="H36" s="243" t="s">
        <v>73</v>
      </c>
      <c r="I36" s="243" t="s">
        <v>3617</v>
      </c>
      <c r="J36" s="243" t="s">
        <v>74</v>
      </c>
      <c r="K36" s="243" t="s">
        <v>76</v>
      </c>
      <c r="L36" s="243" t="s">
        <v>75</v>
      </c>
      <c r="M36" s="243" t="s">
        <v>77</v>
      </c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101" t="s">
        <v>4665</v>
      </c>
      <c r="B37" s="99">
        <f>IFERROR(__xludf.DUMMYFUNCTION("ROUND(
  IFERROR(
    SUM(
      FILTER(
        'Sprint 11'!S:S,
        ('Sprint 11'!E:E = ""Aek:Atiphat Nanthachitvanich"") *
        (LEFT('Sprint 11'!B:B,7) = ""RDTHANA"")
      )
    ) / 3600,
    0
  ),
  2
)"),0.0)</f>
        <v>0</v>
      </c>
      <c r="C37" s="99">
        <f>IFERROR(__xludf.DUMMYFUNCTION("ROUND(
  IFERROR(
    SUM(
      FILTER(
        'Sprint 11'!S:S,
        ('Sprint 11'!E:E = ""Zan : Isarapong Bulan"") *
        (LEFT('Sprint 11'!B:B,7) = ""RDTHANA"")
      )
    ) / 3600,
    0
  ),
  2
)"),0.0)</f>
        <v>0</v>
      </c>
      <c r="D37" s="99">
        <f>IFERROR(__xludf.DUMMYFUNCTION("ROUND(
  IFERROR(
    SUM(
      FILTER(
        'Sprint 11'!S:S,
        ('Sprint 11'!E:E = ""Aom: Pornsawan Polnyiem"") *
        (LEFT('Sprint 11'!B:B,7) = ""RDTHANA"")
      )
    ) / 3600,
    0
  ),
  2
)"),0.0)</f>
        <v>0</v>
      </c>
      <c r="E37" s="99">
        <f>IFERROR(__xludf.DUMMYFUNCTION("ROUND(
  IFERROR(
    SUM(
      FILTER(
        'Sprint 11'!S:S,
        ('Sprint 11'!E:E = ""Jack: Warin Kesorn"") *
        (LEFT('Sprint 11'!B:B,7) = ""RDTHANA"")
      )
    ) / 3600,
    0
  ),
  2
)"),0.0)</f>
        <v>0</v>
      </c>
      <c r="F37" s="99">
        <f>IFERROR(__xludf.DUMMYFUNCTION("ROUND(
  IFERROR(
    SUM(
      FILTER(
        'Sprint 11'!S:S,
        ('Sprint 11'!E:E = ""A:Phongthorn"") *
        (LEFT('Sprint 11'!B:B,7) = ""RDTHANA"")
      )
    ) / 3600,
    0
  ),
  2
)"),0.0)</f>
        <v>0</v>
      </c>
      <c r="G37" s="99">
        <f>IFERROR(__xludf.DUMMYFUNCTION("ROUND(
  IFERROR(
    SUM(
      FILTER(
        'Sprint 11'!S:S,
        ('Sprint 11'!E:E = ""Art_narupontp"") *
        (LEFT('Sprint 11'!B:B,7) = ""RDTHANA"")
      )
    ) / 3600,
    0
  ),
  2
)"),0.0)</f>
        <v>0</v>
      </c>
      <c r="H37" s="99">
        <f>IFERROR(__xludf.DUMMYFUNCTION("ROUND(
  IFERROR(
    SUM(
      FILTER(
        'Sprint 11'!S:S,
        ('Sprint 11'!E:E = ""Mai:Sateta Abvanawong"") *
        (LEFT('Sprint 11'!B:B,7) = ""RDTHANA"")
      )
    ) / 3600,
    0
  ),
  2
)"),0.0)</f>
        <v>0</v>
      </c>
      <c r="I37" s="99">
        <f>IFERROR(__xludf.DUMMYFUNCTION("ROUND(
  IFERROR(
    SUM(
      FILTER(
        'Sprint 11'!S:S,
        ('Sprint 11'!E:E = ""Kae: Pimonrath Jaiyen"") *
        (LEFT('Sprint 11'!B:B,7) = ""RDTHANA"")
      )
    ) / 3600,
    0
  ),
  2
)"),0.0)</f>
        <v>0</v>
      </c>
      <c r="J37" s="99">
        <f>IFERROR(__xludf.DUMMYFUNCTION("ROUND(
  IFERROR(
    SUM(
      FILTER(
        'Sprint 11'!S:S,
        ('Sprint 11'!E:E = ""Mac: Jarupong Pawichpongkul"") *
        (LEFT('Sprint 11'!B:B,7) = ""RDTHANA"")
      )
    ) / 3600,
    0
  ),
  2
)"),0.0)</f>
        <v>0</v>
      </c>
      <c r="K37" s="99">
        <f>IFERROR(__xludf.DUMMYFUNCTION("ROUND(
  IFERROR(
    SUM(
      FILTER(
        'Sprint 11'!S:S,
        ('Sprint 11'!E:E = ""Nim : muthita munmueang"") *
        (LEFT('Sprint 11'!B:B,7) = ""RDTHANA"")
      )
    ) / 3600,
    0
  ),
  2
)"),0.0)</f>
        <v>0</v>
      </c>
      <c r="L37" s="99">
        <f>IFERROR(__xludf.DUMMYFUNCTION("ROUND(
  IFERROR(
    SUM(
      FILTER(
        'Sprint 11'!S:S,
        ('Sprint 11'!E:E = ""Moss : Kittapath Sangvikukit"") *
        (LEFT('Sprint 11'!B:B,7) = ""RDTHANA"")
      )
    ) / 3600,
    0
  ),
  2
)"),0.0)</f>
        <v>0</v>
      </c>
      <c r="M37" s="99">
        <f>IFERROR(__xludf.DUMMYFUNCTION("ROUND(
  IFERROR(
    SUM(
      FILTER(
        'Sprint 11'!S:S,
        ('Sprint 11'!E:E = ""Arm:Worawat Chotipongchoawalit"") *
        (LEFT('Sprint 11'!B:B,7) = ""RDTHANA"")
      )
    ) / 3600,
    0
  ),
  2
)"),0.0)</f>
        <v>0</v>
      </c>
    </row>
    <row r="38">
      <c r="A38" s="101" t="s">
        <v>4666</v>
      </c>
      <c r="B38" s="99">
        <f>IFERROR(__xludf.DUMMYFUNCTION("ROUND(
  IFERROR(
    SUM(
      FILTER(
        'Sprint 11'!S:S,
        ('Sprint 11'!E:E = ""Aek:Atiphat Nanthachitvanich"") *
        (LEFT('Sprint 11'!B:B,9) = ""DEVRDECOM"")
      )
    ) / 3600,
    0
  ),
  2
)"),0.0)</f>
        <v>0</v>
      </c>
      <c r="C38" s="99">
        <f>IFERROR(__xludf.DUMMYFUNCTION("ROUND(
  IFERROR(
    SUM(
      FILTER(
        'Sprint 11'!S:S,
        ('Sprint 11'!E:E = ""Zan : Isarapong Bulan"") *
        (LEFT('Sprint 11'!B:B,9) = ""DEVRDECOM"")
      )
    ) / 3600,
    0
  ),
  2
)"),0.0)</f>
        <v>0</v>
      </c>
      <c r="D38" s="99">
        <f>IFERROR(__xludf.DUMMYFUNCTION("ROUND(
  IFERROR(
    SUM(
      FILTER(
        'Sprint 11'!S:S,
        ('Sprint 11'!E:E = ""Aom: Pornsawan Polnyiem"") *
        (LEFT('Sprint 11'!B:B,9) = ""DEVRDECOM"")
      )
    ) / 3600,
    0
  ),
  2
)"),0.0)</f>
        <v>0</v>
      </c>
      <c r="E38" s="99">
        <f>IFERROR(__xludf.DUMMYFUNCTION("ROUND(
  IFERROR(
    SUM(
      FILTER(
        'Sprint 11'!S:S,
        ('Sprint 11'!E:E = ""Jack: Warin Kesorn"") *
        (LEFT('Sprint 11'!B:B,9) = ""DEVRDECOM"")
      )
    ) / 3600,
    0
  ),
  2
)"),16.0)</f>
        <v>16</v>
      </c>
      <c r="F38" s="99">
        <f>IFERROR(__xludf.DUMMYFUNCTION("ROUND(
  IFERROR(
    SUM(
      FILTER(
        'Sprint 11'!S:S,
        ('Sprint 11'!E:E = ""A:Phongthorn"") *
        (LEFT('Sprint 11'!B:B,9) = ""DEVRDECOM"")
      )
    ) / 3600,
    0
  ),
  2
)"),4.0)</f>
        <v>4</v>
      </c>
      <c r="G38" s="99">
        <f>IFERROR(__xludf.DUMMYFUNCTION("ROUND(
  IFERROR(
    SUM(
      FILTER(
        'Sprint 11'!S:S,
        ('Sprint 11'!E:E = ""Art_narupontp"") *
        (LEFT('Sprint 11'!B:B,9) = ""DEVRDECOM"")
      )
    ) / 3600,
    0
  ),
  2
)"),0.0)</f>
        <v>0</v>
      </c>
      <c r="H38" s="99">
        <f>IFERROR(__xludf.DUMMYFUNCTION("ROUND(
  IFERROR(
    SUM(
      FILTER(
        'Sprint 11'!S:S,
        ('Sprint 11'!E:E = ""Mai:Sateta Abvanawong"") *
        (LEFT('Sprint 11'!B:B,9) = ""DEVRDECOM"")
      )
    ) / 3600,
    0
  ),
  2
)"),0.0)</f>
        <v>0</v>
      </c>
      <c r="I38" s="99">
        <f>IFERROR(__xludf.DUMMYFUNCTION("ROUND(
  IFERROR(
    SUM(
      FILTER(
        'Sprint 11'!S:S,
        ('Sprint 11'!E:E = ""Kae: Pimonrath Jaiyen"") *
        (LEFT('Sprint 11'!B:B,9) = ""DEVRDECOM"")
      )
    ) / 3600,
    0
  ),
  2
)"),0.0)</f>
        <v>0</v>
      </c>
      <c r="J38" s="99">
        <f>IFERROR(__xludf.DUMMYFUNCTION("ROUND(
  IFERROR(
    SUM(
      FILTER(
        'Sprint 11'!S:S,
        ('Sprint 11'!E:E = ""Mac: Jarupong Pawichpongkul"") *
        (LEFT('Sprint 11'!B:B,9) = ""DEVRDECOM"")
      )
    ) / 3600,
    0
  ),
  2
)"),0.0)</f>
        <v>0</v>
      </c>
      <c r="K38" s="99">
        <f>IFERROR(__xludf.DUMMYFUNCTION("ROUND(
  IFERROR(
    SUM(
      FILTER(
        'Sprint 11'!S:S,
        ('Sprint 11'!E:E = ""Nim : muthita munmueang"") *
        (LEFT('Sprint 11'!B:B,9) = ""DEVRDECOM"")
      )
    ) / 3600,
    0
  ),
  2
)"),0.0)</f>
        <v>0</v>
      </c>
      <c r="L38" s="99">
        <f>IFERROR(__xludf.DUMMYFUNCTION("ROUND(
  IFERROR(
    SUM(
      FILTER(
        'Sprint 11'!S:S,
        ('Sprint 11'!E:E = ""Moss : Kittapath Sangvikukit"") *
        (LEFT('Sprint 11'!B:B,9) = ""DEVRDECOM"")
      )
    ) / 3600,
    0
  ),
  2
)"),8.0)</f>
        <v>8</v>
      </c>
      <c r="M38" s="99">
        <f>IFERROR(__xludf.DUMMYFUNCTION("ROUND(
  IFERROR(
    SUM(
      FILTER(
        'Sprint 11'!S:S,
        ('Sprint 11'!E:E = ""Arm:Worawat Chotipongchoawalit"") *
        (LEFT('Sprint 11'!B:B,9) = ""DEVRDECOM"")
      )
    ) / 3600,
    0
  ),
  2
)"),18.0)</f>
        <v>18</v>
      </c>
    </row>
    <row r="39" ht="32.25" customHeight="1">
      <c r="A39" s="101" t="s">
        <v>4667</v>
      </c>
      <c r="B39" s="99">
        <f>IFERROR(__xludf.DUMMYFUNCTION("ROUND(
  IFERROR(
    SUM(
      FILTER(
        'Sprint 11'!S:S,
        ('Sprint 11'!E:E = ""Aek:Atiphat Nanthachitvanich"") *
        (LEFT('Sprint 11'!B:B,7) = ""DEVRDCT"")
      )
    ) / 3600,
    0
  ),
  2
)"),0.0)</f>
        <v>0</v>
      </c>
      <c r="C39" s="99">
        <f>IFERROR(__xludf.DUMMYFUNCTION("ROUND(
  IFERROR(
    SUM(
      FILTER(
        'Sprint 11'!S:S,
        ('Sprint 11'!E:E = ""Zan : Isarapong Bulan"") *
        (LEFT('Sprint 11'!B:B,7) = ""DEVRDCT"")
      )
    ) / 3600,
    0
  ),
  2
)"),0.0)</f>
        <v>0</v>
      </c>
      <c r="D39" s="99">
        <f>IFERROR(__xludf.DUMMYFUNCTION("ROUND(
  IFERROR(
    SUM(
      FILTER(
        'Sprint 11'!S:S,
        ('Sprint 11'!E:E = ""Aom: Pornsawan Polnyiem"") *
        (LEFT('Sprint 11'!B:B,7) = ""DEVRDCT"")
      )
    ) / 3600,
    0
  ),
  2
)"),0.0)</f>
        <v>0</v>
      </c>
      <c r="E39" s="99">
        <f>IFERROR(__xludf.DUMMYFUNCTION("ROUND(
  IFERROR(
    SUM(
      FILTER(
        'Sprint 11'!S:S,
        ('Sprint 11'!E:E = ""Jack: Warin Kesorn"") *
        (LEFT('Sprint 11'!B:B,7) = ""DEVRDCT"")
      )
    ) / 3600,
    0
  ),
  2
)"),0.0)</f>
        <v>0</v>
      </c>
      <c r="F39" s="99">
        <f>IFERROR(__xludf.DUMMYFUNCTION("ROUND(
  IFERROR(
    SUM(
      FILTER(
        'Sprint 11'!S:S,
        ('Sprint 11'!E:E = ""A:Phongthorn"") *
        (LEFT('Sprint 11'!B:B,7) = ""DEVRDCT"")
      )
    ) / 3600,
    0
  ),
  2
)"),0.0)</f>
        <v>0</v>
      </c>
      <c r="G39" s="99">
        <f>IFERROR(__xludf.DUMMYFUNCTION("ROUND(
  IFERROR(
    SUM(
      FILTER(
        'Sprint 11'!S:S,
        ('Sprint 11'!E:E = ""Art_narupontp"") *
        (LEFT('Sprint 11'!B:B,7) = ""DEVRDCT"")
      )
    ) / 3600,
    0
  ),
  2
)"),0.0)</f>
        <v>0</v>
      </c>
      <c r="H39" s="99">
        <f>IFERROR(__xludf.DUMMYFUNCTION("ROUND(
  IFERROR(
    SUM(
      FILTER(
        'Sprint 11'!S:S,
        ('Sprint 11'!E:E = ""Mai:Sateta Abvanawong"") *
        (LEFT('Sprint 11'!B:B,7) = ""DEVRDCT"")
      )
    ) / 3600,
    0
  ),
  2
)"),0.0)</f>
        <v>0</v>
      </c>
      <c r="I39" s="99">
        <f>IFERROR(__xludf.DUMMYFUNCTION("ROUND(
  IFERROR(
    SUM(
      FILTER(
        'Sprint 11'!S:S,
        ('Sprint 11'!E:E = ""Kae: Pimonrath Jaiyen"") *
        (LEFT('Sprint 11'!B:B,7) = ""DEVRDCT"")
      )
    ) / 3600,
    0
  ),
  2
)"),0.0)</f>
        <v>0</v>
      </c>
      <c r="J39" s="99">
        <f>IFERROR(__xludf.DUMMYFUNCTION("ROUND(
  IFERROR(
    SUM(
      FILTER(
        'Sprint 11'!S:S,
        ('Sprint 11'!E:E = ""Mac: Jarupong Pawichpongkul"") *
        (LEFT('Sprint 11'!B:B,7) = ""DEVRDCT"")
      )
    ) / 3600,
    0
  ),
  2
)"),0.0)</f>
        <v>0</v>
      </c>
      <c r="K39" s="99">
        <f>IFERROR(__xludf.DUMMYFUNCTION("ROUND(
  IFERROR(
    SUM(
      FILTER(
        'Sprint 11'!S:S,
        ('Sprint 11'!E:E = ""Nim : muthita munmueang"") *
        (LEFT('Sprint 11'!B:B,7) = ""DEVRDCT"")
      )
    ) / 3600,
    0
  ),
  2
)"),24.0)</f>
        <v>24</v>
      </c>
      <c r="L39" s="99">
        <f>IFERROR(__xludf.DUMMYFUNCTION("ROUND(
  IFERROR(
    SUM(
      FILTER(
        'Sprint 11'!S:S,
        ('Sprint 11'!E:E = ""Moss : Kittapath Sangvikukit"") *
        (LEFT('Sprint 11'!B:B,7) = ""DEVRDCT"")
      )
    ) / 3600,
    0
  ),
  2
)"),0.0)</f>
        <v>0</v>
      </c>
      <c r="M39" s="99">
        <f>IFERROR(__xludf.DUMMYFUNCTION("ROUND(
  IFERROR(
    SUM(
      FILTER(
        'Sprint 11'!S:S,
        ('Sprint 11'!E:E = ""Arm:Worawat Chotipongchoawalit"") *
        (LEFT('Sprint 11'!B:B,7) = ""DEVRDCT"")
      )
    ) / 3600,
    0
  ),
  2
)"),24.0)</f>
        <v>24</v>
      </c>
    </row>
    <row r="40" ht="22.5" customHeight="1">
      <c r="A40" s="101" t="s">
        <v>4668</v>
      </c>
      <c r="B40" s="99">
        <f>IFERROR(__xludf.DUMMYFUNCTION("ROUND(
  IFERROR(
    SUM(
      FILTER(
        'Sprint 11'!S:S,
        ('Sprint 11'!E:E = ""Aek:Atiphat Nanthachitvanich"") *
        (LEFT('Sprint 11'!B:B,8) = ""DEVRDADJ"")
      )
    ) / 3600,
    0
  ),
  2
)"),0.0)</f>
        <v>0</v>
      </c>
      <c r="C40" s="99">
        <f>IFERROR(__xludf.DUMMYFUNCTION("ROUND(
  IFERROR(
    SUM(
      FILTER(
        'Sprint 11'!S:S,
        ('Sprint 11'!E:E = ""Zan : Isarapong Bulan"") *
        (LEFT('Sprint 11'!B:B,8) = ""DEVRDADJ"")
      )
    ) / 3600,
    0
  ),
  2
)"),0.0)</f>
        <v>0</v>
      </c>
      <c r="D40" s="99">
        <f>IFERROR(__xludf.DUMMYFUNCTION("ROUND(
  IFERROR(
    SUM(
      FILTER(
        'Sprint 11'!S:S,
        ('Sprint 11'!E:E = ""Aom: Pornsawan Polnyiem"") *
        (LEFT('Sprint 11'!B:B,8) = ""DEVRDADJ"")
      )
    ) / 3600,
    0
  ),
  2
)"),0.0)</f>
        <v>0</v>
      </c>
      <c r="E40" s="99">
        <f>IFERROR(__xludf.DUMMYFUNCTION("ROUND(
  IFERROR(
    SUM(
      FILTER(
        'Sprint 11'!S:S,
        ('Sprint 11'!E:E = ""Jack: Warin Kesorn"") *
        (LEFT('Sprint 11'!B:B,8) = ""DEVRDADJ"")
      )
    ) / 3600,
    0
  ),
  2
)"),0.0)</f>
        <v>0</v>
      </c>
      <c r="F40" s="99">
        <f>IFERROR(__xludf.DUMMYFUNCTION("ROUND(
  IFERROR(
    SUM(
      FILTER(
        'Sprint 11'!S:S,
        ('Sprint 11'!E:E = ""A:Phongthorn"") *
        (LEFT('Sprint 11'!B:B,8) = ""DEVRDADJ"")
      )
    ) / 3600,
    0
  ),
  2
)"),0.0)</f>
        <v>0</v>
      </c>
      <c r="G40" s="99">
        <f>IFERROR(__xludf.DUMMYFUNCTION("ROUND(
  IFERROR(
    SUM(
      FILTER(
        'Sprint 11'!S:S,
        ('Sprint 11'!E:E = ""Aek:Atiphat Nanthachitvanich"") *
        (LEFT('Sprint 11'!B:B,8) = ""DEVRDADJ"")
      )
    ) / 3600,
    0
  ),
  2
)"),0.0)</f>
        <v>0</v>
      </c>
      <c r="H40" s="99">
        <f>IFERROR(__xludf.DUMMYFUNCTION("ROUND(
  IFERROR(
    SUM(
      FILTER(
        'Sprint 11'!S:S,
        ('Sprint 11'!E:E = ""Mai:Sateta Abvanawong"") *
        (LEFT('Sprint 11'!B:B,8) = ""DEVRDADJ"")
      )
    ) / 3600,
    0
  ),
  2
)"),8.0)</f>
        <v>8</v>
      </c>
      <c r="I40" s="99">
        <f>IFERROR(__xludf.DUMMYFUNCTION("ROUND(
  IFERROR(
    SUM(
      FILTER(
        'Sprint 11'!S:S,
        ('Sprint 11'!E:E = ""Kae: Pimonrath Jaiyen"") *
        (LEFT('Sprint 11'!B:B,8) = ""DEVRDADJ"")
      )
    ) / 3600,
    0
  ),
  2
)"),11.0)</f>
        <v>11</v>
      </c>
      <c r="J40" s="99">
        <f>IFERROR(__xludf.DUMMYFUNCTION("ROUND(
  IFERROR(
    SUM(
      FILTER(
        'Sprint 11'!S:S,
        ('Sprint 11'!E:E = ""Mac: Jarupong Pawichpongkul"") *
        (LEFT('Sprint 11'!B:B,8) = ""DEVRDADJ"")
      )
    ) / 3600,
    0
  ),
  2
)"),0.0)</f>
        <v>0</v>
      </c>
      <c r="K40" s="99">
        <f>IFERROR(__xludf.DUMMYFUNCTION("ROUND(
  IFERROR(
    SUM(
      FILTER(
        'Sprint 11'!S:S,
        ('Sprint 11'!E:E = ""Aek:Atiphat Nanthachitvanich"") *
        (LEFT('Sprint 11'!B:B,8) = ""DEVRDADJ"")
      )
    ) / 3600,
    0
  ),
  2
)"),0.0)</f>
        <v>0</v>
      </c>
      <c r="L40" s="99">
        <f>IFERROR(__xludf.DUMMYFUNCTION("ROUND(
  IFERROR(
    SUM(
      FILTER(
        'Sprint 11'!S:S,
        ('Sprint 11'!E:E = ""Moss : Kittapath Sangvikukit"") *
        (LEFT('Sprint 11'!B:B,8) = ""DEVRDADJ"")
      )
    ) / 3600,
    0
  ),
  2
)"),0.0)</f>
        <v>0</v>
      </c>
      <c r="M40" s="99">
        <f>IFERROR(__xludf.DUMMYFUNCTION("ROUND(
  IFERROR(
    SUM(
      FILTER(
        'Sprint 11'!S:S,
        ('Sprint 11'!E:E = ""Arm:Worawat Chotipongchoawalit"") *
        (LEFT('Sprint 11'!B:B,8) = ""DEVRDADJ"")
      )
    ) / 3600,
    0
  ),
  2
)"),8.0)</f>
        <v>8</v>
      </c>
    </row>
    <row r="41">
      <c r="A41" s="101" t="s">
        <v>4669</v>
      </c>
      <c r="B41" s="101">
        <f>IFERROR(__xludf.DUMMYFUNCTION("ROUND(
  IFERROR(
    SUM(
      FILTER(
        'Sprint 11'!S:S,
        ('Sprint 11'!E:E = ""Aek:Atiphat Nanthachitvanich"") *
        (LEFT('Sprint 11'!B:B,5) = ""RDAPS"")
      )
    ) / 3600,
    0
  ),
  2
)"),0.0)</f>
        <v>0</v>
      </c>
      <c r="C41" s="99">
        <f>IFERROR(__xludf.DUMMYFUNCTION("ROUND(
  IFERROR(
    SUM(
      FILTER(
        'Sprint 11'!S:S,
        ('Sprint 11'!E:E = ""Zan : Isarapong Bulan"") *
        (LEFT('Sprint 11'!B:B,5) = ""RDAPS"")
      )
    ) / 3600,
    0
  ),
  2
)"),0.0)</f>
        <v>0</v>
      </c>
      <c r="D41" s="99">
        <f>IFERROR(__xludf.DUMMYFUNCTION("ROUND(
  IFERROR(
    SUM(
      FILTER(
        'Sprint 11'!S:S,
        ('Sprint 11'!E:E = ""Aom: Pornsawan Polnyiem"") *
        (LEFT('Sprint 11'!B:B,5) = ""RDAPS"")
      )
    ) / 3600,
    0
  ),
  2
)"),0.0)</f>
        <v>0</v>
      </c>
      <c r="E41" s="99">
        <f>IFERROR(__xludf.DUMMYFUNCTION("ROUND(
  IFERROR(
    SUM(
      FILTER(
        'Sprint 11'!S:S,
        ('Sprint 11'!E:E = ""Jack: Warin Kesorn"") *
        (LEFT('Sprint 11'!B:B,5) = ""RDAPS"")
      )
    ) / 3600,
    0
  ),
  2
)"),0.0)</f>
        <v>0</v>
      </c>
      <c r="F41" s="99">
        <f>IFERROR(__xludf.DUMMYFUNCTION("ROUND(
  IFERROR(
    SUM(
      FILTER(
        'Sprint 11'!S:S,
        ('Sprint 11'!E:E = ""A:Phongthorn"") *
        (LEFT('Sprint 11'!B:B,5) = ""RDAPS"")
      )
    ) / 3600,
    0
  ),
  2
)"),0.0)</f>
        <v>0</v>
      </c>
      <c r="G41" s="99">
        <f>IFERROR(__xludf.DUMMYFUNCTION("ROUND(
  IFERROR(
    SUM(
      FILTER(
        'Sprint 11'!S:S,
        ('Sprint 11'!E:E = ""Art_narupontp"") *
        (LEFT('Sprint 11'!B:B,5) = ""RDAPS"")
      )
    ) / 3600,
    0
  ),
  2
)"),0.0)</f>
        <v>0</v>
      </c>
      <c r="H41" s="99">
        <f>IFERROR(__xludf.DUMMYFUNCTION("ROUND(
  IFERROR(
    SUM(
      FILTER(
        'Sprint 11'!S:S,
        ('Sprint 11'!E:E = ""Mai:Sateta Abvanawong"") *
        (LEFT('Sprint 11'!B:B,5) = ""RDAPS"")
      )
    ) / 3600,
    0
  ),
  2
)"),0.0)</f>
        <v>0</v>
      </c>
      <c r="I41" s="99">
        <f>IFERROR(__xludf.DUMMYFUNCTION("ROUND(
  IFERROR(
    SUM(
      FILTER(
        'Sprint 11'!S:S,
        ('Sprint 11'!E:E = ""Kae: Pimonrath Jaiyen"") *
        (LEFT('Sprint 11'!B:B,5) = ""RDAPS"")
      )
    ) / 3600,
    0
  ),
  2
)"),0.0)</f>
        <v>0</v>
      </c>
      <c r="J41" s="99">
        <f>IFERROR(__xludf.DUMMYFUNCTION("ROUND(
  IFERROR(
    SUM(
      FILTER(
        'Sprint 11'!S:S,
        ('Sprint 11'!E:E = ""Mac: Jarupong Pawichpongkul"") *
        (LEFT('Sprint 11'!B:B,5) = ""RDAPS"")
      )
    ) / 3600,
    0
  ),
  2
)"),0.0)</f>
        <v>0</v>
      </c>
      <c r="K41" s="99">
        <f>IFERROR(__xludf.DUMMYFUNCTION("ROUND(
  IFERROR(
    SUM(
      FILTER(
        'Sprint 11'!S:S,
        ('Sprint 11'!E:E = ""Nim : muthita munmueang"") *
        (LEFT('Sprint 11'!B:B,5) = ""RDAPS"")
      )
    ) / 3600,
    0
  ),
  2
)"),0.0)</f>
        <v>0</v>
      </c>
      <c r="L41" s="99">
        <f>IFERROR(__xludf.DUMMYFUNCTION("ROUND(
  IFERROR(
    SUM(
      FILTER(
        'Sprint 11'!S:S,
        ('Sprint 11'!E:E = ""Moss : Kittapath Sangvikukit"") *
        (LEFT('Sprint 11'!B:B,5) = ""RDAPS"")
      )
    ) / 3600,
    0
  ),
  2
)"),0.0)</f>
        <v>0</v>
      </c>
      <c r="M41" s="99">
        <f>IFERROR(__xludf.DUMMYFUNCTION("ROUND(
  IFERROR(
    SUM(
      FILTER(
        'Sprint 11'!S:S,
        ('Sprint 11'!E:E = ""Arm:Worawat Chotipongchoawalit"") *
        (LEFT('Sprint 11'!B:B,5) = ""RDAPS"")
      )
    ) / 3600,
    0
  ),
  2
)"),0.0)</f>
        <v>0</v>
      </c>
    </row>
    <row r="42" ht="21.0" customHeight="1">
      <c r="A42" s="101" t="s">
        <v>4670</v>
      </c>
      <c r="B42" s="101">
        <f>IFERROR(__xludf.DUMMYFUNCTION("ROUND(
  IFERROR(
    SUM(
      FILTER(
        'Sprint 11'!S:S,
        ('Sprint 11'!E:E = ""Aek:Atiphat Nanthachitvanich"") *
        (LEFT('Sprint 11'!B:B,8) = ""DEVRDSUP"")
      )
    ) / 3600,
    0
  ),
  2
)"),0.0)</f>
        <v>0</v>
      </c>
      <c r="C42" s="99">
        <f>IFERROR(__xludf.DUMMYFUNCTION("ROUND(
  IFERROR(
    SUM(
      FILTER(
        'Sprint 11'!S:S,
        ('Sprint 11'!E:E = ""Zan : Isarapong Bulan"") *
        (LEFT('Sprint 11'!B:B,8) = ""DEVRDSUP"")
      )
    ) / 3600,
    0
  ),
  2
)"),0.0)</f>
        <v>0</v>
      </c>
      <c r="D42" s="99">
        <f>IFERROR(__xludf.DUMMYFUNCTION("ROUND(
  IFERROR(
    SUM(
      FILTER(
        'Sprint 11'!S:S,
        ('Sprint 11'!E:E = ""Aom: Pornsawan Polnyiem"") *
        (LEFT('Sprint 11'!B:B,8) = ""DEVRDSUP"")
      )
    ) / 3600,
    0
  ),
  2
)"),0.0)</f>
        <v>0</v>
      </c>
      <c r="E42" s="99">
        <f>IFERROR(__xludf.DUMMYFUNCTION("ROUND(
  IFERROR(
    SUM(
      FILTER(
        'Sprint 11'!S:S,
        ('Sprint 11'!E:E = ""Jack: Warin Kesorn"") *
        (LEFT('Sprint 11'!B:B,8) = ""DEVRDSUP"")
      )
    ) / 3600,
    0
  ),
  2
)"),0.0)</f>
        <v>0</v>
      </c>
      <c r="F42" s="101">
        <f>IFERROR(__xludf.DUMMYFUNCTION("ROUND(
  IFERROR(
    SUM(
      FILTER(
        'Sprint 11'!S:S,
        ('Sprint 11'!E:E = ""A:Phongthorn"") *
        (LEFT('Sprint 11'!B:B,8) = ""DEVRDSUP"")
      )
    ) / 3600,
    0
  ),
  2
)"),0.0)</f>
        <v>0</v>
      </c>
      <c r="G42" s="99">
        <f>IFERROR(__xludf.DUMMYFUNCTION("ROUND(
  IFERROR(
    SUM(
      FILTER(
        'Sprint 11'!S:S,
        ('Sprint 11'!E:E = ""Art_narupontp"") *
        (LEFT('Sprint 11'!B:B,8) = ""DEVRDSUP"")
      )
    ) / 3600,
    0
  ),
  2
)"),0.0)</f>
        <v>0</v>
      </c>
      <c r="H42" s="99">
        <f>IFERROR(__xludf.DUMMYFUNCTION("ROUND(
  IFERROR(
    SUM(
      FILTER(
        'Sprint 11'!S:S,
        ('Sprint 11'!E:E = ""Mai:Sateta Abvanawong"") *
        (LEFT('Sprint 11'!B:B,8) = ""DEVRDSUP"")
      )
    ) / 3600,
    0
  ),
  2
)"),0.0)</f>
        <v>0</v>
      </c>
      <c r="I42" s="99">
        <f>IFERROR(__xludf.DUMMYFUNCTION("ROUND(
  IFERROR(
    SUM(
      FILTER(
        'Sprint 11'!S:S,
        ('Sprint 11'!E:E = ""Kae: Pimonrath Jaiyen"") *
        (LEFT('Sprint 11'!B:B,8) = ""DEVRDSUP"")
      )
    ) / 3600,
    0
  ),
  2
)"),0.0)</f>
        <v>0</v>
      </c>
      <c r="J42" s="99">
        <f>IFERROR(__xludf.DUMMYFUNCTION("ROUND(
  IFERROR(
    SUM(
      FILTER(
        'Sprint 11'!S:S,
        ('Sprint 11'!E:E = ""Mac: Jarupong Pawichpongkul"") *
        (LEFT('Sprint 11'!B:B,8) = ""DEVRDSUP"")
      )
    ) / 3600,
    0
  ),
  2
)"),0.0)</f>
        <v>0</v>
      </c>
      <c r="K42" s="99">
        <f>IFERROR(__xludf.DUMMYFUNCTION("ROUND(
  IFERROR(
    SUM(
      FILTER(
        'Sprint 11'!S:S,
        ('Sprint 11'!E:E = ""Nim : muthita munmueang"") *
        (LEFT('Sprint 11'!B:B,8) = ""DEVRDSUP"")
      )
    ) / 3600,
    0
  ),
  2
)"),0.0)</f>
        <v>0</v>
      </c>
      <c r="L42" s="99">
        <f>IFERROR(__xludf.DUMMYFUNCTION("ROUND(
  IFERROR(
    SUM(
      FILTER(
        'Sprint 11'!S:S,
        ('Sprint 11'!E:E = ""Moss : Kittapath Sangvikukit"") *
        (LEFT('Sprint 11'!B:B,8) = ""DEVRDSUP"")
      )
    ) / 3600,
    0
  ),
  2
)"),0.0)</f>
        <v>0</v>
      </c>
      <c r="M42" s="99">
        <f>IFERROR(__xludf.DUMMYFUNCTION("ROUND(
  IFERROR(
    SUM(
      FILTER(
        'Sprint 11'!S:S,
        ('Sprint 11'!E:E = ""Arm:Worawat Chotipongchoawalit"") *
        (LEFT('Sprint 11'!B:B,8) = ""DEVRDSUP"")
      )
    ) / 3600,
    0
  ),
  2
)"),0.0)</f>
        <v>0</v>
      </c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</sheetData>
  <mergeCells count="6">
    <mergeCell ref="B25:E25"/>
    <mergeCell ref="F25:H25"/>
    <mergeCell ref="I25:M25"/>
    <mergeCell ref="B35:E35"/>
    <mergeCell ref="F35:H35"/>
    <mergeCell ref="I35:M3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31.38"/>
    <col customWidth="1" min="15" max="15" width="18.13"/>
    <col customWidth="1" min="19" max="20" width="17.5"/>
    <col customWidth="1" min="21" max="21" width="21.25"/>
    <col customWidth="1" min="22" max="22" width="20.13"/>
    <col customWidth="1" min="23" max="23" width="23.0"/>
    <col customWidth="1" min="24" max="24" width="17.5"/>
    <col customWidth="1" min="25" max="25" width="21.25"/>
    <col customWidth="1" min="26" max="26" width="20.13"/>
    <col customWidth="1" min="27" max="27" width="21.25"/>
    <col customWidth="1" min="28" max="28" width="20.13"/>
    <col customWidth="1" min="29" max="29" width="21.25"/>
    <col customWidth="1" min="30" max="30" width="20.13"/>
    <col customWidth="1" min="32" max="32" width="17.5"/>
    <col customWidth="1" min="33" max="33" width="21.25"/>
    <col customWidth="1" min="34" max="34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49" t="s">
        <v>3245</v>
      </c>
      <c r="U1" s="115" t="s">
        <v>7786</v>
      </c>
      <c r="V1" s="115" t="s">
        <v>6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88"/>
      <c r="AR1" s="88"/>
    </row>
    <row r="2">
      <c r="A2" s="102" t="s">
        <v>310</v>
      </c>
      <c r="B2" s="102" t="s">
        <v>7250</v>
      </c>
      <c r="C2" s="229" t="s">
        <v>7251</v>
      </c>
      <c r="D2" s="102" t="s">
        <v>7252</v>
      </c>
      <c r="E2" s="102" t="s">
        <v>564</v>
      </c>
      <c r="F2" s="102" t="s">
        <v>565</v>
      </c>
      <c r="G2" s="102" t="s">
        <v>282</v>
      </c>
      <c r="H2" s="102" t="s">
        <v>283</v>
      </c>
      <c r="I2" s="102" t="s">
        <v>284</v>
      </c>
      <c r="J2" s="102" t="s">
        <v>454</v>
      </c>
      <c r="L2" s="229" t="s">
        <v>7253</v>
      </c>
      <c r="M2" s="229" t="s">
        <v>7787</v>
      </c>
      <c r="O2" s="230"/>
      <c r="S2" s="230"/>
      <c r="T2" s="230" t="str">
        <f>IF(ISNUMBER(MATCH(B2, 'Sprint 10'!B:B, 0)), "มาจาก Sprint 10", "")</f>
        <v/>
      </c>
      <c r="U2" s="230" t="str">
        <f t="array" ref="U2">IF(ISNUMBER(MATCH(B2, 'Sprint 10'!B:B, 0)), INDEX('Sprint 10'!J:J, MATCH(B2, 'Sprint 10'!B:B, 0)), "")</f>
        <v/>
      </c>
      <c r="W2" s="102" t="s">
        <v>5901</v>
      </c>
    </row>
    <row r="3">
      <c r="A3" s="102" t="s">
        <v>310</v>
      </c>
      <c r="B3" s="102" t="s">
        <v>7255</v>
      </c>
      <c r="C3" s="229" t="s">
        <v>7256</v>
      </c>
      <c r="D3" s="102" t="s">
        <v>7257</v>
      </c>
      <c r="E3" s="102" t="s">
        <v>564</v>
      </c>
      <c r="F3" s="102" t="s">
        <v>565</v>
      </c>
      <c r="G3" s="102" t="s">
        <v>282</v>
      </c>
      <c r="H3" s="102" t="s">
        <v>283</v>
      </c>
      <c r="I3" s="102" t="s">
        <v>284</v>
      </c>
      <c r="J3" s="102" t="s">
        <v>454</v>
      </c>
      <c r="L3" s="229" t="s">
        <v>7258</v>
      </c>
      <c r="M3" s="229" t="s">
        <v>7787</v>
      </c>
      <c r="O3" s="230"/>
      <c r="S3" s="230"/>
      <c r="T3" s="230" t="str">
        <f>IF(ISNUMBER(MATCH(B3, 'Sprint 10'!B:B, 0)), "มาจาก Sprint 10", "")</f>
        <v/>
      </c>
      <c r="U3" s="230" t="str">
        <f t="array" ref="U3">IF(ISNUMBER(MATCH(B3, 'Sprint 10'!B:B, 0)), INDEX('Sprint 10'!J:J, MATCH(B3, 'Sprint 10'!B:B, 0)), "")</f>
        <v/>
      </c>
      <c r="W3" s="102" t="s">
        <v>5901</v>
      </c>
    </row>
    <row r="4">
      <c r="A4" s="102" t="s">
        <v>276</v>
      </c>
      <c r="B4" s="102" t="s">
        <v>7279</v>
      </c>
      <c r="C4" s="229" t="s">
        <v>7280</v>
      </c>
      <c r="D4" s="102" t="s">
        <v>347</v>
      </c>
      <c r="E4" s="102" t="s">
        <v>280</v>
      </c>
      <c r="F4" s="102" t="s">
        <v>281</v>
      </c>
      <c r="G4" s="102" t="s">
        <v>280</v>
      </c>
      <c r="H4" s="102" t="s">
        <v>281</v>
      </c>
      <c r="I4" s="102" t="s">
        <v>284</v>
      </c>
      <c r="J4" s="102" t="s">
        <v>63</v>
      </c>
      <c r="L4" s="229" t="s">
        <v>7281</v>
      </c>
      <c r="M4" s="229" t="s">
        <v>7281</v>
      </c>
      <c r="O4" s="230"/>
      <c r="S4" s="230"/>
      <c r="T4" s="230" t="str">
        <f>IF(ISNUMBER(MATCH(B4, 'Sprint 10'!B:B, 0)), "มาจาก Sprint 10", "")</f>
        <v/>
      </c>
      <c r="U4" s="230" t="str">
        <f t="array" ref="U4">IF(ISNUMBER(MATCH(B4, 'Sprint 10'!B:B, 0)), INDEX('Sprint 10'!J:J, MATCH(B4, 'Sprint 10'!B:B, 0)), "")</f>
        <v/>
      </c>
      <c r="W4" s="102" t="s">
        <v>1365</v>
      </c>
    </row>
    <row r="5">
      <c r="A5" s="102" t="s">
        <v>276</v>
      </c>
      <c r="B5" s="102" t="s">
        <v>7283</v>
      </c>
      <c r="C5" s="229" t="s">
        <v>7284</v>
      </c>
      <c r="D5" s="102" t="s">
        <v>347</v>
      </c>
      <c r="E5" s="102" t="s">
        <v>280</v>
      </c>
      <c r="F5" s="102" t="s">
        <v>281</v>
      </c>
      <c r="G5" s="102" t="s">
        <v>280</v>
      </c>
      <c r="H5" s="102" t="s">
        <v>281</v>
      </c>
      <c r="I5" s="102" t="s">
        <v>284</v>
      </c>
      <c r="J5" s="102" t="s">
        <v>34</v>
      </c>
      <c r="L5" s="229" t="s">
        <v>7281</v>
      </c>
      <c r="M5" s="229" t="s">
        <v>7281</v>
      </c>
      <c r="O5" s="230"/>
      <c r="S5" s="230"/>
      <c r="T5" s="230" t="str">
        <f>IF(ISNUMBER(MATCH(B5, 'Sprint 10'!B:B, 0)), "มาจาก Sprint 10", "")</f>
        <v/>
      </c>
      <c r="U5" s="230" t="str">
        <f t="array" ref="U5">IF(ISNUMBER(MATCH(B5, 'Sprint 10'!B:B, 0)), INDEX('Sprint 10'!J:J, MATCH(B5, 'Sprint 10'!B:B, 0)), "")</f>
        <v/>
      </c>
      <c r="W5" s="102" t="s">
        <v>1365</v>
      </c>
    </row>
    <row r="6">
      <c r="A6" s="102" t="s">
        <v>276</v>
      </c>
      <c r="B6" s="102" t="s">
        <v>7286</v>
      </c>
      <c r="C6" s="229" t="s">
        <v>7287</v>
      </c>
      <c r="D6" s="102" t="s">
        <v>2030</v>
      </c>
      <c r="E6" s="102" t="s">
        <v>280</v>
      </c>
      <c r="F6" s="102" t="s">
        <v>281</v>
      </c>
      <c r="G6" s="102" t="s">
        <v>280</v>
      </c>
      <c r="H6" s="102" t="s">
        <v>281</v>
      </c>
      <c r="I6" s="102" t="s">
        <v>284</v>
      </c>
      <c r="J6" s="102" t="s">
        <v>355</v>
      </c>
      <c r="L6" s="229" t="s">
        <v>7281</v>
      </c>
      <c r="M6" s="229" t="s">
        <v>7281</v>
      </c>
      <c r="O6" s="230"/>
      <c r="S6" s="230"/>
      <c r="T6" s="230" t="str">
        <f>IF(ISNUMBER(MATCH(B6, 'Sprint 10'!B:B, 0)), "มาจาก Sprint 10", "")</f>
        <v/>
      </c>
      <c r="U6" s="230" t="str">
        <f t="array" ref="U6">IF(ISNUMBER(MATCH(B6, 'Sprint 10'!B:B, 0)), INDEX('Sprint 10'!J:J, MATCH(B6, 'Sprint 10'!B:B, 0)), "")</f>
        <v/>
      </c>
      <c r="W6" s="102" t="s">
        <v>1365</v>
      </c>
    </row>
    <row r="7">
      <c r="A7" s="102" t="s">
        <v>276</v>
      </c>
      <c r="B7" s="102" t="s">
        <v>7288</v>
      </c>
      <c r="C7" s="229" t="s">
        <v>7289</v>
      </c>
      <c r="D7" s="102" t="s">
        <v>347</v>
      </c>
      <c r="E7" s="102" t="s">
        <v>280</v>
      </c>
      <c r="F7" s="102" t="s">
        <v>281</v>
      </c>
      <c r="G7" s="102" t="s">
        <v>280</v>
      </c>
      <c r="H7" s="102" t="s">
        <v>281</v>
      </c>
      <c r="I7" s="102" t="s">
        <v>284</v>
      </c>
      <c r="J7" s="102" t="s">
        <v>63</v>
      </c>
      <c r="L7" s="229" t="s">
        <v>7290</v>
      </c>
      <c r="M7" s="229" t="s">
        <v>7290</v>
      </c>
      <c r="O7" s="230"/>
      <c r="S7" s="230"/>
      <c r="T7" s="230" t="str">
        <f>IF(ISNUMBER(MATCH(B7, 'Sprint 10'!B:B, 0)), "มาจาก Sprint 10", "")</f>
        <v/>
      </c>
      <c r="U7" s="230" t="str">
        <f t="array" ref="U7">IF(ISNUMBER(MATCH(B7, 'Sprint 10'!B:B, 0)), INDEX('Sprint 10'!J:J, MATCH(B7, 'Sprint 10'!B:B, 0)), "")</f>
        <v/>
      </c>
      <c r="W7" s="102" t="s">
        <v>1365</v>
      </c>
    </row>
    <row r="8">
      <c r="A8" s="102" t="s">
        <v>276</v>
      </c>
      <c r="B8" s="102" t="s">
        <v>7292</v>
      </c>
      <c r="C8" s="229" t="s">
        <v>7293</v>
      </c>
      <c r="D8" s="102" t="s">
        <v>2030</v>
      </c>
      <c r="E8" s="102" t="s">
        <v>280</v>
      </c>
      <c r="F8" s="102" t="s">
        <v>281</v>
      </c>
      <c r="G8" s="102" t="s">
        <v>280</v>
      </c>
      <c r="H8" s="102" t="s">
        <v>281</v>
      </c>
      <c r="I8" s="102" t="s">
        <v>284</v>
      </c>
      <c r="J8" s="102" t="s">
        <v>355</v>
      </c>
      <c r="L8" s="229" t="s">
        <v>7290</v>
      </c>
      <c r="M8" s="229" t="s">
        <v>7281</v>
      </c>
      <c r="O8" s="230"/>
      <c r="S8" s="230"/>
      <c r="T8" s="230" t="str">
        <f>IF(ISNUMBER(MATCH(B8, 'Sprint 10'!B:B, 0)), "มาจาก Sprint 10", "")</f>
        <v/>
      </c>
      <c r="U8" s="230" t="str">
        <f t="array" ref="U8">IF(ISNUMBER(MATCH(B8, 'Sprint 10'!B:B, 0)), INDEX('Sprint 10'!J:J, MATCH(B8, 'Sprint 10'!B:B, 0)), "")</f>
        <v/>
      </c>
      <c r="W8" s="102" t="s">
        <v>1365</v>
      </c>
    </row>
    <row r="9">
      <c r="A9" s="102" t="s">
        <v>276</v>
      </c>
      <c r="B9" s="102" t="s">
        <v>7301</v>
      </c>
      <c r="C9" s="229" t="s">
        <v>7302</v>
      </c>
      <c r="D9" s="102" t="s">
        <v>7788</v>
      </c>
      <c r="E9" s="102" t="s">
        <v>3288</v>
      </c>
      <c r="F9" s="102" t="s">
        <v>3289</v>
      </c>
      <c r="G9" s="102" t="s">
        <v>3288</v>
      </c>
      <c r="H9" s="102" t="s">
        <v>3289</v>
      </c>
      <c r="I9" s="102" t="s">
        <v>284</v>
      </c>
      <c r="J9" s="102" t="s">
        <v>63</v>
      </c>
      <c r="L9" s="229" t="s">
        <v>7304</v>
      </c>
      <c r="M9" s="229" t="s">
        <v>7304</v>
      </c>
      <c r="O9" s="230"/>
      <c r="S9" s="230"/>
      <c r="T9" s="230" t="str">
        <f>IF(ISNUMBER(MATCH(B9, 'Sprint 10'!B:B, 0)), "มาจาก Sprint 10", "")</f>
        <v/>
      </c>
      <c r="U9" s="230" t="str">
        <f t="array" ref="U9">IF(ISNUMBER(MATCH(B9, 'Sprint 10'!B:B, 0)), INDEX('Sprint 10'!J:J, MATCH(B9, 'Sprint 10'!B:B, 0)), "")</f>
        <v/>
      </c>
      <c r="W9" s="102" t="s">
        <v>7213</v>
      </c>
    </row>
    <row r="10">
      <c r="A10" s="102" t="s">
        <v>276</v>
      </c>
      <c r="B10" s="102" t="s">
        <v>7306</v>
      </c>
      <c r="C10" s="229" t="s">
        <v>7307</v>
      </c>
      <c r="D10" s="102" t="s">
        <v>7789</v>
      </c>
      <c r="E10" s="102" t="s">
        <v>3288</v>
      </c>
      <c r="F10" s="102" t="s">
        <v>3289</v>
      </c>
      <c r="G10" s="102" t="s">
        <v>3288</v>
      </c>
      <c r="H10" s="102" t="s">
        <v>3289</v>
      </c>
      <c r="I10" s="102" t="s">
        <v>284</v>
      </c>
      <c r="J10" s="102" t="s">
        <v>63</v>
      </c>
      <c r="L10" s="229" t="s">
        <v>7308</v>
      </c>
      <c r="M10" s="229" t="s">
        <v>7304</v>
      </c>
      <c r="O10" s="230"/>
      <c r="S10" s="230"/>
      <c r="T10" s="230" t="str">
        <f>IF(ISNUMBER(MATCH(B10, 'Sprint 10'!B:B, 0)), "มาจาก Sprint 10", "")</f>
        <v/>
      </c>
      <c r="U10" s="230" t="str">
        <f t="array" ref="U10">IF(ISNUMBER(MATCH(B10, 'Sprint 10'!B:B, 0)), INDEX('Sprint 10'!J:J, MATCH(B10, 'Sprint 10'!B:B, 0)), "")</f>
        <v/>
      </c>
      <c r="W10" s="102" t="s">
        <v>7213</v>
      </c>
    </row>
    <row r="11">
      <c r="A11" s="102" t="s">
        <v>276</v>
      </c>
      <c r="B11" s="102" t="s">
        <v>7310</v>
      </c>
      <c r="C11" s="229" t="s">
        <v>7311</v>
      </c>
      <c r="D11" s="102" t="s">
        <v>7312</v>
      </c>
      <c r="E11" s="102" t="s">
        <v>3288</v>
      </c>
      <c r="F11" s="102" t="s">
        <v>3289</v>
      </c>
      <c r="G11" s="102" t="s">
        <v>3288</v>
      </c>
      <c r="H11" s="102" t="s">
        <v>3289</v>
      </c>
      <c r="I11" s="102" t="s">
        <v>284</v>
      </c>
      <c r="J11" s="102" t="s">
        <v>63</v>
      </c>
      <c r="L11" s="229" t="s">
        <v>7313</v>
      </c>
      <c r="M11" s="229" t="s">
        <v>7304</v>
      </c>
      <c r="O11" s="230"/>
      <c r="S11" s="230"/>
      <c r="T11" s="230" t="str">
        <f>IF(ISNUMBER(MATCH(B11, 'Sprint 10'!B:B, 0)), "มาจาก Sprint 10", "")</f>
        <v/>
      </c>
      <c r="U11" s="230" t="str">
        <f t="array" ref="U11">IF(ISNUMBER(MATCH(B11, 'Sprint 10'!B:B, 0)), INDEX('Sprint 10'!J:J, MATCH(B11, 'Sprint 10'!B:B, 0)), "")</f>
        <v/>
      </c>
      <c r="W11" s="102" t="s">
        <v>7213</v>
      </c>
    </row>
    <row r="12">
      <c r="A12" s="102" t="s">
        <v>276</v>
      </c>
      <c r="B12" s="102" t="s">
        <v>7315</v>
      </c>
      <c r="C12" s="229" t="s">
        <v>7316</v>
      </c>
      <c r="D12" s="102" t="s">
        <v>7790</v>
      </c>
      <c r="E12" s="102" t="s">
        <v>3288</v>
      </c>
      <c r="F12" s="102" t="s">
        <v>3289</v>
      </c>
      <c r="G12" s="102" t="s">
        <v>3288</v>
      </c>
      <c r="H12" s="102" t="s">
        <v>3289</v>
      </c>
      <c r="I12" s="102" t="s">
        <v>284</v>
      </c>
      <c r="J12" s="102" t="s">
        <v>63</v>
      </c>
      <c r="L12" s="229" t="s">
        <v>7318</v>
      </c>
      <c r="M12" s="229" t="s">
        <v>7304</v>
      </c>
      <c r="O12" s="230"/>
      <c r="S12" s="230"/>
      <c r="T12" s="230" t="str">
        <f>IF(ISNUMBER(MATCH(B12, 'Sprint 10'!B:B, 0)), "มาจาก Sprint 10", "")</f>
        <v/>
      </c>
      <c r="U12" s="230" t="str">
        <f t="array" ref="U12">IF(ISNUMBER(MATCH(B12, 'Sprint 10'!B:B, 0)), INDEX('Sprint 10'!J:J, MATCH(B12, 'Sprint 10'!B:B, 0)), "")</f>
        <v/>
      </c>
      <c r="W12" s="102" t="s">
        <v>7213</v>
      </c>
    </row>
    <row r="13">
      <c r="A13" s="102" t="s">
        <v>276</v>
      </c>
      <c r="B13" s="102" t="s">
        <v>7791</v>
      </c>
      <c r="C13" s="229" t="s">
        <v>7792</v>
      </c>
      <c r="D13" s="102" t="s">
        <v>347</v>
      </c>
      <c r="E13" s="102" t="s">
        <v>280</v>
      </c>
      <c r="F13" s="102" t="s">
        <v>281</v>
      </c>
      <c r="G13" s="102" t="s">
        <v>280</v>
      </c>
      <c r="H13" s="102" t="s">
        <v>281</v>
      </c>
      <c r="I13" s="102" t="s">
        <v>284</v>
      </c>
      <c r="J13" s="102" t="s">
        <v>26</v>
      </c>
      <c r="L13" s="229" t="s">
        <v>7793</v>
      </c>
      <c r="M13" s="229" t="s">
        <v>7793</v>
      </c>
      <c r="O13" s="230"/>
      <c r="S13" s="230"/>
      <c r="T13" s="230" t="str">
        <f>IF(ISNUMBER(MATCH(B13, 'Sprint 10'!B:B, 0)), "มาจาก Sprint 10", "")</f>
        <v/>
      </c>
      <c r="U13" s="230" t="str">
        <f t="array" ref="U13">IF(ISNUMBER(MATCH(B13, 'Sprint 10'!B:B, 0)), INDEX('Sprint 10'!J:J, MATCH(B13, 'Sprint 10'!B:B, 0)), "")</f>
        <v/>
      </c>
      <c r="W13" s="102" t="s">
        <v>1365</v>
      </c>
    </row>
    <row r="14">
      <c r="A14" s="102" t="s">
        <v>276</v>
      </c>
      <c r="B14" s="102" t="s">
        <v>7794</v>
      </c>
      <c r="C14" s="229" t="s">
        <v>7795</v>
      </c>
      <c r="D14" s="102" t="s">
        <v>2030</v>
      </c>
      <c r="E14" s="102" t="s">
        <v>280</v>
      </c>
      <c r="F14" s="102" t="s">
        <v>281</v>
      </c>
      <c r="G14" s="102" t="s">
        <v>280</v>
      </c>
      <c r="H14" s="102" t="s">
        <v>281</v>
      </c>
      <c r="I14" s="102" t="s">
        <v>284</v>
      </c>
      <c r="J14" s="102" t="s">
        <v>26</v>
      </c>
      <c r="L14" s="229" t="s">
        <v>7793</v>
      </c>
      <c r="M14" s="229" t="s">
        <v>7793</v>
      </c>
      <c r="O14" s="230"/>
      <c r="S14" s="230"/>
      <c r="T14" s="230" t="str">
        <f>IF(ISNUMBER(MATCH(B14, 'Sprint 10'!B:B, 0)), "มาจาก Sprint 10", "")</f>
        <v/>
      </c>
      <c r="U14" s="230" t="str">
        <f t="array" ref="U14">IF(ISNUMBER(MATCH(B14, 'Sprint 10'!B:B, 0)), INDEX('Sprint 10'!J:J, MATCH(B14, 'Sprint 10'!B:B, 0)), "")</f>
        <v/>
      </c>
      <c r="W14" s="102" t="s">
        <v>1365</v>
      </c>
    </row>
    <row r="15">
      <c r="A15" s="102" t="s">
        <v>276</v>
      </c>
      <c r="B15" s="102" t="s">
        <v>7796</v>
      </c>
      <c r="C15" s="229" t="s">
        <v>7797</v>
      </c>
      <c r="D15" s="102" t="s">
        <v>347</v>
      </c>
      <c r="E15" s="102" t="s">
        <v>280</v>
      </c>
      <c r="F15" s="102" t="s">
        <v>281</v>
      </c>
      <c r="G15" s="102" t="s">
        <v>280</v>
      </c>
      <c r="H15" s="102" t="s">
        <v>281</v>
      </c>
      <c r="I15" s="102" t="s">
        <v>284</v>
      </c>
      <c r="J15" s="102" t="s">
        <v>26</v>
      </c>
      <c r="L15" s="229" t="s">
        <v>7798</v>
      </c>
      <c r="M15" s="229" t="s">
        <v>7793</v>
      </c>
      <c r="O15" s="230"/>
      <c r="S15" s="230"/>
      <c r="T15" s="230" t="str">
        <f>IF(ISNUMBER(MATCH(B15, 'Sprint 10'!B:B, 0)), "มาจาก Sprint 10", "")</f>
        <v/>
      </c>
      <c r="U15" s="230" t="str">
        <f t="array" ref="U15">IF(ISNUMBER(MATCH(B15, 'Sprint 10'!B:B, 0)), INDEX('Sprint 10'!J:J, MATCH(B15, 'Sprint 10'!B:B, 0)), "")</f>
        <v/>
      </c>
      <c r="W15" s="102" t="s">
        <v>1365</v>
      </c>
    </row>
    <row r="16">
      <c r="A16" s="102" t="s">
        <v>276</v>
      </c>
      <c r="B16" s="102" t="s">
        <v>7799</v>
      </c>
      <c r="C16" s="229" t="s">
        <v>7800</v>
      </c>
      <c r="D16" s="102" t="s">
        <v>2030</v>
      </c>
      <c r="E16" s="102" t="s">
        <v>280</v>
      </c>
      <c r="F16" s="102" t="s">
        <v>281</v>
      </c>
      <c r="G16" s="102" t="s">
        <v>280</v>
      </c>
      <c r="H16" s="102" t="s">
        <v>281</v>
      </c>
      <c r="I16" s="102" t="s">
        <v>284</v>
      </c>
      <c r="J16" s="102" t="s">
        <v>26</v>
      </c>
      <c r="L16" s="229" t="s">
        <v>7798</v>
      </c>
      <c r="M16" s="229" t="s">
        <v>7798</v>
      </c>
      <c r="N16" s="102"/>
      <c r="O16" s="102"/>
      <c r="S16" s="102"/>
      <c r="T16" s="230" t="str">
        <f>IF(ISNUMBER(MATCH(B16, 'Sprint 10'!B:B, 0)), "มาจาก Sprint 10", "")</f>
        <v/>
      </c>
      <c r="U16" s="230" t="str">
        <f t="array" ref="U16">IF(ISNUMBER(MATCH(B16, 'Sprint 10'!B:B, 0)), INDEX('Sprint 10'!J:J, MATCH(B16, 'Sprint 10'!B:B, 0)), "")</f>
        <v/>
      </c>
      <c r="W16" s="102" t="s">
        <v>1365</v>
      </c>
    </row>
    <row r="17">
      <c r="A17" s="102" t="s">
        <v>332</v>
      </c>
      <c r="B17" s="102" t="s">
        <v>7801</v>
      </c>
      <c r="C17" s="229" t="s">
        <v>7802</v>
      </c>
      <c r="D17" s="102" t="s">
        <v>7803</v>
      </c>
      <c r="E17" s="102" t="s">
        <v>556</v>
      </c>
      <c r="F17" s="102" t="s">
        <v>557</v>
      </c>
      <c r="G17" s="102" t="s">
        <v>521</v>
      </c>
      <c r="H17" s="102" t="s">
        <v>522</v>
      </c>
      <c r="I17" s="102" t="s">
        <v>284</v>
      </c>
      <c r="J17" s="102" t="s">
        <v>336</v>
      </c>
      <c r="L17" s="229" t="s">
        <v>7804</v>
      </c>
      <c r="M17" s="229" t="s">
        <v>7805</v>
      </c>
      <c r="O17" s="230"/>
      <c r="S17" s="230"/>
      <c r="T17" s="230" t="str">
        <f>IF(ISNUMBER(MATCH(B17, 'Sprint 10'!B:B, 0)), "มาจาก Sprint 10", "")</f>
        <v/>
      </c>
      <c r="U17" s="230" t="str">
        <f t="array" ref="U17">IF(ISNUMBER(MATCH(B17, 'Sprint 10'!B:B, 0)), INDEX('Sprint 10'!J:J, MATCH(B17, 'Sprint 10'!B:B, 0)), "")</f>
        <v/>
      </c>
      <c r="W17" s="102" t="s">
        <v>5901</v>
      </c>
      <c r="X17" s="102"/>
    </row>
    <row r="18">
      <c r="A18" s="102" t="s">
        <v>310</v>
      </c>
      <c r="B18" s="102" t="s">
        <v>7324</v>
      </c>
      <c r="C18" s="229" t="s">
        <v>7325</v>
      </c>
      <c r="D18" s="102" t="s">
        <v>7326</v>
      </c>
      <c r="E18" s="102" t="s">
        <v>495</v>
      </c>
      <c r="F18" s="102" t="s">
        <v>496</v>
      </c>
      <c r="G18" s="102" t="s">
        <v>314</v>
      </c>
      <c r="H18" s="102" t="s">
        <v>315</v>
      </c>
      <c r="I18" s="102" t="s">
        <v>284</v>
      </c>
      <c r="J18" s="102" t="s">
        <v>454</v>
      </c>
      <c r="L18" s="229" t="s">
        <v>7327</v>
      </c>
      <c r="M18" s="229" t="s">
        <v>7806</v>
      </c>
      <c r="N18" s="229" t="s">
        <v>7328</v>
      </c>
      <c r="O18" s="102">
        <v>2.0</v>
      </c>
      <c r="S18" s="102">
        <v>28800.0</v>
      </c>
      <c r="T18" s="230" t="str">
        <f>IF(ISNUMBER(MATCH(B18, 'Sprint 10'!B:B, 0)), "มาจาก Sprint 10", "")</f>
        <v/>
      </c>
      <c r="U18" s="230" t="str">
        <f t="array" ref="U18">IF(ISNUMBER(MATCH(B18, 'Sprint 10'!B:B, 0)), INDEX('Sprint 10'!J:J, MATCH(B18, 'Sprint 10'!B:B, 0)), "")</f>
        <v/>
      </c>
      <c r="W18" s="102" t="s">
        <v>1365</v>
      </c>
      <c r="X18" s="102"/>
      <c r="Y18" s="102"/>
      <c r="Z18" s="102"/>
      <c r="AA18" s="102"/>
    </row>
    <row r="19">
      <c r="A19" s="102" t="s">
        <v>276</v>
      </c>
      <c r="B19" s="102" t="s">
        <v>7807</v>
      </c>
      <c r="C19" s="229" t="s">
        <v>7808</v>
      </c>
      <c r="D19" s="102" t="s">
        <v>7809</v>
      </c>
      <c r="E19" s="102" t="s">
        <v>5844</v>
      </c>
      <c r="F19" s="102" t="s">
        <v>5845</v>
      </c>
      <c r="G19" s="102" t="s">
        <v>521</v>
      </c>
      <c r="H19" s="102" t="s">
        <v>522</v>
      </c>
      <c r="I19" s="102" t="s">
        <v>284</v>
      </c>
      <c r="J19" s="102" t="s">
        <v>63</v>
      </c>
      <c r="L19" s="229" t="s">
        <v>7810</v>
      </c>
      <c r="M19" s="229" t="s">
        <v>7810</v>
      </c>
      <c r="O19" s="230"/>
      <c r="S19" s="230"/>
      <c r="T19" s="230" t="str">
        <f>IF(ISNUMBER(MATCH(B19, 'Sprint 10'!B:B, 0)), "มาจาก Sprint 10", "")</f>
        <v/>
      </c>
      <c r="U19" s="230" t="str">
        <f t="array" ref="U19">IF(ISNUMBER(MATCH(B19, 'Sprint 10'!B:B, 0)), INDEX('Sprint 10'!J:J, MATCH(B19, 'Sprint 10'!B:B, 0)), "")</f>
        <v/>
      </c>
      <c r="W19" s="102" t="s">
        <v>6449</v>
      </c>
      <c r="X19" s="102" t="s">
        <v>6450</v>
      </c>
      <c r="Y19" s="102"/>
      <c r="Z19" s="102"/>
      <c r="AA19" s="102"/>
    </row>
    <row r="20">
      <c r="A20" s="102" t="s">
        <v>276</v>
      </c>
      <c r="B20" s="102" t="s">
        <v>7811</v>
      </c>
      <c r="C20" s="229" t="s">
        <v>7812</v>
      </c>
      <c r="D20" s="102" t="s">
        <v>1567</v>
      </c>
      <c r="E20" s="102" t="s">
        <v>3288</v>
      </c>
      <c r="F20" s="102" t="s">
        <v>3289</v>
      </c>
      <c r="G20" s="102" t="s">
        <v>3288</v>
      </c>
      <c r="H20" s="102" t="s">
        <v>3289</v>
      </c>
      <c r="I20" s="102" t="s">
        <v>284</v>
      </c>
      <c r="J20" s="102" t="s">
        <v>63</v>
      </c>
      <c r="L20" s="229" t="s">
        <v>7813</v>
      </c>
      <c r="M20" s="229" t="s">
        <v>7814</v>
      </c>
      <c r="O20" s="230"/>
      <c r="S20" s="230"/>
      <c r="T20" s="230" t="str">
        <f>IF(ISNUMBER(MATCH(B20, 'Sprint 10'!B:B, 0)), "มาจาก Sprint 10", "")</f>
        <v/>
      </c>
      <c r="U20" s="230" t="str">
        <f t="array" ref="U20">IF(ISNUMBER(MATCH(B20, 'Sprint 10'!B:B, 0)), INDEX('Sprint 10'!J:J, MATCH(B20, 'Sprint 10'!B:B, 0)), "")</f>
        <v/>
      </c>
      <c r="W20" s="102" t="s">
        <v>5944</v>
      </c>
      <c r="X20" s="102" t="s">
        <v>5913</v>
      </c>
      <c r="Y20" s="102" t="s">
        <v>5913</v>
      </c>
      <c r="Z20" s="102" t="s">
        <v>5913</v>
      </c>
      <c r="AA20" s="102" t="s">
        <v>5901</v>
      </c>
    </row>
    <row r="21">
      <c r="A21" s="102" t="s">
        <v>276</v>
      </c>
      <c r="B21" s="102" t="s">
        <v>7815</v>
      </c>
      <c r="C21" s="229" t="s">
        <v>7816</v>
      </c>
      <c r="D21" s="102" t="s">
        <v>1567</v>
      </c>
      <c r="E21" s="102" t="s">
        <v>3288</v>
      </c>
      <c r="F21" s="102" t="s">
        <v>3289</v>
      </c>
      <c r="G21" s="102" t="s">
        <v>3288</v>
      </c>
      <c r="H21" s="102" t="s">
        <v>3289</v>
      </c>
      <c r="I21" s="102" t="s">
        <v>284</v>
      </c>
      <c r="J21" s="102" t="s">
        <v>63</v>
      </c>
      <c r="L21" s="229" t="s">
        <v>7813</v>
      </c>
      <c r="M21" s="229" t="s">
        <v>7817</v>
      </c>
      <c r="O21" s="230"/>
      <c r="S21" s="230"/>
      <c r="T21" s="230" t="str">
        <f>IF(ISNUMBER(MATCH(B21, 'Sprint 10'!B:B, 0)), "มาจาก Sprint 10", "")</f>
        <v/>
      </c>
      <c r="U21" s="230" t="str">
        <f t="array" ref="U21">IF(ISNUMBER(MATCH(B21, 'Sprint 10'!B:B, 0)), INDEX('Sprint 10'!J:J, MATCH(B21, 'Sprint 10'!B:B, 0)), "")</f>
        <v/>
      </c>
      <c r="W21" s="102" t="s">
        <v>5944</v>
      </c>
      <c r="X21" s="102" t="s">
        <v>5913</v>
      </c>
      <c r="Y21" s="102" t="s">
        <v>5913</v>
      </c>
      <c r="Z21" s="102" t="s">
        <v>5913</v>
      </c>
      <c r="AA21" s="102" t="s">
        <v>5901</v>
      </c>
    </row>
    <row r="22">
      <c r="A22" s="102" t="s">
        <v>276</v>
      </c>
      <c r="B22" s="102" t="s">
        <v>7330</v>
      </c>
      <c r="C22" s="229" t="s">
        <v>7331</v>
      </c>
      <c r="D22" s="102" t="s">
        <v>7332</v>
      </c>
      <c r="E22" s="102" t="s">
        <v>3288</v>
      </c>
      <c r="F22" s="102" t="s">
        <v>3289</v>
      </c>
      <c r="G22" s="102" t="s">
        <v>3288</v>
      </c>
      <c r="H22" s="102" t="s">
        <v>3289</v>
      </c>
      <c r="I22" s="102" t="s">
        <v>284</v>
      </c>
      <c r="J22" s="102" t="s">
        <v>26</v>
      </c>
      <c r="L22" s="229" t="s">
        <v>7333</v>
      </c>
      <c r="M22" s="229" t="s">
        <v>7334</v>
      </c>
      <c r="O22" s="230"/>
      <c r="S22" s="230"/>
      <c r="T22" s="230" t="str">
        <f>IF(ISNUMBER(MATCH(B22, 'Sprint 10'!B:B, 0)), "มาจาก Sprint 10", "")</f>
        <v/>
      </c>
      <c r="U22" s="230" t="str">
        <f t="array" ref="U22">IF(ISNUMBER(MATCH(B22, 'Sprint 10'!B:B, 0)), INDEX('Sprint 10'!J:J, MATCH(B22, 'Sprint 10'!B:B, 0)), "")</f>
        <v/>
      </c>
      <c r="W22" s="102" t="s">
        <v>7213</v>
      </c>
    </row>
    <row r="23">
      <c r="A23" s="102" t="s">
        <v>276</v>
      </c>
      <c r="B23" s="102" t="s">
        <v>7335</v>
      </c>
      <c r="C23" s="229" t="s">
        <v>7336</v>
      </c>
      <c r="D23" s="102" t="s">
        <v>7337</v>
      </c>
      <c r="E23" s="102" t="s">
        <v>3288</v>
      </c>
      <c r="F23" s="102" t="s">
        <v>3289</v>
      </c>
      <c r="G23" s="102" t="s">
        <v>3288</v>
      </c>
      <c r="H23" s="102" t="s">
        <v>3289</v>
      </c>
      <c r="I23" s="102" t="s">
        <v>284</v>
      </c>
      <c r="J23" s="102" t="s">
        <v>26</v>
      </c>
      <c r="L23" s="229" t="s">
        <v>7338</v>
      </c>
      <c r="M23" s="229" t="s">
        <v>7313</v>
      </c>
      <c r="O23" s="230"/>
      <c r="S23" s="230"/>
      <c r="T23" s="230" t="str">
        <f>IF(ISNUMBER(MATCH(B23, 'Sprint 10'!B:B, 0)), "มาจาก Sprint 10", "")</f>
        <v/>
      </c>
      <c r="U23" s="230" t="str">
        <f t="array" ref="U23">IF(ISNUMBER(MATCH(B23, 'Sprint 10'!B:B, 0)), INDEX('Sprint 10'!J:J, MATCH(B23, 'Sprint 10'!B:B, 0)), "")</f>
        <v/>
      </c>
      <c r="W23" s="102" t="s">
        <v>7213</v>
      </c>
    </row>
    <row r="24">
      <c r="A24" s="102" t="s">
        <v>276</v>
      </c>
      <c r="B24" s="102" t="s">
        <v>7339</v>
      </c>
      <c r="C24" s="229" t="s">
        <v>7340</v>
      </c>
      <c r="D24" s="102" t="s">
        <v>7341</v>
      </c>
      <c r="E24" s="102" t="s">
        <v>3288</v>
      </c>
      <c r="F24" s="102" t="s">
        <v>3289</v>
      </c>
      <c r="G24" s="102" t="s">
        <v>3288</v>
      </c>
      <c r="H24" s="102" t="s">
        <v>3289</v>
      </c>
      <c r="I24" s="102" t="s">
        <v>284</v>
      </c>
      <c r="J24" s="102" t="s">
        <v>26</v>
      </c>
      <c r="L24" s="229" t="s">
        <v>7338</v>
      </c>
      <c r="M24" s="229" t="s">
        <v>7308</v>
      </c>
      <c r="O24" s="230"/>
      <c r="S24" s="230"/>
      <c r="T24" s="230" t="str">
        <f>IF(ISNUMBER(MATCH(B24, 'Sprint 10'!B:B, 0)), "มาจาก Sprint 10", "")</f>
        <v/>
      </c>
      <c r="U24" s="230" t="str">
        <f t="array" ref="U24">IF(ISNUMBER(MATCH(B24, 'Sprint 10'!B:B, 0)), INDEX('Sprint 10'!J:J, MATCH(B24, 'Sprint 10'!B:B, 0)), "")</f>
        <v/>
      </c>
      <c r="W24" s="102" t="s">
        <v>7213</v>
      </c>
    </row>
    <row r="25">
      <c r="A25" s="102" t="s">
        <v>276</v>
      </c>
      <c r="B25" s="102" t="s">
        <v>7342</v>
      </c>
      <c r="C25" s="229" t="s">
        <v>7343</v>
      </c>
      <c r="D25" s="102" t="s">
        <v>7344</v>
      </c>
      <c r="E25" s="102" t="s">
        <v>3288</v>
      </c>
      <c r="F25" s="102" t="s">
        <v>3289</v>
      </c>
      <c r="G25" s="102" t="s">
        <v>3288</v>
      </c>
      <c r="H25" s="102" t="s">
        <v>3289</v>
      </c>
      <c r="I25" s="102" t="s">
        <v>284</v>
      </c>
      <c r="J25" s="102" t="s">
        <v>26</v>
      </c>
      <c r="L25" s="229" t="s">
        <v>7345</v>
      </c>
      <c r="M25" s="229" t="s">
        <v>7346</v>
      </c>
      <c r="O25" s="230"/>
      <c r="S25" s="230"/>
      <c r="T25" s="230" t="str">
        <f>IF(ISNUMBER(MATCH(B25, 'Sprint 10'!B:B, 0)), "มาจาก Sprint 10", "")</f>
        <v/>
      </c>
      <c r="U25" s="230" t="str">
        <f t="array" ref="U25">IF(ISNUMBER(MATCH(B25, 'Sprint 10'!B:B, 0)), INDEX('Sprint 10'!J:J, MATCH(B25, 'Sprint 10'!B:B, 0)), "")</f>
        <v/>
      </c>
      <c r="W25" s="102" t="s">
        <v>7213</v>
      </c>
    </row>
    <row r="26">
      <c r="A26" s="102" t="s">
        <v>276</v>
      </c>
      <c r="B26" s="102" t="s">
        <v>7347</v>
      </c>
      <c r="C26" s="229" t="s">
        <v>7348</v>
      </c>
      <c r="D26" s="102" t="s">
        <v>7818</v>
      </c>
      <c r="E26" s="102" t="s">
        <v>521</v>
      </c>
      <c r="F26" s="102" t="s">
        <v>522</v>
      </c>
      <c r="G26" s="102" t="s">
        <v>521</v>
      </c>
      <c r="H26" s="102" t="s">
        <v>522</v>
      </c>
      <c r="I26" s="102" t="s">
        <v>284</v>
      </c>
      <c r="J26" s="102" t="s">
        <v>63</v>
      </c>
      <c r="L26" s="229" t="s">
        <v>7350</v>
      </c>
      <c r="M26" s="229" t="s">
        <v>7350</v>
      </c>
      <c r="O26" s="230"/>
      <c r="S26" s="230"/>
      <c r="T26" s="230" t="str">
        <f>IF(ISNUMBER(MATCH(B26, 'Sprint 10'!B:B, 0)), "มาจาก Sprint 10", "")</f>
        <v/>
      </c>
      <c r="U26" s="230" t="str">
        <f t="array" ref="U26">IF(ISNUMBER(MATCH(B26, 'Sprint 10'!B:B, 0)), INDEX('Sprint 10'!J:J, MATCH(B26, 'Sprint 10'!B:B, 0)), "")</f>
        <v/>
      </c>
      <c r="W26" s="102" t="s">
        <v>6450</v>
      </c>
    </row>
    <row r="27">
      <c r="A27" s="102" t="s">
        <v>276</v>
      </c>
      <c r="B27" s="102" t="s">
        <v>7352</v>
      </c>
      <c r="C27" s="229" t="s">
        <v>7353</v>
      </c>
      <c r="D27" s="102" t="s">
        <v>7354</v>
      </c>
      <c r="E27" s="102" t="s">
        <v>3288</v>
      </c>
      <c r="F27" s="102" t="s">
        <v>3289</v>
      </c>
      <c r="G27" s="102" t="s">
        <v>521</v>
      </c>
      <c r="H27" s="102" t="s">
        <v>522</v>
      </c>
      <c r="I27" s="102" t="s">
        <v>284</v>
      </c>
      <c r="J27" s="102" t="s">
        <v>26</v>
      </c>
      <c r="L27" s="229" t="s">
        <v>7355</v>
      </c>
      <c r="M27" s="229" t="s">
        <v>7356</v>
      </c>
      <c r="O27" s="230"/>
      <c r="S27" s="230"/>
      <c r="T27" s="230" t="str">
        <f>IF(ISNUMBER(MATCH(B27, 'Sprint 10'!B:B, 0)), "มาจาก Sprint 10", "")</f>
        <v/>
      </c>
      <c r="U27" s="230" t="str">
        <f t="array" ref="U27">IF(ISNUMBER(MATCH(B27, 'Sprint 10'!B:B, 0)), INDEX('Sprint 10'!J:J, MATCH(B27, 'Sprint 10'!B:B, 0)), "")</f>
        <v/>
      </c>
      <c r="W27" s="102" t="s">
        <v>6450</v>
      </c>
    </row>
    <row r="28">
      <c r="A28" s="102" t="s">
        <v>276</v>
      </c>
      <c r="B28" s="102" t="s">
        <v>7357</v>
      </c>
      <c r="C28" s="229" t="s">
        <v>7358</v>
      </c>
      <c r="D28" s="102" t="s">
        <v>7359</v>
      </c>
      <c r="E28" s="102" t="s">
        <v>3288</v>
      </c>
      <c r="F28" s="102" t="s">
        <v>3289</v>
      </c>
      <c r="G28" s="102" t="s">
        <v>521</v>
      </c>
      <c r="H28" s="102" t="s">
        <v>522</v>
      </c>
      <c r="I28" s="102" t="s">
        <v>284</v>
      </c>
      <c r="J28" s="102" t="s">
        <v>34</v>
      </c>
      <c r="L28" s="229" t="s">
        <v>7360</v>
      </c>
      <c r="M28" s="229" t="s">
        <v>7356</v>
      </c>
      <c r="O28" s="230"/>
      <c r="S28" s="230"/>
      <c r="T28" s="230" t="str">
        <f>IF(ISNUMBER(MATCH(B28, 'Sprint 10'!B:B, 0)), "มาจาก Sprint 10", "")</f>
        <v/>
      </c>
      <c r="U28" s="230" t="str">
        <f t="array" ref="U28">IF(ISNUMBER(MATCH(B28, 'Sprint 10'!B:B, 0)), INDEX('Sprint 10'!J:J, MATCH(B28, 'Sprint 10'!B:B, 0)), "")</f>
        <v/>
      </c>
      <c r="W28" s="102" t="s">
        <v>6450</v>
      </c>
      <c r="X28" s="102"/>
    </row>
    <row r="29">
      <c r="A29" s="102" t="s">
        <v>276</v>
      </c>
      <c r="B29" s="102" t="s">
        <v>7362</v>
      </c>
      <c r="C29" s="229" t="s">
        <v>7363</v>
      </c>
      <c r="D29" s="102" t="s">
        <v>7364</v>
      </c>
      <c r="E29" s="102" t="s">
        <v>3288</v>
      </c>
      <c r="F29" s="102" t="s">
        <v>3289</v>
      </c>
      <c r="G29" s="102" t="s">
        <v>521</v>
      </c>
      <c r="H29" s="102" t="s">
        <v>522</v>
      </c>
      <c r="I29" s="102" t="s">
        <v>284</v>
      </c>
      <c r="J29" s="102" t="s">
        <v>26</v>
      </c>
      <c r="L29" s="229" t="s">
        <v>7365</v>
      </c>
      <c r="M29" s="229" t="s">
        <v>7356</v>
      </c>
      <c r="O29" s="230"/>
      <c r="S29" s="230"/>
      <c r="T29" s="230" t="str">
        <f>IF(ISNUMBER(MATCH(B29, 'Sprint 10'!B:B, 0)), "มาจาก Sprint 10", "")</f>
        <v/>
      </c>
      <c r="U29" s="230" t="str">
        <f t="array" ref="U29">IF(ISNUMBER(MATCH(B29, 'Sprint 10'!B:B, 0)), INDEX('Sprint 10'!J:J, MATCH(B29, 'Sprint 10'!B:B, 0)), "")</f>
        <v/>
      </c>
      <c r="W29" s="102" t="s">
        <v>6450</v>
      </c>
      <c r="X29" s="102"/>
    </row>
    <row r="30">
      <c r="A30" s="102" t="s">
        <v>276</v>
      </c>
      <c r="B30" s="102" t="s">
        <v>7819</v>
      </c>
      <c r="C30" s="229" t="s">
        <v>7820</v>
      </c>
      <c r="D30" s="102" t="s">
        <v>7821</v>
      </c>
      <c r="E30" s="102" t="s">
        <v>521</v>
      </c>
      <c r="F30" s="102" t="s">
        <v>522</v>
      </c>
      <c r="G30" s="102" t="s">
        <v>521</v>
      </c>
      <c r="H30" s="102" t="s">
        <v>522</v>
      </c>
      <c r="I30" s="102" t="s">
        <v>284</v>
      </c>
      <c r="J30" s="102" t="s">
        <v>63</v>
      </c>
      <c r="L30" s="229" t="s">
        <v>7822</v>
      </c>
      <c r="M30" s="229" t="s">
        <v>7810</v>
      </c>
      <c r="O30" s="230"/>
      <c r="S30" s="230"/>
      <c r="T30" s="230" t="str">
        <f>IF(ISNUMBER(MATCH(B30, 'Sprint 10'!B:B, 0)), "มาจาก Sprint 10", "")</f>
        <v/>
      </c>
      <c r="U30" s="230" t="str">
        <f t="array" ref="U30">IF(ISNUMBER(MATCH(B30, 'Sprint 10'!B:B, 0)), INDEX('Sprint 10'!J:J, MATCH(B30, 'Sprint 10'!B:B, 0)), "")</f>
        <v/>
      </c>
      <c r="W30" s="102" t="s">
        <v>6449</v>
      </c>
      <c r="X30" s="102" t="s">
        <v>6450</v>
      </c>
    </row>
    <row r="31">
      <c r="A31" s="102" t="s">
        <v>276</v>
      </c>
      <c r="B31" s="102" t="s">
        <v>6912</v>
      </c>
      <c r="C31" s="229" t="s">
        <v>6913</v>
      </c>
      <c r="D31" s="102" t="s">
        <v>6914</v>
      </c>
      <c r="E31" s="102" t="s">
        <v>521</v>
      </c>
      <c r="F31" s="102" t="s">
        <v>522</v>
      </c>
      <c r="G31" s="102" t="s">
        <v>521</v>
      </c>
      <c r="H31" s="102" t="s">
        <v>522</v>
      </c>
      <c r="I31" s="102" t="s">
        <v>284</v>
      </c>
      <c r="J31" s="102" t="s">
        <v>63</v>
      </c>
      <c r="L31" s="229" t="s">
        <v>6915</v>
      </c>
      <c r="M31" s="229" t="s">
        <v>7823</v>
      </c>
      <c r="O31" s="230"/>
      <c r="S31" s="230"/>
      <c r="T31" s="230" t="str">
        <f>IF(ISNUMBER(MATCH(B31, 'Sprint 10'!B:B, 0)), "มาจาก Sprint 10", "")</f>
        <v/>
      </c>
      <c r="U31" s="230" t="str">
        <f t="array" ref="U31">IF(ISNUMBER(MATCH(B31, 'Sprint 10'!B:B, 0)), INDEX('Sprint 10'!J:J, MATCH(B31, 'Sprint 10'!B:B, 0)), "")</f>
        <v/>
      </c>
      <c r="W31" s="102" t="s">
        <v>6449</v>
      </c>
      <c r="X31" s="102" t="s">
        <v>6450</v>
      </c>
    </row>
    <row r="32">
      <c r="A32" s="102" t="s">
        <v>276</v>
      </c>
      <c r="B32" s="102" t="s">
        <v>6916</v>
      </c>
      <c r="C32" s="229" t="s">
        <v>6917</v>
      </c>
      <c r="D32" s="102" t="s">
        <v>6918</v>
      </c>
      <c r="E32" s="102" t="s">
        <v>521</v>
      </c>
      <c r="F32" s="102" t="s">
        <v>522</v>
      </c>
      <c r="G32" s="102" t="s">
        <v>521</v>
      </c>
      <c r="H32" s="102" t="s">
        <v>522</v>
      </c>
      <c r="I32" s="102" t="s">
        <v>284</v>
      </c>
      <c r="J32" s="102" t="s">
        <v>63</v>
      </c>
      <c r="L32" s="229" t="s">
        <v>6915</v>
      </c>
      <c r="M32" s="229" t="s">
        <v>6915</v>
      </c>
      <c r="O32" s="230"/>
      <c r="S32" s="230"/>
      <c r="T32" s="230" t="str">
        <f>IF(ISNUMBER(MATCH(B32, 'Sprint 10'!B:B, 0)), "มาจาก Sprint 10", "")</f>
        <v/>
      </c>
      <c r="U32" s="230" t="str">
        <f t="array" ref="U32">IF(ISNUMBER(MATCH(B32, 'Sprint 10'!B:B, 0)), INDEX('Sprint 10'!J:J, MATCH(B32, 'Sprint 10'!B:B, 0)), "")</f>
        <v/>
      </c>
      <c r="W32" s="102" t="s">
        <v>6449</v>
      </c>
      <c r="X32" s="102" t="s">
        <v>6450</v>
      </c>
    </row>
    <row r="33">
      <c r="A33" s="102" t="s">
        <v>276</v>
      </c>
      <c r="B33" s="102" t="s">
        <v>7366</v>
      </c>
      <c r="C33" s="229" t="s">
        <v>7367</v>
      </c>
      <c r="D33" s="102" t="s">
        <v>7368</v>
      </c>
      <c r="E33" s="102" t="s">
        <v>521</v>
      </c>
      <c r="F33" s="102" t="s">
        <v>522</v>
      </c>
      <c r="G33" s="102" t="s">
        <v>521</v>
      </c>
      <c r="H33" s="102" t="s">
        <v>522</v>
      </c>
      <c r="I33" s="102" t="s">
        <v>284</v>
      </c>
      <c r="J33" s="102" t="s">
        <v>63</v>
      </c>
      <c r="L33" s="229" t="s">
        <v>7369</v>
      </c>
      <c r="M33" s="229" t="s">
        <v>7369</v>
      </c>
      <c r="O33" s="230"/>
      <c r="S33" s="230"/>
      <c r="T33" s="230" t="str">
        <f>IF(ISNUMBER(MATCH(B33, 'Sprint 10'!B:B, 0)), "มาจาก Sprint 10", "")</f>
        <v/>
      </c>
      <c r="U33" s="230" t="str">
        <f t="array" ref="U33">IF(ISNUMBER(MATCH(B33, 'Sprint 10'!B:B, 0)), INDEX('Sprint 10'!J:J, MATCH(B33, 'Sprint 10'!B:B, 0)), "")</f>
        <v/>
      </c>
      <c r="W33" s="102" t="s">
        <v>6449</v>
      </c>
      <c r="X33" s="102" t="s">
        <v>6450</v>
      </c>
    </row>
    <row r="34">
      <c r="A34" s="102" t="s">
        <v>276</v>
      </c>
      <c r="B34" s="102" t="s">
        <v>7371</v>
      </c>
      <c r="C34" s="229" t="s">
        <v>7372</v>
      </c>
      <c r="D34" s="102" t="s">
        <v>7373</v>
      </c>
      <c r="E34" s="102" t="s">
        <v>521</v>
      </c>
      <c r="F34" s="102" t="s">
        <v>522</v>
      </c>
      <c r="G34" s="102" t="s">
        <v>521</v>
      </c>
      <c r="H34" s="102" t="s">
        <v>522</v>
      </c>
      <c r="I34" s="102" t="s">
        <v>284</v>
      </c>
      <c r="J34" s="102" t="s">
        <v>63</v>
      </c>
      <c r="L34" s="229" t="s">
        <v>7374</v>
      </c>
      <c r="M34" s="229" t="s">
        <v>7369</v>
      </c>
      <c r="O34" s="230"/>
      <c r="S34" s="230"/>
      <c r="T34" s="230" t="str">
        <f>IF(ISNUMBER(MATCH(B34, 'Sprint 10'!B:B, 0)), "มาจาก Sprint 10", "")</f>
        <v/>
      </c>
      <c r="U34" s="230" t="str">
        <f t="array" ref="U34">IF(ISNUMBER(MATCH(B34, 'Sprint 10'!B:B, 0)), INDEX('Sprint 10'!J:J, MATCH(B34, 'Sprint 10'!B:B, 0)), "")</f>
        <v/>
      </c>
      <c r="W34" s="102" t="s">
        <v>6449</v>
      </c>
      <c r="X34" s="102" t="s">
        <v>6450</v>
      </c>
    </row>
    <row r="35">
      <c r="A35" s="102" t="s">
        <v>276</v>
      </c>
      <c r="B35" s="102" t="s">
        <v>7375</v>
      </c>
      <c r="C35" s="229" t="s">
        <v>7376</v>
      </c>
      <c r="D35" s="102" t="s">
        <v>7377</v>
      </c>
      <c r="E35" s="102" t="s">
        <v>521</v>
      </c>
      <c r="F35" s="102" t="s">
        <v>522</v>
      </c>
      <c r="G35" s="102" t="s">
        <v>521</v>
      </c>
      <c r="H35" s="102" t="s">
        <v>522</v>
      </c>
      <c r="I35" s="102" t="s">
        <v>284</v>
      </c>
      <c r="J35" s="102" t="s">
        <v>63</v>
      </c>
      <c r="L35" s="229" t="s">
        <v>7378</v>
      </c>
      <c r="M35" s="229" t="s">
        <v>7378</v>
      </c>
      <c r="O35" s="230"/>
      <c r="S35" s="230"/>
      <c r="T35" s="230" t="str">
        <f>IF(ISNUMBER(MATCH(B35, 'Sprint 10'!B:B, 0)), "มาจาก Sprint 10", "")</f>
        <v/>
      </c>
      <c r="U35" s="230" t="str">
        <f t="array" ref="U35">IF(ISNUMBER(MATCH(B35, 'Sprint 10'!B:B, 0)), INDEX('Sprint 10'!J:J, MATCH(B35, 'Sprint 10'!B:B, 0)), "")</f>
        <v/>
      </c>
      <c r="W35" s="102" t="s">
        <v>6449</v>
      </c>
      <c r="X35" s="102" t="s">
        <v>6450</v>
      </c>
      <c r="Y35" s="102"/>
    </row>
    <row r="36">
      <c r="A36" s="102" t="s">
        <v>276</v>
      </c>
      <c r="B36" s="102" t="s">
        <v>7379</v>
      </c>
      <c r="C36" s="229" t="s">
        <v>7380</v>
      </c>
      <c r="D36" s="102" t="s">
        <v>7381</v>
      </c>
      <c r="E36" s="102" t="s">
        <v>521</v>
      </c>
      <c r="F36" s="102" t="s">
        <v>522</v>
      </c>
      <c r="G36" s="102" t="s">
        <v>521</v>
      </c>
      <c r="H36" s="102" t="s">
        <v>522</v>
      </c>
      <c r="I36" s="102" t="s">
        <v>284</v>
      </c>
      <c r="J36" s="102" t="s">
        <v>63</v>
      </c>
      <c r="L36" s="229" t="s">
        <v>7382</v>
      </c>
      <c r="M36" s="229" t="s">
        <v>7382</v>
      </c>
      <c r="O36" s="230"/>
      <c r="S36" s="230"/>
      <c r="T36" s="230" t="str">
        <f>IF(ISNUMBER(MATCH(B36, 'Sprint 10'!B:B, 0)), "มาจาก Sprint 10", "")</f>
        <v/>
      </c>
      <c r="U36" s="230" t="str">
        <f t="array" ref="U36">IF(ISNUMBER(MATCH(B36, 'Sprint 10'!B:B, 0)), INDEX('Sprint 10'!J:J, MATCH(B36, 'Sprint 10'!B:B, 0)), "")</f>
        <v/>
      </c>
      <c r="W36" s="102" t="s">
        <v>6449</v>
      </c>
      <c r="X36" s="102" t="s">
        <v>6450</v>
      </c>
    </row>
    <row r="37">
      <c r="A37" s="102" t="s">
        <v>276</v>
      </c>
      <c r="B37" s="102" t="s">
        <v>7824</v>
      </c>
      <c r="C37" s="229" t="s">
        <v>7825</v>
      </c>
      <c r="D37" s="102" t="s">
        <v>7826</v>
      </c>
      <c r="E37" s="102" t="s">
        <v>521</v>
      </c>
      <c r="F37" s="102" t="s">
        <v>522</v>
      </c>
      <c r="G37" s="102" t="s">
        <v>521</v>
      </c>
      <c r="H37" s="102" t="s">
        <v>522</v>
      </c>
      <c r="I37" s="102" t="s">
        <v>284</v>
      </c>
      <c r="J37" s="102" t="s">
        <v>26</v>
      </c>
      <c r="L37" s="229" t="s">
        <v>7827</v>
      </c>
      <c r="M37" s="229" t="s">
        <v>7828</v>
      </c>
      <c r="O37" s="230"/>
      <c r="S37" s="230"/>
      <c r="T37" s="230" t="str">
        <f>IF(ISNUMBER(MATCH(B37, 'Sprint 10'!B:B, 0)), "มาจาก Sprint 10", "")</f>
        <v/>
      </c>
      <c r="U37" s="230" t="str">
        <f t="array" ref="U37">IF(ISNUMBER(MATCH(B37, 'Sprint 10'!B:B, 0)), INDEX('Sprint 10'!J:J, MATCH(B37, 'Sprint 10'!B:B, 0)), "")</f>
        <v/>
      </c>
      <c r="W37" s="102" t="s">
        <v>6449</v>
      </c>
      <c r="X37" s="102" t="s">
        <v>6449</v>
      </c>
      <c r="Y37" s="102" t="s">
        <v>6450</v>
      </c>
    </row>
    <row r="38">
      <c r="A38" s="102" t="s">
        <v>332</v>
      </c>
      <c r="B38" s="102" t="s">
        <v>7829</v>
      </c>
      <c r="C38" s="229" t="s">
        <v>7384</v>
      </c>
      <c r="D38" s="102" t="s">
        <v>7385</v>
      </c>
      <c r="E38" s="102" t="s">
        <v>564</v>
      </c>
      <c r="F38" s="102" t="s">
        <v>565</v>
      </c>
      <c r="G38" s="102" t="s">
        <v>391</v>
      </c>
      <c r="H38" s="102" t="s">
        <v>392</v>
      </c>
      <c r="I38" s="102" t="s">
        <v>284</v>
      </c>
      <c r="J38" s="102" t="s">
        <v>922</v>
      </c>
      <c r="L38" s="229" t="s">
        <v>7386</v>
      </c>
      <c r="M38" s="229" t="s">
        <v>7830</v>
      </c>
      <c r="O38" s="230"/>
      <c r="S38" s="230"/>
      <c r="T38" s="230" t="str">
        <f>IF(ISNUMBER(MATCH(B38, 'Sprint 10'!B:B, 0)), "มาจาก Sprint 10", "")</f>
        <v/>
      </c>
      <c r="U38" s="230" t="str">
        <f t="array" ref="U38">IF(ISNUMBER(MATCH(B38, 'Sprint 10'!B:B, 0)), INDEX('Sprint 10'!J:J, MATCH(B38, 'Sprint 10'!B:B, 0)), "")</f>
        <v/>
      </c>
      <c r="W38" s="102" t="s">
        <v>5901</v>
      </c>
    </row>
    <row r="39">
      <c r="A39" s="102" t="s">
        <v>332</v>
      </c>
      <c r="B39" s="102" t="s">
        <v>7388</v>
      </c>
      <c r="C39" s="229" t="s">
        <v>7389</v>
      </c>
      <c r="D39" s="102" t="s">
        <v>7390</v>
      </c>
      <c r="E39" s="102" t="s">
        <v>564</v>
      </c>
      <c r="F39" s="102" t="s">
        <v>565</v>
      </c>
      <c r="G39" s="102" t="s">
        <v>391</v>
      </c>
      <c r="H39" s="102" t="s">
        <v>392</v>
      </c>
      <c r="I39" s="102" t="s">
        <v>284</v>
      </c>
      <c r="J39" s="102" t="s">
        <v>922</v>
      </c>
      <c r="L39" s="229" t="s">
        <v>7391</v>
      </c>
      <c r="M39" s="229" t="s">
        <v>7831</v>
      </c>
      <c r="O39" s="102"/>
      <c r="S39" s="230"/>
      <c r="T39" s="230" t="str">
        <f>IF(ISNUMBER(MATCH(B39, 'Sprint 10'!B:B, 0)), "มาจาก Sprint 10", "")</f>
        <v/>
      </c>
      <c r="U39" s="230" t="str">
        <f t="array" ref="U39">IF(ISNUMBER(MATCH(B39, 'Sprint 10'!B:B, 0)), INDEX('Sprint 10'!J:J, MATCH(B39, 'Sprint 10'!B:B, 0)), "")</f>
        <v/>
      </c>
      <c r="W39" s="102" t="s">
        <v>5901</v>
      </c>
    </row>
    <row r="40">
      <c r="A40" s="102" t="s">
        <v>332</v>
      </c>
      <c r="B40" s="102" t="s">
        <v>5897</v>
      </c>
      <c r="C40" s="229" t="s">
        <v>5898</v>
      </c>
      <c r="D40" s="102" t="s">
        <v>5899</v>
      </c>
      <c r="E40" s="102" t="s">
        <v>556</v>
      </c>
      <c r="F40" s="102" t="s">
        <v>557</v>
      </c>
      <c r="G40" s="102" t="s">
        <v>391</v>
      </c>
      <c r="H40" s="102" t="s">
        <v>392</v>
      </c>
      <c r="I40" s="102" t="s">
        <v>284</v>
      </c>
      <c r="J40" s="102" t="s">
        <v>922</v>
      </c>
      <c r="L40" s="229" t="s">
        <v>5900</v>
      </c>
      <c r="M40" s="229" t="s">
        <v>7832</v>
      </c>
      <c r="O40" s="102"/>
      <c r="S40" s="230"/>
      <c r="T40" s="230" t="str">
        <f>IF(ISNUMBER(MATCH(B40, 'Sprint 10'!B:B, 0)), "มาจาก Sprint 10", "")</f>
        <v/>
      </c>
      <c r="U40" s="230" t="str">
        <f t="array" ref="U40">IF(ISNUMBER(MATCH(B40, 'Sprint 10'!B:B, 0)), INDEX('Sprint 10'!J:J, MATCH(B40, 'Sprint 10'!B:B, 0)), "")</f>
        <v/>
      </c>
      <c r="W40" s="102" t="s">
        <v>5901</v>
      </c>
    </row>
    <row r="41">
      <c r="A41" s="102" t="s">
        <v>332</v>
      </c>
      <c r="B41" s="102" t="s">
        <v>7833</v>
      </c>
      <c r="C41" s="229" t="s">
        <v>7834</v>
      </c>
      <c r="D41" s="102" t="s">
        <v>7835</v>
      </c>
      <c r="E41" s="102" t="s">
        <v>6860</v>
      </c>
      <c r="F41" s="102" t="s">
        <v>6861</v>
      </c>
      <c r="G41" s="102" t="s">
        <v>521</v>
      </c>
      <c r="H41" s="102" t="s">
        <v>522</v>
      </c>
      <c r="I41" s="102" t="s">
        <v>284</v>
      </c>
      <c r="J41" s="102" t="s">
        <v>336</v>
      </c>
      <c r="L41" s="229" t="s">
        <v>7836</v>
      </c>
      <c r="M41" s="229" t="s">
        <v>7837</v>
      </c>
      <c r="O41" s="102">
        <v>1.0</v>
      </c>
      <c r="S41" s="230"/>
      <c r="T41" s="230" t="str">
        <f>IF(ISNUMBER(MATCH(B41, 'Sprint 10'!B:B, 0)), "มาจาก Sprint 10", "")</f>
        <v/>
      </c>
      <c r="U41" s="230" t="str">
        <f t="array" ref="U41">IF(ISNUMBER(MATCH(B41, 'Sprint 10'!B:B, 0)), INDEX('Sprint 10'!J:J, MATCH(B41, 'Sprint 10'!B:B, 0)), "")</f>
        <v/>
      </c>
      <c r="W41" s="102" t="s">
        <v>5901</v>
      </c>
    </row>
    <row r="42">
      <c r="A42" s="102" t="s">
        <v>310</v>
      </c>
      <c r="B42" s="102" t="s">
        <v>7838</v>
      </c>
      <c r="C42" s="229" t="s">
        <v>7839</v>
      </c>
      <c r="D42" s="102" t="s">
        <v>7840</v>
      </c>
      <c r="E42" s="102" t="s">
        <v>314</v>
      </c>
      <c r="F42" s="102" t="s">
        <v>315</v>
      </c>
      <c r="G42" s="102" t="s">
        <v>314</v>
      </c>
      <c r="H42" s="102" t="s">
        <v>315</v>
      </c>
      <c r="I42" s="102" t="s">
        <v>284</v>
      </c>
      <c r="J42" s="102" t="s">
        <v>26</v>
      </c>
      <c r="L42" s="229" t="s">
        <v>7841</v>
      </c>
      <c r="M42" s="229" t="s">
        <v>7842</v>
      </c>
      <c r="N42" s="102"/>
      <c r="O42" s="102">
        <v>1.0</v>
      </c>
      <c r="S42" s="230"/>
      <c r="T42" s="230" t="str">
        <f>IF(ISNUMBER(MATCH(B42, 'Sprint 10'!B:B, 0)), "มาจาก Sprint 10", "")</f>
        <v/>
      </c>
      <c r="U42" s="230" t="str">
        <f t="array" ref="U42">IF(ISNUMBER(MATCH(B42, 'Sprint 10'!B:B, 0)), INDEX('Sprint 10'!J:J, MATCH(B42, 'Sprint 10'!B:B, 0)), "")</f>
        <v/>
      </c>
      <c r="W42" s="102" t="s">
        <v>1365</v>
      </c>
    </row>
    <row r="43">
      <c r="A43" s="102" t="s">
        <v>310</v>
      </c>
      <c r="B43" s="102" t="s">
        <v>7843</v>
      </c>
      <c r="C43" s="229" t="s">
        <v>7844</v>
      </c>
      <c r="D43" s="102" t="s">
        <v>7845</v>
      </c>
      <c r="E43" s="102" t="s">
        <v>328</v>
      </c>
      <c r="F43" s="102" t="s">
        <v>329</v>
      </c>
      <c r="G43" s="102" t="s">
        <v>314</v>
      </c>
      <c r="H43" s="102" t="s">
        <v>315</v>
      </c>
      <c r="I43" s="102" t="s">
        <v>284</v>
      </c>
      <c r="J43" s="102" t="s">
        <v>26</v>
      </c>
      <c r="L43" s="229" t="s">
        <v>7846</v>
      </c>
      <c r="M43" s="229" t="s">
        <v>7847</v>
      </c>
      <c r="N43" s="102"/>
      <c r="O43" s="102">
        <v>1.0</v>
      </c>
      <c r="S43" s="102">
        <v>7200.0</v>
      </c>
      <c r="T43" s="230" t="str">
        <f>IF(ISNUMBER(MATCH(B43, 'Sprint 10'!B:B, 0)), "มาจาก Sprint 10", "")</f>
        <v/>
      </c>
      <c r="U43" s="230" t="str">
        <f t="array" ref="U43">IF(ISNUMBER(MATCH(B43, 'Sprint 10'!B:B, 0)), INDEX('Sprint 10'!J:J, MATCH(B43, 'Sprint 10'!B:B, 0)), "")</f>
        <v/>
      </c>
      <c r="W43" s="102" t="s">
        <v>1365</v>
      </c>
    </row>
    <row r="44">
      <c r="A44" s="102" t="s">
        <v>332</v>
      </c>
      <c r="B44" s="102" t="s">
        <v>7848</v>
      </c>
      <c r="C44" s="229" t="s">
        <v>7849</v>
      </c>
      <c r="D44" s="102" t="s">
        <v>7850</v>
      </c>
      <c r="E44" s="102" t="s">
        <v>6860</v>
      </c>
      <c r="F44" s="102" t="s">
        <v>6861</v>
      </c>
      <c r="G44" s="102" t="s">
        <v>521</v>
      </c>
      <c r="H44" s="102" t="s">
        <v>522</v>
      </c>
      <c r="I44" s="102" t="s">
        <v>284</v>
      </c>
      <c r="J44" s="102" t="s">
        <v>336</v>
      </c>
      <c r="L44" s="229" t="s">
        <v>7851</v>
      </c>
      <c r="M44" s="229" t="s">
        <v>7852</v>
      </c>
      <c r="N44" s="229" t="s">
        <v>7567</v>
      </c>
      <c r="O44" s="102">
        <v>2.0</v>
      </c>
      <c r="S44" s="230"/>
      <c r="T44" s="230" t="str">
        <f>IF(ISNUMBER(MATCH(B44, 'Sprint 10'!B:B, 0)), "มาจาก Sprint 10", "")</f>
        <v/>
      </c>
      <c r="U44" s="230" t="str">
        <f t="array" ref="U44">IF(ISNUMBER(MATCH(B44, 'Sprint 10'!B:B, 0)), INDEX('Sprint 10'!J:J, MATCH(B44, 'Sprint 10'!B:B, 0)), "")</f>
        <v/>
      </c>
      <c r="W44" s="102" t="s">
        <v>5901</v>
      </c>
    </row>
    <row r="45">
      <c r="A45" s="102" t="s">
        <v>332</v>
      </c>
      <c r="B45" s="102" t="s">
        <v>7853</v>
      </c>
      <c r="C45" s="229" t="s">
        <v>7854</v>
      </c>
      <c r="D45" s="102" t="s">
        <v>7855</v>
      </c>
      <c r="E45" s="102" t="s">
        <v>6860</v>
      </c>
      <c r="F45" s="102" t="s">
        <v>6861</v>
      </c>
      <c r="G45" s="102" t="s">
        <v>521</v>
      </c>
      <c r="H45" s="102" t="s">
        <v>522</v>
      </c>
      <c r="I45" s="102" t="s">
        <v>284</v>
      </c>
      <c r="J45" s="102" t="s">
        <v>336</v>
      </c>
      <c r="L45" s="229" t="s">
        <v>7856</v>
      </c>
      <c r="M45" s="229" t="s">
        <v>7857</v>
      </c>
      <c r="N45" s="229" t="s">
        <v>5906</v>
      </c>
      <c r="O45" s="102">
        <v>1.0</v>
      </c>
      <c r="S45" s="230"/>
      <c r="T45" s="230" t="str">
        <f>IF(ISNUMBER(MATCH(B45, 'Sprint 10'!B:B, 0)), "มาจาก Sprint 10", "")</f>
        <v/>
      </c>
      <c r="U45" s="230" t="str">
        <f t="array" ref="U45">IF(ISNUMBER(MATCH(B45, 'Sprint 10'!B:B, 0)), INDEX('Sprint 10'!J:J, MATCH(B45, 'Sprint 10'!B:B, 0)), "")</f>
        <v/>
      </c>
      <c r="W45" s="102" t="s">
        <v>5901</v>
      </c>
    </row>
    <row r="46">
      <c r="A46" s="102" t="s">
        <v>332</v>
      </c>
      <c r="B46" s="102" t="s">
        <v>7858</v>
      </c>
      <c r="C46" s="229" t="s">
        <v>7859</v>
      </c>
      <c r="D46" s="102" t="s">
        <v>7860</v>
      </c>
      <c r="E46" s="102" t="s">
        <v>6860</v>
      </c>
      <c r="F46" s="102" t="s">
        <v>6861</v>
      </c>
      <c r="G46" s="102" t="s">
        <v>521</v>
      </c>
      <c r="H46" s="102" t="s">
        <v>522</v>
      </c>
      <c r="I46" s="102" t="s">
        <v>284</v>
      </c>
      <c r="J46" s="102" t="s">
        <v>336</v>
      </c>
      <c r="L46" s="229" t="s">
        <v>7861</v>
      </c>
      <c r="M46" s="229" t="s">
        <v>7862</v>
      </c>
      <c r="N46" s="229" t="s">
        <v>5906</v>
      </c>
      <c r="O46" s="102">
        <v>2.0</v>
      </c>
      <c r="S46" s="230"/>
      <c r="T46" s="230" t="str">
        <f>IF(ISNUMBER(MATCH(B46, 'Sprint 10'!B:B, 0)), "มาจาก Sprint 10", "")</f>
        <v/>
      </c>
      <c r="U46" s="230" t="str">
        <f t="array" ref="U46">IF(ISNUMBER(MATCH(B46, 'Sprint 10'!B:B, 0)), INDEX('Sprint 10'!J:J, MATCH(B46, 'Sprint 10'!B:B, 0)), "")</f>
        <v/>
      </c>
      <c r="W46" s="102" t="s">
        <v>5901</v>
      </c>
    </row>
    <row r="47">
      <c r="A47" s="102" t="s">
        <v>332</v>
      </c>
      <c r="B47" s="102" t="s">
        <v>7863</v>
      </c>
      <c r="C47" s="229" t="s">
        <v>7864</v>
      </c>
      <c r="D47" s="102" t="s">
        <v>7865</v>
      </c>
      <c r="E47" s="102" t="s">
        <v>6860</v>
      </c>
      <c r="F47" s="102" t="s">
        <v>6861</v>
      </c>
      <c r="G47" s="102" t="s">
        <v>521</v>
      </c>
      <c r="H47" s="102" t="s">
        <v>522</v>
      </c>
      <c r="I47" s="102" t="s">
        <v>284</v>
      </c>
      <c r="J47" s="102" t="s">
        <v>336</v>
      </c>
      <c r="L47" s="229" t="s">
        <v>7866</v>
      </c>
      <c r="M47" s="229" t="s">
        <v>7805</v>
      </c>
      <c r="N47" s="229" t="s">
        <v>5906</v>
      </c>
      <c r="O47" s="102">
        <v>1.0</v>
      </c>
      <c r="S47" s="230"/>
      <c r="T47" s="230" t="str">
        <f>IF(ISNUMBER(MATCH(B47, 'Sprint 10'!B:B, 0)), "มาจาก Sprint 10", "")</f>
        <v/>
      </c>
      <c r="U47" s="230" t="str">
        <f t="array" ref="U47">IF(ISNUMBER(MATCH(B47, 'Sprint 10'!B:B, 0)), INDEX('Sprint 10'!J:J, MATCH(B47, 'Sprint 10'!B:B, 0)), "")</f>
        <v/>
      </c>
      <c r="W47" s="102" t="s">
        <v>5901</v>
      </c>
    </row>
    <row r="48">
      <c r="A48" s="102" t="s">
        <v>332</v>
      </c>
      <c r="B48" s="102" t="s">
        <v>7867</v>
      </c>
      <c r="C48" s="229" t="s">
        <v>7868</v>
      </c>
      <c r="D48" s="102" t="s">
        <v>7869</v>
      </c>
      <c r="E48" s="102" t="s">
        <v>564</v>
      </c>
      <c r="F48" s="102" t="s">
        <v>565</v>
      </c>
      <c r="G48" s="102" t="s">
        <v>2494</v>
      </c>
      <c r="H48" s="102" t="s">
        <v>2495</v>
      </c>
      <c r="I48" s="102" t="s">
        <v>284</v>
      </c>
      <c r="J48" s="102" t="s">
        <v>2318</v>
      </c>
      <c r="L48" s="229" t="s">
        <v>7870</v>
      </c>
      <c r="M48" s="229" t="s">
        <v>7871</v>
      </c>
      <c r="O48" s="102"/>
      <c r="S48" s="230"/>
      <c r="T48" s="230" t="str">
        <f>IF(ISNUMBER(MATCH(B48, 'Sprint 10'!B:B, 0)), "มาจาก Sprint 10", "")</f>
        <v/>
      </c>
      <c r="U48" s="230" t="str">
        <f t="array" ref="U48">IF(ISNUMBER(MATCH(B48, 'Sprint 10'!B:B, 0)), INDEX('Sprint 10'!J:J, MATCH(B48, 'Sprint 10'!B:B, 0)), "")</f>
        <v/>
      </c>
      <c r="W48" s="102" t="s">
        <v>5901</v>
      </c>
    </row>
    <row r="49">
      <c r="A49" s="102" t="s">
        <v>332</v>
      </c>
      <c r="B49" s="102" t="s">
        <v>7872</v>
      </c>
      <c r="C49" s="229" t="s">
        <v>7873</v>
      </c>
      <c r="D49" s="102" t="s">
        <v>7874</v>
      </c>
      <c r="E49" s="102" t="s">
        <v>556</v>
      </c>
      <c r="F49" s="102" t="s">
        <v>557</v>
      </c>
      <c r="G49" s="102" t="s">
        <v>3288</v>
      </c>
      <c r="H49" s="102" t="s">
        <v>3289</v>
      </c>
      <c r="I49" s="102" t="s">
        <v>648</v>
      </c>
      <c r="J49" s="102" t="s">
        <v>336</v>
      </c>
      <c r="L49" s="229" t="s">
        <v>7875</v>
      </c>
      <c r="M49" s="229" t="s">
        <v>7876</v>
      </c>
      <c r="O49" s="102"/>
      <c r="S49" s="230"/>
      <c r="T49" s="230" t="str">
        <f>IF(ISNUMBER(MATCH(B49, 'Sprint 10'!B:B, 0)), "มาจาก Sprint 10", "")</f>
        <v/>
      </c>
      <c r="U49" s="230" t="str">
        <f t="array" ref="U49">IF(ISNUMBER(MATCH(B49, 'Sprint 10'!B:B, 0)), INDEX('Sprint 10'!J:J, MATCH(B49, 'Sprint 10'!B:B, 0)), "")</f>
        <v/>
      </c>
      <c r="W49" s="102" t="s">
        <v>5901</v>
      </c>
    </row>
    <row r="50">
      <c r="A50" s="102" t="s">
        <v>310</v>
      </c>
      <c r="B50" s="102" t="s">
        <v>7399</v>
      </c>
      <c r="C50" s="229" t="s">
        <v>7400</v>
      </c>
      <c r="D50" s="102" t="s">
        <v>7401</v>
      </c>
      <c r="E50" s="102" t="s">
        <v>584</v>
      </c>
      <c r="F50" s="102" t="s">
        <v>585</v>
      </c>
      <c r="G50" s="102" t="s">
        <v>353</v>
      </c>
      <c r="H50" s="102" t="s">
        <v>354</v>
      </c>
      <c r="I50" s="102" t="s">
        <v>284</v>
      </c>
      <c r="J50" s="102" t="s">
        <v>454</v>
      </c>
      <c r="L50" s="229" t="s">
        <v>7402</v>
      </c>
      <c r="M50" s="229" t="s">
        <v>7877</v>
      </c>
      <c r="O50" s="102">
        <v>1.0</v>
      </c>
      <c r="S50" s="102">
        <v>7200.0</v>
      </c>
      <c r="T50" s="230" t="str">
        <f>IF(ISNUMBER(MATCH(B50, 'Sprint 10'!B:B, 0)), "มาจาก Sprint 10", "")</f>
        <v/>
      </c>
      <c r="U50" s="230" t="str">
        <f t="array" ref="U50">IF(ISNUMBER(MATCH(B50, 'Sprint 10'!B:B, 0)), INDEX('Sprint 10'!J:J, MATCH(B50, 'Sprint 10'!B:B, 0)), "")</f>
        <v/>
      </c>
      <c r="W50" s="102" t="s">
        <v>7213</v>
      </c>
    </row>
    <row r="51">
      <c r="A51" s="102" t="s">
        <v>310</v>
      </c>
      <c r="B51" s="102" t="s">
        <v>7403</v>
      </c>
      <c r="C51" s="229" t="s">
        <v>7404</v>
      </c>
      <c r="D51" s="102" t="s">
        <v>7405</v>
      </c>
      <c r="E51" s="102" t="s">
        <v>6860</v>
      </c>
      <c r="F51" s="102" t="s">
        <v>6861</v>
      </c>
      <c r="G51" s="102" t="s">
        <v>353</v>
      </c>
      <c r="H51" s="102" t="s">
        <v>354</v>
      </c>
      <c r="I51" s="102" t="s">
        <v>284</v>
      </c>
      <c r="J51" s="102" t="s">
        <v>678</v>
      </c>
      <c r="L51" s="229" t="s">
        <v>7402</v>
      </c>
      <c r="M51" s="229" t="s">
        <v>7877</v>
      </c>
      <c r="O51" s="102">
        <v>1.0</v>
      </c>
      <c r="S51" s="230"/>
      <c r="T51" s="230" t="str">
        <f>IF(ISNUMBER(MATCH(B51, 'Sprint 10'!B:B, 0)), "มาจาก Sprint 10", "")</f>
        <v/>
      </c>
      <c r="U51" s="230" t="str">
        <f t="array" ref="U51">IF(ISNUMBER(MATCH(B51, 'Sprint 10'!B:B, 0)), INDEX('Sprint 10'!J:J, MATCH(B51, 'Sprint 10'!B:B, 0)), "")</f>
        <v/>
      </c>
      <c r="W51" s="102" t="s">
        <v>7213</v>
      </c>
    </row>
    <row r="52">
      <c r="A52" s="102" t="s">
        <v>276</v>
      </c>
      <c r="B52" s="102" t="s">
        <v>7878</v>
      </c>
      <c r="C52" s="229" t="s">
        <v>7879</v>
      </c>
      <c r="D52" s="102" t="s">
        <v>347</v>
      </c>
      <c r="E52" s="102" t="s">
        <v>5655</v>
      </c>
      <c r="F52" s="102" t="s">
        <v>5656</v>
      </c>
      <c r="G52" s="102" t="s">
        <v>280</v>
      </c>
      <c r="H52" s="102" t="s">
        <v>281</v>
      </c>
      <c r="I52" s="102" t="s">
        <v>284</v>
      </c>
      <c r="J52" s="102" t="s">
        <v>26</v>
      </c>
      <c r="L52" s="229" t="s">
        <v>7880</v>
      </c>
      <c r="M52" s="229" t="s">
        <v>7881</v>
      </c>
      <c r="O52" s="230"/>
      <c r="S52" s="230"/>
      <c r="T52" s="230" t="str">
        <f>IF(ISNUMBER(MATCH(B52, 'Sprint 10'!B:B, 0)), "มาจาก Sprint 10", "")</f>
        <v/>
      </c>
      <c r="U52" s="230" t="str">
        <f t="array" ref="U52">IF(ISNUMBER(MATCH(B52, 'Sprint 10'!B:B, 0)), INDEX('Sprint 10'!J:J, MATCH(B52, 'Sprint 10'!B:B, 0)), "")</f>
        <v/>
      </c>
      <c r="W52" s="102" t="s">
        <v>1365</v>
      </c>
    </row>
    <row r="53">
      <c r="A53" s="102" t="s">
        <v>276</v>
      </c>
      <c r="B53" s="102" t="s">
        <v>7882</v>
      </c>
      <c r="C53" s="229" t="s">
        <v>7883</v>
      </c>
      <c r="D53" s="102" t="s">
        <v>2030</v>
      </c>
      <c r="E53" s="102" t="s">
        <v>280</v>
      </c>
      <c r="F53" s="102" t="s">
        <v>281</v>
      </c>
      <c r="G53" s="102" t="s">
        <v>280</v>
      </c>
      <c r="H53" s="102" t="s">
        <v>281</v>
      </c>
      <c r="I53" s="102" t="s">
        <v>284</v>
      </c>
      <c r="J53" s="102" t="s">
        <v>26</v>
      </c>
      <c r="L53" s="229" t="s">
        <v>7880</v>
      </c>
      <c r="M53" s="229" t="s">
        <v>7884</v>
      </c>
      <c r="O53" s="230"/>
      <c r="S53" s="230"/>
      <c r="T53" s="230" t="str">
        <f>IF(ISNUMBER(MATCH(B53, 'Sprint 10'!B:B, 0)), "มาจาก Sprint 10", "")</f>
        <v/>
      </c>
      <c r="U53" s="230" t="str">
        <f t="array" ref="U53">IF(ISNUMBER(MATCH(B53, 'Sprint 10'!B:B, 0)), INDEX('Sprint 10'!J:J, MATCH(B53, 'Sprint 10'!B:B, 0)), "")</f>
        <v/>
      </c>
      <c r="W53" s="102" t="s">
        <v>1365</v>
      </c>
    </row>
    <row r="54">
      <c r="A54" s="102" t="s">
        <v>276</v>
      </c>
      <c r="B54" s="102" t="s">
        <v>7885</v>
      </c>
      <c r="C54" s="229" t="s">
        <v>7886</v>
      </c>
      <c r="D54" s="102" t="s">
        <v>347</v>
      </c>
      <c r="E54" s="102" t="s">
        <v>5655</v>
      </c>
      <c r="F54" s="102" t="s">
        <v>5656</v>
      </c>
      <c r="G54" s="102" t="s">
        <v>280</v>
      </c>
      <c r="H54" s="102" t="s">
        <v>281</v>
      </c>
      <c r="I54" s="102" t="s">
        <v>284</v>
      </c>
      <c r="J54" s="102" t="s">
        <v>26</v>
      </c>
      <c r="L54" s="229" t="s">
        <v>7887</v>
      </c>
      <c r="M54" s="229" t="s">
        <v>7888</v>
      </c>
      <c r="O54" s="102"/>
      <c r="P54" s="102"/>
      <c r="S54" s="230"/>
      <c r="T54" s="230" t="str">
        <f>IF(ISNUMBER(MATCH(B54, 'Sprint 10'!B:B, 0)), "มาจาก Sprint 10", "")</f>
        <v/>
      </c>
      <c r="U54" s="230" t="str">
        <f t="array" ref="U54">IF(ISNUMBER(MATCH(B54, 'Sprint 10'!B:B, 0)), INDEX('Sprint 10'!J:J, MATCH(B54, 'Sprint 10'!B:B, 0)), "")</f>
        <v/>
      </c>
      <c r="W54" s="102" t="s">
        <v>1365</v>
      </c>
    </row>
    <row r="55">
      <c r="A55" s="102" t="s">
        <v>276</v>
      </c>
      <c r="B55" s="102" t="s">
        <v>7889</v>
      </c>
      <c r="C55" s="229" t="s">
        <v>7890</v>
      </c>
      <c r="D55" s="102" t="s">
        <v>2030</v>
      </c>
      <c r="E55" s="102" t="s">
        <v>280</v>
      </c>
      <c r="F55" s="102" t="s">
        <v>281</v>
      </c>
      <c r="G55" s="102" t="s">
        <v>280</v>
      </c>
      <c r="H55" s="102" t="s">
        <v>281</v>
      </c>
      <c r="I55" s="102" t="s">
        <v>284</v>
      </c>
      <c r="J55" s="102" t="s">
        <v>26</v>
      </c>
      <c r="L55" s="229" t="s">
        <v>7887</v>
      </c>
      <c r="M55" s="229" t="s">
        <v>7884</v>
      </c>
      <c r="O55" s="230"/>
      <c r="S55" s="230"/>
      <c r="T55" s="230" t="str">
        <f>IF(ISNUMBER(MATCH(B55, 'Sprint 10'!B:B, 0)), "มาจาก Sprint 10", "")</f>
        <v/>
      </c>
      <c r="U55" s="230" t="str">
        <f t="array" ref="U55">IF(ISNUMBER(MATCH(B55, 'Sprint 10'!B:B, 0)), INDEX('Sprint 10'!J:J, MATCH(B55, 'Sprint 10'!B:B, 0)), "")</f>
        <v/>
      </c>
      <c r="W55" s="102" t="s">
        <v>1365</v>
      </c>
      <c r="X55" s="102"/>
      <c r="Y55" s="102"/>
    </row>
    <row r="56">
      <c r="A56" s="102" t="s">
        <v>310</v>
      </c>
      <c r="B56" s="102" t="s">
        <v>7891</v>
      </c>
      <c r="C56" s="229" t="s">
        <v>7892</v>
      </c>
      <c r="D56" s="102" t="s">
        <v>7893</v>
      </c>
      <c r="E56" s="102" t="s">
        <v>314</v>
      </c>
      <c r="F56" s="102" t="s">
        <v>315</v>
      </c>
      <c r="G56" s="102" t="s">
        <v>314</v>
      </c>
      <c r="H56" s="102" t="s">
        <v>315</v>
      </c>
      <c r="I56" s="102" t="s">
        <v>284</v>
      </c>
      <c r="J56" s="102" t="s">
        <v>26</v>
      </c>
      <c r="L56" s="229" t="s">
        <v>7894</v>
      </c>
      <c r="M56" s="229" t="s">
        <v>7895</v>
      </c>
      <c r="O56" s="102">
        <v>2.0</v>
      </c>
      <c r="P56" s="102" t="s">
        <v>593</v>
      </c>
      <c r="S56" s="230"/>
      <c r="T56" s="230" t="str">
        <f>IF(ISNUMBER(MATCH(B56, 'Sprint 10'!B:B, 0)), "มาจาก Sprint 10", "")</f>
        <v/>
      </c>
      <c r="U56" s="230" t="str">
        <f t="array" ref="U56">IF(ISNUMBER(MATCH(B56, 'Sprint 10'!B:B, 0)), INDEX('Sprint 10'!J:J, MATCH(B56, 'Sprint 10'!B:B, 0)), "")</f>
        <v/>
      </c>
      <c r="W56" s="102" t="s">
        <v>1365</v>
      </c>
      <c r="X56" s="102"/>
      <c r="Y56" s="102"/>
    </row>
    <row r="57">
      <c r="A57" s="102" t="s">
        <v>276</v>
      </c>
      <c r="B57" s="102" t="s">
        <v>6919</v>
      </c>
      <c r="C57" s="229" t="s">
        <v>6920</v>
      </c>
      <c r="D57" s="102" t="s">
        <v>6921</v>
      </c>
      <c r="E57" s="102" t="s">
        <v>521</v>
      </c>
      <c r="F57" s="102" t="s">
        <v>522</v>
      </c>
      <c r="G57" s="102" t="s">
        <v>521</v>
      </c>
      <c r="H57" s="102" t="s">
        <v>522</v>
      </c>
      <c r="I57" s="102" t="s">
        <v>284</v>
      </c>
      <c r="J57" s="102" t="s">
        <v>63</v>
      </c>
      <c r="L57" s="229" t="s">
        <v>6922</v>
      </c>
      <c r="M57" s="229" t="s">
        <v>6922</v>
      </c>
      <c r="O57" s="230"/>
      <c r="S57" s="230"/>
      <c r="T57" s="230" t="str">
        <f>IF(ISNUMBER(MATCH(B57, 'Sprint 10'!B:B, 0)), "มาจาก Sprint 10", "")</f>
        <v/>
      </c>
      <c r="U57" s="230" t="str">
        <f t="array" ref="U57">IF(ISNUMBER(MATCH(B57, 'Sprint 10'!B:B, 0)), INDEX('Sprint 10'!J:J, MATCH(B57, 'Sprint 10'!B:B, 0)), "")</f>
        <v/>
      </c>
      <c r="W57" s="102" t="s">
        <v>6449</v>
      </c>
      <c r="X57" s="102" t="s">
        <v>6449</v>
      </c>
      <c r="Y57" s="102" t="s">
        <v>6450</v>
      </c>
    </row>
    <row r="58">
      <c r="A58" s="102" t="s">
        <v>276</v>
      </c>
      <c r="B58" s="102" t="s">
        <v>6924</v>
      </c>
      <c r="C58" s="229" t="s">
        <v>6925</v>
      </c>
      <c r="D58" s="102" t="s">
        <v>6926</v>
      </c>
      <c r="E58" s="102" t="s">
        <v>521</v>
      </c>
      <c r="F58" s="102" t="s">
        <v>522</v>
      </c>
      <c r="G58" s="102" t="s">
        <v>521</v>
      </c>
      <c r="H58" s="102" t="s">
        <v>522</v>
      </c>
      <c r="I58" s="102" t="s">
        <v>284</v>
      </c>
      <c r="J58" s="102" t="s">
        <v>63</v>
      </c>
      <c r="L58" s="229" t="s">
        <v>6927</v>
      </c>
      <c r="M58" s="229" t="s">
        <v>6927</v>
      </c>
      <c r="O58" s="230"/>
      <c r="S58" s="230"/>
      <c r="T58" s="230" t="str">
        <f>IF(ISNUMBER(MATCH(B58, 'Sprint 10'!B:B, 0)), "มาจาก Sprint 10", "")</f>
        <v/>
      </c>
      <c r="U58" s="230" t="str">
        <f t="array" ref="U58">IF(ISNUMBER(MATCH(B58, 'Sprint 10'!B:B, 0)), INDEX('Sprint 10'!J:J, MATCH(B58, 'Sprint 10'!B:B, 0)), "")</f>
        <v/>
      </c>
      <c r="W58" s="102" t="s">
        <v>6449</v>
      </c>
      <c r="X58" s="102" t="s">
        <v>6449</v>
      </c>
      <c r="Y58" s="102" t="s">
        <v>6450</v>
      </c>
    </row>
    <row r="59">
      <c r="A59" s="102" t="s">
        <v>276</v>
      </c>
      <c r="B59" s="102" t="s">
        <v>6928</v>
      </c>
      <c r="C59" s="229" t="s">
        <v>6929</v>
      </c>
      <c r="D59" s="102" t="s">
        <v>6930</v>
      </c>
      <c r="E59" s="102" t="s">
        <v>521</v>
      </c>
      <c r="F59" s="102" t="s">
        <v>522</v>
      </c>
      <c r="G59" s="102" t="s">
        <v>521</v>
      </c>
      <c r="H59" s="102" t="s">
        <v>522</v>
      </c>
      <c r="I59" s="102" t="s">
        <v>284</v>
      </c>
      <c r="J59" s="102" t="s">
        <v>63</v>
      </c>
      <c r="L59" s="229" t="s">
        <v>6931</v>
      </c>
      <c r="M59" s="229" t="s">
        <v>6922</v>
      </c>
      <c r="O59" s="230"/>
      <c r="S59" s="230"/>
      <c r="T59" s="230" t="str">
        <f>IF(ISNUMBER(MATCH(B59, 'Sprint 10'!B:B, 0)), "มาจาก Sprint 10", "")</f>
        <v/>
      </c>
      <c r="U59" s="230" t="str">
        <f t="array" ref="U59">IF(ISNUMBER(MATCH(B59, 'Sprint 10'!B:B, 0)), INDEX('Sprint 10'!J:J, MATCH(B59, 'Sprint 10'!B:B, 0)), "")</f>
        <v/>
      </c>
      <c r="W59" s="102" t="s">
        <v>6449</v>
      </c>
      <c r="X59" s="102" t="s">
        <v>6449</v>
      </c>
      <c r="Y59" s="102" t="s">
        <v>6450</v>
      </c>
    </row>
    <row r="60">
      <c r="A60" s="102" t="s">
        <v>276</v>
      </c>
      <c r="B60" s="102" t="s">
        <v>6932</v>
      </c>
      <c r="C60" s="229" t="s">
        <v>6933</v>
      </c>
      <c r="D60" s="102" t="s">
        <v>6934</v>
      </c>
      <c r="E60" s="102" t="s">
        <v>521</v>
      </c>
      <c r="F60" s="102" t="s">
        <v>522</v>
      </c>
      <c r="G60" s="102" t="s">
        <v>521</v>
      </c>
      <c r="H60" s="102" t="s">
        <v>522</v>
      </c>
      <c r="I60" s="102" t="s">
        <v>284</v>
      </c>
      <c r="J60" s="102" t="s">
        <v>63</v>
      </c>
      <c r="L60" s="229" t="s">
        <v>6931</v>
      </c>
      <c r="M60" s="229" t="s">
        <v>6927</v>
      </c>
      <c r="O60" s="230"/>
      <c r="S60" s="230"/>
      <c r="T60" s="230" t="str">
        <f>IF(ISNUMBER(MATCH(B60, 'Sprint 10'!B:B, 0)), "มาจาก Sprint 10", "")</f>
        <v/>
      </c>
      <c r="U60" s="230" t="str">
        <f t="array" ref="U60">IF(ISNUMBER(MATCH(B60, 'Sprint 10'!B:B, 0)), INDEX('Sprint 10'!J:J, MATCH(B60, 'Sprint 10'!B:B, 0)), "")</f>
        <v/>
      </c>
      <c r="W60" s="102" t="s">
        <v>6449</v>
      </c>
      <c r="X60" s="102" t="s">
        <v>6449</v>
      </c>
      <c r="Y60" s="102" t="s">
        <v>6450</v>
      </c>
    </row>
    <row r="61">
      <c r="A61" s="102" t="s">
        <v>276</v>
      </c>
      <c r="B61" s="102" t="s">
        <v>6935</v>
      </c>
      <c r="C61" s="229" t="s">
        <v>6936</v>
      </c>
      <c r="D61" s="102" t="s">
        <v>6937</v>
      </c>
      <c r="E61" s="102" t="s">
        <v>521</v>
      </c>
      <c r="F61" s="102" t="s">
        <v>522</v>
      </c>
      <c r="G61" s="102" t="s">
        <v>521</v>
      </c>
      <c r="H61" s="102" t="s">
        <v>522</v>
      </c>
      <c r="I61" s="102" t="s">
        <v>284</v>
      </c>
      <c r="J61" s="102" t="s">
        <v>63</v>
      </c>
      <c r="L61" s="229" t="s">
        <v>6938</v>
      </c>
      <c r="M61" s="229" t="s">
        <v>6938</v>
      </c>
      <c r="O61" s="230"/>
      <c r="S61" s="230"/>
      <c r="T61" s="230" t="str">
        <f>IF(ISNUMBER(MATCH(B61, 'Sprint 10'!B:B, 0)), "มาจาก Sprint 10", "")</f>
        <v/>
      </c>
      <c r="U61" s="230" t="str">
        <f t="array" ref="U61">IF(ISNUMBER(MATCH(B61, 'Sprint 10'!B:B, 0)), INDEX('Sprint 10'!J:J, MATCH(B61, 'Sprint 10'!B:B, 0)), "")</f>
        <v/>
      </c>
      <c r="W61" s="102" t="s">
        <v>6449</v>
      </c>
      <c r="X61" s="102" t="s">
        <v>6449</v>
      </c>
      <c r="Y61" s="102" t="s">
        <v>6450</v>
      </c>
    </row>
    <row r="62">
      <c r="A62" s="102" t="s">
        <v>276</v>
      </c>
      <c r="B62" s="102" t="s">
        <v>7406</v>
      </c>
      <c r="C62" s="229" t="s">
        <v>7407</v>
      </c>
      <c r="D62" s="102" t="s">
        <v>210</v>
      </c>
      <c r="E62" s="102"/>
      <c r="F62" s="102"/>
      <c r="G62" s="102" t="s">
        <v>521</v>
      </c>
      <c r="H62" s="102" t="s">
        <v>522</v>
      </c>
      <c r="I62" s="102" t="s">
        <v>284</v>
      </c>
      <c r="J62" s="102" t="s">
        <v>63</v>
      </c>
      <c r="L62" s="229" t="s">
        <v>7408</v>
      </c>
      <c r="M62" s="229" t="s">
        <v>7408</v>
      </c>
      <c r="O62" s="230"/>
      <c r="S62" s="230"/>
      <c r="T62" s="230" t="str">
        <f>IF(ISNUMBER(MATCH(B62, 'Sprint 10'!B:B, 0)), "มาจาก Sprint 10", "")</f>
        <v/>
      </c>
      <c r="U62" s="230" t="str">
        <f t="array" ref="U62">IF(ISNUMBER(MATCH(B62, 'Sprint 10'!B:B, 0)), INDEX('Sprint 10'!J:J, MATCH(B62, 'Sprint 10'!B:B, 0)), "")</f>
        <v/>
      </c>
      <c r="W62" s="102" t="s">
        <v>6449</v>
      </c>
      <c r="X62" s="102" t="s">
        <v>6449</v>
      </c>
      <c r="Y62" s="102" t="s">
        <v>6450</v>
      </c>
    </row>
    <row r="63">
      <c r="A63" s="102" t="s">
        <v>276</v>
      </c>
      <c r="B63" s="102" t="s">
        <v>6940</v>
      </c>
      <c r="C63" s="229" t="s">
        <v>6941</v>
      </c>
      <c r="D63" s="102" t="s">
        <v>6942</v>
      </c>
      <c r="E63" s="102" t="s">
        <v>521</v>
      </c>
      <c r="F63" s="102" t="s">
        <v>522</v>
      </c>
      <c r="G63" s="102" t="s">
        <v>521</v>
      </c>
      <c r="H63" s="102" t="s">
        <v>522</v>
      </c>
      <c r="I63" s="102" t="s">
        <v>284</v>
      </c>
      <c r="J63" s="102" t="s">
        <v>63</v>
      </c>
      <c r="L63" s="229" t="s">
        <v>6943</v>
      </c>
      <c r="M63" s="229" t="s">
        <v>6943</v>
      </c>
      <c r="O63" s="230"/>
      <c r="S63" s="230"/>
      <c r="T63" s="230" t="str">
        <f>IF(ISNUMBER(MATCH(B63, 'Sprint 10'!B:B, 0)), "มาจาก Sprint 10", "")</f>
        <v/>
      </c>
      <c r="U63" s="230" t="str">
        <f t="array" ref="U63">IF(ISNUMBER(MATCH(B63, 'Sprint 10'!B:B, 0)), INDEX('Sprint 10'!J:J, MATCH(B63, 'Sprint 10'!B:B, 0)), "")</f>
        <v/>
      </c>
      <c r="W63" s="102" t="s">
        <v>6449</v>
      </c>
      <c r="X63" s="102" t="s">
        <v>6449</v>
      </c>
      <c r="Y63" s="102" t="s">
        <v>6450</v>
      </c>
    </row>
    <row r="64">
      <c r="A64" s="102" t="s">
        <v>276</v>
      </c>
      <c r="B64" s="102" t="s">
        <v>7896</v>
      </c>
      <c r="C64" s="229" t="s">
        <v>7897</v>
      </c>
      <c r="D64" s="102" t="s">
        <v>7898</v>
      </c>
      <c r="E64" s="102" t="s">
        <v>521</v>
      </c>
      <c r="F64" s="102" t="s">
        <v>522</v>
      </c>
      <c r="G64" s="102" t="s">
        <v>521</v>
      </c>
      <c r="H64" s="102" t="s">
        <v>522</v>
      </c>
      <c r="I64" s="102" t="s">
        <v>284</v>
      </c>
      <c r="J64" s="102" t="s">
        <v>63</v>
      </c>
      <c r="L64" s="229" t="s">
        <v>7899</v>
      </c>
      <c r="M64" s="229" t="s">
        <v>7900</v>
      </c>
      <c r="O64" s="230"/>
      <c r="S64" s="230"/>
      <c r="T64" s="230" t="str">
        <f>IF(ISNUMBER(MATCH(B64, 'Sprint 10'!B:B, 0)), "มาจาก Sprint 10", "")</f>
        <v/>
      </c>
      <c r="U64" s="230" t="str">
        <f t="array" ref="U64">IF(ISNUMBER(MATCH(B64, 'Sprint 10'!B:B, 0)), INDEX('Sprint 10'!J:J, MATCH(B64, 'Sprint 10'!B:B, 0)), "")</f>
        <v/>
      </c>
      <c r="W64" s="102" t="s">
        <v>6449</v>
      </c>
      <c r="X64" s="102" t="s">
        <v>6449</v>
      </c>
      <c r="Y64" s="102" t="s">
        <v>6450</v>
      </c>
    </row>
    <row r="65">
      <c r="A65" s="102" t="s">
        <v>276</v>
      </c>
      <c r="B65" s="102" t="s">
        <v>7409</v>
      </c>
      <c r="C65" s="229" t="s">
        <v>7410</v>
      </c>
      <c r="D65" s="102" t="s">
        <v>7411</v>
      </c>
      <c r="E65" s="102" t="s">
        <v>391</v>
      </c>
      <c r="F65" s="102" t="s">
        <v>392</v>
      </c>
      <c r="G65" s="102" t="s">
        <v>521</v>
      </c>
      <c r="H65" s="102" t="s">
        <v>522</v>
      </c>
      <c r="I65" s="102" t="s">
        <v>284</v>
      </c>
      <c r="J65" s="102" t="s">
        <v>63</v>
      </c>
      <c r="L65" s="229" t="s">
        <v>7412</v>
      </c>
      <c r="M65" s="229" t="s">
        <v>7412</v>
      </c>
      <c r="O65" s="230"/>
      <c r="S65" s="230"/>
      <c r="T65" s="230" t="str">
        <f>IF(ISNUMBER(MATCH(B65, 'Sprint 10'!B:B, 0)), "มาจาก Sprint 10", "")</f>
        <v/>
      </c>
      <c r="U65" s="230" t="str">
        <f t="array" ref="U65">IF(ISNUMBER(MATCH(B65, 'Sprint 10'!B:B, 0)), INDEX('Sprint 10'!J:J, MATCH(B65, 'Sprint 10'!B:B, 0)), "")</f>
        <v/>
      </c>
      <c r="W65" s="102" t="s">
        <v>5913</v>
      </c>
      <c r="X65" s="102" t="s">
        <v>5913</v>
      </c>
      <c r="Y65" s="102" t="s">
        <v>5901</v>
      </c>
    </row>
    <row r="66">
      <c r="A66" s="102" t="s">
        <v>276</v>
      </c>
      <c r="B66" s="102" t="s">
        <v>7414</v>
      </c>
      <c r="C66" s="229" t="s">
        <v>7415</v>
      </c>
      <c r="D66" s="102" t="s">
        <v>7416</v>
      </c>
      <c r="E66" s="102" t="s">
        <v>391</v>
      </c>
      <c r="F66" s="102" t="s">
        <v>392</v>
      </c>
      <c r="G66" s="102" t="s">
        <v>521</v>
      </c>
      <c r="H66" s="102" t="s">
        <v>522</v>
      </c>
      <c r="I66" s="102" t="s">
        <v>284</v>
      </c>
      <c r="J66" s="102" t="s">
        <v>63</v>
      </c>
      <c r="L66" s="229" t="s">
        <v>7417</v>
      </c>
      <c r="M66" s="229" t="s">
        <v>7412</v>
      </c>
      <c r="O66" s="230"/>
      <c r="S66" s="230"/>
      <c r="T66" s="230" t="str">
        <f>IF(ISNUMBER(MATCH(B66, 'Sprint 10'!B:B, 0)), "มาจาก Sprint 10", "")</f>
        <v/>
      </c>
      <c r="U66" s="230" t="str">
        <f t="array" ref="U66">IF(ISNUMBER(MATCH(B66, 'Sprint 10'!B:B, 0)), INDEX('Sprint 10'!J:J, MATCH(B66, 'Sprint 10'!B:B, 0)), "")</f>
        <v/>
      </c>
      <c r="W66" s="102" t="s">
        <v>5913</v>
      </c>
      <c r="X66" s="102" t="s">
        <v>5913</v>
      </c>
      <c r="Y66" s="102" t="s">
        <v>5901</v>
      </c>
    </row>
    <row r="67">
      <c r="A67" s="102" t="s">
        <v>276</v>
      </c>
      <c r="B67" s="102" t="s">
        <v>7419</v>
      </c>
      <c r="C67" s="229" t="s">
        <v>7420</v>
      </c>
      <c r="D67" s="102" t="s">
        <v>7421</v>
      </c>
      <c r="E67" s="102" t="s">
        <v>521</v>
      </c>
      <c r="F67" s="102" t="s">
        <v>522</v>
      </c>
      <c r="G67" s="102" t="s">
        <v>521</v>
      </c>
      <c r="H67" s="102" t="s">
        <v>522</v>
      </c>
      <c r="I67" s="102" t="s">
        <v>284</v>
      </c>
      <c r="J67" s="102" t="s">
        <v>63</v>
      </c>
      <c r="L67" s="229" t="s">
        <v>7422</v>
      </c>
      <c r="M67" s="229" t="s">
        <v>7901</v>
      </c>
      <c r="O67" s="230"/>
      <c r="S67" s="230"/>
      <c r="T67" s="230" t="str">
        <f>IF(ISNUMBER(MATCH(B67, 'Sprint 10'!B:B, 0)), "มาจาก Sprint 10", "")</f>
        <v/>
      </c>
      <c r="U67" s="230" t="str">
        <f t="array" ref="U67">IF(ISNUMBER(MATCH(B67, 'Sprint 10'!B:B, 0)), INDEX('Sprint 10'!J:J, MATCH(B67, 'Sprint 10'!B:B, 0)), "")</f>
        <v/>
      </c>
      <c r="W67" s="102" t="s">
        <v>5913</v>
      </c>
      <c r="X67" s="102" t="s">
        <v>5901</v>
      </c>
      <c r="Y67" s="102"/>
      <c r="Z67" s="102"/>
    </row>
    <row r="68">
      <c r="A68" s="102" t="s">
        <v>276</v>
      </c>
      <c r="B68" s="102" t="s">
        <v>7424</v>
      </c>
      <c r="C68" s="229" t="s">
        <v>7425</v>
      </c>
      <c r="D68" s="102" t="s">
        <v>7426</v>
      </c>
      <c r="E68" s="102" t="s">
        <v>521</v>
      </c>
      <c r="F68" s="102" t="s">
        <v>522</v>
      </c>
      <c r="G68" s="102" t="s">
        <v>521</v>
      </c>
      <c r="H68" s="102" t="s">
        <v>522</v>
      </c>
      <c r="I68" s="102" t="s">
        <v>284</v>
      </c>
      <c r="J68" s="102" t="s">
        <v>63</v>
      </c>
      <c r="L68" s="229" t="s">
        <v>7422</v>
      </c>
      <c r="M68" s="229" t="s">
        <v>7422</v>
      </c>
      <c r="O68" s="230"/>
      <c r="S68" s="230"/>
      <c r="T68" s="230" t="str">
        <f>IF(ISNUMBER(MATCH(B68, 'Sprint 10'!B:B, 0)), "มาจาก Sprint 10", "")</f>
        <v/>
      </c>
      <c r="U68" s="230" t="str">
        <f t="array" ref="U68">IF(ISNUMBER(MATCH(B68, 'Sprint 10'!B:B, 0)), INDEX('Sprint 10'!J:J, MATCH(B68, 'Sprint 10'!B:B, 0)), "")</f>
        <v/>
      </c>
      <c r="W68" s="102" t="s">
        <v>5913</v>
      </c>
      <c r="X68" s="102" t="s">
        <v>5901</v>
      </c>
      <c r="Y68" s="102"/>
      <c r="Z68" s="102"/>
    </row>
    <row r="69">
      <c r="A69" s="102" t="s">
        <v>276</v>
      </c>
      <c r="B69" s="102" t="s">
        <v>7428</v>
      </c>
      <c r="C69" s="229" t="s">
        <v>7429</v>
      </c>
      <c r="D69" s="102" t="s">
        <v>7430</v>
      </c>
      <c r="E69" s="102" t="s">
        <v>521</v>
      </c>
      <c r="F69" s="102" t="s">
        <v>522</v>
      </c>
      <c r="G69" s="102" t="s">
        <v>521</v>
      </c>
      <c r="H69" s="102" t="s">
        <v>522</v>
      </c>
      <c r="I69" s="102" t="s">
        <v>284</v>
      </c>
      <c r="J69" s="102" t="s">
        <v>63</v>
      </c>
      <c r="L69" s="229" t="s">
        <v>7431</v>
      </c>
      <c r="M69" s="229" t="s">
        <v>7902</v>
      </c>
      <c r="O69" s="230"/>
      <c r="S69" s="230"/>
      <c r="T69" s="230" t="str">
        <f>IF(ISNUMBER(MATCH(B69, 'Sprint 10'!B:B, 0)), "มาจาก Sprint 10", "")</f>
        <v/>
      </c>
      <c r="U69" s="230" t="str">
        <f t="array" ref="U69">IF(ISNUMBER(MATCH(B69, 'Sprint 10'!B:B, 0)), INDEX('Sprint 10'!J:J, MATCH(B69, 'Sprint 10'!B:B, 0)), "")</f>
        <v/>
      </c>
      <c r="W69" s="102" t="s">
        <v>5913</v>
      </c>
      <c r="X69" s="102" t="s">
        <v>5913</v>
      </c>
      <c r="Y69" s="102" t="s">
        <v>5913</v>
      </c>
      <c r="Z69" s="102" t="s">
        <v>5901</v>
      </c>
      <c r="AA69" s="102"/>
    </row>
    <row r="70">
      <c r="A70" s="102" t="s">
        <v>276</v>
      </c>
      <c r="B70" s="102" t="s">
        <v>7433</v>
      </c>
      <c r="C70" s="229" t="s">
        <v>7434</v>
      </c>
      <c r="D70" s="102" t="s">
        <v>7435</v>
      </c>
      <c r="E70" s="102" t="s">
        <v>521</v>
      </c>
      <c r="F70" s="102" t="s">
        <v>522</v>
      </c>
      <c r="G70" s="102" t="s">
        <v>521</v>
      </c>
      <c r="H70" s="102" t="s">
        <v>522</v>
      </c>
      <c r="I70" s="102" t="s">
        <v>284</v>
      </c>
      <c r="J70" s="102" t="s">
        <v>26</v>
      </c>
      <c r="L70" s="229" t="s">
        <v>7431</v>
      </c>
      <c r="M70" s="229" t="s">
        <v>7436</v>
      </c>
      <c r="N70" s="102"/>
      <c r="O70" s="102"/>
      <c r="S70" s="102"/>
      <c r="T70" s="230" t="str">
        <f>IF(ISNUMBER(MATCH(B70, 'Sprint 10'!B:B, 0)), "มาจาก Sprint 10", "")</f>
        <v/>
      </c>
      <c r="U70" s="230" t="str">
        <f t="array" ref="U70">IF(ISNUMBER(MATCH(B70, 'Sprint 10'!B:B, 0)), INDEX('Sprint 10'!J:J, MATCH(B70, 'Sprint 10'!B:B, 0)), "")</f>
        <v/>
      </c>
      <c r="W70" s="102" t="s">
        <v>5913</v>
      </c>
      <c r="X70" s="102" t="s">
        <v>5913</v>
      </c>
      <c r="Y70" s="102" t="s">
        <v>5913</v>
      </c>
      <c r="Z70" s="102" t="s">
        <v>5901</v>
      </c>
    </row>
    <row r="71">
      <c r="A71" s="102" t="s">
        <v>276</v>
      </c>
      <c r="B71" s="102" t="s">
        <v>7437</v>
      </c>
      <c r="C71" s="229" t="s">
        <v>7438</v>
      </c>
      <c r="D71" s="102" t="s">
        <v>7439</v>
      </c>
      <c r="E71" s="102" t="s">
        <v>521</v>
      </c>
      <c r="F71" s="102" t="s">
        <v>522</v>
      </c>
      <c r="G71" s="102" t="s">
        <v>521</v>
      </c>
      <c r="H71" s="102" t="s">
        <v>522</v>
      </c>
      <c r="I71" s="102" t="s">
        <v>284</v>
      </c>
      <c r="J71" s="102" t="s">
        <v>34</v>
      </c>
      <c r="L71" s="229" t="s">
        <v>7440</v>
      </c>
      <c r="M71" s="229" t="s">
        <v>7903</v>
      </c>
      <c r="O71" s="230"/>
      <c r="S71" s="230"/>
      <c r="T71" s="230" t="str">
        <f>IF(ISNUMBER(MATCH(B71, 'Sprint 10'!B:B, 0)), "มาจาก Sprint 10", "")</f>
        <v/>
      </c>
      <c r="U71" s="230" t="str">
        <f t="array" ref="U71">IF(ISNUMBER(MATCH(B71, 'Sprint 10'!B:B, 0)), INDEX('Sprint 10'!J:J, MATCH(B71, 'Sprint 10'!B:B, 0)), "")</f>
        <v/>
      </c>
      <c r="W71" s="102" t="s">
        <v>5944</v>
      </c>
      <c r="X71" s="102" t="s">
        <v>5913</v>
      </c>
      <c r="Y71" s="102" t="s">
        <v>5913</v>
      </c>
      <c r="Z71" s="102" t="s">
        <v>5913</v>
      </c>
      <c r="AA71" s="102" t="s">
        <v>5901</v>
      </c>
    </row>
    <row r="72">
      <c r="A72" s="102" t="s">
        <v>310</v>
      </c>
      <c r="B72" s="102" t="s">
        <v>6944</v>
      </c>
      <c r="C72" s="229" t="s">
        <v>6945</v>
      </c>
      <c r="D72" s="102" t="s">
        <v>6946</v>
      </c>
      <c r="E72" s="102" t="s">
        <v>6860</v>
      </c>
      <c r="F72" s="102" t="s">
        <v>6861</v>
      </c>
      <c r="G72" s="102" t="s">
        <v>353</v>
      </c>
      <c r="H72" s="102" t="s">
        <v>354</v>
      </c>
      <c r="I72" s="102" t="s">
        <v>284</v>
      </c>
      <c r="J72" s="102" t="s">
        <v>678</v>
      </c>
      <c r="L72" s="229" t="s">
        <v>6947</v>
      </c>
      <c r="M72" s="229" t="s">
        <v>7904</v>
      </c>
      <c r="N72" s="229" t="s">
        <v>6949</v>
      </c>
      <c r="O72" s="102">
        <v>1.0</v>
      </c>
      <c r="P72" s="102"/>
      <c r="S72" s="102">
        <v>3600.0</v>
      </c>
      <c r="T72" s="230" t="str">
        <f>IF(ISNUMBER(MATCH(B72, 'Sprint 10'!B:B, 0)), "มาจาก Sprint 10", "")</f>
        <v/>
      </c>
      <c r="U72" s="230" t="str">
        <f t="array" ref="U72">IF(ISNUMBER(MATCH(B72, 'Sprint 10'!B:B, 0)), INDEX('Sprint 10'!J:J, MATCH(B72, 'Sprint 10'!B:B, 0)), "")</f>
        <v/>
      </c>
      <c r="W72" s="102" t="s">
        <v>1365</v>
      </c>
    </row>
    <row r="73">
      <c r="A73" s="102" t="s">
        <v>310</v>
      </c>
      <c r="B73" s="102" t="s">
        <v>7459</v>
      </c>
      <c r="C73" s="229" t="s">
        <v>7460</v>
      </c>
      <c r="D73" s="102" t="s">
        <v>7461</v>
      </c>
      <c r="E73" s="102" t="s">
        <v>304</v>
      </c>
      <c r="F73" s="102" t="s">
        <v>305</v>
      </c>
      <c r="G73" s="102" t="s">
        <v>314</v>
      </c>
      <c r="H73" s="102" t="s">
        <v>315</v>
      </c>
      <c r="I73" s="102" t="s">
        <v>284</v>
      </c>
      <c r="J73" s="102" t="s">
        <v>454</v>
      </c>
      <c r="L73" s="229" t="s">
        <v>7462</v>
      </c>
      <c r="M73" s="229" t="s">
        <v>7905</v>
      </c>
      <c r="N73" s="229" t="s">
        <v>7463</v>
      </c>
      <c r="O73" s="102">
        <v>5.0</v>
      </c>
      <c r="P73" s="102" t="s">
        <v>1305</v>
      </c>
      <c r="S73" s="102">
        <v>57600.0</v>
      </c>
      <c r="T73" s="230" t="str">
        <f>IF(ISNUMBER(MATCH(B73, 'Sprint 10'!B:B, 0)), "มาจาก Sprint 10", "")</f>
        <v/>
      </c>
      <c r="U73" s="230" t="str">
        <f t="array" ref="U73">IF(ISNUMBER(MATCH(B73, 'Sprint 10'!B:B, 0)), INDEX('Sprint 10'!J:J, MATCH(B73, 'Sprint 10'!B:B, 0)), "")</f>
        <v/>
      </c>
      <c r="W73" s="102" t="s">
        <v>1365</v>
      </c>
    </row>
    <row r="74">
      <c r="A74" s="102" t="s">
        <v>310</v>
      </c>
      <c r="B74" s="102" t="s">
        <v>7464</v>
      </c>
      <c r="C74" s="229" t="s">
        <v>7465</v>
      </c>
      <c r="D74" s="102" t="s">
        <v>7466</v>
      </c>
      <c r="E74" s="102" t="s">
        <v>495</v>
      </c>
      <c r="F74" s="102" t="s">
        <v>496</v>
      </c>
      <c r="G74" s="102" t="s">
        <v>314</v>
      </c>
      <c r="H74" s="102" t="s">
        <v>315</v>
      </c>
      <c r="I74" s="102" t="s">
        <v>284</v>
      </c>
      <c r="J74" s="102" t="s">
        <v>454</v>
      </c>
      <c r="L74" s="229" t="s">
        <v>7467</v>
      </c>
      <c r="M74" s="229" t="s">
        <v>7906</v>
      </c>
      <c r="N74" s="229" t="s">
        <v>6949</v>
      </c>
      <c r="O74" s="102">
        <v>3.0</v>
      </c>
      <c r="P74" s="102" t="s">
        <v>651</v>
      </c>
      <c r="S74" s="230"/>
      <c r="T74" s="230" t="str">
        <f>IF(ISNUMBER(MATCH(B74, 'Sprint 10'!B:B, 0)), "มาจาก Sprint 10", "")</f>
        <v/>
      </c>
      <c r="U74" s="230" t="str">
        <f t="array" ref="U74">IF(ISNUMBER(MATCH(B74, 'Sprint 10'!B:B, 0)), INDEX('Sprint 10'!J:J, MATCH(B74, 'Sprint 10'!B:B, 0)), "")</f>
        <v/>
      </c>
      <c r="W74" s="102" t="s">
        <v>1365</v>
      </c>
    </row>
    <row r="75">
      <c r="A75" s="102" t="s">
        <v>310</v>
      </c>
      <c r="B75" s="102" t="s">
        <v>7907</v>
      </c>
      <c r="C75" s="229" t="s">
        <v>7908</v>
      </c>
      <c r="D75" s="102" t="s">
        <v>7909</v>
      </c>
      <c r="E75" s="102" t="s">
        <v>328</v>
      </c>
      <c r="F75" s="102" t="s">
        <v>329</v>
      </c>
      <c r="G75" s="102" t="s">
        <v>314</v>
      </c>
      <c r="H75" s="102" t="s">
        <v>315</v>
      </c>
      <c r="I75" s="102" t="s">
        <v>284</v>
      </c>
      <c r="J75" s="102" t="s">
        <v>26</v>
      </c>
      <c r="L75" s="229" t="s">
        <v>7910</v>
      </c>
      <c r="M75" s="229" t="s">
        <v>7847</v>
      </c>
      <c r="N75" s="229" t="s">
        <v>6438</v>
      </c>
      <c r="O75" s="102">
        <v>5.0</v>
      </c>
      <c r="P75" s="102" t="s">
        <v>651</v>
      </c>
      <c r="S75" s="102">
        <v>57600.0</v>
      </c>
      <c r="T75" s="230" t="str">
        <f>IF(ISNUMBER(MATCH(B75, 'Sprint 10'!B:B, 0)), "มาจาก Sprint 10", "")</f>
        <v/>
      </c>
      <c r="U75" s="230" t="str">
        <f t="array" ref="U75">IF(ISNUMBER(MATCH(B75, 'Sprint 10'!B:B, 0)), INDEX('Sprint 10'!J:J, MATCH(B75, 'Sprint 10'!B:B, 0)), "")</f>
        <v/>
      </c>
      <c r="W75" s="102" t="s">
        <v>1365</v>
      </c>
    </row>
    <row r="76">
      <c r="A76" s="102" t="s">
        <v>310</v>
      </c>
      <c r="B76" s="102" t="s">
        <v>7911</v>
      </c>
      <c r="C76" s="229" t="s">
        <v>7912</v>
      </c>
      <c r="D76" s="102" t="s">
        <v>7913</v>
      </c>
      <c r="E76" s="102" t="s">
        <v>513</v>
      </c>
      <c r="F76" s="102" t="s">
        <v>514</v>
      </c>
      <c r="G76" s="102" t="s">
        <v>314</v>
      </c>
      <c r="H76" s="102" t="s">
        <v>315</v>
      </c>
      <c r="I76" s="102" t="s">
        <v>284</v>
      </c>
      <c r="J76" s="102" t="s">
        <v>26</v>
      </c>
      <c r="L76" s="229" t="s">
        <v>7914</v>
      </c>
      <c r="M76" s="229" t="s">
        <v>7915</v>
      </c>
      <c r="N76" s="229" t="s">
        <v>6949</v>
      </c>
      <c r="O76" s="102">
        <v>1.0</v>
      </c>
      <c r="P76" s="102" t="s">
        <v>651</v>
      </c>
      <c r="S76" s="102">
        <v>7200.0</v>
      </c>
      <c r="T76" s="230" t="str">
        <f>IF(ISNUMBER(MATCH(B76, 'Sprint 10'!B:B, 0)), "มาจาก Sprint 10", "")</f>
        <v/>
      </c>
      <c r="U76" s="230" t="str">
        <f t="array" ref="U76">IF(ISNUMBER(MATCH(B76, 'Sprint 10'!B:B, 0)), INDEX('Sprint 10'!J:J, MATCH(B76, 'Sprint 10'!B:B, 0)), "")</f>
        <v/>
      </c>
      <c r="W76" s="102" t="s">
        <v>1365</v>
      </c>
    </row>
    <row r="77">
      <c r="A77" s="102" t="s">
        <v>310</v>
      </c>
      <c r="B77" s="102" t="s">
        <v>7916</v>
      </c>
      <c r="C77" s="229" t="s">
        <v>7917</v>
      </c>
      <c r="D77" s="102" t="s">
        <v>7918</v>
      </c>
      <c r="E77" s="102" t="s">
        <v>513</v>
      </c>
      <c r="F77" s="102" t="s">
        <v>514</v>
      </c>
      <c r="G77" s="102" t="s">
        <v>314</v>
      </c>
      <c r="H77" s="102" t="s">
        <v>315</v>
      </c>
      <c r="I77" s="102" t="s">
        <v>284</v>
      </c>
      <c r="J77" s="102" t="s">
        <v>26</v>
      </c>
      <c r="L77" s="229" t="s">
        <v>7919</v>
      </c>
      <c r="M77" s="229" t="s">
        <v>7915</v>
      </c>
      <c r="N77" s="229" t="s">
        <v>6949</v>
      </c>
      <c r="O77" s="102">
        <v>1.0</v>
      </c>
      <c r="P77" s="102" t="s">
        <v>651</v>
      </c>
      <c r="S77" s="102">
        <v>7200.0</v>
      </c>
      <c r="T77" s="230" t="str">
        <f>IF(ISNUMBER(MATCH(B77, 'Sprint 10'!B:B, 0)), "มาจาก Sprint 10", "")</f>
        <v/>
      </c>
      <c r="U77" s="230" t="str">
        <f t="array" ref="U77">IF(ISNUMBER(MATCH(B77, 'Sprint 10'!B:B, 0)), INDEX('Sprint 10'!J:J, MATCH(B77, 'Sprint 10'!B:B, 0)), "")</f>
        <v/>
      </c>
      <c r="W77" s="102" t="s">
        <v>1365</v>
      </c>
    </row>
    <row r="78">
      <c r="A78" s="102" t="s">
        <v>310</v>
      </c>
      <c r="B78" s="102" t="s">
        <v>7469</v>
      </c>
      <c r="C78" s="229" t="s">
        <v>7470</v>
      </c>
      <c r="D78" s="102" t="s">
        <v>7471</v>
      </c>
      <c r="E78" s="102" t="s">
        <v>584</v>
      </c>
      <c r="F78" s="102" t="s">
        <v>585</v>
      </c>
      <c r="G78" s="102" t="s">
        <v>353</v>
      </c>
      <c r="H78" s="102" t="s">
        <v>354</v>
      </c>
      <c r="I78" s="102" t="s">
        <v>284</v>
      </c>
      <c r="J78" s="102" t="s">
        <v>454</v>
      </c>
      <c r="L78" s="229" t="s">
        <v>7472</v>
      </c>
      <c r="M78" s="229" t="s">
        <v>7877</v>
      </c>
      <c r="O78" s="102">
        <v>3.0</v>
      </c>
      <c r="P78" s="102" t="s">
        <v>6872</v>
      </c>
      <c r="S78" s="102">
        <v>28800.0</v>
      </c>
      <c r="T78" s="230" t="str">
        <f>IF(ISNUMBER(MATCH(B78, 'Sprint 10'!B:B, 0)), "มาจาก Sprint 10", "")</f>
        <v/>
      </c>
      <c r="U78" s="230" t="str">
        <f t="array" ref="U78">IF(ISNUMBER(MATCH(B78, 'Sprint 10'!B:B, 0)), INDEX('Sprint 10'!J:J, MATCH(B78, 'Sprint 10'!B:B, 0)), "")</f>
        <v/>
      </c>
      <c r="W78" s="102" t="s">
        <v>7213</v>
      </c>
    </row>
    <row r="79">
      <c r="A79" s="102" t="s">
        <v>310</v>
      </c>
      <c r="B79" s="102" t="s">
        <v>7474</v>
      </c>
      <c r="C79" s="229" t="s">
        <v>7475</v>
      </c>
      <c r="D79" s="102" t="s">
        <v>7476</v>
      </c>
      <c r="E79" s="102" t="s">
        <v>6315</v>
      </c>
      <c r="F79" s="102" t="s">
        <v>6316</v>
      </c>
      <c r="G79" s="102" t="s">
        <v>353</v>
      </c>
      <c r="H79" s="102" t="s">
        <v>354</v>
      </c>
      <c r="I79" s="102" t="s">
        <v>284</v>
      </c>
      <c r="J79" s="102" t="s">
        <v>454</v>
      </c>
      <c r="L79" s="229" t="s">
        <v>7477</v>
      </c>
      <c r="M79" s="229" t="s">
        <v>7877</v>
      </c>
      <c r="O79" s="102">
        <v>3.0</v>
      </c>
      <c r="P79" s="102" t="s">
        <v>6872</v>
      </c>
      <c r="S79" s="102">
        <v>39600.0</v>
      </c>
      <c r="T79" s="230" t="str">
        <f>IF(ISNUMBER(MATCH(B79, 'Sprint 10'!B:B, 0)), "มาจาก Sprint 10", "")</f>
        <v/>
      </c>
      <c r="U79" s="230" t="str">
        <f t="array" ref="U79">IF(ISNUMBER(MATCH(B79, 'Sprint 10'!B:B, 0)), INDEX('Sprint 10'!J:J, MATCH(B79, 'Sprint 10'!B:B, 0)), "")</f>
        <v/>
      </c>
      <c r="W79" s="102" t="s">
        <v>7213</v>
      </c>
    </row>
    <row r="80">
      <c r="A80" s="102" t="s">
        <v>310</v>
      </c>
      <c r="B80" s="102" t="s">
        <v>7478</v>
      </c>
      <c r="C80" s="229" t="s">
        <v>7479</v>
      </c>
      <c r="D80" s="102" t="s">
        <v>7480</v>
      </c>
      <c r="E80" s="102" t="s">
        <v>328</v>
      </c>
      <c r="F80" s="102" t="s">
        <v>329</v>
      </c>
      <c r="G80" s="102" t="s">
        <v>353</v>
      </c>
      <c r="H80" s="102" t="s">
        <v>354</v>
      </c>
      <c r="I80" s="102" t="s">
        <v>284</v>
      </c>
      <c r="J80" s="102" t="s">
        <v>454</v>
      </c>
      <c r="L80" s="229" t="s">
        <v>7481</v>
      </c>
      <c r="M80" s="229" t="s">
        <v>7920</v>
      </c>
      <c r="N80" s="102"/>
      <c r="O80" s="102">
        <v>3.0</v>
      </c>
      <c r="P80" s="102" t="s">
        <v>6872</v>
      </c>
      <c r="Q80" s="102" t="s">
        <v>593</v>
      </c>
      <c r="S80" s="102">
        <v>28800.0</v>
      </c>
      <c r="T80" s="230" t="str">
        <f>IF(ISNUMBER(MATCH(B80, 'Sprint 10'!B:B, 0)), "มาจาก Sprint 10", "")</f>
        <v/>
      </c>
      <c r="U80" s="230" t="str">
        <f t="array" ref="U80">IF(ISNUMBER(MATCH(B80, 'Sprint 10'!B:B, 0)), INDEX('Sprint 10'!J:J, MATCH(B80, 'Sprint 10'!B:B, 0)), "")</f>
        <v/>
      </c>
      <c r="W80" s="102" t="s">
        <v>7213</v>
      </c>
    </row>
    <row r="81">
      <c r="A81" s="102" t="s">
        <v>310</v>
      </c>
      <c r="B81" s="102" t="s">
        <v>7482</v>
      </c>
      <c r="C81" s="229" t="s">
        <v>7483</v>
      </c>
      <c r="D81" s="102" t="s">
        <v>7484</v>
      </c>
      <c r="E81" s="102" t="s">
        <v>556</v>
      </c>
      <c r="F81" s="102" t="s">
        <v>557</v>
      </c>
      <c r="G81" s="102" t="s">
        <v>353</v>
      </c>
      <c r="H81" s="102" t="s">
        <v>354</v>
      </c>
      <c r="I81" s="102" t="s">
        <v>284</v>
      </c>
      <c r="J81" s="102" t="s">
        <v>678</v>
      </c>
      <c r="L81" s="229" t="s">
        <v>7485</v>
      </c>
      <c r="M81" s="229" t="s">
        <v>7877</v>
      </c>
      <c r="N81" s="229" t="s">
        <v>7487</v>
      </c>
      <c r="O81" s="102">
        <v>3.0</v>
      </c>
      <c r="P81" s="102" t="s">
        <v>6872</v>
      </c>
      <c r="S81" s="102">
        <v>28800.0</v>
      </c>
      <c r="T81" s="230" t="str">
        <f>IF(ISNUMBER(MATCH(B81, 'Sprint 10'!B:B, 0)), "มาจาก Sprint 10", "")</f>
        <v/>
      </c>
      <c r="U81" s="230" t="str">
        <f t="array" ref="U81">IF(ISNUMBER(MATCH(B81, 'Sprint 10'!B:B, 0)), INDEX('Sprint 10'!J:J, MATCH(B81, 'Sprint 10'!B:B, 0)), "")</f>
        <v/>
      </c>
      <c r="W81" s="102" t="s">
        <v>7213</v>
      </c>
    </row>
    <row r="82">
      <c r="A82" s="102" t="s">
        <v>310</v>
      </c>
      <c r="B82" s="102" t="s">
        <v>7488</v>
      </c>
      <c r="C82" s="229" t="s">
        <v>7489</v>
      </c>
      <c r="D82" s="102" t="s">
        <v>7490</v>
      </c>
      <c r="E82" s="102" t="s">
        <v>584</v>
      </c>
      <c r="F82" s="102" t="s">
        <v>585</v>
      </c>
      <c r="G82" s="102" t="s">
        <v>304</v>
      </c>
      <c r="H82" s="102" t="s">
        <v>305</v>
      </c>
      <c r="I82" s="102" t="s">
        <v>284</v>
      </c>
      <c r="J82" s="102" t="s">
        <v>454</v>
      </c>
      <c r="L82" s="229" t="s">
        <v>7491</v>
      </c>
      <c r="M82" s="229" t="s">
        <v>7877</v>
      </c>
      <c r="N82" s="102"/>
      <c r="O82" s="102">
        <v>5.0</v>
      </c>
      <c r="P82" s="102" t="s">
        <v>5547</v>
      </c>
      <c r="S82" s="102">
        <v>86400.0</v>
      </c>
      <c r="T82" s="230" t="str">
        <f>IF(ISNUMBER(MATCH(B82, 'Sprint 10'!B:B, 0)), "มาจาก Sprint 10", "")</f>
        <v/>
      </c>
      <c r="U82" s="230" t="str">
        <f t="array" ref="U82">IF(ISNUMBER(MATCH(B82, 'Sprint 10'!B:B, 0)), INDEX('Sprint 10'!J:J, MATCH(B82, 'Sprint 10'!B:B, 0)), "")</f>
        <v/>
      </c>
      <c r="W82" s="102" t="s">
        <v>6450</v>
      </c>
    </row>
    <row r="83">
      <c r="A83" s="102" t="s">
        <v>310</v>
      </c>
      <c r="B83" s="102" t="s">
        <v>7493</v>
      </c>
      <c r="C83" s="229" t="s">
        <v>7494</v>
      </c>
      <c r="D83" s="102" t="s">
        <v>7495</v>
      </c>
      <c r="E83" s="102" t="s">
        <v>328</v>
      </c>
      <c r="F83" s="102" t="s">
        <v>329</v>
      </c>
      <c r="G83" s="102" t="s">
        <v>304</v>
      </c>
      <c r="H83" s="102" t="s">
        <v>305</v>
      </c>
      <c r="I83" s="102" t="s">
        <v>284</v>
      </c>
      <c r="J83" s="102" t="s">
        <v>454</v>
      </c>
      <c r="L83" s="229" t="s">
        <v>7496</v>
      </c>
      <c r="M83" s="229" t="s">
        <v>7877</v>
      </c>
      <c r="N83" s="229" t="s">
        <v>7487</v>
      </c>
      <c r="O83" s="102">
        <v>8.0</v>
      </c>
      <c r="P83" s="102" t="s">
        <v>27</v>
      </c>
      <c r="S83" s="102">
        <v>86400.0</v>
      </c>
      <c r="T83" s="230" t="str">
        <f>IF(ISNUMBER(MATCH(B83, 'Sprint 10'!B:B, 0)), "มาจาก Sprint 10", "")</f>
        <v/>
      </c>
      <c r="U83" s="230" t="str">
        <f t="array" ref="U83">IF(ISNUMBER(MATCH(B83, 'Sprint 10'!B:B, 0)), INDEX('Sprint 10'!J:J, MATCH(B83, 'Sprint 10'!B:B, 0)), "")</f>
        <v/>
      </c>
      <c r="W83" s="102" t="s">
        <v>6450</v>
      </c>
      <c r="X83" s="102"/>
    </row>
    <row r="84">
      <c r="A84" s="102" t="s">
        <v>310</v>
      </c>
      <c r="B84" s="102" t="s">
        <v>6951</v>
      </c>
      <c r="C84" s="229" t="s">
        <v>6952</v>
      </c>
      <c r="D84" s="102" t="s">
        <v>6953</v>
      </c>
      <c r="E84" s="102" t="s">
        <v>314</v>
      </c>
      <c r="F84" s="102" t="s">
        <v>315</v>
      </c>
      <c r="G84" s="102" t="s">
        <v>314</v>
      </c>
      <c r="H84" s="102" t="s">
        <v>315</v>
      </c>
      <c r="I84" s="102" t="s">
        <v>284</v>
      </c>
      <c r="J84" s="102" t="s">
        <v>34</v>
      </c>
      <c r="L84" s="229" t="s">
        <v>6954</v>
      </c>
      <c r="M84" s="229" t="s">
        <v>7921</v>
      </c>
      <c r="O84" s="102">
        <v>5.0</v>
      </c>
      <c r="P84" s="102"/>
      <c r="S84" s="230"/>
      <c r="T84" s="230" t="str">
        <f>IF(ISNUMBER(MATCH(B84, 'Sprint 10'!B:B, 0)), "มาจาก Sprint 10", "")</f>
        <v>มาจาก Sprint 10</v>
      </c>
      <c r="U84" s="230" t="str">
        <f t="array" ref="U84">IF(ISNUMBER(MATCH(B84, 'Sprint 10'!B:B, 0)), INDEX('Sprint 10'!J:J, MATCH(B84, 'Sprint 10'!B:B, 0)), "")</f>
        <v>In Progress</v>
      </c>
      <c r="W84" s="102" t="s">
        <v>1364</v>
      </c>
      <c r="X84" s="102" t="s">
        <v>1365</v>
      </c>
    </row>
    <row r="85">
      <c r="A85" s="102" t="s">
        <v>310</v>
      </c>
      <c r="B85" s="102" t="s">
        <v>5908</v>
      </c>
      <c r="C85" s="229" t="s">
        <v>5909</v>
      </c>
      <c r="D85" s="102" t="s">
        <v>5910</v>
      </c>
      <c r="E85" s="102" t="s">
        <v>584</v>
      </c>
      <c r="F85" s="102" t="s">
        <v>585</v>
      </c>
      <c r="G85" s="102" t="s">
        <v>282</v>
      </c>
      <c r="H85" s="102" t="s">
        <v>283</v>
      </c>
      <c r="I85" s="102" t="s">
        <v>284</v>
      </c>
      <c r="J85" s="102" t="s">
        <v>454</v>
      </c>
      <c r="L85" s="229" t="s">
        <v>5911</v>
      </c>
      <c r="M85" s="229" t="s">
        <v>7922</v>
      </c>
      <c r="N85" s="102"/>
      <c r="O85" s="102">
        <v>2.0</v>
      </c>
      <c r="P85" s="102" t="s">
        <v>5912</v>
      </c>
      <c r="S85" s="102"/>
      <c r="T85" s="230" t="str">
        <f>IF(ISNUMBER(MATCH(B85, 'Sprint 10'!B:B, 0)), "มาจาก Sprint 10", "")</f>
        <v>มาจาก Sprint 10</v>
      </c>
      <c r="U85" s="230" t="str">
        <f t="array" ref="U85">IF(ISNUMBER(MATCH(B85, 'Sprint 10'!B:B, 0)), INDEX('Sprint 10'!J:J, MATCH(B85, 'Sprint 10'!B:B, 0)), "")</f>
        <v>Ready to Staging</v>
      </c>
      <c r="W85" s="102" t="s">
        <v>5913</v>
      </c>
      <c r="X85" s="102" t="s">
        <v>5901</v>
      </c>
    </row>
    <row r="86">
      <c r="A86" s="102" t="s">
        <v>310</v>
      </c>
      <c r="B86" s="102" t="s">
        <v>7504</v>
      </c>
      <c r="C86" s="229" t="s">
        <v>7505</v>
      </c>
      <c r="D86" s="102" t="s">
        <v>7506</v>
      </c>
      <c r="E86" s="102" t="s">
        <v>564</v>
      </c>
      <c r="F86" s="102" t="s">
        <v>565</v>
      </c>
      <c r="G86" s="102" t="s">
        <v>353</v>
      </c>
      <c r="H86" s="102" t="s">
        <v>354</v>
      </c>
      <c r="I86" s="102" t="s">
        <v>284</v>
      </c>
      <c r="J86" s="102" t="s">
        <v>454</v>
      </c>
      <c r="L86" s="229" t="s">
        <v>7507</v>
      </c>
      <c r="M86" s="229" t="s">
        <v>7922</v>
      </c>
      <c r="N86" s="229" t="s">
        <v>7509</v>
      </c>
      <c r="O86" s="102">
        <v>1.0</v>
      </c>
      <c r="S86" s="102">
        <v>0.0</v>
      </c>
      <c r="T86" s="230" t="str">
        <f>IF(ISNUMBER(MATCH(B86, 'Sprint 10'!B:B, 0)), "มาจาก Sprint 10", "")</f>
        <v>มาจาก Sprint 10</v>
      </c>
      <c r="U86" s="230" t="str">
        <f t="array" ref="U86">IF(ISNUMBER(MATCH(B86, 'Sprint 10'!B:B, 0)), INDEX('Sprint 10'!J:J, MATCH(B86, 'Sprint 10'!B:B, 0)), "")</f>
        <v>Ready To Test</v>
      </c>
      <c r="V86" s="102">
        <v>3600.0</v>
      </c>
      <c r="W86" s="102" t="s">
        <v>5913</v>
      </c>
      <c r="X86" s="102" t="s">
        <v>5901</v>
      </c>
    </row>
    <row r="87">
      <c r="A87" s="102" t="s">
        <v>310</v>
      </c>
      <c r="B87" s="102" t="s">
        <v>7510</v>
      </c>
      <c r="C87" s="229" t="s">
        <v>7511</v>
      </c>
      <c r="D87" s="102" t="s">
        <v>7512</v>
      </c>
      <c r="E87" s="102" t="s">
        <v>564</v>
      </c>
      <c r="F87" s="102" t="s">
        <v>565</v>
      </c>
      <c r="G87" s="102" t="s">
        <v>353</v>
      </c>
      <c r="H87" s="102" t="s">
        <v>354</v>
      </c>
      <c r="I87" s="102" t="s">
        <v>284</v>
      </c>
      <c r="J87" s="102" t="s">
        <v>454</v>
      </c>
      <c r="L87" s="229" t="s">
        <v>7513</v>
      </c>
      <c r="M87" s="229" t="s">
        <v>7922</v>
      </c>
      <c r="N87" s="229" t="s">
        <v>7509</v>
      </c>
      <c r="O87" s="102">
        <v>2.0</v>
      </c>
      <c r="P87" s="102"/>
      <c r="Q87" s="102"/>
      <c r="S87" s="102">
        <v>0.0</v>
      </c>
      <c r="T87" s="230" t="str">
        <f>IF(ISNUMBER(MATCH(B87, 'Sprint 10'!B:B, 0)), "มาจาก Sprint 10", "")</f>
        <v>มาจาก Sprint 10</v>
      </c>
      <c r="U87" s="230" t="str">
        <f t="array" ref="U87">IF(ISNUMBER(MATCH(B87, 'Sprint 10'!B:B, 0)), INDEX('Sprint 10'!J:J, MATCH(B87, 'Sprint 10'!B:B, 0)), "")</f>
        <v>Ready To Test</v>
      </c>
      <c r="V87" s="102">
        <v>10800.0</v>
      </c>
      <c r="W87" s="102" t="s">
        <v>5913</v>
      </c>
      <c r="X87" s="102" t="s">
        <v>5901</v>
      </c>
    </row>
    <row r="88">
      <c r="A88" s="102" t="s">
        <v>310</v>
      </c>
      <c r="B88" s="102" t="s">
        <v>7515</v>
      </c>
      <c r="C88" s="229" t="s">
        <v>7516</v>
      </c>
      <c r="D88" s="102" t="s">
        <v>7517</v>
      </c>
      <c r="E88" s="102" t="s">
        <v>495</v>
      </c>
      <c r="F88" s="102" t="s">
        <v>496</v>
      </c>
      <c r="G88" s="102" t="s">
        <v>282</v>
      </c>
      <c r="H88" s="102" t="s">
        <v>283</v>
      </c>
      <c r="I88" s="102" t="s">
        <v>515</v>
      </c>
      <c r="J88" s="102" t="s">
        <v>454</v>
      </c>
      <c r="L88" s="229" t="s">
        <v>7518</v>
      </c>
      <c r="M88" s="229" t="s">
        <v>7922</v>
      </c>
      <c r="N88" s="229" t="s">
        <v>7520</v>
      </c>
      <c r="O88" s="102">
        <v>3.0</v>
      </c>
      <c r="P88" s="102" t="s">
        <v>777</v>
      </c>
      <c r="Q88" s="102" t="s">
        <v>4656</v>
      </c>
      <c r="S88" s="102">
        <v>0.0</v>
      </c>
      <c r="T88" s="230" t="str">
        <f>IF(ISNUMBER(MATCH(B88, 'Sprint 10'!B:B, 0)), "มาจาก Sprint 10", "")</f>
        <v>มาจาก Sprint 10</v>
      </c>
      <c r="U88" s="230" t="str">
        <f t="array" ref="U88">IF(ISNUMBER(MATCH(B88, 'Sprint 10'!B:B, 0)), INDEX('Sprint 10'!J:J, MATCH(B88, 'Sprint 10'!B:B, 0)), "")</f>
        <v>Ready To Test</v>
      </c>
      <c r="V88" s="102">
        <v>28800.0</v>
      </c>
      <c r="W88" s="102" t="s">
        <v>5913</v>
      </c>
      <c r="X88" s="102" t="s">
        <v>5901</v>
      </c>
    </row>
    <row r="89">
      <c r="A89" s="102" t="s">
        <v>310</v>
      </c>
      <c r="B89" s="102" t="s">
        <v>7521</v>
      </c>
      <c r="C89" s="229" t="s">
        <v>7522</v>
      </c>
      <c r="D89" s="102" t="s">
        <v>7523</v>
      </c>
      <c r="E89" s="102" t="s">
        <v>495</v>
      </c>
      <c r="F89" s="102" t="s">
        <v>496</v>
      </c>
      <c r="G89" s="102" t="s">
        <v>282</v>
      </c>
      <c r="H89" s="102" t="s">
        <v>283</v>
      </c>
      <c r="I89" s="102" t="s">
        <v>515</v>
      </c>
      <c r="J89" s="102" t="s">
        <v>454</v>
      </c>
      <c r="L89" s="229" t="s">
        <v>7518</v>
      </c>
      <c r="M89" s="229" t="s">
        <v>7922</v>
      </c>
      <c r="N89" s="229" t="s">
        <v>7509</v>
      </c>
      <c r="O89" s="102">
        <v>3.0</v>
      </c>
      <c r="P89" s="102" t="s">
        <v>7525</v>
      </c>
      <c r="Q89" s="102" t="s">
        <v>4656</v>
      </c>
      <c r="S89" s="102">
        <v>0.0</v>
      </c>
      <c r="T89" s="230" t="str">
        <f>IF(ISNUMBER(MATCH(B89, 'Sprint 10'!B:B, 0)), "มาจาก Sprint 10", "")</f>
        <v>มาจาก Sprint 10</v>
      </c>
      <c r="U89" s="230" t="str">
        <f t="array" ref="U89">IF(ISNUMBER(MATCH(B89, 'Sprint 10'!B:B, 0)), INDEX('Sprint 10'!J:J, MATCH(B89, 'Sprint 10'!B:B, 0)), "")</f>
        <v>Ready To Test</v>
      </c>
      <c r="V89" s="102">
        <v>43200.0</v>
      </c>
      <c r="W89" s="102" t="s">
        <v>5913</v>
      </c>
      <c r="X89" s="102" t="s">
        <v>5901</v>
      </c>
      <c r="Y89" s="102"/>
    </row>
    <row r="90">
      <c r="A90" s="102" t="s">
        <v>276</v>
      </c>
      <c r="B90" s="102" t="s">
        <v>7526</v>
      </c>
      <c r="C90" s="229" t="s">
        <v>7527</v>
      </c>
      <c r="D90" s="102" t="s">
        <v>1567</v>
      </c>
      <c r="E90" s="102" t="s">
        <v>3288</v>
      </c>
      <c r="F90" s="102" t="s">
        <v>3289</v>
      </c>
      <c r="G90" s="102" t="s">
        <v>3288</v>
      </c>
      <c r="H90" s="102" t="s">
        <v>3289</v>
      </c>
      <c r="I90" s="102" t="s">
        <v>284</v>
      </c>
      <c r="J90" s="102" t="s">
        <v>34</v>
      </c>
      <c r="L90" s="229" t="s">
        <v>7528</v>
      </c>
      <c r="M90" s="229" t="s">
        <v>7572</v>
      </c>
      <c r="N90" s="102"/>
      <c r="O90" s="102"/>
      <c r="S90" s="230"/>
      <c r="T90" s="230" t="str">
        <f>IF(ISNUMBER(MATCH(B90, 'Sprint 10'!B:B, 0)), "มาจาก Sprint 10", "")</f>
        <v>มาจาก Sprint 10</v>
      </c>
      <c r="U90" s="230" t="str">
        <f t="array" ref="U90">IF(ISNUMBER(MATCH(B90, 'Sprint 10'!B:B, 0)), INDEX('Sprint 10'!J:J, MATCH(B90, 'Sprint 10'!B:B, 0)), "")</f>
        <v>In Progress</v>
      </c>
      <c r="V90" s="230"/>
      <c r="W90" s="102" t="s">
        <v>5913</v>
      </c>
      <c r="X90" s="102" t="s">
        <v>5913</v>
      </c>
      <c r="Y90" s="102" t="s">
        <v>5901</v>
      </c>
    </row>
    <row r="91">
      <c r="A91" s="102" t="s">
        <v>310</v>
      </c>
      <c r="B91" s="102" t="s">
        <v>7529</v>
      </c>
      <c r="C91" s="229" t="s">
        <v>7530</v>
      </c>
      <c r="D91" s="102" t="s">
        <v>7531</v>
      </c>
      <c r="E91" s="102" t="s">
        <v>6315</v>
      </c>
      <c r="F91" s="102" t="s">
        <v>6316</v>
      </c>
      <c r="G91" s="102" t="s">
        <v>282</v>
      </c>
      <c r="H91" s="102" t="s">
        <v>283</v>
      </c>
      <c r="I91" s="102" t="s">
        <v>284</v>
      </c>
      <c r="J91" s="102" t="s">
        <v>454</v>
      </c>
      <c r="L91" s="229" t="s">
        <v>7532</v>
      </c>
      <c r="M91" s="229" t="s">
        <v>7877</v>
      </c>
      <c r="N91" s="229" t="s">
        <v>7534</v>
      </c>
      <c r="O91" s="102">
        <v>3.0</v>
      </c>
      <c r="S91" s="102">
        <v>0.0</v>
      </c>
      <c r="T91" s="230" t="str">
        <f>IF(ISNUMBER(MATCH(B91, 'Sprint 10'!B:B, 0)), "มาจาก Sprint 10", "")</f>
        <v>มาจาก Sprint 10</v>
      </c>
      <c r="U91" s="230" t="str">
        <f t="array" ref="U91">IF(ISNUMBER(MATCH(B91, 'Sprint 10'!B:B, 0)), INDEX('Sprint 10'!J:J, MATCH(B91, 'Sprint 10'!B:B, 0)), "")</f>
        <v>Ready to Staging</v>
      </c>
      <c r="V91" s="102">
        <v>28800.0</v>
      </c>
      <c r="W91" s="102" t="s">
        <v>5913</v>
      </c>
      <c r="X91" s="102" t="s">
        <v>5901</v>
      </c>
    </row>
    <row r="92">
      <c r="A92" s="102" t="s">
        <v>310</v>
      </c>
      <c r="B92" s="102" t="s">
        <v>7923</v>
      </c>
      <c r="C92" s="229" t="s">
        <v>7924</v>
      </c>
      <c r="D92" s="102" t="s">
        <v>7925</v>
      </c>
      <c r="E92" s="102" t="s">
        <v>584</v>
      </c>
      <c r="F92" s="102" t="s">
        <v>585</v>
      </c>
      <c r="G92" s="102" t="s">
        <v>353</v>
      </c>
      <c r="H92" s="102" t="s">
        <v>354</v>
      </c>
      <c r="I92" s="102" t="s">
        <v>284</v>
      </c>
      <c r="J92" s="102" t="s">
        <v>454</v>
      </c>
      <c r="L92" s="229" t="s">
        <v>7926</v>
      </c>
      <c r="M92" s="229" t="s">
        <v>7877</v>
      </c>
      <c r="N92" s="229" t="s">
        <v>5567</v>
      </c>
      <c r="O92" s="102">
        <v>3.0</v>
      </c>
      <c r="S92" s="102"/>
      <c r="T92" s="230" t="str">
        <f>IF(ISNUMBER(MATCH(B92, 'Sprint 10'!B:B, 0)), "มาจาก Sprint 10", "")</f>
        <v>มาจาก Sprint 10</v>
      </c>
      <c r="U92" s="230" t="str">
        <f t="array" ref="U92">IF(ISNUMBER(MATCH(B92, 'Sprint 10'!B:B, 0)), INDEX('Sprint 10'!J:J, MATCH(B92, 'Sprint 10'!B:B, 0)), "")</f>
        <v>Ready To Test</v>
      </c>
      <c r="V92" s="102"/>
      <c r="W92" s="102" t="s">
        <v>6449</v>
      </c>
      <c r="X92" s="102" t="s">
        <v>6450</v>
      </c>
    </row>
    <row r="93">
      <c r="A93" s="102" t="s">
        <v>310</v>
      </c>
      <c r="B93" s="102" t="s">
        <v>6960</v>
      </c>
      <c r="C93" s="229" t="s">
        <v>6961</v>
      </c>
      <c r="D93" s="102" t="s">
        <v>6962</v>
      </c>
      <c r="E93" s="102" t="s">
        <v>6860</v>
      </c>
      <c r="F93" s="102" t="s">
        <v>6861</v>
      </c>
      <c r="G93" s="102" t="s">
        <v>353</v>
      </c>
      <c r="H93" s="102" t="s">
        <v>354</v>
      </c>
      <c r="I93" s="102" t="s">
        <v>284</v>
      </c>
      <c r="J93" s="102" t="s">
        <v>454</v>
      </c>
      <c r="L93" s="229" t="s">
        <v>6963</v>
      </c>
      <c r="M93" s="229" t="s">
        <v>7877</v>
      </c>
      <c r="N93" s="229" t="s">
        <v>5567</v>
      </c>
      <c r="O93" s="102">
        <v>3.0</v>
      </c>
      <c r="P93" s="102"/>
      <c r="S93" s="102">
        <v>0.0</v>
      </c>
      <c r="T93" s="230" t="str">
        <f>IF(ISNUMBER(MATCH(B93, 'Sprint 10'!B:B, 0)), "มาจาก Sprint 10", "")</f>
        <v>มาจาก Sprint 10</v>
      </c>
      <c r="U93" s="230" t="str">
        <f t="array" ref="U93">IF(ISNUMBER(MATCH(B93, 'Sprint 10'!B:B, 0)), INDEX('Sprint 10'!J:J, MATCH(B93, 'Sprint 10'!B:B, 0)), "")</f>
        <v>Ready to Staging</v>
      </c>
      <c r="V93" s="102">
        <v>28800.0</v>
      </c>
      <c r="W93" s="102" t="s">
        <v>6449</v>
      </c>
      <c r="X93" s="102" t="s">
        <v>6450</v>
      </c>
    </row>
    <row r="94">
      <c r="A94" s="102" t="s">
        <v>310</v>
      </c>
      <c r="B94" s="102" t="s">
        <v>7535</v>
      </c>
      <c r="C94" s="229" t="s">
        <v>7536</v>
      </c>
      <c r="D94" s="102" t="s">
        <v>7537</v>
      </c>
      <c r="E94" s="102" t="s">
        <v>564</v>
      </c>
      <c r="F94" s="102" t="s">
        <v>565</v>
      </c>
      <c r="G94" s="102" t="s">
        <v>304</v>
      </c>
      <c r="H94" s="102" t="s">
        <v>305</v>
      </c>
      <c r="I94" s="102" t="s">
        <v>284</v>
      </c>
      <c r="J94" s="102" t="s">
        <v>454</v>
      </c>
      <c r="L94" s="229" t="s">
        <v>7538</v>
      </c>
      <c r="M94" s="229" t="s">
        <v>7877</v>
      </c>
      <c r="N94" s="229" t="s">
        <v>7520</v>
      </c>
      <c r="O94" s="102">
        <v>3.0</v>
      </c>
      <c r="P94" s="102" t="s">
        <v>777</v>
      </c>
      <c r="S94" s="102">
        <v>0.0</v>
      </c>
      <c r="T94" s="230" t="str">
        <f>IF(ISNUMBER(MATCH(B94, 'Sprint 10'!B:B, 0)), "มาจาก Sprint 10", "")</f>
        <v>มาจาก Sprint 10</v>
      </c>
      <c r="U94" s="230" t="str">
        <f t="array" ref="U94">IF(ISNUMBER(MATCH(B94, 'Sprint 10'!B:B, 0)), INDEX('Sprint 10'!J:J, MATCH(B94, 'Sprint 10'!B:B, 0)), "")</f>
        <v>Ready to Staging</v>
      </c>
      <c r="V94" s="102">
        <v>21600.0</v>
      </c>
      <c r="W94" s="102" t="s">
        <v>5913</v>
      </c>
      <c r="X94" s="102" t="s">
        <v>5901</v>
      </c>
    </row>
    <row r="95">
      <c r="A95" s="102" t="s">
        <v>310</v>
      </c>
      <c r="B95" s="102" t="s">
        <v>7540</v>
      </c>
      <c r="C95" s="229" t="s">
        <v>7541</v>
      </c>
      <c r="D95" s="102" t="s">
        <v>7542</v>
      </c>
      <c r="E95" s="102" t="s">
        <v>495</v>
      </c>
      <c r="F95" s="102" t="s">
        <v>496</v>
      </c>
      <c r="G95" s="102" t="s">
        <v>304</v>
      </c>
      <c r="H95" s="102" t="s">
        <v>305</v>
      </c>
      <c r="I95" s="102" t="s">
        <v>284</v>
      </c>
      <c r="J95" s="102" t="s">
        <v>454</v>
      </c>
      <c r="L95" s="229" t="s">
        <v>7543</v>
      </c>
      <c r="M95" s="229" t="s">
        <v>7877</v>
      </c>
      <c r="N95" s="229" t="s">
        <v>7544</v>
      </c>
      <c r="O95" s="102">
        <v>8.0</v>
      </c>
      <c r="P95" s="102" t="s">
        <v>538</v>
      </c>
      <c r="S95" s="102">
        <v>0.0</v>
      </c>
      <c r="T95" s="230" t="str">
        <f>IF(ISNUMBER(MATCH(B95, 'Sprint 10'!B:B, 0)), "มาจาก Sprint 10", "")</f>
        <v>มาจาก Sprint 10</v>
      </c>
      <c r="U95" s="230" t="str">
        <f t="array" ref="U95">IF(ISNUMBER(MATCH(B95, 'Sprint 10'!B:B, 0)), INDEX('Sprint 10'!J:J, MATCH(B95, 'Sprint 10'!B:B, 0)), "")</f>
        <v>Ready to Staging</v>
      </c>
      <c r="V95" s="102">
        <v>57600.0</v>
      </c>
      <c r="W95" s="102" t="s">
        <v>5913</v>
      </c>
      <c r="X95" s="102" t="s">
        <v>5901</v>
      </c>
    </row>
    <row r="96">
      <c r="A96" s="102" t="s">
        <v>310</v>
      </c>
      <c r="B96" s="102" t="s">
        <v>7545</v>
      </c>
      <c r="C96" s="229" t="s">
        <v>7546</v>
      </c>
      <c r="D96" s="102" t="s">
        <v>7547</v>
      </c>
      <c r="E96" s="102" t="s">
        <v>6315</v>
      </c>
      <c r="F96" s="102" t="s">
        <v>6316</v>
      </c>
      <c r="G96" s="102" t="s">
        <v>282</v>
      </c>
      <c r="H96" s="102" t="s">
        <v>283</v>
      </c>
      <c r="I96" s="102" t="s">
        <v>284</v>
      </c>
      <c r="J96" s="102" t="s">
        <v>454</v>
      </c>
      <c r="L96" s="229" t="s">
        <v>7548</v>
      </c>
      <c r="M96" s="229" t="s">
        <v>7927</v>
      </c>
      <c r="N96" s="229" t="s">
        <v>7509</v>
      </c>
      <c r="O96" s="102">
        <v>3.0</v>
      </c>
      <c r="P96" s="102" t="s">
        <v>777</v>
      </c>
      <c r="Q96" s="102"/>
      <c r="R96" s="102"/>
      <c r="S96" s="102">
        <v>0.0</v>
      </c>
      <c r="T96" s="230" t="str">
        <f>IF(ISNUMBER(MATCH(B96, 'Sprint 10'!B:B, 0)), "มาจาก Sprint 10", "")</f>
        <v>มาจาก Sprint 10</v>
      </c>
      <c r="U96" s="230" t="str">
        <f t="array" ref="U96">IF(ISNUMBER(MATCH(B96, 'Sprint 10'!B:B, 0)), INDEX('Sprint 10'!J:J, MATCH(B96, 'Sprint 10'!B:B, 0)), "")</f>
        <v>Ready to Staging</v>
      </c>
      <c r="V96" s="102">
        <v>28800.0</v>
      </c>
      <c r="W96" s="102" t="s">
        <v>6449</v>
      </c>
      <c r="X96" s="102" t="s">
        <v>6450</v>
      </c>
    </row>
    <row r="97">
      <c r="A97" s="102" t="s">
        <v>310</v>
      </c>
      <c r="B97" s="102" t="s">
        <v>7550</v>
      </c>
      <c r="C97" s="229" t="s">
        <v>7551</v>
      </c>
      <c r="D97" s="102" t="s">
        <v>7552</v>
      </c>
      <c r="E97" s="102" t="s">
        <v>564</v>
      </c>
      <c r="F97" s="102" t="s">
        <v>565</v>
      </c>
      <c r="G97" s="102" t="s">
        <v>282</v>
      </c>
      <c r="H97" s="102" t="s">
        <v>283</v>
      </c>
      <c r="I97" s="102" t="s">
        <v>284</v>
      </c>
      <c r="J97" s="102" t="s">
        <v>454</v>
      </c>
      <c r="L97" s="229" t="s">
        <v>7553</v>
      </c>
      <c r="M97" s="229" t="s">
        <v>7927</v>
      </c>
      <c r="N97" s="229" t="s">
        <v>7555</v>
      </c>
      <c r="O97" s="102">
        <v>1.0</v>
      </c>
      <c r="P97" s="102" t="s">
        <v>7556</v>
      </c>
      <c r="Q97" s="102" t="s">
        <v>593</v>
      </c>
      <c r="R97" s="102" t="s">
        <v>6527</v>
      </c>
      <c r="S97" s="102">
        <v>0.0</v>
      </c>
      <c r="T97" s="230" t="str">
        <f>IF(ISNUMBER(MATCH(B97, 'Sprint 10'!B:B, 0)), "มาจาก Sprint 10", "")</f>
        <v>มาจาก Sprint 10</v>
      </c>
      <c r="U97" s="230" t="str">
        <f t="array" ref="U97">IF(ISNUMBER(MATCH(B97, 'Sprint 10'!B:B, 0)), INDEX('Sprint 10'!J:J, MATCH(B97, 'Sprint 10'!B:B, 0)), "")</f>
        <v>Ready to Staging</v>
      </c>
      <c r="V97" s="102">
        <v>3600.0</v>
      </c>
      <c r="W97" s="102" t="s">
        <v>6449</v>
      </c>
      <c r="X97" s="102" t="s">
        <v>6450</v>
      </c>
    </row>
    <row r="98">
      <c r="A98" s="102" t="s">
        <v>310</v>
      </c>
      <c r="B98" s="102" t="s">
        <v>7557</v>
      </c>
      <c r="C98" s="229" t="s">
        <v>7558</v>
      </c>
      <c r="D98" s="102" t="s">
        <v>7559</v>
      </c>
      <c r="E98" s="102" t="s">
        <v>564</v>
      </c>
      <c r="F98" s="102" t="s">
        <v>565</v>
      </c>
      <c r="G98" s="102" t="s">
        <v>282</v>
      </c>
      <c r="H98" s="102" t="s">
        <v>283</v>
      </c>
      <c r="I98" s="102" t="s">
        <v>284</v>
      </c>
      <c r="J98" s="102" t="s">
        <v>454</v>
      </c>
      <c r="L98" s="229" t="s">
        <v>7560</v>
      </c>
      <c r="M98" s="229" t="s">
        <v>7877</v>
      </c>
      <c r="N98" s="229" t="s">
        <v>5567</v>
      </c>
      <c r="O98" s="102">
        <v>3.0</v>
      </c>
      <c r="P98" s="102" t="s">
        <v>504</v>
      </c>
      <c r="S98" s="102">
        <v>0.0</v>
      </c>
      <c r="T98" s="230" t="str">
        <f>IF(ISNUMBER(MATCH(B98, 'Sprint 10'!B:B, 0)), "มาจาก Sprint 10", "")</f>
        <v>มาจาก Sprint 10</v>
      </c>
      <c r="U98" s="230" t="str">
        <f t="array" ref="U98">IF(ISNUMBER(MATCH(B98, 'Sprint 10'!B:B, 0)), INDEX('Sprint 10'!J:J, MATCH(B98, 'Sprint 10'!B:B, 0)), "")</f>
        <v>Ready to Staging</v>
      </c>
      <c r="V98" s="102">
        <v>21600.0</v>
      </c>
      <c r="W98" s="102" t="s">
        <v>6449</v>
      </c>
      <c r="X98" s="102" t="s">
        <v>6450</v>
      </c>
      <c r="Y98" s="102"/>
    </row>
    <row r="99">
      <c r="A99" s="102" t="s">
        <v>310</v>
      </c>
      <c r="B99" s="102" t="s">
        <v>7928</v>
      </c>
      <c r="C99" s="229" t="s">
        <v>7929</v>
      </c>
      <c r="D99" s="102" t="s">
        <v>7930</v>
      </c>
      <c r="E99" s="102" t="s">
        <v>584</v>
      </c>
      <c r="F99" s="102" t="s">
        <v>585</v>
      </c>
      <c r="G99" s="102" t="s">
        <v>353</v>
      </c>
      <c r="H99" s="102" t="s">
        <v>354</v>
      </c>
      <c r="I99" s="102" t="s">
        <v>284</v>
      </c>
      <c r="J99" s="102" t="s">
        <v>26</v>
      </c>
      <c r="L99" s="229" t="s">
        <v>7931</v>
      </c>
      <c r="M99" s="229" t="s">
        <v>7877</v>
      </c>
      <c r="O99" s="102">
        <v>1.0</v>
      </c>
      <c r="P99" s="102" t="s">
        <v>435</v>
      </c>
      <c r="S99" s="230"/>
      <c r="T99" s="230" t="str">
        <f>IF(ISNUMBER(MATCH(B99, 'Sprint 10'!B:B, 0)), "มาจาก Sprint 10", "")</f>
        <v>มาจาก Sprint 10</v>
      </c>
      <c r="U99" s="230" t="str">
        <f t="array" ref="U99">IF(ISNUMBER(MATCH(B99, 'Sprint 10'!B:B, 0)), INDEX('Sprint 10'!J:J, MATCH(B99, 'Sprint 10'!B:B, 0)), "")</f>
        <v>Ready To Test</v>
      </c>
      <c r="W99" s="102" t="s">
        <v>6449</v>
      </c>
      <c r="X99" s="102" t="s">
        <v>6449</v>
      </c>
      <c r="Y99" s="102" t="s">
        <v>6450</v>
      </c>
      <c r="Z99" s="102"/>
      <c r="AA99" s="102"/>
    </row>
    <row r="100">
      <c r="A100" s="102" t="s">
        <v>276</v>
      </c>
      <c r="B100" s="102" t="s">
        <v>7932</v>
      </c>
      <c r="C100" s="229" t="s">
        <v>7933</v>
      </c>
      <c r="D100" s="102" t="s">
        <v>7934</v>
      </c>
      <c r="E100" s="102" t="s">
        <v>3288</v>
      </c>
      <c r="F100" s="102" t="s">
        <v>3289</v>
      </c>
      <c r="G100" s="102" t="s">
        <v>521</v>
      </c>
      <c r="H100" s="102" t="s">
        <v>522</v>
      </c>
      <c r="I100" s="102" t="s">
        <v>284</v>
      </c>
      <c r="J100" s="102" t="s">
        <v>26</v>
      </c>
      <c r="L100" s="229" t="s">
        <v>7935</v>
      </c>
      <c r="M100" s="229" t="s">
        <v>7936</v>
      </c>
      <c r="O100" s="230"/>
      <c r="S100" s="230"/>
      <c r="T100" s="230" t="str">
        <f>IF(ISNUMBER(MATCH(B100, 'Sprint 10'!B:B, 0)), "มาจาก Sprint 10", "")</f>
        <v>มาจาก Sprint 10</v>
      </c>
      <c r="U100" s="230" t="str">
        <f t="array" ref="U100">IF(ISNUMBER(MATCH(B100, 'Sprint 10'!B:B, 0)), INDEX('Sprint 10'!J:J, MATCH(B100, 'Sprint 10'!B:B, 0)), "")</f>
        <v>To Do</v>
      </c>
      <c r="W100" s="102" t="s">
        <v>5944</v>
      </c>
      <c r="X100" s="102" t="s">
        <v>5913</v>
      </c>
      <c r="Y100" s="102" t="s">
        <v>5913</v>
      </c>
      <c r="Z100" s="102" t="s">
        <v>5913</v>
      </c>
      <c r="AA100" s="102" t="s">
        <v>5901</v>
      </c>
    </row>
    <row r="101">
      <c r="A101" s="102" t="s">
        <v>276</v>
      </c>
      <c r="B101" s="102" t="s">
        <v>7937</v>
      </c>
      <c r="C101" s="229" t="s">
        <v>7938</v>
      </c>
      <c r="D101" s="102" t="s">
        <v>7939</v>
      </c>
      <c r="E101" s="102" t="s">
        <v>521</v>
      </c>
      <c r="F101" s="102" t="s">
        <v>522</v>
      </c>
      <c r="G101" s="102" t="s">
        <v>521</v>
      </c>
      <c r="H101" s="102" t="s">
        <v>522</v>
      </c>
      <c r="I101" s="102" t="s">
        <v>284</v>
      </c>
      <c r="J101" s="102" t="s">
        <v>26</v>
      </c>
      <c r="L101" s="229" t="s">
        <v>7940</v>
      </c>
      <c r="M101" s="229" t="s">
        <v>7941</v>
      </c>
      <c r="O101" s="102"/>
      <c r="P101" s="102"/>
      <c r="S101" s="102"/>
      <c r="T101" s="230" t="str">
        <f>IF(ISNUMBER(MATCH(B101, 'Sprint 10'!B:B, 0)), "มาจาก Sprint 10", "")</f>
        <v>มาจาก Sprint 10</v>
      </c>
      <c r="U101" s="230" t="str">
        <f t="array" ref="U101">IF(ISNUMBER(MATCH(B101, 'Sprint 10'!B:B, 0)), INDEX('Sprint 10'!J:J, MATCH(B101, 'Sprint 10'!B:B, 0)), "")</f>
        <v>To Do</v>
      </c>
      <c r="W101" s="102" t="s">
        <v>5944</v>
      </c>
      <c r="X101" s="102" t="s">
        <v>5913</v>
      </c>
      <c r="Y101" s="102" t="s">
        <v>5913</v>
      </c>
      <c r="Z101" s="102" t="s">
        <v>5913</v>
      </c>
      <c r="AA101" s="102" t="s">
        <v>5901</v>
      </c>
    </row>
    <row r="102">
      <c r="A102" s="102" t="s">
        <v>310</v>
      </c>
      <c r="B102" s="102" t="s">
        <v>6964</v>
      </c>
      <c r="C102" s="229" t="s">
        <v>6965</v>
      </c>
      <c r="D102" s="102" t="s">
        <v>6966</v>
      </c>
      <c r="E102" s="102" t="s">
        <v>314</v>
      </c>
      <c r="F102" s="102" t="s">
        <v>315</v>
      </c>
      <c r="G102" s="102" t="s">
        <v>353</v>
      </c>
      <c r="H102" s="102" t="s">
        <v>354</v>
      </c>
      <c r="I102" s="102" t="s">
        <v>284</v>
      </c>
      <c r="J102" s="102" t="s">
        <v>454</v>
      </c>
      <c r="L102" s="229" t="s">
        <v>6967</v>
      </c>
      <c r="M102" s="229" t="s">
        <v>7942</v>
      </c>
      <c r="O102" s="102">
        <v>2.0</v>
      </c>
      <c r="P102" s="102" t="s">
        <v>593</v>
      </c>
      <c r="S102" s="102">
        <v>0.0</v>
      </c>
      <c r="T102" s="230" t="str">
        <f>IF(ISNUMBER(MATCH(B102, 'Sprint 10'!B:B, 0)), "มาจาก Sprint 10", "")</f>
        <v>มาจาก Sprint 10</v>
      </c>
      <c r="U102" s="230" t="str">
        <f t="array" ref="U102">IF(ISNUMBER(MATCH(B102, 'Sprint 10'!B:B, 0)), INDEX('Sprint 10'!J:J, MATCH(B102, 'Sprint 10'!B:B, 0)), "")</f>
        <v>Ready to Staging</v>
      </c>
      <c r="V102" s="102">
        <v>10800.0</v>
      </c>
      <c r="W102" s="102" t="s">
        <v>6449</v>
      </c>
      <c r="X102" s="102" t="s">
        <v>6449</v>
      </c>
      <c r="Y102" s="102" t="s">
        <v>6450</v>
      </c>
    </row>
    <row r="103">
      <c r="A103" s="102" t="s">
        <v>276</v>
      </c>
      <c r="B103" s="102" t="s">
        <v>7943</v>
      </c>
      <c r="C103" s="229" t="s">
        <v>7944</v>
      </c>
      <c r="D103" s="102" t="s">
        <v>347</v>
      </c>
      <c r="E103" s="102" t="s">
        <v>280</v>
      </c>
      <c r="F103" s="102" t="s">
        <v>281</v>
      </c>
      <c r="G103" s="102" t="s">
        <v>280</v>
      </c>
      <c r="H103" s="102" t="s">
        <v>281</v>
      </c>
      <c r="I103" s="102" t="s">
        <v>284</v>
      </c>
      <c r="J103" s="102" t="s">
        <v>34</v>
      </c>
      <c r="L103" s="229" t="s">
        <v>7945</v>
      </c>
      <c r="M103" s="229" t="s">
        <v>7946</v>
      </c>
      <c r="O103" s="230"/>
      <c r="S103" s="230"/>
      <c r="T103" s="230" t="str">
        <f>IF(ISNUMBER(MATCH(B103, 'Sprint 10'!B:B, 0)), "มาจาก Sprint 10", "")</f>
        <v>มาจาก Sprint 10</v>
      </c>
      <c r="U103" s="230" t="str">
        <f t="array" ref="U103">IF(ISNUMBER(MATCH(B103, 'Sprint 10'!B:B, 0)), INDEX('Sprint 10'!J:J, MATCH(B103, 'Sprint 10'!B:B, 0)), "")</f>
        <v>In Progress</v>
      </c>
      <c r="W103" s="102" t="s">
        <v>1364</v>
      </c>
      <c r="X103" s="102" t="s">
        <v>1364</v>
      </c>
      <c r="Y103" s="102" t="s">
        <v>1365</v>
      </c>
    </row>
    <row r="104">
      <c r="A104" s="102" t="s">
        <v>276</v>
      </c>
      <c r="B104" s="102" t="s">
        <v>7947</v>
      </c>
      <c r="C104" s="229" t="s">
        <v>7948</v>
      </c>
      <c r="D104" s="102" t="s">
        <v>2030</v>
      </c>
      <c r="E104" s="102" t="s">
        <v>280</v>
      </c>
      <c r="F104" s="102" t="s">
        <v>281</v>
      </c>
      <c r="G104" s="102" t="s">
        <v>280</v>
      </c>
      <c r="H104" s="102" t="s">
        <v>281</v>
      </c>
      <c r="I104" s="102" t="s">
        <v>284</v>
      </c>
      <c r="J104" s="102" t="s">
        <v>26</v>
      </c>
      <c r="L104" s="229" t="s">
        <v>7945</v>
      </c>
      <c r="M104" s="229" t="s">
        <v>7949</v>
      </c>
      <c r="O104" s="230"/>
      <c r="S104" s="230"/>
      <c r="T104" s="230" t="str">
        <f>IF(ISNUMBER(MATCH(B104, 'Sprint 10'!B:B, 0)), "มาจาก Sprint 10", "")</f>
        <v>มาจาก Sprint 10</v>
      </c>
      <c r="U104" s="230" t="str">
        <f t="array" ref="U104">IF(ISNUMBER(MATCH(B104, 'Sprint 10'!B:B, 0)), INDEX('Sprint 10'!J:J, MATCH(B104, 'Sprint 10'!B:B, 0)), "")</f>
        <v>Done</v>
      </c>
      <c r="W104" s="102" t="s">
        <v>1364</v>
      </c>
      <c r="X104" s="102" t="s">
        <v>1364</v>
      </c>
      <c r="Y104" s="102" t="s">
        <v>1365</v>
      </c>
    </row>
    <row r="105">
      <c r="A105" s="102" t="s">
        <v>276</v>
      </c>
      <c r="B105" s="102" t="s">
        <v>7950</v>
      </c>
      <c r="C105" s="229" t="s">
        <v>7951</v>
      </c>
      <c r="D105" s="102" t="s">
        <v>347</v>
      </c>
      <c r="E105" s="102" t="s">
        <v>2494</v>
      </c>
      <c r="F105" s="102" t="s">
        <v>2495</v>
      </c>
      <c r="G105" s="102" t="s">
        <v>280</v>
      </c>
      <c r="H105" s="102" t="s">
        <v>281</v>
      </c>
      <c r="I105" s="102" t="s">
        <v>284</v>
      </c>
      <c r="J105" s="102" t="s">
        <v>34</v>
      </c>
      <c r="L105" s="229" t="s">
        <v>7952</v>
      </c>
      <c r="M105" s="229" t="s">
        <v>7953</v>
      </c>
      <c r="O105" s="230"/>
      <c r="S105" s="230"/>
      <c r="T105" s="230" t="str">
        <f>IF(ISNUMBER(MATCH(B105, 'Sprint 10'!B:B, 0)), "มาจาก Sprint 10", "")</f>
        <v>มาจาก Sprint 10</v>
      </c>
      <c r="U105" s="230" t="str">
        <f t="array" ref="U105">IF(ISNUMBER(MATCH(B105, 'Sprint 10'!B:B, 0)), INDEX('Sprint 10'!J:J, MATCH(B105, 'Sprint 10'!B:B, 0)), "")</f>
        <v>To Do</v>
      </c>
      <c r="W105" s="102" t="s">
        <v>1364</v>
      </c>
      <c r="X105" s="102" t="s">
        <v>1364</v>
      </c>
      <c r="Y105" s="102" t="s">
        <v>1365</v>
      </c>
    </row>
    <row r="106">
      <c r="A106" s="102" t="s">
        <v>276</v>
      </c>
      <c r="B106" s="102" t="s">
        <v>7954</v>
      </c>
      <c r="C106" s="229" t="s">
        <v>7955</v>
      </c>
      <c r="D106" s="102" t="s">
        <v>2030</v>
      </c>
      <c r="E106" s="102" t="s">
        <v>280</v>
      </c>
      <c r="F106" s="102" t="s">
        <v>281</v>
      </c>
      <c r="G106" s="102" t="s">
        <v>280</v>
      </c>
      <c r="H106" s="102" t="s">
        <v>281</v>
      </c>
      <c r="I106" s="102" t="s">
        <v>284</v>
      </c>
      <c r="J106" s="102" t="s">
        <v>26</v>
      </c>
      <c r="L106" s="229" t="s">
        <v>7952</v>
      </c>
      <c r="M106" s="229" t="s">
        <v>7956</v>
      </c>
      <c r="O106" s="230"/>
      <c r="S106" s="230"/>
      <c r="T106" s="230" t="str">
        <f>IF(ISNUMBER(MATCH(B106, 'Sprint 10'!B:B, 0)), "มาจาก Sprint 10", "")</f>
        <v>มาจาก Sprint 10</v>
      </c>
      <c r="U106" s="230" t="str">
        <f t="array" ref="U106">IF(ISNUMBER(MATCH(B106, 'Sprint 10'!B:B, 0)), INDEX('Sprint 10'!J:J, MATCH(B106, 'Sprint 10'!B:B, 0)), "")</f>
        <v>Done</v>
      </c>
      <c r="W106" s="102" t="s">
        <v>1364</v>
      </c>
      <c r="X106" s="102" t="s">
        <v>1364</v>
      </c>
      <c r="Y106" s="102" t="s">
        <v>1365</v>
      </c>
    </row>
    <row r="107">
      <c r="A107" s="102" t="s">
        <v>276</v>
      </c>
      <c r="B107" s="102" t="s">
        <v>7957</v>
      </c>
      <c r="C107" s="229" t="s">
        <v>7958</v>
      </c>
      <c r="D107" s="102" t="s">
        <v>347</v>
      </c>
      <c r="E107" s="102" t="s">
        <v>280</v>
      </c>
      <c r="F107" s="102" t="s">
        <v>281</v>
      </c>
      <c r="G107" s="102" t="s">
        <v>280</v>
      </c>
      <c r="H107" s="102" t="s">
        <v>281</v>
      </c>
      <c r="I107" s="102" t="s">
        <v>284</v>
      </c>
      <c r="J107" s="102" t="s">
        <v>26</v>
      </c>
      <c r="L107" s="229" t="s">
        <v>7952</v>
      </c>
      <c r="M107" s="229" t="s">
        <v>7959</v>
      </c>
      <c r="O107" s="230"/>
      <c r="S107" s="230"/>
      <c r="T107" s="230" t="str">
        <f>IF(ISNUMBER(MATCH(B107, 'Sprint 10'!B:B, 0)), "มาจาก Sprint 10", "")</f>
        <v>มาจาก Sprint 10</v>
      </c>
      <c r="U107" s="230" t="str">
        <f t="array" ref="U107">IF(ISNUMBER(MATCH(B107, 'Sprint 10'!B:B, 0)), INDEX('Sprint 10'!J:J, MATCH(B107, 'Sprint 10'!B:B, 0)), "")</f>
        <v>To Do</v>
      </c>
      <c r="W107" s="102" t="s">
        <v>1364</v>
      </c>
      <c r="X107" s="102" t="s">
        <v>1364</v>
      </c>
      <c r="Y107" s="102" t="s">
        <v>1365</v>
      </c>
    </row>
    <row r="108">
      <c r="A108" s="102" t="s">
        <v>276</v>
      </c>
      <c r="B108" s="102" t="s">
        <v>7960</v>
      </c>
      <c r="C108" s="229" t="s">
        <v>7961</v>
      </c>
      <c r="D108" s="102" t="s">
        <v>2030</v>
      </c>
      <c r="E108" s="102" t="s">
        <v>280</v>
      </c>
      <c r="F108" s="102" t="s">
        <v>281</v>
      </c>
      <c r="G108" s="102" t="s">
        <v>280</v>
      </c>
      <c r="H108" s="102" t="s">
        <v>281</v>
      </c>
      <c r="I108" s="102" t="s">
        <v>284</v>
      </c>
      <c r="J108" s="102" t="s">
        <v>26</v>
      </c>
      <c r="L108" s="229" t="s">
        <v>7952</v>
      </c>
      <c r="M108" s="229" t="s">
        <v>7962</v>
      </c>
      <c r="O108" s="230"/>
      <c r="S108" s="230"/>
      <c r="T108" s="230" t="str">
        <f>IF(ISNUMBER(MATCH(B108, 'Sprint 10'!B:B, 0)), "มาจาก Sprint 10", "")</f>
        <v>มาจาก Sprint 10</v>
      </c>
      <c r="U108" s="230" t="str">
        <f t="array" ref="U108">IF(ISNUMBER(MATCH(B108, 'Sprint 10'!B:B, 0)), INDEX('Sprint 10'!J:J, MATCH(B108, 'Sprint 10'!B:B, 0)), "")</f>
        <v>Done</v>
      </c>
      <c r="W108" s="102" t="s">
        <v>1364</v>
      </c>
      <c r="X108" s="102" t="s">
        <v>1364</v>
      </c>
      <c r="Y108" s="102" t="s">
        <v>1365</v>
      </c>
    </row>
    <row r="109">
      <c r="A109" s="102" t="s">
        <v>276</v>
      </c>
      <c r="B109" s="102" t="s">
        <v>7963</v>
      </c>
      <c r="C109" s="229" t="s">
        <v>7964</v>
      </c>
      <c r="D109" s="102" t="s">
        <v>347</v>
      </c>
      <c r="E109" s="102" t="s">
        <v>5655</v>
      </c>
      <c r="F109" s="102" t="s">
        <v>5656</v>
      </c>
      <c r="G109" s="102" t="s">
        <v>280</v>
      </c>
      <c r="H109" s="102" t="s">
        <v>281</v>
      </c>
      <c r="I109" s="102" t="s">
        <v>284</v>
      </c>
      <c r="J109" s="102" t="s">
        <v>26</v>
      </c>
      <c r="L109" s="229" t="s">
        <v>7952</v>
      </c>
      <c r="M109" s="229" t="s">
        <v>7965</v>
      </c>
      <c r="O109" s="230"/>
      <c r="S109" s="230"/>
      <c r="T109" s="230" t="str">
        <f>IF(ISNUMBER(MATCH(B109, 'Sprint 10'!B:B, 0)), "มาจาก Sprint 10", "")</f>
        <v>มาจาก Sprint 10</v>
      </c>
      <c r="U109" s="230" t="str">
        <f t="array" ref="U109">IF(ISNUMBER(MATCH(B109, 'Sprint 10'!B:B, 0)), INDEX('Sprint 10'!J:J, MATCH(B109, 'Sprint 10'!B:B, 0)), "")</f>
        <v>To Do</v>
      </c>
      <c r="W109" s="102" t="s">
        <v>1364</v>
      </c>
      <c r="X109" s="102" t="s">
        <v>1364</v>
      </c>
      <c r="Y109" s="102" t="s">
        <v>1365</v>
      </c>
    </row>
    <row r="110">
      <c r="A110" s="102" t="s">
        <v>276</v>
      </c>
      <c r="B110" s="102" t="s">
        <v>7966</v>
      </c>
      <c r="C110" s="229" t="s">
        <v>7967</v>
      </c>
      <c r="D110" s="102" t="s">
        <v>2030</v>
      </c>
      <c r="E110" s="102" t="s">
        <v>280</v>
      </c>
      <c r="F110" s="102" t="s">
        <v>281</v>
      </c>
      <c r="G110" s="102" t="s">
        <v>280</v>
      </c>
      <c r="H110" s="102" t="s">
        <v>281</v>
      </c>
      <c r="I110" s="102" t="s">
        <v>284</v>
      </c>
      <c r="J110" s="102" t="s">
        <v>26</v>
      </c>
      <c r="L110" s="229" t="s">
        <v>7952</v>
      </c>
      <c r="M110" s="229" t="s">
        <v>7962</v>
      </c>
      <c r="O110" s="230"/>
      <c r="S110" s="230"/>
      <c r="T110" s="230" t="str">
        <f>IF(ISNUMBER(MATCH(B110, 'Sprint 10'!B:B, 0)), "มาจาก Sprint 10", "")</f>
        <v>มาจาก Sprint 10</v>
      </c>
      <c r="U110" s="230" t="str">
        <f t="array" ref="U110">IF(ISNUMBER(MATCH(B110, 'Sprint 10'!B:B, 0)), INDEX('Sprint 10'!J:J, MATCH(B110, 'Sprint 10'!B:B, 0)), "")</f>
        <v>Done</v>
      </c>
      <c r="W110" s="102" t="s">
        <v>1364</v>
      </c>
      <c r="X110" s="102" t="s">
        <v>1364</v>
      </c>
      <c r="Y110" s="102" t="s">
        <v>1365</v>
      </c>
    </row>
    <row r="111">
      <c r="A111" s="102" t="s">
        <v>276</v>
      </c>
      <c r="B111" s="102" t="s">
        <v>7568</v>
      </c>
      <c r="C111" s="229" t="s">
        <v>7569</v>
      </c>
      <c r="D111" s="102" t="s">
        <v>7570</v>
      </c>
      <c r="E111" s="102" t="s">
        <v>3288</v>
      </c>
      <c r="F111" s="102" t="s">
        <v>3289</v>
      </c>
      <c r="G111" s="102" t="s">
        <v>3288</v>
      </c>
      <c r="H111" s="102" t="s">
        <v>3289</v>
      </c>
      <c r="I111" s="102" t="s">
        <v>284</v>
      </c>
      <c r="J111" s="102" t="s">
        <v>26</v>
      </c>
      <c r="L111" s="229" t="s">
        <v>7571</v>
      </c>
      <c r="M111" s="229" t="s">
        <v>7572</v>
      </c>
      <c r="N111" s="102"/>
      <c r="O111" s="102"/>
      <c r="P111" s="102"/>
      <c r="S111" s="102"/>
      <c r="T111" s="230" t="str">
        <f>IF(ISNUMBER(MATCH(B111, 'Sprint 10'!B:B, 0)), "มาจาก Sprint 10", "")</f>
        <v>มาจาก Sprint 10</v>
      </c>
      <c r="U111" s="230" t="str">
        <f t="array" ref="U111">IF(ISNUMBER(MATCH(B111, 'Sprint 10'!B:B, 0)), INDEX('Sprint 10'!J:J, MATCH(B111, 'Sprint 10'!B:B, 0)), "")</f>
        <v>Done</v>
      </c>
      <c r="W111" s="102" t="s">
        <v>5913</v>
      </c>
      <c r="X111" s="102" t="s">
        <v>5913</v>
      </c>
      <c r="Y111" s="102" t="s">
        <v>5901</v>
      </c>
    </row>
    <row r="112">
      <c r="A112" s="102" t="s">
        <v>310</v>
      </c>
      <c r="B112" s="102" t="s">
        <v>7573</v>
      </c>
      <c r="C112" s="229" t="s">
        <v>7574</v>
      </c>
      <c r="D112" s="102" t="s">
        <v>7575</v>
      </c>
      <c r="E112" s="102" t="s">
        <v>6315</v>
      </c>
      <c r="F112" s="102" t="s">
        <v>6316</v>
      </c>
      <c r="G112" s="102" t="s">
        <v>282</v>
      </c>
      <c r="H112" s="102" t="s">
        <v>283</v>
      </c>
      <c r="I112" s="102" t="s">
        <v>284</v>
      </c>
      <c r="J112" s="102" t="s">
        <v>454</v>
      </c>
      <c r="L112" s="229" t="s">
        <v>7576</v>
      </c>
      <c r="M112" s="229" t="s">
        <v>7922</v>
      </c>
      <c r="N112" s="229" t="s">
        <v>7577</v>
      </c>
      <c r="O112" s="102">
        <v>5.0</v>
      </c>
      <c r="P112" s="102" t="s">
        <v>504</v>
      </c>
      <c r="S112" s="102">
        <v>0.0</v>
      </c>
      <c r="T112" s="230" t="str">
        <f>IF(ISNUMBER(MATCH(B112, 'Sprint 10'!B:B, 0)), "มาจาก Sprint 10", "")</f>
        <v>มาจาก Sprint 10</v>
      </c>
      <c r="U112" s="230" t="str">
        <f t="array" ref="U112">IF(ISNUMBER(MATCH(B112, 'Sprint 10'!B:B, 0)), INDEX('Sprint 10'!J:J, MATCH(B112, 'Sprint 10'!B:B, 0)), "")</f>
        <v>Ready To Test</v>
      </c>
      <c r="V112" s="102">
        <v>57600.0</v>
      </c>
      <c r="W112" s="102" t="s">
        <v>5913</v>
      </c>
      <c r="X112" s="102" t="s">
        <v>5913</v>
      </c>
      <c r="Y112" s="102" t="s">
        <v>5901</v>
      </c>
    </row>
    <row r="113">
      <c r="A113" s="102" t="s">
        <v>310</v>
      </c>
      <c r="B113" s="102" t="s">
        <v>6969</v>
      </c>
      <c r="C113" s="229" t="s">
        <v>6970</v>
      </c>
      <c r="D113" s="102" t="s">
        <v>6971</v>
      </c>
      <c r="E113" s="102" t="s">
        <v>6860</v>
      </c>
      <c r="F113" s="102" t="s">
        <v>6861</v>
      </c>
      <c r="G113" s="102" t="s">
        <v>353</v>
      </c>
      <c r="H113" s="102" t="s">
        <v>354</v>
      </c>
      <c r="I113" s="102" t="s">
        <v>284</v>
      </c>
      <c r="J113" s="102" t="s">
        <v>454</v>
      </c>
      <c r="L113" s="229" t="s">
        <v>6972</v>
      </c>
      <c r="M113" s="229" t="s">
        <v>7877</v>
      </c>
      <c r="O113" s="102">
        <v>5.0</v>
      </c>
      <c r="S113" s="230"/>
      <c r="T113" s="230" t="str">
        <f>IF(ISNUMBER(MATCH(B113, 'Sprint 10'!B:B, 0)), "มาจาก Sprint 10", "")</f>
        <v>มาจาก Sprint 10</v>
      </c>
      <c r="U113" s="230" t="str">
        <f t="array" ref="U113">IF(ISNUMBER(MATCH(B113, 'Sprint 10'!B:B, 0)), INDEX('Sprint 10'!J:J, MATCH(B113, 'Sprint 10'!B:B, 0)), "")</f>
        <v>Ready to Staging</v>
      </c>
      <c r="W113" s="102" t="s">
        <v>6449</v>
      </c>
      <c r="X113" s="102" t="s">
        <v>6449</v>
      </c>
      <c r="Y113" s="102" t="s">
        <v>6450</v>
      </c>
    </row>
    <row r="114">
      <c r="A114" s="102" t="s">
        <v>276</v>
      </c>
      <c r="B114" s="102" t="s">
        <v>7968</v>
      </c>
      <c r="C114" s="229" t="s">
        <v>7969</v>
      </c>
      <c r="D114" s="102" t="s">
        <v>7970</v>
      </c>
      <c r="E114" s="102" t="s">
        <v>5844</v>
      </c>
      <c r="F114" s="102" t="s">
        <v>5845</v>
      </c>
      <c r="G114" s="102" t="s">
        <v>521</v>
      </c>
      <c r="H114" s="102" t="s">
        <v>522</v>
      </c>
      <c r="I114" s="102" t="s">
        <v>284</v>
      </c>
      <c r="J114" s="102" t="s">
        <v>63</v>
      </c>
      <c r="L114" s="229" t="s">
        <v>7971</v>
      </c>
      <c r="M114" s="229" t="s">
        <v>7900</v>
      </c>
      <c r="O114" s="230"/>
      <c r="S114" s="230"/>
      <c r="T114" s="230" t="str">
        <f>IF(ISNUMBER(MATCH(B114, 'Sprint 10'!B:B, 0)), "มาจาก Sprint 10", "")</f>
        <v>มาจาก Sprint 10</v>
      </c>
      <c r="U114" s="230" t="str">
        <f t="array" ref="U114">IF(ISNUMBER(MATCH(B114, 'Sprint 10'!B:B, 0)), INDEX('Sprint 10'!J:J, MATCH(B114, 'Sprint 10'!B:B, 0)), "")</f>
        <v>To Do</v>
      </c>
      <c r="W114" s="102" t="s">
        <v>6449</v>
      </c>
      <c r="X114" s="102" t="s">
        <v>6449</v>
      </c>
      <c r="Y114" s="102" t="s">
        <v>6450</v>
      </c>
    </row>
    <row r="115">
      <c r="A115" s="102" t="s">
        <v>276</v>
      </c>
      <c r="B115" s="102" t="s">
        <v>6973</v>
      </c>
      <c r="C115" s="229" t="s">
        <v>6974</v>
      </c>
      <c r="D115" s="102" t="s">
        <v>6975</v>
      </c>
      <c r="E115" s="102" t="s">
        <v>521</v>
      </c>
      <c r="F115" s="102" t="s">
        <v>522</v>
      </c>
      <c r="G115" s="102" t="s">
        <v>521</v>
      </c>
      <c r="H115" s="102" t="s">
        <v>522</v>
      </c>
      <c r="I115" s="102" t="s">
        <v>284</v>
      </c>
      <c r="J115" s="102" t="s">
        <v>63</v>
      </c>
      <c r="L115" s="229" t="s">
        <v>6976</v>
      </c>
      <c r="M115" s="229" t="s">
        <v>6938</v>
      </c>
      <c r="O115" s="230"/>
      <c r="S115" s="230"/>
      <c r="T115" s="230" t="str">
        <f>IF(ISNUMBER(MATCH(B115, 'Sprint 10'!B:B, 0)), "มาจาก Sprint 10", "")</f>
        <v>มาจาก Sprint 10</v>
      </c>
      <c r="U115" s="230" t="str">
        <f t="array" ref="U115">IF(ISNUMBER(MATCH(B115, 'Sprint 10'!B:B, 0)), INDEX('Sprint 10'!J:J, MATCH(B115, 'Sprint 10'!B:B, 0)), "")</f>
        <v>To Do</v>
      </c>
      <c r="W115" s="102" t="s">
        <v>6449</v>
      </c>
      <c r="X115" s="102" t="s">
        <v>6449</v>
      </c>
      <c r="Y115" s="102" t="s">
        <v>6450</v>
      </c>
    </row>
    <row r="116">
      <c r="A116" s="102" t="s">
        <v>276</v>
      </c>
      <c r="B116" s="102" t="s">
        <v>6977</v>
      </c>
      <c r="C116" s="229" t="s">
        <v>6978</v>
      </c>
      <c r="D116" s="102" t="s">
        <v>6979</v>
      </c>
      <c r="E116" s="102" t="s">
        <v>521</v>
      </c>
      <c r="F116" s="102" t="s">
        <v>522</v>
      </c>
      <c r="G116" s="102" t="s">
        <v>521</v>
      </c>
      <c r="H116" s="102" t="s">
        <v>522</v>
      </c>
      <c r="I116" s="102" t="s">
        <v>284</v>
      </c>
      <c r="J116" s="102" t="s">
        <v>63</v>
      </c>
      <c r="L116" s="229" t="s">
        <v>6980</v>
      </c>
      <c r="M116" s="229" t="s">
        <v>7972</v>
      </c>
      <c r="O116" s="230"/>
      <c r="S116" s="230"/>
      <c r="T116" s="230" t="str">
        <f>IF(ISNUMBER(MATCH(B116, 'Sprint 10'!B:B, 0)), "มาจาก Sprint 10", "")</f>
        <v>มาจาก Sprint 10</v>
      </c>
      <c r="U116" s="230" t="str">
        <f t="array" ref="U116">IF(ISNUMBER(MATCH(B116, 'Sprint 10'!B:B, 0)), INDEX('Sprint 10'!J:J, MATCH(B116, 'Sprint 10'!B:B, 0)), "")</f>
        <v>To Do</v>
      </c>
      <c r="W116" s="102" t="s">
        <v>6449</v>
      </c>
      <c r="X116" s="102" t="s">
        <v>6449</v>
      </c>
      <c r="Y116" s="102" t="s">
        <v>6450</v>
      </c>
    </row>
    <row r="117">
      <c r="A117" s="102" t="s">
        <v>276</v>
      </c>
      <c r="B117" s="102" t="s">
        <v>6981</v>
      </c>
      <c r="C117" s="229" t="s">
        <v>6982</v>
      </c>
      <c r="D117" s="102" t="s">
        <v>7578</v>
      </c>
      <c r="E117" s="102" t="s">
        <v>521</v>
      </c>
      <c r="F117" s="102" t="s">
        <v>522</v>
      </c>
      <c r="G117" s="102" t="s">
        <v>521</v>
      </c>
      <c r="H117" s="102" t="s">
        <v>522</v>
      </c>
      <c r="I117" s="102" t="s">
        <v>284</v>
      </c>
      <c r="J117" s="102" t="s">
        <v>63</v>
      </c>
      <c r="L117" s="229" t="s">
        <v>6984</v>
      </c>
      <c r="M117" s="229" t="s">
        <v>7973</v>
      </c>
      <c r="N117" s="102"/>
      <c r="O117" s="102"/>
      <c r="P117" s="102"/>
      <c r="S117" s="102"/>
      <c r="T117" s="230" t="str">
        <f>IF(ISNUMBER(MATCH(B117, 'Sprint 10'!B:B, 0)), "มาจาก Sprint 10", "")</f>
        <v>มาจาก Sprint 10</v>
      </c>
      <c r="U117" s="230" t="str">
        <f t="array" ref="U117">IF(ISNUMBER(MATCH(B117, 'Sprint 10'!B:B, 0)), INDEX('Sprint 10'!J:J, MATCH(B117, 'Sprint 10'!B:B, 0)), "")</f>
        <v>To Do</v>
      </c>
      <c r="W117" s="102" t="s">
        <v>6449</v>
      </c>
      <c r="X117" s="102" t="s">
        <v>6449</v>
      </c>
      <c r="Y117" s="102" t="s">
        <v>6450</v>
      </c>
    </row>
    <row r="118">
      <c r="A118" s="102" t="s">
        <v>310</v>
      </c>
      <c r="B118" s="102" t="s">
        <v>7580</v>
      </c>
      <c r="C118" s="229" t="s">
        <v>7581</v>
      </c>
      <c r="D118" s="102" t="s">
        <v>7582</v>
      </c>
      <c r="E118" s="102" t="s">
        <v>564</v>
      </c>
      <c r="F118" s="102" t="s">
        <v>565</v>
      </c>
      <c r="G118" s="102" t="s">
        <v>353</v>
      </c>
      <c r="H118" s="102" t="s">
        <v>354</v>
      </c>
      <c r="I118" s="102" t="s">
        <v>284</v>
      </c>
      <c r="J118" s="102" t="s">
        <v>454</v>
      </c>
      <c r="L118" s="229" t="s">
        <v>7583</v>
      </c>
      <c r="M118" s="229" t="s">
        <v>7922</v>
      </c>
      <c r="N118" s="229" t="s">
        <v>6990</v>
      </c>
      <c r="O118" s="102">
        <v>2.0</v>
      </c>
      <c r="P118" s="102" t="s">
        <v>777</v>
      </c>
      <c r="S118" s="102">
        <v>0.0</v>
      </c>
      <c r="T118" s="230" t="str">
        <f>IF(ISNUMBER(MATCH(B118, 'Sprint 10'!B:B, 0)), "มาจาก Sprint 10", "")</f>
        <v>มาจาก Sprint 10</v>
      </c>
      <c r="U118" s="230" t="str">
        <f t="array" ref="U118">IF(ISNUMBER(MATCH(B118, 'Sprint 10'!B:B, 0)), INDEX('Sprint 10'!J:J, MATCH(B118, 'Sprint 10'!B:B, 0)), "")</f>
        <v>Ready To Test</v>
      </c>
      <c r="V118" s="102">
        <v>10800.0</v>
      </c>
      <c r="W118" s="102" t="s">
        <v>5913</v>
      </c>
      <c r="X118" s="102" t="s">
        <v>5913</v>
      </c>
      <c r="Y118" s="102" t="s">
        <v>5901</v>
      </c>
    </row>
    <row r="119">
      <c r="A119" s="102" t="s">
        <v>310</v>
      </c>
      <c r="B119" s="102" t="s">
        <v>7585</v>
      </c>
      <c r="C119" s="229" t="s">
        <v>7586</v>
      </c>
      <c r="D119" s="102" t="s">
        <v>7587</v>
      </c>
      <c r="E119" s="102" t="s">
        <v>564</v>
      </c>
      <c r="F119" s="102" t="s">
        <v>565</v>
      </c>
      <c r="G119" s="102" t="s">
        <v>353</v>
      </c>
      <c r="H119" s="102" t="s">
        <v>354</v>
      </c>
      <c r="I119" s="102" t="s">
        <v>284</v>
      </c>
      <c r="J119" s="102" t="s">
        <v>454</v>
      </c>
      <c r="L119" s="229" t="s">
        <v>7583</v>
      </c>
      <c r="M119" s="229" t="s">
        <v>7922</v>
      </c>
      <c r="N119" s="229" t="s">
        <v>6990</v>
      </c>
      <c r="O119" s="102">
        <v>3.0</v>
      </c>
      <c r="P119" s="102" t="s">
        <v>7525</v>
      </c>
      <c r="S119" s="102">
        <v>0.0</v>
      </c>
      <c r="T119" s="230" t="str">
        <f>IF(ISNUMBER(MATCH(B119, 'Sprint 10'!B:B, 0)), "มาจาก Sprint 10", "")</f>
        <v>มาจาก Sprint 10</v>
      </c>
      <c r="U119" s="230" t="str">
        <f t="array" ref="U119">IF(ISNUMBER(MATCH(B119, 'Sprint 10'!B:B, 0)), INDEX('Sprint 10'!J:J, MATCH(B119, 'Sprint 10'!B:B, 0)), "")</f>
        <v>Ready To Test</v>
      </c>
      <c r="V119" s="102">
        <v>28800.0</v>
      </c>
      <c r="W119" s="102" t="s">
        <v>5913</v>
      </c>
      <c r="X119" s="102" t="s">
        <v>5913</v>
      </c>
      <c r="Y119" s="102" t="s">
        <v>5901</v>
      </c>
    </row>
    <row r="120">
      <c r="A120" s="102" t="s">
        <v>310</v>
      </c>
      <c r="B120" s="102" t="s">
        <v>6986</v>
      </c>
      <c r="C120" s="229" t="s">
        <v>6987</v>
      </c>
      <c r="D120" s="102" t="s">
        <v>6988</v>
      </c>
      <c r="E120" s="102" t="s">
        <v>6860</v>
      </c>
      <c r="F120" s="102" t="s">
        <v>6861</v>
      </c>
      <c r="G120" s="102" t="s">
        <v>353</v>
      </c>
      <c r="H120" s="102" t="s">
        <v>354</v>
      </c>
      <c r="I120" s="102" t="s">
        <v>284</v>
      </c>
      <c r="J120" s="102" t="s">
        <v>454</v>
      </c>
      <c r="L120" s="229" t="s">
        <v>6989</v>
      </c>
      <c r="M120" s="229" t="s">
        <v>7974</v>
      </c>
      <c r="N120" s="229" t="s">
        <v>6990</v>
      </c>
      <c r="O120" s="102">
        <v>5.0</v>
      </c>
      <c r="P120" s="102" t="s">
        <v>6991</v>
      </c>
      <c r="S120" s="102">
        <v>0.0</v>
      </c>
      <c r="T120" s="230" t="str">
        <f>IF(ISNUMBER(MATCH(B120, 'Sprint 10'!B:B, 0)), "มาจาก Sprint 10", "")</f>
        <v>มาจาก Sprint 10</v>
      </c>
      <c r="U120" s="230" t="str">
        <f t="array" ref="U120">IF(ISNUMBER(MATCH(B120, 'Sprint 10'!B:B, 0)), INDEX('Sprint 10'!J:J, MATCH(B120, 'Sprint 10'!B:B, 0)), "")</f>
        <v>Ready to Staging</v>
      </c>
      <c r="V120" s="102">
        <v>57600.0</v>
      </c>
      <c r="W120" s="102" t="s">
        <v>6449</v>
      </c>
      <c r="X120" s="102" t="s">
        <v>6449</v>
      </c>
      <c r="Y120" s="102" t="s">
        <v>6450</v>
      </c>
    </row>
    <row r="121">
      <c r="A121" s="102" t="s">
        <v>310</v>
      </c>
      <c r="B121" s="102" t="s">
        <v>7975</v>
      </c>
      <c r="C121" s="229" t="s">
        <v>7976</v>
      </c>
      <c r="D121" s="102" t="s">
        <v>7977</v>
      </c>
      <c r="E121" s="102" t="s">
        <v>556</v>
      </c>
      <c r="F121" s="102" t="s">
        <v>557</v>
      </c>
      <c r="G121" s="102" t="s">
        <v>353</v>
      </c>
      <c r="H121" s="102" t="s">
        <v>354</v>
      </c>
      <c r="I121" s="102" t="s">
        <v>284</v>
      </c>
      <c r="J121" s="102" t="s">
        <v>26</v>
      </c>
      <c r="L121" s="229" t="s">
        <v>7978</v>
      </c>
      <c r="M121" s="229" t="s">
        <v>7877</v>
      </c>
      <c r="N121" s="229" t="s">
        <v>7979</v>
      </c>
      <c r="O121" s="102">
        <v>3.0</v>
      </c>
      <c r="P121" s="102" t="s">
        <v>504</v>
      </c>
      <c r="S121" s="102"/>
      <c r="T121" s="230" t="str">
        <f>IF(ISNUMBER(MATCH(B121, 'Sprint 10'!B:B, 0)), "มาจาก Sprint 10", "")</f>
        <v>มาจาก Sprint 10</v>
      </c>
      <c r="U121" s="230" t="str">
        <f t="array" ref="U121">IF(ISNUMBER(MATCH(B121, 'Sprint 10'!B:B, 0)), INDEX('Sprint 10'!J:J, MATCH(B121, 'Sprint 10'!B:B, 0)), "")</f>
        <v>Ready To Test</v>
      </c>
      <c r="V121" s="102"/>
      <c r="W121" s="102" t="s">
        <v>1364</v>
      </c>
      <c r="X121" s="102" t="s">
        <v>1364</v>
      </c>
      <c r="Y121" s="102" t="s">
        <v>1365</v>
      </c>
    </row>
    <row r="122">
      <c r="A122" s="102" t="s">
        <v>310</v>
      </c>
      <c r="B122" s="102" t="s">
        <v>7980</v>
      </c>
      <c r="C122" s="229" t="s">
        <v>7981</v>
      </c>
      <c r="D122" s="102" t="s">
        <v>7982</v>
      </c>
      <c r="E122" s="102" t="s">
        <v>584</v>
      </c>
      <c r="F122" s="102" t="s">
        <v>585</v>
      </c>
      <c r="G122" s="102" t="s">
        <v>353</v>
      </c>
      <c r="H122" s="102" t="s">
        <v>354</v>
      </c>
      <c r="I122" s="102" t="s">
        <v>284</v>
      </c>
      <c r="J122" s="102" t="s">
        <v>26</v>
      </c>
      <c r="L122" s="229" t="s">
        <v>7983</v>
      </c>
      <c r="M122" s="229" t="s">
        <v>7877</v>
      </c>
      <c r="N122" s="229" t="s">
        <v>6810</v>
      </c>
      <c r="O122" s="102">
        <v>2.0</v>
      </c>
      <c r="P122" s="102" t="s">
        <v>504</v>
      </c>
      <c r="S122" s="102">
        <v>0.0</v>
      </c>
      <c r="T122" s="230" t="str">
        <f>IF(ISNUMBER(MATCH(B122, 'Sprint 10'!B:B, 0)), "มาจาก Sprint 10", "")</f>
        <v>มาจาก Sprint 10</v>
      </c>
      <c r="U122" s="230" t="str">
        <f t="array" ref="U122">IF(ISNUMBER(MATCH(B122, 'Sprint 10'!B:B, 0)), INDEX('Sprint 10'!J:J, MATCH(B122, 'Sprint 10'!B:B, 0)), "")</f>
        <v>Ready To Test</v>
      </c>
      <c r="V122" s="102">
        <v>14400.0</v>
      </c>
      <c r="W122" s="102" t="s">
        <v>1364</v>
      </c>
      <c r="X122" s="102" t="s">
        <v>1364</v>
      </c>
      <c r="Y122" s="102" t="s">
        <v>1365</v>
      </c>
    </row>
    <row r="123">
      <c r="A123" s="102" t="s">
        <v>310</v>
      </c>
      <c r="B123" s="102" t="s">
        <v>7984</v>
      </c>
      <c r="C123" s="229" t="s">
        <v>7985</v>
      </c>
      <c r="D123" s="102" t="s">
        <v>7986</v>
      </c>
      <c r="E123" s="102" t="s">
        <v>564</v>
      </c>
      <c r="F123" s="102" t="s">
        <v>565</v>
      </c>
      <c r="G123" s="102" t="s">
        <v>353</v>
      </c>
      <c r="H123" s="102" t="s">
        <v>354</v>
      </c>
      <c r="I123" s="102" t="s">
        <v>284</v>
      </c>
      <c r="J123" s="102" t="s">
        <v>26</v>
      </c>
      <c r="L123" s="229" t="s">
        <v>7987</v>
      </c>
      <c r="M123" s="229" t="s">
        <v>7988</v>
      </c>
      <c r="N123" s="229" t="s">
        <v>7989</v>
      </c>
      <c r="O123" s="102">
        <v>1.0</v>
      </c>
      <c r="P123" s="102" t="s">
        <v>7556</v>
      </c>
      <c r="S123" s="102">
        <v>0.0</v>
      </c>
      <c r="T123" s="230" t="str">
        <f>IF(ISNUMBER(MATCH(B123, 'Sprint 10'!B:B, 0)), "มาจาก Sprint 10", "")</f>
        <v>มาจาก Sprint 10</v>
      </c>
      <c r="U123" s="230" t="str">
        <f t="array" ref="U123">IF(ISNUMBER(MATCH(B123, 'Sprint 10'!B:B, 0)), INDEX('Sprint 10'!J:J, MATCH(B123, 'Sprint 10'!B:B, 0)), "")</f>
        <v>Ready To Test</v>
      </c>
      <c r="V123" s="102">
        <v>3600.0</v>
      </c>
      <c r="W123" s="102" t="s">
        <v>1364</v>
      </c>
      <c r="X123" s="102" t="s">
        <v>1364</v>
      </c>
      <c r="Y123" s="102" t="s">
        <v>1365</v>
      </c>
    </row>
    <row r="124">
      <c r="A124" s="102" t="s">
        <v>310</v>
      </c>
      <c r="B124" s="102" t="s">
        <v>6992</v>
      </c>
      <c r="C124" s="229" t="s">
        <v>6993</v>
      </c>
      <c r="D124" s="102" t="s">
        <v>6994</v>
      </c>
      <c r="E124" s="102" t="s">
        <v>314</v>
      </c>
      <c r="F124" s="102" t="s">
        <v>315</v>
      </c>
      <c r="G124" s="102" t="s">
        <v>353</v>
      </c>
      <c r="H124" s="102" t="s">
        <v>354</v>
      </c>
      <c r="I124" s="102" t="s">
        <v>284</v>
      </c>
      <c r="J124" s="102" t="s">
        <v>454</v>
      </c>
      <c r="L124" s="229" t="s">
        <v>6995</v>
      </c>
      <c r="M124" s="229" t="s">
        <v>7942</v>
      </c>
      <c r="O124" s="102">
        <v>3.0</v>
      </c>
      <c r="P124" s="102" t="s">
        <v>593</v>
      </c>
      <c r="Q124" s="102"/>
      <c r="S124" s="102">
        <v>0.0</v>
      </c>
      <c r="T124" s="230" t="str">
        <f>IF(ISNUMBER(MATCH(B124, 'Sprint 10'!B:B, 0)), "มาจาก Sprint 10", "")</f>
        <v>มาจาก Sprint 10</v>
      </c>
      <c r="U124" s="230" t="str">
        <f t="array" ref="U124">IF(ISNUMBER(MATCH(B124, 'Sprint 10'!B:B, 0)), INDEX('Sprint 10'!J:J, MATCH(B124, 'Sprint 10'!B:B, 0)), "")</f>
        <v>Ready to Staging</v>
      </c>
      <c r="V124" s="102">
        <v>10800.0</v>
      </c>
      <c r="W124" s="102" t="s">
        <v>6449</v>
      </c>
      <c r="X124" s="102" t="s">
        <v>6449</v>
      </c>
      <c r="Y124" s="102" t="s">
        <v>6450</v>
      </c>
    </row>
    <row r="125">
      <c r="A125" s="102" t="s">
        <v>310</v>
      </c>
      <c r="B125" s="102" t="s">
        <v>6996</v>
      </c>
      <c r="C125" s="229" t="s">
        <v>6997</v>
      </c>
      <c r="D125" s="102" t="s">
        <v>6998</v>
      </c>
      <c r="E125" s="102" t="s">
        <v>314</v>
      </c>
      <c r="F125" s="102" t="s">
        <v>315</v>
      </c>
      <c r="G125" s="102" t="s">
        <v>353</v>
      </c>
      <c r="H125" s="102" t="s">
        <v>354</v>
      </c>
      <c r="I125" s="102" t="s">
        <v>284</v>
      </c>
      <c r="J125" s="102" t="s">
        <v>454</v>
      </c>
      <c r="L125" s="229" t="s">
        <v>6995</v>
      </c>
      <c r="M125" s="229" t="s">
        <v>7990</v>
      </c>
      <c r="N125" s="102"/>
      <c r="O125" s="102">
        <v>3.0</v>
      </c>
      <c r="P125" s="102" t="s">
        <v>593</v>
      </c>
      <c r="Q125" s="102" t="s">
        <v>6991</v>
      </c>
      <c r="S125" s="102">
        <v>0.0</v>
      </c>
      <c r="T125" s="230" t="str">
        <f>IF(ISNUMBER(MATCH(B125, 'Sprint 10'!B:B, 0)), "มาจาก Sprint 10", "")</f>
        <v>มาจาก Sprint 10</v>
      </c>
      <c r="U125" s="230" t="str">
        <f t="array" ref="U125">IF(ISNUMBER(MATCH(B125, 'Sprint 10'!B:B, 0)), INDEX('Sprint 10'!J:J, MATCH(B125, 'Sprint 10'!B:B, 0)), "")</f>
        <v>Ready to Staging</v>
      </c>
      <c r="V125" s="102">
        <v>10800.0</v>
      </c>
      <c r="W125" s="102" t="s">
        <v>6449</v>
      </c>
      <c r="X125" s="102" t="s">
        <v>6449</v>
      </c>
      <c r="Y125" s="102" t="s">
        <v>6450</v>
      </c>
    </row>
    <row r="126">
      <c r="A126" s="102" t="s">
        <v>310</v>
      </c>
      <c r="B126" s="102" t="s">
        <v>7594</v>
      </c>
      <c r="C126" s="229" t="s">
        <v>7595</v>
      </c>
      <c r="D126" s="102" t="s">
        <v>7596</v>
      </c>
      <c r="E126" s="102" t="s">
        <v>556</v>
      </c>
      <c r="F126" s="102" t="s">
        <v>557</v>
      </c>
      <c r="G126" s="102" t="s">
        <v>353</v>
      </c>
      <c r="H126" s="102" t="s">
        <v>354</v>
      </c>
      <c r="I126" s="102" t="s">
        <v>284</v>
      </c>
      <c r="J126" s="102" t="s">
        <v>454</v>
      </c>
      <c r="L126" s="229" t="s">
        <v>7597</v>
      </c>
      <c r="M126" s="229" t="s">
        <v>7922</v>
      </c>
      <c r="N126" s="229" t="s">
        <v>6810</v>
      </c>
      <c r="O126" s="102">
        <v>3.0</v>
      </c>
      <c r="P126" s="102" t="s">
        <v>5912</v>
      </c>
      <c r="S126" s="102"/>
      <c r="T126" s="230" t="str">
        <f>IF(ISNUMBER(MATCH(B126, 'Sprint 10'!B:B, 0)), "มาจาก Sprint 10", "")</f>
        <v>มาจาก Sprint 10</v>
      </c>
      <c r="U126" s="230" t="str">
        <f t="array" ref="U126">IF(ISNUMBER(MATCH(B126, 'Sprint 10'!B:B, 0)), INDEX('Sprint 10'!J:J, MATCH(B126, 'Sprint 10'!B:B, 0)), "")</f>
        <v>Ready To Test</v>
      </c>
      <c r="V126" s="102"/>
      <c r="W126" s="102" t="s">
        <v>5913</v>
      </c>
      <c r="X126" s="102" t="s">
        <v>5913</v>
      </c>
      <c r="Y126" s="102" t="s">
        <v>5901</v>
      </c>
    </row>
    <row r="127">
      <c r="A127" s="102" t="s">
        <v>310</v>
      </c>
      <c r="B127" s="102" t="s">
        <v>7991</v>
      </c>
      <c r="C127" s="229" t="s">
        <v>7992</v>
      </c>
      <c r="D127" s="102" t="s">
        <v>7993</v>
      </c>
      <c r="E127" s="102" t="s">
        <v>6315</v>
      </c>
      <c r="F127" s="102" t="s">
        <v>6316</v>
      </c>
      <c r="G127" s="102" t="s">
        <v>282</v>
      </c>
      <c r="H127" s="102" t="s">
        <v>283</v>
      </c>
      <c r="I127" s="102" t="s">
        <v>284</v>
      </c>
      <c r="J127" s="102" t="s">
        <v>26</v>
      </c>
      <c r="L127" s="229" t="s">
        <v>7994</v>
      </c>
      <c r="M127" s="229" t="s">
        <v>7877</v>
      </c>
      <c r="N127" s="229" t="s">
        <v>6810</v>
      </c>
      <c r="O127" s="102">
        <v>3.0</v>
      </c>
      <c r="P127" s="102" t="s">
        <v>504</v>
      </c>
      <c r="S127" s="102">
        <v>0.0</v>
      </c>
      <c r="T127" s="230" t="str">
        <f>IF(ISNUMBER(MATCH(B127, 'Sprint 10'!B:B, 0)), "มาจาก Sprint 10", "")</f>
        <v>มาจาก Sprint 10</v>
      </c>
      <c r="U127" s="230" t="str">
        <f t="array" ref="U127">IF(ISNUMBER(MATCH(B127, 'Sprint 10'!B:B, 0)), INDEX('Sprint 10'!J:J, MATCH(B127, 'Sprint 10'!B:B, 0)), "")</f>
        <v>Ready To Test</v>
      </c>
      <c r="V127" s="102">
        <v>28800.0</v>
      </c>
      <c r="W127" s="102" t="s">
        <v>1364</v>
      </c>
      <c r="X127" s="102" t="s">
        <v>1364</v>
      </c>
      <c r="Y127" s="102" t="s">
        <v>1365</v>
      </c>
    </row>
    <row r="128">
      <c r="A128" s="102" t="s">
        <v>310</v>
      </c>
      <c r="B128" s="102" t="s">
        <v>7995</v>
      </c>
      <c r="C128" s="229" t="s">
        <v>7996</v>
      </c>
      <c r="D128" s="102" t="s">
        <v>7997</v>
      </c>
      <c r="E128" s="102" t="s">
        <v>564</v>
      </c>
      <c r="F128" s="102" t="s">
        <v>565</v>
      </c>
      <c r="G128" s="102" t="s">
        <v>282</v>
      </c>
      <c r="H128" s="102" t="s">
        <v>283</v>
      </c>
      <c r="I128" s="102" t="s">
        <v>284</v>
      </c>
      <c r="J128" s="102" t="s">
        <v>26</v>
      </c>
      <c r="L128" s="229" t="s">
        <v>7998</v>
      </c>
      <c r="M128" s="229" t="s">
        <v>7999</v>
      </c>
      <c r="N128" s="229" t="s">
        <v>7979</v>
      </c>
      <c r="O128" s="102">
        <v>2.0</v>
      </c>
      <c r="P128" s="102" t="s">
        <v>777</v>
      </c>
      <c r="S128" s="102">
        <v>0.0</v>
      </c>
      <c r="T128" s="230" t="str">
        <f>IF(ISNUMBER(MATCH(B128, 'Sprint 10'!B:B, 0)), "มาจาก Sprint 10", "")</f>
        <v>มาจาก Sprint 10</v>
      </c>
      <c r="U128" s="230" t="str">
        <f t="array" ref="U128">IF(ISNUMBER(MATCH(B128, 'Sprint 10'!B:B, 0)), INDEX('Sprint 10'!J:J, MATCH(B128, 'Sprint 10'!B:B, 0)), "")</f>
        <v>Ready To Test</v>
      </c>
      <c r="V128" s="102">
        <v>10800.0</v>
      </c>
      <c r="W128" s="102" t="s">
        <v>1364</v>
      </c>
      <c r="X128" s="102" t="s">
        <v>1364</v>
      </c>
      <c r="Y128" s="102" t="s">
        <v>1365</v>
      </c>
    </row>
    <row r="129">
      <c r="A129" s="102" t="s">
        <v>310</v>
      </c>
      <c r="B129" s="102" t="s">
        <v>8000</v>
      </c>
      <c r="C129" s="229" t="s">
        <v>8001</v>
      </c>
      <c r="D129" s="102" t="s">
        <v>8002</v>
      </c>
      <c r="E129" s="102" t="s">
        <v>584</v>
      </c>
      <c r="F129" s="102" t="s">
        <v>585</v>
      </c>
      <c r="G129" s="102" t="s">
        <v>353</v>
      </c>
      <c r="H129" s="102" t="s">
        <v>354</v>
      </c>
      <c r="I129" s="102" t="s">
        <v>284</v>
      </c>
      <c r="J129" s="102" t="s">
        <v>454</v>
      </c>
      <c r="L129" s="229" t="s">
        <v>8003</v>
      </c>
      <c r="M129" s="229" t="s">
        <v>7877</v>
      </c>
      <c r="N129" s="229" t="s">
        <v>7979</v>
      </c>
      <c r="O129" s="102">
        <v>8.0</v>
      </c>
      <c r="P129" s="102" t="s">
        <v>435</v>
      </c>
      <c r="S129" s="102">
        <v>0.0</v>
      </c>
      <c r="T129" s="230" t="str">
        <f>IF(ISNUMBER(MATCH(B129, 'Sprint 10'!B:B, 0)), "มาจาก Sprint 10", "")</f>
        <v>มาจาก Sprint 10</v>
      </c>
      <c r="U129" s="230" t="str">
        <f t="array" ref="U129">IF(ISNUMBER(MATCH(B129, 'Sprint 10'!B:B, 0)), INDEX('Sprint 10'!J:J, MATCH(B129, 'Sprint 10'!B:B, 0)), "")</f>
        <v>Ready To Test</v>
      </c>
      <c r="V129" s="102">
        <v>86400.0</v>
      </c>
      <c r="W129" s="102" t="s">
        <v>6449</v>
      </c>
      <c r="X129" s="102" t="s">
        <v>6449</v>
      </c>
      <c r="Y129" s="102" t="s">
        <v>6450</v>
      </c>
    </row>
    <row r="130">
      <c r="A130" s="102" t="s">
        <v>332</v>
      </c>
      <c r="B130" s="102" t="s">
        <v>6443</v>
      </c>
      <c r="C130" s="229" t="s">
        <v>6444</v>
      </c>
      <c r="D130" s="102" t="s">
        <v>6445</v>
      </c>
      <c r="E130" s="102" t="s">
        <v>353</v>
      </c>
      <c r="F130" s="102" t="s">
        <v>354</v>
      </c>
      <c r="G130" s="102" t="s">
        <v>521</v>
      </c>
      <c r="H130" s="102" t="s">
        <v>522</v>
      </c>
      <c r="I130" s="102" t="s">
        <v>284</v>
      </c>
      <c r="J130" s="102" t="s">
        <v>1075</v>
      </c>
      <c r="L130" s="229" t="s">
        <v>6446</v>
      </c>
      <c r="M130" s="229" t="s">
        <v>8004</v>
      </c>
      <c r="N130" s="102"/>
      <c r="O130" s="102"/>
      <c r="S130" s="102"/>
      <c r="T130" s="230" t="str">
        <f>IF(ISNUMBER(MATCH(B130, 'Sprint 10'!B:B, 0)), "มาจาก Sprint 10", "")</f>
        <v>มาจาก Sprint 10</v>
      </c>
      <c r="U130" s="230" t="str">
        <f t="array" ref="U130">IF(ISNUMBER(MATCH(B130, 'Sprint 10'!B:B, 0)), INDEX('Sprint 10'!J:J, MATCH(B130, 'Sprint 10'!B:B, 0)), "")</f>
        <v>Open</v>
      </c>
      <c r="V130" s="102"/>
      <c r="W130" s="102" t="s">
        <v>6449</v>
      </c>
      <c r="X130" s="102" t="s">
        <v>6449</v>
      </c>
      <c r="Y130" s="102" t="s">
        <v>6450</v>
      </c>
      <c r="Z130" s="102"/>
    </row>
    <row r="131">
      <c r="A131" s="102" t="s">
        <v>310</v>
      </c>
      <c r="B131" s="102" t="s">
        <v>7601</v>
      </c>
      <c r="C131" s="229" t="s">
        <v>7602</v>
      </c>
      <c r="D131" s="102" t="s">
        <v>7603</v>
      </c>
      <c r="E131" s="102" t="s">
        <v>564</v>
      </c>
      <c r="F131" s="102" t="s">
        <v>565</v>
      </c>
      <c r="G131" s="102" t="s">
        <v>282</v>
      </c>
      <c r="H131" s="102" t="s">
        <v>283</v>
      </c>
      <c r="I131" s="102" t="s">
        <v>515</v>
      </c>
      <c r="J131" s="102" t="s">
        <v>454</v>
      </c>
      <c r="L131" s="229" t="s">
        <v>7604</v>
      </c>
      <c r="M131" s="229" t="s">
        <v>7922</v>
      </c>
      <c r="N131" s="229" t="s">
        <v>7606</v>
      </c>
      <c r="O131" s="102">
        <v>2.0</v>
      </c>
      <c r="S131" s="102">
        <v>0.0</v>
      </c>
      <c r="T131" s="230" t="str">
        <f>IF(ISNUMBER(MATCH(B131, 'Sprint 10'!B:B, 0)), "มาจาก Sprint 10", "")</f>
        <v>มาจาก Sprint 10</v>
      </c>
      <c r="U131" s="230" t="str">
        <f t="array" ref="U131">IF(ISNUMBER(MATCH(B131, 'Sprint 10'!B:B, 0)), INDEX('Sprint 10'!J:J, MATCH(B131, 'Sprint 10'!B:B, 0)), "")</f>
        <v>Ready To Test</v>
      </c>
      <c r="V131" s="102">
        <v>14400.0</v>
      </c>
      <c r="W131" s="102" t="s">
        <v>5913</v>
      </c>
      <c r="X131" s="102" t="s">
        <v>5913</v>
      </c>
      <c r="Y131" s="102" t="s">
        <v>5913</v>
      </c>
      <c r="Z131" s="102" t="s">
        <v>5901</v>
      </c>
    </row>
    <row r="132">
      <c r="A132" s="102" t="s">
        <v>310</v>
      </c>
      <c r="B132" s="102" t="s">
        <v>5914</v>
      </c>
      <c r="C132" s="229" t="s">
        <v>5915</v>
      </c>
      <c r="D132" s="102" t="s">
        <v>5916</v>
      </c>
      <c r="E132" s="102" t="s">
        <v>584</v>
      </c>
      <c r="F132" s="102" t="s">
        <v>585</v>
      </c>
      <c r="G132" s="102" t="s">
        <v>353</v>
      </c>
      <c r="H132" s="102" t="s">
        <v>354</v>
      </c>
      <c r="I132" s="102" t="s">
        <v>284</v>
      </c>
      <c r="J132" s="102" t="s">
        <v>454</v>
      </c>
      <c r="L132" s="229" t="s">
        <v>5917</v>
      </c>
      <c r="M132" s="229" t="s">
        <v>7922</v>
      </c>
      <c r="N132" s="229" t="s">
        <v>5918</v>
      </c>
      <c r="O132" s="102">
        <v>3.0</v>
      </c>
      <c r="P132" s="102"/>
      <c r="S132" s="102">
        <v>0.0</v>
      </c>
      <c r="T132" s="230" t="str">
        <f>IF(ISNUMBER(MATCH(B132, 'Sprint 10'!B:B, 0)), "มาจาก Sprint 10", "")</f>
        <v>มาจาก Sprint 10</v>
      </c>
      <c r="U132" s="230" t="str">
        <f t="array" ref="U132">IF(ISNUMBER(MATCH(B132, 'Sprint 10'!B:B, 0)), INDEX('Sprint 10'!J:J, MATCH(B132, 'Sprint 10'!B:B, 0)), "")</f>
        <v>Ready To Test</v>
      </c>
      <c r="V132" s="102">
        <v>21600.0</v>
      </c>
      <c r="W132" s="102" t="s">
        <v>5913</v>
      </c>
      <c r="X132" s="102" t="s">
        <v>5913</v>
      </c>
      <c r="Y132" s="102" t="s">
        <v>5913</v>
      </c>
      <c r="Z132" s="102" t="s">
        <v>5901</v>
      </c>
    </row>
    <row r="133">
      <c r="A133" s="102" t="s">
        <v>310</v>
      </c>
      <c r="B133" s="102" t="s">
        <v>7608</v>
      </c>
      <c r="C133" s="229" t="s">
        <v>7609</v>
      </c>
      <c r="D133" s="102" t="s">
        <v>7610</v>
      </c>
      <c r="E133" s="102" t="s">
        <v>564</v>
      </c>
      <c r="F133" s="102" t="s">
        <v>565</v>
      </c>
      <c r="G133" s="102" t="s">
        <v>282</v>
      </c>
      <c r="H133" s="102" t="s">
        <v>283</v>
      </c>
      <c r="I133" s="102" t="s">
        <v>284</v>
      </c>
      <c r="J133" s="102" t="s">
        <v>454</v>
      </c>
      <c r="L133" s="229" t="s">
        <v>7611</v>
      </c>
      <c r="M133" s="229" t="s">
        <v>7922</v>
      </c>
      <c r="N133" s="229" t="s">
        <v>5918</v>
      </c>
      <c r="O133" s="102">
        <v>1.0</v>
      </c>
      <c r="P133" s="102" t="s">
        <v>504</v>
      </c>
      <c r="S133" s="102">
        <v>0.0</v>
      </c>
      <c r="T133" s="230" t="str">
        <f>IF(ISNUMBER(MATCH(B133, 'Sprint 10'!B:B, 0)), "มาจาก Sprint 10", "")</f>
        <v>มาจาก Sprint 10</v>
      </c>
      <c r="U133" s="230" t="str">
        <f t="array" ref="U133">IF(ISNUMBER(MATCH(B133, 'Sprint 10'!B:B, 0)), INDEX('Sprint 10'!J:J, MATCH(B133, 'Sprint 10'!B:B, 0)), "")</f>
        <v>Ready To Test</v>
      </c>
      <c r="V133" s="102">
        <v>3600.0</v>
      </c>
      <c r="W133" s="102" t="s">
        <v>5913</v>
      </c>
      <c r="X133" s="102" t="s">
        <v>5913</v>
      </c>
      <c r="Y133" s="102" t="s">
        <v>5913</v>
      </c>
      <c r="Z133" s="102" t="s">
        <v>5901</v>
      </c>
    </row>
    <row r="134">
      <c r="A134" s="102" t="s">
        <v>630</v>
      </c>
      <c r="B134" s="102" t="s">
        <v>1357</v>
      </c>
      <c r="C134" s="229" t="s">
        <v>1358</v>
      </c>
      <c r="D134" s="102" t="s">
        <v>1359</v>
      </c>
      <c r="G134" s="102" t="s">
        <v>314</v>
      </c>
      <c r="H134" s="102" t="s">
        <v>315</v>
      </c>
      <c r="I134" s="102" t="s">
        <v>284</v>
      </c>
      <c r="J134" s="102" t="s">
        <v>63</v>
      </c>
      <c r="L134" s="229" t="s">
        <v>1360</v>
      </c>
      <c r="M134" s="229" t="s">
        <v>8005</v>
      </c>
      <c r="O134" s="230"/>
      <c r="S134" s="230"/>
      <c r="T134" s="230" t="str">
        <f>IF(ISNUMBER(MATCH(B134, 'Sprint 10'!B:B, 0)), "มาจาก Sprint 10", "")</f>
        <v>มาจาก Sprint 10</v>
      </c>
      <c r="U134" s="230" t="str">
        <f t="array" ref="U134">IF(ISNUMBER(MATCH(B134, 'Sprint 10'!B:B, 0)), INDEX('Sprint 10'!J:J, MATCH(B134, 'Sprint 10'!B:B, 0)), "")</f>
        <v>To Do</v>
      </c>
      <c r="W134" s="102" t="s">
        <v>1364</v>
      </c>
      <c r="X134" s="102" t="s">
        <v>1364</v>
      </c>
      <c r="Y134" s="102" t="s">
        <v>1364</v>
      </c>
      <c r="Z134" s="102" t="s">
        <v>1365</v>
      </c>
    </row>
    <row r="135">
      <c r="A135" s="102" t="s">
        <v>276</v>
      </c>
      <c r="B135" s="102" t="s">
        <v>7614</v>
      </c>
      <c r="C135" s="229" t="s">
        <v>7615</v>
      </c>
      <c r="D135" s="102" t="s">
        <v>7616</v>
      </c>
      <c r="E135" s="102" t="s">
        <v>391</v>
      </c>
      <c r="F135" s="102" t="s">
        <v>392</v>
      </c>
      <c r="G135" s="102" t="s">
        <v>391</v>
      </c>
      <c r="H135" s="102" t="s">
        <v>392</v>
      </c>
      <c r="I135" s="102" t="s">
        <v>284</v>
      </c>
      <c r="J135" s="102" t="s">
        <v>34</v>
      </c>
      <c r="L135" s="229" t="s">
        <v>7617</v>
      </c>
      <c r="M135" s="229" t="s">
        <v>8006</v>
      </c>
      <c r="O135" s="230"/>
      <c r="S135" s="230"/>
      <c r="T135" s="230" t="str">
        <f>IF(ISNUMBER(MATCH(B135, 'Sprint 10'!B:B, 0)), "มาจาก Sprint 10", "")</f>
        <v>มาจาก Sprint 10</v>
      </c>
      <c r="U135" s="230" t="str">
        <f t="array" ref="U135">IF(ISNUMBER(MATCH(B135, 'Sprint 10'!B:B, 0)), INDEX('Sprint 10'!J:J, MATCH(B135, 'Sprint 10'!B:B, 0)), "")</f>
        <v>In Progress</v>
      </c>
      <c r="W135" s="102" t="s">
        <v>5944</v>
      </c>
      <c r="X135" s="102" t="s">
        <v>5913</v>
      </c>
      <c r="Y135" s="102" t="s">
        <v>5913</v>
      </c>
      <c r="Z135" s="102" t="s">
        <v>5913</v>
      </c>
      <c r="AA135" s="102" t="s">
        <v>5901</v>
      </c>
    </row>
    <row r="136">
      <c r="A136" s="102" t="s">
        <v>310</v>
      </c>
      <c r="B136" s="102" t="s">
        <v>5921</v>
      </c>
      <c r="C136" s="229" t="s">
        <v>5922</v>
      </c>
      <c r="D136" s="102" t="s">
        <v>5923</v>
      </c>
      <c r="E136" s="102" t="s">
        <v>556</v>
      </c>
      <c r="F136" s="102" t="s">
        <v>557</v>
      </c>
      <c r="G136" s="102" t="s">
        <v>353</v>
      </c>
      <c r="H136" s="102" t="s">
        <v>354</v>
      </c>
      <c r="I136" s="102" t="s">
        <v>284</v>
      </c>
      <c r="J136" s="102" t="s">
        <v>454</v>
      </c>
      <c r="L136" s="229" t="s">
        <v>5924</v>
      </c>
      <c r="M136" s="229" t="s">
        <v>7922</v>
      </c>
      <c r="N136" s="229" t="s">
        <v>5925</v>
      </c>
      <c r="O136" s="102">
        <v>1.0</v>
      </c>
      <c r="S136" s="230"/>
      <c r="T136" s="230" t="str">
        <f>IF(ISNUMBER(MATCH(B136, 'Sprint 10'!B:B, 0)), "มาจาก Sprint 10", "")</f>
        <v>มาจาก Sprint 10</v>
      </c>
      <c r="U136" s="230" t="str">
        <f t="array" ref="U136">IF(ISNUMBER(MATCH(B136, 'Sprint 10'!B:B, 0)), INDEX('Sprint 10'!J:J, MATCH(B136, 'Sprint 10'!B:B, 0)), "")</f>
        <v>Ready To Test</v>
      </c>
      <c r="W136" s="102" t="s">
        <v>5913</v>
      </c>
      <c r="X136" s="102" t="s">
        <v>5913</v>
      </c>
      <c r="Y136" s="102" t="s">
        <v>5913</v>
      </c>
      <c r="Z136" s="102" t="s">
        <v>5901</v>
      </c>
    </row>
    <row r="137">
      <c r="A137" s="102" t="s">
        <v>310</v>
      </c>
      <c r="B137" s="102" t="s">
        <v>5926</v>
      </c>
      <c r="C137" s="229" t="s">
        <v>5927</v>
      </c>
      <c r="D137" s="102" t="s">
        <v>5928</v>
      </c>
      <c r="E137" s="102" t="s">
        <v>564</v>
      </c>
      <c r="F137" s="102" t="s">
        <v>565</v>
      </c>
      <c r="G137" s="102" t="s">
        <v>353</v>
      </c>
      <c r="H137" s="102" t="s">
        <v>354</v>
      </c>
      <c r="I137" s="102" t="s">
        <v>515</v>
      </c>
      <c r="J137" s="102" t="s">
        <v>454</v>
      </c>
      <c r="L137" s="229" t="s">
        <v>5929</v>
      </c>
      <c r="M137" s="229" t="s">
        <v>7922</v>
      </c>
      <c r="N137" s="229" t="s">
        <v>5925</v>
      </c>
      <c r="O137" s="102">
        <v>3.0</v>
      </c>
      <c r="S137" s="102">
        <v>0.0</v>
      </c>
      <c r="T137" s="230" t="str">
        <f>IF(ISNUMBER(MATCH(B137, 'Sprint 10'!B:B, 0)), "มาจาก Sprint 10", "")</f>
        <v>มาจาก Sprint 10</v>
      </c>
      <c r="U137" s="230" t="str">
        <f t="array" ref="U137">IF(ISNUMBER(MATCH(B137, 'Sprint 10'!B:B, 0)), INDEX('Sprint 10'!J:J, MATCH(B137, 'Sprint 10'!B:B, 0)), "")</f>
        <v>Ready To Test</v>
      </c>
      <c r="V137" s="102">
        <v>28800.0</v>
      </c>
      <c r="W137" s="102" t="s">
        <v>5913</v>
      </c>
      <c r="X137" s="102" t="s">
        <v>5913</v>
      </c>
      <c r="Y137" s="102" t="s">
        <v>5913</v>
      </c>
      <c r="Z137" s="102" t="s">
        <v>5901</v>
      </c>
    </row>
    <row r="138">
      <c r="A138" s="102" t="s">
        <v>310</v>
      </c>
      <c r="B138" s="102" t="s">
        <v>7618</v>
      </c>
      <c r="C138" s="229" t="s">
        <v>7619</v>
      </c>
      <c r="D138" s="102" t="s">
        <v>7620</v>
      </c>
      <c r="E138" s="102" t="s">
        <v>513</v>
      </c>
      <c r="F138" s="102" t="s">
        <v>514</v>
      </c>
      <c r="G138" s="102" t="s">
        <v>353</v>
      </c>
      <c r="H138" s="102" t="s">
        <v>354</v>
      </c>
      <c r="I138" s="102" t="s">
        <v>515</v>
      </c>
      <c r="J138" s="102" t="s">
        <v>454</v>
      </c>
      <c r="L138" s="229" t="s">
        <v>5929</v>
      </c>
      <c r="M138" s="229" t="s">
        <v>8007</v>
      </c>
      <c r="N138" s="229" t="s">
        <v>6456</v>
      </c>
      <c r="O138" s="102">
        <v>8.0</v>
      </c>
      <c r="S138" s="102">
        <v>0.0</v>
      </c>
      <c r="T138" s="230" t="str">
        <f>IF(ISNUMBER(MATCH(B138, 'Sprint 10'!B:B, 0)), "มาจาก Sprint 10", "")</f>
        <v>มาจาก Sprint 10</v>
      </c>
      <c r="U138" s="230" t="str">
        <f t="array" ref="U138">IF(ISNUMBER(MATCH(B138, 'Sprint 10'!B:B, 0)), INDEX('Sprint 10'!J:J, MATCH(B138, 'Sprint 10'!B:B, 0)), "")</f>
        <v>In Progress</v>
      </c>
      <c r="V138" s="102">
        <v>144000.0</v>
      </c>
      <c r="W138" s="102" t="s">
        <v>5913</v>
      </c>
      <c r="X138" s="102" t="s">
        <v>5913</v>
      </c>
      <c r="Y138" s="102" t="s">
        <v>5913</v>
      </c>
      <c r="Z138" s="102" t="s">
        <v>5901</v>
      </c>
    </row>
    <row r="139">
      <c r="A139" s="102" t="s">
        <v>310</v>
      </c>
      <c r="B139" s="102" t="s">
        <v>7622</v>
      </c>
      <c r="C139" s="229" t="s">
        <v>7623</v>
      </c>
      <c r="D139" s="102" t="s">
        <v>7624</v>
      </c>
      <c r="E139" s="102" t="s">
        <v>584</v>
      </c>
      <c r="F139" s="102" t="s">
        <v>585</v>
      </c>
      <c r="G139" s="102" t="s">
        <v>353</v>
      </c>
      <c r="H139" s="102" t="s">
        <v>354</v>
      </c>
      <c r="I139" s="102" t="s">
        <v>515</v>
      </c>
      <c r="J139" s="102" t="s">
        <v>454</v>
      </c>
      <c r="L139" s="229" t="s">
        <v>5929</v>
      </c>
      <c r="M139" s="229" t="s">
        <v>7922</v>
      </c>
      <c r="N139" s="229" t="s">
        <v>6456</v>
      </c>
      <c r="O139" s="102">
        <v>8.0</v>
      </c>
      <c r="S139" s="102">
        <v>0.0</v>
      </c>
      <c r="T139" s="230" t="str">
        <f>IF(ISNUMBER(MATCH(B139, 'Sprint 10'!B:B, 0)), "มาจาก Sprint 10", "")</f>
        <v>มาจาก Sprint 10</v>
      </c>
      <c r="U139" s="230" t="str">
        <f t="array" ref="U139">IF(ISNUMBER(MATCH(B139, 'Sprint 10'!B:B, 0)), INDEX('Sprint 10'!J:J, MATCH(B139, 'Sprint 10'!B:B, 0)), "")</f>
        <v>Ready To Test</v>
      </c>
      <c r="V139" s="102">
        <v>57600.0</v>
      </c>
      <c r="W139" s="102" t="s">
        <v>5913</v>
      </c>
      <c r="X139" s="102" t="s">
        <v>5913</v>
      </c>
      <c r="Y139" s="102" t="s">
        <v>5913</v>
      </c>
      <c r="Z139" s="102" t="s">
        <v>5901</v>
      </c>
    </row>
    <row r="140">
      <c r="A140" s="102" t="s">
        <v>310</v>
      </c>
      <c r="B140" s="102" t="s">
        <v>5930</v>
      </c>
      <c r="C140" s="229" t="s">
        <v>5931</v>
      </c>
      <c r="D140" s="102" t="s">
        <v>5932</v>
      </c>
      <c r="E140" s="102" t="s">
        <v>556</v>
      </c>
      <c r="F140" s="102" t="s">
        <v>557</v>
      </c>
      <c r="G140" s="102" t="s">
        <v>353</v>
      </c>
      <c r="H140" s="102" t="s">
        <v>354</v>
      </c>
      <c r="I140" s="102" t="s">
        <v>318</v>
      </c>
      <c r="J140" s="102" t="s">
        <v>454</v>
      </c>
      <c r="L140" s="229" t="s">
        <v>5933</v>
      </c>
      <c r="M140" s="229" t="s">
        <v>7922</v>
      </c>
      <c r="N140" s="229" t="s">
        <v>5934</v>
      </c>
      <c r="O140" s="102">
        <v>3.0</v>
      </c>
      <c r="P140" s="102" t="s">
        <v>5912</v>
      </c>
      <c r="S140" s="102">
        <v>0.0</v>
      </c>
      <c r="T140" s="230" t="str">
        <f>IF(ISNUMBER(MATCH(B140, 'Sprint 10'!B:B, 0)), "มาจาก Sprint 10", "")</f>
        <v>มาจาก Sprint 10</v>
      </c>
      <c r="U140" s="230" t="str">
        <f t="array" ref="U140">IF(ISNUMBER(MATCH(B140, 'Sprint 10'!B:B, 0)), INDEX('Sprint 10'!J:J, MATCH(B140, 'Sprint 10'!B:B, 0)), "")</f>
        <v>Ready To Test</v>
      </c>
      <c r="V140" s="102">
        <v>28800.0</v>
      </c>
      <c r="W140" s="102" t="s">
        <v>5913</v>
      </c>
      <c r="X140" s="102" t="s">
        <v>5913</v>
      </c>
      <c r="Y140" s="102" t="s">
        <v>5913</v>
      </c>
      <c r="Z140" s="102" t="s">
        <v>5901</v>
      </c>
    </row>
    <row r="141">
      <c r="A141" s="102" t="s">
        <v>310</v>
      </c>
      <c r="B141" s="102" t="s">
        <v>8008</v>
      </c>
      <c r="C141" s="229" t="s">
        <v>8009</v>
      </c>
      <c r="D141" s="102" t="s">
        <v>8010</v>
      </c>
      <c r="E141" s="102" t="s">
        <v>556</v>
      </c>
      <c r="F141" s="102" t="s">
        <v>557</v>
      </c>
      <c r="G141" s="102" t="s">
        <v>282</v>
      </c>
      <c r="H141" s="102" t="s">
        <v>283</v>
      </c>
      <c r="I141" s="102" t="s">
        <v>284</v>
      </c>
      <c r="J141" s="102" t="s">
        <v>26</v>
      </c>
      <c r="L141" s="229" t="s">
        <v>8011</v>
      </c>
      <c r="M141" s="229" t="s">
        <v>8012</v>
      </c>
      <c r="N141" s="229" t="s">
        <v>7606</v>
      </c>
      <c r="O141" s="102">
        <v>2.0</v>
      </c>
      <c r="P141" s="102" t="s">
        <v>504</v>
      </c>
      <c r="Q141" s="102" t="s">
        <v>5547</v>
      </c>
      <c r="S141" s="230"/>
      <c r="T141" s="230" t="str">
        <f>IF(ISNUMBER(MATCH(B141, 'Sprint 10'!B:B, 0)), "มาจาก Sprint 10", "")</f>
        <v>มาจาก Sprint 10</v>
      </c>
      <c r="U141" s="230" t="str">
        <f t="array" ref="U141">IF(ISNUMBER(MATCH(B141, 'Sprint 10'!B:B, 0)), INDEX('Sprint 10'!J:J, MATCH(B141, 'Sprint 10'!B:B, 0)), "")</f>
        <v>Ready To Test</v>
      </c>
      <c r="V141" s="230"/>
      <c r="W141" s="102" t="s">
        <v>5913</v>
      </c>
      <c r="X141" s="102" t="s">
        <v>5913</v>
      </c>
      <c r="Y141" s="102" t="s">
        <v>5913</v>
      </c>
      <c r="Z141" s="102" t="s">
        <v>5901</v>
      </c>
    </row>
    <row r="142">
      <c r="A142" s="102" t="s">
        <v>310</v>
      </c>
      <c r="B142" s="102" t="s">
        <v>7630</v>
      </c>
      <c r="C142" s="229" t="s">
        <v>7631</v>
      </c>
      <c r="D142" s="102" t="s">
        <v>7632</v>
      </c>
      <c r="E142" s="102" t="s">
        <v>513</v>
      </c>
      <c r="F142" s="102" t="s">
        <v>514</v>
      </c>
      <c r="G142" s="102" t="s">
        <v>353</v>
      </c>
      <c r="H142" s="102" t="s">
        <v>354</v>
      </c>
      <c r="I142" s="102" t="s">
        <v>318</v>
      </c>
      <c r="J142" s="102" t="s">
        <v>454</v>
      </c>
      <c r="L142" s="229" t="s">
        <v>7633</v>
      </c>
      <c r="M142" s="229" t="s">
        <v>7922</v>
      </c>
      <c r="O142" s="102">
        <v>1.0</v>
      </c>
      <c r="S142" s="102">
        <v>0.0</v>
      </c>
      <c r="T142" s="230" t="str">
        <f>IF(ISNUMBER(MATCH(B142, 'Sprint 10'!B:B, 0)), "มาจาก Sprint 10", "")</f>
        <v>มาจาก Sprint 10</v>
      </c>
      <c r="U142" s="230" t="str">
        <f t="array" ref="U142">IF(ISNUMBER(MATCH(B142, 'Sprint 10'!B:B, 0)), INDEX('Sprint 10'!J:J, MATCH(B142, 'Sprint 10'!B:B, 0)), "")</f>
        <v>Ready To Test</v>
      </c>
      <c r="V142" s="102">
        <v>7200.0</v>
      </c>
      <c r="W142" s="102" t="s">
        <v>5913</v>
      </c>
      <c r="X142" s="102" t="s">
        <v>5913</v>
      </c>
      <c r="Y142" s="102" t="s">
        <v>5913</v>
      </c>
      <c r="Z142" s="102" t="s">
        <v>5901</v>
      </c>
    </row>
    <row r="143">
      <c r="A143" s="102" t="s">
        <v>310</v>
      </c>
      <c r="B143" s="102" t="s">
        <v>6451</v>
      </c>
      <c r="C143" s="229" t="s">
        <v>6452</v>
      </c>
      <c r="D143" s="102" t="s">
        <v>6453</v>
      </c>
      <c r="E143" s="102" t="s">
        <v>556</v>
      </c>
      <c r="F143" s="102" t="s">
        <v>557</v>
      </c>
      <c r="G143" s="102" t="s">
        <v>353</v>
      </c>
      <c r="H143" s="102" t="s">
        <v>354</v>
      </c>
      <c r="I143" s="102" t="s">
        <v>515</v>
      </c>
      <c r="J143" s="102" t="s">
        <v>454</v>
      </c>
      <c r="L143" s="229" t="s">
        <v>6454</v>
      </c>
      <c r="M143" s="229" t="s">
        <v>7922</v>
      </c>
      <c r="N143" s="229" t="s">
        <v>6456</v>
      </c>
      <c r="O143" s="102">
        <v>5.0</v>
      </c>
      <c r="S143" s="102">
        <v>0.0</v>
      </c>
      <c r="T143" s="230" t="str">
        <f>IF(ISNUMBER(MATCH(B143, 'Sprint 10'!B:B, 0)), "มาจาก Sprint 10", "")</f>
        <v>มาจาก Sprint 10</v>
      </c>
      <c r="U143" s="230" t="str">
        <f t="array" ref="U143">IF(ISNUMBER(MATCH(B143, 'Sprint 10'!B:B, 0)), INDEX('Sprint 10'!J:J, MATCH(B143, 'Sprint 10'!B:B, 0)), "")</f>
        <v>Ready To Test</v>
      </c>
      <c r="V143" s="102">
        <v>57600.0</v>
      </c>
      <c r="W143" s="102" t="s">
        <v>5913</v>
      </c>
      <c r="X143" s="102" t="s">
        <v>5913</v>
      </c>
      <c r="Y143" s="102" t="s">
        <v>5913</v>
      </c>
      <c r="Z143" s="102" t="s">
        <v>5901</v>
      </c>
    </row>
    <row r="144">
      <c r="A144" s="102" t="s">
        <v>310</v>
      </c>
      <c r="B144" s="102" t="s">
        <v>6457</v>
      </c>
      <c r="C144" s="229" t="s">
        <v>6458</v>
      </c>
      <c r="D144" s="102" t="s">
        <v>6459</v>
      </c>
      <c r="E144" s="102" t="s">
        <v>564</v>
      </c>
      <c r="F144" s="102" t="s">
        <v>565</v>
      </c>
      <c r="G144" s="102" t="s">
        <v>353</v>
      </c>
      <c r="H144" s="102" t="s">
        <v>354</v>
      </c>
      <c r="I144" s="102" t="s">
        <v>515</v>
      </c>
      <c r="J144" s="102" t="s">
        <v>454</v>
      </c>
      <c r="L144" s="229" t="s">
        <v>6460</v>
      </c>
      <c r="M144" s="229" t="s">
        <v>7922</v>
      </c>
      <c r="N144" s="229" t="s">
        <v>6456</v>
      </c>
      <c r="O144" s="102">
        <v>2.0</v>
      </c>
      <c r="S144" s="102">
        <v>0.0</v>
      </c>
      <c r="T144" s="230" t="str">
        <f>IF(ISNUMBER(MATCH(B144, 'Sprint 10'!B:B, 0)), "มาจาก Sprint 10", "")</f>
        <v>มาจาก Sprint 10</v>
      </c>
      <c r="U144" s="230" t="str">
        <f t="array" ref="U144">IF(ISNUMBER(MATCH(B144, 'Sprint 10'!B:B, 0)), INDEX('Sprint 10'!J:J, MATCH(B144, 'Sprint 10'!B:B, 0)), "")</f>
        <v>Ready To Test</v>
      </c>
      <c r="V144" s="102">
        <v>7200.0</v>
      </c>
      <c r="W144" s="102" t="s">
        <v>5913</v>
      </c>
      <c r="X144" s="102" t="s">
        <v>5913</v>
      </c>
      <c r="Y144" s="102" t="s">
        <v>5913</v>
      </c>
      <c r="Z144" s="102" t="s">
        <v>5901</v>
      </c>
    </row>
    <row r="145">
      <c r="A145" s="102" t="s">
        <v>310</v>
      </c>
      <c r="B145" s="102" t="s">
        <v>7636</v>
      </c>
      <c r="C145" s="229" t="s">
        <v>7637</v>
      </c>
      <c r="D145" s="102" t="s">
        <v>7638</v>
      </c>
      <c r="E145" s="102" t="s">
        <v>564</v>
      </c>
      <c r="F145" s="102" t="s">
        <v>565</v>
      </c>
      <c r="G145" s="102" t="s">
        <v>353</v>
      </c>
      <c r="H145" s="102" t="s">
        <v>354</v>
      </c>
      <c r="I145" s="102" t="s">
        <v>515</v>
      </c>
      <c r="J145" s="102" t="s">
        <v>454</v>
      </c>
      <c r="L145" s="229" t="s">
        <v>7639</v>
      </c>
      <c r="M145" s="229" t="s">
        <v>7922</v>
      </c>
      <c r="N145" s="229" t="s">
        <v>6456</v>
      </c>
      <c r="O145" s="102">
        <v>5.0</v>
      </c>
      <c r="S145" s="102">
        <v>0.0</v>
      </c>
      <c r="T145" s="230" t="str">
        <f>IF(ISNUMBER(MATCH(B145, 'Sprint 10'!B:B, 0)), "มาจาก Sprint 10", "")</f>
        <v>มาจาก Sprint 10</v>
      </c>
      <c r="U145" s="230" t="str">
        <f t="array" ref="U145">IF(ISNUMBER(MATCH(B145, 'Sprint 10'!B:B, 0)), INDEX('Sprint 10'!J:J, MATCH(B145, 'Sprint 10'!B:B, 0)), "")</f>
        <v>Ready To Test</v>
      </c>
      <c r="V145" s="102">
        <v>57600.0</v>
      </c>
      <c r="W145" s="102" t="s">
        <v>5913</v>
      </c>
      <c r="X145" s="102" t="s">
        <v>5913</v>
      </c>
      <c r="Y145" s="102" t="s">
        <v>5913</v>
      </c>
      <c r="Z145" s="102" t="s">
        <v>5901</v>
      </c>
    </row>
    <row r="146">
      <c r="A146" s="102" t="s">
        <v>276</v>
      </c>
      <c r="B146" s="102" t="s">
        <v>7640</v>
      </c>
      <c r="C146" s="229" t="s">
        <v>7641</v>
      </c>
      <c r="D146" s="102" t="s">
        <v>7642</v>
      </c>
      <c r="E146" s="102" t="s">
        <v>391</v>
      </c>
      <c r="F146" s="102" t="s">
        <v>392</v>
      </c>
      <c r="G146" s="102" t="s">
        <v>391</v>
      </c>
      <c r="H146" s="102" t="s">
        <v>392</v>
      </c>
      <c r="I146" s="102" t="s">
        <v>284</v>
      </c>
      <c r="J146" s="102" t="s">
        <v>34</v>
      </c>
      <c r="L146" s="229" t="s">
        <v>7643</v>
      </c>
      <c r="M146" s="229" t="s">
        <v>8013</v>
      </c>
      <c r="O146" s="230"/>
      <c r="S146" s="230"/>
      <c r="T146" s="230" t="str">
        <f>IF(ISNUMBER(MATCH(B146, 'Sprint 10'!B:B, 0)), "มาจาก Sprint 10", "")</f>
        <v>มาจาก Sprint 10</v>
      </c>
      <c r="U146" s="230" t="str">
        <f t="array" ref="U146">IF(ISNUMBER(MATCH(B146, 'Sprint 10'!B:B, 0)), INDEX('Sprint 10'!J:J, MATCH(B146, 'Sprint 10'!B:B, 0)), "")</f>
        <v>In Progress</v>
      </c>
      <c r="W146" s="102" t="s">
        <v>5944</v>
      </c>
      <c r="X146" s="102" t="s">
        <v>5913</v>
      </c>
      <c r="Y146" s="102" t="s">
        <v>5913</v>
      </c>
      <c r="Z146" s="102" t="s">
        <v>5913</v>
      </c>
      <c r="AA146" s="102" t="s">
        <v>5901</v>
      </c>
    </row>
    <row r="147">
      <c r="A147" s="102" t="s">
        <v>276</v>
      </c>
      <c r="B147" s="102" t="s">
        <v>7644</v>
      </c>
      <c r="C147" s="229" t="s">
        <v>7645</v>
      </c>
      <c r="D147" s="102" t="s">
        <v>7646</v>
      </c>
      <c r="E147" s="102" t="s">
        <v>391</v>
      </c>
      <c r="F147" s="102" t="s">
        <v>392</v>
      </c>
      <c r="G147" s="102" t="s">
        <v>391</v>
      </c>
      <c r="H147" s="102" t="s">
        <v>392</v>
      </c>
      <c r="I147" s="102" t="s">
        <v>284</v>
      </c>
      <c r="J147" s="102" t="s">
        <v>34</v>
      </c>
      <c r="L147" s="229" t="s">
        <v>7643</v>
      </c>
      <c r="M147" s="229" t="s">
        <v>7647</v>
      </c>
      <c r="O147" s="230"/>
      <c r="S147" s="230"/>
      <c r="T147" s="230" t="str">
        <f>IF(ISNUMBER(MATCH(B147, 'Sprint 10'!B:B, 0)), "มาจาก Sprint 10", "")</f>
        <v>มาจาก Sprint 10</v>
      </c>
      <c r="U147" s="230" t="str">
        <f t="array" ref="U147">IF(ISNUMBER(MATCH(B147, 'Sprint 10'!B:B, 0)), INDEX('Sprint 10'!J:J, MATCH(B147, 'Sprint 10'!B:B, 0)), "")</f>
        <v>In Progress</v>
      </c>
      <c r="W147" s="102" t="s">
        <v>5944</v>
      </c>
      <c r="X147" s="102" t="s">
        <v>5913</v>
      </c>
      <c r="Y147" s="102" t="s">
        <v>5913</v>
      </c>
      <c r="Z147" s="102" t="s">
        <v>5913</v>
      </c>
      <c r="AA147" s="102" t="s">
        <v>5901</v>
      </c>
    </row>
    <row r="148">
      <c r="A148" s="102" t="s">
        <v>276</v>
      </c>
      <c r="B148" s="102" t="s">
        <v>7648</v>
      </c>
      <c r="C148" s="229" t="s">
        <v>7649</v>
      </c>
      <c r="D148" s="102" t="s">
        <v>7650</v>
      </c>
      <c r="E148" s="102" t="s">
        <v>391</v>
      </c>
      <c r="F148" s="102" t="s">
        <v>392</v>
      </c>
      <c r="G148" s="102" t="s">
        <v>391</v>
      </c>
      <c r="H148" s="102" t="s">
        <v>392</v>
      </c>
      <c r="I148" s="102" t="s">
        <v>284</v>
      </c>
      <c r="J148" s="102" t="s">
        <v>34</v>
      </c>
      <c r="L148" s="229" t="s">
        <v>7643</v>
      </c>
      <c r="M148" s="229" t="s">
        <v>8014</v>
      </c>
      <c r="O148" s="230"/>
      <c r="S148" s="230"/>
      <c r="T148" s="230" t="str">
        <f>IF(ISNUMBER(MATCH(B148, 'Sprint 10'!B:B, 0)), "มาจาก Sprint 10", "")</f>
        <v>มาจาก Sprint 10</v>
      </c>
      <c r="U148" s="230" t="str">
        <f t="array" ref="U148">IF(ISNUMBER(MATCH(B148, 'Sprint 10'!B:B, 0)), INDEX('Sprint 10'!J:J, MATCH(B148, 'Sprint 10'!B:B, 0)), "")</f>
        <v>In Progress</v>
      </c>
      <c r="W148" s="102" t="s">
        <v>5944</v>
      </c>
      <c r="X148" s="102" t="s">
        <v>5913</v>
      </c>
      <c r="Y148" s="102" t="s">
        <v>5913</v>
      </c>
      <c r="Z148" s="102" t="s">
        <v>5913</v>
      </c>
      <c r="AA148" s="102" t="s">
        <v>5901</v>
      </c>
    </row>
    <row r="149">
      <c r="A149" s="102" t="s">
        <v>276</v>
      </c>
      <c r="B149" s="102" t="s">
        <v>7651</v>
      </c>
      <c r="C149" s="229" t="s">
        <v>7652</v>
      </c>
      <c r="D149" s="102" t="s">
        <v>8015</v>
      </c>
      <c r="G149" s="102" t="s">
        <v>391</v>
      </c>
      <c r="H149" s="102" t="s">
        <v>392</v>
      </c>
      <c r="I149" s="102" t="s">
        <v>284</v>
      </c>
      <c r="J149" s="102" t="s">
        <v>63</v>
      </c>
      <c r="L149" s="229" t="s">
        <v>7654</v>
      </c>
      <c r="M149" s="229" t="s">
        <v>8016</v>
      </c>
      <c r="O149" s="230"/>
      <c r="S149" s="230"/>
      <c r="T149" s="230" t="str">
        <f>IF(ISNUMBER(MATCH(B149, 'Sprint 10'!B:B, 0)), "มาจาก Sprint 10", "")</f>
        <v>มาจาก Sprint 10</v>
      </c>
      <c r="U149" s="230" t="str">
        <f t="array" ref="U149">IF(ISNUMBER(MATCH(B149, 'Sprint 10'!B:B, 0)), INDEX('Sprint 10'!J:J, MATCH(B149, 'Sprint 10'!B:B, 0)), "")</f>
        <v>To Do</v>
      </c>
      <c r="W149" s="102" t="s">
        <v>5944</v>
      </c>
      <c r="X149" s="102" t="s">
        <v>5913</v>
      </c>
      <c r="Y149" s="102" t="s">
        <v>5913</v>
      </c>
      <c r="Z149" s="102" t="s">
        <v>5913</v>
      </c>
      <c r="AA149" s="102" t="s">
        <v>5901</v>
      </c>
    </row>
    <row r="150">
      <c r="A150" s="102" t="s">
        <v>276</v>
      </c>
      <c r="B150" s="102" t="s">
        <v>7656</v>
      </c>
      <c r="C150" s="229" t="s">
        <v>7657</v>
      </c>
      <c r="D150" s="102" t="s">
        <v>7658</v>
      </c>
      <c r="E150" s="102" t="s">
        <v>391</v>
      </c>
      <c r="F150" s="102" t="s">
        <v>392</v>
      </c>
      <c r="G150" s="102" t="s">
        <v>391</v>
      </c>
      <c r="H150" s="102" t="s">
        <v>392</v>
      </c>
      <c r="I150" s="102" t="s">
        <v>284</v>
      </c>
      <c r="J150" s="102" t="s">
        <v>34</v>
      </c>
      <c r="L150" s="229" t="s">
        <v>7654</v>
      </c>
      <c r="M150" s="229" t="s">
        <v>8017</v>
      </c>
      <c r="O150" s="230"/>
      <c r="S150" s="230"/>
      <c r="T150" s="230" t="str">
        <f>IF(ISNUMBER(MATCH(B150, 'Sprint 10'!B:B, 0)), "มาจาก Sprint 10", "")</f>
        <v>มาจาก Sprint 10</v>
      </c>
      <c r="U150" s="230" t="str">
        <f t="array" ref="U150">IF(ISNUMBER(MATCH(B150, 'Sprint 10'!B:B, 0)), INDEX('Sprint 10'!J:J, MATCH(B150, 'Sprint 10'!B:B, 0)), "")</f>
        <v>In Progress</v>
      </c>
      <c r="W150" s="102" t="s">
        <v>5944</v>
      </c>
      <c r="X150" s="102" t="s">
        <v>5913</v>
      </c>
      <c r="Y150" s="102" t="s">
        <v>5913</v>
      </c>
      <c r="Z150" s="102" t="s">
        <v>5913</v>
      </c>
      <c r="AA150" s="102" t="s">
        <v>5901</v>
      </c>
    </row>
    <row r="151">
      <c r="A151" s="102" t="s">
        <v>276</v>
      </c>
      <c r="B151" s="102" t="s">
        <v>7659</v>
      </c>
      <c r="C151" s="229" t="s">
        <v>7660</v>
      </c>
      <c r="D151" s="102" t="s">
        <v>7661</v>
      </c>
      <c r="E151" s="102" t="s">
        <v>391</v>
      </c>
      <c r="F151" s="102" t="s">
        <v>392</v>
      </c>
      <c r="G151" s="102" t="s">
        <v>391</v>
      </c>
      <c r="H151" s="102" t="s">
        <v>392</v>
      </c>
      <c r="I151" s="102" t="s">
        <v>284</v>
      </c>
      <c r="J151" s="102" t="s">
        <v>34</v>
      </c>
      <c r="L151" s="229" t="s">
        <v>7654</v>
      </c>
      <c r="M151" s="229" t="s">
        <v>8018</v>
      </c>
      <c r="O151" s="230"/>
      <c r="S151" s="230"/>
      <c r="T151" s="230" t="str">
        <f>IF(ISNUMBER(MATCH(B151, 'Sprint 10'!B:B, 0)), "มาจาก Sprint 10", "")</f>
        <v>มาจาก Sprint 10</v>
      </c>
      <c r="U151" s="230" t="str">
        <f t="array" ref="U151">IF(ISNUMBER(MATCH(B151, 'Sprint 10'!B:B, 0)), INDEX('Sprint 10'!J:J, MATCH(B151, 'Sprint 10'!B:B, 0)), "")</f>
        <v>In Progress</v>
      </c>
      <c r="W151" s="102" t="s">
        <v>5944</v>
      </c>
      <c r="X151" s="102" t="s">
        <v>5913</v>
      </c>
      <c r="Y151" s="102" t="s">
        <v>5913</v>
      </c>
      <c r="Z151" s="102" t="s">
        <v>5913</v>
      </c>
      <c r="AA151" s="102" t="s">
        <v>5901</v>
      </c>
    </row>
    <row r="152">
      <c r="A152" s="102" t="s">
        <v>276</v>
      </c>
      <c r="B152" s="102" t="s">
        <v>7662</v>
      </c>
      <c r="C152" s="229" t="s">
        <v>7663</v>
      </c>
      <c r="D152" s="102" t="s">
        <v>7664</v>
      </c>
      <c r="E152" s="102" t="s">
        <v>391</v>
      </c>
      <c r="F152" s="102" t="s">
        <v>392</v>
      </c>
      <c r="G152" s="102" t="s">
        <v>391</v>
      </c>
      <c r="H152" s="102" t="s">
        <v>392</v>
      </c>
      <c r="I152" s="102" t="s">
        <v>284</v>
      </c>
      <c r="J152" s="102" t="s">
        <v>34</v>
      </c>
      <c r="L152" s="229" t="s">
        <v>7654</v>
      </c>
      <c r="M152" s="229" t="s">
        <v>8019</v>
      </c>
      <c r="O152" s="230"/>
      <c r="S152" s="230"/>
      <c r="T152" s="230" t="str">
        <f>IF(ISNUMBER(MATCH(B152, 'Sprint 10'!B:B, 0)), "มาจาก Sprint 10", "")</f>
        <v>มาจาก Sprint 10</v>
      </c>
      <c r="U152" s="230" t="str">
        <f t="array" ref="U152">IF(ISNUMBER(MATCH(B152, 'Sprint 10'!B:B, 0)), INDEX('Sprint 10'!J:J, MATCH(B152, 'Sprint 10'!B:B, 0)), "")</f>
        <v>In Progress</v>
      </c>
      <c r="W152" s="102" t="s">
        <v>5944</v>
      </c>
      <c r="X152" s="102" t="s">
        <v>5913</v>
      </c>
      <c r="Y152" s="102" t="s">
        <v>5913</v>
      </c>
      <c r="Z152" s="102" t="s">
        <v>5913</v>
      </c>
      <c r="AA152" s="102" t="s">
        <v>5901</v>
      </c>
    </row>
    <row r="153">
      <c r="A153" s="102" t="s">
        <v>276</v>
      </c>
      <c r="B153" s="102" t="s">
        <v>7666</v>
      </c>
      <c r="C153" s="229" t="s">
        <v>7667</v>
      </c>
      <c r="D153" s="102" t="s">
        <v>7668</v>
      </c>
      <c r="E153" s="102" t="s">
        <v>391</v>
      </c>
      <c r="F153" s="102" t="s">
        <v>392</v>
      </c>
      <c r="G153" s="102" t="s">
        <v>391</v>
      </c>
      <c r="H153" s="102" t="s">
        <v>392</v>
      </c>
      <c r="I153" s="102" t="s">
        <v>284</v>
      </c>
      <c r="J153" s="102" t="s">
        <v>34</v>
      </c>
      <c r="L153" s="229" t="s">
        <v>7669</v>
      </c>
      <c r="M153" s="229" t="s">
        <v>8020</v>
      </c>
      <c r="O153" s="230"/>
      <c r="S153" s="230"/>
      <c r="T153" s="230" t="str">
        <f>IF(ISNUMBER(MATCH(B153, 'Sprint 10'!B:B, 0)), "มาจาก Sprint 10", "")</f>
        <v>มาจาก Sprint 10</v>
      </c>
      <c r="U153" s="230" t="str">
        <f t="array" ref="U153">IF(ISNUMBER(MATCH(B153, 'Sprint 10'!B:B, 0)), INDEX('Sprint 10'!J:J, MATCH(B153, 'Sprint 10'!B:B, 0)), "")</f>
        <v>In Progress</v>
      </c>
      <c r="W153" s="102" t="s">
        <v>5944</v>
      </c>
      <c r="X153" s="102" t="s">
        <v>5913</v>
      </c>
      <c r="Y153" s="102" t="s">
        <v>5913</v>
      </c>
      <c r="Z153" s="102" t="s">
        <v>5913</v>
      </c>
      <c r="AA153" s="102" t="s">
        <v>5901</v>
      </c>
    </row>
    <row r="154">
      <c r="A154" s="102" t="s">
        <v>276</v>
      </c>
      <c r="B154" s="102" t="s">
        <v>8021</v>
      </c>
      <c r="C154" s="229" t="s">
        <v>8022</v>
      </c>
      <c r="D154" s="102" t="s">
        <v>1567</v>
      </c>
      <c r="E154" s="102" t="s">
        <v>3288</v>
      </c>
      <c r="F154" s="102" t="s">
        <v>3289</v>
      </c>
      <c r="G154" s="102" t="s">
        <v>391</v>
      </c>
      <c r="H154" s="102" t="s">
        <v>392</v>
      </c>
      <c r="I154" s="102" t="s">
        <v>284</v>
      </c>
      <c r="J154" s="102" t="s">
        <v>34</v>
      </c>
      <c r="L154" s="229" t="s">
        <v>7669</v>
      </c>
      <c r="M154" s="229" t="s">
        <v>7817</v>
      </c>
      <c r="O154" s="230"/>
      <c r="S154" s="230"/>
      <c r="T154" s="230" t="str">
        <f>IF(ISNUMBER(MATCH(B154, 'Sprint 10'!B:B, 0)), "มาจาก Sprint 10", "")</f>
        <v>มาจาก Sprint 10</v>
      </c>
      <c r="U154" s="230" t="str">
        <f t="array" ref="U154">IF(ISNUMBER(MATCH(B154, 'Sprint 10'!B:B, 0)), INDEX('Sprint 10'!J:J, MATCH(B154, 'Sprint 10'!B:B, 0)), "")</f>
        <v>Done</v>
      </c>
      <c r="W154" s="102" t="s">
        <v>5913</v>
      </c>
      <c r="X154" s="102" t="s">
        <v>5913</v>
      </c>
      <c r="Y154" s="102" t="s">
        <v>5913</v>
      </c>
      <c r="Z154" s="102" t="s">
        <v>5901</v>
      </c>
    </row>
    <row r="155">
      <c r="A155" s="102" t="s">
        <v>276</v>
      </c>
      <c r="B155" s="102" t="s">
        <v>7670</v>
      </c>
      <c r="C155" s="229" t="s">
        <v>7671</v>
      </c>
      <c r="D155" s="102" t="s">
        <v>7672</v>
      </c>
      <c r="E155" s="102" t="s">
        <v>391</v>
      </c>
      <c r="F155" s="102" t="s">
        <v>392</v>
      </c>
      <c r="G155" s="102" t="s">
        <v>391</v>
      </c>
      <c r="H155" s="102" t="s">
        <v>392</v>
      </c>
      <c r="I155" s="102" t="s">
        <v>284</v>
      </c>
      <c r="J155" s="102" t="s">
        <v>34</v>
      </c>
      <c r="L155" s="229" t="s">
        <v>7669</v>
      </c>
      <c r="M155" s="229" t="s">
        <v>8020</v>
      </c>
      <c r="O155" s="230"/>
      <c r="S155" s="230"/>
      <c r="T155" s="230" t="str">
        <f>IF(ISNUMBER(MATCH(B155, 'Sprint 10'!B:B, 0)), "มาจาก Sprint 10", "")</f>
        <v>มาจาก Sprint 10</v>
      </c>
      <c r="U155" s="230" t="str">
        <f t="array" ref="U155">IF(ISNUMBER(MATCH(B155, 'Sprint 10'!B:B, 0)), INDEX('Sprint 10'!J:J, MATCH(B155, 'Sprint 10'!B:B, 0)), "")</f>
        <v>In Progress</v>
      </c>
      <c r="W155" s="102" t="s">
        <v>5944</v>
      </c>
      <c r="X155" s="102" t="s">
        <v>5913</v>
      </c>
      <c r="Y155" s="102" t="s">
        <v>5913</v>
      </c>
      <c r="Z155" s="102" t="s">
        <v>5913</v>
      </c>
      <c r="AA155" s="102" t="s">
        <v>5901</v>
      </c>
    </row>
    <row r="156">
      <c r="A156" s="102" t="s">
        <v>276</v>
      </c>
      <c r="B156" s="102" t="s">
        <v>7673</v>
      </c>
      <c r="C156" s="229" t="s">
        <v>7674</v>
      </c>
      <c r="D156" s="102" t="s">
        <v>7675</v>
      </c>
      <c r="E156" s="102" t="s">
        <v>391</v>
      </c>
      <c r="F156" s="102" t="s">
        <v>392</v>
      </c>
      <c r="G156" s="102" t="s">
        <v>391</v>
      </c>
      <c r="H156" s="102" t="s">
        <v>392</v>
      </c>
      <c r="I156" s="102" t="s">
        <v>284</v>
      </c>
      <c r="J156" s="102" t="s">
        <v>34</v>
      </c>
      <c r="L156" s="229" t="s">
        <v>7676</v>
      </c>
      <c r="M156" s="229" t="s">
        <v>8020</v>
      </c>
      <c r="O156" s="230"/>
      <c r="S156" s="230"/>
      <c r="T156" s="230" t="str">
        <f>IF(ISNUMBER(MATCH(B156, 'Sprint 10'!B:B, 0)), "มาจาก Sprint 10", "")</f>
        <v>มาจาก Sprint 10</v>
      </c>
      <c r="U156" s="230" t="str">
        <f t="array" ref="U156">IF(ISNUMBER(MATCH(B156, 'Sprint 10'!B:B, 0)), INDEX('Sprint 10'!J:J, MATCH(B156, 'Sprint 10'!B:B, 0)), "")</f>
        <v>In Progress</v>
      </c>
      <c r="W156" s="102" t="s">
        <v>5944</v>
      </c>
      <c r="X156" s="102" t="s">
        <v>5913</v>
      </c>
      <c r="Y156" s="102" t="s">
        <v>5913</v>
      </c>
      <c r="Z156" s="102" t="s">
        <v>5913</v>
      </c>
      <c r="AA156" s="102" t="s">
        <v>5901</v>
      </c>
    </row>
    <row r="157">
      <c r="A157" s="102" t="s">
        <v>276</v>
      </c>
      <c r="B157" s="102" t="s">
        <v>7677</v>
      </c>
      <c r="C157" s="229" t="s">
        <v>7678</v>
      </c>
      <c r="D157" s="102" t="s">
        <v>7679</v>
      </c>
      <c r="E157" s="102" t="s">
        <v>391</v>
      </c>
      <c r="F157" s="102" t="s">
        <v>392</v>
      </c>
      <c r="G157" s="102" t="s">
        <v>391</v>
      </c>
      <c r="H157" s="102" t="s">
        <v>392</v>
      </c>
      <c r="I157" s="102" t="s">
        <v>284</v>
      </c>
      <c r="J157" s="102" t="s">
        <v>34</v>
      </c>
      <c r="L157" s="229" t="s">
        <v>7676</v>
      </c>
      <c r="M157" s="229" t="s">
        <v>8020</v>
      </c>
      <c r="O157" s="230"/>
      <c r="S157" s="230"/>
      <c r="T157" s="230" t="str">
        <f>IF(ISNUMBER(MATCH(B157, 'Sprint 10'!B:B, 0)), "มาจาก Sprint 10", "")</f>
        <v>มาจาก Sprint 10</v>
      </c>
      <c r="U157" s="230" t="str">
        <f t="array" ref="U157">IF(ISNUMBER(MATCH(B157, 'Sprint 10'!B:B, 0)), INDEX('Sprint 10'!J:J, MATCH(B157, 'Sprint 10'!B:B, 0)), "")</f>
        <v>In Progress</v>
      </c>
      <c r="W157" s="102" t="s">
        <v>5944</v>
      </c>
      <c r="X157" s="102" t="s">
        <v>5913</v>
      </c>
      <c r="Y157" s="102" t="s">
        <v>5913</v>
      </c>
      <c r="Z157" s="102" t="s">
        <v>5913</v>
      </c>
      <c r="AA157" s="102" t="s">
        <v>5901</v>
      </c>
    </row>
    <row r="158">
      <c r="A158" s="102" t="s">
        <v>276</v>
      </c>
      <c r="B158" s="102" t="s">
        <v>7680</v>
      </c>
      <c r="C158" s="229" t="s">
        <v>7681</v>
      </c>
      <c r="D158" s="102" t="s">
        <v>7682</v>
      </c>
      <c r="E158" s="102" t="s">
        <v>391</v>
      </c>
      <c r="F158" s="102" t="s">
        <v>392</v>
      </c>
      <c r="G158" s="102" t="s">
        <v>391</v>
      </c>
      <c r="H158" s="102" t="s">
        <v>392</v>
      </c>
      <c r="I158" s="102" t="s">
        <v>284</v>
      </c>
      <c r="J158" s="102" t="s">
        <v>34</v>
      </c>
      <c r="L158" s="229" t="s">
        <v>7683</v>
      </c>
      <c r="M158" s="229" t="s">
        <v>8023</v>
      </c>
      <c r="O158" s="230"/>
      <c r="S158" s="230"/>
      <c r="T158" s="230" t="str">
        <f>IF(ISNUMBER(MATCH(B158, 'Sprint 10'!B:B, 0)), "มาจาก Sprint 10", "")</f>
        <v>มาจาก Sprint 10</v>
      </c>
      <c r="U158" s="230" t="str">
        <f t="array" ref="U158">IF(ISNUMBER(MATCH(B158, 'Sprint 10'!B:B, 0)), INDEX('Sprint 10'!J:J, MATCH(B158, 'Sprint 10'!B:B, 0)), "")</f>
        <v>In Progress</v>
      </c>
      <c r="W158" s="102" t="s">
        <v>5944</v>
      </c>
      <c r="X158" s="102" t="s">
        <v>5913</v>
      </c>
      <c r="Y158" s="102" t="s">
        <v>5913</v>
      </c>
      <c r="Z158" s="102" t="s">
        <v>5913</v>
      </c>
      <c r="AA158" s="102" t="s">
        <v>5901</v>
      </c>
    </row>
    <row r="159">
      <c r="A159" s="102" t="s">
        <v>276</v>
      </c>
      <c r="B159" s="102" t="s">
        <v>7684</v>
      </c>
      <c r="C159" s="229" t="s">
        <v>7685</v>
      </c>
      <c r="D159" s="102" t="s">
        <v>7686</v>
      </c>
      <c r="E159" s="102" t="s">
        <v>391</v>
      </c>
      <c r="F159" s="102" t="s">
        <v>392</v>
      </c>
      <c r="G159" s="102" t="s">
        <v>391</v>
      </c>
      <c r="H159" s="102" t="s">
        <v>392</v>
      </c>
      <c r="I159" s="102" t="s">
        <v>284</v>
      </c>
      <c r="J159" s="102" t="s">
        <v>34</v>
      </c>
      <c r="L159" s="229" t="s">
        <v>7683</v>
      </c>
      <c r="M159" s="229" t="s">
        <v>8023</v>
      </c>
      <c r="O159" s="230"/>
      <c r="S159" s="230"/>
      <c r="T159" s="230" t="str">
        <f>IF(ISNUMBER(MATCH(B159, 'Sprint 10'!B:B, 0)), "มาจาก Sprint 10", "")</f>
        <v>มาจาก Sprint 10</v>
      </c>
      <c r="U159" s="230" t="str">
        <f t="array" ref="U159">IF(ISNUMBER(MATCH(B159, 'Sprint 10'!B:B, 0)), INDEX('Sprint 10'!J:J, MATCH(B159, 'Sprint 10'!B:B, 0)), "")</f>
        <v>In Progress</v>
      </c>
      <c r="W159" s="102" t="s">
        <v>5944</v>
      </c>
      <c r="X159" s="102" t="s">
        <v>5913</v>
      </c>
      <c r="Y159" s="102" t="s">
        <v>5913</v>
      </c>
      <c r="Z159" s="102" t="s">
        <v>5913</v>
      </c>
      <c r="AA159" s="102" t="s">
        <v>5901</v>
      </c>
    </row>
    <row r="160">
      <c r="A160" s="102" t="s">
        <v>276</v>
      </c>
      <c r="B160" s="102" t="s">
        <v>7687</v>
      </c>
      <c r="C160" s="229" t="s">
        <v>7688</v>
      </c>
      <c r="D160" s="102" t="s">
        <v>7689</v>
      </c>
      <c r="E160" s="102" t="s">
        <v>391</v>
      </c>
      <c r="F160" s="102" t="s">
        <v>392</v>
      </c>
      <c r="G160" s="102" t="s">
        <v>391</v>
      </c>
      <c r="H160" s="102" t="s">
        <v>392</v>
      </c>
      <c r="I160" s="102" t="s">
        <v>284</v>
      </c>
      <c r="J160" s="102" t="s">
        <v>34</v>
      </c>
      <c r="L160" s="229" t="s">
        <v>7690</v>
      </c>
      <c r="M160" s="229" t="s">
        <v>8023</v>
      </c>
      <c r="O160" s="230"/>
      <c r="S160" s="230"/>
      <c r="T160" s="230" t="str">
        <f>IF(ISNUMBER(MATCH(B160, 'Sprint 10'!B:B, 0)), "มาจาก Sprint 10", "")</f>
        <v>มาจาก Sprint 10</v>
      </c>
      <c r="U160" s="230" t="str">
        <f t="array" ref="U160">IF(ISNUMBER(MATCH(B160, 'Sprint 10'!B:B, 0)), INDEX('Sprint 10'!J:J, MATCH(B160, 'Sprint 10'!B:B, 0)), "")</f>
        <v>In Progress</v>
      </c>
      <c r="W160" s="102" t="s">
        <v>5944</v>
      </c>
      <c r="X160" s="102" t="s">
        <v>5913</v>
      </c>
      <c r="Y160" s="102" t="s">
        <v>5913</v>
      </c>
      <c r="Z160" s="102" t="s">
        <v>5913</v>
      </c>
      <c r="AA160" s="102" t="s">
        <v>5901</v>
      </c>
    </row>
    <row r="161">
      <c r="A161" s="102" t="s">
        <v>276</v>
      </c>
      <c r="B161" s="102" t="s">
        <v>7691</v>
      </c>
      <c r="C161" s="229" t="s">
        <v>7692</v>
      </c>
      <c r="D161" s="102" t="s">
        <v>4345</v>
      </c>
      <c r="E161" s="102" t="s">
        <v>391</v>
      </c>
      <c r="F161" s="102" t="s">
        <v>392</v>
      </c>
      <c r="G161" s="102" t="s">
        <v>391</v>
      </c>
      <c r="H161" s="102" t="s">
        <v>392</v>
      </c>
      <c r="I161" s="102" t="s">
        <v>284</v>
      </c>
      <c r="J161" s="102" t="s">
        <v>63</v>
      </c>
      <c r="L161" s="229" t="s">
        <v>7693</v>
      </c>
      <c r="M161" s="229" t="s">
        <v>7693</v>
      </c>
      <c r="O161" s="230"/>
      <c r="S161" s="230"/>
      <c r="T161" s="230" t="str">
        <f>IF(ISNUMBER(MATCH(B161, 'Sprint 10'!B:B, 0)), "มาจาก Sprint 10", "")</f>
        <v>มาจาก Sprint 10</v>
      </c>
      <c r="U161" s="230" t="str">
        <f t="array" ref="U161">IF(ISNUMBER(MATCH(B161, 'Sprint 10'!B:B, 0)), INDEX('Sprint 10'!J:J, MATCH(B161, 'Sprint 10'!B:B, 0)), "")</f>
        <v>To Do</v>
      </c>
      <c r="W161" s="102" t="s">
        <v>7695</v>
      </c>
      <c r="X161" s="102" t="s">
        <v>7696</v>
      </c>
      <c r="Y161" s="102" t="s">
        <v>5944</v>
      </c>
      <c r="Z161" s="102" t="s">
        <v>5913</v>
      </c>
      <c r="AA161" s="102" t="s">
        <v>5913</v>
      </c>
      <c r="AB161" s="102" t="s">
        <v>5913</v>
      </c>
      <c r="AC161" s="102" t="s">
        <v>5901</v>
      </c>
    </row>
    <row r="162">
      <c r="A162" s="102" t="s">
        <v>276</v>
      </c>
      <c r="B162" s="102" t="s">
        <v>6462</v>
      </c>
      <c r="C162" s="229" t="s">
        <v>6463</v>
      </c>
      <c r="D162" s="102" t="s">
        <v>4345</v>
      </c>
      <c r="E162" s="102" t="s">
        <v>280</v>
      </c>
      <c r="F162" s="102" t="s">
        <v>281</v>
      </c>
      <c r="G162" s="102" t="s">
        <v>391</v>
      </c>
      <c r="H162" s="102" t="s">
        <v>392</v>
      </c>
      <c r="I162" s="102" t="s">
        <v>284</v>
      </c>
      <c r="J162" s="102" t="s">
        <v>63</v>
      </c>
      <c r="L162" s="229" t="s">
        <v>6464</v>
      </c>
      <c r="M162" s="229" t="s">
        <v>6464</v>
      </c>
      <c r="O162" s="230"/>
      <c r="S162" s="230"/>
      <c r="T162" s="230" t="str">
        <f>IF(ISNUMBER(MATCH(B162, 'Sprint 10'!B:B, 0)), "มาจาก Sprint 10", "")</f>
        <v>มาจาก Sprint 10</v>
      </c>
      <c r="U162" s="230" t="str">
        <f t="array" ref="U162">IF(ISNUMBER(MATCH(B162, 'Sprint 10'!B:B, 0)), INDEX('Sprint 10'!J:J, MATCH(B162, 'Sprint 10'!B:B, 0)), "")</f>
        <v>To Do</v>
      </c>
      <c r="W162" s="102" t="s">
        <v>5944</v>
      </c>
      <c r="X162" s="102" t="s">
        <v>5913</v>
      </c>
      <c r="Y162" s="102" t="s">
        <v>5913</v>
      </c>
      <c r="Z162" s="102" t="s">
        <v>5913</v>
      </c>
      <c r="AA162" s="102" t="s">
        <v>5901</v>
      </c>
    </row>
    <row r="163">
      <c r="A163" s="102" t="s">
        <v>276</v>
      </c>
      <c r="B163" s="102" t="s">
        <v>8024</v>
      </c>
      <c r="C163" s="229" t="s">
        <v>8025</v>
      </c>
      <c r="D163" s="102" t="s">
        <v>8026</v>
      </c>
      <c r="E163" s="102" t="s">
        <v>521</v>
      </c>
      <c r="F163" s="102" t="s">
        <v>522</v>
      </c>
      <c r="G163" s="102" t="s">
        <v>391</v>
      </c>
      <c r="H163" s="102" t="s">
        <v>392</v>
      </c>
      <c r="I163" s="102" t="s">
        <v>284</v>
      </c>
      <c r="J163" s="102" t="s">
        <v>26</v>
      </c>
      <c r="L163" s="229" t="s">
        <v>7700</v>
      </c>
      <c r="M163" s="229" t="s">
        <v>8027</v>
      </c>
      <c r="O163" s="230"/>
      <c r="S163" s="230"/>
      <c r="T163" s="230" t="str">
        <f>IF(ISNUMBER(MATCH(B163, 'Sprint 10'!B:B, 0)), "มาจาก Sprint 10", "")</f>
        <v>มาจาก Sprint 10</v>
      </c>
      <c r="U163" s="230" t="str">
        <f t="array" ref="U163">IF(ISNUMBER(MATCH(B163, 'Sprint 10'!B:B, 0)), INDEX('Sprint 10'!J:J, MATCH(B163, 'Sprint 10'!B:B, 0)), "")</f>
        <v>Done</v>
      </c>
      <c r="W163" s="102" t="s">
        <v>5944</v>
      </c>
      <c r="X163" s="102" t="s">
        <v>5913</v>
      </c>
      <c r="Y163" s="102" t="s">
        <v>5913</v>
      </c>
      <c r="Z163" s="102" t="s">
        <v>5913</v>
      </c>
      <c r="AA163" s="102" t="s">
        <v>5901</v>
      </c>
    </row>
    <row r="164">
      <c r="A164" s="102" t="s">
        <v>276</v>
      </c>
      <c r="B164" s="102" t="s">
        <v>7697</v>
      </c>
      <c r="C164" s="229" t="s">
        <v>7698</v>
      </c>
      <c r="D164" s="102" t="s">
        <v>7699</v>
      </c>
      <c r="E164" s="102" t="s">
        <v>521</v>
      </c>
      <c r="F164" s="102" t="s">
        <v>522</v>
      </c>
      <c r="G164" s="102" t="s">
        <v>391</v>
      </c>
      <c r="H164" s="102" t="s">
        <v>392</v>
      </c>
      <c r="I164" s="102" t="s">
        <v>284</v>
      </c>
      <c r="J164" s="102" t="s">
        <v>26</v>
      </c>
      <c r="L164" s="229" t="s">
        <v>7700</v>
      </c>
      <c r="M164" s="229" t="s">
        <v>7701</v>
      </c>
      <c r="O164" s="230"/>
      <c r="S164" s="230"/>
      <c r="T164" s="230" t="str">
        <f>IF(ISNUMBER(MATCH(B164, 'Sprint 10'!B:B, 0)), "มาจาก Sprint 10", "")</f>
        <v>มาจาก Sprint 10</v>
      </c>
      <c r="U164" s="230" t="str">
        <f t="array" ref="U164">IF(ISNUMBER(MATCH(B164, 'Sprint 10'!B:B, 0)), INDEX('Sprint 10'!J:J, MATCH(B164, 'Sprint 10'!B:B, 0)), "")</f>
        <v>To Do</v>
      </c>
      <c r="W164" s="102" t="s">
        <v>5944</v>
      </c>
      <c r="X164" s="102" t="s">
        <v>5913</v>
      </c>
      <c r="Y164" s="102" t="s">
        <v>5913</v>
      </c>
      <c r="Z164" s="102" t="s">
        <v>5913</v>
      </c>
      <c r="AA164" s="102" t="s">
        <v>5901</v>
      </c>
    </row>
    <row r="165">
      <c r="A165" s="102" t="s">
        <v>276</v>
      </c>
      <c r="B165" s="102" t="s">
        <v>8028</v>
      </c>
      <c r="C165" s="229" t="s">
        <v>8029</v>
      </c>
      <c r="D165" s="102" t="s">
        <v>8030</v>
      </c>
      <c r="E165" s="102" t="s">
        <v>521</v>
      </c>
      <c r="F165" s="102" t="s">
        <v>522</v>
      </c>
      <c r="G165" s="102" t="s">
        <v>391</v>
      </c>
      <c r="H165" s="102" t="s">
        <v>392</v>
      </c>
      <c r="I165" s="102" t="s">
        <v>284</v>
      </c>
      <c r="J165" s="102" t="s">
        <v>26</v>
      </c>
      <c r="L165" s="229" t="s">
        <v>8031</v>
      </c>
      <c r="M165" s="229" t="s">
        <v>8032</v>
      </c>
      <c r="O165" s="230"/>
      <c r="S165" s="230"/>
      <c r="T165" s="230" t="str">
        <f>IF(ISNUMBER(MATCH(B165, 'Sprint 10'!B:B, 0)), "มาจาก Sprint 10", "")</f>
        <v>มาจาก Sprint 10</v>
      </c>
      <c r="U165" s="230" t="str">
        <f t="array" ref="U165">IF(ISNUMBER(MATCH(B165, 'Sprint 10'!B:B, 0)), INDEX('Sprint 10'!J:J, MATCH(B165, 'Sprint 10'!B:B, 0)), "")</f>
        <v>Done</v>
      </c>
      <c r="W165" s="102" t="s">
        <v>5944</v>
      </c>
      <c r="X165" s="102" t="s">
        <v>5913</v>
      </c>
      <c r="Y165" s="102" t="s">
        <v>5913</v>
      </c>
      <c r="Z165" s="102" t="s">
        <v>5913</v>
      </c>
      <c r="AA165" s="102" t="s">
        <v>5901</v>
      </c>
    </row>
    <row r="166">
      <c r="A166" s="102" t="s">
        <v>310</v>
      </c>
      <c r="B166" s="102" t="s">
        <v>7702</v>
      </c>
      <c r="C166" s="229" t="s">
        <v>7703</v>
      </c>
      <c r="D166" s="102" t="s">
        <v>7704</v>
      </c>
      <c r="E166" s="102" t="s">
        <v>584</v>
      </c>
      <c r="F166" s="102" t="s">
        <v>585</v>
      </c>
      <c r="G166" s="102" t="s">
        <v>282</v>
      </c>
      <c r="H166" s="102" t="s">
        <v>283</v>
      </c>
      <c r="I166" s="102" t="s">
        <v>284</v>
      </c>
      <c r="J166" s="102" t="s">
        <v>454</v>
      </c>
      <c r="L166" s="229" t="s">
        <v>7705</v>
      </c>
      <c r="M166" s="229" t="s">
        <v>7922</v>
      </c>
      <c r="N166" s="229" t="s">
        <v>6456</v>
      </c>
      <c r="O166" s="102">
        <v>3.0</v>
      </c>
      <c r="P166" s="102" t="s">
        <v>5912</v>
      </c>
      <c r="S166" s="102">
        <v>0.0</v>
      </c>
      <c r="T166" s="230" t="str">
        <f>IF(ISNUMBER(MATCH(B166, 'Sprint 10'!B:B, 0)), "มาจาก Sprint 10", "")</f>
        <v>มาจาก Sprint 10</v>
      </c>
      <c r="U166" s="230" t="str">
        <f t="array" ref="U166">IF(ISNUMBER(MATCH(B166, 'Sprint 10'!B:B, 0)), INDEX('Sprint 10'!J:J, MATCH(B166, 'Sprint 10'!B:B, 0)), "")</f>
        <v>Ready To Test</v>
      </c>
      <c r="V166" s="102">
        <v>21600.0</v>
      </c>
      <c r="W166" s="102" t="s">
        <v>5913</v>
      </c>
      <c r="X166" s="102" t="s">
        <v>5913</v>
      </c>
      <c r="Y166" s="102" t="s">
        <v>5913</v>
      </c>
      <c r="Z166" s="102" t="s">
        <v>5901</v>
      </c>
    </row>
    <row r="167">
      <c r="A167" s="102" t="s">
        <v>310</v>
      </c>
      <c r="B167" s="102" t="s">
        <v>6466</v>
      </c>
      <c r="C167" s="229" t="s">
        <v>6467</v>
      </c>
      <c r="D167" s="102" t="s">
        <v>6468</v>
      </c>
      <c r="E167" s="102" t="s">
        <v>304</v>
      </c>
      <c r="F167" s="102" t="s">
        <v>305</v>
      </c>
      <c r="G167" s="102" t="s">
        <v>353</v>
      </c>
      <c r="H167" s="102" t="s">
        <v>354</v>
      </c>
      <c r="I167" s="102" t="s">
        <v>284</v>
      </c>
      <c r="J167" s="102" t="s">
        <v>454</v>
      </c>
      <c r="L167" s="229" t="s">
        <v>6469</v>
      </c>
      <c r="M167" s="229" t="s">
        <v>7922</v>
      </c>
      <c r="N167" s="229" t="s">
        <v>6471</v>
      </c>
      <c r="O167" s="102">
        <v>3.0</v>
      </c>
      <c r="P167" s="102" t="s">
        <v>3197</v>
      </c>
      <c r="Q167" s="102" t="s">
        <v>593</v>
      </c>
      <c r="S167" s="102">
        <v>0.0</v>
      </c>
      <c r="T167" s="230" t="str">
        <f>IF(ISNUMBER(MATCH(B167, 'Sprint 10'!B:B, 0)), "มาจาก Sprint 10", "")</f>
        <v>มาจาก Sprint 10</v>
      </c>
      <c r="U167" s="230" t="str">
        <f t="array" ref="U167">IF(ISNUMBER(MATCH(B167, 'Sprint 10'!B:B, 0)), INDEX('Sprint 10'!J:J, MATCH(B167, 'Sprint 10'!B:B, 0)), "")</f>
        <v>Ready To Test</v>
      </c>
      <c r="V167" s="102">
        <v>18000.0</v>
      </c>
      <c r="W167" s="102" t="s">
        <v>5944</v>
      </c>
      <c r="X167" s="102" t="s">
        <v>5913</v>
      </c>
      <c r="Y167" s="102" t="s">
        <v>5913</v>
      </c>
      <c r="Z167" s="102" t="s">
        <v>5913</v>
      </c>
      <c r="AA167" s="102" t="s">
        <v>5901</v>
      </c>
    </row>
    <row r="168">
      <c r="A168" s="102" t="s">
        <v>310</v>
      </c>
      <c r="B168" s="102" t="s">
        <v>7706</v>
      </c>
      <c r="C168" s="229" t="s">
        <v>7707</v>
      </c>
      <c r="D168" s="102" t="s">
        <v>7708</v>
      </c>
      <c r="E168" s="102" t="s">
        <v>353</v>
      </c>
      <c r="F168" s="102" t="s">
        <v>354</v>
      </c>
      <c r="G168" s="102" t="s">
        <v>353</v>
      </c>
      <c r="H168" s="102" t="s">
        <v>354</v>
      </c>
      <c r="I168" s="102" t="s">
        <v>515</v>
      </c>
      <c r="J168" s="102" t="s">
        <v>454</v>
      </c>
      <c r="L168" s="229" t="s">
        <v>7709</v>
      </c>
      <c r="M168" s="229" t="s">
        <v>8033</v>
      </c>
      <c r="O168" s="102">
        <v>5.0</v>
      </c>
      <c r="S168" s="102">
        <v>0.0</v>
      </c>
      <c r="T168" s="230" t="str">
        <f>IF(ISNUMBER(MATCH(B168, 'Sprint 10'!B:B, 0)), "มาจาก Sprint 10", "")</f>
        <v>มาจาก Sprint 10</v>
      </c>
      <c r="U168" s="230" t="str">
        <f t="array" ref="U168">IF(ISNUMBER(MATCH(B168, 'Sprint 10'!B:B, 0)), INDEX('Sprint 10'!J:J, MATCH(B168, 'Sprint 10'!B:B, 0)), "")</f>
        <v>Ready To Test</v>
      </c>
      <c r="V168" s="102">
        <v>57600.0</v>
      </c>
      <c r="W168" s="102" t="s">
        <v>5913</v>
      </c>
      <c r="X168" s="102" t="s">
        <v>5913</v>
      </c>
      <c r="Y168" s="102" t="s">
        <v>5913</v>
      </c>
      <c r="Z168" s="102" t="s">
        <v>5901</v>
      </c>
    </row>
    <row r="169">
      <c r="A169" s="102" t="s">
        <v>630</v>
      </c>
      <c r="B169" s="102" t="s">
        <v>8034</v>
      </c>
      <c r="C169" s="229" t="s">
        <v>8035</v>
      </c>
      <c r="D169" s="102" t="s">
        <v>8036</v>
      </c>
      <c r="G169" s="102" t="s">
        <v>353</v>
      </c>
      <c r="H169" s="102" t="s">
        <v>354</v>
      </c>
      <c r="I169" s="102" t="s">
        <v>284</v>
      </c>
      <c r="J169" s="102" t="s">
        <v>63</v>
      </c>
      <c r="L169" s="229" t="s">
        <v>8037</v>
      </c>
      <c r="M169" s="229" t="s">
        <v>8038</v>
      </c>
      <c r="O169" s="230"/>
      <c r="S169" s="230"/>
      <c r="T169" s="230" t="str">
        <f>IF(ISNUMBER(MATCH(B169, 'Sprint 10'!B:B, 0)), "มาจาก Sprint 10", "")</f>
        <v>มาจาก Sprint 10</v>
      </c>
      <c r="U169" s="230" t="str">
        <f t="array" ref="U169">IF(ISNUMBER(MATCH(B169, 'Sprint 10'!B:B, 0)), INDEX('Sprint 10'!J:J, MATCH(B169, 'Sprint 10'!B:B, 0)), "")</f>
        <v>To Do</v>
      </c>
      <c r="V169" s="230"/>
      <c r="W169" s="102" t="s">
        <v>8039</v>
      </c>
      <c r="X169" s="102" t="s">
        <v>8039</v>
      </c>
      <c r="Y169" s="102" t="s">
        <v>8039</v>
      </c>
      <c r="Z169" s="102" t="s">
        <v>6450</v>
      </c>
    </row>
    <row r="170">
      <c r="A170" s="102" t="s">
        <v>310</v>
      </c>
      <c r="B170" s="102" t="s">
        <v>6472</v>
      </c>
      <c r="C170" s="229" t="s">
        <v>6473</v>
      </c>
      <c r="D170" s="102" t="s">
        <v>6474</v>
      </c>
      <c r="E170" s="102" t="s">
        <v>282</v>
      </c>
      <c r="F170" s="102" t="s">
        <v>283</v>
      </c>
      <c r="G170" s="102" t="s">
        <v>282</v>
      </c>
      <c r="H170" s="102" t="s">
        <v>283</v>
      </c>
      <c r="I170" s="102" t="s">
        <v>284</v>
      </c>
      <c r="J170" s="102" t="s">
        <v>454</v>
      </c>
      <c r="L170" s="229" t="s">
        <v>6475</v>
      </c>
      <c r="M170" s="229" t="s">
        <v>7922</v>
      </c>
      <c r="O170" s="102">
        <v>0.0</v>
      </c>
      <c r="S170" s="230"/>
      <c r="T170" s="230" t="str">
        <f>IF(ISNUMBER(MATCH(B170, 'Sprint 10'!B:B, 0)), "มาจาก Sprint 10", "")</f>
        <v>มาจาก Sprint 10</v>
      </c>
      <c r="U170" s="230" t="str">
        <f t="array" ref="U170">IF(ISNUMBER(MATCH(B170, 'Sprint 10'!B:B, 0)), INDEX('Sprint 10'!J:J, MATCH(B170, 'Sprint 10'!B:B, 0)), "")</f>
        <v>Ready To Test</v>
      </c>
      <c r="V170" s="230"/>
      <c r="W170" s="102" t="s">
        <v>5944</v>
      </c>
      <c r="X170" s="102" t="s">
        <v>5913</v>
      </c>
      <c r="Y170" s="102" t="s">
        <v>5913</v>
      </c>
      <c r="Z170" s="102" t="s">
        <v>5913</v>
      </c>
      <c r="AA170" s="102" t="s">
        <v>5901</v>
      </c>
    </row>
    <row r="171">
      <c r="A171" s="102" t="s">
        <v>310</v>
      </c>
      <c r="B171" s="102" t="s">
        <v>8040</v>
      </c>
      <c r="C171" s="229" t="s">
        <v>8041</v>
      </c>
      <c r="D171" s="102" t="s">
        <v>8042</v>
      </c>
      <c r="E171" s="102" t="s">
        <v>6860</v>
      </c>
      <c r="F171" s="102" t="s">
        <v>6861</v>
      </c>
      <c r="G171" s="102" t="s">
        <v>282</v>
      </c>
      <c r="H171" s="102" t="s">
        <v>283</v>
      </c>
      <c r="I171" s="102" t="s">
        <v>284</v>
      </c>
      <c r="J171" s="102" t="s">
        <v>26</v>
      </c>
      <c r="L171" s="229" t="s">
        <v>7714</v>
      </c>
      <c r="M171" s="229" t="s">
        <v>7877</v>
      </c>
      <c r="O171" s="102">
        <v>5.0</v>
      </c>
      <c r="P171" s="102" t="s">
        <v>504</v>
      </c>
      <c r="S171" s="230"/>
      <c r="T171" s="230" t="str">
        <f>IF(ISNUMBER(MATCH(B171, 'Sprint 10'!B:B, 0)), "มาจาก Sprint 10", "")</f>
        <v>มาจาก Sprint 10</v>
      </c>
      <c r="U171" s="230" t="str">
        <f t="array" ref="U171">IF(ISNUMBER(MATCH(B171, 'Sprint 10'!B:B, 0)), INDEX('Sprint 10'!J:J, MATCH(B171, 'Sprint 10'!B:B, 0)), "")</f>
        <v>Ready To Test</v>
      </c>
      <c r="V171" s="230"/>
      <c r="W171" s="102" t="s">
        <v>5944</v>
      </c>
      <c r="X171" s="102" t="s">
        <v>5913</v>
      </c>
      <c r="Y171" s="102" t="s">
        <v>5913</v>
      </c>
      <c r="Z171" s="102" t="s">
        <v>5913</v>
      </c>
      <c r="AA171" s="102" t="s">
        <v>5901</v>
      </c>
    </row>
    <row r="172">
      <c r="A172" s="102" t="s">
        <v>310</v>
      </c>
      <c r="B172" s="102" t="s">
        <v>7711</v>
      </c>
      <c r="C172" s="229" t="s">
        <v>7712</v>
      </c>
      <c r="D172" s="102" t="s">
        <v>7713</v>
      </c>
      <c r="E172" s="102" t="s">
        <v>556</v>
      </c>
      <c r="F172" s="102" t="s">
        <v>557</v>
      </c>
      <c r="G172" s="102" t="s">
        <v>282</v>
      </c>
      <c r="H172" s="102" t="s">
        <v>283</v>
      </c>
      <c r="I172" s="102" t="s">
        <v>284</v>
      </c>
      <c r="J172" s="102" t="s">
        <v>454</v>
      </c>
      <c r="L172" s="229" t="s">
        <v>7714</v>
      </c>
      <c r="M172" s="229" t="s">
        <v>8043</v>
      </c>
      <c r="N172" s="229" t="s">
        <v>6471</v>
      </c>
      <c r="O172" s="102">
        <v>5.0</v>
      </c>
      <c r="P172" s="102" t="s">
        <v>504</v>
      </c>
      <c r="S172" s="102">
        <v>0.0</v>
      </c>
      <c r="T172" s="230" t="str">
        <f>IF(ISNUMBER(MATCH(B172, 'Sprint 10'!B:B, 0)), "มาจาก Sprint 10", "")</f>
        <v>มาจาก Sprint 10</v>
      </c>
      <c r="U172" s="230" t="str">
        <f t="array" ref="U172">IF(ISNUMBER(MATCH(B172, 'Sprint 10'!B:B, 0)), INDEX('Sprint 10'!J:J, MATCH(B172, 'Sprint 10'!B:B, 0)), "")</f>
        <v>Ready To Test</v>
      </c>
      <c r="V172" s="102">
        <v>57600.0</v>
      </c>
      <c r="W172" s="102" t="s">
        <v>5944</v>
      </c>
      <c r="X172" s="102" t="s">
        <v>5913</v>
      </c>
      <c r="Y172" s="102" t="s">
        <v>5913</v>
      </c>
      <c r="Z172" s="102" t="s">
        <v>5913</v>
      </c>
      <c r="AA172" s="102" t="s">
        <v>5901</v>
      </c>
    </row>
    <row r="173">
      <c r="A173" s="102" t="s">
        <v>310</v>
      </c>
      <c r="B173" s="102" t="s">
        <v>8044</v>
      </c>
      <c r="C173" s="229" t="s">
        <v>8045</v>
      </c>
      <c r="D173" s="102" t="s">
        <v>8046</v>
      </c>
      <c r="E173" s="102" t="s">
        <v>556</v>
      </c>
      <c r="F173" s="102" t="s">
        <v>557</v>
      </c>
      <c r="G173" s="102" t="s">
        <v>282</v>
      </c>
      <c r="H173" s="102" t="s">
        <v>283</v>
      </c>
      <c r="I173" s="102" t="s">
        <v>284</v>
      </c>
      <c r="J173" s="102" t="s">
        <v>26</v>
      </c>
      <c r="L173" s="229" t="s">
        <v>7714</v>
      </c>
      <c r="M173" s="229" t="s">
        <v>7877</v>
      </c>
      <c r="N173" s="229" t="s">
        <v>8047</v>
      </c>
      <c r="O173" s="102">
        <v>5.0</v>
      </c>
      <c r="P173" s="102" t="s">
        <v>504</v>
      </c>
      <c r="S173" s="102">
        <v>0.0</v>
      </c>
      <c r="T173" s="230" t="str">
        <f>IF(ISNUMBER(MATCH(B173, 'Sprint 10'!B:B, 0)), "มาจาก Sprint 10", "")</f>
        <v>มาจาก Sprint 10</v>
      </c>
      <c r="U173" s="230" t="str">
        <f t="array" ref="U173">IF(ISNUMBER(MATCH(B173, 'Sprint 10'!B:B, 0)), INDEX('Sprint 10'!J:J, MATCH(B173, 'Sprint 10'!B:B, 0)), "")</f>
        <v>Ready To Test</v>
      </c>
      <c r="V173" s="102">
        <v>57600.0</v>
      </c>
      <c r="W173" s="102" t="s">
        <v>5944</v>
      </c>
      <c r="X173" s="102" t="s">
        <v>5913</v>
      </c>
      <c r="Y173" s="102" t="s">
        <v>5913</v>
      </c>
      <c r="Z173" s="102" t="s">
        <v>5913</v>
      </c>
      <c r="AA173" s="102" t="s">
        <v>5901</v>
      </c>
    </row>
    <row r="174">
      <c r="A174" s="102" t="s">
        <v>310</v>
      </c>
      <c r="B174" s="102" t="s">
        <v>7716</v>
      </c>
      <c r="C174" s="229" t="s">
        <v>7717</v>
      </c>
      <c r="D174" s="102" t="s">
        <v>7718</v>
      </c>
      <c r="E174" s="102" t="s">
        <v>564</v>
      </c>
      <c r="F174" s="102" t="s">
        <v>565</v>
      </c>
      <c r="G174" s="102" t="s">
        <v>282</v>
      </c>
      <c r="H174" s="102" t="s">
        <v>283</v>
      </c>
      <c r="I174" s="102" t="s">
        <v>284</v>
      </c>
      <c r="J174" s="102" t="s">
        <v>454</v>
      </c>
      <c r="L174" s="229" t="s">
        <v>7719</v>
      </c>
      <c r="M174" s="229" t="s">
        <v>7877</v>
      </c>
      <c r="N174" s="229" t="s">
        <v>7720</v>
      </c>
      <c r="O174" s="102">
        <v>2.0</v>
      </c>
      <c r="P174" s="102" t="s">
        <v>504</v>
      </c>
      <c r="S174" s="102">
        <v>0.0</v>
      </c>
      <c r="T174" s="230" t="str">
        <f>IF(ISNUMBER(MATCH(B174, 'Sprint 10'!B:B, 0)), "มาจาก Sprint 10", "")</f>
        <v>มาจาก Sprint 10</v>
      </c>
      <c r="U174" s="230" t="str">
        <f t="array" ref="U174">IF(ISNUMBER(MATCH(B174, 'Sprint 10'!B:B, 0)), INDEX('Sprint 10'!J:J, MATCH(B174, 'Sprint 10'!B:B, 0)), "")</f>
        <v>Ready To Test</v>
      </c>
      <c r="V174" s="102">
        <v>10800.0</v>
      </c>
      <c r="W174" s="102" t="s">
        <v>5944</v>
      </c>
      <c r="X174" s="102" t="s">
        <v>5913</v>
      </c>
      <c r="Y174" s="102" t="s">
        <v>5913</v>
      </c>
      <c r="Z174" s="102" t="s">
        <v>5913</v>
      </c>
      <c r="AA174" s="102" t="s">
        <v>5901</v>
      </c>
    </row>
    <row r="175">
      <c r="A175" s="102" t="s">
        <v>310</v>
      </c>
      <c r="B175" s="102" t="s">
        <v>7721</v>
      </c>
      <c r="C175" s="229" t="s">
        <v>7722</v>
      </c>
      <c r="D175" s="102" t="s">
        <v>7723</v>
      </c>
      <c r="E175" s="102" t="s">
        <v>564</v>
      </c>
      <c r="F175" s="102" t="s">
        <v>565</v>
      </c>
      <c r="G175" s="102" t="s">
        <v>282</v>
      </c>
      <c r="H175" s="102" t="s">
        <v>283</v>
      </c>
      <c r="I175" s="102" t="s">
        <v>284</v>
      </c>
      <c r="J175" s="102" t="s">
        <v>454</v>
      </c>
      <c r="L175" s="229" t="s">
        <v>7724</v>
      </c>
      <c r="M175" s="229" t="s">
        <v>7877</v>
      </c>
      <c r="N175" s="229" t="s">
        <v>7726</v>
      </c>
      <c r="O175" s="102">
        <v>3.0</v>
      </c>
      <c r="P175" s="102" t="s">
        <v>504</v>
      </c>
      <c r="S175" s="102">
        <v>0.0</v>
      </c>
      <c r="T175" s="230" t="str">
        <f>IF(ISNUMBER(MATCH(B175, 'Sprint 10'!B:B, 0)), "มาจาก Sprint 10", "")</f>
        <v>มาจาก Sprint 10</v>
      </c>
      <c r="U175" s="230" t="str">
        <f t="array" ref="U175">IF(ISNUMBER(MATCH(B175, 'Sprint 10'!B:B, 0)), INDEX('Sprint 10'!J:J, MATCH(B175, 'Sprint 10'!B:B, 0)), "")</f>
        <v>Ready To Test</v>
      </c>
      <c r="V175" s="102">
        <v>28800.0</v>
      </c>
      <c r="W175" s="102" t="s">
        <v>5944</v>
      </c>
      <c r="X175" s="102" t="s">
        <v>5913</v>
      </c>
      <c r="Y175" s="102" t="s">
        <v>5913</v>
      </c>
      <c r="Z175" s="102" t="s">
        <v>5913</v>
      </c>
      <c r="AA175" s="102" t="s">
        <v>5901</v>
      </c>
    </row>
    <row r="176">
      <c r="A176" s="102" t="s">
        <v>310</v>
      </c>
      <c r="B176" s="102" t="s">
        <v>7727</v>
      </c>
      <c r="C176" s="229" t="s">
        <v>7728</v>
      </c>
      <c r="D176" s="102" t="s">
        <v>7729</v>
      </c>
      <c r="E176" s="102" t="s">
        <v>564</v>
      </c>
      <c r="F176" s="102" t="s">
        <v>565</v>
      </c>
      <c r="G176" s="102" t="s">
        <v>282</v>
      </c>
      <c r="H176" s="102" t="s">
        <v>283</v>
      </c>
      <c r="I176" s="102" t="s">
        <v>284</v>
      </c>
      <c r="J176" s="102" t="s">
        <v>454</v>
      </c>
      <c r="L176" s="229" t="s">
        <v>7730</v>
      </c>
      <c r="M176" s="229" t="s">
        <v>7877</v>
      </c>
      <c r="N176" s="229" t="s">
        <v>7720</v>
      </c>
      <c r="O176" s="102">
        <v>2.0</v>
      </c>
      <c r="P176" s="102" t="s">
        <v>504</v>
      </c>
      <c r="S176" s="102">
        <v>0.0</v>
      </c>
      <c r="T176" s="230" t="str">
        <f>IF(ISNUMBER(MATCH(B176, 'Sprint 10'!B:B, 0)), "มาจาก Sprint 10", "")</f>
        <v>มาจาก Sprint 10</v>
      </c>
      <c r="U176" s="230" t="str">
        <f t="array" ref="U176">IF(ISNUMBER(MATCH(B176, 'Sprint 10'!B:B, 0)), INDEX('Sprint 10'!J:J, MATCH(B176, 'Sprint 10'!B:B, 0)), "")</f>
        <v>Ready To Test</v>
      </c>
      <c r="V176" s="102">
        <v>10800.0</v>
      </c>
      <c r="W176" s="102" t="s">
        <v>5944</v>
      </c>
      <c r="X176" s="102" t="s">
        <v>5913</v>
      </c>
      <c r="Y176" s="102" t="s">
        <v>5913</v>
      </c>
      <c r="Z176" s="102" t="s">
        <v>5913</v>
      </c>
      <c r="AA176" s="102" t="s">
        <v>5901</v>
      </c>
    </row>
    <row r="177">
      <c r="A177" s="102" t="s">
        <v>310</v>
      </c>
      <c r="B177" s="102" t="s">
        <v>7731</v>
      </c>
      <c r="C177" s="229" t="s">
        <v>7732</v>
      </c>
      <c r="D177" s="102" t="s">
        <v>7733</v>
      </c>
      <c r="E177" s="102" t="s">
        <v>564</v>
      </c>
      <c r="F177" s="102" t="s">
        <v>565</v>
      </c>
      <c r="G177" s="102" t="s">
        <v>282</v>
      </c>
      <c r="H177" s="102" t="s">
        <v>283</v>
      </c>
      <c r="I177" s="102" t="s">
        <v>284</v>
      </c>
      <c r="J177" s="102" t="s">
        <v>454</v>
      </c>
      <c r="L177" s="229" t="s">
        <v>7734</v>
      </c>
      <c r="M177" s="229" t="s">
        <v>7877</v>
      </c>
      <c r="N177" s="229" t="s">
        <v>7735</v>
      </c>
      <c r="O177" s="102">
        <v>2.0</v>
      </c>
      <c r="P177" s="102" t="s">
        <v>504</v>
      </c>
      <c r="S177" s="102">
        <v>0.0</v>
      </c>
      <c r="T177" s="230" t="str">
        <f>IF(ISNUMBER(MATCH(B177, 'Sprint 10'!B:B, 0)), "มาจาก Sprint 10", "")</f>
        <v>มาจาก Sprint 10</v>
      </c>
      <c r="U177" s="230" t="str">
        <f t="array" ref="U177">IF(ISNUMBER(MATCH(B177, 'Sprint 10'!B:B, 0)), INDEX('Sprint 10'!J:J, MATCH(B177, 'Sprint 10'!B:B, 0)), "")</f>
        <v>Ready To Test</v>
      </c>
      <c r="V177" s="102">
        <v>10800.0</v>
      </c>
      <c r="W177" s="102" t="s">
        <v>5944</v>
      </c>
      <c r="X177" s="102" t="s">
        <v>5913</v>
      </c>
      <c r="Y177" s="102" t="s">
        <v>5913</v>
      </c>
      <c r="Z177" s="102" t="s">
        <v>5913</v>
      </c>
      <c r="AA177" s="102" t="s">
        <v>5901</v>
      </c>
    </row>
    <row r="178">
      <c r="A178" s="102" t="s">
        <v>310</v>
      </c>
      <c r="B178" s="102" t="s">
        <v>7736</v>
      </c>
      <c r="C178" s="229" t="s">
        <v>7737</v>
      </c>
      <c r="D178" s="102" t="s">
        <v>7738</v>
      </c>
      <c r="E178" s="102" t="s">
        <v>495</v>
      </c>
      <c r="F178" s="102" t="s">
        <v>496</v>
      </c>
      <c r="G178" s="102" t="s">
        <v>282</v>
      </c>
      <c r="H178" s="102" t="s">
        <v>283</v>
      </c>
      <c r="I178" s="102" t="s">
        <v>284</v>
      </c>
      <c r="J178" s="102" t="s">
        <v>454</v>
      </c>
      <c r="L178" s="229" t="s">
        <v>7739</v>
      </c>
      <c r="M178" s="229" t="s">
        <v>7877</v>
      </c>
      <c r="O178" s="102">
        <v>2.0</v>
      </c>
      <c r="P178" s="102" t="s">
        <v>504</v>
      </c>
      <c r="S178" s="102">
        <v>0.0</v>
      </c>
      <c r="T178" s="230" t="str">
        <f>IF(ISNUMBER(MATCH(B178, 'Sprint 10'!B:B, 0)), "มาจาก Sprint 10", "")</f>
        <v>มาจาก Sprint 10</v>
      </c>
      <c r="U178" s="230" t="str">
        <f t="array" ref="U178">IF(ISNUMBER(MATCH(B178, 'Sprint 10'!B:B, 0)), INDEX('Sprint 10'!J:J, MATCH(B178, 'Sprint 10'!B:B, 0)), "")</f>
        <v>Ready To Test</v>
      </c>
      <c r="V178" s="102">
        <v>28800.0</v>
      </c>
      <c r="W178" s="102" t="s">
        <v>5944</v>
      </c>
      <c r="X178" s="102" t="s">
        <v>5913</v>
      </c>
      <c r="Y178" s="102" t="s">
        <v>5913</v>
      </c>
      <c r="Z178" s="102" t="s">
        <v>5913</v>
      </c>
      <c r="AA178" s="102" t="s">
        <v>5901</v>
      </c>
    </row>
    <row r="179">
      <c r="A179" s="102" t="s">
        <v>310</v>
      </c>
      <c r="B179" s="102" t="s">
        <v>7740</v>
      </c>
      <c r="C179" s="229" t="s">
        <v>7741</v>
      </c>
      <c r="D179" s="102" t="s">
        <v>7742</v>
      </c>
      <c r="E179" s="102" t="s">
        <v>556</v>
      </c>
      <c r="F179" s="102" t="s">
        <v>557</v>
      </c>
      <c r="G179" s="102" t="s">
        <v>282</v>
      </c>
      <c r="H179" s="102" t="s">
        <v>283</v>
      </c>
      <c r="I179" s="102" t="s">
        <v>284</v>
      </c>
      <c r="J179" s="102" t="s">
        <v>454</v>
      </c>
      <c r="L179" s="229" t="s">
        <v>7739</v>
      </c>
      <c r="M179" s="229" t="s">
        <v>7877</v>
      </c>
      <c r="N179" s="229" t="s">
        <v>7743</v>
      </c>
      <c r="O179" s="102">
        <v>5.0</v>
      </c>
      <c r="P179" s="102" t="s">
        <v>504</v>
      </c>
      <c r="S179" s="102">
        <v>0.0</v>
      </c>
      <c r="T179" s="230" t="str">
        <f>IF(ISNUMBER(MATCH(B179, 'Sprint 10'!B:B, 0)), "มาจาก Sprint 10", "")</f>
        <v>มาจาก Sprint 10</v>
      </c>
      <c r="U179" s="230" t="str">
        <f t="array" ref="U179">IF(ISNUMBER(MATCH(B179, 'Sprint 10'!B:B, 0)), INDEX('Sprint 10'!J:J, MATCH(B179, 'Sprint 10'!B:B, 0)), "")</f>
        <v>Ready To Test</v>
      </c>
      <c r="V179" s="102">
        <v>57600.0</v>
      </c>
      <c r="W179" s="102" t="s">
        <v>5944</v>
      </c>
      <c r="X179" s="102" t="s">
        <v>5913</v>
      </c>
      <c r="Y179" s="102" t="s">
        <v>5913</v>
      </c>
      <c r="Z179" s="102" t="s">
        <v>5913</v>
      </c>
      <c r="AA179" s="102" t="s">
        <v>5901</v>
      </c>
    </row>
    <row r="180">
      <c r="A180" s="102" t="s">
        <v>310</v>
      </c>
      <c r="B180" s="102" t="s">
        <v>7744</v>
      </c>
      <c r="C180" s="229" t="s">
        <v>7745</v>
      </c>
      <c r="D180" s="102" t="s">
        <v>7746</v>
      </c>
      <c r="E180" s="102" t="s">
        <v>564</v>
      </c>
      <c r="F180" s="102" t="s">
        <v>565</v>
      </c>
      <c r="G180" s="102" t="s">
        <v>282</v>
      </c>
      <c r="H180" s="102" t="s">
        <v>283</v>
      </c>
      <c r="I180" s="102" t="s">
        <v>284</v>
      </c>
      <c r="J180" s="102" t="s">
        <v>454</v>
      </c>
      <c r="L180" s="229" t="s">
        <v>7739</v>
      </c>
      <c r="M180" s="229" t="s">
        <v>7877</v>
      </c>
      <c r="N180" s="229" t="s">
        <v>7735</v>
      </c>
      <c r="O180" s="102">
        <v>3.0</v>
      </c>
      <c r="P180" s="102" t="s">
        <v>504</v>
      </c>
      <c r="S180" s="102">
        <v>0.0</v>
      </c>
      <c r="T180" s="230" t="str">
        <f>IF(ISNUMBER(MATCH(B180, 'Sprint 10'!B:B, 0)), "มาจาก Sprint 10", "")</f>
        <v>มาจาก Sprint 10</v>
      </c>
      <c r="U180" s="230" t="str">
        <f t="array" ref="U180">IF(ISNUMBER(MATCH(B180, 'Sprint 10'!B:B, 0)), INDEX('Sprint 10'!J:J, MATCH(B180, 'Sprint 10'!B:B, 0)), "")</f>
        <v>Ready To Test</v>
      </c>
      <c r="V180" s="102">
        <v>28800.0</v>
      </c>
      <c r="W180" s="102" t="s">
        <v>5944</v>
      </c>
      <c r="X180" s="102" t="s">
        <v>5913</v>
      </c>
      <c r="Y180" s="102" t="s">
        <v>5913</v>
      </c>
      <c r="Z180" s="102" t="s">
        <v>5913</v>
      </c>
      <c r="AA180" s="102" t="s">
        <v>5901</v>
      </c>
    </row>
    <row r="181">
      <c r="A181" s="102" t="s">
        <v>310</v>
      </c>
      <c r="B181" s="102" t="s">
        <v>7747</v>
      </c>
      <c r="C181" s="229" t="s">
        <v>7748</v>
      </c>
      <c r="D181" s="102" t="s">
        <v>7749</v>
      </c>
      <c r="E181" s="102" t="s">
        <v>495</v>
      </c>
      <c r="F181" s="102" t="s">
        <v>496</v>
      </c>
      <c r="G181" s="102" t="s">
        <v>282</v>
      </c>
      <c r="H181" s="102" t="s">
        <v>283</v>
      </c>
      <c r="I181" s="102" t="s">
        <v>284</v>
      </c>
      <c r="J181" s="102" t="s">
        <v>454</v>
      </c>
      <c r="L181" s="229" t="s">
        <v>7739</v>
      </c>
      <c r="M181" s="229" t="s">
        <v>7877</v>
      </c>
      <c r="O181" s="102">
        <v>8.0</v>
      </c>
      <c r="P181" s="102" t="s">
        <v>504</v>
      </c>
      <c r="S181" s="102">
        <v>0.0</v>
      </c>
      <c r="T181" s="230" t="str">
        <f>IF(ISNUMBER(MATCH(B181, 'Sprint 10'!B:B, 0)), "มาจาก Sprint 10", "")</f>
        <v>มาจาก Sprint 10</v>
      </c>
      <c r="U181" s="230" t="str">
        <f t="array" ref="U181">IF(ISNUMBER(MATCH(B181, 'Sprint 10'!B:B, 0)), INDEX('Sprint 10'!J:J, MATCH(B181, 'Sprint 10'!B:B, 0)), "")</f>
        <v>Ready To Test</v>
      </c>
      <c r="V181" s="102">
        <v>86400.0</v>
      </c>
      <c r="W181" s="102" t="s">
        <v>5944</v>
      </c>
      <c r="X181" s="102" t="s">
        <v>5913</v>
      </c>
      <c r="Y181" s="102" t="s">
        <v>5913</v>
      </c>
      <c r="Z181" s="102" t="s">
        <v>5913</v>
      </c>
      <c r="AA181" s="102" t="s">
        <v>5901</v>
      </c>
    </row>
    <row r="182">
      <c r="A182" s="102" t="s">
        <v>310</v>
      </c>
      <c r="B182" s="102" t="s">
        <v>7750</v>
      </c>
      <c r="C182" s="229" t="s">
        <v>7751</v>
      </c>
      <c r="D182" s="102" t="s">
        <v>7752</v>
      </c>
      <c r="E182" s="102" t="s">
        <v>495</v>
      </c>
      <c r="F182" s="102" t="s">
        <v>496</v>
      </c>
      <c r="G182" s="102" t="s">
        <v>282</v>
      </c>
      <c r="H182" s="102" t="s">
        <v>283</v>
      </c>
      <c r="I182" s="102" t="s">
        <v>284</v>
      </c>
      <c r="J182" s="102" t="s">
        <v>454</v>
      </c>
      <c r="L182" s="229" t="s">
        <v>7753</v>
      </c>
      <c r="M182" s="229" t="s">
        <v>7877</v>
      </c>
      <c r="O182" s="102">
        <v>5.0</v>
      </c>
      <c r="P182" s="102" t="s">
        <v>504</v>
      </c>
      <c r="S182" s="102">
        <v>0.0</v>
      </c>
      <c r="T182" s="230" t="str">
        <f>IF(ISNUMBER(MATCH(B182, 'Sprint 10'!B:B, 0)), "มาจาก Sprint 10", "")</f>
        <v>มาจาก Sprint 10</v>
      </c>
      <c r="U182" s="230" t="str">
        <f t="array" ref="U182">IF(ISNUMBER(MATCH(B182, 'Sprint 10'!B:B, 0)), INDEX('Sprint 10'!J:J, MATCH(B182, 'Sprint 10'!B:B, 0)), "")</f>
        <v>Ready To Test</v>
      </c>
      <c r="V182" s="102">
        <v>28800.0</v>
      </c>
      <c r="W182" s="102" t="s">
        <v>5944</v>
      </c>
      <c r="X182" s="102" t="s">
        <v>5913</v>
      </c>
      <c r="Y182" s="102" t="s">
        <v>5913</v>
      </c>
      <c r="Z182" s="102" t="s">
        <v>5913</v>
      </c>
      <c r="AA182" s="102" t="s">
        <v>5901</v>
      </c>
    </row>
    <row r="183">
      <c r="A183" s="102" t="s">
        <v>310</v>
      </c>
      <c r="B183" s="102" t="s">
        <v>7754</v>
      </c>
      <c r="C183" s="229" t="s">
        <v>7755</v>
      </c>
      <c r="D183" s="102" t="s">
        <v>7756</v>
      </c>
      <c r="E183" s="102" t="s">
        <v>556</v>
      </c>
      <c r="F183" s="102" t="s">
        <v>557</v>
      </c>
      <c r="G183" s="102" t="s">
        <v>282</v>
      </c>
      <c r="H183" s="102" t="s">
        <v>283</v>
      </c>
      <c r="I183" s="102" t="s">
        <v>284</v>
      </c>
      <c r="J183" s="102" t="s">
        <v>454</v>
      </c>
      <c r="L183" s="229" t="s">
        <v>7757</v>
      </c>
      <c r="M183" s="229" t="s">
        <v>7877</v>
      </c>
      <c r="N183" s="229" t="s">
        <v>7726</v>
      </c>
      <c r="O183" s="102">
        <v>3.0</v>
      </c>
      <c r="P183" s="102" t="s">
        <v>504</v>
      </c>
      <c r="S183" s="102">
        <v>0.0</v>
      </c>
      <c r="T183" s="230" t="str">
        <f>IF(ISNUMBER(MATCH(B183, 'Sprint 10'!B:B, 0)), "มาจาก Sprint 10", "")</f>
        <v>มาจาก Sprint 10</v>
      </c>
      <c r="U183" s="230" t="str">
        <f t="array" ref="U183">IF(ISNUMBER(MATCH(B183, 'Sprint 10'!B:B, 0)), INDEX('Sprint 10'!J:J, MATCH(B183, 'Sprint 10'!B:B, 0)), "")</f>
        <v>Ready To Test</v>
      </c>
      <c r="V183" s="102">
        <v>28800.0</v>
      </c>
      <c r="W183" s="102" t="s">
        <v>5944</v>
      </c>
      <c r="X183" s="102" t="s">
        <v>5913</v>
      </c>
      <c r="Y183" s="102" t="s">
        <v>5913</v>
      </c>
      <c r="Z183" s="102" t="s">
        <v>5913</v>
      </c>
      <c r="AA183" s="102" t="s">
        <v>5901</v>
      </c>
    </row>
    <row r="184">
      <c r="A184" s="102" t="s">
        <v>310</v>
      </c>
      <c r="B184" s="102" t="s">
        <v>7758</v>
      </c>
      <c r="C184" s="229" t="s">
        <v>7759</v>
      </c>
      <c r="D184" s="102" t="s">
        <v>7760</v>
      </c>
      <c r="E184" s="102" t="s">
        <v>564</v>
      </c>
      <c r="F184" s="102" t="s">
        <v>565</v>
      </c>
      <c r="G184" s="102" t="s">
        <v>282</v>
      </c>
      <c r="H184" s="102" t="s">
        <v>283</v>
      </c>
      <c r="I184" s="102" t="s">
        <v>284</v>
      </c>
      <c r="J184" s="102" t="s">
        <v>454</v>
      </c>
      <c r="L184" s="229" t="s">
        <v>7757</v>
      </c>
      <c r="M184" s="229" t="s">
        <v>7877</v>
      </c>
      <c r="N184" s="229" t="s">
        <v>7761</v>
      </c>
      <c r="O184" s="102">
        <v>3.0</v>
      </c>
      <c r="P184" s="102" t="s">
        <v>504</v>
      </c>
      <c r="S184" s="102">
        <v>0.0</v>
      </c>
      <c r="T184" s="230" t="str">
        <f>IF(ISNUMBER(MATCH(B184, 'Sprint 10'!B:B, 0)), "มาจาก Sprint 10", "")</f>
        <v>มาจาก Sprint 10</v>
      </c>
      <c r="U184" s="230" t="str">
        <f t="array" ref="U184">IF(ISNUMBER(MATCH(B184, 'Sprint 10'!B:B, 0)), INDEX('Sprint 10'!J:J, MATCH(B184, 'Sprint 10'!B:B, 0)), "")</f>
        <v>Ready To Test</v>
      </c>
      <c r="V184" s="102">
        <v>28800.0</v>
      </c>
      <c r="W184" s="102" t="s">
        <v>5944</v>
      </c>
      <c r="X184" s="102" t="s">
        <v>5913</v>
      </c>
      <c r="Y184" s="102" t="s">
        <v>5913</v>
      </c>
      <c r="Z184" s="102" t="s">
        <v>5913</v>
      </c>
      <c r="AA184" s="102" t="s">
        <v>5901</v>
      </c>
    </row>
    <row r="185">
      <c r="A185" s="102" t="s">
        <v>310</v>
      </c>
      <c r="B185" s="102" t="s">
        <v>7762</v>
      </c>
      <c r="C185" s="229" t="s">
        <v>7763</v>
      </c>
      <c r="D185" s="102" t="s">
        <v>7764</v>
      </c>
      <c r="E185" s="102" t="s">
        <v>304</v>
      </c>
      <c r="F185" s="102" t="s">
        <v>305</v>
      </c>
      <c r="G185" s="102" t="s">
        <v>282</v>
      </c>
      <c r="H185" s="102" t="s">
        <v>283</v>
      </c>
      <c r="I185" s="102" t="s">
        <v>284</v>
      </c>
      <c r="J185" s="102" t="s">
        <v>454</v>
      </c>
      <c r="L185" s="229" t="s">
        <v>7757</v>
      </c>
      <c r="M185" s="229" t="s">
        <v>7877</v>
      </c>
      <c r="O185" s="102">
        <v>5.0</v>
      </c>
      <c r="P185" s="102" t="s">
        <v>504</v>
      </c>
      <c r="S185" s="102">
        <v>0.0</v>
      </c>
      <c r="T185" s="230" t="str">
        <f>IF(ISNUMBER(MATCH(B185, 'Sprint 10'!B:B, 0)), "มาจาก Sprint 10", "")</f>
        <v>มาจาก Sprint 10</v>
      </c>
      <c r="U185" s="230" t="str">
        <f t="array" ref="U185">IF(ISNUMBER(MATCH(B185, 'Sprint 10'!B:B, 0)), INDEX('Sprint 10'!J:J, MATCH(B185, 'Sprint 10'!B:B, 0)), "")</f>
        <v>Ready To Test</v>
      </c>
      <c r="V185" s="102">
        <v>86400.0</v>
      </c>
      <c r="W185" s="102" t="s">
        <v>5944</v>
      </c>
      <c r="X185" s="102" t="s">
        <v>5913</v>
      </c>
      <c r="Y185" s="102" t="s">
        <v>5913</v>
      </c>
      <c r="Z185" s="102" t="s">
        <v>5913</v>
      </c>
      <c r="AA185" s="102" t="s">
        <v>5901</v>
      </c>
    </row>
    <row r="186">
      <c r="A186" s="102" t="s">
        <v>310</v>
      </c>
      <c r="B186" s="102" t="s">
        <v>7765</v>
      </c>
      <c r="C186" s="229" t="s">
        <v>7766</v>
      </c>
      <c r="D186" s="102" t="s">
        <v>7767</v>
      </c>
      <c r="E186" s="102" t="s">
        <v>556</v>
      </c>
      <c r="F186" s="102" t="s">
        <v>557</v>
      </c>
      <c r="G186" s="102" t="s">
        <v>282</v>
      </c>
      <c r="H186" s="102" t="s">
        <v>283</v>
      </c>
      <c r="I186" s="102" t="s">
        <v>284</v>
      </c>
      <c r="J186" s="102" t="s">
        <v>454</v>
      </c>
      <c r="L186" s="229" t="s">
        <v>7757</v>
      </c>
      <c r="M186" s="229" t="s">
        <v>7877</v>
      </c>
      <c r="N186" s="229" t="s">
        <v>7720</v>
      </c>
      <c r="O186" s="102">
        <v>3.0</v>
      </c>
      <c r="P186" s="102" t="s">
        <v>504</v>
      </c>
      <c r="S186" s="102">
        <v>0.0</v>
      </c>
      <c r="T186" s="230" t="str">
        <f>IF(ISNUMBER(MATCH(B186, 'Sprint 10'!B:B, 0)), "มาจาก Sprint 10", "")</f>
        <v>มาจาก Sprint 10</v>
      </c>
      <c r="U186" s="230" t="str">
        <f t="array" ref="U186">IF(ISNUMBER(MATCH(B186, 'Sprint 10'!B:B, 0)), INDEX('Sprint 10'!J:J, MATCH(B186, 'Sprint 10'!B:B, 0)), "")</f>
        <v>Ready To Test</v>
      </c>
      <c r="V186" s="102">
        <v>28800.0</v>
      </c>
      <c r="W186" s="102" t="s">
        <v>5944</v>
      </c>
      <c r="X186" s="102" t="s">
        <v>5913</v>
      </c>
      <c r="Y186" s="102" t="s">
        <v>5913</v>
      </c>
      <c r="Z186" s="102" t="s">
        <v>5913</v>
      </c>
      <c r="AA186" s="102" t="s">
        <v>5901</v>
      </c>
    </row>
    <row r="187">
      <c r="A187" s="102" t="s">
        <v>310</v>
      </c>
      <c r="B187" s="102" t="s">
        <v>7768</v>
      </c>
      <c r="C187" s="229" t="s">
        <v>7769</v>
      </c>
      <c r="D187" s="102" t="s">
        <v>7770</v>
      </c>
      <c r="E187" s="102" t="s">
        <v>564</v>
      </c>
      <c r="F187" s="102" t="s">
        <v>565</v>
      </c>
      <c r="G187" s="102" t="s">
        <v>282</v>
      </c>
      <c r="H187" s="102" t="s">
        <v>283</v>
      </c>
      <c r="I187" s="102" t="s">
        <v>284</v>
      </c>
      <c r="J187" s="102" t="s">
        <v>454</v>
      </c>
      <c r="L187" s="229" t="s">
        <v>7771</v>
      </c>
      <c r="M187" s="229" t="s">
        <v>7877</v>
      </c>
      <c r="N187" s="229" t="s">
        <v>6471</v>
      </c>
      <c r="O187" s="102">
        <v>5.0</v>
      </c>
      <c r="P187" s="102" t="s">
        <v>504</v>
      </c>
      <c r="S187" s="102">
        <v>0.0</v>
      </c>
      <c r="T187" s="230" t="str">
        <f>IF(ISNUMBER(MATCH(B187, 'Sprint 10'!B:B, 0)), "มาจาก Sprint 10", "")</f>
        <v>มาจาก Sprint 10</v>
      </c>
      <c r="U187" s="230" t="str">
        <f t="array" ref="U187">IF(ISNUMBER(MATCH(B187, 'Sprint 10'!B:B, 0)), INDEX('Sprint 10'!J:J, MATCH(B187, 'Sprint 10'!B:B, 0)), "")</f>
        <v>Ready To Test</v>
      </c>
      <c r="V187" s="102">
        <v>43200.0</v>
      </c>
      <c r="W187" s="102" t="s">
        <v>5944</v>
      </c>
      <c r="X187" s="102" t="s">
        <v>5913</v>
      </c>
      <c r="Y187" s="102" t="s">
        <v>5913</v>
      </c>
      <c r="Z187" s="102" t="s">
        <v>5913</v>
      </c>
      <c r="AA187" s="102" t="s">
        <v>5901</v>
      </c>
    </row>
    <row r="188">
      <c r="A188" s="102" t="s">
        <v>332</v>
      </c>
      <c r="B188" s="102" t="s">
        <v>8048</v>
      </c>
      <c r="C188" s="229" t="s">
        <v>8049</v>
      </c>
      <c r="D188" s="102" t="s">
        <v>8050</v>
      </c>
      <c r="E188" s="102" t="s">
        <v>353</v>
      </c>
      <c r="F188" s="102" t="s">
        <v>354</v>
      </c>
      <c r="G188" s="102" t="s">
        <v>3288</v>
      </c>
      <c r="H188" s="102" t="s">
        <v>3289</v>
      </c>
      <c r="I188" s="102" t="s">
        <v>284</v>
      </c>
      <c r="J188" s="102" t="s">
        <v>2231</v>
      </c>
      <c r="L188" s="229" t="s">
        <v>8051</v>
      </c>
      <c r="M188" s="229" t="s">
        <v>8052</v>
      </c>
      <c r="O188" s="230"/>
      <c r="S188" s="230"/>
      <c r="T188" s="230" t="str">
        <f>IF(ISNUMBER(MATCH(B188, 'Sprint 10'!B:B, 0)), "มาจาก Sprint 10", "")</f>
        <v>มาจาก Sprint 10</v>
      </c>
      <c r="U188" s="230" t="str">
        <f t="array" ref="U188">IF(ISNUMBER(MATCH(B188, 'Sprint 10'!B:B, 0)), INDEX('Sprint 10'!J:J, MATCH(B188, 'Sprint 10'!B:B, 0)), "")</f>
        <v>UNDER VALIDATION</v>
      </c>
      <c r="V188" s="230"/>
      <c r="W188" s="102" t="s">
        <v>8039</v>
      </c>
      <c r="X188" s="102" t="s">
        <v>8039</v>
      </c>
      <c r="Y188" s="102" t="s">
        <v>6450</v>
      </c>
    </row>
    <row r="189">
      <c r="A189" s="102" t="s">
        <v>310</v>
      </c>
      <c r="B189" s="102" t="s">
        <v>7772</v>
      </c>
      <c r="C189" s="229" t="s">
        <v>7773</v>
      </c>
      <c r="D189" s="102" t="s">
        <v>7774</v>
      </c>
      <c r="E189" s="102" t="s">
        <v>282</v>
      </c>
      <c r="F189" s="102" t="s">
        <v>283</v>
      </c>
      <c r="G189" s="102" t="s">
        <v>282</v>
      </c>
      <c r="H189" s="102" t="s">
        <v>283</v>
      </c>
      <c r="I189" s="102" t="s">
        <v>284</v>
      </c>
      <c r="J189" s="102" t="s">
        <v>454</v>
      </c>
      <c r="L189" s="229" t="s">
        <v>7775</v>
      </c>
      <c r="M189" s="229" t="s">
        <v>7922</v>
      </c>
      <c r="O189" s="102">
        <v>1.0</v>
      </c>
      <c r="P189" s="102" t="s">
        <v>777</v>
      </c>
      <c r="S189" s="230"/>
      <c r="T189" s="230" t="str">
        <f>IF(ISNUMBER(MATCH(B189, 'Sprint 10'!B:B, 0)), "มาจาก Sprint 10", "")</f>
        <v>มาจาก Sprint 10</v>
      </c>
      <c r="U189" s="230" t="str">
        <f t="array" ref="U189">IF(ISNUMBER(MATCH(B189, 'Sprint 10'!B:B, 0)), INDEX('Sprint 10'!J:J, MATCH(B189, 'Sprint 10'!B:B, 0)), "")</f>
        <v>Ready To Test</v>
      </c>
      <c r="V189" s="230"/>
      <c r="W189" s="102" t="s">
        <v>7695</v>
      </c>
      <c r="X189" s="102" t="s">
        <v>7696</v>
      </c>
      <c r="Y189" s="102" t="s">
        <v>5944</v>
      </c>
      <c r="Z189" s="102" t="s">
        <v>5913</v>
      </c>
      <c r="AA189" s="102" t="s">
        <v>5913</v>
      </c>
      <c r="AB189" s="102" t="s">
        <v>5913</v>
      </c>
      <c r="AC189" s="102" t="s">
        <v>5901</v>
      </c>
    </row>
    <row r="190">
      <c r="A190" s="102" t="s">
        <v>310</v>
      </c>
      <c r="B190" s="102" t="s">
        <v>5940</v>
      </c>
      <c r="C190" s="229" t="s">
        <v>5941</v>
      </c>
      <c r="D190" s="102" t="s">
        <v>5942</v>
      </c>
      <c r="E190" s="102" t="s">
        <v>513</v>
      </c>
      <c r="F190" s="102" t="s">
        <v>514</v>
      </c>
      <c r="G190" s="102" t="s">
        <v>282</v>
      </c>
      <c r="H190" s="102" t="s">
        <v>283</v>
      </c>
      <c r="I190" s="102" t="s">
        <v>284</v>
      </c>
      <c r="J190" s="102" t="s">
        <v>454</v>
      </c>
      <c r="L190" s="229" t="s">
        <v>5943</v>
      </c>
      <c r="M190" s="229" t="s">
        <v>7922</v>
      </c>
      <c r="O190" s="102">
        <v>3.0</v>
      </c>
      <c r="S190" s="102">
        <v>0.0</v>
      </c>
      <c r="T190" s="230" t="str">
        <f>IF(ISNUMBER(MATCH(B190, 'Sprint 10'!B:B, 0)), "มาจาก Sprint 10", "")</f>
        <v>มาจาก Sprint 10</v>
      </c>
      <c r="U190" s="230" t="str">
        <f t="array" ref="U190">IF(ISNUMBER(MATCH(B190, 'Sprint 10'!B:B, 0)), INDEX('Sprint 10'!J:J, MATCH(B190, 'Sprint 10'!B:B, 0)), "")</f>
        <v>Ready To Test</v>
      </c>
      <c r="V190" s="102">
        <v>28800.0</v>
      </c>
      <c r="W190" s="102" t="s">
        <v>5944</v>
      </c>
      <c r="X190" s="102" t="s">
        <v>5913</v>
      </c>
      <c r="Y190" s="102" t="s">
        <v>5913</v>
      </c>
      <c r="Z190" s="102" t="s">
        <v>5913</v>
      </c>
      <c r="AA190" s="102" t="s">
        <v>5901</v>
      </c>
    </row>
    <row r="191">
      <c r="A191" s="102" t="s">
        <v>310</v>
      </c>
      <c r="B191" s="102" t="s">
        <v>8053</v>
      </c>
      <c r="C191" s="229" t="s">
        <v>8054</v>
      </c>
      <c r="D191" s="102" t="s">
        <v>8055</v>
      </c>
      <c r="E191" s="102" t="s">
        <v>495</v>
      </c>
      <c r="F191" s="102" t="s">
        <v>496</v>
      </c>
      <c r="G191" s="102" t="s">
        <v>282</v>
      </c>
      <c r="H191" s="102" t="s">
        <v>283</v>
      </c>
      <c r="I191" s="102" t="s">
        <v>284</v>
      </c>
      <c r="J191" s="102" t="s">
        <v>26</v>
      </c>
      <c r="L191" s="229" t="s">
        <v>8056</v>
      </c>
      <c r="M191" s="229" t="s">
        <v>8057</v>
      </c>
      <c r="O191" s="102">
        <v>5.0</v>
      </c>
      <c r="P191" s="102" t="s">
        <v>777</v>
      </c>
      <c r="S191" s="102">
        <v>0.0</v>
      </c>
      <c r="T191" s="230" t="str">
        <f>IF(ISNUMBER(MATCH(B191, 'Sprint 10'!B:B, 0)), "มาจาก Sprint 10", "")</f>
        <v>มาจาก Sprint 10</v>
      </c>
      <c r="U191" s="230" t="str">
        <f t="array" ref="U191">IF(ISNUMBER(MATCH(B191, 'Sprint 10'!B:B, 0)), INDEX('Sprint 10'!J:J, MATCH(B191, 'Sprint 10'!B:B, 0)), "")</f>
        <v>Ready To Test</v>
      </c>
      <c r="V191" s="102">
        <v>57600.0</v>
      </c>
      <c r="W191" s="102" t="s">
        <v>5913</v>
      </c>
      <c r="X191" s="102" t="s">
        <v>5913</v>
      </c>
      <c r="Y191" s="102" t="s">
        <v>5913</v>
      </c>
      <c r="Z191" s="102" t="s">
        <v>5901</v>
      </c>
    </row>
    <row r="192">
      <c r="A192" s="102" t="s">
        <v>310</v>
      </c>
      <c r="B192" s="102" t="s">
        <v>8058</v>
      </c>
      <c r="C192" s="229" t="s">
        <v>8059</v>
      </c>
      <c r="D192" s="102" t="s">
        <v>8060</v>
      </c>
      <c r="E192" s="102" t="s">
        <v>495</v>
      </c>
      <c r="F192" s="102" t="s">
        <v>496</v>
      </c>
      <c r="G192" s="102" t="s">
        <v>282</v>
      </c>
      <c r="H192" s="102" t="s">
        <v>283</v>
      </c>
      <c r="I192" s="102" t="s">
        <v>284</v>
      </c>
      <c r="J192" s="102" t="s">
        <v>26</v>
      </c>
      <c r="L192" s="229" t="s">
        <v>8061</v>
      </c>
      <c r="M192" s="229" t="s">
        <v>8057</v>
      </c>
      <c r="O192" s="102">
        <v>2.0</v>
      </c>
      <c r="P192" s="102" t="s">
        <v>3197</v>
      </c>
      <c r="S192" s="102">
        <v>0.0</v>
      </c>
      <c r="T192" s="230" t="str">
        <f>IF(ISNUMBER(MATCH(B192, 'Sprint 10'!B:B, 0)), "มาจาก Sprint 10", "")</f>
        <v>มาจาก Sprint 10</v>
      </c>
      <c r="U192" s="230" t="str">
        <f t="array" ref="U192">IF(ISNUMBER(MATCH(B192, 'Sprint 10'!B:B, 0)), INDEX('Sprint 10'!J:J, MATCH(B192, 'Sprint 10'!B:B, 0)), "")</f>
        <v>Ready To Test</v>
      </c>
      <c r="V192" s="102">
        <v>3600.0</v>
      </c>
      <c r="W192" s="102" t="s">
        <v>5944</v>
      </c>
      <c r="X192" s="102" t="s">
        <v>5913</v>
      </c>
      <c r="Y192" s="102" t="s">
        <v>5913</v>
      </c>
      <c r="Z192" s="102" t="s">
        <v>5913</v>
      </c>
      <c r="AA192" s="102" t="s">
        <v>5901</v>
      </c>
    </row>
    <row r="193">
      <c r="A193" s="102" t="s">
        <v>310</v>
      </c>
      <c r="B193" s="102" t="s">
        <v>8062</v>
      </c>
      <c r="C193" s="229" t="s">
        <v>8063</v>
      </c>
      <c r="D193" s="102" t="s">
        <v>8064</v>
      </c>
      <c r="E193" s="102" t="s">
        <v>495</v>
      </c>
      <c r="F193" s="102" t="s">
        <v>496</v>
      </c>
      <c r="G193" s="102" t="s">
        <v>282</v>
      </c>
      <c r="H193" s="102" t="s">
        <v>283</v>
      </c>
      <c r="I193" s="102" t="s">
        <v>284</v>
      </c>
      <c r="J193" s="102" t="s">
        <v>26</v>
      </c>
      <c r="L193" s="229" t="s">
        <v>8065</v>
      </c>
      <c r="M193" s="229" t="s">
        <v>8057</v>
      </c>
      <c r="O193" s="102">
        <v>2.0</v>
      </c>
      <c r="P193" s="102" t="s">
        <v>3197</v>
      </c>
      <c r="S193" s="102">
        <v>0.0</v>
      </c>
      <c r="T193" s="230" t="str">
        <f>IF(ISNUMBER(MATCH(B193, 'Sprint 10'!B:B, 0)), "มาจาก Sprint 10", "")</f>
        <v>มาจาก Sprint 10</v>
      </c>
      <c r="U193" s="230" t="str">
        <f t="array" ref="U193">IF(ISNUMBER(MATCH(B193, 'Sprint 10'!B:B, 0)), INDEX('Sprint 10'!J:J, MATCH(B193, 'Sprint 10'!B:B, 0)), "")</f>
        <v>Ready To Test</v>
      </c>
      <c r="V193" s="102">
        <v>14400.0</v>
      </c>
      <c r="W193" s="102" t="s">
        <v>5944</v>
      </c>
      <c r="X193" s="102" t="s">
        <v>5913</v>
      </c>
      <c r="Y193" s="102" t="s">
        <v>5913</v>
      </c>
      <c r="Z193" s="102" t="s">
        <v>5913</v>
      </c>
      <c r="AA193" s="102" t="s">
        <v>5901</v>
      </c>
    </row>
    <row r="194">
      <c r="O194" s="230"/>
      <c r="S194" s="230"/>
      <c r="T194" s="230" t="str">
        <f>IF(ISNUMBER(MATCH(B194, 'Sprint 10'!B:B, 0)), "มาจาก Sprint 10", "")</f>
        <v/>
      </c>
      <c r="U194" s="230" t="str">
        <f t="array" ref="U194">IF(ISNUMBER(MATCH(A194, 'Sprint 10'!A:A, 0)), INDEX('Sprint 10'!J:J, MATCH(A194, 'Sprint 10'!A:A, 0)), "")</f>
        <v/>
      </c>
    </row>
    <row r="195">
      <c r="O195" s="230"/>
      <c r="S195" s="230"/>
      <c r="T195" s="230" t="str">
        <f>IF(ISNUMBER(MATCH(B195, 'Sprint 10'!B:B, 0)), "มาจาก Sprint 10", "")</f>
        <v/>
      </c>
      <c r="U195" s="230" t="str">
        <f t="array" ref="U195">IF(ISNUMBER(MATCH(A195, 'Sprint 10'!A:A, 0)), INDEX('Sprint 10'!J:J, MATCH(A195, 'Sprint 10'!A:A, 0)), "")</f>
        <v/>
      </c>
    </row>
    <row r="196">
      <c r="O196" s="230"/>
      <c r="S196" s="230"/>
      <c r="T196" s="230" t="str">
        <f>IF(ISNUMBER(MATCH(B196, 'Sprint 10'!B:B, 0)), "มาจาก Sprint 10", "")</f>
        <v/>
      </c>
      <c r="U196" s="230" t="str">
        <f t="array" ref="U196">IF(ISNUMBER(MATCH(A196, 'Sprint 10'!A:A, 0)), INDEX('Sprint 10'!J:J, MATCH(A196, 'Sprint 10'!A:A, 0)), "")</f>
        <v/>
      </c>
    </row>
    <row r="197">
      <c r="O197" s="230"/>
      <c r="S197" s="230"/>
      <c r="T197" s="230" t="str">
        <f>IF(ISNUMBER(MATCH(B197, 'Sprint 10'!B:B, 0)), "มาจาก Sprint 10", "")</f>
        <v/>
      </c>
      <c r="U197" s="230" t="str">
        <f t="array" ref="U197">IF(ISNUMBER(MATCH(A197, 'Sprint 10'!A:A, 0)), INDEX('Sprint 10'!J:J, MATCH(A197, 'Sprint 10'!A:A, 0)), "")</f>
        <v/>
      </c>
    </row>
    <row r="198">
      <c r="O198" s="230"/>
      <c r="S198" s="230"/>
      <c r="T198" s="230" t="str">
        <f>IF(ISNUMBER(MATCH(B198, 'Sprint 10'!B:B, 0)), "มาจาก Sprint 10", "")</f>
        <v/>
      </c>
      <c r="U198" s="230" t="str">
        <f t="array" ref="U198">IF(ISNUMBER(MATCH(A198, 'Sprint 10'!A:A, 0)), INDEX('Sprint 10'!J:J, MATCH(A198, 'Sprint 10'!A:A, 0)), "")</f>
        <v/>
      </c>
    </row>
    <row r="199">
      <c r="O199" s="230"/>
      <c r="S199" s="230"/>
      <c r="T199" s="230" t="str">
        <f>IF(ISNUMBER(MATCH(B199, 'Sprint 10'!B:B, 0)), "มาจาก Sprint 10", "")</f>
        <v/>
      </c>
      <c r="U199" s="230" t="str">
        <f t="array" ref="U199">IF(ISNUMBER(MATCH(A199, 'Sprint 10'!A:A, 0)), INDEX('Sprint 10'!J:J, MATCH(A199, 'Sprint 10'!A:A, 0)), "")</f>
        <v/>
      </c>
    </row>
    <row r="200">
      <c r="O200" s="230"/>
      <c r="S200" s="230"/>
      <c r="T200" s="230" t="str">
        <f>IF(ISNUMBER(MATCH(B200, 'Sprint 10'!B:B, 0)), "มาจาก Sprint 10", "")</f>
        <v/>
      </c>
      <c r="U200" s="230" t="str">
        <f t="array" ref="U200">IF(ISNUMBER(MATCH(A200, 'Sprint 10'!A:A, 0)), INDEX('Sprint 10'!J:J, MATCH(A200, 'Sprint 10'!A:A, 0)), "")</f>
        <v/>
      </c>
    </row>
    <row r="201">
      <c r="O201" s="230"/>
      <c r="S201" s="230"/>
      <c r="T201" s="230" t="str">
        <f>IF(ISNUMBER(MATCH(B201, 'Sprint 10'!B:B, 0)), "มาจาก Sprint 10", "")</f>
        <v/>
      </c>
      <c r="U201" s="230" t="str">
        <f t="array" ref="U201">IF(ISNUMBER(MATCH(A201, 'Sprint 10'!A:A, 0)), INDEX('Sprint 10'!J:J, MATCH(A201, 'Sprint 10'!A:A, 0)), "")</f>
        <v/>
      </c>
    </row>
    <row r="202">
      <c r="O202" s="230"/>
      <c r="S202" s="230"/>
      <c r="T202" s="230" t="str">
        <f>IF(ISNUMBER(MATCH(B202, 'Sprint 10'!B:B, 0)), "มาจาก Sprint 10", "")</f>
        <v/>
      </c>
      <c r="U202" s="230" t="str">
        <f t="array" ref="U202">IF(ISNUMBER(MATCH(A202, 'Sprint 10'!A:A, 0)), INDEX('Sprint 10'!J:J, MATCH(A202, 'Sprint 10'!A:A, 0)), "")</f>
        <v/>
      </c>
    </row>
    <row r="203">
      <c r="O203" s="230"/>
      <c r="S203" s="230"/>
      <c r="T203" s="230" t="str">
        <f>IF(ISNUMBER(MATCH(B203, 'Sprint 10'!B:B, 0)), "มาจาก Sprint 10", "")</f>
        <v/>
      </c>
      <c r="U203" s="230" t="str">
        <f t="array" ref="U203">IF(ISNUMBER(MATCH(A203, 'Sprint 10'!A:A, 0)), INDEX('Sprint 10'!J:J, MATCH(A203, 'Sprint 10'!A:A, 0)), "")</f>
        <v/>
      </c>
    </row>
    <row r="204">
      <c r="O204" s="230"/>
      <c r="S204" s="230"/>
      <c r="T204" s="230" t="str">
        <f>IF(ISNUMBER(MATCH(B204, 'Sprint 10'!B:B, 0)), "มาจาก Sprint 10", "")</f>
        <v/>
      </c>
      <c r="U204" s="230" t="str">
        <f t="array" ref="U204">IF(ISNUMBER(MATCH(A204, 'Sprint 10'!A:A, 0)), INDEX('Sprint 10'!J:J, MATCH(A204, 'Sprint 10'!A:A, 0)), "")</f>
        <v/>
      </c>
    </row>
    <row r="205">
      <c r="O205" s="230"/>
      <c r="S205" s="230"/>
      <c r="T205" s="230" t="str">
        <f>IF(ISNUMBER(MATCH(B205, 'Sprint 10'!B:B, 0)), "มาจาก Sprint 10", "")</f>
        <v/>
      </c>
      <c r="U205" s="230" t="str">
        <f t="array" ref="U205">IF(ISNUMBER(MATCH(A205, 'Sprint 10'!A:A, 0)), INDEX('Sprint 10'!J:J, MATCH(A205, 'Sprint 10'!A:A, 0)), "")</f>
        <v/>
      </c>
    </row>
    <row r="206">
      <c r="O206" s="230"/>
      <c r="S206" s="230"/>
      <c r="T206" s="230" t="str">
        <f>IF(ISNUMBER(MATCH(B206, 'Sprint 10'!B:B, 0)), "มาจาก Sprint 10", "")</f>
        <v/>
      </c>
      <c r="U206" s="230" t="str">
        <f t="array" ref="U206">IF(ISNUMBER(MATCH(A206, 'Sprint 10'!A:A, 0)), INDEX('Sprint 10'!J:J, MATCH(A206, 'Sprint 10'!A:A, 0)), "")</f>
        <v/>
      </c>
    </row>
    <row r="207">
      <c r="O207" s="230"/>
      <c r="S207" s="230"/>
      <c r="T207" s="230" t="str">
        <f>IF(ISNUMBER(MATCH(B207, 'Sprint 10'!B:B, 0)), "มาจาก Sprint 10", "")</f>
        <v/>
      </c>
      <c r="U207" s="230" t="str">
        <f t="array" ref="U207">IF(ISNUMBER(MATCH(A207, 'Sprint 10'!A:A, 0)), INDEX('Sprint 10'!J:J, MATCH(A207, 'Sprint 10'!A:A, 0)), "")</f>
        <v/>
      </c>
    </row>
    <row r="208">
      <c r="O208" s="230"/>
      <c r="S208" s="230"/>
      <c r="T208" s="230" t="str">
        <f>IF(ISNUMBER(MATCH(B208, 'Sprint 10'!B:B, 0)), "มาจาก Sprint 10", "")</f>
        <v/>
      </c>
      <c r="U208" s="230" t="str">
        <f t="array" ref="U208">IF(ISNUMBER(MATCH(A208, 'Sprint 10'!A:A, 0)), INDEX('Sprint 10'!J:J, MATCH(A208, 'Sprint 10'!A:A, 0)), "")</f>
        <v/>
      </c>
    </row>
    <row r="209">
      <c r="O209" s="230"/>
      <c r="S209" s="230"/>
      <c r="T209" s="230" t="str">
        <f>IF(ISNUMBER(MATCH(B209, 'Sprint 10'!B:B, 0)), "มาจาก Sprint 10", "")</f>
        <v/>
      </c>
      <c r="U209" s="230" t="str">
        <f t="array" ref="U209">IF(ISNUMBER(MATCH(A209, 'Sprint 10'!A:A, 0)), INDEX('Sprint 10'!J:J, MATCH(A209, 'Sprint 10'!A:A, 0)), "")</f>
        <v/>
      </c>
    </row>
    <row r="210">
      <c r="O210" s="230"/>
      <c r="S210" s="230"/>
      <c r="T210" s="230" t="str">
        <f>IF(ISNUMBER(MATCH(B210, 'Sprint 10'!B:B, 0)), "มาจาก Sprint 10", "")</f>
        <v/>
      </c>
      <c r="U210" s="230" t="str">
        <f t="array" ref="U210">IF(ISNUMBER(MATCH(A210, 'Sprint 10'!A:A, 0)), INDEX('Sprint 10'!J:J, MATCH(A210, 'Sprint 10'!A:A, 0)), "")</f>
        <v/>
      </c>
    </row>
    <row r="211">
      <c r="O211" s="230"/>
      <c r="S211" s="230"/>
      <c r="T211" s="230" t="str">
        <f>IF(ISNUMBER(MATCH(B211, 'Sprint 10'!B:B, 0)), "มาจาก Sprint 10", "")</f>
        <v/>
      </c>
      <c r="U211" s="230" t="str">
        <f t="array" ref="U211">IF(ISNUMBER(MATCH(A211, 'Sprint 10'!A:A, 0)), INDEX('Sprint 10'!J:J, MATCH(A211, 'Sprint 10'!A:A, 0)), "")</f>
        <v/>
      </c>
    </row>
    <row r="212">
      <c r="O212" s="230"/>
      <c r="S212" s="230"/>
      <c r="T212" s="230" t="str">
        <f>IF(ISNUMBER(MATCH(B212, 'Sprint 10'!B:B, 0)), "มาจาก Sprint 10", "")</f>
        <v/>
      </c>
      <c r="U212" s="230" t="str">
        <f t="array" ref="U212">IF(ISNUMBER(MATCH(A212, 'Sprint 10'!A:A, 0)), INDEX('Sprint 10'!J:J, MATCH(A212, 'Sprint 10'!A:A, 0)), "")</f>
        <v/>
      </c>
    </row>
    <row r="213">
      <c r="O213" s="230"/>
      <c r="S213" s="230"/>
      <c r="T213" s="230" t="str">
        <f>IF(ISNUMBER(MATCH(B213, 'Sprint 10'!B:B, 0)), "มาจาก Sprint 10", "")</f>
        <v/>
      </c>
      <c r="U213" s="230" t="str">
        <f t="array" ref="U213">IF(ISNUMBER(MATCH(A213, 'Sprint 10'!A:A, 0)), INDEX('Sprint 10'!J:J, MATCH(A213, 'Sprint 10'!A:A, 0)), "")</f>
        <v/>
      </c>
    </row>
    <row r="214">
      <c r="O214" s="230"/>
      <c r="S214" s="230"/>
      <c r="T214" s="230" t="str">
        <f>IF(ISNUMBER(MATCH(B214, 'Sprint 10'!B:B, 0)), "มาจาก Sprint 10", "")</f>
        <v/>
      </c>
      <c r="U214" s="230" t="str">
        <f t="array" ref="U214">IF(ISNUMBER(MATCH(A214, 'Sprint 10'!A:A, 0)), INDEX('Sprint 10'!J:J, MATCH(A214, 'Sprint 10'!A:A, 0)), "")</f>
        <v/>
      </c>
    </row>
    <row r="215">
      <c r="O215" s="230"/>
      <c r="S215" s="230"/>
      <c r="T215" s="230" t="str">
        <f>IF(ISNUMBER(MATCH(B215, 'Sprint 10'!B:B, 0)), "มาจาก Sprint 10", "")</f>
        <v/>
      </c>
      <c r="U215" s="230" t="str">
        <f t="array" ref="U215">IF(ISNUMBER(MATCH(A215, 'Sprint 10'!A:A, 0)), INDEX('Sprint 10'!J:J, MATCH(A215, 'Sprint 10'!A:A, 0)), "")</f>
        <v/>
      </c>
    </row>
    <row r="216">
      <c r="O216" s="230"/>
      <c r="S216" s="230"/>
      <c r="T216" s="230" t="str">
        <f>IF(ISNUMBER(MATCH(B216, 'Sprint 10'!B:B, 0)), "มาจาก Sprint 10", "")</f>
        <v/>
      </c>
      <c r="U216" s="230" t="str">
        <f t="array" ref="U216">IF(ISNUMBER(MATCH(A216, 'Sprint 10'!A:A, 0)), INDEX('Sprint 10'!J:J, MATCH(A216, 'Sprint 10'!A:A, 0)), "")</f>
        <v/>
      </c>
    </row>
    <row r="217">
      <c r="O217" s="230"/>
      <c r="S217" s="230"/>
      <c r="T217" s="230" t="str">
        <f>IF(ISNUMBER(MATCH(B217, 'Sprint 10'!B:B, 0)), "มาจาก Sprint 10", "")</f>
        <v/>
      </c>
      <c r="U217" s="230" t="str">
        <f t="array" ref="U217">IF(ISNUMBER(MATCH(A217, 'Sprint 10'!A:A, 0)), INDEX('Sprint 10'!J:J, MATCH(A217, 'Sprint 10'!A:A, 0)), "")</f>
        <v/>
      </c>
    </row>
    <row r="218">
      <c r="O218" s="230"/>
      <c r="S218" s="230"/>
      <c r="T218" s="230" t="str">
        <f>IF(ISNUMBER(MATCH(B218, 'Sprint 10'!B:B, 0)), "มาจาก Sprint 10", "")</f>
        <v/>
      </c>
      <c r="U218" s="230" t="str">
        <f t="array" ref="U218">IF(ISNUMBER(MATCH(A218, 'Sprint 10'!A:A, 0)), INDEX('Sprint 10'!J:J, MATCH(A218, 'Sprint 10'!A:A, 0)), "")</f>
        <v/>
      </c>
    </row>
    <row r="219">
      <c r="O219" s="230"/>
      <c r="S219" s="230"/>
      <c r="T219" s="230" t="str">
        <f>IF(ISNUMBER(MATCH(B219, 'Sprint 10'!B:B, 0)), "มาจาก Sprint 10", "")</f>
        <v/>
      </c>
      <c r="U219" s="230" t="str">
        <f t="array" ref="U219">IF(ISNUMBER(MATCH(A219, 'Sprint 10'!A:A, 0)), INDEX('Sprint 10'!J:J, MATCH(A219, 'Sprint 10'!A:A, 0)), "")</f>
        <v/>
      </c>
    </row>
    <row r="220">
      <c r="O220" s="230"/>
      <c r="S220" s="230"/>
      <c r="T220" s="230" t="str">
        <f>IF(ISNUMBER(MATCH(B220, 'Sprint 10'!B:B, 0)), "มาจาก Sprint 10", "")</f>
        <v/>
      </c>
      <c r="U220" s="230" t="str">
        <f t="array" ref="U220">IF(ISNUMBER(MATCH(A220, 'Sprint 10'!A:A, 0)), INDEX('Sprint 10'!J:J, MATCH(A220, 'Sprint 10'!A:A, 0)), "")</f>
        <v/>
      </c>
    </row>
    <row r="221">
      <c r="O221" s="230"/>
      <c r="S221" s="230"/>
      <c r="T221" s="230" t="str">
        <f>IF(ISNUMBER(MATCH(B221, 'Sprint 10'!B:B, 0)), "มาจาก Sprint 10", "")</f>
        <v/>
      </c>
      <c r="U221" s="230" t="str">
        <f t="array" ref="U221">IF(ISNUMBER(MATCH(A221, 'Sprint 10'!A:A, 0)), INDEX('Sprint 10'!J:J, MATCH(A221, 'Sprint 10'!A:A, 0)), "")</f>
        <v/>
      </c>
    </row>
    <row r="222">
      <c r="O222" s="230"/>
      <c r="S222" s="230"/>
      <c r="T222" s="230" t="str">
        <f>IF(ISNUMBER(MATCH(B222, 'Sprint 10'!B:B, 0)), "มาจาก Sprint 10", "")</f>
        <v/>
      </c>
      <c r="U222" s="230" t="str">
        <f t="array" ref="U222">IF(ISNUMBER(MATCH(A222, 'Sprint 10'!A:A, 0)), INDEX('Sprint 10'!J:J, MATCH(A222, 'Sprint 10'!A:A, 0)), "")</f>
        <v/>
      </c>
    </row>
    <row r="223">
      <c r="O223" s="230"/>
      <c r="S223" s="230"/>
      <c r="T223" s="230" t="str">
        <f>IF(ISNUMBER(MATCH(B223, 'Sprint 10'!B:B, 0)), "มาจาก Sprint 10", "")</f>
        <v/>
      </c>
      <c r="U223" s="230" t="str">
        <f t="array" ref="U223">IF(ISNUMBER(MATCH(A223, 'Sprint 10'!A:A, 0)), INDEX('Sprint 10'!J:J, MATCH(A223, 'Sprint 10'!A:A, 0)), "")</f>
        <v/>
      </c>
    </row>
    <row r="224">
      <c r="O224" s="230"/>
      <c r="S224" s="230"/>
      <c r="T224" s="230" t="str">
        <f>IF(ISNUMBER(MATCH(B224, 'Sprint 10'!B:B, 0)), "มาจาก Sprint 10", "")</f>
        <v/>
      </c>
      <c r="U224" s="230" t="str">
        <f t="array" ref="U224">IF(ISNUMBER(MATCH(A224, 'Sprint 10'!A:A, 0)), INDEX('Sprint 10'!J:J, MATCH(A224, 'Sprint 10'!A:A, 0)), "")</f>
        <v/>
      </c>
    </row>
    <row r="225">
      <c r="O225" s="230"/>
      <c r="S225" s="230"/>
      <c r="T225" s="230" t="str">
        <f>IF(ISNUMBER(MATCH(B225, 'Sprint 10'!B:B, 0)), "มาจาก Sprint 10", "")</f>
        <v/>
      </c>
      <c r="U225" s="230" t="str">
        <f t="array" ref="U225">IF(ISNUMBER(MATCH(A225, 'Sprint 10'!A:A, 0)), INDEX('Sprint 10'!J:J, MATCH(A225, 'Sprint 10'!A:A, 0)), "")</f>
        <v/>
      </c>
    </row>
    <row r="226">
      <c r="O226" s="230"/>
      <c r="S226" s="230"/>
      <c r="T226" s="230" t="str">
        <f>IF(ISNUMBER(MATCH(B226, 'Sprint 10'!B:B, 0)), "มาจาก Sprint 10", "")</f>
        <v/>
      </c>
      <c r="U226" s="230" t="str">
        <f t="array" ref="U226">IF(ISNUMBER(MATCH(A226, 'Sprint 10'!A:A, 0)), INDEX('Sprint 10'!J:J, MATCH(A226, 'Sprint 10'!A:A, 0)), "")</f>
        <v/>
      </c>
    </row>
    <row r="227">
      <c r="O227" s="230"/>
      <c r="S227" s="230"/>
      <c r="T227" s="230" t="str">
        <f>IF(ISNUMBER(MATCH(B227, 'Sprint 10'!B:B, 0)), "มาจาก Sprint 10", "")</f>
        <v/>
      </c>
      <c r="U227" s="230" t="str">
        <f t="array" ref="U227">IF(ISNUMBER(MATCH(A227, 'Sprint 10'!A:A, 0)), INDEX('Sprint 10'!J:J, MATCH(A227, 'Sprint 10'!A:A, 0)), "")</f>
        <v/>
      </c>
    </row>
    <row r="228">
      <c r="O228" s="230"/>
      <c r="S228" s="230"/>
      <c r="T228" s="230" t="str">
        <f>IF(ISNUMBER(MATCH(B228, 'Sprint 10'!B:B, 0)), "มาจาก Sprint 10", "")</f>
        <v/>
      </c>
      <c r="U228" s="230" t="str">
        <f t="array" ref="U228">IF(ISNUMBER(MATCH(A228, 'Sprint 10'!A:A, 0)), INDEX('Sprint 10'!J:J, MATCH(A228, 'Sprint 10'!A:A, 0)), "")</f>
        <v/>
      </c>
    </row>
    <row r="229">
      <c r="O229" s="230"/>
      <c r="S229" s="230"/>
      <c r="T229" s="230" t="str">
        <f>IF(ISNUMBER(MATCH(B229, 'Sprint 10'!B:B, 0)), "มาจาก Sprint 10", "")</f>
        <v/>
      </c>
      <c r="U229" s="230" t="str">
        <f t="array" ref="U229">IF(ISNUMBER(MATCH(A229, 'Sprint 10'!A:A, 0)), INDEX('Sprint 10'!J:J, MATCH(A229, 'Sprint 10'!A:A, 0)), "")</f>
        <v/>
      </c>
    </row>
    <row r="230">
      <c r="O230" s="230"/>
      <c r="S230" s="230"/>
      <c r="T230" s="230" t="str">
        <f>IF(ISNUMBER(MATCH(B230, 'Sprint 10'!B:B, 0)), "มาจาก Sprint 10", "")</f>
        <v/>
      </c>
      <c r="U230" s="230" t="str">
        <f t="array" ref="U230">IF(ISNUMBER(MATCH(A230, 'Sprint 10'!A:A, 0)), INDEX('Sprint 10'!J:J, MATCH(A230, 'Sprint 10'!A:A, 0)), "")</f>
        <v/>
      </c>
    </row>
    <row r="231">
      <c r="O231" s="230"/>
      <c r="S231" s="230"/>
      <c r="T231" s="230" t="str">
        <f>IF(ISNUMBER(MATCH(B231, 'Sprint 10'!B:B, 0)), "มาจาก Sprint 10", "")</f>
        <v/>
      </c>
      <c r="U231" s="230" t="str">
        <f t="array" ref="U231">IF(ISNUMBER(MATCH(A231, 'Sprint 10'!A:A, 0)), INDEX('Sprint 10'!J:J, MATCH(A231, 'Sprint 10'!A:A, 0)), "")</f>
        <v/>
      </c>
    </row>
    <row r="232">
      <c r="O232" s="230"/>
      <c r="S232" s="230"/>
      <c r="T232" s="230" t="str">
        <f>IF(ISNUMBER(MATCH(B232, 'Sprint 10'!B:B, 0)), "มาจาก Sprint 10", "")</f>
        <v/>
      </c>
      <c r="U232" s="230" t="str">
        <f t="array" ref="U232">IF(ISNUMBER(MATCH(A232, 'Sprint 10'!A:A, 0)), INDEX('Sprint 10'!J:J, MATCH(A232, 'Sprint 10'!A:A, 0)), "")</f>
        <v/>
      </c>
    </row>
    <row r="233">
      <c r="O233" s="230"/>
      <c r="S233" s="230"/>
      <c r="T233" s="230" t="str">
        <f>IF(ISNUMBER(MATCH(B233, 'Sprint 10'!B:B, 0)), "มาจาก Sprint 10", "")</f>
        <v/>
      </c>
      <c r="U233" s="230" t="str">
        <f t="array" ref="U233">IF(ISNUMBER(MATCH(A233, 'Sprint 10'!A:A, 0)), INDEX('Sprint 10'!J:J, MATCH(A233, 'Sprint 10'!A:A, 0)), "")</f>
        <v/>
      </c>
    </row>
    <row r="234">
      <c r="O234" s="230"/>
      <c r="S234" s="230"/>
      <c r="T234" s="230" t="str">
        <f>IF(ISNUMBER(MATCH(B234, 'Sprint 10'!B:B, 0)), "มาจาก Sprint 10", "")</f>
        <v/>
      </c>
      <c r="U234" s="230" t="str">
        <f t="array" ref="U234">IF(ISNUMBER(MATCH(A234, 'Sprint 10'!A:A, 0)), INDEX('Sprint 10'!J:J, MATCH(A234, 'Sprint 10'!A:A, 0)), "")</f>
        <v/>
      </c>
    </row>
    <row r="235">
      <c r="O235" s="230"/>
      <c r="S235" s="230"/>
      <c r="T235" s="230" t="str">
        <f>IF(ISNUMBER(MATCH(B235, 'Sprint 10'!B:B, 0)), "มาจาก Sprint 10", "")</f>
        <v/>
      </c>
      <c r="U235" s="230" t="str">
        <f t="array" ref="U235">IF(ISNUMBER(MATCH(A235, 'Sprint 10'!A:A, 0)), INDEX('Sprint 10'!J:J, MATCH(A235, 'Sprint 10'!A:A, 0)), "")</f>
        <v/>
      </c>
    </row>
    <row r="236">
      <c r="O236" s="230"/>
      <c r="S236" s="230"/>
      <c r="T236" s="230" t="str">
        <f>IF(ISNUMBER(MATCH(B236, 'Sprint 10'!B:B, 0)), "มาจาก Sprint 10", "")</f>
        <v/>
      </c>
      <c r="U236" s="230" t="str">
        <f t="array" ref="U236">IF(ISNUMBER(MATCH(A236, 'Sprint 10'!A:A, 0)), INDEX('Sprint 10'!J:J, MATCH(A236, 'Sprint 10'!A:A, 0)), "")</f>
        <v/>
      </c>
    </row>
    <row r="237">
      <c r="O237" s="230"/>
      <c r="S237" s="230"/>
      <c r="T237" s="230" t="str">
        <f>IF(ISNUMBER(MATCH(B237, 'Sprint 10'!B:B, 0)), "มาจาก Sprint 10", "")</f>
        <v/>
      </c>
      <c r="U237" s="230" t="str">
        <f t="array" ref="U237">IF(ISNUMBER(MATCH(A237, 'Sprint 10'!A:A, 0)), INDEX('Sprint 10'!J:J, MATCH(A237, 'Sprint 10'!A:A, 0)), "")</f>
        <v/>
      </c>
    </row>
    <row r="238">
      <c r="O238" s="230"/>
      <c r="S238" s="230"/>
      <c r="T238" s="230" t="str">
        <f>IF(ISNUMBER(MATCH(B238, 'Sprint 10'!B:B, 0)), "มาจาก Sprint 10", "")</f>
        <v/>
      </c>
      <c r="U238" s="230" t="str">
        <f t="array" ref="U238">IF(ISNUMBER(MATCH(A238, 'Sprint 10'!A:A, 0)), INDEX('Sprint 10'!J:J, MATCH(A238, 'Sprint 10'!A:A, 0)), "")</f>
        <v/>
      </c>
    </row>
    <row r="239">
      <c r="O239" s="230"/>
      <c r="S239" s="230"/>
      <c r="T239" s="230" t="str">
        <f>IF(ISNUMBER(MATCH(B239, 'Sprint 10'!B:B, 0)), "มาจาก Sprint 10", "")</f>
        <v/>
      </c>
      <c r="U239" s="230" t="str">
        <f t="array" ref="U239">IF(ISNUMBER(MATCH(A239, 'Sprint 10'!A:A, 0)), INDEX('Sprint 10'!J:J, MATCH(A239, 'Sprint 10'!A:A, 0)), "")</f>
        <v/>
      </c>
    </row>
    <row r="240">
      <c r="O240" s="230"/>
      <c r="S240" s="230"/>
      <c r="T240" s="230" t="str">
        <f>IF(ISNUMBER(MATCH(B240, 'Sprint 10'!B:B, 0)), "มาจาก Sprint 10", "")</f>
        <v/>
      </c>
      <c r="U240" s="230" t="str">
        <f t="array" ref="U240">IF(ISNUMBER(MATCH(A240, 'Sprint 10'!A:A, 0)), INDEX('Sprint 10'!J:J, MATCH(A240, 'Sprint 10'!A:A, 0)), "")</f>
        <v/>
      </c>
    </row>
    <row r="241">
      <c r="O241" s="230"/>
      <c r="S241" s="230"/>
      <c r="T241" s="230" t="str">
        <f>IF(ISNUMBER(MATCH(B241, 'Sprint 10'!B:B, 0)), "มาจาก Sprint 10", "")</f>
        <v/>
      </c>
      <c r="U241" s="230" t="str">
        <f t="array" ref="U241">IF(ISNUMBER(MATCH(A241, 'Sprint 10'!A:A, 0)), INDEX('Sprint 10'!J:J, MATCH(A241, 'Sprint 10'!A:A, 0)), "")</f>
        <v/>
      </c>
    </row>
    <row r="242">
      <c r="O242" s="230"/>
      <c r="S242" s="230"/>
      <c r="T242" s="230" t="str">
        <f>IF(ISNUMBER(MATCH(B242, 'Sprint 10'!B:B, 0)), "มาจาก Sprint 10", "")</f>
        <v/>
      </c>
      <c r="U242" s="230" t="str">
        <f t="array" ref="U242">IF(ISNUMBER(MATCH(A242, 'Sprint 10'!A:A, 0)), INDEX('Sprint 10'!J:J, MATCH(A242, 'Sprint 10'!A:A, 0)), "")</f>
        <v/>
      </c>
    </row>
    <row r="243">
      <c r="O243" s="230"/>
      <c r="S243" s="230"/>
      <c r="T243" s="230" t="str">
        <f>IF(ISNUMBER(MATCH(B243, 'Sprint 10'!B:B, 0)), "มาจาก Sprint 10", "")</f>
        <v/>
      </c>
      <c r="U243" s="230" t="str">
        <f t="array" ref="U243">IF(ISNUMBER(MATCH(A243, 'Sprint 10'!A:A, 0)), INDEX('Sprint 10'!J:J, MATCH(A243, 'Sprint 10'!A:A, 0)), "")</f>
        <v/>
      </c>
    </row>
    <row r="244">
      <c r="O244" s="230"/>
      <c r="S244" s="230"/>
      <c r="T244" s="230" t="str">
        <f>IF(ISNUMBER(MATCH(B244, 'Sprint 10'!B:B, 0)), "มาจาก Sprint 10", "")</f>
        <v/>
      </c>
      <c r="U244" s="230" t="str">
        <f t="array" ref="U244">IF(ISNUMBER(MATCH(A244, 'Sprint 10'!A:A, 0)), INDEX('Sprint 10'!J:J, MATCH(A244, 'Sprint 10'!A:A, 0)), "")</f>
        <v/>
      </c>
    </row>
    <row r="245">
      <c r="O245" s="230"/>
      <c r="S245" s="230"/>
      <c r="T245" s="230" t="str">
        <f>IF(ISNUMBER(MATCH(B245, 'Sprint 10'!B:B, 0)), "มาจาก Sprint 10", "")</f>
        <v/>
      </c>
      <c r="U245" s="230" t="str">
        <f t="array" ref="U245">IF(ISNUMBER(MATCH(A245, 'Sprint 10'!A:A, 0)), INDEX('Sprint 10'!J:J, MATCH(A245, 'Sprint 10'!A:A, 0)), "")</f>
        <v/>
      </c>
    </row>
    <row r="246">
      <c r="O246" s="230"/>
      <c r="S246" s="230"/>
      <c r="T246" s="230" t="str">
        <f>IF(ISNUMBER(MATCH(B246, 'Sprint 10'!B:B, 0)), "มาจาก Sprint 10", "")</f>
        <v/>
      </c>
      <c r="U246" s="230" t="str">
        <f t="array" ref="U246">IF(ISNUMBER(MATCH(A246, 'Sprint 10'!A:A, 0)), INDEX('Sprint 10'!J:J, MATCH(A246, 'Sprint 10'!A:A, 0)), "")</f>
        <v/>
      </c>
    </row>
    <row r="247">
      <c r="O247" s="230"/>
      <c r="S247" s="230"/>
      <c r="T247" s="230" t="str">
        <f>IF(ISNUMBER(MATCH(B247, 'Sprint 10'!B:B, 0)), "มาจาก Sprint 10", "")</f>
        <v/>
      </c>
      <c r="U247" s="230" t="str">
        <f t="array" ref="U247">IF(ISNUMBER(MATCH(A247, 'Sprint 10'!A:A, 0)), INDEX('Sprint 10'!J:J, MATCH(A247, 'Sprint 10'!A:A, 0)), "")</f>
        <v/>
      </c>
    </row>
    <row r="248">
      <c r="O248" s="230"/>
      <c r="S248" s="230"/>
      <c r="T248" s="230" t="str">
        <f>IF(ISNUMBER(MATCH(B248, 'Sprint 10'!B:B, 0)), "มาจาก Sprint 10", "")</f>
        <v/>
      </c>
      <c r="U248" s="230" t="str">
        <f t="array" ref="U248">IF(ISNUMBER(MATCH(A248, 'Sprint 10'!A:A, 0)), INDEX('Sprint 10'!J:J, MATCH(A248, 'Sprint 10'!A:A, 0)), "")</f>
        <v/>
      </c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L249" s="102"/>
      <c r="M249" s="102"/>
      <c r="N249" s="102"/>
      <c r="O249" s="102"/>
      <c r="P249" s="102"/>
      <c r="R249" s="230"/>
      <c r="S249" s="230"/>
      <c r="T249" s="230"/>
      <c r="U249" s="230"/>
      <c r="V249" s="230"/>
      <c r="W249" s="102"/>
      <c r="X249" s="230"/>
      <c r="Y249" s="230"/>
      <c r="Z249" s="230"/>
      <c r="AA249" s="102"/>
      <c r="AB249" s="102"/>
      <c r="AC249" s="230"/>
      <c r="AD249" s="230"/>
      <c r="AE249" s="230"/>
      <c r="AF249" s="230"/>
      <c r="AG249" s="230"/>
      <c r="AH249" s="230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L250" s="102"/>
      <c r="M250" s="102"/>
      <c r="O250" s="102"/>
      <c r="P250" s="102"/>
      <c r="R250" s="230"/>
      <c r="S250" s="102"/>
      <c r="T250" s="230"/>
      <c r="U250" s="230"/>
      <c r="V250" s="230"/>
      <c r="W250" s="102"/>
      <c r="X250" s="230"/>
      <c r="Y250" s="230"/>
      <c r="Z250" s="230"/>
      <c r="AA250" s="102"/>
      <c r="AB250" s="102"/>
      <c r="AC250" s="230"/>
      <c r="AD250" s="230"/>
      <c r="AE250" s="230"/>
      <c r="AF250" s="230"/>
      <c r="AG250" s="230"/>
      <c r="AH250" s="230"/>
    </row>
    <row r="251">
      <c r="O251" s="230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  <c r="AD251" s="230"/>
      <c r="AE251" s="230"/>
      <c r="AF251" s="230"/>
      <c r="AG251" s="230"/>
      <c r="AH251" s="230"/>
    </row>
    <row r="252">
      <c r="O252" s="230"/>
      <c r="R252" s="230"/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  <c r="AC252" s="230"/>
      <c r="AD252" s="230"/>
      <c r="AE252" s="230"/>
      <c r="AF252" s="230"/>
      <c r="AG252" s="230"/>
      <c r="AH252" s="230"/>
    </row>
    <row r="253">
      <c r="O253" s="230"/>
      <c r="R253" s="230"/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  <c r="AC253" s="230"/>
      <c r="AD253" s="230"/>
      <c r="AE253" s="230"/>
      <c r="AF253" s="230"/>
      <c r="AG253" s="230"/>
      <c r="AH253" s="230"/>
    </row>
    <row r="254">
      <c r="O254" s="230"/>
      <c r="R254" s="230"/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  <c r="AC254" s="230"/>
      <c r="AD254" s="230"/>
      <c r="AE254" s="230"/>
      <c r="AF254" s="230"/>
      <c r="AG254" s="230"/>
      <c r="AH254" s="230"/>
    </row>
    <row r="255">
      <c r="O255" s="230"/>
      <c r="R255" s="230"/>
      <c r="S255" s="230"/>
      <c r="T255" s="230"/>
      <c r="U255" s="230"/>
      <c r="V255" s="230"/>
      <c r="W255" s="230"/>
      <c r="X255" s="230"/>
      <c r="Y255" s="230"/>
      <c r="Z255" s="230"/>
      <c r="AA255" s="230"/>
      <c r="AB255" s="230"/>
      <c r="AC255" s="230"/>
      <c r="AD255" s="230"/>
      <c r="AE255" s="230"/>
      <c r="AF255" s="230"/>
      <c r="AG255" s="230"/>
      <c r="AH255" s="230"/>
    </row>
    <row r="256">
      <c r="O256" s="230"/>
      <c r="R256" s="230"/>
      <c r="S256" s="230"/>
      <c r="T256" s="230"/>
      <c r="U256" s="230"/>
      <c r="V256" s="230"/>
      <c r="W256" s="230"/>
      <c r="X256" s="230"/>
      <c r="Y256" s="230"/>
      <c r="Z256" s="230"/>
      <c r="AA256" s="230"/>
      <c r="AB256" s="230"/>
      <c r="AC256" s="230"/>
      <c r="AD256" s="230"/>
      <c r="AE256" s="230"/>
      <c r="AF256" s="230"/>
      <c r="AG256" s="230"/>
      <c r="AH256" s="230"/>
    </row>
    <row r="257">
      <c r="O257" s="230"/>
      <c r="R257" s="230"/>
      <c r="S257" s="230"/>
      <c r="T257" s="230"/>
      <c r="U257" s="230"/>
      <c r="V257" s="230"/>
      <c r="W257" s="230"/>
      <c r="X257" s="230"/>
      <c r="Y257" s="230"/>
      <c r="Z257" s="230"/>
      <c r="AA257" s="230"/>
      <c r="AB257" s="230"/>
      <c r="AC257" s="230"/>
      <c r="AD257" s="230"/>
      <c r="AE257" s="230"/>
      <c r="AF257" s="230"/>
      <c r="AG257" s="230"/>
      <c r="AH257" s="230"/>
    </row>
    <row r="258">
      <c r="O258" s="230"/>
      <c r="R258" s="230"/>
      <c r="S258" s="230"/>
      <c r="T258" s="230"/>
      <c r="U258" s="230"/>
      <c r="V258" s="230"/>
      <c r="W258" s="230"/>
      <c r="X258" s="230"/>
      <c r="Y258" s="230"/>
      <c r="Z258" s="230"/>
      <c r="AA258" s="230"/>
      <c r="AB258" s="230"/>
      <c r="AC258" s="230"/>
      <c r="AD258" s="230"/>
      <c r="AE258" s="230"/>
      <c r="AF258" s="230"/>
      <c r="AG258" s="230"/>
      <c r="AH258" s="230"/>
    </row>
    <row r="259">
      <c r="O259" s="230"/>
      <c r="R259" s="230"/>
      <c r="S259" s="230"/>
      <c r="T259" s="230"/>
      <c r="U259" s="230"/>
      <c r="V259" s="230"/>
      <c r="W259" s="230"/>
      <c r="X259" s="230"/>
      <c r="Y259" s="230"/>
      <c r="Z259" s="230"/>
      <c r="AA259" s="230"/>
      <c r="AB259" s="230"/>
      <c r="AC259" s="230"/>
      <c r="AD259" s="230"/>
      <c r="AE259" s="230"/>
      <c r="AF259" s="230"/>
      <c r="AG259" s="230"/>
      <c r="AH259" s="230"/>
    </row>
    <row r="260">
      <c r="O260" s="230"/>
      <c r="R260" s="230"/>
      <c r="S260" s="230"/>
      <c r="T260" s="230"/>
      <c r="U260" s="230"/>
      <c r="V260" s="230"/>
      <c r="W260" s="230"/>
      <c r="X260" s="230"/>
      <c r="Y260" s="230"/>
      <c r="Z260" s="230"/>
      <c r="AA260" s="230"/>
      <c r="AB260" s="230"/>
      <c r="AC260" s="230"/>
      <c r="AD260" s="230"/>
      <c r="AE260" s="230"/>
      <c r="AF260" s="230"/>
      <c r="AG260" s="230"/>
      <c r="AH260" s="230"/>
    </row>
    <row r="261">
      <c r="O261" s="230"/>
      <c r="R261" s="230"/>
      <c r="S261" s="230"/>
      <c r="T261" s="230"/>
      <c r="U261" s="230"/>
      <c r="V261" s="230"/>
      <c r="W261" s="230"/>
      <c r="X261" s="230"/>
      <c r="Y261" s="230"/>
      <c r="Z261" s="230"/>
      <c r="AA261" s="230"/>
      <c r="AB261" s="230"/>
      <c r="AC261" s="230"/>
      <c r="AD261" s="230"/>
      <c r="AE261" s="230"/>
      <c r="AF261" s="230"/>
      <c r="AG261" s="230"/>
      <c r="AH261" s="230"/>
    </row>
    <row r="262">
      <c r="O262" s="230"/>
      <c r="R262" s="230"/>
      <c r="S262" s="230"/>
      <c r="T262" s="230"/>
      <c r="U262" s="230"/>
      <c r="V262" s="230"/>
      <c r="W262" s="230"/>
      <c r="X262" s="230"/>
      <c r="Y262" s="230"/>
      <c r="Z262" s="230"/>
      <c r="AA262" s="230"/>
      <c r="AB262" s="230"/>
      <c r="AC262" s="230"/>
      <c r="AD262" s="230"/>
      <c r="AE262" s="230"/>
      <c r="AF262" s="230"/>
      <c r="AG262" s="230"/>
      <c r="AH262" s="230"/>
    </row>
    <row r="263">
      <c r="O263" s="230"/>
      <c r="R263" s="230"/>
      <c r="S263" s="230"/>
      <c r="T263" s="230"/>
      <c r="U263" s="230"/>
      <c r="V263" s="230"/>
      <c r="W263" s="230"/>
      <c r="X263" s="230"/>
      <c r="Y263" s="230"/>
      <c r="Z263" s="230"/>
      <c r="AA263" s="230"/>
      <c r="AB263" s="230"/>
      <c r="AC263" s="230"/>
      <c r="AD263" s="230"/>
      <c r="AE263" s="230"/>
      <c r="AF263" s="230"/>
      <c r="AG263" s="230"/>
      <c r="AH263" s="230"/>
    </row>
    <row r="264">
      <c r="O264" s="230"/>
      <c r="R264" s="230"/>
      <c r="S264" s="230"/>
      <c r="T264" s="230"/>
      <c r="U264" s="230"/>
      <c r="V264" s="230"/>
      <c r="W264" s="230"/>
      <c r="X264" s="230"/>
      <c r="Y264" s="230"/>
      <c r="Z264" s="230"/>
      <c r="AA264" s="230"/>
      <c r="AB264" s="230"/>
      <c r="AC264" s="230"/>
      <c r="AD264" s="230"/>
      <c r="AE264" s="230"/>
      <c r="AF264" s="230"/>
      <c r="AG264" s="230"/>
      <c r="AH264" s="230"/>
    </row>
    <row r="265">
      <c r="O265" s="230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  <c r="AD265" s="230"/>
      <c r="AE265" s="230"/>
      <c r="AF265" s="230"/>
      <c r="AG265" s="230"/>
      <c r="AH265" s="230"/>
    </row>
    <row r="266">
      <c r="O266" s="230"/>
      <c r="R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  <c r="AC266" s="230"/>
      <c r="AD266" s="230"/>
      <c r="AE266" s="230"/>
      <c r="AF266" s="230"/>
      <c r="AG266" s="230"/>
      <c r="AH266" s="230"/>
    </row>
    <row r="267">
      <c r="O267" s="230"/>
      <c r="R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  <c r="AC267" s="230"/>
      <c r="AD267" s="230"/>
      <c r="AE267" s="230"/>
      <c r="AF267" s="230"/>
      <c r="AG267" s="230"/>
      <c r="AH267" s="230"/>
    </row>
    <row r="268">
      <c r="O268" s="230"/>
      <c r="R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  <c r="AC268" s="230"/>
      <c r="AD268" s="230"/>
      <c r="AE268" s="230"/>
      <c r="AF268" s="230"/>
      <c r="AG268" s="230"/>
      <c r="AH268" s="230"/>
    </row>
    <row r="269">
      <c r="O269" s="230"/>
      <c r="R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  <c r="AC269" s="230"/>
      <c r="AD269" s="230"/>
      <c r="AE269" s="230"/>
      <c r="AF269" s="230"/>
      <c r="AG269" s="230"/>
      <c r="AH269" s="230"/>
    </row>
    <row r="270">
      <c r="O270" s="230"/>
      <c r="R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  <c r="AC270" s="230"/>
      <c r="AD270" s="230"/>
      <c r="AE270" s="230"/>
      <c r="AF270" s="230"/>
      <c r="AG270" s="230"/>
      <c r="AH270" s="230"/>
    </row>
    <row r="271">
      <c r="O271" s="230"/>
      <c r="R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  <c r="AC271" s="230"/>
      <c r="AD271" s="230"/>
      <c r="AE271" s="230"/>
      <c r="AF271" s="230"/>
      <c r="AG271" s="230"/>
      <c r="AH271" s="230"/>
    </row>
    <row r="272">
      <c r="O272" s="230"/>
      <c r="R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  <c r="AC272" s="230"/>
      <c r="AD272" s="230"/>
      <c r="AE272" s="230"/>
      <c r="AF272" s="230"/>
      <c r="AG272" s="230"/>
      <c r="AH272" s="230"/>
    </row>
    <row r="273">
      <c r="O273" s="230"/>
      <c r="R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  <c r="AC273" s="230"/>
      <c r="AD273" s="230"/>
      <c r="AE273" s="230"/>
      <c r="AF273" s="230"/>
      <c r="AG273" s="230"/>
      <c r="AH273" s="230"/>
    </row>
    <row r="274">
      <c r="O274" s="230"/>
      <c r="R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  <c r="AC274" s="230"/>
      <c r="AD274" s="230"/>
      <c r="AE274" s="230"/>
      <c r="AF274" s="230"/>
      <c r="AG274" s="230"/>
      <c r="AH274" s="230"/>
    </row>
    <row r="275">
      <c r="O275" s="230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  <c r="AF275" s="230"/>
      <c r="AG275" s="230"/>
      <c r="AH275" s="230"/>
    </row>
    <row r="276">
      <c r="O276" s="230"/>
      <c r="R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  <c r="AC276" s="230"/>
      <c r="AD276" s="230"/>
      <c r="AE276" s="230"/>
      <c r="AF276" s="230"/>
      <c r="AG276" s="230"/>
      <c r="AH276" s="230"/>
    </row>
    <row r="277">
      <c r="O277" s="230"/>
      <c r="R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  <c r="AC277" s="230"/>
      <c r="AD277" s="230"/>
      <c r="AE277" s="230"/>
      <c r="AF277" s="230"/>
      <c r="AG277" s="230"/>
      <c r="AH277" s="230"/>
    </row>
    <row r="278">
      <c r="O278" s="230"/>
      <c r="R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  <c r="AC278" s="230"/>
      <c r="AD278" s="230"/>
      <c r="AE278" s="230"/>
      <c r="AF278" s="230"/>
      <c r="AG278" s="230"/>
      <c r="AH278" s="230"/>
    </row>
    <row r="279">
      <c r="O279" s="230"/>
      <c r="R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  <c r="AC279" s="230"/>
      <c r="AD279" s="230"/>
      <c r="AE279" s="230"/>
      <c r="AF279" s="230"/>
      <c r="AG279" s="230"/>
      <c r="AH279" s="230"/>
    </row>
    <row r="280">
      <c r="O280" s="230"/>
      <c r="R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  <c r="AC280" s="230"/>
      <c r="AD280" s="230"/>
      <c r="AE280" s="230"/>
      <c r="AF280" s="230"/>
      <c r="AG280" s="230"/>
      <c r="AH280" s="230"/>
    </row>
    <row r="281">
      <c r="O281" s="230"/>
      <c r="R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  <c r="AC281" s="230"/>
      <c r="AD281" s="230"/>
      <c r="AE281" s="230"/>
      <c r="AF281" s="230"/>
      <c r="AG281" s="230"/>
      <c r="AH281" s="230"/>
    </row>
    <row r="282">
      <c r="O282" s="230"/>
      <c r="R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  <c r="AC282" s="230"/>
      <c r="AD282" s="230"/>
      <c r="AE282" s="230"/>
      <c r="AF282" s="230"/>
      <c r="AG282" s="230"/>
      <c r="AH282" s="230"/>
    </row>
    <row r="283">
      <c r="O283" s="230"/>
      <c r="R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  <c r="AC283" s="230"/>
      <c r="AD283" s="230"/>
      <c r="AE283" s="230"/>
      <c r="AF283" s="230"/>
      <c r="AG283" s="230"/>
      <c r="AH283" s="230"/>
    </row>
    <row r="284">
      <c r="O284" s="230"/>
      <c r="R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  <c r="AC284" s="230"/>
      <c r="AD284" s="230"/>
      <c r="AE284" s="230"/>
      <c r="AF284" s="230"/>
      <c r="AG284" s="230"/>
      <c r="AH284" s="230"/>
    </row>
    <row r="285">
      <c r="O285" s="230"/>
      <c r="R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  <c r="AC285" s="230"/>
      <c r="AD285" s="230"/>
      <c r="AE285" s="230"/>
      <c r="AF285" s="230"/>
      <c r="AG285" s="230"/>
      <c r="AH285" s="230"/>
    </row>
    <row r="286">
      <c r="O286" s="230"/>
      <c r="R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  <c r="AC286" s="230"/>
      <c r="AD286" s="230"/>
      <c r="AE286" s="230"/>
      <c r="AF286" s="230"/>
      <c r="AG286" s="230"/>
      <c r="AH286" s="230"/>
    </row>
    <row r="287">
      <c r="O287" s="230"/>
      <c r="R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  <c r="AD287" s="230"/>
      <c r="AE287" s="230"/>
      <c r="AF287" s="230"/>
      <c r="AG287" s="230"/>
      <c r="AH287" s="230"/>
    </row>
    <row r="288">
      <c r="O288" s="230"/>
      <c r="R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  <c r="AC288" s="230"/>
      <c r="AD288" s="230"/>
      <c r="AE288" s="230"/>
      <c r="AF288" s="230"/>
      <c r="AG288" s="230"/>
      <c r="AH288" s="230"/>
    </row>
    <row r="289">
      <c r="O289" s="230"/>
      <c r="R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  <c r="AC289" s="230"/>
      <c r="AD289" s="230"/>
      <c r="AE289" s="230"/>
      <c r="AF289" s="230"/>
      <c r="AG289" s="230"/>
      <c r="AH289" s="230"/>
    </row>
    <row r="290">
      <c r="O290" s="230"/>
      <c r="R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  <c r="AC290" s="230"/>
      <c r="AD290" s="230"/>
      <c r="AE290" s="230"/>
      <c r="AF290" s="230"/>
      <c r="AG290" s="230"/>
      <c r="AH290" s="230"/>
    </row>
    <row r="291">
      <c r="O291" s="230"/>
      <c r="R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  <c r="AC291" s="230"/>
      <c r="AD291" s="230"/>
      <c r="AE291" s="230"/>
      <c r="AF291" s="230"/>
      <c r="AG291" s="230"/>
      <c r="AH291" s="230"/>
    </row>
    <row r="292">
      <c r="O292" s="230"/>
      <c r="R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  <c r="AC292" s="230"/>
      <c r="AD292" s="230"/>
      <c r="AE292" s="230"/>
      <c r="AF292" s="230"/>
      <c r="AG292" s="230"/>
      <c r="AH292" s="230"/>
    </row>
    <row r="293">
      <c r="O293" s="230"/>
      <c r="R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  <c r="AC293" s="230"/>
      <c r="AD293" s="230"/>
      <c r="AE293" s="230"/>
      <c r="AF293" s="230"/>
      <c r="AG293" s="230"/>
      <c r="AH293" s="230"/>
    </row>
    <row r="294">
      <c r="O294" s="230"/>
      <c r="R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  <c r="AD294" s="230"/>
      <c r="AE294" s="230"/>
      <c r="AF294" s="230"/>
      <c r="AG294" s="230"/>
      <c r="AH294" s="230"/>
    </row>
    <row r="295">
      <c r="O295" s="230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  <c r="AF295" s="230"/>
      <c r="AG295" s="230"/>
      <c r="AH295" s="230"/>
    </row>
    <row r="296">
      <c r="O296" s="230"/>
      <c r="R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  <c r="AD296" s="230"/>
      <c r="AE296" s="230"/>
      <c r="AF296" s="230"/>
      <c r="AG296" s="230"/>
      <c r="AH296" s="230"/>
    </row>
    <row r="297">
      <c r="O297" s="230"/>
      <c r="R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  <c r="AD297" s="230"/>
      <c r="AE297" s="230"/>
      <c r="AF297" s="230"/>
      <c r="AG297" s="230"/>
      <c r="AH297" s="230"/>
    </row>
    <row r="298">
      <c r="O298" s="230"/>
      <c r="R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  <c r="AD298" s="230"/>
      <c r="AE298" s="230"/>
      <c r="AF298" s="230"/>
      <c r="AG298" s="230"/>
      <c r="AH298" s="230"/>
    </row>
    <row r="299">
      <c r="O299" s="230"/>
      <c r="R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  <c r="AD299" s="230"/>
      <c r="AE299" s="230"/>
      <c r="AF299" s="230"/>
      <c r="AG299" s="230"/>
      <c r="AH299" s="230"/>
    </row>
    <row r="300">
      <c r="O300" s="230"/>
      <c r="R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  <c r="AD300" s="230"/>
      <c r="AE300" s="230"/>
      <c r="AF300" s="230"/>
      <c r="AG300" s="230"/>
      <c r="AH300" s="230"/>
    </row>
    <row r="301">
      <c r="O301" s="230"/>
      <c r="R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  <c r="AD301" s="230"/>
      <c r="AE301" s="230"/>
      <c r="AF301" s="230"/>
      <c r="AG301" s="230"/>
      <c r="AH301" s="230"/>
    </row>
    <row r="302">
      <c r="O302" s="230"/>
      <c r="R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  <c r="AD302" s="230"/>
      <c r="AE302" s="230"/>
      <c r="AF302" s="230"/>
      <c r="AG302" s="230"/>
      <c r="AH302" s="230"/>
    </row>
    <row r="303">
      <c r="O303" s="230"/>
      <c r="R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  <c r="AD303" s="230"/>
      <c r="AE303" s="230"/>
      <c r="AF303" s="230"/>
      <c r="AG303" s="230"/>
      <c r="AH303" s="230"/>
    </row>
    <row r="304">
      <c r="O304" s="230"/>
      <c r="R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  <c r="AD304" s="230"/>
      <c r="AE304" s="230"/>
      <c r="AF304" s="230"/>
      <c r="AG304" s="230"/>
      <c r="AH304" s="230"/>
    </row>
    <row r="305">
      <c r="O305" s="230"/>
      <c r="R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  <c r="AD305" s="230"/>
      <c r="AE305" s="230"/>
      <c r="AF305" s="230"/>
      <c r="AG305" s="230"/>
      <c r="AH305" s="230"/>
    </row>
    <row r="306">
      <c r="O306" s="230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230"/>
      <c r="AH306" s="230"/>
    </row>
    <row r="307">
      <c r="O307" s="230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  <c r="AD307" s="230"/>
      <c r="AE307" s="230"/>
      <c r="AF307" s="230"/>
      <c r="AG307" s="230"/>
      <c r="AH307" s="230"/>
    </row>
    <row r="308">
      <c r="O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  <c r="AF308" s="230"/>
      <c r="AG308" s="230"/>
      <c r="AH308" s="230"/>
    </row>
    <row r="309">
      <c r="O309" s="230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  <c r="AD309" s="230"/>
      <c r="AE309" s="230"/>
      <c r="AF309" s="230"/>
      <c r="AG309" s="230"/>
      <c r="AH309" s="230"/>
    </row>
    <row r="310">
      <c r="O310" s="230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  <c r="AD310" s="230"/>
      <c r="AE310" s="230"/>
      <c r="AF310" s="230"/>
      <c r="AG310" s="230"/>
      <c r="AH310" s="230"/>
    </row>
    <row r="311">
      <c r="O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</row>
    <row r="312">
      <c r="O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</row>
    <row r="313">
      <c r="O313" s="230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</row>
    <row r="314">
      <c r="O314" s="230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</row>
    <row r="315">
      <c r="O315" s="230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</row>
    <row r="316">
      <c r="O316" s="230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  <c r="AF316" s="230"/>
      <c r="AG316" s="230"/>
      <c r="AH316" s="230"/>
    </row>
    <row r="317">
      <c r="O317" s="230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  <c r="AF317" s="230"/>
      <c r="AG317" s="230"/>
      <c r="AH317" s="230"/>
    </row>
    <row r="318">
      <c r="O318" s="230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  <c r="AF318" s="230"/>
      <c r="AG318" s="230"/>
      <c r="AH318" s="230"/>
    </row>
    <row r="319">
      <c r="O319" s="230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  <c r="AF319" s="230"/>
      <c r="AG319" s="230"/>
      <c r="AH319" s="230"/>
    </row>
    <row r="320">
      <c r="O320" s="230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  <c r="AF320" s="230"/>
      <c r="AG320" s="230"/>
      <c r="AH320" s="230"/>
    </row>
    <row r="321">
      <c r="O321" s="230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</row>
    <row r="322">
      <c r="O322" s="230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</row>
    <row r="323">
      <c r="O323" s="230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  <c r="AF323" s="230"/>
      <c r="AG323" s="230"/>
      <c r="AH323" s="230"/>
    </row>
    <row r="324">
      <c r="O324" s="230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  <c r="AF324" s="230"/>
      <c r="AG324" s="230"/>
      <c r="AH324" s="230"/>
    </row>
    <row r="325">
      <c r="O325" s="230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  <c r="AF325" s="230"/>
      <c r="AG325" s="230"/>
      <c r="AH325" s="230"/>
    </row>
    <row r="326">
      <c r="O326" s="230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  <c r="AF326" s="230"/>
      <c r="AG326" s="230"/>
      <c r="AH326" s="230"/>
    </row>
    <row r="327">
      <c r="O327" s="230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  <c r="AF327" s="230"/>
      <c r="AG327" s="230"/>
      <c r="AH327" s="230"/>
    </row>
    <row r="328">
      <c r="O328" s="230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  <c r="AF328" s="230"/>
      <c r="AG328" s="230"/>
      <c r="AH328" s="230"/>
    </row>
    <row r="329">
      <c r="O329" s="230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  <c r="AF329" s="230"/>
      <c r="AG329" s="230"/>
      <c r="AH329" s="230"/>
    </row>
    <row r="330">
      <c r="O330" s="230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  <c r="AF330" s="230"/>
      <c r="AG330" s="230"/>
      <c r="AH330" s="230"/>
    </row>
    <row r="331">
      <c r="O331" s="230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</row>
    <row r="332">
      <c r="O332" s="230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  <c r="AF332" s="230"/>
      <c r="AG332" s="230"/>
      <c r="AH332" s="230"/>
    </row>
    <row r="333">
      <c r="O333" s="230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  <c r="AF333" s="230"/>
      <c r="AG333" s="230"/>
      <c r="AH333" s="230"/>
    </row>
    <row r="334">
      <c r="O334" s="230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  <c r="AF334" s="230"/>
      <c r="AG334" s="230"/>
      <c r="AH334" s="230"/>
    </row>
    <row r="335">
      <c r="O335" s="230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  <c r="AF335" s="230"/>
      <c r="AG335" s="230"/>
      <c r="AH335" s="230"/>
    </row>
    <row r="336">
      <c r="O336" s="230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  <c r="AF336" s="230"/>
      <c r="AG336" s="230"/>
      <c r="AH336" s="230"/>
    </row>
    <row r="337">
      <c r="O337" s="230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  <c r="AF337" s="230"/>
      <c r="AG337" s="230"/>
      <c r="AH337" s="230"/>
    </row>
    <row r="338">
      <c r="O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</row>
    <row r="339">
      <c r="O339" s="230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  <c r="AF339" s="230"/>
      <c r="AG339" s="230"/>
      <c r="AH339" s="230"/>
    </row>
    <row r="340">
      <c r="O340" s="230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  <c r="AF340" s="230"/>
      <c r="AG340" s="230"/>
      <c r="AH340" s="230"/>
    </row>
    <row r="341">
      <c r="O341" s="230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  <c r="AF341" s="230"/>
      <c r="AG341" s="230"/>
      <c r="AH341" s="230"/>
    </row>
    <row r="342">
      <c r="O342" s="230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  <c r="AF342" s="230"/>
      <c r="AG342" s="230"/>
      <c r="AH342" s="230"/>
    </row>
    <row r="343">
      <c r="O343" s="230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  <c r="AF343" s="230"/>
      <c r="AG343" s="230"/>
      <c r="AH343" s="230"/>
    </row>
    <row r="344">
      <c r="O344" s="230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  <c r="AF344" s="230"/>
      <c r="AG344" s="230"/>
      <c r="AH344" s="230"/>
    </row>
    <row r="345">
      <c r="O345" s="230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</row>
    <row r="346">
      <c r="O346" s="230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</row>
    <row r="347">
      <c r="O347" s="230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</row>
    <row r="348">
      <c r="O348" s="230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</row>
    <row r="349">
      <c r="O349" s="230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</row>
    <row r="350">
      <c r="O350" s="230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</row>
    <row r="351">
      <c r="O351" s="230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</row>
    <row r="352">
      <c r="O352" s="230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</row>
    <row r="353">
      <c r="O353" s="230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</row>
    <row r="354">
      <c r="O354" s="230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  <c r="AF354" s="230"/>
      <c r="AG354" s="230"/>
      <c r="AH354" s="230"/>
    </row>
    <row r="355">
      <c r="O355" s="230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  <c r="AF355" s="230"/>
      <c r="AG355" s="230"/>
      <c r="AH355" s="230"/>
    </row>
    <row r="356">
      <c r="O356" s="230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  <c r="AF356" s="230"/>
      <c r="AG356" s="230"/>
      <c r="AH356" s="230"/>
    </row>
    <row r="357">
      <c r="O357" s="230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  <c r="AF357" s="230"/>
      <c r="AG357" s="230"/>
      <c r="AH357" s="230"/>
    </row>
    <row r="358">
      <c r="O358" s="230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  <c r="AF358" s="230"/>
      <c r="AG358" s="230"/>
      <c r="AH358" s="230"/>
    </row>
    <row r="359">
      <c r="O359" s="230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  <c r="AF359" s="230"/>
      <c r="AG359" s="230"/>
      <c r="AH359" s="230"/>
    </row>
    <row r="360">
      <c r="O360" s="230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  <c r="AF360" s="230"/>
      <c r="AG360" s="230"/>
      <c r="AH360" s="230"/>
    </row>
    <row r="361">
      <c r="O361" s="230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</row>
    <row r="362">
      <c r="O362" s="230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  <c r="AF362" s="230"/>
      <c r="AG362" s="230"/>
      <c r="AH362" s="230"/>
    </row>
    <row r="363">
      <c r="O363" s="230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  <c r="AF363" s="230"/>
      <c r="AG363" s="230"/>
      <c r="AH363" s="230"/>
    </row>
    <row r="364">
      <c r="O364" s="230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  <c r="AF364" s="230"/>
      <c r="AG364" s="230"/>
      <c r="AH364" s="230"/>
    </row>
    <row r="365">
      <c r="O365" s="230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  <c r="AF365" s="230"/>
      <c r="AG365" s="230"/>
      <c r="AH365" s="230"/>
    </row>
    <row r="366">
      <c r="O366" s="230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  <c r="AF366" s="230"/>
      <c r="AG366" s="230"/>
      <c r="AH366" s="230"/>
    </row>
    <row r="367">
      <c r="O367" s="230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  <c r="AF367" s="230"/>
      <c r="AG367" s="230"/>
      <c r="AH367" s="230"/>
    </row>
    <row r="368">
      <c r="O368" s="230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  <c r="AF368" s="230"/>
      <c r="AG368" s="230"/>
      <c r="AH368" s="230"/>
    </row>
    <row r="369">
      <c r="O369" s="230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  <c r="AF369" s="230"/>
      <c r="AG369" s="230"/>
      <c r="AH369" s="230"/>
    </row>
    <row r="370">
      <c r="O370" s="230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</row>
    <row r="371">
      <c r="O371" s="230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  <c r="AF371" s="230"/>
      <c r="AG371" s="230"/>
      <c r="AH371" s="230"/>
    </row>
    <row r="372">
      <c r="O372" s="230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  <c r="AF372" s="230"/>
      <c r="AG372" s="230"/>
      <c r="AH372" s="230"/>
    </row>
    <row r="373">
      <c r="O373" s="230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  <c r="AF373" s="230"/>
      <c r="AG373" s="230"/>
      <c r="AH373" s="230"/>
    </row>
    <row r="374">
      <c r="O374" s="230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  <c r="AF374" s="230"/>
      <c r="AG374" s="230"/>
      <c r="AH374" s="230"/>
    </row>
    <row r="375">
      <c r="O375" s="230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</row>
    <row r="376">
      <c r="O376" s="230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  <c r="AF376" s="230"/>
      <c r="AG376" s="230"/>
      <c r="AH376" s="230"/>
    </row>
    <row r="377">
      <c r="O377" s="230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  <c r="AF377" s="230"/>
      <c r="AG377" s="230"/>
      <c r="AH377" s="230"/>
    </row>
    <row r="378">
      <c r="O378" s="230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  <c r="AF378" s="230"/>
      <c r="AG378" s="230"/>
      <c r="AH378" s="230"/>
    </row>
    <row r="379">
      <c r="O379" s="230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  <c r="AF379" s="230"/>
      <c r="AG379" s="230"/>
      <c r="AH379" s="230"/>
    </row>
    <row r="380">
      <c r="O380" s="230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  <c r="AF380" s="230"/>
      <c r="AG380" s="230"/>
      <c r="AH380" s="230"/>
    </row>
    <row r="381">
      <c r="O381" s="230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  <c r="AF381" s="230"/>
      <c r="AG381" s="230"/>
      <c r="AH381" s="230"/>
    </row>
    <row r="382">
      <c r="O382" s="230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  <c r="AF382" s="230"/>
      <c r="AG382" s="230"/>
      <c r="AH382" s="230"/>
    </row>
    <row r="383">
      <c r="O383" s="230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  <c r="AF383" s="230"/>
      <c r="AG383" s="230"/>
      <c r="AH383" s="230"/>
    </row>
    <row r="384">
      <c r="O384" s="230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  <c r="AF384" s="230"/>
      <c r="AG384" s="230"/>
      <c r="AH384" s="230"/>
    </row>
    <row r="385">
      <c r="O385" s="230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  <c r="AF385" s="230"/>
      <c r="AG385" s="230"/>
      <c r="AH385" s="230"/>
    </row>
    <row r="386">
      <c r="O386" s="230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  <c r="AF386" s="230"/>
      <c r="AG386" s="230"/>
      <c r="AH386" s="230"/>
    </row>
    <row r="387">
      <c r="O387" s="230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  <c r="AF387" s="230"/>
      <c r="AG387" s="230"/>
      <c r="AH387" s="230"/>
    </row>
    <row r="388">
      <c r="O388" s="230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  <c r="AF388" s="230"/>
      <c r="AG388" s="230"/>
      <c r="AH388" s="230"/>
    </row>
    <row r="389">
      <c r="O389" s="230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  <c r="AF389" s="230"/>
      <c r="AG389" s="230"/>
      <c r="AH389" s="230"/>
    </row>
    <row r="390">
      <c r="O390" s="230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  <c r="AF390" s="230"/>
      <c r="AG390" s="230"/>
      <c r="AH390" s="230"/>
    </row>
    <row r="391">
      <c r="O391" s="230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  <c r="AF391" s="230"/>
      <c r="AG391" s="230"/>
      <c r="AH391" s="230"/>
    </row>
    <row r="392">
      <c r="O392" s="230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  <c r="AF392" s="230"/>
      <c r="AG392" s="230"/>
      <c r="AH392" s="230"/>
    </row>
    <row r="393">
      <c r="O393" s="230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  <c r="AF393" s="230"/>
      <c r="AG393" s="230"/>
      <c r="AH393" s="230"/>
    </row>
    <row r="394">
      <c r="O394" s="230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  <c r="AF394" s="230"/>
      <c r="AG394" s="230"/>
      <c r="AH394" s="230"/>
    </row>
    <row r="395">
      <c r="O395" s="230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  <c r="AF395" s="230"/>
      <c r="AG395" s="230"/>
      <c r="AH395" s="230"/>
    </row>
    <row r="396">
      <c r="O396" s="230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  <c r="AF396" s="230"/>
      <c r="AG396" s="230"/>
      <c r="AH396" s="230"/>
    </row>
    <row r="397">
      <c r="O397" s="230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</row>
    <row r="398">
      <c r="O398" s="230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  <c r="AF398" s="230"/>
      <c r="AG398" s="230"/>
      <c r="AH398" s="230"/>
    </row>
    <row r="399">
      <c r="O399" s="230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  <c r="AF399" s="230"/>
      <c r="AG399" s="230"/>
      <c r="AH399" s="230"/>
    </row>
    <row r="400">
      <c r="O400" s="230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  <c r="AF400" s="230"/>
      <c r="AG400" s="230"/>
      <c r="AH400" s="230"/>
    </row>
    <row r="401">
      <c r="O401" s="230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  <c r="AF401" s="230"/>
      <c r="AG401" s="230"/>
      <c r="AH401" s="230"/>
    </row>
    <row r="402">
      <c r="O402" s="230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  <c r="AF402" s="230"/>
      <c r="AG402" s="230"/>
      <c r="AH402" s="230"/>
    </row>
    <row r="403">
      <c r="O403" s="230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  <c r="AF403" s="230"/>
      <c r="AG403" s="230"/>
      <c r="AH403" s="230"/>
    </row>
    <row r="404">
      <c r="O404" s="230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  <c r="AF404" s="230"/>
      <c r="AG404" s="230"/>
      <c r="AH404" s="230"/>
    </row>
    <row r="405">
      <c r="O405" s="230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  <c r="AF405" s="230"/>
      <c r="AG405" s="230"/>
      <c r="AH405" s="230"/>
    </row>
    <row r="406">
      <c r="O406" s="230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  <c r="AF406" s="230"/>
      <c r="AG406" s="230"/>
      <c r="AH406" s="230"/>
    </row>
    <row r="407">
      <c r="O407" s="230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  <c r="AF407" s="230"/>
      <c r="AG407" s="230"/>
      <c r="AH407" s="230"/>
    </row>
    <row r="408">
      <c r="O408" s="230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  <c r="AF408" s="230"/>
      <c r="AG408" s="230"/>
      <c r="AH408" s="230"/>
    </row>
    <row r="409">
      <c r="O409" s="230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  <c r="AF409" s="230"/>
      <c r="AG409" s="230"/>
      <c r="AH409" s="230"/>
    </row>
    <row r="410">
      <c r="O410" s="230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  <c r="AF410" s="230"/>
      <c r="AG410" s="230"/>
      <c r="AH410" s="230"/>
    </row>
    <row r="411">
      <c r="O411" s="230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  <c r="AF411" s="230"/>
      <c r="AG411" s="230"/>
      <c r="AH411" s="230"/>
    </row>
    <row r="412">
      <c r="O412" s="230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  <c r="AF412" s="230"/>
      <c r="AG412" s="230"/>
      <c r="AH412" s="230"/>
    </row>
    <row r="413">
      <c r="O413" s="230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  <c r="AF413" s="230"/>
      <c r="AG413" s="230"/>
      <c r="AH413" s="230"/>
    </row>
    <row r="414">
      <c r="O414" s="230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  <c r="AF414" s="230"/>
      <c r="AG414" s="230"/>
      <c r="AH414" s="230"/>
    </row>
    <row r="415">
      <c r="O415" s="230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  <c r="AF415" s="230"/>
      <c r="AG415" s="230"/>
      <c r="AH415" s="230"/>
    </row>
    <row r="416">
      <c r="O416" s="230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  <c r="AF416" s="230"/>
      <c r="AG416" s="230"/>
      <c r="AH416" s="230"/>
    </row>
    <row r="417">
      <c r="O417" s="230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  <c r="AF417" s="230"/>
      <c r="AG417" s="230"/>
      <c r="AH417" s="230"/>
    </row>
    <row r="418">
      <c r="O418" s="230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  <c r="AF418" s="230"/>
      <c r="AG418" s="230"/>
      <c r="AH418" s="230"/>
    </row>
    <row r="419">
      <c r="O419" s="230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</row>
    <row r="420">
      <c r="O420" s="230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  <c r="AF420" s="230"/>
      <c r="AG420" s="230"/>
      <c r="AH420" s="230"/>
    </row>
    <row r="421">
      <c r="O421" s="230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  <c r="AF421" s="230"/>
      <c r="AG421" s="230"/>
      <c r="AH421" s="230"/>
    </row>
    <row r="422">
      <c r="O422" s="230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</row>
    <row r="423">
      <c r="O423" s="230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  <c r="AF423" s="230"/>
      <c r="AG423" s="230"/>
      <c r="AH423" s="230"/>
    </row>
    <row r="424">
      <c r="O424" s="230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  <c r="AF424" s="230"/>
      <c r="AG424" s="230"/>
      <c r="AH424" s="230"/>
    </row>
    <row r="425">
      <c r="O425" s="230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  <c r="AF425" s="230"/>
      <c r="AG425" s="230"/>
      <c r="AH425" s="230"/>
    </row>
    <row r="426">
      <c r="O426" s="230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  <c r="AF426" s="230"/>
      <c r="AG426" s="230"/>
      <c r="AH426" s="230"/>
    </row>
    <row r="427">
      <c r="O427" s="230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</row>
    <row r="428">
      <c r="O428" s="230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</row>
    <row r="429">
      <c r="O429" s="230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  <c r="AF429" s="230"/>
      <c r="AG429" s="230"/>
      <c r="AH429" s="230"/>
    </row>
    <row r="430">
      <c r="O430" s="230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  <c r="AF430" s="230"/>
      <c r="AG430" s="230"/>
      <c r="AH430" s="230"/>
    </row>
    <row r="431">
      <c r="O431" s="230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  <c r="AF431" s="230"/>
      <c r="AG431" s="230"/>
      <c r="AH431" s="230"/>
    </row>
    <row r="432">
      <c r="O432" s="230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  <c r="AF432" s="230"/>
      <c r="AG432" s="230"/>
      <c r="AH432" s="230"/>
    </row>
    <row r="433">
      <c r="O433" s="230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</row>
    <row r="434">
      <c r="O434" s="230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  <c r="AF434" s="230"/>
      <c r="AG434" s="230"/>
      <c r="AH434" s="230"/>
    </row>
    <row r="435">
      <c r="O435" s="230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  <c r="AF435" s="230"/>
      <c r="AG435" s="230"/>
      <c r="AH435" s="230"/>
    </row>
    <row r="436">
      <c r="O436" s="230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  <c r="AF436" s="230"/>
      <c r="AG436" s="230"/>
      <c r="AH436" s="230"/>
    </row>
    <row r="437">
      <c r="O437" s="230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  <c r="AF437" s="230"/>
      <c r="AG437" s="230"/>
      <c r="AH437" s="230"/>
    </row>
    <row r="438">
      <c r="O438" s="230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  <c r="AF438" s="230"/>
      <c r="AG438" s="230"/>
      <c r="AH438" s="230"/>
    </row>
    <row r="439">
      <c r="O439" s="230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  <c r="AF439" s="230"/>
      <c r="AG439" s="230"/>
      <c r="AH439" s="230"/>
    </row>
    <row r="440">
      <c r="O440" s="230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  <c r="AF440" s="230"/>
      <c r="AG440" s="230"/>
      <c r="AH440" s="230"/>
    </row>
    <row r="441">
      <c r="O441" s="230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</row>
    <row r="442">
      <c r="O442" s="230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  <c r="AF442" s="230"/>
      <c r="AG442" s="230"/>
      <c r="AH442" s="230"/>
    </row>
    <row r="443">
      <c r="O443" s="230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  <c r="AF443" s="230"/>
      <c r="AG443" s="230"/>
      <c r="AH443" s="230"/>
    </row>
    <row r="444">
      <c r="O444" s="230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  <c r="AF444" s="230"/>
      <c r="AG444" s="230"/>
      <c r="AH444" s="230"/>
    </row>
    <row r="445">
      <c r="O445" s="230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  <c r="AF445" s="230"/>
      <c r="AG445" s="230"/>
      <c r="AH445" s="230"/>
    </row>
    <row r="446">
      <c r="O446" s="230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  <c r="AF446" s="230"/>
      <c r="AG446" s="230"/>
      <c r="AH446" s="230"/>
    </row>
    <row r="447">
      <c r="O447" s="230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  <c r="AF447" s="230"/>
      <c r="AG447" s="230"/>
      <c r="AH447" s="230"/>
    </row>
    <row r="448">
      <c r="O448" s="230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  <c r="AF448" s="230"/>
      <c r="AG448" s="230"/>
      <c r="AH448" s="230"/>
    </row>
    <row r="449">
      <c r="O449" s="230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  <c r="AF449" s="230"/>
      <c r="AG449" s="230"/>
      <c r="AH449" s="230"/>
    </row>
    <row r="450">
      <c r="O450" s="230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  <c r="AF450" s="230"/>
      <c r="AG450" s="230"/>
      <c r="AH450" s="230"/>
    </row>
    <row r="451">
      <c r="O451" s="230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  <c r="AF451" s="230"/>
      <c r="AG451" s="230"/>
      <c r="AH451" s="230"/>
    </row>
    <row r="452">
      <c r="O452" s="230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  <c r="AF452" s="230"/>
      <c r="AG452" s="230"/>
      <c r="AH452" s="230"/>
    </row>
    <row r="453">
      <c r="O453" s="230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  <c r="AF453" s="230"/>
      <c r="AG453" s="230"/>
      <c r="AH453" s="230"/>
    </row>
    <row r="454">
      <c r="O454" s="230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  <c r="AF454" s="230"/>
      <c r="AG454" s="230"/>
      <c r="AH454" s="230"/>
    </row>
    <row r="455">
      <c r="O455" s="230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  <c r="AF455" s="230"/>
      <c r="AG455" s="230"/>
      <c r="AH455" s="230"/>
    </row>
    <row r="456">
      <c r="O456" s="230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  <c r="AF456" s="230"/>
      <c r="AG456" s="230"/>
      <c r="AH456" s="230"/>
    </row>
    <row r="457">
      <c r="O457" s="230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  <c r="AF457" s="230"/>
      <c r="AG457" s="230"/>
      <c r="AH457" s="230"/>
    </row>
    <row r="458">
      <c r="O458" s="230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  <c r="AF458" s="230"/>
      <c r="AG458" s="230"/>
      <c r="AH458" s="230"/>
    </row>
    <row r="459">
      <c r="O459" s="230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  <c r="AF459" s="230"/>
      <c r="AG459" s="230"/>
      <c r="AH459" s="230"/>
    </row>
    <row r="460">
      <c r="O460" s="230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  <c r="AF460" s="230"/>
      <c r="AG460" s="230"/>
      <c r="AH460" s="230"/>
    </row>
    <row r="461">
      <c r="O461" s="230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  <c r="AF461" s="230"/>
      <c r="AG461" s="230"/>
      <c r="AH461" s="230"/>
    </row>
    <row r="462">
      <c r="O462" s="230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  <c r="AF462" s="230"/>
      <c r="AG462" s="230"/>
      <c r="AH462" s="230"/>
    </row>
    <row r="463">
      <c r="O463" s="230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</row>
    <row r="464">
      <c r="O464" s="230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  <c r="AF464" s="230"/>
      <c r="AG464" s="230"/>
      <c r="AH464" s="230"/>
    </row>
    <row r="465">
      <c r="O465" s="230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  <c r="AF465" s="230"/>
      <c r="AG465" s="230"/>
      <c r="AH465" s="230"/>
    </row>
    <row r="466">
      <c r="O466" s="230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  <c r="AF466" s="230"/>
      <c r="AG466" s="230"/>
      <c r="AH466" s="230"/>
    </row>
    <row r="467">
      <c r="O467" s="230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  <c r="AF467" s="230"/>
      <c r="AG467" s="230"/>
      <c r="AH467" s="230"/>
    </row>
    <row r="468">
      <c r="O468" s="230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  <c r="AF468" s="230"/>
      <c r="AG468" s="230"/>
      <c r="AH468" s="230"/>
    </row>
    <row r="469">
      <c r="O469" s="230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  <c r="AF469" s="230"/>
      <c r="AG469" s="230"/>
      <c r="AH469" s="230"/>
    </row>
    <row r="470">
      <c r="O470" s="230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  <c r="AF470" s="230"/>
      <c r="AG470" s="230"/>
      <c r="AH470" s="230"/>
    </row>
    <row r="471">
      <c r="O471" s="230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  <c r="AF471" s="230"/>
      <c r="AG471" s="230"/>
      <c r="AH471" s="230"/>
    </row>
    <row r="472">
      <c r="O472" s="230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  <c r="AF472" s="230"/>
      <c r="AG472" s="230"/>
      <c r="AH472" s="230"/>
    </row>
    <row r="473">
      <c r="O473" s="230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  <c r="AF473" s="230"/>
      <c r="AG473" s="230"/>
      <c r="AH473" s="230"/>
    </row>
    <row r="474">
      <c r="O474" s="230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  <c r="AF474" s="230"/>
      <c r="AG474" s="230"/>
      <c r="AH474" s="230"/>
    </row>
    <row r="475">
      <c r="O475" s="230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  <c r="AF475" s="230"/>
      <c r="AG475" s="230"/>
      <c r="AH475" s="230"/>
    </row>
    <row r="476">
      <c r="O476" s="230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  <c r="AF476" s="230"/>
      <c r="AG476" s="230"/>
      <c r="AH476" s="230"/>
    </row>
    <row r="477">
      <c r="O477" s="230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  <c r="AF477" s="230"/>
      <c r="AG477" s="230"/>
      <c r="AH477" s="230"/>
    </row>
    <row r="478">
      <c r="O478" s="230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  <c r="AF478" s="230"/>
      <c r="AG478" s="230"/>
      <c r="AH478" s="230"/>
    </row>
    <row r="479">
      <c r="O479" s="230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  <c r="AF479" s="230"/>
      <c r="AG479" s="230"/>
      <c r="AH479" s="230"/>
    </row>
    <row r="480">
      <c r="O480" s="230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  <c r="AF480" s="230"/>
      <c r="AG480" s="230"/>
      <c r="AH480" s="230"/>
    </row>
    <row r="481">
      <c r="O481" s="230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  <c r="AF481" s="230"/>
      <c r="AG481" s="230"/>
      <c r="AH481" s="230"/>
    </row>
    <row r="482">
      <c r="O482" s="230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  <c r="AF482" s="230"/>
      <c r="AG482" s="230"/>
      <c r="AH482" s="230"/>
    </row>
    <row r="483">
      <c r="O483" s="230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  <c r="AF483" s="230"/>
      <c r="AG483" s="230"/>
      <c r="AH483" s="230"/>
    </row>
    <row r="484">
      <c r="O484" s="230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  <c r="AF484" s="230"/>
      <c r="AG484" s="230"/>
      <c r="AH484" s="230"/>
    </row>
    <row r="485">
      <c r="O485" s="230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</row>
    <row r="486">
      <c r="O486" s="230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  <c r="AF486" s="230"/>
      <c r="AG486" s="230"/>
      <c r="AH486" s="230"/>
    </row>
    <row r="487">
      <c r="O487" s="230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  <c r="AF487" s="230"/>
      <c r="AG487" s="230"/>
      <c r="AH487" s="230"/>
    </row>
    <row r="488">
      <c r="O488" s="230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  <c r="AF488" s="230"/>
      <c r="AG488" s="230"/>
      <c r="AH488" s="230"/>
    </row>
    <row r="489">
      <c r="O489" s="230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  <c r="AF489" s="230"/>
      <c r="AG489" s="230"/>
      <c r="AH489" s="230"/>
    </row>
    <row r="490">
      <c r="O490" s="230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  <c r="AF490" s="230"/>
      <c r="AG490" s="230"/>
      <c r="AH490" s="230"/>
    </row>
    <row r="491">
      <c r="O491" s="230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</row>
    <row r="492">
      <c r="O492" s="230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  <c r="AF492" s="230"/>
      <c r="AG492" s="230"/>
      <c r="AH492" s="230"/>
    </row>
    <row r="493">
      <c r="O493" s="230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  <c r="AF493" s="230"/>
      <c r="AG493" s="230"/>
      <c r="AH493" s="230"/>
    </row>
    <row r="494">
      <c r="O494" s="230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  <c r="AF494" s="230"/>
      <c r="AG494" s="230"/>
      <c r="AH494" s="230"/>
    </row>
    <row r="495">
      <c r="O495" s="230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  <c r="AF495" s="230"/>
      <c r="AG495" s="230"/>
      <c r="AH495" s="230"/>
    </row>
    <row r="496">
      <c r="O496" s="230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  <c r="AF496" s="230"/>
      <c r="AG496" s="230"/>
      <c r="AH496" s="230"/>
    </row>
    <row r="497">
      <c r="O497" s="230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  <c r="AF497" s="230"/>
      <c r="AG497" s="230"/>
      <c r="AH497" s="230"/>
    </row>
    <row r="498">
      <c r="O498" s="230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  <c r="AF498" s="230"/>
      <c r="AG498" s="230"/>
      <c r="AH498" s="230"/>
    </row>
    <row r="499">
      <c r="O499" s="230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  <c r="AF499" s="230"/>
      <c r="AG499" s="230"/>
      <c r="AH499" s="230"/>
    </row>
    <row r="500">
      <c r="O500" s="230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  <c r="AF500" s="230"/>
      <c r="AG500" s="230"/>
      <c r="AH500" s="230"/>
    </row>
    <row r="501">
      <c r="O501" s="230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  <c r="AF501" s="230"/>
      <c r="AG501" s="230"/>
      <c r="AH501" s="230"/>
    </row>
    <row r="502">
      <c r="O502" s="230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  <c r="AF502" s="230"/>
      <c r="AG502" s="230"/>
      <c r="AH502" s="230"/>
    </row>
    <row r="503">
      <c r="O503" s="230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  <c r="AF503" s="230"/>
      <c r="AG503" s="230"/>
      <c r="AH503" s="230"/>
    </row>
    <row r="504">
      <c r="O504" s="230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  <c r="AF504" s="230"/>
      <c r="AG504" s="230"/>
      <c r="AH504" s="230"/>
    </row>
    <row r="505">
      <c r="O505" s="230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  <c r="AF505" s="230"/>
      <c r="AG505" s="230"/>
      <c r="AH505" s="230"/>
    </row>
    <row r="506">
      <c r="O506" s="230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  <c r="AF506" s="230"/>
      <c r="AG506" s="230"/>
      <c r="AH506" s="230"/>
    </row>
    <row r="507">
      <c r="O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</row>
    <row r="508">
      <c r="O508" s="230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  <c r="AF508" s="230"/>
      <c r="AG508" s="230"/>
      <c r="AH508" s="230"/>
    </row>
    <row r="509">
      <c r="O509" s="230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  <c r="AF509" s="230"/>
      <c r="AG509" s="230"/>
      <c r="AH509" s="230"/>
    </row>
    <row r="510">
      <c r="O510" s="230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  <c r="AF510" s="230"/>
      <c r="AG510" s="230"/>
      <c r="AH510" s="230"/>
    </row>
    <row r="511">
      <c r="O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  <c r="AH511" s="230"/>
    </row>
    <row r="512">
      <c r="O512" s="230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  <c r="AF512" s="230"/>
      <c r="AG512" s="230"/>
      <c r="AH512" s="230"/>
    </row>
    <row r="513">
      <c r="O513" s="230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  <c r="AF513" s="230"/>
      <c r="AG513" s="230"/>
      <c r="AH513" s="230"/>
    </row>
    <row r="514">
      <c r="O514" s="230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  <c r="AF514" s="230"/>
      <c r="AG514" s="230"/>
      <c r="AH514" s="230"/>
    </row>
    <row r="515">
      <c r="O515" s="230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  <c r="AF515" s="230"/>
      <c r="AG515" s="230"/>
      <c r="AH515" s="230"/>
    </row>
    <row r="516">
      <c r="O516" s="230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  <c r="AF516" s="230"/>
      <c r="AG516" s="230"/>
      <c r="AH516" s="230"/>
    </row>
    <row r="517">
      <c r="O517" s="230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  <c r="AF517" s="230"/>
      <c r="AG517" s="230"/>
      <c r="AH517" s="230"/>
    </row>
    <row r="518">
      <c r="O518" s="230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  <c r="AF518" s="230"/>
      <c r="AG518" s="230"/>
      <c r="AH518" s="230"/>
    </row>
    <row r="519">
      <c r="O519" s="230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  <c r="AF519" s="230"/>
      <c r="AG519" s="230"/>
      <c r="AH519" s="230"/>
    </row>
    <row r="520">
      <c r="O520" s="230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</row>
    <row r="521">
      <c r="O521" s="230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  <c r="AF521" s="230"/>
      <c r="AG521" s="230"/>
      <c r="AH521" s="230"/>
    </row>
    <row r="522">
      <c r="O522" s="230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  <c r="AF522" s="230"/>
      <c r="AG522" s="230"/>
      <c r="AH522" s="230"/>
    </row>
    <row r="523">
      <c r="O523" s="230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</row>
    <row r="524">
      <c r="O524" s="230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</row>
    <row r="525">
      <c r="O525" s="230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</row>
    <row r="526">
      <c r="O526" s="230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</row>
    <row r="527">
      <c r="O527" s="230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</row>
    <row r="528">
      <c r="O528" s="230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  <c r="AF528" s="230"/>
      <c r="AG528" s="230"/>
      <c r="AH528" s="230"/>
    </row>
    <row r="529">
      <c r="O529" s="230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</row>
    <row r="530">
      <c r="O530" s="230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  <c r="AF530" s="230"/>
      <c r="AG530" s="230"/>
      <c r="AH530" s="230"/>
    </row>
    <row r="531">
      <c r="O531" s="230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  <c r="AF531" s="230"/>
      <c r="AG531" s="230"/>
      <c r="AH531" s="230"/>
    </row>
    <row r="532">
      <c r="O532" s="230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  <c r="AF532" s="230"/>
      <c r="AG532" s="230"/>
      <c r="AH532" s="230"/>
    </row>
    <row r="533">
      <c r="O533" s="230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  <c r="AF533" s="230"/>
      <c r="AG533" s="230"/>
      <c r="AH533" s="230"/>
    </row>
    <row r="534">
      <c r="O534" s="230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  <c r="AF534" s="230"/>
      <c r="AG534" s="230"/>
      <c r="AH534" s="230"/>
    </row>
    <row r="535">
      <c r="O535" s="230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  <c r="AF535" s="230"/>
      <c r="AG535" s="230"/>
      <c r="AH535" s="230"/>
    </row>
    <row r="536">
      <c r="O536" s="230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  <c r="AF536" s="230"/>
      <c r="AG536" s="230"/>
      <c r="AH536" s="230"/>
    </row>
    <row r="537">
      <c r="O537" s="230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  <c r="AF537" s="230"/>
      <c r="AG537" s="230"/>
      <c r="AH537" s="230"/>
    </row>
    <row r="538">
      <c r="O538" s="230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  <c r="AF538" s="230"/>
      <c r="AG538" s="230"/>
      <c r="AH538" s="230"/>
    </row>
    <row r="539">
      <c r="O539" s="230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  <c r="AF539" s="230"/>
      <c r="AG539" s="230"/>
      <c r="AH539" s="230"/>
    </row>
    <row r="540">
      <c r="O540" s="230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  <c r="AF540" s="230"/>
      <c r="AG540" s="230"/>
      <c r="AH540" s="230"/>
    </row>
    <row r="541">
      <c r="O541" s="230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  <c r="AF541" s="230"/>
      <c r="AG541" s="230"/>
      <c r="AH541" s="230"/>
    </row>
    <row r="542">
      <c r="O542" s="230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  <c r="AF542" s="230"/>
      <c r="AG542" s="230"/>
      <c r="AH542" s="230"/>
    </row>
    <row r="543">
      <c r="O543" s="230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  <c r="AF543" s="230"/>
      <c r="AG543" s="230"/>
      <c r="AH543" s="230"/>
    </row>
    <row r="544">
      <c r="O544" s="230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  <c r="AF544" s="230"/>
      <c r="AG544" s="230"/>
      <c r="AH544" s="230"/>
    </row>
    <row r="545">
      <c r="O545" s="230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  <c r="AF545" s="230"/>
      <c r="AG545" s="230"/>
      <c r="AH545" s="230"/>
    </row>
    <row r="546">
      <c r="O546" s="230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  <c r="AF546" s="230"/>
      <c r="AG546" s="230"/>
      <c r="AH546" s="230"/>
    </row>
    <row r="547">
      <c r="O547" s="230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  <c r="AF547" s="230"/>
      <c r="AG547" s="230"/>
      <c r="AH547" s="230"/>
    </row>
    <row r="548">
      <c r="O548" s="230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  <c r="AF548" s="230"/>
      <c r="AG548" s="230"/>
      <c r="AH548" s="230"/>
    </row>
    <row r="549">
      <c r="O549" s="230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  <c r="AF549" s="230"/>
      <c r="AG549" s="230"/>
      <c r="AH549" s="230"/>
    </row>
    <row r="550">
      <c r="O550" s="230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  <c r="AF550" s="230"/>
      <c r="AG550" s="230"/>
      <c r="AH550" s="230"/>
    </row>
    <row r="551">
      <c r="O551" s="230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</row>
    <row r="552">
      <c r="O552" s="230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  <c r="AF552" s="230"/>
      <c r="AG552" s="230"/>
      <c r="AH552" s="230"/>
    </row>
    <row r="553">
      <c r="O553" s="230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  <c r="AF553" s="230"/>
      <c r="AG553" s="230"/>
      <c r="AH553" s="230"/>
    </row>
    <row r="554">
      <c r="O554" s="230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  <c r="AF554" s="230"/>
      <c r="AG554" s="230"/>
      <c r="AH554" s="230"/>
    </row>
    <row r="555">
      <c r="O555" s="230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  <c r="AF555" s="230"/>
      <c r="AG555" s="230"/>
      <c r="AH555" s="230"/>
    </row>
    <row r="556">
      <c r="O556" s="230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  <c r="AF556" s="230"/>
      <c r="AG556" s="230"/>
      <c r="AH556" s="230"/>
    </row>
    <row r="557">
      <c r="O557" s="230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  <c r="AF557" s="230"/>
      <c r="AG557" s="230"/>
      <c r="AH557" s="230"/>
    </row>
    <row r="558">
      <c r="O558" s="230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  <c r="AF558" s="230"/>
      <c r="AG558" s="230"/>
      <c r="AH558" s="230"/>
    </row>
    <row r="559">
      <c r="O559" s="230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  <c r="AF559" s="230"/>
      <c r="AG559" s="230"/>
      <c r="AH559" s="230"/>
    </row>
    <row r="560">
      <c r="O560" s="230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  <c r="AF560" s="230"/>
      <c r="AG560" s="230"/>
      <c r="AH560" s="230"/>
    </row>
    <row r="561">
      <c r="O561" s="230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  <c r="AF561" s="230"/>
      <c r="AG561" s="230"/>
      <c r="AH561" s="230"/>
    </row>
    <row r="562">
      <c r="O562" s="230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  <c r="AF562" s="230"/>
      <c r="AG562" s="230"/>
      <c r="AH562" s="230"/>
    </row>
    <row r="563">
      <c r="O563" s="230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  <c r="AF563" s="230"/>
      <c r="AG563" s="230"/>
      <c r="AH563" s="230"/>
    </row>
    <row r="564">
      <c r="O564" s="230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  <c r="AF564" s="230"/>
      <c r="AG564" s="230"/>
      <c r="AH564" s="230"/>
    </row>
    <row r="565">
      <c r="O565" s="230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  <c r="AF565" s="230"/>
      <c r="AG565" s="230"/>
      <c r="AH565" s="230"/>
    </row>
    <row r="566">
      <c r="O566" s="230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  <c r="AF566" s="230"/>
      <c r="AG566" s="230"/>
      <c r="AH566" s="230"/>
    </row>
    <row r="567">
      <c r="O567" s="230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  <c r="AF567" s="230"/>
      <c r="AG567" s="230"/>
      <c r="AH567" s="230"/>
    </row>
    <row r="568">
      <c r="O568" s="230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  <c r="AF568" s="230"/>
      <c r="AG568" s="230"/>
      <c r="AH568" s="230"/>
    </row>
    <row r="569">
      <c r="O569" s="230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  <c r="AF569" s="230"/>
      <c r="AG569" s="230"/>
      <c r="AH569" s="230"/>
    </row>
    <row r="570">
      <c r="O570" s="230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</row>
    <row r="571">
      <c r="O571" s="230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</row>
    <row r="572">
      <c r="O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</row>
    <row r="573">
      <c r="O573" s="230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</row>
    <row r="574">
      <c r="O574" s="230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  <c r="AF574" s="230"/>
      <c r="AG574" s="230"/>
      <c r="AH574" s="230"/>
    </row>
    <row r="575">
      <c r="O575" s="230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  <c r="AF575" s="230"/>
      <c r="AG575" s="230"/>
      <c r="AH575" s="230"/>
    </row>
    <row r="576">
      <c r="O576" s="230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  <c r="AF576" s="230"/>
      <c r="AG576" s="230"/>
      <c r="AH576" s="230"/>
    </row>
    <row r="577">
      <c r="O577" s="230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  <c r="AF577" s="230"/>
      <c r="AG577" s="230"/>
      <c r="AH577" s="230"/>
    </row>
    <row r="578">
      <c r="O578" s="230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  <c r="AF578" s="230"/>
      <c r="AG578" s="230"/>
      <c r="AH578" s="230"/>
    </row>
    <row r="579">
      <c r="O579" s="230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  <c r="AF579" s="230"/>
      <c r="AG579" s="230"/>
      <c r="AH579" s="230"/>
    </row>
    <row r="580">
      <c r="O580" s="230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  <c r="AF580" s="230"/>
      <c r="AG580" s="230"/>
      <c r="AH580" s="230"/>
    </row>
    <row r="581">
      <c r="O581" s="230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  <c r="AF581" s="230"/>
      <c r="AG581" s="230"/>
      <c r="AH581" s="230"/>
    </row>
    <row r="582">
      <c r="O582" s="230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  <c r="AF582" s="230"/>
      <c r="AG582" s="230"/>
      <c r="AH582" s="230"/>
    </row>
    <row r="583">
      <c r="O583" s="230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  <c r="AF583" s="230"/>
      <c r="AG583" s="230"/>
      <c r="AH583" s="230"/>
    </row>
    <row r="584">
      <c r="O584" s="230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  <c r="AF584" s="230"/>
      <c r="AG584" s="230"/>
      <c r="AH584" s="230"/>
    </row>
    <row r="585">
      <c r="O585" s="230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  <c r="AF585" s="230"/>
      <c r="AG585" s="230"/>
      <c r="AH585" s="230"/>
    </row>
    <row r="586">
      <c r="O586" s="230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  <c r="AF586" s="230"/>
      <c r="AG586" s="230"/>
      <c r="AH586" s="230"/>
    </row>
    <row r="587">
      <c r="O587" s="230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  <c r="AF587" s="230"/>
      <c r="AG587" s="230"/>
      <c r="AH587" s="230"/>
    </row>
    <row r="588">
      <c r="O588" s="230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  <c r="AF588" s="230"/>
      <c r="AG588" s="230"/>
      <c r="AH588" s="230"/>
    </row>
    <row r="589">
      <c r="O589" s="230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  <c r="AF589" s="230"/>
      <c r="AG589" s="230"/>
      <c r="AH589" s="230"/>
    </row>
    <row r="590">
      <c r="O590" s="230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  <c r="AF590" s="230"/>
      <c r="AG590" s="230"/>
      <c r="AH590" s="230"/>
    </row>
    <row r="591">
      <c r="O591" s="230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  <c r="AF591" s="230"/>
      <c r="AG591" s="230"/>
      <c r="AH591" s="230"/>
    </row>
    <row r="592">
      <c r="O592" s="230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  <c r="AF592" s="230"/>
      <c r="AG592" s="230"/>
      <c r="AH592" s="230"/>
    </row>
    <row r="593">
      <c r="O593" s="230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  <c r="AF593" s="230"/>
      <c r="AG593" s="230"/>
      <c r="AH593" s="230"/>
    </row>
    <row r="594">
      <c r="O594" s="230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  <c r="AF594" s="230"/>
      <c r="AG594" s="230"/>
      <c r="AH594" s="230"/>
    </row>
    <row r="595">
      <c r="O595" s="230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</row>
    <row r="596">
      <c r="O596" s="230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  <c r="AF596" s="230"/>
      <c r="AG596" s="230"/>
      <c r="AH596" s="230"/>
    </row>
    <row r="597">
      <c r="O597" s="230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  <c r="AF597" s="230"/>
      <c r="AG597" s="230"/>
      <c r="AH597" s="230"/>
    </row>
    <row r="598">
      <c r="O598" s="230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  <c r="AF598" s="230"/>
      <c r="AG598" s="230"/>
      <c r="AH598" s="230"/>
    </row>
    <row r="599">
      <c r="O599" s="230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  <c r="AF599" s="230"/>
      <c r="AG599" s="230"/>
      <c r="AH599" s="230"/>
    </row>
    <row r="600">
      <c r="O600" s="230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  <c r="AF600" s="230"/>
      <c r="AG600" s="230"/>
      <c r="AH600" s="230"/>
    </row>
    <row r="601">
      <c r="O601" s="230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  <c r="AF601" s="230"/>
      <c r="AG601" s="230"/>
      <c r="AH601" s="230"/>
    </row>
    <row r="602">
      <c r="O602" s="230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  <c r="AF602" s="230"/>
      <c r="AG602" s="230"/>
      <c r="AH602" s="230"/>
    </row>
    <row r="603">
      <c r="O603" s="230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  <c r="AF603" s="230"/>
      <c r="AG603" s="230"/>
      <c r="AH603" s="230"/>
    </row>
    <row r="604">
      <c r="O604" s="230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  <c r="AF604" s="230"/>
      <c r="AG604" s="230"/>
      <c r="AH604" s="230"/>
    </row>
    <row r="605">
      <c r="O605" s="230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  <c r="AF605" s="230"/>
      <c r="AG605" s="230"/>
      <c r="AH605" s="230"/>
    </row>
    <row r="606">
      <c r="O606" s="230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  <c r="AF606" s="230"/>
      <c r="AG606" s="230"/>
      <c r="AH606" s="230"/>
    </row>
    <row r="607">
      <c r="O607" s="230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  <c r="AF607" s="230"/>
      <c r="AG607" s="230"/>
      <c r="AH607" s="230"/>
    </row>
    <row r="608">
      <c r="O608" s="230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  <c r="AF608" s="230"/>
      <c r="AG608" s="230"/>
      <c r="AH608" s="230"/>
    </row>
    <row r="609">
      <c r="O609" s="230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  <c r="AF609" s="230"/>
      <c r="AG609" s="230"/>
      <c r="AH609" s="230"/>
    </row>
    <row r="610">
      <c r="O610" s="230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  <c r="AF610" s="230"/>
      <c r="AG610" s="230"/>
      <c r="AH610" s="230"/>
    </row>
    <row r="611">
      <c r="O611" s="230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  <c r="AF611" s="230"/>
      <c r="AG611" s="230"/>
      <c r="AH611" s="230"/>
    </row>
    <row r="612">
      <c r="O612" s="230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  <c r="AF612" s="230"/>
      <c r="AG612" s="230"/>
      <c r="AH612" s="230"/>
    </row>
    <row r="613">
      <c r="O613" s="230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  <c r="AF613" s="230"/>
      <c r="AG613" s="230"/>
      <c r="AH613" s="230"/>
    </row>
    <row r="614">
      <c r="O614" s="230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  <c r="AF614" s="230"/>
      <c r="AG614" s="230"/>
      <c r="AH614" s="230"/>
    </row>
    <row r="615">
      <c r="O615" s="230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  <c r="AF615" s="230"/>
      <c r="AG615" s="230"/>
      <c r="AH615" s="230"/>
    </row>
    <row r="616">
      <c r="O616" s="230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  <c r="AF616" s="230"/>
      <c r="AG616" s="230"/>
      <c r="AH616" s="230"/>
    </row>
    <row r="617">
      <c r="O617" s="230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</row>
    <row r="618">
      <c r="O618" s="230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</row>
    <row r="619">
      <c r="O619" s="230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  <c r="AF619" s="230"/>
      <c r="AG619" s="230"/>
      <c r="AH619" s="230"/>
    </row>
    <row r="620">
      <c r="O620" s="230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</row>
    <row r="621">
      <c r="O621" s="230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  <c r="AF621" s="230"/>
      <c r="AG621" s="230"/>
      <c r="AH621" s="230"/>
    </row>
    <row r="622">
      <c r="O622" s="230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  <c r="AF622" s="230"/>
      <c r="AG622" s="230"/>
      <c r="AH622" s="230"/>
    </row>
    <row r="623">
      <c r="O623" s="230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  <c r="AF623" s="230"/>
      <c r="AG623" s="230"/>
      <c r="AH623" s="230"/>
    </row>
    <row r="624">
      <c r="O624" s="230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</row>
    <row r="625">
      <c r="O625" s="230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  <c r="AF625" s="230"/>
      <c r="AG625" s="230"/>
      <c r="AH625" s="230"/>
    </row>
    <row r="626">
      <c r="O626" s="230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  <c r="AF626" s="230"/>
      <c r="AG626" s="230"/>
      <c r="AH626" s="230"/>
    </row>
    <row r="627">
      <c r="O627" s="230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  <c r="AF627" s="230"/>
      <c r="AG627" s="230"/>
      <c r="AH627" s="230"/>
    </row>
    <row r="628">
      <c r="O628" s="230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  <c r="AF628" s="230"/>
      <c r="AG628" s="230"/>
      <c r="AH628" s="230"/>
    </row>
    <row r="629">
      <c r="O629" s="230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  <c r="AF629" s="230"/>
      <c r="AG629" s="230"/>
      <c r="AH629" s="230"/>
    </row>
    <row r="630">
      <c r="O630" s="230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  <c r="AF630" s="230"/>
      <c r="AG630" s="230"/>
      <c r="AH630" s="230"/>
    </row>
    <row r="631">
      <c r="O631" s="230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  <c r="AF631" s="230"/>
      <c r="AG631" s="230"/>
      <c r="AH631" s="230"/>
    </row>
    <row r="632">
      <c r="O632" s="230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  <c r="AF632" s="230"/>
      <c r="AG632" s="230"/>
      <c r="AH632" s="230"/>
    </row>
    <row r="633">
      <c r="O633" s="230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  <c r="AF633" s="230"/>
      <c r="AG633" s="230"/>
      <c r="AH633" s="230"/>
    </row>
    <row r="634">
      <c r="O634" s="230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  <c r="AF634" s="230"/>
      <c r="AG634" s="230"/>
      <c r="AH634" s="230"/>
    </row>
    <row r="635">
      <c r="O635" s="230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  <c r="AF635" s="230"/>
      <c r="AG635" s="230"/>
      <c r="AH635" s="230"/>
    </row>
    <row r="636">
      <c r="O636" s="230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  <c r="AF636" s="230"/>
      <c r="AG636" s="230"/>
      <c r="AH636" s="230"/>
    </row>
    <row r="637">
      <c r="O637" s="230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  <c r="AF637" s="230"/>
      <c r="AG637" s="230"/>
      <c r="AH637" s="230"/>
    </row>
    <row r="638">
      <c r="O638" s="230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  <c r="AF638" s="230"/>
      <c r="AG638" s="230"/>
      <c r="AH638" s="230"/>
    </row>
    <row r="639">
      <c r="O639" s="230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</row>
    <row r="640">
      <c r="O640" s="230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  <c r="AF640" s="230"/>
      <c r="AG640" s="230"/>
      <c r="AH640" s="230"/>
    </row>
    <row r="641">
      <c r="O641" s="230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  <c r="AF641" s="230"/>
      <c r="AG641" s="230"/>
      <c r="AH641" s="230"/>
    </row>
    <row r="642">
      <c r="O642" s="230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  <c r="AF642" s="230"/>
      <c r="AG642" s="230"/>
      <c r="AH642" s="230"/>
    </row>
    <row r="643">
      <c r="O643" s="230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  <c r="AF643" s="230"/>
      <c r="AG643" s="230"/>
      <c r="AH643" s="230"/>
    </row>
    <row r="644">
      <c r="O644" s="230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  <c r="AF644" s="230"/>
      <c r="AG644" s="230"/>
      <c r="AH644" s="230"/>
    </row>
    <row r="645">
      <c r="O645" s="230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  <c r="AF645" s="230"/>
      <c r="AG645" s="230"/>
      <c r="AH645" s="230"/>
    </row>
    <row r="646">
      <c r="O646" s="230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  <c r="AF646" s="230"/>
      <c r="AG646" s="230"/>
      <c r="AH646" s="230"/>
    </row>
    <row r="647">
      <c r="O647" s="230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  <c r="AF647" s="230"/>
      <c r="AG647" s="230"/>
      <c r="AH647" s="230"/>
    </row>
    <row r="648">
      <c r="O648" s="230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  <c r="AF648" s="230"/>
      <c r="AG648" s="230"/>
      <c r="AH648" s="230"/>
    </row>
    <row r="649">
      <c r="O649" s="230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  <c r="AF649" s="230"/>
      <c r="AG649" s="230"/>
      <c r="AH649" s="230"/>
    </row>
    <row r="650">
      <c r="O650" s="230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  <c r="AF650" s="230"/>
      <c r="AG650" s="230"/>
      <c r="AH650" s="230"/>
    </row>
    <row r="651">
      <c r="O651" s="230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  <c r="AF651" s="230"/>
      <c r="AG651" s="230"/>
      <c r="AH651" s="230"/>
    </row>
    <row r="652">
      <c r="O652" s="230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  <c r="AF652" s="230"/>
      <c r="AG652" s="230"/>
      <c r="AH652" s="230"/>
    </row>
    <row r="653">
      <c r="O653" s="230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  <c r="AF653" s="230"/>
      <c r="AG653" s="230"/>
      <c r="AH653" s="230"/>
    </row>
    <row r="654">
      <c r="O654" s="230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  <c r="AF654" s="230"/>
      <c r="AG654" s="230"/>
      <c r="AH654" s="230"/>
    </row>
    <row r="655">
      <c r="O655" s="230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  <c r="AF655" s="230"/>
      <c r="AG655" s="230"/>
      <c r="AH655" s="230"/>
    </row>
    <row r="656">
      <c r="O656" s="230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  <c r="AF656" s="230"/>
      <c r="AG656" s="230"/>
      <c r="AH656" s="230"/>
    </row>
    <row r="657">
      <c r="O657" s="230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  <c r="AF657" s="230"/>
      <c r="AG657" s="230"/>
      <c r="AH657" s="230"/>
    </row>
    <row r="658">
      <c r="O658" s="230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  <c r="AF658" s="230"/>
      <c r="AG658" s="230"/>
      <c r="AH658" s="230"/>
    </row>
    <row r="659">
      <c r="O659" s="230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  <c r="AF659" s="230"/>
      <c r="AG659" s="230"/>
      <c r="AH659" s="230"/>
    </row>
    <row r="660">
      <c r="O660" s="230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  <c r="AF660" s="230"/>
      <c r="AG660" s="230"/>
      <c r="AH660" s="230"/>
    </row>
    <row r="661">
      <c r="O661" s="230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</row>
    <row r="662">
      <c r="O662" s="230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  <c r="AF662" s="230"/>
      <c r="AG662" s="230"/>
      <c r="AH662" s="230"/>
    </row>
    <row r="663">
      <c r="O663" s="230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  <c r="AF663" s="230"/>
      <c r="AG663" s="230"/>
      <c r="AH663" s="230"/>
    </row>
    <row r="664">
      <c r="O664" s="230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  <c r="AF664" s="230"/>
      <c r="AG664" s="230"/>
      <c r="AH664" s="230"/>
    </row>
    <row r="665">
      <c r="O665" s="230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  <c r="AF665" s="230"/>
      <c r="AG665" s="230"/>
      <c r="AH665" s="230"/>
    </row>
    <row r="666">
      <c r="O666" s="230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  <c r="AF666" s="230"/>
      <c r="AG666" s="230"/>
      <c r="AH666" s="230"/>
    </row>
    <row r="667">
      <c r="O667" s="230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  <c r="AF667" s="230"/>
      <c r="AG667" s="230"/>
      <c r="AH667" s="230"/>
    </row>
    <row r="668">
      <c r="O668" s="230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  <c r="AF668" s="230"/>
      <c r="AG668" s="230"/>
      <c r="AH668" s="230"/>
    </row>
    <row r="669">
      <c r="O669" s="230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  <c r="AF669" s="230"/>
      <c r="AG669" s="230"/>
      <c r="AH669" s="230"/>
    </row>
    <row r="670">
      <c r="O670" s="230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  <c r="AF670" s="230"/>
      <c r="AG670" s="230"/>
      <c r="AH670" s="230"/>
    </row>
    <row r="671">
      <c r="O671" s="230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  <c r="AF671" s="230"/>
      <c r="AG671" s="230"/>
      <c r="AH671" s="230"/>
    </row>
    <row r="672">
      <c r="O672" s="230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  <c r="AF672" s="230"/>
      <c r="AG672" s="230"/>
      <c r="AH672" s="230"/>
    </row>
    <row r="673">
      <c r="O673" s="230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  <c r="AF673" s="230"/>
      <c r="AG673" s="230"/>
      <c r="AH673" s="230"/>
    </row>
    <row r="674">
      <c r="O674" s="230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  <c r="AF674" s="230"/>
      <c r="AG674" s="230"/>
      <c r="AH674" s="230"/>
    </row>
    <row r="675">
      <c r="O675" s="230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  <c r="AF675" s="230"/>
      <c r="AG675" s="230"/>
      <c r="AH675" s="230"/>
    </row>
    <row r="676">
      <c r="O676" s="230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  <c r="AF676" s="230"/>
      <c r="AG676" s="230"/>
      <c r="AH676" s="230"/>
    </row>
    <row r="677">
      <c r="O677" s="230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  <c r="AF677" s="230"/>
      <c r="AG677" s="230"/>
      <c r="AH677" s="230"/>
    </row>
    <row r="678">
      <c r="O678" s="230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  <c r="AF678" s="230"/>
      <c r="AG678" s="230"/>
      <c r="AH678" s="230"/>
    </row>
    <row r="679">
      <c r="O679" s="230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  <c r="AF679" s="230"/>
      <c r="AG679" s="230"/>
      <c r="AH679" s="230"/>
    </row>
    <row r="680">
      <c r="O680" s="230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  <c r="AF680" s="230"/>
      <c r="AG680" s="230"/>
      <c r="AH680" s="230"/>
    </row>
    <row r="681">
      <c r="O681" s="230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  <c r="AF681" s="230"/>
      <c r="AG681" s="230"/>
      <c r="AH681" s="230"/>
    </row>
    <row r="682">
      <c r="O682" s="230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  <c r="AF682" s="230"/>
      <c r="AG682" s="230"/>
      <c r="AH682" s="230"/>
    </row>
    <row r="683">
      <c r="O683" s="230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</row>
    <row r="684">
      <c r="O684" s="230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  <c r="AF684" s="230"/>
      <c r="AG684" s="230"/>
      <c r="AH684" s="230"/>
    </row>
    <row r="685">
      <c r="O685" s="230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  <c r="AF685" s="230"/>
      <c r="AG685" s="230"/>
      <c r="AH685" s="230"/>
    </row>
    <row r="686">
      <c r="O686" s="230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  <c r="AF686" s="230"/>
      <c r="AG686" s="230"/>
      <c r="AH686" s="230"/>
    </row>
    <row r="687">
      <c r="O687" s="230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  <c r="AF687" s="230"/>
      <c r="AG687" s="230"/>
      <c r="AH687" s="230"/>
    </row>
    <row r="688">
      <c r="O688" s="230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  <c r="AF688" s="230"/>
      <c r="AG688" s="230"/>
      <c r="AH688" s="230"/>
    </row>
    <row r="689">
      <c r="O689" s="230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  <c r="AF689" s="230"/>
      <c r="AG689" s="230"/>
      <c r="AH689" s="230"/>
    </row>
    <row r="690">
      <c r="O690" s="230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  <c r="AF690" s="230"/>
      <c r="AG690" s="230"/>
      <c r="AH690" s="230"/>
    </row>
    <row r="691">
      <c r="O691" s="230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  <c r="AF691" s="230"/>
      <c r="AG691" s="230"/>
      <c r="AH691" s="230"/>
    </row>
    <row r="692">
      <c r="O692" s="230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  <c r="AF692" s="230"/>
      <c r="AG692" s="230"/>
      <c r="AH692" s="230"/>
    </row>
    <row r="693">
      <c r="O693" s="230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  <c r="AF693" s="230"/>
      <c r="AG693" s="230"/>
      <c r="AH693" s="230"/>
    </row>
    <row r="694">
      <c r="O694" s="230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  <c r="AF694" s="230"/>
      <c r="AG694" s="230"/>
      <c r="AH694" s="230"/>
    </row>
    <row r="695">
      <c r="O695" s="230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  <c r="AF695" s="230"/>
      <c r="AG695" s="230"/>
      <c r="AH695" s="230"/>
    </row>
    <row r="696">
      <c r="O696" s="230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  <c r="AF696" s="230"/>
      <c r="AG696" s="230"/>
      <c r="AH696" s="230"/>
    </row>
    <row r="697">
      <c r="O697" s="230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  <c r="AF697" s="230"/>
      <c r="AG697" s="230"/>
      <c r="AH697" s="230"/>
    </row>
    <row r="698">
      <c r="O698" s="230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  <c r="AF698" s="230"/>
      <c r="AG698" s="230"/>
      <c r="AH698" s="230"/>
    </row>
    <row r="699">
      <c r="O699" s="230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  <c r="AF699" s="230"/>
      <c r="AG699" s="230"/>
      <c r="AH699" s="230"/>
    </row>
    <row r="700">
      <c r="O700" s="230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  <c r="AF700" s="230"/>
      <c r="AG700" s="230"/>
      <c r="AH700" s="230"/>
    </row>
    <row r="701">
      <c r="O701" s="230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  <c r="AF701" s="230"/>
      <c r="AG701" s="230"/>
      <c r="AH701" s="230"/>
    </row>
    <row r="702">
      <c r="O702" s="230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  <c r="AF702" s="230"/>
      <c r="AG702" s="230"/>
      <c r="AH702" s="230"/>
    </row>
    <row r="703">
      <c r="O703" s="230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  <c r="AF703" s="230"/>
      <c r="AG703" s="230"/>
      <c r="AH703" s="230"/>
    </row>
    <row r="704">
      <c r="O704" s="230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  <c r="AF704" s="230"/>
      <c r="AG704" s="230"/>
      <c r="AH704" s="230"/>
    </row>
    <row r="705">
      <c r="O705" s="230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  <c r="AF705" s="230"/>
      <c r="AG705" s="230"/>
      <c r="AH705" s="230"/>
    </row>
    <row r="706">
      <c r="O706" s="230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  <c r="AF706" s="230"/>
      <c r="AG706" s="230"/>
      <c r="AH706" s="230"/>
    </row>
    <row r="707">
      <c r="O707" s="230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  <c r="AF707" s="230"/>
      <c r="AG707" s="230"/>
      <c r="AH707" s="230"/>
    </row>
    <row r="708">
      <c r="O708" s="230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  <c r="AF708" s="230"/>
      <c r="AG708" s="230"/>
      <c r="AH708" s="230"/>
    </row>
    <row r="709">
      <c r="O709" s="230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  <c r="AF709" s="230"/>
      <c r="AG709" s="230"/>
      <c r="AH709" s="230"/>
    </row>
    <row r="710">
      <c r="O710" s="230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  <c r="AF710" s="230"/>
      <c r="AG710" s="230"/>
      <c r="AH710" s="230"/>
    </row>
    <row r="711">
      <c r="O711" s="230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  <c r="AF711" s="230"/>
      <c r="AG711" s="230"/>
      <c r="AH711" s="230"/>
    </row>
    <row r="712">
      <c r="O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  <c r="AH712" s="230"/>
    </row>
    <row r="713">
      <c r="O713" s="230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  <c r="AF713" s="230"/>
      <c r="AG713" s="230"/>
      <c r="AH713" s="230"/>
    </row>
    <row r="714">
      <c r="O714" s="230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  <c r="AF714" s="230"/>
      <c r="AG714" s="230"/>
      <c r="AH714" s="230"/>
    </row>
    <row r="715">
      <c r="O715" s="230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  <c r="AF715" s="230"/>
      <c r="AG715" s="230"/>
      <c r="AH715" s="230"/>
    </row>
    <row r="716">
      <c r="O716" s="230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  <c r="AF716" s="230"/>
      <c r="AG716" s="230"/>
      <c r="AH716" s="230"/>
    </row>
    <row r="717">
      <c r="O717" s="230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  <c r="AF717" s="230"/>
      <c r="AG717" s="230"/>
      <c r="AH717" s="230"/>
    </row>
    <row r="718">
      <c r="O718" s="230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  <c r="AF718" s="230"/>
      <c r="AG718" s="230"/>
      <c r="AH718" s="230"/>
    </row>
    <row r="719">
      <c r="O719" s="230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  <c r="AF719" s="230"/>
      <c r="AG719" s="230"/>
      <c r="AH719" s="230"/>
    </row>
    <row r="720">
      <c r="O720" s="230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  <c r="AF720" s="230"/>
      <c r="AG720" s="230"/>
      <c r="AH720" s="230"/>
    </row>
    <row r="721">
      <c r="O721" s="230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  <c r="AF721" s="230"/>
      <c r="AG721" s="230"/>
      <c r="AH721" s="230"/>
    </row>
    <row r="722">
      <c r="O722" s="230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  <c r="AF722" s="230"/>
      <c r="AG722" s="230"/>
      <c r="AH722" s="230"/>
    </row>
    <row r="723">
      <c r="O723" s="230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  <c r="AF723" s="230"/>
      <c r="AG723" s="230"/>
      <c r="AH723" s="230"/>
    </row>
    <row r="724">
      <c r="O724" s="230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  <c r="AF724" s="230"/>
      <c r="AG724" s="230"/>
      <c r="AH724" s="230"/>
    </row>
    <row r="725">
      <c r="O725" s="230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  <c r="AF725" s="230"/>
      <c r="AG725" s="230"/>
      <c r="AH725" s="230"/>
    </row>
    <row r="726">
      <c r="O726" s="230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  <c r="AF726" s="230"/>
      <c r="AG726" s="230"/>
      <c r="AH726" s="230"/>
    </row>
    <row r="727">
      <c r="O727" s="230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  <c r="AF727" s="230"/>
      <c r="AG727" s="230"/>
      <c r="AH727" s="230"/>
    </row>
    <row r="728">
      <c r="O728" s="230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  <c r="AF728" s="230"/>
      <c r="AG728" s="230"/>
      <c r="AH728" s="230"/>
    </row>
    <row r="729">
      <c r="O729" s="230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  <c r="AF729" s="230"/>
      <c r="AG729" s="230"/>
      <c r="AH729" s="230"/>
    </row>
    <row r="730">
      <c r="O730" s="230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  <c r="AF730" s="230"/>
      <c r="AG730" s="230"/>
      <c r="AH730" s="230"/>
    </row>
    <row r="731">
      <c r="O731" s="230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  <c r="AF731" s="230"/>
      <c r="AG731" s="230"/>
      <c r="AH731" s="230"/>
    </row>
    <row r="732">
      <c r="O732" s="230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  <c r="AF732" s="230"/>
      <c r="AG732" s="230"/>
      <c r="AH732" s="230"/>
    </row>
    <row r="733">
      <c r="O733" s="230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</row>
    <row r="734">
      <c r="O734" s="230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</row>
    <row r="735">
      <c r="O735" s="230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</row>
    <row r="736">
      <c r="O736" s="230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</row>
    <row r="737">
      <c r="O737" s="230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</row>
    <row r="738">
      <c r="O738" s="230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</row>
    <row r="739">
      <c r="O739" s="230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</row>
    <row r="740">
      <c r="O740" s="230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</row>
    <row r="741">
      <c r="O741" s="230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</row>
    <row r="742">
      <c r="O742" s="230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</row>
    <row r="743">
      <c r="O743" s="230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</row>
    <row r="744">
      <c r="O744" s="230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</row>
    <row r="745">
      <c r="O745" s="230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</row>
    <row r="746">
      <c r="O746" s="230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</row>
    <row r="747">
      <c r="O747" s="230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</row>
    <row r="748">
      <c r="O748" s="230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</row>
    <row r="749">
      <c r="O749" s="230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  <c r="AF749" s="230"/>
      <c r="AG749" s="230"/>
      <c r="AH749" s="230"/>
    </row>
    <row r="750">
      <c r="O750" s="230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  <c r="AF750" s="230"/>
      <c r="AG750" s="230"/>
      <c r="AH750" s="230"/>
    </row>
    <row r="751">
      <c r="O751" s="230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  <c r="AF751" s="230"/>
      <c r="AG751" s="230"/>
      <c r="AH751" s="230"/>
    </row>
    <row r="752">
      <c r="O752" s="230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  <c r="AF752" s="230"/>
      <c r="AG752" s="230"/>
      <c r="AH752" s="230"/>
    </row>
    <row r="753">
      <c r="O753" s="230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  <c r="AF753" s="230"/>
      <c r="AG753" s="230"/>
      <c r="AH753" s="230"/>
    </row>
    <row r="754">
      <c r="O754" s="230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  <c r="AF754" s="230"/>
      <c r="AG754" s="230"/>
      <c r="AH754" s="230"/>
    </row>
    <row r="755">
      <c r="O755" s="230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  <c r="AF755" s="230"/>
      <c r="AG755" s="230"/>
      <c r="AH755" s="230"/>
    </row>
    <row r="756">
      <c r="O756" s="230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  <c r="AF756" s="230"/>
      <c r="AG756" s="230"/>
      <c r="AH756" s="230"/>
    </row>
    <row r="757">
      <c r="O757" s="230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  <c r="AF757" s="230"/>
      <c r="AG757" s="230"/>
      <c r="AH757" s="230"/>
    </row>
    <row r="758">
      <c r="O758" s="230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  <c r="AF758" s="230"/>
      <c r="AG758" s="230"/>
      <c r="AH758" s="230"/>
    </row>
    <row r="759">
      <c r="O759" s="230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  <c r="AF759" s="230"/>
      <c r="AG759" s="230"/>
      <c r="AH759" s="230"/>
    </row>
    <row r="760">
      <c r="O760" s="230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  <c r="AF760" s="230"/>
      <c r="AG760" s="230"/>
      <c r="AH760" s="230"/>
    </row>
    <row r="761">
      <c r="O761" s="230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  <c r="AF761" s="230"/>
      <c r="AG761" s="230"/>
      <c r="AH761" s="230"/>
    </row>
    <row r="762">
      <c r="O762" s="230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  <c r="AF762" s="230"/>
      <c r="AG762" s="230"/>
      <c r="AH762" s="230"/>
    </row>
    <row r="763">
      <c r="O763" s="230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  <c r="AF763" s="230"/>
      <c r="AG763" s="230"/>
      <c r="AH763" s="230"/>
    </row>
    <row r="764">
      <c r="O764" s="230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  <c r="AF764" s="230"/>
      <c r="AG764" s="230"/>
      <c r="AH764" s="230"/>
    </row>
    <row r="765">
      <c r="O765" s="230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  <c r="AF765" s="230"/>
      <c r="AG765" s="230"/>
      <c r="AH765" s="230"/>
    </row>
    <row r="766">
      <c r="O766" s="230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  <c r="AF766" s="230"/>
      <c r="AG766" s="230"/>
      <c r="AH766" s="230"/>
    </row>
    <row r="767">
      <c r="O767" s="230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  <c r="AF767" s="230"/>
      <c r="AG767" s="230"/>
      <c r="AH767" s="230"/>
    </row>
    <row r="768">
      <c r="O768" s="230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  <c r="AF768" s="230"/>
      <c r="AG768" s="230"/>
      <c r="AH768" s="230"/>
    </row>
    <row r="769">
      <c r="O769" s="230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  <c r="AF769" s="230"/>
      <c r="AG769" s="230"/>
      <c r="AH769" s="230"/>
    </row>
    <row r="770">
      <c r="O770" s="230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  <c r="AF770" s="230"/>
      <c r="AG770" s="230"/>
      <c r="AH770" s="230"/>
    </row>
    <row r="771">
      <c r="O771" s="230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  <c r="AF771" s="230"/>
      <c r="AG771" s="230"/>
      <c r="AH771" s="230"/>
    </row>
    <row r="772">
      <c r="O772" s="230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  <c r="AF772" s="230"/>
      <c r="AG772" s="230"/>
      <c r="AH772" s="230"/>
    </row>
    <row r="773">
      <c r="O773" s="230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  <c r="AF773" s="230"/>
      <c r="AG773" s="230"/>
      <c r="AH773" s="230"/>
    </row>
    <row r="774">
      <c r="O774" s="230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  <c r="AF774" s="230"/>
      <c r="AG774" s="230"/>
      <c r="AH774" s="230"/>
    </row>
    <row r="775">
      <c r="O775" s="230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  <c r="AF775" s="230"/>
      <c r="AG775" s="230"/>
      <c r="AH775" s="230"/>
    </row>
    <row r="776">
      <c r="O776" s="230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  <c r="AF776" s="230"/>
      <c r="AG776" s="230"/>
      <c r="AH776" s="230"/>
    </row>
    <row r="777">
      <c r="O777" s="230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  <c r="AF777" s="230"/>
      <c r="AG777" s="230"/>
      <c r="AH777" s="230"/>
    </row>
    <row r="778">
      <c r="O778" s="230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  <c r="AF778" s="230"/>
      <c r="AG778" s="230"/>
      <c r="AH778" s="230"/>
    </row>
    <row r="779">
      <c r="O779" s="230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  <c r="AF779" s="230"/>
      <c r="AG779" s="230"/>
      <c r="AH779" s="230"/>
    </row>
    <row r="780">
      <c r="O780" s="230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  <c r="AF780" s="230"/>
      <c r="AG780" s="230"/>
      <c r="AH780" s="230"/>
    </row>
    <row r="781">
      <c r="O781" s="230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  <c r="AF781" s="230"/>
      <c r="AG781" s="230"/>
      <c r="AH781" s="230"/>
    </row>
    <row r="782">
      <c r="O782" s="230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  <c r="AF782" s="230"/>
      <c r="AG782" s="230"/>
      <c r="AH782" s="230"/>
    </row>
    <row r="783">
      <c r="O783" s="230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</row>
    <row r="784">
      <c r="O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230"/>
      <c r="AH784" s="230"/>
    </row>
    <row r="785">
      <c r="O785" s="230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  <c r="AF785" s="230"/>
      <c r="AG785" s="230"/>
      <c r="AH785" s="230"/>
    </row>
    <row r="786">
      <c r="O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230"/>
      <c r="AH786" s="230"/>
    </row>
    <row r="787">
      <c r="O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230"/>
      <c r="AH787" s="230"/>
    </row>
    <row r="788">
      <c r="O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230"/>
      <c r="AH788" s="230"/>
    </row>
    <row r="789">
      <c r="O789" s="230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  <c r="AF789" s="230"/>
      <c r="AG789" s="230"/>
      <c r="AH789" s="230"/>
    </row>
    <row r="790">
      <c r="O790" s="230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  <c r="AF790" s="230"/>
      <c r="AG790" s="230"/>
      <c r="AH790" s="230"/>
    </row>
    <row r="791">
      <c r="O791" s="230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  <c r="AF791" s="230"/>
      <c r="AG791" s="230"/>
      <c r="AH791" s="230"/>
    </row>
    <row r="792">
      <c r="O792" s="230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  <c r="AF792" s="230"/>
      <c r="AG792" s="230"/>
      <c r="AH792" s="230"/>
    </row>
    <row r="793">
      <c r="O793" s="230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  <c r="AF793" s="230"/>
      <c r="AG793" s="230"/>
      <c r="AH793" s="230"/>
    </row>
    <row r="794">
      <c r="O794" s="230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  <c r="AF794" s="230"/>
      <c r="AG794" s="230"/>
      <c r="AH794" s="230"/>
    </row>
    <row r="795">
      <c r="O795" s="230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  <c r="AF795" s="230"/>
      <c r="AG795" s="230"/>
      <c r="AH795" s="230"/>
    </row>
    <row r="796">
      <c r="O796" s="230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  <c r="AF796" s="230"/>
      <c r="AG796" s="230"/>
      <c r="AH796" s="230"/>
    </row>
    <row r="797">
      <c r="O797" s="230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  <c r="AF797" s="230"/>
      <c r="AG797" s="230"/>
      <c r="AH797" s="230"/>
    </row>
    <row r="798">
      <c r="O798" s="230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  <c r="AF798" s="230"/>
      <c r="AG798" s="230"/>
      <c r="AH798" s="230"/>
    </row>
    <row r="799">
      <c r="O799" s="230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  <c r="AF799" s="230"/>
      <c r="AG799" s="230"/>
      <c r="AH799" s="230"/>
    </row>
    <row r="800">
      <c r="O800" s="230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  <c r="AF800" s="230"/>
      <c r="AG800" s="230"/>
      <c r="AH800" s="230"/>
    </row>
    <row r="801">
      <c r="O801" s="230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  <c r="AF801" s="230"/>
      <c r="AG801" s="230"/>
      <c r="AH801" s="230"/>
    </row>
    <row r="802">
      <c r="O802" s="230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  <c r="AF802" s="230"/>
      <c r="AG802" s="230"/>
      <c r="AH802" s="230"/>
    </row>
    <row r="803">
      <c r="O803" s="230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  <c r="AF803" s="230"/>
      <c r="AG803" s="230"/>
      <c r="AH803" s="230"/>
    </row>
    <row r="804">
      <c r="O804" s="230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  <c r="AF804" s="230"/>
      <c r="AG804" s="230"/>
      <c r="AH804" s="230"/>
    </row>
    <row r="805">
      <c r="O805" s="230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  <c r="AF805" s="230"/>
      <c r="AG805" s="230"/>
      <c r="AH805" s="230"/>
    </row>
    <row r="806">
      <c r="O806" s="230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  <c r="AF806" s="230"/>
      <c r="AG806" s="230"/>
      <c r="AH806" s="230"/>
    </row>
    <row r="807">
      <c r="O807" s="230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  <c r="AF807" s="230"/>
      <c r="AG807" s="230"/>
      <c r="AH807" s="230"/>
    </row>
    <row r="808">
      <c r="O808" s="230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  <c r="AF808" s="230"/>
      <c r="AG808" s="230"/>
      <c r="AH808" s="230"/>
    </row>
    <row r="809">
      <c r="O809" s="230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  <c r="AF809" s="230"/>
      <c r="AG809" s="230"/>
      <c r="AH809" s="230"/>
    </row>
    <row r="810">
      <c r="O810" s="230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  <c r="AF810" s="230"/>
      <c r="AG810" s="230"/>
      <c r="AH810" s="230"/>
    </row>
    <row r="811">
      <c r="O811" s="230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  <c r="AF811" s="230"/>
      <c r="AG811" s="230"/>
      <c r="AH811" s="230"/>
    </row>
    <row r="812">
      <c r="O812" s="230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  <c r="AF812" s="230"/>
      <c r="AG812" s="230"/>
      <c r="AH812" s="230"/>
    </row>
    <row r="813">
      <c r="O813" s="230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  <c r="AF813" s="230"/>
      <c r="AG813" s="230"/>
      <c r="AH813" s="230"/>
    </row>
    <row r="814">
      <c r="O814" s="230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  <c r="AF814" s="230"/>
      <c r="AG814" s="230"/>
      <c r="AH814" s="230"/>
    </row>
    <row r="815">
      <c r="O815" s="230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  <c r="AF815" s="230"/>
      <c r="AG815" s="230"/>
      <c r="AH815" s="230"/>
    </row>
    <row r="816">
      <c r="O816" s="230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  <c r="AF816" s="230"/>
      <c r="AG816" s="230"/>
      <c r="AH816" s="230"/>
    </row>
    <row r="817">
      <c r="O817" s="230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  <c r="AF817" s="230"/>
      <c r="AG817" s="230"/>
      <c r="AH817" s="230"/>
    </row>
    <row r="818">
      <c r="O818" s="230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  <c r="AF818" s="230"/>
      <c r="AG818" s="230"/>
      <c r="AH818" s="230"/>
    </row>
    <row r="819">
      <c r="O819" s="230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  <c r="AF819" s="230"/>
      <c r="AG819" s="230"/>
      <c r="AH819" s="230"/>
    </row>
    <row r="820">
      <c r="O820" s="230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  <c r="AF820" s="230"/>
      <c r="AG820" s="230"/>
      <c r="AH820" s="230"/>
    </row>
    <row r="821">
      <c r="O821" s="230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  <c r="AF821" s="230"/>
      <c r="AG821" s="230"/>
      <c r="AH821" s="230"/>
    </row>
    <row r="822">
      <c r="O822" s="230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  <c r="AF822" s="230"/>
      <c r="AG822" s="230"/>
      <c r="AH822" s="230"/>
    </row>
    <row r="823">
      <c r="O823" s="230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  <c r="AF823" s="230"/>
      <c r="AG823" s="230"/>
      <c r="AH823" s="230"/>
    </row>
    <row r="824">
      <c r="O824" s="230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  <c r="AF824" s="230"/>
      <c r="AG824" s="230"/>
      <c r="AH824" s="230"/>
    </row>
    <row r="825">
      <c r="O825" s="230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  <c r="AF825" s="230"/>
      <c r="AG825" s="230"/>
      <c r="AH825" s="230"/>
    </row>
    <row r="826">
      <c r="O826" s="230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  <c r="AF826" s="230"/>
      <c r="AG826" s="230"/>
      <c r="AH826" s="230"/>
    </row>
    <row r="827">
      <c r="O827" s="230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  <c r="AF827" s="230"/>
      <c r="AG827" s="230"/>
      <c r="AH827" s="230"/>
    </row>
    <row r="828">
      <c r="O828" s="230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  <c r="AF828" s="230"/>
      <c r="AG828" s="230"/>
      <c r="AH828" s="230"/>
    </row>
    <row r="829">
      <c r="O829" s="230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  <c r="AF829" s="230"/>
      <c r="AG829" s="230"/>
      <c r="AH829" s="230"/>
    </row>
    <row r="830">
      <c r="O830" s="230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  <c r="AF830" s="230"/>
      <c r="AG830" s="230"/>
      <c r="AH830" s="230"/>
    </row>
    <row r="831">
      <c r="O831" s="230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</row>
    <row r="832">
      <c r="O832" s="230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  <c r="AF832" s="230"/>
      <c r="AG832" s="230"/>
      <c r="AH832" s="230"/>
    </row>
    <row r="833">
      <c r="O833" s="230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  <c r="AF833" s="230"/>
      <c r="AG833" s="230"/>
      <c r="AH833" s="230"/>
    </row>
    <row r="834">
      <c r="O834" s="230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  <c r="AF834" s="230"/>
      <c r="AG834" s="230"/>
      <c r="AH834" s="230"/>
    </row>
    <row r="835">
      <c r="O835" s="230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  <c r="AF835" s="230"/>
      <c r="AG835" s="230"/>
      <c r="AH835" s="230"/>
    </row>
    <row r="836">
      <c r="O836" s="230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  <c r="AF836" s="230"/>
      <c r="AG836" s="230"/>
      <c r="AH836" s="230"/>
    </row>
    <row r="837">
      <c r="O837" s="230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  <c r="AF837" s="230"/>
      <c r="AG837" s="230"/>
      <c r="AH837" s="230"/>
    </row>
    <row r="838">
      <c r="O838" s="230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  <c r="AF838" s="230"/>
      <c r="AG838" s="230"/>
      <c r="AH838" s="230"/>
    </row>
    <row r="839">
      <c r="O839" s="230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  <c r="AF839" s="230"/>
      <c r="AG839" s="230"/>
      <c r="AH839" s="230"/>
    </row>
    <row r="840">
      <c r="O840" s="230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  <c r="AF840" s="230"/>
      <c r="AG840" s="230"/>
      <c r="AH840" s="230"/>
    </row>
    <row r="841">
      <c r="O841" s="230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  <c r="AF841" s="230"/>
      <c r="AG841" s="230"/>
      <c r="AH841" s="230"/>
    </row>
    <row r="842">
      <c r="O842" s="230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  <c r="AF842" s="230"/>
      <c r="AG842" s="230"/>
      <c r="AH842" s="230"/>
    </row>
    <row r="843">
      <c r="O843" s="230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  <c r="AF843" s="230"/>
      <c r="AG843" s="230"/>
      <c r="AH843" s="230"/>
    </row>
    <row r="844">
      <c r="O844" s="230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  <c r="AF844" s="230"/>
      <c r="AG844" s="230"/>
      <c r="AH844" s="230"/>
    </row>
    <row r="845">
      <c r="O845" s="230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  <c r="AF845" s="230"/>
      <c r="AG845" s="230"/>
      <c r="AH845" s="230"/>
    </row>
    <row r="846">
      <c r="O846" s="230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  <c r="AF846" s="230"/>
      <c r="AG846" s="230"/>
      <c r="AH846" s="230"/>
    </row>
    <row r="847">
      <c r="O847" s="230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  <c r="AF847" s="230"/>
      <c r="AG847" s="230"/>
      <c r="AH847" s="230"/>
    </row>
    <row r="848">
      <c r="O848" s="230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  <c r="AF848" s="230"/>
      <c r="AG848" s="230"/>
      <c r="AH848" s="230"/>
    </row>
    <row r="849">
      <c r="O849" s="230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  <c r="AF849" s="230"/>
      <c r="AG849" s="230"/>
      <c r="AH849" s="230"/>
    </row>
    <row r="850">
      <c r="O850" s="230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  <c r="AF850" s="230"/>
      <c r="AG850" s="230"/>
      <c r="AH850" s="230"/>
    </row>
    <row r="851">
      <c r="O851" s="230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  <c r="AF851" s="230"/>
      <c r="AG851" s="230"/>
      <c r="AH851" s="230"/>
    </row>
    <row r="852">
      <c r="O852" s="230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  <c r="AF852" s="230"/>
      <c r="AG852" s="230"/>
      <c r="AH852" s="230"/>
    </row>
    <row r="853">
      <c r="O853" s="230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  <c r="AF853" s="230"/>
      <c r="AG853" s="230"/>
      <c r="AH853" s="230"/>
    </row>
    <row r="854">
      <c r="O854" s="230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  <c r="AF854" s="230"/>
      <c r="AG854" s="230"/>
      <c r="AH854" s="230"/>
    </row>
    <row r="855">
      <c r="O855" s="230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  <c r="AF855" s="230"/>
      <c r="AG855" s="230"/>
      <c r="AH855" s="230"/>
    </row>
    <row r="856">
      <c r="O856" s="230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  <c r="AF856" s="230"/>
      <c r="AG856" s="230"/>
      <c r="AH856" s="230"/>
    </row>
    <row r="857">
      <c r="O857" s="230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  <c r="AF857" s="230"/>
      <c r="AG857" s="230"/>
      <c r="AH857" s="230"/>
    </row>
    <row r="858">
      <c r="O858" s="230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  <c r="AF858" s="230"/>
      <c r="AG858" s="230"/>
      <c r="AH858" s="230"/>
    </row>
    <row r="859">
      <c r="O859" s="230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  <c r="AF859" s="230"/>
      <c r="AG859" s="230"/>
      <c r="AH859" s="230"/>
    </row>
    <row r="860">
      <c r="O860" s="230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  <c r="AF860" s="230"/>
      <c r="AG860" s="230"/>
      <c r="AH860" s="230"/>
    </row>
    <row r="861">
      <c r="O861" s="230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  <c r="AF861" s="230"/>
      <c r="AG861" s="230"/>
      <c r="AH861" s="230"/>
    </row>
    <row r="862">
      <c r="O862" s="230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  <c r="AF862" s="230"/>
      <c r="AG862" s="230"/>
      <c r="AH862" s="230"/>
    </row>
    <row r="863">
      <c r="O863" s="230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  <c r="AF863" s="230"/>
      <c r="AG863" s="230"/>
      <c r="AH863" s="230"/>
    </row>
    <row r="864">
      <c r="O864" s="230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  <c r="AF864" s="230"/>
      <c r="AG864" s="230"/>
      <c r="AH864" s="230"/>
    </row>
    <row r="865">
      <c r="O865" s="230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  <c r="AF865" s="230"/>
      <c r="AG865" s="230"/>
      <c r="AH865" s="230"/>
    </row>
    <row r="866">
      <c r="O866" s="230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  <c r="AF866" s="230"/>
      <c r="AG866" s="230"/>
      <c r="AH866" s="230"/>
    </row>
    <row r="867">
      <c r="O867" s="230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  <c r="AF867" s="230"/>
      <c r="AG867" s="230"/>
      <c r="AH867" s="230"/>
    </row>
    <row r="868">
      <c r="O868" s="230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  <c r="AF868" s="230"/>
      <c r="AG868" s="230"/>
      <c r="AH868" s="230"/>
    </row>
    <row r="869">
      <c r="O869" s="230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  <c r="AF869" s="230"/>
      <c r="AG869" s="230"/>
      <c r="AH869" s="230"/>
    </row>
    <row r="870">
      <c r="O870" s="230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  <c r="AF870" s="230"/>
      <c r="AG870" s="230"/>
      <c r="AH870" s="230"/>
    </row>
    <row r="871">
      <c r="O871" s="230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  <c r="AF871" s="230"/>
      <c r="AG871" s="230"/>
      <c r="AH871" s="230"/>
    </row>
    <row r="872">
      <c r="O872" s="230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  <c r="AF872" s="230"/>
      <c r="AG872" s="230"/>
      <c r="AH872" s="230"/>
    </row>
    <row r="873">
      <c r="O873" s="230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  <c r="AF873" s="230"/>
      <c r="AG873" s="230"/>
      <c r="AH873" s="230"/>
    </row>
    <row r="874">
      <c r="O874" s="230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  <c r="AF874" s="230"/>
      <c r="AG874" s="230"/>
      <c r="AH874" s="230"/>
    </row>
    <row r="875">
      <c r="O875" s="230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  <c r="AF875" s="230"/>
      <c r="AG875" s="230"/>
      <c r="AH875" s="230"/>
    </row>
    <row r="876">
      <c r="O876" s="230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  <c r="AF876" s="230"/>
      <c r="AG876" s="230"/>
      <c r="AH876" s="230"/>
    </row>
    <row r="877">
      <c r="O877" s="230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  <c r="AF877" s="230"/>
      <c r="AG877" s="230"/>
      <c r="AH877" s="230"/>
    </row>
    <row r="878">
      <c r="O878" s="230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  <c r="AF878" s="230"/>
      <c r="AG878" s="230"/>
      <c r="AH878" s="230"/>
    </row>
    <row r="879">
      <c r="O879" s="230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  <c r="AF879" s="230"/>
      <c r="AG879" s="230"/>
      <c r="AH879" s="230"/>
    </row>
    <row r="880">
      <c r="O880" s="230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  <c r="AF880" s="230"/>
      <c r="AG880" s="230"/>
      <c r="AH880" s="230"/>
    </row>
    <row r="881">
      <c r="O881" s="230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  <c r="AF881" s="230"/>
      <c r="AG881" s="230"/>
      <c r="AH881" s="230"/>
    </row>
    <row r="882">
      <c r="O882" s="230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  <c r="AF882" s="230"/>
      <c r="AG882" s="230"/>
      <c r="AH882" s="230"/>
    </row>
    <row r="883">
      <c r="O883" s="230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  <c r="AF883" s="230"/>
      <c r="AG883" s="230"/>
      <c r="AH883" s="230"/>
    </row>
    <row r="884">
      <c r="O884" s="230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  <c r="AF884" s="230"/>
      <c r="AG884" s="230"/>
      <c r="AH884" s="230"/>
    </row>
    <row r="885">
      <c r="O885" s="230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  <c r="AF885" s="230"/>
      <c r="AG885" s="230"/>
      <c r="AH885" s="230"/>
    </row>
    <row r="886">
      <c r="O886" s="230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  <c r="AF886" s="230"/>
      <c r="AG886" s="230"/>
      <c r="AH886" s="230"/>
    </row>
    <row r="887">
      <c r="O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  <c r="AH887" s="230"/>
    </row>
    <row r="888">
      <c r="O888" s="230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  <c r="AF888" s="230"/>
      <c r="AG888" s="230"/>
      <c r="AH888" s="230"/>
    </row>
    <row r="889">
      <c r="O889" s="230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  <c r="AF889" s="230"/>
      <c r="AG889" s="230"/>
      <c r="AH889" s="230"/>
    </row>
    <row r="890">
      <c r="O890" s="230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  <c r="AF890" s="230"/>
      <c r="AG890" s="230"/>
      <c r="AH890" s="230"/>
    </row>
    <row r="891">
      <c r="O891" s="230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  <c r="AF891" s="230"/>
      <c r="AG891" s="230"/>
      <c r="AH891" s="230"/>
    </row>
    <row r="892">
      <c r="O892" s="230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  <c r="AF892" s="230"/>
      <c r="AG892" s="230"/>
      <c r="AH892" s="230"/>
    </row>
    <row r="893">
      <c r="O893" s="230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  <c r="AF893" s="230"/>
      <c r="AG893" s="230"/>
      <c r="AH893" s="230"/>
    </row>
    <row r="894">
      <c r="O894" s="230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  <c r="AF894" s="230"/>
      <c r="AG894" s="230"/>
      <c r="AH894" s="230"/>
    </row>
    <row r="895">
      <c r="O895" s="230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  <c r="AF895" s="230"/>
      <c r="AG895" s="230"/>
      <c r="AH895" s="230"/>
    </row>
    <row r="896">
      <c r="O896" s="230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  <c r="AF896" s="230"/>
      <c r="AG896" s="230"/>
      <c r="AH896" s="230"/>
    </row>
    <row r="897">
      <c r="O897" s="230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  <c r="AF897" s="230"/>
      <c r="AG897" s="230"/>
      <c r="AH897" s="230"/>
    </row>
    <row r="898">
      <c r="O898" s="230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  <c r="AF898" s="230"/>
      <c r="AG898" s="230"/>
      <c r="AH898" s="230"/>
    </row>
    <row r="899">
      <c r="O899" s="230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  <c r="AF899" s="230"/>
      <c r="AG899" s="230"/>
      <c r="AH899" s="230"/>
    </row>
    <row r="900">
      <c r="O900" s="230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  <c r="AF900" s="230"/>
      <c r="AG900" s="230"/>
      <c r="AH900" s="230"/>
    </row>
    <row r="901">
      <c r="O901" s="230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  <c r="AF901" s="230"/>
      <c r="AG901" s="230"/>
      <c r="AH901" s="230"/>
    </row>
    <row r="902">
      <c r="O902" s="230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  <c r="AF902" s="230"/>
      <c r="AG902" s="230"/>
      <c r="AH902" s="230"/>
    </row>
    <row r="903">
      <c r="O903" s="230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  <c r="AF903" s="230"/>
      <c r="AG903" s="230"/>
      <c r="AH903" s="230"/>
    </row>
    <row r="904">
      <c r="O904" s="230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  <c r="AF904" s="230"/>
      <c r="AG904" s="230"/>
      <c r="AH904" s="230"/>
    </row>
    <row r="905">
      <c r="O905" s="230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  <c r="AF905" s="230"/>
      <c r="AG905" s="230"/>
      <c r="AH905" s="230"/>
    </row>
    <row r="906">
      <c r="O906" s="230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  <c r="AF906" s="230"/>
      <c r="AG906" s="230"/>
      <c r="AH906" s="230"/>
    </row>
    <row r="907">
      <c r="O907" s="230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  <c r="AF907" s="230"/>
      <c r="AG907" s="230"/>
      <c r="AH907" s="230"/>
    </row>
    <row r="908">
      <c r="O908" s="230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  <c r="AF908" s="230"/>
      <c r="AG908" s="230"/>
      <c r="AH908" s="230"/>
    </row>
    <row r="909">
      <c r="O909" s="230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  <c r="AF909" s="230"/>
      <c r="AG909" s="230"/>
      <c r="AH909" s="230"/>
    </row>
    <row r="910">
      <c r="O910" s="230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  <c r="AF910" s="230"/>
      <c r="AG910" s="230"/>
      <c r="AH910" s="230"/>
    </row>
    <row r="911">
      <c r="O911" s="230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  <c r="AF911" s="230"/>
      <c r="AG911" s="230"/>
      <c r="AH911" s="230"/>
    </row>
    <row r="912">
      <c r="O912" s="230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  <c r="AF912" s="230"/>
      <c r="AG912" s="230"/>
      <c r="AH912" s="230"/>
    </row>
    <row r="913">
      <c r="O913" s="230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  <c r="AF913" s="230"/>
      <c r="AG913" s="230"/>
      <c r="AH913" s="230"/>
    </row>
    <row r="914">
      <c r="O914" s="230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  <c r="AF914" s="230"/>
      <c r="AG914" s="230"/>
      <c r="AH914" s="230"/>
    </row>
    <row r="915">
      <c r="O915" s="230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  <c r="AF915" s="230"/>
      <c r="AG915" s="230"/>
      <c r="AH915" s="230"/>
    </row>
    <row r="916">
      <c r="O916" s="230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  <c r="AF916" s="230"/>
      <c r="AG916" s="230"/>
      <c r="AH916" s="230"/>
    </row>
    <row r="917">
      <c r="O917" s="230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  <c r="AF917" s="230"/>
      <c r="AG917" s="230"/>
      <c r="AH917" s="230"/>
    </row>
    <row r="918">
      <c r="O918" s="230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  <c r="AF918" s="230"/>
      <c r="AG918" s="230"/>
      <c r="AH918" s="230"/>
    </row>
    <row r="919">
      <c r="O919" s="230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  <c r="AF919" s="230"/>
      <c r="AG919" s="230"/>
      <c r="AH919" s="230"/>
    </row>
    <row r="920">
      <c r="O920" s="230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  <c r="AF920" s="230"/>
      <c r="AG920" s="230"/>
      <c r="AH920" s="230"/>
    </row>
    <row r="921">
      <c r="O921" s="230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  <c r="AF921" s="230"/>
      <c r="AG921" s="230"/>
      <c r="AH921" s="230"/>
    </row>
    <row r="922">
      <c r="O922" s="230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  <c r="AF922" s="230"/>
      <c r="AG922" s="230"/>
      <c r="AH922" s="230"/>
    </row>
    <row r="923">
      <c r="O923" s="230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</row>
    <row r="924">
      <c r="O924" s="230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  <c r="AF924" s="230"/>
      <c r="AG924" s="230"/>
      <c r="AH924" s="230"/>
    </row>
    <row r="925">
      <c r="O925" s="230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  <c r="AF925" s="230"/>
      <c r="AG925" s="230"/>
      <c r="AH925" s="230"/>
    </row>
    <row r="926">
      <c r="O926" s="230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  <c r="AF926" s="230"/>
      <c r="AG926" s="230"/>
      <c r="AH926" s="230"/>
    </row>
    <row r="927">
      <c r="O927" s="230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  <c r="AF927" s="230"/>
      <c r="AG927" s="230"/>
      <c r="AH927" s="230"/>
    </row>
    <row r="928">
      <c r="O928" s="230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  <c r="AF928" s="230"/>
      <c r="AG928" s="230"/>
      <c r="AH928" s="230"/>
    </row>
    <row r="929">
      <c r="O929" s="230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  <c r="AF929" s="230"/>
      <c r="AG929" s="230"/>
      <c r="AH929" s="230"/>
    </row>
    <row r="930">
      <c r="O930" s="230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  <c r="AF930" s="230"/>
      <c r="AG930" s="230"/>
      <c r="AH930" s="230"/>
    </row>
    <row r="931">
      <c r="O931" s="230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  <c r="AF931" s="230"/>
      <c r="AG931" s="230"/>
      <c r="AH931" s="230"/>
    </row>
    <row r="932">
      <c r="O932" s="230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  <c r="AF932" s="230"/>
      <c r="AG932" s="230"/>
      <c r="AH932" s="230"/>
    </row>
    <row r="933">
      <c r="O933" s="230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</row>
    <row r="934">
      <c r="O934" s="230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</row>
    <row r="935">
      <c r="O935" s="230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</row>
    <row r="936">
      <c r="O936" s="230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</row>
    <row r="937">
      <c r="O937" s="230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</row>
    <row r="938">
      <c r="O938" s="230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</row>
    <row r="939">
      <c r="O939" s="230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</row>
    <row r="940">
      <c r="O940" s="230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</row>
    <row r="941">
      <c r="O941" s="230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</row>
    <row r="942">
      <c r="O942" s="230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</row>
    <row r="943">
      <c r="O943" s="230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</row>
    <row r="944">
      <c r="O944" s="230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</row>
    <row r="945">
      <c r="O945" s="230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</row>
    <row r="946">
      <c r="O946" s="230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</row>
    <row r="947">
      <c r="O947" s="230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</row>
    <row r="948">
      <c r="O948" s="230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</row>
    <row r="949">
      <c r="O949" s="230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</row>
    <row r="950">
      <c r="O950" s="230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</row>
    <row r="951">
      <c r="O951" s="230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</row>
    <row r="952">
      <c r="O952" s="230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  <c r="AF952" s="230"/>
      <c r="AG952" s="230"/>
      <c r="AH952" s="230"/>
    </row>
    <row r="953">
      <c r="O953" s="230"/>
      <c r="R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  <c r="AF953" s="230"/>
      <c r="AG953" s="230"/>
      <c r="AH953" s="230"/>
    </row>
    <row r="954">
      <c r="O954" s="230"/>
      <c r="R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  <c r="AF954" s="230"/>
      <c r="AG954" s="230"/>
      <c r="AH954" s="230"/>
    </row>
    <row r="955">
      <c r="O955" s="230"/>
      <c r="R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  <c r="AF955" s="230"/>
      <c r="AG955" s="230"/>
      <c r="AH955" s="230"/>
    </row>
    <row r="956">
      <c r="O956" s="230"/>
      <c r="R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  <c r="AF956" s="230"/>
      <c r="AG956" s="230"/>
      <c r="AH956" s="230"/>
    </row>
    <row r="957">
      <c r="O957" s="230"/>
      <c r="R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  <c r="AF957" s="230"/>
      <c r="AG957" s="230"/>
      <c r="AH957" s="230"/>
    </row>
    <row r="958">
      <c r="O958" s="230"/>
      <c r="R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  <c r="AF958" s="230"/>
      <c r="AG958" s="230"/>
      <c r="AH958" s="230"/>
    </row>
    <row r="959">
      <c r="O959" s="230"/>
      <c r="R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  <c r="AF959" s="230"/>
      <c r="AG959" s="230"/>
      <c r="AH959" s="230"/>
    </row>
    <row r="960">
      <c r="O960" s="230"/>
      <c r="R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  <c r="AF960" s="230"/>
      <c r="AG960" s="230"/>
      <c r="AH960" s="230"/>
    </row>
    <row r="961">
      <c r="O961" s="230"/>
      <c r="R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  <c r="AF961" s="230"/>
      <c r="AG961" s="230"/>
      <c r="AH961" s="230"/>
    </row>
    <row r="962">
      <c r="O962" s="230"/>
      <c r="R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  <c r="AF962" s="230"/>
      <c r="AG962" s="230"/>
      <c r="AH962" s="230"/>
    </row>
    <row r="963">
      <c r="O963" s="230"/>
      <c r="R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  <c r="AF963" s="230"/>
      <c r="AG963" s="230"/>
      <c r="AH963" s="230"/>
    </row>
    <row r="964">
      <c r="O964" s="230"/>
      <c r="R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  <c r="AF964" s="230"/>
      <c r="AG964" s="230"/>
      <c r="AH964" s="230"/>
    </row>
    <row r="965">
      <c r="O965" s="230"/>
      <c r="R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  <c r="AF965" s="230"/>
      <c r="AG965" s="230"/>
      <c r="AH965" s="230"/>
    </row>
    <row r="966">
      <c r="O966" s="230"/>
      <c r="R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  <c r="AF966" s="230"/>
      <c r="AG966" s="230"/>
      <c r="AH966" s="230"/>
    </row>
    <row r="967">
      <c r="O967" s="230"/>
      <c r="R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  <c r="AF967" s="230"/>
      <c r="AG967" s="230"/>
      <c r="AH967" s="230"/>
    </row>
    <row r="968">
      <c r="O968" s="230"/>
      <c r="R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  <c r="AF968" s="230"/>
      <c r="AG968" s="230"/>
      <c r="AH968" s="230"/>
    </row>
    <row r="969">
      <c r="O969" s="230"/>
      <c r="R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  <c r="AF969" s="230"/>
      <c r="AG969" s="230"/>
      <c r="AH969" s="230"/>
    </row>
    <row r="970">
      <c r="O970" s="230"/>
      <c r="R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  <c r="AF970" s="230"/>
      <c r="AG970" s="230"/>
      <c r="AH970" s="230"/>
    </row>
    <row r="971">
      <c r="O971" s="230"/>
      <c r="R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  <c r="AF971" s="230"/>
      <c r="AG971" s="230"/>
      <c r="AH971" s="230"/>
    </row>
    <row r="972">
      <c r="O972" s="230"/>
      <c r="R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  <c r="AF972" s="230"/>
      <c r="AG972" s="230"/>
      <c r="AH972" s="230"/>
    </row>
    <row r="973">
      <c r="O973" s="230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</row>
    <row r="974">
      <c r="O974" s="230"/>
      <c r="R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  <c r="AF974" s="230"/>
      <c r="AG974" s="230"/>
      <c r="AH974" s="230"/>
    </row>
    <row r="975">
      <c r="O975" s="230"/>
      <c r="R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  <c r="AF975" s="230"/>
      <c r="AG975" s="230"/>
      <c r="AH975" s="230"/>
    </row>
    <row r="976">
      <c r="O976" s="230"/>
      <c r="R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  <c r="AF976" s="230"/>
      <c r="AG976" s="230"/>
      <c r="AH976" s="230"/>
    </row>
    <row r="977">
      <c r="O977" s="230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</row>
    <row r="978">
      <c r="O978" s="230"/>
      <c r="R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  <c r="AF978" s="230"/>
      <c r="AG978" s="230"/>
      <c r="AH978" s="230"/>
    </row>
    <row r="979">
      <c r="O979" s="230"/>
      <c r="R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  <c r="AF979" s="230"/>
      <c r="AG979" s="230"/>
      <c r="AH979" s="230"/>
    </row>
    <row r="980">
      <c r="O980" s="230"/>
      <c r="R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  <c r="AF980" s="230"/>
      <c r="AG980" s="230"/>
      <c r="AH980" s="230"/>
    </row>
    <row r="981">
      <c r="O981" s="230"/>
      <c r="R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  <c r="AF981" s="230"/>
      <c r="AG981" s="230"/>
      <c r="AH981" s="230"/>
    </row>
    <row r="982">
      <c r="O982" s="230"/>
      <c r="R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  <c r="AF982" s="230"/>
      <c r="AG982" s="230"/>
      <c r="AH982" s="230"/>
    </row>
    <row r="983">
      <c r="O983" s="230"/>
      <c r="R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  <c r="AF983" s="230"/>
      <c r="AG983" s="230"/>
      <c r="AH983" s="230"/>
    </row>
    <row r="984">
      <c r="O984" s="230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</row>
    <row r="985">
      <c r="O985" s="230"/>
      <c r="R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  <c r="AF985" s="230"/>
      <c r="AG985" s="230"/>
      <c r="AH985" s="230"/>
    </row>
    <row r="986">
      <c r="O986" s="230"/>
      <c r="R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  <c r="AF986" s="230"/>
      <c r="AG986" s="230"/>
      <c r="AH986" s="230"/>
    </row>
    <row r="987">
      <c r="O987" s="230"/>
      <c r="R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  <c r="AF987" s="230"/>
      <c r="AG987" s="230"/>
      <c r="AH987" s="230"/>
    </row>
    <row r="988">
      <c r="O988" s="230"/>
      <c r="R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  <c r="AF988" s="230"/>
      <c r="AG988" s="230"/>
      <c r="AH988" s="230"/>
    </row>
    <row r="989">
      <c r="O989" s="230"/>
      <c r="R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  <c r="AF989" s="230"/>
      <c r="AG989" s="230"/>
      <c r="AH989" s="230"/>
    </row>
    <row r="990">
      <c r="O990" s="230"/>
      <c r="R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  <c r="AF990" s="230"/>
      <c r="AG990" s="230"/>
      <c r="AH990" s="230"/>
    </row>
    <row r="991">
      <c r="O991" s="230"/>
      <c r="R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  <c r="AF991" s="230"/>
      <c r="AG991" s="230"/>
      <c r="AH991" s="230"/>
    </row>
    <row r="992">
      <c r="O992" s="230"/>
      <c r="R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  <c r="AF992" s="230"/>
      <c r="AG992" s="230"/>
      <c r="AH992" s="230"/>
    </row>
    <row r="993">
      <c r="O993" s="230"/>
      <c r="R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  <c r="AF993" s="230"/>
      <c r="AG993" s="230"/>
      <c r="AH993" s="230"/>
    </row>
    <row r="994">
      <c r="O994" s="230"/>
      <c r="R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  <c r="AF994" s="230"/>
      <c r="AG994" s="230"/>
      <c r="AH994" s="230"/>
    </row>
    <row r="995">
      <c r="O995" s="230"/>
      <c r="R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  <c r="AF995" s="230"/>
      <c r="AG995" s="230"/>
      <c r="AH995" s="230"/>
    </row>
    <row r="996">
      <c r="O996" s="230"/>
      <c r="R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  <c r="AF996" s="230"/>
      <c r="AG996" s="230"/>
      <c r="AH996" s="230"/>
    </row>
    <row r="997">
      <c r="O997" s="230"/>
      <c r="R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  <c r="AF997" s="230"/>
      <c r="AG997" s="230"/>
      <c r="AH997" s="230"/>
    </row>
    <row r="998">
      <c r="O998" s="230"/>
      <c r="R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  <c r="AF998" s="230"/>
      <c r="AG998" s="230"/>
      <c r="AH998" s="230"/>
    </row>
    <row r="999">
      <c r="O999" s="230"/>
      <c r="R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  <c r="AF999" s="230"/>
      <c r="AG999" s="230"/>
      <c r="AH999" s="230"/>
    </row>
    <row r="1000">
      <c r="O1000" s="230"/>
      <c r="R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</row>
    <row r="1001">
      <c r="O1001" s="230"/>
      <c r="R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</row>
    <row r="1002">
      <c r="O1002" s="230"/>
      <c r="R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</row>
    <row r="1003">
      <c r="O1003" s="230"/>
      <c r="R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  <c r="AF1003" s="230"/>
      <c r="AG1003" s="230"/>
      <c r="AH1003" s="230"/>
    </row>
    <row r="1004">
      <c r="O1004" s="230"/>
      <c r="R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  <c r="AF1004" s="230"/>
      <c r="AG1004" s="230"/>
      <c r="AH1004" s="230"/>
    </row>
    <row r="1005">
      <c r="O1005" s="230"/>
      <c r="R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  <c r="AF1005" s="230"/>
      <c r="AG1005" s="230"/>
      <c r="AH1005" s="230"/>
    </row>
    <row r="1006">
      <c r="O1006" s="230"/>
      <c r="R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  <c r="AF1006" s="230"/>
      <c r="AG1006" s="230"/>
      <c r="AH1006" s="230"/>
    </row>
    <row r="1007">
      <c r="O1007" s="230"/>
      <c r="R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  <c r="AF1007" s="230"/>
      <c r="AG1007" s="230"/>
      <c r="AH1007" s="230"/>
    </row>
    <row r="1008">
      <c r="O1008" s="230"/>
      <c r="R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  <c r="AF1008" s="230"/>
      <c r="AG1008" s="230"/>
      <c r="AH1008" s="230"/>
    </row>
    <row r="1009">
      <c r="O1009" s="230"/>
      <c r="R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  <c r="AF1009" s="230"/>
      <c r="AG1009" s="230"/>
      <c r="AH1009" s="230"/>
    </row>
    <row r="1010">
      <c r="O1010" s="230"/>
      <c r="R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  <c r="AF1010" s="230"/>
      <c r="AG1010" s="230"/>
      <c r="AH1010" s="230"/>
    </row>
    <row r="1011">
      <c r="O1011" s="230"/>
      <c r="R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  <c r="AF1011" s="230"/>
      <c r="AG1011" s="230"/>
      <c r="AH1011" s="230"/>
    </row>
    <row r="1012">
      <c r="O1012" s="230"/>
      <c r="R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  <c r="AF1012" s="230"/>
      <c r="AG1012" s="230"/>
      <c r="AH1012" s="230"/>
    </row>
    <row r="1013">
      <c r="O1013" s="230"/>
      <c r="R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  <c r="AF1013" s="230"/>
      <c r="AG1013" s="230"/>
      <c r="AH1013" s="230"/>
    </row>
    <row r="1014">
      <c r="O1014" s="230"/>
      <c r="R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  <c r="AF1014" s="230"/>
      <c r="AG1014" s="230"/>
      <c r="AH1014" s="230"/>
    </row>
    <row r="1015">
      <c r="O1015" s="230"/>
      <c r="R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  <c r="AF1015" s="230"/>
      <c r="AG1015" s="230"/>
      <c r="AH1015" s="230"/>
    </row>
    <row r="1016">
      <c r="O1016" s="230"/>
      <c r="R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  <c r="AF1016" s="230"/>
      <c r="AG1016" s="230"/>
      <c r="AH1016" s="230"/>
    </row>
    <row r="1017">
      <c r="O1017" s="230"/>
      <c r="R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  <c r="AF1017" s="230"/>
      <c r="AG1017" s="230"/>
      <c r="AH1017" s="230"/>
    </row>
    <row r="1018">
      <c r="O1018" s="230"/>
      <c r="R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  <c r="AF1018" s="230"/>
      <c r="AG1018" s="230"/>
      <c r="AH1018" s="230"/>
    </row>
    <row r="1019">
      <c r="O1019" s="230"/>
      <c r="R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  <c r="AF1019" s="230"/>
      <c r="AG1019" s="230"/>
      <c r="AH1019" s="230"/>
    </row>
    <row r="1020">
      <c r="O1020" s="230"/>
      <c r="R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  <c r="AF1020" s="230"/>
      <c r="AG1020" s="230"/>
      <c r="AH1020" s="230"/>
    </row>
    <row r="1021">
      <c r="O1021" s="230"/>
      <c r="R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  <c r="AF1021" s="230"/>
      <c r="AG1021" s="230"/>
      <c r="AH1021" s="230"/>
    </row>
    <row r="1022">
      <c r="O1022" s="230"/>
      <c r="R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  <c r="AF1022" s="230"/>
      <c r="AG1022" s="230"/>
      <c r="AH1022" s="230"/>
    </row>
    <row r="1023">
      <c r="O1023" s="230"/>
      <c r="R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  <c r="AF1023" s="230"/>
      <c r="AG1023" s="230"/>
      <c r="AH1023" s="230"/>
    </row>
    <row r="1024">
      <c r="O1024" s="230"/>
      <c r="R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  <c r="AF1024" s="230"/>
      <c r="AG1024" s="230"/>
      <c r="AH1024" s="230"/>
    </row>
    <row r="1025">
      <c r="O1025" s="230"/>
      <c r="R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  <c r="AF1025" s="230"/>
      <c r="AG1025" s="230"/>
      <c r="AH1025" s="230"/>
    </row>
    <row r="1026">
      <c r="O1026" s="230"/>
      <c r="R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  <c r="AF1026" s="230"/>
      <c r="AG1026" s="230"/>
      <c r="AH1026" s="230"/>
    </row>
    <row r="1027">
      <c r="O1027" s="230"/>
      <c r="R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  <c r="AF1027" s="230"/>
      <c r="AG1027" s="230"/>
      <c r="AH1027" s="230"/>
    </row>
    <row r="1028">
      <c r="O1028" s="230"/>
      <c r="R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  <c r="AF1028" s="230"/>
      <c r="AG1028" s="230"/>
      <c r="AH1028" s="230"/>
    </row>
    <row r="1029">
      <c r="O1029" s="230"/>
      <c r="R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</row>
    <row r="1030">
      <c r="O1030" s="230"/>
      <c r="R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  <c r="AF1030" s="230"/>
      <c r="AG1030" s="230"/>
      <c r="AH1030" s="230"/>
    </row>
    <row r="1031">
      <c r="O1031" s="230"/>
      <c r="R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  <c r="AF1031" s="230"/>
      <c r="AG1031" s="230"/>
      <c r="AH1031" s="230"/>
    </row>
    <row r="1032">
      <c r="O1032" s="230"/>
      <c r="R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  <c r="AF1032" s="230"/>
      <c r="AG1032" s="230"/>
      <c r="AH1032" s="230"/>
    </row>
    <row r="1033">
      <c r="O1033" s="230"/>
      <c r="R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  <c r="AF1033" s="230"/>
      <c r="AG1033" s="230"/>
      <c r="AH1033" s="230"/>
    </row>
    <row r="1034">
      <c r="O1034" s="230"/>
      <c r="R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  <c r="AF1034" s="230"/>
      <c r="AG1034" s="230"/>
      <c r="AH1034" s="230"/>
    </row>
    <row r="1035">
      <c r="O1035" s="230"/>
      <c r="R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  <c r="AF1035" s="230"/>
      <c r="AG1035" s="230"/>
      <c r="AH1035" s="230"/>
    </row>
    <row r="1036">
      <c r="O1036" s="230"/>
      <c r="R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  <c r="AF1036" s="230"/>
      <c r="AG1036" s="230"/>
      <c r="AH1036" s="230"/>
    </row>
    <row r="1037">
      <c r="O1037" s="230"/>
      <c r="R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  <c r="AF1037" s="230"/>
      <c r="AG1037" s="230"/>
      <c r="AH1037" s="230"/>
    </row>
    <row r="1038">
      <c r="O1038" s="230"/>
      <c r="R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  <c r="AF1038" s="230"/>
      <c r="AG1038" s="230"/>
      <c r="AH1038" s="230"/>
    </row>
    <row r="1039">
      <c r="O1039" s="230"/>
      <c r="R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  <c r="AF1039" s="230"/>
      <c r="AG1039" s="230"/>
      <c r="AH1039" s="230"/>
    </row>
    <row r="1040">
      <c r="O1040" s="230"/>
      <c r="R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  <c r="AF1040" s="230"/>
      <c r="AG1040" s="230"/>
      <c r="AH1040" s="230"/>
    </row>
    <row r="1041">
      <c r="O1041" s="230"/>
      <c r="R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  <c r="AF1041" s="230"/>
      <c r="AG1041" s="230"/>
      <c r="AH1041" s="230"/>
    </row>
    <row r="1042">
      <c r="O1042" s="230"/>
      <c r="R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  <c r="AF1042" s="230"/>
      <c r="AG1042" s="230"/>
      <c r="AH1042" s="230"/>
    </row>
    <row r="1043">
      <c r="O1043" s="230"/>
      <c r="R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  <c r="AF1043" s="230"/>
      <c r="AG1043" s="230"/>
      <c r="AH1043" s="230"/>
    </row>
    <row r="1044">
      <c r="O1044" s="230"/>
      <c r="R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  <c r="AF1044" s="230"/>
      <c r="AG1044" s="230"/>
      <c r="AH1044" s="230"/>
    </row>
    <row r="1045">
      <c r="O1045" s="230"/>
      <c r="R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  <c r="AF1045" s="230"/>
      <c r="AG1045" s="230"/>
      <c r="AH1045" s="230"/>
    </row>
    <row r="1046">
      <c r="O1046" s="230"/>
      <c r="R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  <c r="AF1046" s="230"/>
      <c r="AG1046" s="230"/>
      <c r="AH1046" s="230"/>
    </row>
    <row r="1047">
      <c r="O1047" s="230"/>
      <c r="R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  <c r="AF1047" s="230"/>
      <c r="AG1047" s="230"/>
      <c r="AH1047" s="230"/>
    </row>
    <row r="1048">
      <c r="O1048" s="230"/>
      <c r="R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  <c r="AF1048" s="230"/>
      <c r="AG1048" s="230"/>
      <c r="AH1048" s="230"/>
    </row>
    <row r="1049">
      <c r="O1049" s="230"/>
      <c r="R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  <c r="AF1049" s="230"/>
      <c r="AG1049" s="230"/>
      <c r="AH1049" s="230"/>
    </row>
    <row r="1050">
      <c r="O1050" s="230"/>
      <c r="R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  <c r="AF1050" s="230"/>
      <c r="AG1050" s="230"/>
      <c r="AH1050" s="230"/>
    </row>
    <row r="1051">
      <c r="O1051" s="230"/>
      <c r="R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  <c r="AF1051" s="230"/>
      <c r="AG1051" s="230"/>
      <c r="AH1051" s="230"/>
    </row>
    <row r="1052">
      <c r="O1052" s="230"/>
      <c r="R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  <c r="AF1052" s="230"/>
      <c r="AG1052" s="230"/>
      <c r="AH1052" s="230"/>
    </row>
    <row r="1053">
      <c r="O1053" s="230"/>
      <c r="R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  <c r="AF1053" s="230"/>
      <c r="AG1053" s="230"/>
      <c r="AH1053" s="230"/>
    </row>
    <row r="1054">
      <c r="O1054" s="230"/>
      <c r="R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  <c r="AF1054" s="230"/>
      <c r="AG1054" s="230"/>
      <c r="AH1054" s="230"/>
    </row>
    <row r="1055">
      <c r="O1055" s="230"/>
      <c r="R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  <c r="AF1055" s="230"/>
      <c r="AG1055" s="230"/>
      <c r="AH1055" s="230"/>
    </row>
    <row r="1056">
      <c r="O1056" s="230"/>
      <c r="R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  <c r="AF1056" s="230"/>
      <c r="AG1056" s="230"/>
      <c r="AH1056" s="230"/>
    </row>
    <row r="1057">
      <c r="O1057" s="230"/>
      <c r="R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  <c r="AF1057" s="230"/>
      <c r="AG1057" s="230"/>
      <c r="AH1057" s="230"/>
    </row>
    <row r="1058">
      <c r="O1058" s="230"/>
      <c r="R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  <c r="AF1058" s="230"/>
      <c r="AG1058" s="230"/>
      <c r="AH1058" s="230"/>
    </row>
    <row r="1059">
      <c r="O1059" s="230"/>
      <c r="R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  <c r="AF1059" s="230"/>
      <c r="AG1059" s="230"/>
      <c r="AH1059" s="230"/>
    </row>
    <row r="1060">
      <c r="O1060" s="230"/>
      <c r="R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  <c r="AF1060" s="230"/>
      <c r="AG1060" s="230"/>
      <c r="AH1060" s="230"/>
    </row>
    <row r="1061">
      <c r="O1061" s="230"/>
      <c r="R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  <c r="AF1061" s="230"/>
      <c r="AG1061" s="230"/>
      <c r="AH1061" s="230"/>
    </row>
    <row r="1062">
      <c r="O1062" s="230"/>
      <c r="R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  <c r="AF1062" s="230"/>
      <c r="AG1062" s="230"/>
      <c r="AH1062" s="230"/>
    </row>
    <row r="1063">
      <c r="O1063" s="230"/>
      <c r="R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  <c r="AF1063" s="230"/>
      <c r="AG1063" s="230"/>
      <c r="AH1063" s="230"/>
    </row>
    <row r="1064">
      <c r="O1064" s="230"/>
      <c r="R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  <c r="AF1064" s="230"/>
      <c r="AG1064" s="230"/>
      <c r="AH1064" s="230"/>
    </row>
    <row r="1065">
      <c r="O1065" s="230"/>
      <c r="R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  <c r="AF1065" s="230"/>
      <c r="AG1065" s="230"/>
      <c r="AH1065" s="230"/>
    </row>
    <row r="1066">
      <c r="O1066" s="230"/>
      <c r="R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  <c r="AF1066" s="230"/>
      <c r="AG1066" s="230"/>
      <c r="AH1066" s="230"/>
    </row>
    <row r="1067">
      <c r="O1067" s="230"/>
      <c r="R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  <c r="AF1067" s="230"/>
      <c r="AG1067" s="230"/>
      <c r="AH1067" s="230"/>
    </row>
    <row r="1068">
      <c r="O1068" s="230"/>
      <c r="R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  <c r="AF1068" s="230"/>
      <c r="AG1068" s="230"/>
      <c r="AH1068" s="230"/>
    </row>
    <row r="1069">
      <c r="O1069" s="230"/>
      <c r="R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  <c r="AF1069" s="230"/>
      <c r="AG1069" s="230"/>
      <c r="AH1069" s="230"/>
    </row>
    <row r="1070">
      <c r="O1070" s="230"/>
      <c r="R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  <c r="AF1070" s="230"/>
      <c r="AG1070" s="230"/>
      <c r="AH1070" s="230"/>
    </row>
    <row r="1071">
      <c r="O1071" s="230"/>
      <c r="R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  <c r="AF1071" s="230"/>
      <c r="AG1071" s="230"/>
      <c r="AH1071" s="230"/>
    </row>
    <row r="1072">
      <c r="O1072" s="230"/>
      <c r="R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  <c r="AF1072" s="230"/>
      <c r="AG1072" s="230"/>
      <c r="AH1072" s="230"/>
    </row>
    <row r="1073">
      <c r="O1073" s="230"/>
      <c r="R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  <c r="AF1073" s="230"/>
      <c r="AG1073" s="230"/>
      <c r="AH1073" s="230"/>
    </row>
    <row r="1074">
      <c r="O1074" s="230"/>
      <c r="R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  <c r="AF1074" s="230"/>
      <c r="AG1074" s="230"/>
      <c r="AH1074" s="230"/>
    </row>
    <row r="1075">
      <c r="O1075" s="230"/>
      <c r="R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  <c r="AF1075" s="230"/>
      <c r="AG1075" s="230"/>
      <c r="AH1075" s="230"/>
    </row>
    <row r="1076">
      <c r="O1076" s="230"/>
      <c r="R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  <c r="AF1076" s="230"/>
      <c r="AG1076" s="230"/>
      <c r="AH1076" s="230"/>
    </row>
    <row r="1077">
      <c r="O1077" s="230"/>
      <c r="R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  <c r="AF1077" s="230"/>
      <c r="AG1077" s="230"/>
      <c r="AH1077" s="230"/>
    </row>
    <row r="1078">
      <c r="O1078" s="230"/>
      <c r="R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  <c r="AF1078" s="230"/>
      <c r="AG1078" s="230"/>
      <c r="AH1078" s="230"/>
    </row>
    <row r="1079">
      <c r="O1079" s="230"/>
      <c r="R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  <c r="AF1079" s="230"/>
      <c r="AG1079" s="230"/>
      <c r="AH1079" s="230"/>
    </row>
    <row r="1080">
      <c r="O1080" s="230"/>
      <c r="R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  <c r="AF1080" s="230"/>
      <c r="AG1080" s="230"/>
      <c r="AH1080" s="230"/>
    </row>
    <row r="1081">
      <c r="O1081" s="230"/>
      <c r="R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  <c r="AF1081" s="230"/>
      <c r="AG1081" s="230"/>
      <c r="AH1081" s="230"/>
    </row>
    <row r="1082">
      <c r="O1082" s="230"/>
      <c r="R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  <c r="AF1082" s="230"/>
      <c r="AG1082" s="230"/>
      <c r="AH1082" s="230"/>
    </row>
    <row r="1083">
      <c r="O1083" s="230"/>
      <c r="R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  <c r="AF1083" s="230"/>
      <c r="AG1083" s="230"/>
      <c r="AH1083" s="230"/>
    </row>
    <row r="1084">
      <c r="O1084" s="230"/>
      <c r="R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  <c r="AF1084" s="230"/>
      <c r="AG1084" s="230"/>
      <c r="AH1084" s="230"/>
    </row>
    <row r="1085">
      <c r="O1085" s="230"/>
      <c r="R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  <c r="AF1085" s="230"/>
      <c r="AG1085" s="230"/>
      <c r="AH1085" s="230"/>
    </row>
    <row r="1086">
      <c r="O1086" s="230"/>
      <c r="R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  <c r="AF1086" s="230"/>
      <c r="AG1086" s="230"/>
      <c r="AH1086" s="230"/>
    </row>
    <row r="1087">
      <c r="O1087" s="230"/>
      <c r="R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  <c r="AF1087" s="230"/>
      <c r="AG1087" s="230"/>
      <c r="AH1087" s="230"/>
    </row>
    <row r="1088">
      <c r="O1088" s="230"/>
      <c r="R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  <c r="AF1088" s="230"/>
      <c r="AG1088" s="230"/>
      <c r="AH1088" s="230"/>
    </row>
    <row r="1089">
      <c r="O1089" s="230"/>
      <c r="R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  <c r="AF1089" s="230"/>
      <c r="AG1089" s="230"/>
      <c r="AH1089" s="230"/>
    </row>
    <row r="1090">
      <c r="O1090" s="230"/>
      <c r="R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</row>
    <row r="1091">
      <c r="O1091" s="230"/>
      <c r="R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  <c r="AF1091" s="230"/>
      <c r="AG1091" s="230"/>
      <c r="AH1091" s="230"/>
    </row>
    <row r="1092">
      <c r="O1092" s="230"/>
      <c r="R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  <c r="AF1092" s="230"/>
      <c r="AG1092" s="230"/>
      <c r="AH1092" s="230"/>
    </row>
    <row r="1093">
      <c r="O1093" s="230"/>
      <c r="R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  <c r="AF1093" s="230"/>
      <c r="AG1093" s="230"/>
      <c r="AH1093" s="230"/>
    </row>
    <row r="1094">
      <c r="O1094" s="230"/>
      <c r="R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  <c r="AF1094" s="230"/>
      <c r="AG1094" s="230"/>
      <c r="AH1094" s="230"/>
    </row>
    <row r="1095">
      <c r="O1095" s="230"/>
      <c r="R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  <c r="AF1095" s="230"/>
      <c r="AG1095" s="230"/>
      <c r="AH1095" s="230"/>
    </row>
    <row r="1096">
      <c r="O1096" s="230"/>
      <c r="R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  <c r="AF1096" s="230"/>
      <c r="AG1096" s="230"/>
      <c r="AH1096" s="230"/>
    </row>
    <row r="1097">
      <c r="O1097" s="230"/>
      <c r="R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  <c r="AF1097" s="230"/>
      <c r="AG1097" s="230"/>
      <c r="AH1097" s="230"/>
    </row>
    <row r="1098">
      <c r="O1098" s="230"/>
      <c r="R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  <c r="AF1098" s="230"/>
      <c r="AG1098" s="230"/>
      <c r="AH1098" s="230"/>
    </row>
    <row r="1099">
      <c r="O1099" s="230"/>
      <c r="R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  <c r="AF1099" s="230"/>
      <c r="AG1099" s="230"/>
      <c r="AH1099" s="230"/>
    </row>
    <row r="1100">
      <c r="O1100" s="230"/>
      <c r="R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  <c r="AH1100" s="230"/>
    </row>
    <row r="1101">
      <c r="O1101" s="230"/>
      <c r="R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  <c r="AF1101" s="230"/>
      <c r="AG1101" s="230"/>
      <c r="AH1101" s="230"/>
    </row>
    <row r="1102">
      <c r="O1102" s="230"/>
      <c r="R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230"/>
      <c r="AH1102" s="230"/>
    </row>
    <row r="1103">
      <c r="O1103" s="230"/>
      <c r="R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230"/>
      <c r="AH1103" s="230"/>
    </row>
    <row r="1104">
      <c r="O1104" s="230"/>
      <c r="R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230"/>
      <c r="AH1104" s="230"/>
    </row>
    <row r="1105">
      <c r="O1105" s="230"/>
      <c r="R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230"/>
      <c r="AH1105" s="230"/>
    </row>
    <row r="1106">
      <c r="O1106" s="230"/>
      <c r="R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230"/>
      <c r="AH1106" s="230"/>
    </row>
    <row r="1107">
      <c r="O1107" s="230"/>
      <c r="R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230"/>
      <c r="AH1107" s="230"/>
    </row>
    <row r="1108">
      <c r="O1108" s="230"/>
      <c r="R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230"/>
      <c r="AH1108" s="230"/>
    </row>
    <row r="1109">
      <c r="O1109" s="230"/>
      <c r="R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230"/>
      <c r="AH1109" s="230"/>
    </row>
    <row r="1110">
      <c r="O1110" s="230"/>
      <c r="R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230"/>
      <c r="AH1110" s="230"/>
    </row>
    <row r="1111">
      <c r="O1111" s="230"/>
      <c r="R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230"/>
      <c r="AH1111" s="230"/>
    </row>
    <row r="1112">
      <c r="O1112" s="230"/>
      <c r="R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230"/>
      <c r="AH1112" s="230"/>
    </row>
    <row r="1113">
      <c r="O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230"/>
      <c r="AH1113" s="230"/>
    </row>
    <row r="1114">
      <c r="O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230"/>
      <c r="AH1114" s="230"/>
    </row>
    <row r="1115">
      <c r="O1115" s="230"/>
      <c r="R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230"/>
      <c r="AH1115" s="230"/>
    </row>
    <row r="1116">
      <c r="O1116" s="230"/>
      <c r="R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230"/>
      <c r="AH1116" s="230"/>
    </row>
    <row r="1117">
      <c r="O1117" s="230"/>
      <c r="R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230"/>
      <c r="AH1117" s="230"/>
    </row>
    <row r="1118">
      <c r="O1118" s="230"/>
      <c r="R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230"/>
      <c r="AH1118" s="230"/>
    </row>
    <row r="1119">
      <c r="O1119" s="230"/>
      <c r="R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230"/>
      <c r="AH1119" s="230"/>
    </row>
    <row r="1120">
      <c r="O1120" s="230"/>
      <c r="R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230"/>
      <c r="AH1120" s="230"/>
    </row>
    <row r="1121">
      <c r="O1121" s="230"/>
      <c r="R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230"/>
      <c r="AH1121" s="230"/>
    </row>
    <row r="1122">
      <c r="O1122" s="230"/>
      <c r="R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230"/>
      <c r="AH1122" s="230"/>
    </row>
    <row r="1123">
      <c r="O1123" s="230"/>
      <c r="R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230"/>
      <c r="AH1123" s="230"/>
    </row>
    <row r="1124">
      <c r="O1124" s="230"/>
      <c r="R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230"/>
      <c r="AH1124" s="230"/>
    </row>
    <row r="1125">
      <c r="O1125" s="230"/>
      <c r="R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  <c r="AF1125" s="230"/>
      <c r="AG1125" s="230"/>
      <c r="AH1125" s="230"/>
    </row>
    <row r="1126">
      <c r="O1126" s="230"/>
      <c r="R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  <c r="AF1126" s="230"/>
      <c r="AG1126" s="230"/>
      <c r="AH1126" s="230"/>
    </row>
    <row r="1127">
      <c r="O1127" s="230"/>
      <c r="R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  <c r="AF1127" s="230"/>
      <c r="AG1127" s="230"/>
      <c r="AH1127" s="230"/>
    </row>
    <row r="1128">
      <c r="O1128" s="230"/>
      <c r="R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  <c r="AF1128" s="230"/>
      <c r="AG1128" s="230"/>
      <c r="AH1128" s="230"/>
    </row>
    <row r="1129">
      <c r="O1129" s="230"/>
      <c r="R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  <c r="AF1129" s="230"/>
      <c r="AG1129" s="230"/>
      <c r="AH1129" s="230"/>
    </row>
    <row r="1130">
      <c r="O1130" s="230"/>
      <c r="R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  <c r="AF1130" s="230"/>
      <c r="AG1130" s="230"/>
      <c r="AH1130" s="230"/>
    </row>
    <row r="1131">
      <c r="O1131" s="230"/>
      <c r="R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  <c r="AF1131" s="230"/>
      <c r="AG1131" s="230"/>
      <c r="AH1131" s="230"/>
    </row>
    <row r="1132">
      <c r="O1132" s="230"/>
      <c r="R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  <c r="AF1132" s="230"/>
      <c r="AG1132" s="230"/>
      <c r="AH1132" s="230"/>
    </row>
    <row r="1133">
      <c r="O1133" s="230"/>
      <c r="R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  <c r="AF1133" s="230"/>
      <c r="AG1133" s="230"/>
      <c r="AH1133" s="230"/>
    </row>
    <row r="1134">
      <c r="O1134" s="230"/>
      <c r="R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  <c r="AF1134" s="230"/>
      <c r="AG1134" s="230"/>
      <c r="AH1134" s="230"/>
    </row>
    <row r="1135">
      <c r="O1135" s="230"/>
      <c r="R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  <c r="AF1135" s="230"/>
      <c r="AG1135" s="230"/>
      <c r="AH1135" s="230"/>
    </row>
    <row r="1136">
      <c r="O1136" s="230"/>
      <c r="R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  <c r="AF1136" s="230"/>
      <c r="AG1136" s="230"/>
      <c r="AH1136" s="230"/>
    </row>
    <row r="1137">
      <c r="O1137" s="230"/>
      <c r="R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  <c r="AF1137" s="230"/>
      <c r="AG1137" s="230"/>
      <c r="AH1137" s="230"/>
    </row>
    <row r="1138">
      <c r="O1138" s="230"/>
      <c r="R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  <c r="AF1138" s="230"/>
      <c r="AG1138" s="230"/>
      <c r="AH1138" s="230"/>
    </row>
    <row r="1139">
      <c r="O1139" s="230"/>
      <c r="R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  <c r="AF1139" s="230"/>
      <c r="AG1139" s="230"/>
      <c r="AH1139" s="230"/>
    </row>
    <row r="1140">
      <c r="O1140" s="230"/>
      <c r="R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  <c r="AF1140" s="230"/>
      <c r="AG1140" s="230"/>
      <c r="AH1140" s="230"/>
    </row>
    <row r="1141">
      <c r="O1141" s="230"/>
      <c r="R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  <c r="AF1141" s="230"/>
      <c r="AG1141" s="230"/>
      <c r="AH1141" s="230"/>
    </row>
    <row r="1142">
      <c r="O1142" s="230"/>
      <c r="R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  <c r="AF1142" s="230"/>
      <c r="AG1142" s="230"/>
      <c r="AH1142" s="230"/>
    </row>
    <row r="1143">
      <c r="O1143" s="230"/>
      <c r="R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  <c r="AF1143" s="230"/>
      <c r="AG1143" s="230"/>
      <c r="AH1143" s="230"/>
    </row>
    <row r="1144">
      <c r="O1144" s="230"/>
      <c r="R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  <c r="AF1144" s="230"/>
      <c r="AG1144" s="230"/>
      <c r="AH1144" s="230"/>
    </row>
    <row r="1145">
      <c r="O1145" s="230"/>
      <c r="R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  <c r="AF1145" s="230"/>
      <c r="AG1145" s="230"/>
      <c r="AH1145" s="230"/>
    </row>
    <row r="1146">
      <c r="O1146" s="230"/>
      <c r="R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  <c r="AF1146" s="230"/>
      <c r="AG1146" s="230"/>
      <c r="AH1146" s="230"/>
    </row>
    <row r="1147">
      <c r="O1147" s="230"/>
      <c r="R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  <c r="AF1147" s="230"/>
      <c r="AG1147" s="230"/>
      <c r="AH1147" s="230"/>
    </row>
    <row r="1148">
      <c r="O1148" s="230"/>
      <c r="R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  <c r="AF1148" s="230"/>
      <c r="AG1148" s="230"/>
      <c r="AH1148" s="230"/>
    </row>
    <row r="1149">
      <c r="O1149" s="230"/>
      <c r="R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  <c r="AF1149" s="230"/>
      <c r="AG1149" s="230"/>
      <c r="AH1149" s="230"/>
    </row>
    <row r="1150">
      <c r="O1150" s="230"/>
      <c r="R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  <c r="AF1150" s="230"/>
      <c r="AG1150" s="230"/>
      <c r="AH1150" s="230"/>
    </row>
    <row r="1151">
      <c r="O1151" s="230"/>
      <c r="R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  <c r="AF1151" s="230"/>
      <c r="AG1151" s="230"/>
      <c r="AH1151" s="230"/>
    </row>
    <row r="1152">
      <c r="O1152" s="230"/>
      <c r="R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  <c r="AF1152" s="230"/>
      <c r="AG1152" s="230"/>
      <c r="AH1152" s="230"/>
    </row>
    <row r="1153">
      <c r="O1153" s="230"/>
      <c r="R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  <c r="AF1153" s="230"/>
      <c r="AG1153" s="230"/>
      <c r="AH1153" s="230"/>
    </row>
    <row r="1154">
      <c r="O1154" s="230"/>
      <c r="R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  <c r="AF1154" s="230"/>
      <c r="AG1154" s="230"/>
      <c r="AH1154" s="230"/>
    </row>
    <row r="1155">
      <c r="O1155" s="230"/>
      <c r="R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  <c r="AF1155" s="230"/>
      <c r="AG1155" s="230"/>
      <c r="AH1155" s="230"/>
    </row>
    <row r="1156">
      <c r="O1156" s="230"/>
      <c r="R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  <c r="AF1156" s="230"/>
      <c r="AG1156" s="230"/>
      <c r="AH1156" s="230"/>
    </row>
    <row r="1157">
      <c r="O1157" s="230"/>
      <c r="R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  <c r="AF1157" s="230"/>
      <c r="AG1157" s="230"/>
      <c r="AH1157" s="230"/>
    </row>
    <row r="1158">
      <c r="O1158" s="230"/>
      <c r="R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  <c r="AF1158" s="230"/>
      <c r="AG1158" s="230"/>
      <c r="AH1158" s="230"/>
    </row>
    <row r="1159">
      <c r="O1159" s="230"/>
      <c r="R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  <c r="AF1159" s="230"/>
      <c r="AG1159" s="230"/>
      <c r="AH1159" s="230"/>
    </row>
    <row r="1160">
      <c r="O1160" s="230"/>
      <c r="R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  <c r="AF1160" s="230"/>
      <c r="AG1160" s="230"/>
      <c r="AH1160" s="230"/>
    </row>
    <row r="1161">
      <c r="O1161" s="230"/>
      <c r="R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</row>
    <row r="1162">
      <c r="O1162" s="230"/>
      <c r="R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  <c r="AF1162" s="230"/>
      <c r="AG1162" s="230"/>
      <c r="AH1162" s="230"/>
    </row>
    <row r="1163">
      <c r="O1163" s="230"/>
      <c r="R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  <c r="AF1163" s="230"/>
      <c r="AG1163" s="230"/>
      <c r="AH1163" s="230"/>
    </row>
    <row r="1164">
      <c r="O1164" s="230"/>
      <c r="R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  <c r="AF1164" s="230"/>
      <c r="AG1164" s="230"/>
      <c r="AH1164" s="230"/>
    </row>
    <row r="1165">
      <c r="O1165" s="230"/>
      <c r="R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  <c r="AF1165" s="230"/>
      <c r="AG1165" s="230"/>
      <c r="AH1165" s="230"/>
    </row>
    <row r="1166">
      <c r="O1166" s="230"/>
      <c r="R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  <c r="AF1166" s="230"/>
      <c r="AG1166" s="230"/>
      <c r="AH1166" s="230"/>
    </row>
    <row r="1167">
      <c r="O1167" s="230"/>
      <c r="R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  <c r="AF1167" s="230"/>
      <c r="AG1167" s="230"/>
      <c r="AH1167" s="230"/>
    </row>
    <row r="1168">
      <c r="O1168" s="230"/>
      <c r="R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  <c r="AF1168" s="230"/>
      <c r="AG1168" s="230"/>
      <c r="AH1168" s="230"/>
    </row>
    <row r="1169">
      <c r="O1169" s="230"/>
      <c r="R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  <c r="AF1169" s="230"/>
      <c r="AG1169" s="230"/>
      <c r="AH1169" s="230"/>
    </row>
    <row r="1170">
      <c r="O1170" s="230"/>
      <c r="R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  <c r="AF1170" s="230"/>
      <c r="AG1170" s="230"/>
      <c r="AH1170" s="230"/>
    </row>
    <row r="1171">
      <c r="O1171" s="230"/>
      <c r="R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  <c r="AF1171" s="230"/>
      <c r="AG1171" s="230"/>
      <c r="AH1171" s="230"/>
    </row>
    <row r="1172">
      <c r="O1172" s="230"/>
      <c r="R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  <c r="AF1172" s="230"/>
      <c r="AG1172" s="230"/>
      <c r="AH1172" s="230"/>
    </row>
    <row r="1173">
      <c r="O1173" s="230"/>
      <c r="R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  <c r="AF1173" s="230"/>
      <c r="AG1173" s="230"/>
      <c r="AH1173" s="230"/>
    </row>
    <row r="1174">
      <c r="O1174" s="230"/>
      <c r="R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  <c r="AF1174" s="230"/>
      <c r="AG1174" s="230"/>
      <c r="AH1174" s="230"/>
    </row>
    <row r="1175">
      <c r="O1175" s="230"/>
      <c r="R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  <c r="AF1175" s="230"/>
      <c r="AG1175" s="230"/>
      <c r="AH1175" s="230"/>
    </row>
    <row r="1176">
      <c r="O1176" s="230"/>
      <c r="R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  <c r="AF1176" s="230"/>
      <c r="AG1176" s="230"/>
      <c r="AH1176" s="230"/>
    </row>
    <row r="1177">
      <c r="O1177" s="230"/>
      <c r="R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  <c r="AF1177" s="230"/>
      <c r="AG1177" s="230"/>
      <c r="AH1177" s="230"/>
    </row>
    <row r="1178">
      <c r="O1178" s="230"/>
      <c r="R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  <c r="AF1178" s="230"/>
      <c r="AG1178" s="230"/>
      <c r="AH1178" s="230"/>
    </row>
    <row r="1179">
      <c r="O1179" s="230"/>
      <c r="R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  <c r="AF1179" s="230"/>
      <c r="AG1179" s="230"/>
      <c r="AH1179" s="230"/>
    </row>
    <row r="1180">
      <c r="O1180" s="230"/>
      <c r="R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  <c r="AF1180" s="230"/>
      <c r="AG1180" s="230"/>
      <c r="AH1180" s="230"/>
    </row>
    <row r="1181">
      <c r="O1181" s="230"/>
      <c r="R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  <c r="AF1181" s="230"/>
      <c r="AG1181" s="230"/>
      <c r="AH1181" s="230"/>
    </row>
    <row r="1182">
      <c r="O1182" s="230"/>
      <c r="R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  <c r="AF1182" s="230"/>
      <c r="AG1182" s="230"/>
      <c r="AH1182" s="230"/>
    </row>
    <row r="1183">
      <c r="O1183" s="230"/>
      <c r="R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  <c r="AF1183" s="230"/>
      <c r="AG1183" s="230"/>
      <c r="AH1183" s="230"/>
    </row>
    <row r="1184">
      <c r="O1184" s="230"/>
      <c r="R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  <c r="AF1184" s="230"/>
      <c r="AG1184" s="230"/>
      <c r="AH1184" s="230"/>
    </row>
    <row r="1185">
      <c r="O1185" s="230"/>
      <c r="R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  <c r="AF1185" s="230"/>
      <c r="AG1185" s="230"/>
      <c r="AH1185" s="230"/>
    </row>
    <row r="1186">
      <c r="O1186" s="230"/>
      <c r="R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  <c r="AF1186" s="230"/>
      <c r="AG1186" s="230"/>
      <c r="AH1186" s="230"/>
    </row>
    <row r="1187">
      <c r="O1187" s="230"/>
      <c r="R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  <c r="AF1187" s="230"/>
      <c r="AG1187" s="230"/>
      <c r="AH1187" s="230"/>
    </row>
    <row r="1188">
      <c r="O1188" s="230"/>
      <c r="R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  <c r="AF1188" s="230"/>
      <c r="AG1188" s="230"/>
      <c r="AH1188" s="230"/>
    </row>
    <row r="1189">
      <c r="O1189" s="230"/>
      <c r="R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  <c r="AF1189" s="230"/>
      <c r="AG1189" s="230"/>
      <c r="AH1189" s="230"/>
    </row>
    <row r="1190">
      <c r="O1190" s="230"/>
      <c r="R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  <c r="AF1190" s="230"/>
      <c r="AG1190" s="230"/>
      <c r="AH1190" s="230"/>
    </row>
    <row r="1191">
      <c r="O1191" s="230"/>
      <c r="R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  <c r="AF1191" s="230"/>
      <c r="AG1191" s="230"/>
      <c r="AH1191" s="230"/>
    </row>
    <row r="1192">
      <c r="O1192" s="230"/>
      <c r="R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  <c r="AF1192" s="230"/>
      <c r="AG1192" s="230"/>
      <c r="AH1192" s="230"/>
    </row>
    <row r="1193">
      <c r="O1193" s="230"/>
      <c r="R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  <c r="AF1193" s="230"/>
      <c r="AG1193" s="230"/>
      <c r="AH1193" s="230"/>
    </row>
    <row r="1194">
      <c r="O1194" s="230"/>
      <c r="R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  <c r="AF1194" s="230"/>
      <c r="AG1194" s="230"/>
      <c r="AH1194" s="230"/>
    </row>
    <row r="1195">
      <c r="O1195" s="230"/>
      <c r="R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  <c r="AF1195" s="230"/>
      <c r="AG1195" s="230"/>
      <c r="AH1195" s="230"/>
    </row>
    <row r="1196">
      <c r="O1196" s="230"/>
      <c r="R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  <c r="AF1196" s="230"/>
      <c r="AG1196" s="230"/>
      <c r="AH1196" s="230"/>
    </row>
    <row r="1197">
      <c r="O1197" s="230"/>
      <c r="R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  <c r="AF1197" s="230"/>
      <c r="AG1197" s="230"/>
      <c r="AH1197" s="230"/>
    </row>
    <row r="1198">
      <c r="O1198" s="230"/>
      <c r="R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  <c r="AF1198" s="230"/>
      <c r="AG1198" s="230"/>
      <c r="AH1198" s="230"/>
    </row>
    <row r="1199">
      <c r="O1199" s="230"/>
      <c r="R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  <c r="AF1199" s="230"/>
      <c r="AG1199" s="230"/>
      <c r="AH1199" s="230"/>
    </row>
    <row r="1200">
      <c r="O1200" s="230"/>
      <c r="R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  <c r="AF1200" s="230"/>
      <c r="AG1200" s="230"/>
      <c r="AH1200" s="230"/>
    </row>
    <row r="1201">
      <c r="O1201" s="230"/>
      <c r="R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</row>
    <row r="1202">
      <c r="O1202" s="230"/>
      <c r="R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  <c r="AF1202" s="230"/>
      <c r="AG1202" s="230"/>
      <c r="AH1202" s="230"/>
    </row>
    <row r="1203">
      <c r="O1203" s="230"/>
      <c r="R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  <c r="AF1203" s="230"/>
      <c r="AG1203" s="230"/>
      <c r="AH1203" s="230"/>
    </row>
    <row r="1204">
      <c r="O1204" s="230"/>
      <c r="R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  <c r="AF1204" s="230"/>
      <c r="AG1204" s="230"/>
      <c r="AH1204" s="230"/>
    </row>
    <row r="1205">
      <c r="O1205" s="230"/>
      <c r="R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  <c r="AF1205" s="230"/>
      <c r="AG1205" s="230"/>
      <c r="AH1205" s="230"/>
    </row>
    <row r="1206">
      <c r="O1206" s="230"/>
      <c r="R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  <c r="AF1206" s="230"/>
      <c r="AG1206" s="230"/>
      <c r="AH1206" s="230"/>
    </row>
    <row r="1207">
      <c r="O1207" s="230"/>
      <c r="R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  <c r="AF1207" s="230"/>
      <c r="AG1207" s="230"/>
      <c r="AH1207" s="230"/>
    </row>
    <row r="1208">
      <c r="O1208" s="230"/>
      <c r="R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  <c r="AF1208" s="230"/>
      <c r="AG1208" s="230"/>
      <c r="AH1208" s="230"/>
    </row>
    <row r="1209">
      <c r="O1209" s="230"/>
      <c r="R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  <c r="AF1209" s="230"/>
      <c r="AG1209" s="230"/>
      <c r="AH1209" s="230"/>
    </row>
    <row r="1210">
      <c r="O1210" s="230"/>
      <c r="R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  <c r="AF1210" s="230"/>
      <c r="AG1210" s="230"/>
      <c r="AH1210" s="230"/>
    </row>
    <row r="1211">
      <c r="O1211" s="230"/>
      <c r="R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  <c r="AF1211" s="230"/>
      <c r="AG1211" s="230"/>
      <c r="AH1211" s="230"/>
    </row>
    <row r="1212">
      <c r="O1212" s="230"/>
      <c r="R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  <c r="AF1212" s="230"/>
      <c r="AG1212" s="230"/>
      <c r="AH1212" s="230"/>
    </row>
    <row r="1213">
      <c r="O1213" s="230"/>
      <c r="R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  <c r="AF1213" s="230"/>
      <c r="AG1213" s="230"/>
      <c r="AH1213" s="230"/>
    </row>
    <row r="1214">
      <c r="O1214" s="230"/>
      <c r="R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  <c r="AF1214" s="230"/>
      <c r="AG1214" s="230"/>
      <c r="AH1214" s="230"/>
    </row>
    <row r="1215">
      <c r="O1215" s="230"/>
      <c r="R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  <c r="AF1215" s="230"/>
      <c r="AG1215" s="230"/>
      <c r="AH1215" s="230"/>
    </row>
    <row r="1216">
      <c r="O1216" s="230"/>
      <c r="R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  <c r="AF1216" s="230"/>
      <c r="AG1216" s="230"/>
      <c r="AH1216" s="230"/>
    </row>
    <row r="1217">
      <c r="O1217" s="230"/>
      <c r="R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  <c r="AF1217" s="230"/>
      <c r="AG1217" s="230"/>
      <c r="AH1217" s="230"/>
    </row>
    <row r="1218">
      <c r="O1218" s="230"/>
      <c r="R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  <c r="AF1218" s="230"/>
      <c r="AG1218" s="230"/>
      <c r="AH1218" s="230"/>
    </row>
    <row r="1219">
      <c r="O1219" s="230"/>
      <c r="R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  <c r="AF1219" s="230"/>
      <c r="AG1219" s="230"/>
      <c r="AH1219" s="230"/>
    </row>
    <row r="1220">
      <c r="O1220" s="230"/>
      <c r="R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  <c r="AF1220" s="230"/>
      <c r="AG1220" s="230"/>
      <c r="AH1220" s="230"/>
    </row>
    <row r="1221">
      <c r="O1221" s="230"/>
      <c r="R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  <c r="AF1221" s="230"/>
      <c r="AG1221" s="230"/>
      <c r="AH1221" s="230"/>
    </row>
    <row r="1222">
      <c r="O1222" s="230"/>
      <c r="R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  <c r="AF1222" s="230"/>
      <c r="AG1222" s="230"/>
      <c r="AH1222" s="230"/>
    </row>
    <row r="1223">
      <c r="O1223" s="230"/>
      <c r="R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  <c r="AF1223" s="230"/>
      <c r="AG1223" s="230"/>
      <c r="AH1223" s="230"/>
    </row>
    <row r="1224">
      <c r="O1224" s="230"/>
      <c r="R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  <c r="AF1224" s="230"/>
      <c r="AG1224" s="230"/>
      <c r="AH1224" s="230"/>
    </row>
    <row r="1225">
      <c r="O1225" s="230"/>
      <c r="R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  <c r="AF1225" s="230"/>
      <c r="AG1225" s="230"/>
      <c r="AH1225" s="230"/>
    </row>
    <row r="1226">
      <c r="O1226" s="230"/>
      <c r="R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  <c r="AF1226" s="230"/>
      <c r="AG1226" s="230"/>
      <c r="AH1226" s="230"/>
    </row>
    <row r="1227">
      <c r="O1227" s="230"/>
      <c r="R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  <c r="AH1227" s="230"/>
    </row>
    <row r="1228">
      <c r="O1228" s="230"/>
      <c r="R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  <c r="AF1228" s="230"/>
      <c r="AG1228" s="230"/>
      <c r="AH1228" s="230"/>
    </row>
    <row r="1229">
      <c r="O1229" s="230"/>
      <c r="R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  <c r="AF1229" s="230"/>
      <c r="AG1229" s="230"/>
      <c r="AH1229" s="230"/>
    </row>
    <row r="1230">
      <c r="O1230" s="230"/>
      <c r="R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  <c r="AF1230" s="230"/>
      <c r="AG1230" s="230"/>
      <c r="AH1230" s="230"/>
    </row>
    <row r="1231">
      <c r="O1231" s="230"/>
      <c r="R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  <c r="AF1231" s="230"/>
      <c r="AG1231" s="230"/>
      <c r="AH1231" s="230"/>
    </row>
    <row r="1232">
      <c r="O1232" s="230"/>
      <c r="R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  <c r="AF1232" s="230"/>
      <c r="AG1232" s="230"/>
      <c r="AH1232" s="230"/>
    </row>
    <row r="1233">
      <c r="O1233" s="230"/>
      <c r="R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  <c r="AF1233" s="230"/>
      <c r="AG1233" s="230"/>
      <c r="AH1233" s="230"/>
    </row>
    <row r="1234">
      <c r="O1234" s="230"/>
      <c r="R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  <c r="AF1234" s="230"/>
      <c r="AG1234" s="230"/>
      <c r="AH1234" s="230"/>
    </row>
    <row r="1235">
      <c r="O1235" s="230"/>
      <c r="R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  <c r="AF1235" s="230"/>
      <c r="AG1235" s="230"/>
      <c r="AH1235" s="230"/>
    </row>
    <row r="1236">
      <c r="O1236" s="230"/>
      <c r="R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  <c r="AF1236" s="230"/>
      <c r="AG1236" s="230"/>
      <c r="AH1236" s="230"/>
    </row>
    <row r="1237">
      <c r="O1237" s="230"/>
      <c r="R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  <c r="AF1237" s="230"/>
      <c r="AG1237" s="230"/>
      <c r="AH1237" s="230"/>
    </row>
    <row r="1238">
      <c r="O1238" s="230"/>
      <c r="R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  <c r="AF1238" s="230"/>
      <c r="AG1238" s="230"/>
      <c r="AH1238" s="230"/>
    </row>
    <row r="1239">
      <c r="O1239" s="230"/>
      <c r="R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  <c r="AF1239" s="230"/>
      <c r="AG1239" s="230"/>
      <c r="AH1239" s="230"/>
    </row>
    <row r="1240">
      <c r="O1240" s="230"/>
      <c r="R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  <c r="AF1240" s="230"/>
      <c r="AG1240" s="230"/>
      <c r="AH1240" s="230"/>
    </row>
    <row r="1241">
      <c r="O1241" s="230"/>
      <c r="R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  <c r="AF1241" s="230"/>
      <c r="AG1241" s="230"/>
      <c r="AH1241" s="230"/>
    </row>
    <row r="1242">
      <c r="O1242" s="230"/>
      <c r="R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  <c r="AF1242" s="230"/>
      <c r="AG1242" s="230"/>
      <c r="AH1242" s="230"/>
    </row>
    <row r="1243">
      <c r="O1243" s="230"/>
      <c r="R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  <c r="AF1243" s="230"/>
      <c r="AG1243" s="230"/>
      <c r="AH1243" s="230"/>
    </row>
    <row r="1244">
      <c r="O1244" s="230"/>
      <c r="R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  <c r="AF1244" s="230"/>
      <c r="AG1244" s="230"/>
      <c r="AH1244" s="230"/>
    </row>
    <row r="1245">
      <c r="O1245" s="230"/>
      <c r="R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  <c r="AF1245" s="230"/>
      <c r="AG1245" s="230"/>
      <c r="AH1245" s="230"/>
    </row>
    <row r="1246">
      <c r="O1246" s="230"/>
      <c r="R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  <c r="AF1246" s="230"/>
      <c r="AG1246" s="230"/>
      <c r="AH1246" s="230"/>
    </row>
    <row r="1247">
      <c r="O1247" s="230"/>
      <c r="R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  <c r="AF1247" s="230"/>
      <c r="AG1247" s="230"/>
      <c r="AH1247" s="230"/>
    </row>
    <row r="1248">
      <c r="O1248" s="230"/>
      <c r="R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  <c r="AF1248" s="230"/>
      <c r="AG1248" s="230"/>
      <c r="AH1248" s="230"/>
    </row>
    <row r="1249">
      <c r="O1249" s="230"/>
      <c r="R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  <c r="AF1249" s="230"/>
      <c r="AG1249" s="230"/>
      <c r="AH1249" s="230"/>
    </row>
    <row r="1250">
      <c r="O1250" s="230"/>
      <c r="R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  <c r="AF1250" s="230"/>
      <c r="AG1250" s="230"/>
      <c r="AH1250" s="230"/>
    </row>
    <row r="1251">
      <c r="O1251" s="230"/>
      <c r="R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  <c r="AF1251" s="230"/>
      <c r="AG1251" s="230"/>
      <c r="AH1251" s="230"/>
    </row>
    <row r="1252">
      <c r="O1252" s="230"/>
      <c r="R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  <c r="AF1252" s="230"/>
      <c r="AG1252" s="230"/>
      <c r="AH1252" s="230"/>
    </row>
    <row r="1253">
      <c r="O1253" s="230"/>
      <c r="R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  <c r="AF1253" s="230"/>
      <c r="AG1253" s="230"/>
      <c r="AH1253" s="230"/>
    </row>
    <row r="1254">
      <c r="O1254" s="230"/>
      <c r="R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  <c r="AF1254" s="230"/>
      <c r="AG1254" s="230"/>
      <c r="AH1254" s="230"/>
    </row>
    <row r="1255">
      <c r="O1255" s="230"/>
      <c r="R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  <c r="AF1255" s="230"/>
      <c r="AG1255" s="230"/>
      <c r="AH1255" s="230"/>
    </row>
    <row r="1256">
      <c r="O1256" s="230"/>
      <c r="R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  <c r="AF1256" s="230"/>
      <c r="AG1256" s="230"/>
      <c r="AH1256" s="230"/>
    </row>
    <row r="1257">
      <c r="O1257" s="230"/>
      <c r="R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  <c r="AF1257" s="230"/>
      <c r="AG1257" s="230"/>
      <c r="AH1257" s="230"/>
    </row>
    <row r="1258">
      <c r="O1258" s="230"/>
      <c r="R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  <c r="AF1258" s="230"/>
      <c r="AG1258" s="230"/>
      <c r="AH1258" s="230"/>
    </row>
    <row r="1259">
      <c r="O1259" s="230"/>
      <c r="R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  <c r="AF1259" s="230"/>
      <c r="AG1259" s="230"/>
      <c r="AH1259" s="230"/>
    </row>
    <row r="1260">
      <c r="O1260" s="230"/>
      <c r="R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  <c r="AF1260" s="230"/>
      <c r="AG1260" s="230"/>
      <c r="AH1260" s="230"/>
    </row>
    <row r="1261">
      <c r="O1261" s="230"/>
      <c r="R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  <c r="AF1261" s="230"/>
      <c r="AG1261" s="230"/>
      <c r="AH1261" s="230"/>
    </row>
    <row r="1262">
      <c r="O1262" s="230"/>
      <c r="R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  <c r="AF1262" s="230"/>
      <c r="AG1262" s="230"/>
      <c r="AH1262" s="230"/>
    </row>
    <row r="1263">
      <c r="O1263" s="230"/>
      <c r="R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  <c r="AF1263" s="230"/>
      <c r="AG1263" s="230"/>
      <c r="AH1263" s="230"/>
    </row>
    <row r="1264">
      <c r="O1264" s="230"/>
      <c r="R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  <c r="AF1264" s="230"/>
      <c r="AG1264" s="230"/>
      <c r="AH1264" s="230"/>
    </row>
    <row r="1265">
      <c r="O1265" s="230"/>
      <c r="R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  <c r="AF1265" s="230"/>
      <c r="AG1265" s="230"/>
      <c r="AH1265" s="230"/>
    </row>
    <row r="1266">
      <c r="O1266" s="230"/>
      <c r="R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  <c r="AF1266" s="230"/>
      <c r="AG1266" s="230"/>
      <c r="AH1266" s="230"/>
    </row>
    <row r="1267">
      <c r="O1267" s="230"/>
      <c r="R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  <c r="AF1267" s="230"/>
      <c r="AG1267" s="230"/>
      <c r="AH1267" s="230"/>
    </row>
    <row r="1268">
      <c r="O1268" s="230"/>
      <c r="R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  <c r="AF1268" s="230"/>
      <c r="AG1268" s="230"/>
      <c r="AH1268" s="230"/>
    </row>
    <row r="1269">
      <c r="O1269" s="230"/>
      <c r="R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  <c r="AF1269" s="230"/>
      <c r="AG1269" s="230"/>
      <c r="AH1269" s="230"/>
    </row>
    <row r="1270">
      <c r="O1270" s="230"/>
      <c r="R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  <c r="AF1270" s="230"/>
      <c r="AG1270" s="230"/>
      <c r="AH1270" s="230"/>
    </row>
    <row r="1271">
      <c r="O1271" s="230"/>
      <c r="R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  <c r="AF1271" s="230"/>
      <c r="AG1271" s="230"/>
      <c r="AH1271" s="230"/>
    </row>
    <row r="1272">
      <c r="O1272" s="230"/>
      <c r="R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  <c r="AF1272" s="230"/>
      <c r="AG1272" s="230"/>
      <c r="AH1272" s="230"/>
    </row>
    <row r="1273">
      <c r="O1273" s="230"/>
      <c r="R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  <c r="AF1273" s="230"/>
      <c r="AG1273" s="230"/>
      <c r="AH1273" s="230"/>
    </row>
    <row r="1274">
      <c r="O1274" s="230"/>
      <c r="R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  <c r="AF1274" s="230"/>
      <c r="AG1274" s="230"/>
      <c r="AH1274" s="230"/>
    </row>
    <row r="1275">
      <c r="O1275" s="230"/>
      <c r="R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  <c r="AF1275" s="230"/>
      <c r="AG1275" s="230"/>
      <c r="AH1275" s="230"/>
    </row>
    <row r="1276">
      <c r="O1276" s="230"/>
      <c r="R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  <c r="AF1276" s="230"/>
      <c r="AG1276" s="230"/>
      <c r="AH1276" s="230"/>
    </row>
    <row r="1277">
      <c r="O1277" s="230"/>
      <c r="R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  <c r="AF1277" s="230"/>
      <c r="AG1277" s="230"/>
      <c r="AH1277" s="230"/>
    </row>
    <row r="1278">
      <c r="O1278" s="230"/>
      <c r="R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  <c r="AF1278" s="230"/>
      <c r="AG1278" s="230"/>
      <c r="AH1278" s="230"/>
    </row>
    <row r="1279">
      <c r="O1279" s="230"/>
      <c r="R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  <c r="AF1279" s="230"/>
      <c r="AG1279" s="230"/>
      <c r="AH1279" s="230"/>
    </row>
    <row r="1280">
      <c r="O1280" s="230"/>
      <c r="R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  <c r="AF1280" s="230"/>
      <c r="AG1280" s="230"/>
      <c r="AH1280" s="230"/>
    </row>
    <row r="1281">
      <c r="O1281" s="230"/>
      <c r="R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  <c r="AF1281" s="230"/>
      <c r="AG1281" s="230"/>
      <c r="AH1281" s="230"/>
    </row>
    <row r="1282">
      <c r="O1282" s="230"/>
      <c r="R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  <c r="AF1282" s="230"/>
      <c r="AG1282" s="230"/>
      <c r="AH1282" s="230"/>
    </row>
    <row r="1283">
      <c r="O1283" s="230"/>
      <c r="R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  <c r="AF1283" s="230"/>
      <c r="AG1283" s="230"/>
      <c r="AH1283" s="230"/>
    </row>
    <row r="1284">
      <c r="O1284" s="230"/>
      <c r="R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  <c r="AF1284" s="230"/>
      <c r="AG1284" s="230"/>
      <c r="AH1284" s="230"/>
    </row>
    <row r="1285">
      <c r="O1285" s="230"/>
      <c r="R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  <c r="AF1285" s="230"/>
      <c r="AG1285" s="230"/>
      <c r="AH1285" s="230"/>
    </row>
    <row r="1286">
      <c r="O1286" s="230"/>
      <c r="R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  <c r="AF1286" s="230"/>
      <c r="AG1286" s="230"/>
      <c r="AH1286" s="230"/>
    </row>
    <row r="1287">
      <c r="O1287" s="230"/>
      <c r="R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  <c r="AF1287" s="230"/>
      <c r="AG1287" s="230"/>
      <c r="AH1287" s="230"/>
    </row>
    <row r="1288">
      <c r="O1288" s="230"/>
      <c r="R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  <c r="AF1288" s="230"/>
      <c r="AG1288" s="230"/>
      <c r="AH1288" s="230"/>
    </row>
    <row r="1289">
      <c r="O1289" s="230"/>
      <c r="R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  <c r="AF1289" s="230"/>
      <c r="AG1289" s="230"/>
      <c r="AH1289" s="230"/>
    </row>
    <row r="1290">
      <c r="O1290" s="230"/>
      <c r="R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  <c r="AF1290" s="230"/>
      <c r="AG1290" s="230"/>
      <c r="AH1290" s="230"/>
    </row>
    <row r="1291">
      <c r="O1291" s="230"/>
      <c r="R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  <c r="AF1291" s="230"/>
      <c r="AG1291" s="230"/>
      <c r="AH1291" s="230"/>
    </row>
    <row r="1292">
      <c r="O1292" s="230"/>
      <c r="R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  <c r="AF1292" s="230"/>
      <c r="AG1292" s="230"/>
      <c r="AH1292" s="230"/>
    </row>
    <row r="1293">
      <c r="O1293" s="230"/>
      <c r="R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  <c r="AF1293" s="230"/>
      <c r="AG1293" s="230"/>
      <c r="AH1293" s="230"/>
    </row>
    <row r="1294">
      <c r="O1294" s="230"/>
      <c r="R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  <c r="AF1294" s="230"/>
      <c r="AG1294" s="230"/>
      <c r="AH1294" s="230"/>
    </row>
    <row r="1295">
      <c r="O1295" s="230"/>
      <c r="R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  <c r="AF1295" s="230"/>
      <c r="AG1295" s="230"/>
      <c r="AH1295" s="230"/>
    </row>
    <row r="1296">
      <c r="O1296" s="230"/>
      <c r="R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  <c r="AF1296" s="230"/>
      <c r="AG1296" s="230"/>
      <c r="AH1296" s="230"/>
    </row>
    <row r="1297">
      <c r="O1297" s="230"/>
      <c r="R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  <c r="AF1297" s="230"/>
      <c r="AG1297" s="230"/>
      <c r="AH1297" s="230"/>
    </row>
    <row r="1298">
      <c r="O1298" s="230"/>
      <c r="R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  <c r="AF1298" s="230"/>
      <c r="AG1298" s="230"/>
      <c r="AH1298" s="230"/>
    </row>
    <row r="1299">
      <c r="O1299" s="230"/>
      <c r="R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  <c r="AF1299" s="230"/>
      <c r="AG1299" s="230"/>
      <c r="AH1299" s="230"/>
    </row>
    <row r="1300">
      <c r="O1300" s="230"/>
      <c r="R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  <c r="AF1300" s="230"/>
      <c r="AG1300" s="230"/>
      <c r="AH1300" s="230"/>
    </row>
    <row r="1301">
      <c r="O1301" s="230"/>
      <c r="R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  <c r="AF1301" s="230"/>
      <c r="AG1301" s="230"/>
      <c r="AH1301" s="230"/>
    </row>
    <row r="1302">
      <c r="O1302" s="230"/>
      <c r="R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  <c r="AF1302" s="230"/>
      <c r="AG1302" s="230"/>
      <c r="AH1302" s="230"/>
    </row>
    <row r="1303">
      <c r="O1303" s="230"/>
      <c r="R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  <c r="AF1303" s="230"/>
      <c r="AG1303" s="230"/>
      <c r="AH1303" s="230"/>
    </row>
    <row r="1304">
      <c r="O1304" s="230"/>
      <c r="R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  <c r="AF1304" s="230"/>
      <c r="AG1304" s="230"/>
      <c r="AH1304" s="230"/>
    </row>
    <row r="1305">
      <c r="O1305" s="230"/>
      <c r="R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  <c r="AF1305" s="230"/>
      <c r="AG1305" s="230"/>
      <c r="AH1305" s="230"/>
    </row>
    <row r="1306">
      <c r="O1306" s="230"/>
      <c r="R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  <c r="AF1306" s="230"/>
      <c r="AG1306" s="230"/>
      <c r="AH1306" s="230"/>
    </row>
    <row r="1307">
      <c r="O1307" s="230"/>
      <c r="R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  <c r="AF1307" s="230"/>
      <c r="AG1307" s="230"/>
      <c r="AH1307" s="230"/>
    </row>
    <row r="1308">
      <c r="O1308" s="230"/>
      <c r="R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  <c r="AF1308" s="230"/>
      <c r="AG1308" s="230"/>
      <c r="AH1308" s="230"/>
    </row>
    <row r="1309">
      <c r="O1309" s="230"/>
      <c r="R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  <c r="AF1309" s="230"/>
      <c r="AG1309" s="230"/>
      <c r="AH1309" s="230"/>
    </row>
    <row r="1310">
      <c r="O1310" s="230"/>
      <c r="R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  <c r="AF1310" s="230"/>
      <c r="AG1310" s="230"/>
      <c r="AH1310" s="230"/>
    </row>
    <row r="1311">
      <c r="O1311" s="230"/>
      <c r="R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  <c r="AF1311" s="230"/>
      <c r="AG1311" s="230"/>
      <c r="AH1311" s="230"/>
    </row>
    <row r="1312">
      <c r="O1312" s="230"/>
      <c r="R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  <c r="AF1312" s="230"/>
      <c r="AG1312" s="230"/>
      <c r="AH1312" s="230"/>
    </row>
    <row r="1313">
      <c r="O1313" s="230"/>
      <c r="R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  <c r="AF1313" s="230"/>
      <c r="AG1313" s="230"/>
      <c r="AH1313" s="230"/>
    </row>
    <row r="1314">
      <c r="O1314" s="230"/>
      <c r="R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  <c r="AF1314" s="230"/>
      <c r="AG1314" s="230"/>
      <c r="AH1314" s="230"/>
    </row>
    <row r="1315">
      <c r="O1315" s="230"/>
      <c r="R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  <c r="AF1315" s="230"/>
      <c r="AG1315" s="230"/>
      <c r="AH1315" s="230"/>
    </row>
    <row r="1316">
      <c r="O1316" s="230"/>
      <c r="R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  <c r="AF1316" s="230"/>
      <c r="AG1316" s="230"/>
      <c r="AH1316" s="230"/>
    </row>
    <row r="1317">
      <c r="O1317" s="230"/>
      <c r="R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  <c r="AF1317" s="230"/>
      <c r="AG1317" s="230"/>
      <c r="AH1317" s="230"/>
    </row>
    <row r="1318">
      <c r="O1318" s="230"/>
      <c r="R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  <c r="AF1318" s="230"/>
      <c r="AG1318" s="230"/>
      <c r="AH1318" s="230"/>
    </row>
    <row r="1319">
      <c r="O1319" s="230"/>
      <c r="R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  <c r="AF1319" s="230"/>
      <c r="AG1319" s="230"/>
      <c r="AH1319" s="230"/>
    </row>
    <row r="1320">
      <c r="O1320" s="230"/>
      <c r="R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  <c r="AF1320" s="230"/>
      <c r="AG1320" s="230"/>
      <c r="AH1320" s="230"/>
    </row>
    <row r="1321">
      <c r="O1321" s="230"/>
      <c r="R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  <c r="AF1321" s="230"/>
      <c r="AG1321" s="230"/>
      <c r="AH1321" s="230"/>
    </row>
    <row r="1322">
      <c r="O1322" s="230"/>
      <c r="R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  <c r="AF1322" s="230"/>
      <c r="AG1322" s="230"/>
      <c r="AH1322" s="230"/>
    </row>
    <row r="1323">
      <c r="O1323" s="230"/>
      <c r="R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  <c r="AF1323" s="230"/>
      <c r="AG1323" s="230"/>
      <c r="AH1323" s="230"/>
    </row>
    <row r="1324">
      <c r="O1324" s="230"/>
      <c r="R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  <c r="AF1324" s="230"/>
      <c r="AG1324" s="230"/>
      <c r="AH1324" s="230"/>
    </row>
    <row r="1325">
      <c r="O1325" s="230"/>
      <c r="R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  <c r="AF1325" s="230"/>
      <c r="AG1325" s="230"/>
      <c r="AH1325" s="230"/>
    </row>
    <row r="1326">
      <c r="O1326" s="230"/>
      <c r="R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  <c r="AF1326" s="230"/>
      <c r="AG1326" s="230"/>
      <c r="AH1326" s="230"/>
    </row>
    <row r="1327">
      <c r="O1327" s="230"/>
      <c r="R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  <c r="AF1327" s="230"/>
      <c r="AG1327" s="230"/>
      <c r="AH1327" s="230"/>
    </row>
    <row r="1328">
      <c r="O1328" s="230"/>
      <c r="R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  <c r="AF1328" s="230"/>
      <c r="AG1328" s="230"/>
      <c r="AH1328" s="230"/>
    </row>
    <row r="1329">
      <c r="O1329" s="230"/>
      <c r="R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  <c r="AF1329" s="230"/>
      <c r="AG1329" s="230"/>
      <c r="AH1329" s="230"/>
    </row>
    <row r="1330">
      <c r="O1330" s="230"/>
      <c r="R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  <c r="AF1330" s="230"/>
      <c r="AG1330" s="230"/>
      <c r="AH1330" s="230"/>
    </row>
    <row r="1331">
      <c r="O1331" s="230"/>
      <c r="R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  <c r="AF1331" s="230"/>
      <c r="AG1331" s="230"/>
      <c r="AH1331" s="230"/>
    </row>
    <row r="1332">
      <c r="O1332" s="230"/>
      <c r="R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  <c r="AF1332" s="230"/>
      <c r="AG1332" s="230"/>
      <c r="AH1332" s="230"/>
    </row>
    <row r="1333">
      <c r="O1333" s="230"/>
      <c r="R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  <c r="AF1333" s="230"/>
      <c r="AG1333" s="230"/>
      <c r="AH1333" s="230"/>
    </row>
    <row r="1334">
      <c r="O1334" s="230"/>
      <c r="R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  <c r="AF1334" s="230"/>
      <c r="AG1334" s="230"/>
      <c r="AH1334" s="230"/>
    </row>
    <row r="1335">
      <c r="O1335" s="230"/>
      <c r="R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  <c r="AF1335" s="230"/>
      <c r="AG1335" s="230"/>
      <c r="AH1335" s="230"/>
    </row>
    <row r="1336">
      <c r="O1336" s="230"/>
      <c r="R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  <c r="AF1336" s="230"/>
      <c r="AG1336" s="230"/>
      <c r="AH1336" s="230"/>
    </row>
    <row r="1337">
      <c r="O1337" s="230"/>
      <c r="R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  <c r="AF1337" s="230"/>
      <c r="AG1337" s="230"/>
      <c r="AH1337" s="230"/>
    </row>
    <row r="1338">
      <c r="O1338" s="230"/>
      <c r="R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  <c r="AF1338" s="230"/>
      <c r="AG1338" s="230"/>
      <c r="AH1338" s="230"/>
    </row>
    <row r="1339">
      <c r="O1339" s="230"/>
      <c r="R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  <c r="AF1339" s="230"/>
      <c r="AG1339" s="230"/>
      <c r="AH1339" s="230"/>
    </row>
    <row r="1340">
      <c r="O1340" s="230"/>
      <c r="R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  <c r="AF1340" s="230"/>
      <c r="AG1340" s="230"/>
      <c r="AH1340" s="230"/>
    </row>
    <row r="1341">
      <c r="O1341" s="230"/>
      <c r="R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  <c r="AF1341" s="230"/>
      <c r="AG1341" s="230"/>
      <c r="AH1341" s="230"/>
    </row>
    <row r="1342">
      <c r="O1342" s="230"/>
      <c r="R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  <c r="AF1342" s="230"/>
      <c r="AG1342" s="230"/>
      <c r="AH1342" s="230"/>
    </row>
    <row r="1343">
      <c r="O1343" s="230"/>
      <c r="R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  <c r="AF1343" s="230"/>
      <c r="AG1343" s="230"/>
      <c r="AH1343" s="230"/>
    </row>
    <row r="1344">
      <c r="O1344" s="230"/>
      <c r="R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  <c r="AF1344" s="230"/>
      <c r="AG1344" s="230"/>
      <c r="AH1344" s="230"/>
    </row>
    <row r="1345">
      <c r="O1345" s="230"/>
      <c r="R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  <c r="AF1345" s="230"/>
      <c r="AG1345" s="230"/>
      <c r="AH1345" s="230"/>
    </row>
    <row r="1346">
      <c r="O1346" s="230"/>
      <c r="R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  <c r="AF1346" s="230"/>
      <c r="AG1346" s="230"/>
      <c r="AH1346" s="230"/>
    </row>
    <row r="1347">
      <c r="O1347" s="230"/>
      <c r="R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  <c r="AF1347" s="230"/>
      <c r="AG1347" s="230"/>
      <c r="AH1347" s="230"/>
    </row>
    <row r="1348">
      <c r="O1348" s="230"/>
      <c r="R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  <c r="AF1348" s="230"/>
      <c r="AG1348" s="230"/>
      <c r="AH1348" s="230"/>
    </row>
    <row r="1349">
      <c r="O1349" s="230"/>
      <c r="R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  <c r="AF1349" s="230"/>
      <c r="AG1349" s="230"/>
      <c r="AH1349" s="230"/>
    </row>
    <row r="1350">
      <c r="O1350" s="230"/>
      <c r="R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  <c r="AF1350" s="230"/>
      <c r="AG1350" s="230"/>
      <c r="AH1350" s="230"/>
    </row>
    <row r="1351">
      <c r="O1351" s="230"/>
      <c r="R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  <c r="AF1351" s="230"/>
      <c r="AG1351" s="230"/>
      <c r="AH1351" s="230"/>
    </row>
    <row r="1352">
      <c r="O1352" s="230"/>
      <c r="R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  <c r="AF1352" s="230"/>
      <c r="AG1352" s="230"/>
      <c r="AH1352" s="230"/>
    </row>
    <row r="1353">
      <c r="O1353" s="230"/>
      <c r="R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  <c r="AF1353" s="230"/>
      <c r="AG1353" s="230"/>
      <c r="AH1353" s="230"/>
    </row>
    <row r="1354">
      <c r="O1354" s="230"/>
      <c r="R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  <c r="AF1354" s="230"/>
      <c r="AG1354" s="230"/>
      <c r="AH1354" s="230"/>
    </row>
    <row r="1355">
      <c r="O1355" s="230"/>
      <c r="R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  <c r="AF1355" s="230"/>
      <c r="AG1355" s="230"/>
      <c r="AH1355" s="230"/>
    </row>
    <row r="1356">
      <c r="O1356" s="230"/>
      <c r="R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  <c r="AF1356" s="230"/>
      <c r="AG1356" s="230"/>
      <c r="AH1356" s="230"/>
    </row>
    <row r="1357">
      <c r="O1357" s="230"/>
      <c r="R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  <c r="AF1357" s="230"/>
      <c r="AG1357" s="230"/>
      <c r="AH1357" s="230"/>
    </row>
    <row r="1358">
      <c r="O1358" s="230"/>
      <c r="R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  <c r="AF1358" s="230"/>
      <c r="AG1358" s="230"/>
      <c r="AH1358" s="230"/>
    </row>
    <row r="1359">
      <c r="O1359" s="230"/>
      <c r="R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  <c r="AF1359" s="230"/>
      <c r="AG1359" s="230"/>
      <c r="AH1359" s="230"/>
    </row>
    <row r="1360">
      <c r="O1360" s="230"/>
      <c r="R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  <c r="AF1360" s="230"/>
      <c r="AG1360" s="230"/>
      <c r="AH1360" s="230"/>
    </row>
    <row r="1361">
      <c r="O1361" s="230"/>
      <c r="R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  <c r="AF1361" s="230"/>
      <c r="AG1361" s="230"/>
      <c r="AH1361" s="230"/>
    </row>
    <row r="1362">
      <c r="O1362" s="230"/>
      <c r="R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  <c r="AF1362" s="230"/>
      <c r="AG1362" s="230"/>
      <c r="AH1362" s="230"/>
    </row>
    <row r="1363">
      <c r="O1363" s="230"/>
      <c r="R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  <c r="AF1363" s="230"/>
      <c r="AG1363" s="230"/>
      <c r="AH1363" s="230"/>
    </row>
    <row r="1364">
      <c r="O1364" s="230"/>
      <c r="R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  <c r="AF1364" s="230"/>
      <c r="AG1364" s="230"/>
      <c r="AH1364" s="230"/>
    </row>
    <row r="1365">
      <c r="O1365" s="230"/>
      <c r="R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  <c r="AF1365" s="230"/>
      <c r="AG1365" s="230"/>
      <c r="AH1365" s="230"/>
    </row>
    <row r="1366">
      <c r="O1366" s="230"/>
      <c r="R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  <c r="AF1366" s="230"/>
      <c r="AG1366" s="230"/>
      <c r="AH1366" s="230"/>
    </row>
    <row r="1367">
      <c r="O1367" s="230"/>
      <c r="R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  <c r="AF1367" s="230"/>
      <c r="AG1367" s="230"/>
      <c r="AH1367" s="230"/>
    </row>
    <row r="1368">
      <c r="O1368" s="230"/>
      <c r="R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  <c r="AF1368" s="230"/>
      <c r="AG1368" s="230"/>
      <c r="AH1368" s="230"/>
    </row>
    <row r="1369">
      <c r="O1369" s="230"/>
      <c r="R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  <c r="AF1369" s="230"/>
      <c r="AG1369" s="230"/>
      <c r="AH1369" s="230"/>
    </row>
    <row r="1370">
      <c r="O1370" s="230"/>
      <c r="R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  <c r="AF1370" s="230"/>
      <c r="AG1370" s="230"/>
      <c r="AH1370" s="230"/>
    </row>
    <row r="1371">
      <c r="O1371" s="230"/>
      <c r="R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  <c r="AF1371" s="230"/>
      <c r="AG1371" s="230"/>
      <c r="AH1371" s="230"/>
    </row>
    <row r="1372">
      <c r="O1372" s="230"/>
      <c r="R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  <c r="AF1372" s="230"/>
      <c r="AG1372" s="230"/>
      <c r="AH1372" s="230"/>
    </row>
    <row r="1373">
      <c r="O1373" s="230"/>
      <c r="R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  <c r="AF1373" s="230"/>
      <c r="AG1373" s="230"/>
      <c r="AH1373" s="230"/>
    </row>
    <row r="1374">
      <c r="O1374" s="230"/>
      <c r="R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  <c r="AF1374" s="230"/>
      <c r="AG1374" s="230"/>
      <c r="AH1374" s="230"/>
    </row>
    <row r="1375">
      <c r="O1375" s="230"/>
      <c r="R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  <c r="AF1375" s="230"/>
      <c r="AG1375" s="230"/>
      <c r="AH1375" s="230"/>
    </row>
    <row r="1376">
      <c r="O1376" s="230"/>
      <c r="R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  <c r="AF1376" s="230"/>
      <c r="AG1376" s="230"/>
      <c r="AH1376" s="230"/>
    </row>
    <row r="1377">
      <c r="O1377" s="230"/>
      <c r="R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  <c r="AF1377" s="230"/>
      <c r="AG1377" s="230"/>
      <c r="AH1377" s="230"/>
    </row>
    <row r="1378">
      <c r="O1378" s="230"/>
      <c r="R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  <c r="AF1378" s="230"/>
      <c r="AG1378" s="230"/>
      <c r="AH1378" s="230"/>
    </row>
    <row r="1379">
      <c r="O1379" s="230"/>
      <c r="R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  <c r="AF1379" s="230"/>
      <c r="AG1379" s="230"/>
      <c r="AH1379" s="230"/>
    </row>
    <row r="1380">
      <c r="O1380" s="230"/>
      <c r="R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  <c r="AF1380" s="230"/>
      <c r="AG1380" s="230"/>
      <c r="AH1380" s="230"/>
    </row>
    <row r="1381">
      <c r="O1381" s="230"/>
      <c r="R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  <c r="AF1381" s="230"/>
      <c r="AG1381" s="230"/>
      <c r="AH1381" s="230"/>
    </row>
    <row r="1382">
      <c r="O1382" s="230"/>
      <c r="R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  <c r="AF1382" s="230"/>
      <c r="AG1382" s="230"/>
      <c r="AH1382" s="230"/>
    </row>
    <row r="1383">
      <c r="O1383" s="230"/>
      <c r="R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  <c r="AF1383" s="230"/>
      <c r="AG1383" s="230"/>
      <c r="AH1383" s="230"/>
    </row>
    <row r="1384">
      <c r="O1384" s="230"/>
      <c r="R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  <c r="AF1384" s="230"/>
      <c r="AG1384" s="230"/>
      <c r="AH1384" s="230"/>
    </row>
    <row r="1385">
      <c r="O1385" s="230"/>
      <c r="R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  <c r="AF1385" s="230"/>
      <c r="AG1385" s="230"/>
      <c r="AH1385" s="230"/>
    </row>
    <row r="1386">
      <c r="O1386" s="230"/>
      <c r="R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  <c r="AF1386" s="230"/>
      <c r="AG1386" s="230"/>
      <c r="AH1386" s="230"/>
    </row>
    <row r="1387">
      <c r="O1387" s="230"/>
      <c r="R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  <c r="AF1387" s="230"/>
      <c r="AG1387" s="230"/>
      <c r="AH1387" s="230"/>
    </row>
    <row r="1388">
      <c r="O1388" s="230"/>
      <c r="R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  <c r="AF1388" s="230"/>
      <c r="AG1388" s="230"/>
      <c r="AH1388" s="230"/>
    </row>
    <row r="1389">
      <c r="O1389" s="230"/>
      <c r="R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  <c r="AF1389" s="230"/>
      <c r="AG1389" s="230"/>
      <c r="AH1389" s="230"/>
    </row>
    <row r="1390">
      <c r="O1390" s="230"/>
      <c r="R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  <c r="AH1390" s="230"/>
    </row>
    <row r="1391">
      <c r="O1391" s="230"/>
      <c r="R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  <c r="AF1391" s="230"/>
      <c r="AG1391" s="230"/>
      <c r="AH1391" s="230"/>
    </row>
    <row r="1392">
      <c r="O1392" s="230"/>
      <c r="R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  <c r="AF1392" s="230"/>
      <c r="AG1392" s="230"/>
      <c r="AH1392" s="230"/>
    </row>
    <row r="1393">
      <c r="O1393" s="230"/>
      <c r="R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  <c r="AF1393" s="230"/>
      <c r="AG1393" s="230"/>
      <c r="AH1393" s="230"/>
    </row>
    <row r="1394">
      <c r="O1394" s="230"/>
      <c r="R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  <c r="AF1394" s="230"/>
      <c r="AG1394" s="230"/>
      <c r="AH1394" s="230"/>
    </row>
    <row r="1395">
      <c r="O1395" s="230"/>
      <c r="R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  <c r="AF1395" s="230"/>
      <c r="AG1395" s="230"/>
      <c r="AH1395" s="230"/>
    </row>
    <row r="1396">
      <c r="O1396" s="230"/>
      <c r="R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  <c r="AF1396" s="230"/>
      <c r="AG1396" s="230"/>
      <c r="AH1396" s="230"/>
    </row>
    <row r="1397">
      <c r="O1397" s="230"/>
      <c r="R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  <c r="AF1397" s="230"/>
      <c r="AG1397" s="230"/>
      <c r="AH1397" s="230"/>
    </row>
    <row r="1398">
      <c r="O1398" s="230"/>
      <c r="R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  <c r="AF1398" s="230"/>
      <c r="AG1398" s="230"/>
      <c r="AH1398" s="230"/>
    </row>
    <row r="1399">
      <c r="O1399" s="230"/>
      <c r="R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  <c r="AF1399" s="230"/>
      <c r="AG1399" s="230"/>
      <c r="AH1399" s="230"/>
    </row>
    <row r="1400">
      <c r="O1400" s="230"/>
      <c r="R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  <c r="AF1400" s="230"/>
      <c r="AG1400" s="230"/>
      <c r="AH1400" s="230"/>
    </row>
    <row r="1401">
      <c r="O1401" s="230"/>
      <c r="R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  <c r="AF1401" s="230"/>
      <c r="AG1401" s="230"/>
      <c r="AH1401" s="230"/>
    </row>
    <row r="1402">
      <c r="O1402" s="230"/>
      <c r="R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  <c r="AF1402" s="230"/>
      <c r="AG1402" s="230"/>
      <c r="AH1402" s="230"/>
    </row>
    <row r="1403">
      <c r="O1403" s="230"/>
      <c r="R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  <c r="AF1403" s="230"/>
      <c r="AG1403" s="230"/>
      <c r="AH1403" s="230"/>
    </row>
    <row r="1404">
      <c r="O1404" s="230"/>
      <c r="R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  <c r="AF1404" s="230"/>
      <c r="AG1404" s="230"/>
      <c r="AH1404" s="230"/>
    </row>
    <row r="1405">
      <c r="O1405" s="230"/>
      <c r="R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  <c r="AF1405" s="230"/>
      <c r="AG1405" s="230"/>
      <c r="AH1405" s="230"/>
    </row>
    <row r="1406">
      <c r="O1406" s="230"/>
      <c r="R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  <c r="AF1406" s="230"/>
      <c r="AG1406" s="230"/>
      <c r="AH1406" s="230"/>
    </row>
    <row r="1407">
      <c r="O1407" s="230"/>
      <c r="R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  <c r="AF1407" s="230"/>
      <c r="AG1407" s="230"/>
      <c r="AH1407" s="230"/>
    </row>
    <row r="1408">
      <c r="O1408" s="230"/>
      <c r="R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  <c r="AF1408" s="230"/>
      <c r="AG1408" s="230"/>
      <c r="AH1408" s="230"/>
    </row>
    <row r="1409">
      <c r="O1409" s="230"/>
      <c r="R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  <c r="AF1409" s="230"/>
      <c r="AG1409" s="230"/>
      <c r="AH1409" s="230"/>
    </row>
    <row r="1410">
      <c r="O1410" s="230"/>
      <c r="R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  <c r="AF1410" s="230"/>
      <c r="AG1410" s="230"/>
      <c r="AH1410" s="230"/>
    </row>
    <row r="1411">
      <c r="O1411" s="230"/>
      <c r="R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  <c r="AF1411" s="230"/>
      <c r="AG1411" s="230"/>
      <c r="AH1411" s="230"/>
    </row>
    <row r="1412">
      <c r="O1412" s="230"/>
      <c r="R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  <c r="AF1412" s="230"/>
      <c r="AG1412" s="230"/>
      <c r="AH1412" s="230"/>
    </row>
    <row r="1413">
      <c r="O1413" s="230"/>
      <c r="R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  <c r="AF1413" s="230"/>
      <c r="AG1413" s="230"/>
      <c r="AH1413" s="230"/>
    </row>
    <row r="1414">
      <c r="O1414" s="230"/>
      <c r="R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  <c r="AF1414" s="230"/>
      <c r="AG1414" s="230"/>
      <c r="AH1414" s="230"/>
    </row>
    <row r="1415">
      <c r="O1415" s="230"/>
      <c r="R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  <c r="AF1415" s="230"/>
      <c r="AG1415" s="230"/>
      <c r="AH1415" s="230"/>
    </row>
    <row r="1416">
      <c r="O1416" s="230"/>
      <c r="R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  <c r="AF1416" s="230"/>
      <c r="AG1416" s="230"/>
      <c r="AH1416" s="230"/>
    </row>
    <row r="1417">
      <c r="O1417" s="230"/>
      <c r="R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  <c r="AF1417" s="230"/>
      <c r="AG1417" s="230"/>
      <c r="AH1417" s="230"/>
    </row>
    <row r="1418">
      <c r="O1418" s="230"/>
      <c r="R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  <c r="AF1418" s="230"/>
      <c r="AG1418" s="230"/>
      <c r="AH1418" s="230"/>
    </row>
    <row r="1419">
      <c r="O1419" s="230"/>
      <c r="R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  <c r="AF1419" s="230"/>
      <c r="AG1419" s="230"/>
      <c r="AH1419" s="230"/>
    </row>
    <row r="1420">
      <c r="O1420" s="230"/>
      <c r="R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  <c r="AF1420" s="230"/>
      <c r="AG1420" s="230"/>
      <c r="AH1420" s="230"/>
    </row>
    <row r="1421">
      <c r="O1421" s="230"/>
      <c r="R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  <c r="AF1421" s="230"/>
      <c r="AG1421" s="230"/>
      <c r="AH1421" s="230"/>
    </row>
    <row r="1422">
      <c r="O1422" s="230"/>
      <c r="R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  <c r="AF1422" s="230"/>
      <c r="AG1422" s="230"/>
      <c r="AH1422" s="230"/>
    </row>
    <row r="1423">
      <c r="O1423" s="230"/>
      <c r="R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  <c r="AF1423" s="230"/>
      <c r="AG1423" s="230"/>
      <c r="AH1423" s="230"/>
    </row>
    <row r="1424">
      <c r="O1424" s="230"/>
      <c r="R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  <c r="AF1424" s="230"/>
      <c r="AG1424" s="230"/>
      <c r="AH1424" s="230"/>
    </row>
    <row r="1425">
      <c r="O1425" s="230"/>
      <c r="R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  <c r="AF1425" s="230"/>
      <c r="AG1425" s="230"/>
      <c r="AH1425" s="230"/>
    </row>
    <row r="1426">
      <c r="O1426" s="230"/>
      <c r="R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  <c r="AF1426" s="230"/>
      <c r="AG1426" s="230"/>
      <c r="AH1426" s="230"/>
    </row>
    <row r="1427">
      <c r="O1427" s="230"/>
      <c r="R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  <c r="AF1427" s="230"/>
      <c r="AG1427" s="230"/>
      <c r="AH1427" s="230"/>
    </row>
    <row r="1428">
      <c r="O1428" s="230"/>
      <c r="R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  <c r="AF1428" s="230"/>
      <c r="AG1428" s="230"/>
      <c r="AH1428" s="230"/>
    </row>
    <row r="1429">
      <c r="O1429" s="230"/>
      <c r="R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  <c r="AF1429" s="230"/>
      <c r="AG1429" s="230"/>
      <c r="AH1429" s="230"/>
    </row>
    <row r="1430">
      <c r="O1430" s="230"/>
      <c r="R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  <c r="AF1430" s="230"/>
      <c r="AG1430" s="230"/>
      <c r="AH1430" s="230"/>
    </row>
    <row r="1431">
      <c r="O1431" s="230"/>
      <c r="R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  <c r="AF1431" s="230"/>
      <c r="AG1431" s="230"/>
      <c r="AH1431" s="230"/>
    </row>
    <row r="1432">
      <c r="O1432" s="230"/>
      <c r="R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  <c r="AF1432" s="230"/>
      <c r="AG1432" s="230"/>
      <c r="AH1432" s="230"/>
    </row>
    <row r="1433">
      <c r="O1433" s="230"/>
      <c r="R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  <c r="AF1433" s="230"/>
      <c r="AG1433" s="230"/>
      <c r="AH1433" s="230"/>
    </row>
    <row r="1434">
      <c r="O1434" s="230"/>
      <c r="R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  <c r="AF1434" s="230"/>
      <c r="AG1434" s="230"/>
      <c r="AH1434" s="230"/>
    </row>
    <row r="1435">
      <c r="O1435" s="230"/>
      <c r="R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  <c r="AF1435" s="230"/>
      <c r="AG1435" s="230"/>
      <c r="AH1435" s="230"/>
    </row>
    <row r="1436">
      <c r="O1436" s="230"/>
      <c r="R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  <c r="AF1436" s="230"/>
      <c r="AG1436" s="230"/>
      <c r="AH1436" s="230"/>
    </row>
    <row r="1437">
      <c r="O1437" s="230"/>
      <c r="R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  <c r="AF1437" s="230"/>
      <c r="AG1437" s="230"/>
      <c r="AH1437" s="230"/>
    </row>
    <row r="1438">
      <c r="O1438" s="230"/>
      <c r="R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  <c r="AF1438" s="230"/>
      <c r="AG1438" s="230"/>
      <c r="AH1438" s="230"/>
    </row>
    <row r="1439">
      <c r="O1439" s="230"/>
      <c r="R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  <c r="AF1439" s="230"/>
      <c r="AG1439" s="230"/>
      <c r="AH1439" s="230"/>
    </row>
    <row r="1440">
      <c r="O1440" s="230"/>
      <c r="R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  <c r="AF1440" s="230"/>
      <c r="AG1440" s="230"/>
      <c r="AH1440" s="230"/>
    </row>
    <row r="1441">
      <c r="O1441" s="230"/>
      <c r="R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  <c r="AF1441" s="230"/>
      <c r="AG1441" s="230"/>
      <c r="AH1441" s="230"/>
    </row>
    <row r="1442">
      <c r="O1442" s="230"/>
      <c r="R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  <c r="AF1442" s="230"/>
      <c r="AG1442" s="230"/>
      <c r="AH1442" s="230"/>
    </row>
    <row r="1443">
      <c r="O1443" s="230"/>
      <c r="R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  <c r="AF1443" s="230"/>
      <c r="AG1443" s="230"/>
      <c r="AH1443" s="230"/>
    </row>
    <row r="1444">
      <c r="O1444" s="230"/>
      <c r="R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  <c r="AF1444" s="230"/>
      <c r="AG1444" s="230"/>
      <c r="AH1444" s="230"/>
    </row>
    <row r="1445">
      <c r="O1445" s="230"/>
      <c r="R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  <c r="AF1445" s="230"/>
      <c r="AG1445" s="230"/>
      <c r="AH1445" s="230"/>
    </row>
    <row r="1446">
      <c r="O1446" s="230"/>
      <c r="R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  <c r="AF1446" s="230"/>
      <c r="AG1446" s="230"/>
      <c r="AH1446" s="230"/>
    </row>
    <row r="1447">
      <c r="O1447" s="230"/>
      <c r="R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  <c r="AF1447" s="230"/>
      <c r="AG1447" s="230"/>
      <c r="AH1447" s="230"/>
    </row>
    <row r="1448">
      <c r="O1448" s="230"/>
      <c r="R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  <c r="AF1448" s="230"/>
      <c r="AG1448" s="230"/>
      <c r="AH1448" s="230"/>
    </row>
    <row r="1449">
      <c r="O1449" s="230"/>
      <c r="R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  <c r="AF1449" s="230"/>
      <c r="AG1449" s="230"/>
      <c r="AH1449" s="230"/>
    </row>
    <row r="1450">
      <c r="O1450" s="230"/>
      <c r="R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  <c r="AF1450" s="230"/>
      <c r="AG1450" s="230"/>
      <c r="AH1450" s="230"/>
    </row>
    <row r="1451">
      <c r="O1451" s="230"/>
      <c r="R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  <c r="AF1451" s="230"/>
      <c r="AG1451" s="230"/>
      <c r="AH1451" s="230"/>
    </row>
    <row r="1452">
      <c r="O1452" s="230"/>
      <c r="R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  <c r="AF1452" s="230"/>
      <c r="AG1452" s="230"/>
      <c r="AH1452" s="230"/>
    </row>
    <row r="1453">
      <c r="O1453" s="230"/>
      <c r="R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  <c r="AF1453" s="230"/>
      <c r="AG1453" s="230"/>
      <c r="AH1453" s="230"/>
    </row>
    <row r="1454">
      <c r="O1454" s="230"/>
      <c r="R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  <c r="AF1454" s="230"/>
      <c r="AG1454" s="230"/>
      <c r="AH1454" s="230"/>
    </row>
    <row r="1455">
      <c r="O1455" s="230"/>
      <c r="R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  <c r="AF1455" s="230"/>
      <c r="AG1455" s="230"/>
      <c r="AH1455" s="230"/>
    </row>
    <row r="1456">
      <c r="O1456" s="230"/>
      <c r="R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  <c r="AF1456" s="230"/>
      <c r="AG1456" s="230"/>
      <c r="AH1456" s="230"/>
    </row>
    <row r="1457">
      <c r="O1457" s="230"/>
      <c r="R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  <c r="AF1457" s="230"/>
      <c r="AG1457" s="230"/>
      <c r="AH1457" s="230"/>
    </row>
    <row r="1458">
      <c r="O1458" s="230"/>
      <c r="R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  <c r="AF1458" s="230"/>
      <c r="AG1458" s="230"/>
      <c r="AH1458" s="230"/>
    </row>
    <row r="1459">
      <c r="O1459" s="230"/>
      <c r="R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  <c r="AF1459" s="230"/>
      <c r="AG1459" s="230"/>
      <c r="AH1459" s="230"/>
    </row>
    <row r="1460">
      <c r="O1460" s="230"/>
      <c r="R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  <c r="AF1460" s="230"/>
      <c r="AG1460" s="230"/>
      <c r="AH1460" s="230"/>
    </row>
    <row r="1461">
      <c r="O1461" s="230"/>
      <c r="R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  <c r="AF1461" s="230"/>
      <c r="AG1461" s="230"/>
      <c r="AH1461" s="230"/>
    </row>
    <row r="1462">
      <c r="O1462" s="230"/>
      <c r="R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  <c r="AF1462" s="230"/>
      <c r="AG1462" s="230"/>
      <c r="AH1462" s="230"/>
    </row>
    <row r="1463">
      <c r="O1463" s="230"/>
      <c r="R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  <c r="AF1463" s="230"/>
      <c r="AG1463" s="230"/>
      <c r="AH1463" s="230"/>
    </row>
    <row r="1464">
      <c r="O1464" s="230"/>
      <c r="R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  <c r="AF1464" s="230"/>
      <c r="AG1464" s="230"/>
      <c r="AH1464" s="230"/>
    </row>
    <row r="1465">
      <c r="O1465" s="230"/>
      <c r="R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  <c r="AF1465" s="230"/>
      <c r="AG1465" s="230"/>
      <c r="AH1465" s="230"/>
    </row>
    <row r="1466">
      <c r="O1466" s="230"/>
      <c r="R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  <c r="AF1466" s="230"/>
      <c r="AG1466" s="230"/>
      <c r="AH1466" s="230"/>
    </row>
    <row r="1467">
      <c r="O1467" s="230"/>
      <c r="R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  <c r="AF1467" s="230"/>
      <c r="AG1467" s="230"/>
      <c r="AH1467" s="230"/>
    </row>
    <row r="1468">
      <c r="O1468" s="230"/>
      <c r="R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  <c r="AF1468" s="230"/>
      <c r="AG1468" s="230"/>
      <c r="AH1468" s="230"/>
    </row>
    <row r="1469">
      <c r="O1469" s="230"/>
      <c r="R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  <c r="AF1469" s="230"/>
      <c r="AG1469" s="230"/>
      <c r="AH1469" s="230"/>
    </row>
    <row r="1470">
      <c r="O1470" s="230"/>
      <c r="R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  <c r="AF1470" s="230"/>
      <c r="AG1470" s="230"/>
      <c r="AH1470" s="230"/>
    </row>
    <row r="1471">
      <c r="O1471" s="230"/>
      <c r="R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  <c r="AF1471" s="230"/>
      <c r="AG1471" s="230"/>
      <c r="AH1471" s="230"/>
    </row>
    <row r="1472">
      <c r="O1472" s="230"/>
      <c r="R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  <c r="AF1472" s="230"/>
      <c r="AG1472" s="230"/>
      <c r="AH1472" s="230"/>
    </row>
    <row r="1473">
      <c r="O1473" s="230"/>
      <c r="R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  <c r="AF1473" s="230"/>
      <c r="AG1473" s="230"/>
      <c r="AH1473" s="230"/>
    </row>
    <row r="1474">
      <c r="O1474" s="230"/>
      <c r="R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  <c r="AF1474" s="230"/>
      <c r="AG1474" s="230"/>
      <c r="AH1474" s="230"/>
    </row>
    <row r="1475">
      <c r="O1475" s="230"/>
      <c r="R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  <c r="AF1475" s="230"/>
      <c r="AG1475" s="230"/>
      <c r="AH1475" s="230"/>
    </row>
    <row r="1476">
      <c r="O1476" s="230"/>
      <c r="R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  <c r="AF1476" s="230"/>
      <c r="AG1476" s="230"/>
      <c r="AH1476" s="230"/>
    </row>
    <row r="1477">
      <c r="O1477" s="230"/>
      <c r="R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  <c r="AF1477" s="230"/>
      <c r="AG1477" s="230"/>
      <c r="AH1477" s="230"/>
    </row>
    <row r="1478">
      <c r="O1478" s="230"/>
      <c r="R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  <c r="AF1478" s="230"/>
      <c r="AG1478" s="230"/>
      <c r="AH1478" s="230"/>
    </row>
    <row r="1479">
      <c r="O1479" s="230"/>
      <c r="R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  <c r="AF1479" s="230"/>
      <c r="AG1479" s="230"/>
      <c r="AH1479" s="230"/>
    </row>
    <row r="1480">
      <c r="O1480" s="230"/>
      <c r="R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  <c r="AF1480" s="230"/>
      <c r="AG1480" s="230"/>
      <c r="AH1480" s="230"/>
    </row>
    <row r="1481">
      <c r="O1481" s="230"/>
      <c r="R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  <c r="AF1481" s="230"/>
      <c r="AG1481" s="230"/>
      <c r="AH1481" s="230"/>
    </row>
    <row r="1482">
      <c r="O1482" s="230"/>
      <c r="R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  <c r="AF1482" s="230"/>
      <c r="AG1482" s="230"/>
      <c r="AH1482" s="230"/>
    </row>
    <row r="1483">
      <c r="O1483" s="230"/>
      <c r="R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  <c r="AF1483" s="230"/>
      <c r="AG1483" s="230"/>
      <c r="AH1483" s="230"/>
    </row>
    <row r="1484">
      <c r="O1484" s="230"/>
      <c r="R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  <c r="AF1484" s="230"/>
      <c r="AG1484" s="230"/>
      <c r="AH1484" s="230"/>
    </row>
    <row r="1485">
      <c r="O1485" s="230"/>
      <c r="R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  <c r="AF1485" s="230"/>
      <c r="AG1485" s="230"/>
      <c r="AH1485" s="230"/>
    </row>
    <row r="1486">
      <c r="O1486" s="230"/>
      <c r="R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  <c r="AF1486" s="230"/>
      <c r="AG1486" s="230"/>
      <c r="AH1486" s="230"/>
    </row>
    <row r="1487">
      <c r="O1487" s="230"/>
      <c r="R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  <c r="AF1487" s="230"/>
      <c r="AG1487" s="230"/>
      <c r="AH1487" s="230"/>
    </row>
    <row r="1488">
      <c r="O1488" s="230"/>
      <c r="R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  <c r="AF1488" s="230"/>
      <c r="AG1488" s="230"/>
      <c r="AH1488" s="230"/>
    </row>
    <row r="1489">
      <c r="O1489" s="230"/>
      <c r="R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  <c r="AF1489" s="230"/>
      <c r="AG1489" s="230"/>
      <c r="AH1489" s="230"/>
    </row>
    <row r="1490">
      <c r="O1490" s="230"/>
      <c r="R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  <c r="AF1490" s="230"/>
      <c r="AG1490" s="230"/>
      <c r="AH1490" s="230"/>
    </row>
    <row r="1491">
      <c r="O1491" s="230"/>
      <c r="R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  <c r="AF1491" s="230"/>
      <c r="AG1491" s="230"/>
      <c r="AH1491" s="230"/>
    </row>
    <row r="1492">
      <c r="O1492" s="230"/>
      <c r="R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  <c r="AF1492" s="230"/>
      <c r="AG1492" s="230"/>
      <c r="AH1492" s="230"/>
    </row>
    <row r="1493">
      <c r="O1493" s="230"/>
      <c r="R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  <c r="AF1493" s="230"/>
      <c r="AG1493" s="230"/>
      <c r="AH1493" s="230"/>
    </row>
    <row r="1494">
      <c r="O1494" s="230"/>
      <c r="R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  <c r="AF1494" s="230"/>
      <c r="AG1494" s="230"/>
      <c r="AH1494" s="230"/>
    </row>
    <row r="1495">
      <c r="O1495" s="230"/>
      <c r="R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  <c r="AF1495" s="230"/>
      <c r="AG1495" s="230"/>
      <c r="AH1495" s="230"/>
    </row>
    <row r="1496">
      <c r="O1496" s="230"/>
      <c r="R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  <c r="AF1496" s="230"/>
      <c r="AG1496" s="230"/>
      <c r="AH1496" s="230"/>
    </row>
    <row r="1497">
      <c r="O1497" s="230"/>
      <c r="R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  <c r="AF1497" s="230"/>
      <c r="AG1497" s="230"/>
      <c r="AH1497" s="230"/>
    </row>
    <row r="1498">
      <c r="O1498" s="230"/>
      <c r="R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  <c r="AF1498" s="230"/>
      <c r="AG1498" s="230"/>
      <c r="AH1498" s="230"/>
    </row>
    <row r="1499">
      <c r="O1499" s="230"/>
      <c r="R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  <c r="AF1499" s="230"/>
      <c r="AG1499" s="230"/>
      <c r="AH1499" s="230"/>
    </row>
    <row r="1500">
      <c r="O1500" s="230"/>
      <c r="R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  <c r="AF1500" s="230"/>
      <c r="AG1500" s="230"/>
      <c r="AH1500" s="230"/>
    </row>
    <row r="1501">
      <c r="O1501" s="230"/>
      <c r="R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  <c r="AF1501" s="230"/>
      <c r="AG1501" s="230"/>
      <c r="AH1501" s="230"/>
    </row>
    <row r="1502">
      <c r="O1502" s="230"/>
      <c r="R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  <c r="AH1502" s="230"/>
    </row>
    <row r="1503">
      <c r="O1503" s="230"/>
      <c r="R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  <c r="AF1503" s="230"/>
      <c r="AG1503" s="230"/>
      <c r="AH1503" s="230"/>
    </row>
    <row r="1504">
      <c r="O1504" s="230"/>
      <c r="R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  <c r="AF1504" s="230"/>
      <c r="AG1504" s="230"/>
      <c r="AH1504" s="230"/>
    </row>
    <row r="1505">
      <c r="O1505" s="230"/>
      <c r="R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  <c r="AF1505" s="230"/>
      <c r="AG1505" s="230"/>
      <c r="AH1505" s="230"/>
    </row>
    <row r="1506">
      <c r="O1506" s="230"/>
      <c r="R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  <c r="AF1506" s="230"/>
      <c r="AG1506" s="230"/>
      <c r="AH1506" s="230"/>
    </row>
    <row r="1507">
      <c r="O1507" s="230"/>
      <c r="R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  <c r="AF1507" s="230"/>
      <c r="AG1507" s="230"/>
      <c r="AH1507" s="230"/>
    </row>
    <row r="1508">
      <c r="O1508" s="230"/>
      <c r="R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  <c r="AF1508" s="230"/>
      <c r="AG1508" s="230"/>
      <c r="AH1508" s="230"/>
    </row>
    <row r="1509">
      <c r="O1509" s="230"/>
      <c r="R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  <c r="AF1509" s="230"/>
      <c r="AG1509" s="230"/>
      <c r="AH1509" s="230"/>
    </row>
    <row r="1510">
      <c r="O1510" s="230"/>
      <c r="R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  <c r="AF1510" s="230"/>
      <c r="AG1510" s="230"/>
      <c r="AH1510" s="230"/>
    </row>
    <row r="1511">
      <c r="O1511" s="230"/>
      <c r="R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  <c r="AF1511" s="230"/>
      <c r="AG1511" s="230"/>
      <c r="AH1511" s="230"/>
    </row>
    <row r="1512">
      <c r="O1512" s="230"/>
      <c r="R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  <c r="AF1512" s="230"/>
      <c r="AG1512" s="230"/>
      <c r="AH1512" s="230"/>
    </row>
    <row r="1513">
      <c r="O1513" s="230"/>
      <c r="R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  <c r="AF1513" s="230"/>
      <c r="AG1513" s="230"/>
      <c r="AH1513" s="230"/>
    </row>
    <row r="1514">
      <c r="O1514" s="230"/>
      <c r="R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  <c r="AF1514" s="230"/>
      <c r="AG1514" s="230"/>
      <c r="AH1514" s="230"/>
    </row>
    <row r="1515">
      <c r="O1515" s="230"/>
      <c r="R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  <c r="AF1515" s="230"/>
      <c r="AG1515" s="230"/>
      <c r="AH1515" s="230"/>
    </row>
    <row r="1516">
      <c r="O1516" s="230"/>
      <c r="R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  <c r="AF1516" s="230"/>
      <c r="AG1516" s="230"/>
      <c r="AH1516" s="230"/>
    </row>
    <row r="1517">
      <c r="O1517" s="230"/>
      <c r="R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  <c r="AF1517" s="230"/>
      <c r="AG1517" s="230"/>
      <c r="AH1517" s="230"/>
    </row>
    <row r="1518">
      <c r="O1518" s="230"/>
      <c r="R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  <c r="AF1518" s="230"/>
      <c r="AG1518" s="230"/>
      <c r="AH1518" s="230"/>
    </row>
    <row r="1519">
      <c r="O1519" s="230"/>
      <c r="R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  <c r="AF1519" s="230"/>
      <c r="AG1519" s="230"/>
      <c r="AH1519" s="230"/>
    </row>
    <row r="1520">
      <c r="O1520" s="230"/>
      <c r="R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</row>
    <row r="1521">
      <c r="O1521" s="230"/>
      <c r="R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  <c r="AF1521" s="230"/>
      <c r="AG1521" s="230"/>
      <c r="AH1521" s="230"/>
    </row>
    <row r="1522">
      <c r="O1522" s="230"/>
      <c r="R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  <c r="AF1522" s="230"/>
      <c r="AG1522" s="230"/>
      <c r="AH1522" s="230"/>
    </row>
    <row r="1523">
      <c r="O1523" s="230"/>
      <c r="R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  <c r="AF1523" s="230"/>
      <c r="AG1523" s="230"/>
      <c r="AH1523" s="230"/>
    </row>
    <row r="1524">
      <c r="O1524" s="230"/>
      <c r="R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  <c r="AF1524" s="230"/>
      <c r="AG1524" s="230"/>
      <c r="AH1524" s="230"/>
    </row>
    <row r="1525">
      <c r="O1525" s="230"/>
      <c r="R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  <c r="AF1525" s="230"/>
      <c r="AG1525" s="230"/>
      <c r="AH1525" s="230"/>
    </row>
    <row r="1526">
      <c r="O1526" s="230"/>
      <c r="R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  <c r="AF1526" s="230"/>
      <c r="AG1526" s="230"/>
      <c r="AH1526" s="230"/>
    </row>
    <row r="1527">
      <c r="O1527" s="230"/>
      <c r="R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  <c r="AF1527" s="230"/>
      <c r="AG1527" s="230"/>
      <c r="AH1527" s="230"/>
    </row>
    <row r="1528">
      <c r="O1528" s="230"/>
      <c r="R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  <c r="AF1528" s="230"/>
      <c r="AG1528" s="230"/>
      <c r="AH1528" s="230"/>
    </row>
    <row r="1529">
      <c r="O1529" s="230"/>
      <c r="R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  <c r="AF1529" s="230"/>
      <c r="AG1529" s="230"/>
      <c r="AH1529" s="230"/>
    </row>
    <row r="1530">
      <c r="O1530" s="230"/>
      <c r="R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  <c r="AF1530" s="230"/>
      <c r="AG1530" s="230"/>
      <c r="AH1530" s="230"/>
    </row>
    <row r="1531">
      <c r="O1531" s="230"/>
      <c r="R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  <c r="AF1531" s="230"/>
      <c r="AG1531" s="230"/>
      <c r="AH1531" s="230"/>
    </row>
    <row r="1532">
      <c r="O1532" s="230"/>
      <c r="R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  <c r="AF1532" s="230"/>
      <c r="AG1532" s="230"/>
      <c r="AH1532" s="230"/>
    </row>
    <row r="1533">
      <c r="O1533" s="230"/>
      <c r="R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  <c r="AF1533" s="230"/>
      <c r="AG1533" s="230"/>
      <c r="AH1533" s="230"/>
    </row>
    <row r="1534">
      <c r="O1534" s="230"/>
      <c r="R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  <c r="AF1534" s="230"/>
      <c r="AG1534" s="230"/>
      <c r="AH1534" s="230"/>
    </row>
    <row r="1535">
      <c r="O1535" s="230"/>
      <c r="R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  <c r="AF1535" s="230"/>
      <c r="AG1535" s="230"/>
      <c r="AH1535" s="230"/>
    </row>
    <row r="1536">
      <c r="O1536" s="230"/>
      <c r="R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  <c r="AF1536" s="230"/>
      <c r="AG1536" s="230"/>
      <c r="AH1536" s="230"/>
    </row>
    <row r="1537">
      <c r="O1537" s="230"/>
      <c r="R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  <c r="AF1537" s="230"/>
      <c r="AG1537" s="230"/>
      <c r="AH1537" s="230"/>
    </row>
    <row r="1538">
      <c r="O1538" s="230"/>
      <c r="R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  <c r="AF1538" s="230"/>
      <c r="AG1538" s="230"/>
      <c r="AH1538" s="230"/>
    </row>
    <row r="1539">
      <c r="O1539" s="230"/>
      <c r="R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  <c r="AF1539" s="230"/>
      <c r="AG1539" s="230"/>
      <c r="AH1539" s="230"/>
    </row>
    <row r="1540">
      <c r="O1540" s="230"/>
      <c r="R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  <c r="AF1540" s="230"/>
      <c r="AG1540" s="230"/>
      <c r="AH1540" s="230"/>
    </row>
    <row r="1541">
      <c r="O1541" s="230"/>
      <c r="R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  <c r="AF1541" s="230"/>
      <c r="AG1541" s="230"/>
      <c r="AH1541" s="230"/>
    </row>
    <row r="1542">
      <c r="O1542" s="230"/>
      <c r="R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  <c r="AF1542" s="230"/>
      <c r="AG1542" s="230"/>
      <c r="AH1542" s="230"/>
    </row>
    <row r="1543">
      <c r="O1543" s="230"/>
      <c r="R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  <c r="AF1543" s="230"/>
      <c r="AG1543" s="230"/>
      <c r="AH1543" s="230"/>
    </row>
    <row r="1544">
      <c r="O1544" s="230"/>
      <c r="R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  <c r="AF1544" s="230"/>
      <c r="AG1544" s="230"/>
      <c r="AH1544" s="230"/>
    </row>
    <row r="1545">
      <c r="O1545" s="230"/>
      <c r="R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  <c r="AF1545" s="230"/>
      <c r="AG1545" s="230"/>
      <c r="AH1545" s="230"/>
    </row>
    <row r="1546">
      <c r="O1546" s="230"/>
      <c r="R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  <c r="AF1546" s="230"/>
      <c r="AG1546" s="230"/>
      <c r="AH1546" s="230"/>
    </row>
    <row r="1547">
      <c r="O1547" s="230"/>
      <c r="R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  <c r="AF1547" s="230"/>
      <c r="AG1547" s="230"/>
      <c r="AH1547" s="230"/>
    </row>
    <row r="1548">
      <c r="O1548" s="230"/>
      <c r="R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  <c r="AF1548" s="230"/>
      <c r="AG1548" s="230"/>
      <c r="AH1548" s="230"/>
    </row>
    <row r="1549">
      <c r="O1549" s="230"/>
      <c r="R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  <c r="AF1549" s="230"/>
      <c r="AG1549" s="230"/>
      <c r="AH1549" s="230"/>
    </row>
    <row r="1550">
      <c r="O1550" s="230"/>
      <c r="R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  <c r="AF1550" s="230"/>
      <c r="AG1550" s="230"/>
      <c r="AH1550" s="230"/>
    </row>
    <row r="1551">
      <c r="O1551" s="230"/>
      <c r="R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  <c r="AF1551" s="230"/>
      <c r="AG1551" s="230"/>
      <c r="AH1551" s="230"/>
    </row>
    <row r="1552">
      <c r="O1552" s="230"/>
      <c r="R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  <c r="AF1552" s="230"/>
      <c r="AG1552" s="230"/>
      <c r="AH1552" s="230"/>
    </row>
    <row r="1553">
      <c r="O1553" s="230"/>
      <c r="R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  <c r="AF1553" s="230"/>
      <c r="AG1553" s="230"/>
      <c r="AH1553" s="230"/>
    </row>
    <row r="1554">
      <c r="O1554" s="230"/>
      <c r="R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  <c r="AF1554" s="230"/>
      <c r="AG1554" s="230"/>
      <c r="AH1554" s="230"/>
    </row>
    <row r="1555">
      <c r="O1555" s="230"/>
      <c r="R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  <c r="AF1555" s="230"/>
      <c r="AG1555" s="230"/>
      <c r="AH1555" s="230"/>
    </row>
    <row r="1556">
      <c r="O1556" s="230"/>
      <c r="R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  <c r="AF1556" s="230"/>
      <c r="AG1556" s="230"/>
      <c r="AH1556" s="230"/>
    </row>
    <row r="1557">
      <c r="O1557" s="230"/>
      <c r="R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  <c r="AF1557" s="230"/>
      <c r="AG1557" s="230"/>
      <c r="AH1557" s="230"/>
    </row>
    <row r="1558">
      <c r="O1558" s="230"/>
      <c r="R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  <c r="AF1558" s="230"/>
      <c r="AG1558" s="230"/>
      <c r="AH1558" s="230"/>
    </row>
    <row r="1559">
      <c r="O1559" s="230"/>
      <c r="R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  <c r="AF1559" s="230"/>
      <c r="AG1559" s="230"/>
      <c r="AH1559" s="230"/>
    </row>
    <row r="1560">
      <c r="O1560" s="230"/>
      <c r="R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  <c r="AF1560" s="230"/>
      <c r="AG1560" s="230"/>
      <c r="AH1560" s="230"/>
    </row>
    <row r="1561">
      <c r="O1561" s="230"/>
      <c r="R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  <c r="AF1561" s="230"/>
      <c r="AG1561" s="230"/>
      <c r="AH1561" s="230"/>
    </row>
    <row r="1562">
      <c r="O1562" s="230"/>
      <c r="R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  <c r="AF1562" s="230"/>
      <c r="AG1562" s="230"/>
      <c r="AH1562" s="230"/>
    </row>
    <row r="1563">
      <c r="O1563" s="230"/>
      <c r="R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  <c r="AF1563" s="230"/>
      <c r="AG1563" s="230"/>
      <c r="AH1563" s="230"/>
    </row>
    <row r="1564">
      <c r="O1564" s="230"/>
      <c r="R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  <c r="AF1564" s="230"/>
      <c r="AG1564" s="230"/>
      <c r="AH1564" s="230"/>
    </row>
    <row r="1565">
      <c r="O1565" s="230"/>
      <c r="R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  <c r="AF1565" s="230"/>
      <c r="AG1565" s="230"/>
      <c r="AH1565" s="230"/>
    </row>
    <row r="1566">
      <c r="O1566" s="230"/>
      <c r="R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  <c r="AF1566" s="230"/>
      <c r="AG1566" s="230"/>
      <c r="AH1566" s="230"/>
    </row>
    <row r="1567">
      <c r="O1567" s="230"/>
      <c r="R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  <c r="AF1567" s="230"/>
      <c r="AG1567" s="230"/>
      <c r="AH1567" s="230"/>
    </row>
    <row r="1568">
      <c r="O1568" s="230"/>
      <c r="R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  <c r="AF1568" s="230"/>
      <c r="AG1568" s="230"/>
      <c r="AH1568" s="230"/>
    </row>
    <row r="1569">
      <c r="O1569" s="230"/>
      <c r="R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  <c r="AF1569" s="230"/>
      <c r="AG1569" s="230"/>
      <c r="AH1569" s="230"/>
    </row>
    <row r="1570">
      <c r="O1570" s="230"/>
      <c r="R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  <c r="AF1570" s="230"/>
      <c r="AG1570" s="230"/>
      <c r="AH1570" s="230"/>
    </row>
    <row r="1571">
      <c r="O1571" s="230"/>
      <c r="R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  <c r="AF1571" s="230"/>
      <c r="AG1571" s="230"/>
      <c r="AH1571" s="230"/>
    </row>
    <row r="1572">
      <c r="O1572" s="230"/>
      <c r="R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  <c r="AF1572" s="230"/>
      <c r="AG1572" s="230"/>
      <c r="AH1572" s="230"/>
    </row>
    <row r="1573">
      <c r="O1573" s="230"/>
      <c r="R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  <c r="AF1573" s="230"/>
      <c r="AG1573" s="230"/>
      <c r="AH1573" s="230"/>
    </row>
    <row r="1574">
      <c r="O1574" s="230"/>
      <c r="R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  <c r="AF1574" s="230"/>
      <c r="AG1574" s="230"/>
      <c r="AH1574" s="230"/>
    </row>
    <row r="1575">
      <c r="O1575" s="230"/>
      <c r="R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  <c r="AF1575" s="230"/>
      <c r="AG1575" s="230"/>
      <c r="AH1575" s="230"/>
    </row>
    <row r="1576">
      <c r="O1576" s="230"/>
      <c r="R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  <c r="AF1576" s="230"/>
      <c r="AG1576" s="230"/>
      <c r="AH1576" s="230"/>
    </row>
    <row r="1577">
      <c r="O1577" s="230"/>
      <c r="R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  <c r="AF1577" s="230"/>
      <c r="AG1577" s="230"/>
      <c r="AH1577" s="230"/>
    </row>
    <row r="1578">
      <c r="O1578" s="230"/>
      <c r="R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  <c r="AF1578" s="230"/>
      <c r="AG1578" s="230"/>
      <c r="AH1578" s="230"/>
    </row>
    <row r="1579">
      <c r="O1579" s="230"/>
      <c r="R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  <c r="AF1579" s="230"/>
      <c r="AG1579" s="230"/>
      <c r="AH1579" s="230"/>
    </row>
    <row r="1580">
      <c r="O1580" s="230"/>
      <c r="R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  <c r="AF1580" s="230"/>
      <c r="AG1580" s="230"/>
      <c r="AH1580" s="230"/>
    </row>
    <row r="1581">
      <c r="O1581" s="230"/>
      <c r="R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  <c r="AF1581" s="230"/>
      <c r="AG1581" s="230"/>
      <c r="AH1581" s="230"/>
    </row>
    <row r="1582">
      <c r="O1582" s="230"/>
      <c r="R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  <c r="AF1582" s="230"/>
      <c r="AG1582" s="230"/>
      <c r="AH1582" s="230"/>
    </row>
    <row r="1583">
      <c r="O1583" s="230"/>
      <c r="R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  <c r="AF1583" s="230"/>
      <c r="AG1583" s="230"/>
      <c r="AH1583" s="230"/>
    </row>
    <row r="1584">
      <c r="O1584" s="230"/>
      <c r="R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  <c r="AF1584" s="230"/>
      <c r="AG1584" s="230"/>
      <c r="AH1584" s="230"/>
    </row>
    <row r="1585">
      <c r="O1585" s="230"/>
      <c r="R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30"/>
    </row>
    <row r="1586">
      <c r="O1586" s="230"/>
      <c r="R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  <c r="AF1586" s="230"/>
      <c r="AG1586" s="230"/>
      <c r="AH1586" s="230"/>
    </row>
    <row r="1587">
      <c r="O1587" s="230"/>
      <c r="R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  <c r="AF1587" s="230"/>
      <c r="AG1587" s="230"/>
      <c r="AH1587" s="230"/>
    </row>
    <row r="1588">
      <c r="O1588" s="230"/>
      <c r="R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  <c r="AF1588" s="230"/>
      <c r="AG1588" s="230"/>
      <c r="AH1588" s="230"/>
    </row>
    <row r="1589">
      <c r="O1589" s="230"/>
      <c r="R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  <c r="AF1589" s="230"/>
      <c r="AG1589" s="230"/>
      <c r="AH1589" s="230"/>
    </row>
    <row r="1590">
      <c r="O1590" s="230"/>
      <c r="R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  <c r="AF1590" s="230"/>
      <c r="AG1590" s="230"/>
      <c r="AH1590" s="230"/>
    </row>
    <row r="1591">
      <c r="O1591" s="230"/>
      <c r="R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  <c r="AF1591" s="230"/>
      <c r="AG1591" s="230"/>
      <c r="AH1591" s="230"/>
    </row>
    <row r="1592">
      <c r="O1592" s="230"/>
      <c r="R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  <c r="AF1592" s="230"/>
      <c r="AG1592" s="230"/>
      <c r="AH1592" s="230"/>
    </row>
    <row r="1593">
      <c r="O1593" s="230"/>
      <c r="R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  <c r="AF1593" s="230"/>
      <c r="AG1593" s="230"/>
      <c r="AH1593" s="230"/>
    </row>
    <row r="1594">
      <c r="O1594" s="230"/>
      <c r="R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  <c r="AF1594" s="230"/>
      <c r="AG1594" s="230"/>
      <c r="AH1594" s="230"/>
    </row>
    <row r="1595">
      <c r="O1595" s="230"/>
      <c r="R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  <c r="AF1595" s="230"/>
      <c r="AG1595" s="230"/>
      <c r="AH1595" s="230"/>
    </row>
    <row r="1596">
      <c r="O1596" s="230"/>
      <c r="R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  <c r="AF1596" s="230"/>
      <c r="AG1596" s="230"/>
      <c r="AH1596" s="230"/>
    </row>
    <row r="1597">
      <c r="O1597" s="230"/>
      <c r="R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  <c r="AF1597" s="230"/>
      <c r="AG1597" s="230"/>
      <c r="AH1597" s="230"/>
    </row>
    <row r="1598">
      <c r="O1598" s="230"/>
      <c r="R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  <c r="AF1598" s="230"/>
      <c r="AG1598" s="230"/>
      <c r="AH1598" s="230"/>
    </row>
    <row r="1599">
      <c r="O1599" s="230"/>
      <c r="R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  <c r="AF1599" s="230"/>
      <c r="AG1599" s="230"/>
      <c r="AH1599" s="230"/>
    </row>
    <row r="1600">
      <c r="O1600" s="230"/>
      <c r="R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  <c r="AF1600" s="230"/>
      <c r="AG1600" s="230"/>
      <c r="AH1600" s="230"/>
    </row>
    <row r="1601">
      <c r="O1601" s="230"/>
      <c r="R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  <c r="AF1601" s="230"/>
      <c r="AG1601" s="230"/>
      <c r="AH1601" s="230"/>
    </row>
    <row r="1602">
      <c r="O1602" s="230"/>
      <c r="R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  <c r="AF1602" s="230"/>
      <c r="AG1602" s="230"/>
      <c r="AH1602" s="230"/>
    </row>
    <row r="1603">
      <c r="O1603" s="230"/>
      <c r="R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  <c r="AF1603" s="230"/>
      <c r="AG1603" s="230"/>
      <c r="AH1603" s="230"/>
    </row>
    <row r="1604">
      <c r="O1604" s="230"/>
      <c r="R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  <c r="AH1604" s="230"/>
    </row>
    <row r="1605">
      <c r="O1605" s="230"/>
      <c r="R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  <c r="AF1605" s="230"/>
      <c r="AG1605" s="230"/>
      <c r="AH1605" s="230"/>
    </row>
    <row r="1606">
      <c r="O1606" s="230"/>
      <c r="R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  <c r="AF1606" s="230"/>
      <c r="AG1606" s="230"/>
      <c r="AH1606" s="230"/>
    </row>
    <row r="1607">
      <c r="O1607" s="230"/>
      <c r="R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  <c r="AF1607" s="230"/>
      <c r="AG1607" s="230"/>
      <c r="AH1607" s="230"/>
    </row>
    <row r="1608">
      <c r="O1608" s="230"/>
      <c r="R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  <c r="AF1608" s="230"/>
      <c r="AG1608" s="230"/>
      <c r="AH1608" s="230"/>
    </row>
    <row r="1609">
      <c r="O1609" s="230"/>
      <c r="R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  <c r="AF1609" s="230"/>
      <c r="AG1609" s="230"/>
      <c r="AH1609" s="230"/>
    </row>
    <row r="1610">
      <c r="O1610" s="230"/>
      <c r="R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  <c r="AF1610" s="230"/>
      <c r="AG1610" s="230"/>
      <c r="AH1610" s="230"/>
    </row>
    <row r="1611">
      <c r="O1611" s="230"/>
      <c r="R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  <c r="AF1611" s="230"/>
      <c r="AG1611" s="230"/>
      <c r="AH1611" s="230"/>
    </row>
    <row r="1612">
      <c r="O1612" s="230"/>
      <c r="R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  <c r="AF1612" s="230"/>
      <c r="AG1612" s="230"/>
      <c r="AH1612" s="230"/>
    </row>
    <row r="1613">
      <c r="O1613" s="230"/>
      <c r="R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  <c r="AF1613" s="230"/>
      <c r="AG1613" s="230"/>
      <c r="AH1613" s="230"/>
    </row>
    <row r="1614">
      <c r="O1614" s="230"/>
      <c r="R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  <c r="AF1614" s="230"/>
      <c r="AG1614" s="230"/>
      <c r="AH1614" s="230"/>
    </row>
    <row r="1615">
      <c r="O1615" s="230"/>
      <c r="R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  <c r="AF1615" s="230"/>
      <c r="AG1615" s="230"/>
      <c r="AH1615" s="230"/>
    </row>
    <row r="1616">
      <c r="O1616" s="230"/>
      <c r="R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  <c r="AF1616" s="230"/>
      <c r="AG1616" s="230"/>
      <c r="AH1616" s="230"/>
    </row>
    <row r="1617">
      <c r="O1617" s="230"/>
      <c r="R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  <c r="AF1617" s="230"/>
      <c r="AG1617" s="230"/>
      <c r="AH1617" s="230"/>
    </row>
    <row r="1618">
      <c r="O1618" s="230"/>
      <c r="R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  <c r="AF1618" s="230"/>
      <c r="AG1618" s="230"/>
      <c r="AH1618" s="230"/>
    </row>
    <row r="1619">
      <c r="O1619" s="230"/>
      <c r="R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  <c r="AF1619" s="230"/>
      <c r="AG1619" s="230"/>
      <c r="AH1619" s="230"/>
    </row>
    <row r="1620">
      <c r="O1620" s="230"/>
      <c r="R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  <c r="AF1620" s="230"/>
      <c r="AG1620" s="230"/>
      <c r="AH1620" s="230"/>
    </row>
    <row r="1621">
      <c r="O1621" s="230"/>
      <c r="R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  <c r="AF1621" s="230"/>
      <c r="AG1621" s="230"/>
      <c r="AH1621" s="230"/>
    </row>
    <row r="1622">
      <c r="O1622" s="230"/>
      <c r="R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  <c r="AF1622" s="230"/>
      <c r="AG1622" s="230"/>
      <c r="AH1622" s="230"/>
    </row>
    <row r="1623">
      <c r="O1623" s="230"/>
      <c r="R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  <c r="AF1623" s="230"/>
      <c r="AG1623" s="230"/>
      <c r="AH1623" s="230"/>
    </row>
    <row r="1624">
      <c r="O1624" s="230"/>
      <c r="R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  <c r="AF1624" s="230"/>
      <c r="AG1624" s="230"/>
      <c r="AH1624" s="230"/>
    </row>
    <row r="1625">
      <c r="O1625" s="230"/>
      <c r="R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  <c r="AF1625" s="230"/>
      <c r="AG1625" s="230"/>
      <c r="AH1625" s="230"/>
    </row>
    <row r="1626">
      <c r="O1626" s="230"/>
      <c r="R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  <c r="AF1626" s="230"/>
      <c r="AG1626" s="230"/>
      <c r="AH1626" s="230"/>
    </row>
    <row r="1627">
      <c r="O1627" s="230"/>
      <c r="R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  <c r="AF1627" s="230"/>
      <c r="AG1627" s="230"/>
      <c r="AH1627" s="230"/>
    </row>
    <row r="1628">
      <c r="O1628" s="230"/>
      <c r="R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  <c r="AF1628" s="230"/>
      <c r="AG1628" s="230"/>
      <c r="AH1628" s="230"/>
    </row>
    <row r="1629">
      <c r="O1629" s="230"/>
      <c r="R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  <c r="AF1629" s="230"/>
      <c r="AG1629" s="230"/>
      <c r="AH1629" s="230"/>
    </row>
    <row r="1630">
      <c r="O1630" s="230"/>
      <c r="R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  <c r="AF1630" s="230"/>
      <c r="AG1630" s="230"/>
      <c r="AH1630" s="230"/>
    </row>
    <row r="1631">
      <c r="O1631" s="230"/>
      <c r="R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  <c r="AF1631" s="230"/>
      <c r="AG1631" s="230"/>
      <c r="AH1631" s="230"/>
    </row>
    <row r="1632">
      <c r="O1632" s="230"/>
      <c r="R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  <c r="AF1632" s="230"/>
      <c r="AG1632" s="230"/>
      <c r="AH1632" s="230"/>
    </row>
    <row r="1633">
      <c r="O1633" s="230"/>
      <c r="R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  <c r="AF1633" s="230"/>
      <c r="AG1633" s="230"/>
      <c r="AH1633" s="230"/>
    </row>
    <row r="1634">
      <c r="O1634" s="230"/>
      <c r="R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  <c r="AF1634" s="230"/>
      <c r="AG1634" s="230"/>
      <c r="AH1634" s="230"/>
    </row>
    <row r="1635">
      <c r="O1635" s="230"/>
      <c r="R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  <c r="AF1635" s="230"/>
      <c r="AG1635" s="230"/>
      <c r="AH1635" s="230"/>
    </row>
    <row r="1636">
      <c r="O1636" s="230"/>
      <c r="R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  <c r="AF1636" s="230"/>
      <c r="AG1636" s="230"/>
      <c r="AH1636" s="230"/>
    </row>
    <row r="1637">
      <c r="O1637" s="230"/>
      <c r="R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  <c r="AF1637" s="230"/>
      <c r="AG1637" s="230"/>
      <c r="AH1637" s="230"/>
    </row>
    <row r="1638">
      <c r="O1638" s="230"/>
      <c r="R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  <c r="AF1638" s="230"/>
      <c r="AG1638" s="230"/>
      <c r="AH1638" s="230"/>
    </row>
    <row r="1639">
      <c r="O1639" s="230"/>
      <c r="R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  <c r="AF1639" s="230"/>
      <c r="AG1639" s="230"/>
      <c r="AH1639" s="230"/>
    </row>
    <row r="1640">
      <c r="O1640" s="230"/>
      <c r="R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  <c r="AF1640" s="230"/>
      <c r="AG1640" s="230"/>
      <c r="AH1640" s="230"/>
    </row>
    <row r="1641">
      <c r="O1641" s="230"/>
      <c r="R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  <c r="AF1641" s="230"/>
      <c r="AG1641" s="230"/>
      <c r="AH1641" s="230"/>
    </row>
    <row r="1642">
      <c r="O1642" s="230"/>
      <c r="R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  <c r="AF1642" s="230"/>
      <c r="AG1642" s="230"/>
      <c r="AH1642" s="230"/>
    </row>
    <row r="1643">
      <c r="O1643" s="230"/>
      <c r="R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  <c r="AF1643" s="230"/>
      <c r="AG1643" s="230"/>
      <c r="AH1643" s="230"/>
    </row>
    <row r="1644">
      <c r="O1644" s="230"/>
      <c r="R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  <c r="AF1644" s="230"/>
      <c r="AG1644" s="230"/>
      <c r="AH1644" s="230"/>
    </row>
    <row r="1645">
      <c r="O1645" s="230"/>
      <c r="R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  <c r="AF1645" s="230"/>
      <c r="AG1645" s="230"/>
      <c r="AH1645" s="230"/>
    </row>
    <row r="1646">
      <c r="O1646" s="230"/>
      <c r="R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  <c r="AF1646" s="230"/>
      <c r="AG1646" s="230"/>
      <c r="AH1646" s="230"/>
    </row>
    <row r="1647">
      <c r="O1647" s="230"/>
      <c r="R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  <c r="AF1647" s="230"/>
      <c r="AG1647" s="230"/>
      <c r="AH1647" s="230"/>
    </row>
    <row r="1648">
      <c r="O1648" s="230"/>
      <c r="R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  <c r="AF1648" s="230"/>
      <c r="AG1648" s="230"/>
      <c r="AH1648" s="230"/>
    </row>
    <row r="1649">
      <c r="O1649" s="230"/>
      <c r="R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  <c r="AF1649" s="230"/>
      <c r="AG1649" s="230"/>
      <c r="AH1649" s="230"/>
    </row>
    <row r="1650">
      <c r="O1650" s="230"/>
      <c r="R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  <c r="AF1650" s="230"/>
      <c r="AG1650" s="230"/>
      <c r="AH1650" s="230"/>
    </row>
    <row r="1651">
      <c r="O1651" s="230"/>
      <c r="R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  <c r="AF1651" s="230"/>
      <c r="AG1651" s="230"/>
      <c r="AH1651" s="230"/>
    </row>
    <row r="1652">
      <c r="O1652" s="230"/>
      <c r="R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  <c r="AF1652" s="230"/>
      <c r="AG1652" s="230"/>
      <c r="AH1652" s="230"/>
    </row>
    <row r="1653">
      <c r="O1653" s="230"/>
      <c r="R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  <c r="AF1653" s="230"/>
      <c r="AG1653" s="230"/>
      <c r="AH1653" s="230"/>
    </row>
    <row r="1654">
      <c r="O1654" s="230"/>
      <c r="R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  <c r="AF1654" s="230"/>
      <c r="AG1654" s="230"/>
      <c r="AH1654" s="230"/>
    </row>
    <row r="1655">
      <c r="O1655" s="230"/>
      <c r="R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  <c r="AF1655" s="230"/>
      <c r="AG1655" s="230"/>
      <c r="AH1655" s="230"/>
    </row>
    <row r="1656">
      <c r="O1656" s="230"/>
      <c r="R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  <c r="AF1656" s="230"/>
      <c r="AG1656" s="230"/>
      <c r="AH1656" s="230"/>
    </row>
    <row r="1657">
      <c r="O1657" s="230"/>
      <c r="R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  <c r="AF1657" s="230"/>
      <c r="AG1657" s="230"/>
      <c r="AH1657" s="230"/>
    </row>
    <row r="1658">
      <c r="O1658" s="230"/>
      <c r="R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  <c r="AF1658" s="230"/>
      <c r="AG1658" s="230"/>
      <c r="AH1658" s="230"/>
    </row>
    <row r="1659">
      <c r="O1659" s="230"/>
      <c r="R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  <c r="AF1659" s="230"/>
      <c r="AG1659" s="230"/>
      <c r="AH1659" s="230"/>
    </row>
    <row r="1660">
      <c r="O1660" s="230"/>
      <c r="R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  <c r="AF1660" s="230"/>
      <c r="AG1660" s="230"/>
      <c r="AH1660" s="230"/>
    </row>
    <row r="1661">
      <c r="O1661" s="230"/>
      <c r="R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  <c r="AF1661" s="230"/>
      <c r="AG1661" s="230"/>
      <c r="AH1661" s="230"/>
    </row>
    <row r="1662">
      <c r="O1662" s="230"/>
      <c r="R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  <c r="AF1662" s="230"/>
      <c r="AG1662" s="230"/>
      <c r="AH1662" s="230"/>
    </row>
    <row r="1663">
      <c r="O1663" s="230"/>
      <c r="R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  <c r="AF1663" s="230"/>
      <c r="AG1663" s="230"/>
      <c r="AH1663" s="230"/>
    </row>
    <row r="1664">
      <c r="O1664" s="230"/>
      <c r="R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  <c r="AF1664" s="230"/>
      <c r="AG1664" s="230"/>
      <c r="AH1664" s="230"/>
    </row>
    <row r="1665">
      <c r="O1665" s="230"/>
      <c r="R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  <c r="AF1665" s="230"/>
      <c r="AG1665" s="230"/>
      <c r="AH1665" s="230"/>
    </row>
    <row r="1666">
      <c r="O1666" s="230"/>
      <c r="R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  <c r="AF1666" s="230"/>
      <c r="AG1666" s="230"/>
      <c r="AH1666" s="230"/>
    </row>
    <row r="1667">
      <c r="O1667" s="230"/>
      <c r="R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  <c r="AF1667" s="230"/>
      <c r="AG1667" s="230"/>
      <c r="AH1667" s="230"/>
    </row>
    <row r="1668">
      <c r="O1668" s="230"/>
      <c r="R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  <c r="AF1668" s="230"/>
      <c r="AG1668" s="230"/>
      <c r="AH1668" s="230"/>
    </row>
    <row r="1669">
      <c r="O1669" s="230"/>
      <c r="R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  <c r="AF1669" s="230"/>
      <c r="AG1669" s="230"/>
      <c r="AH1669" s="230"/>
    </row>
    <row r="1670">
      <c r="O1670" s="230"/>
      <c r="R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  <c r="AF1670" s="230"/>
      <c r="AG1670" s="230"/>
      <c r="AH1670" s="230"/>
    </row>
    <row r="1671">
      <c r="O1671" s="230"/>
      <c r="R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  <c r="AF1671" s="230"/>
      <c r="AG1671" s="230"/>
      <c r="AH1671" s="230"/>
    </row>
    <row r="1672">
      <c r="O1672" s="230"/>
      <c r="R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  <c r="AF1672" s="230"/>
      <c r="AG1672" s="230"/>
      <c r="AH1672" s="230"/>
    </row>
    <row r="1673">
      <c r="O1673" s="230"/>
      <c r="R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  <c r="AF1673" s="230"/>
      <c r="AG1673" s="230"/>
      <c r="AH1673" s="230"/>
    </row>
    <row r="1674">
      <c r="O1674" s="230"/>
      <c r="R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  <c r="AF1674" s="230"/>
      <c r="AG1674" s="230"/>
      <c r="AH1674" s="230"/>
    </row>
    <row r="1675">
      <c r="O1675" s="230"/>
      <c r="R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  <c r="AF1675" s="230"/>
      <c r="AG1675" s="230"/>
      <c r="AH1675" s="230"/>
    </row>
    <row r="1676">
      <c r="O1676" s="230"/>
      <c r="R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  <c r="AF1676" s="230"/>
      <c r="AG1676" s="230"/>
      <c r="AH1676" s="230"/>
    </row>
    <row r="1677">
      <c r="O1677" s="230"/>
      <c r="R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  <c r="AF1677" s="230"/>
      <c r="AG1677" s="230"/>
      <c r="AH1677" s="230"/>
    </row>
    <row r="1678">
      <c r="O1678" s="230"/>
      <c r="R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  <c r="AF1678" s="230"/>
      <c r="AG1678" s="230"/>
      <c r="AH1678" s="230"/>
    </row>
    <row r="1679">
      <c r="O1679" s="230"/>
      <c r="R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  <c r="AF1679" s="230"/>
      <c r="AG1679" s="230"/>
      <c r="AH1679" s="230"/>
    </row>
    <row r="1680">
      <c r="O1680" s="230"/>
      <c r="R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  <c r="AF1680" s="230"/>
      <c r="AG1680" s="230"/>
      <c r="AH1680" s="230"/>
    </row>
    <row r="1681">
      <c r="O1681" s="230"/>
      <c r="R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  <c r="AF1681" s="230"/>
      <c r="AG1681" s="230"/>
      <c r="AH1681" s="230"/>
    </row>
    <row r="1682">
      <c r="O1682" s="230"/>
      <c r="R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  <c r="AF1682" s="230"/>
      <c r="AG1682" s="230"/>
      <c r="AH1682" s="230"/>
    </row>
    <row r="1683">
      <c r="O1683" s="230"/>
      <c r="R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  <c r="AF1683" s="230"/>
      <c r="AG1683" s="230"/>
      <c r="AH1683" s="230"/>
    </row>
    <row r="1684">
      <c r="O1684" s="230"/>
      <c r="R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  <c r="AF1684" s="230"/>
      <c r="AG1684" s="230"/>
      <c r="AH1684" s="230"/>
    </row>
    <row r="1685">
      <c r="O1685" s="230"/>
      <c r="R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  <c r="AF1685" s="230"/>
      <c r="AG1685" s="230"/>
      <c r="AH1685" s="230"/>
    </row>
    <row r="1686">
      <c r="O1686" s="230"/>
      <c r="R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  <c r="AF1686" s="230"/>
      <c r="AG1686" s="230"/>
      <c r="AH1686" s="230"/>
    </row>
    <row r="1687">
      <c r="O1687" s="230"/>
      <c r="R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  <c r="AF1687" s="230"/>
      <c r="AG1687" s="230"/>
      <c r="AH1687" s="230"/>
    </row>
    <row r="1688">
      <c r="O1688" s="230"/>
      <c r="R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  <c r="AF1688" s="230"/>
      <c r="AG1688" s="230"/>
      <c r="AH1688" s="230"/>
    </row>
    <row r="1689">
      <c r="O1689" s="230"/>
      <c r="R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  <c r="AF1689" s="230"/>
      <c r="AG1689" s="230"/>
      <c r="AH1689" s="230"/>
    </row>
    <row r="1690">
      <c r="O1690" s="230"/>
      <c r="R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  <c r="AF1690" s="230"/>
      <c r="AG1690" s="230"/>
      <c r="AH1690" s="230"/>
    </row>
    <row r="1691">
      <c r="O1691" s="230"/>
      <c r="R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  <c r="AF1691" s="230"/>
      <c r="AG1691" s="230"/>
      <c r="AH1691" s="230"/>
    </row>
    <row r="1692">
      <c r="O1692" s="230"/>
      <c r="R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  <c r="AF1692" s="230"/>
      <c r="AG1692" s="230"/>
      <c r="AH1692" s="230"/>
    </row>
    <row r="1693">
      <c r="O1693" s="230"/>
      <c r="R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  <c r="AF1693" s="230"/>
      <c r="AG1693" s="230"/>
      <c r="AH1693" s="230"/>
    </row>
    <row r="1694">
      <c r="O1694" s="230"/>
      <c r="R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  <c r="AF1694" s="230"/>
      <c r="AG1694" s="230"/>
      <c r="AH1694" s="230"/>
    </row>
    <row r="1695">
      <c r="O1695" s="230"/>
      <c r="R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  <c r="AF1695" s="230"/>
      <c r="AG1695" s="230"/>
      <c r="AH1695" s="230"/>
    </row>
    <row r="1696">
      <c r="O1696" s="230"/>
      <c r="R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  <c r="AF1696" s="230"/>
      <c r="AG1696" s="230"/>
      <c r="AH1696" s="230"/>
    </row>
    <row r="1697">
      <c r="O1697" s="230"/>
      <c r="R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  <c r="AF1697" s="230"/>
      <c r="AG1697" s="230"/>
      <c r="AH1697" s="230"/>
    </row>
    <row r="1698">
      <c r="O1698" s="230"/>
      <c r="R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  <c r="AH1698" s="230"/>
    </row>
    <row r="1699">
      <c r="O1699" s="230"/>
      <c r="R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  <c r="AF1699" s="230"/>
      <c r="AG1699" s="230"/>
      <c r="AH1699" s="230"/>
    </row>
    <row r="1700">
      <c r="O1700" s="230"/>
      <c r="R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  <c r="AF1700" s="230"/>
      <c r="AG1700" s="230"/>
      <c r="AH1700" s="230"/>
    </row>
    <row r="1701">
      <c r="O1701" s="230"/>
      <c r="R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  <c r="AF1701" s="230"/>
      <c r="AG1701" s="230"/>
      <c r="AH1701" s="230"/>
    </row>
    <row r="1702">
      <c r="O1702" s="230"/>
      <c r="R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  <c r="AF1702" s="230"/>
      <c r="AG1702" s="230"/>
      <c r="AH1702" s="230"/>
    </row>
    <row r="1703">
      <c r="O1703" s="230"/>
      <c r="R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  <c r="AF1703" s="230"/>
      <c r="AG1703" s="230"/>
      <c r="AH1703" s="230"/>
    </row>
    <row r="1704">
      <c r="O1704" s="230"/>
      <c r="R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  <c r="AF1704" s="230"/>
      <c r="AG1704" s="230"/>
      <c r="AH1704" s="230"/>
    </row>
    <row r="1705">
      <c r="O1705" s="230"/>
      <c r="R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  <c r="AF1705" s="230"/>
      <c r="AG1705" s="230"/>
      <c r="AH1705" s="230"/>
    </row>
    <row r="1706">
      <c r="O1706" s="230"/>
      <c r="R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  <c r="AF1706" s="230"/>
      <c r="AG1706" s="230"/>
      <c r="AH1706" s="230"/>
    </row>
    <row r="1707">
      <c r="O1707" s="230"/>
      <c r="R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  <c r="AF1707" s="230"/>
      <c r="AG1707" s="230"/>
      <c r="AH1707" s="230"/>
    </row>
    <row r="1708">
      <c r="O1708" s="230"/>
      <c r="R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  <c r="AF1708" s="230"/>
      <c r="AG1708" s="230"/>
      <c r="AH1708" s="230"/>
    </row>
    <row r="1709">
      <c r="O1709" s="230"/>
      <c r="R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  <c r="AF1709" s="230"/>
      <c r="AG1709" s="230"/>
      <c r="AH1709" s="230"/>
    </row>
    <row r="1710">
      <c r="O1710" s="230"/>
      <c r="R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  <c r="AF1710" s="230"/>
      <c r="AG1710" s="230"/>
      <c r="AH1710" s="230"/>
    </row>
    <row r="1711">
      <c r="O1711" s="230"/>
      <c r="R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  <c r="AF1711" s="230"/>
      <c r="AG1711" s="230"/>
      <c r="AH1711" s="230"/>
    </row>
    <row r="1712">
      <c r="O1712" s="230"/>
      <c r="R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  <c r="AF1712" s="230"/>
      <c r="AG1712" s="230"/>
      <c r="AH1712" s="230"/>
    </row>
    <row r="1713">
      <c r="O1713" s="230"/>
      <c r="R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  <c r="AF1713" s="230"/>
      <c r="AG1713" s="230"/>
      <c r="AH1713" s="230"/>
    </row>
    <row r="1714">
      <c r="O1714" s="230"/>
      <c r="R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  <c r="AF1714" s="230"/>
      <c r="AG1714" s="230"/>
      <c r="AH1714" s="230"/>
    </row>
    <row r="1715">
      <c r="O1715" s="230"/>
      <c r="R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  <c r="AF1715" s="230"/>
      <c r="AG1715" s="230"/>
      <c r="AH1715" s="230"/>
    </row>
    <row r="1716">
      <c r="O1716" s="230"/>
      <c r="R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  <c r="AF1716" s="230"/>
      <c r="AG1716" s="230"/>
      <c r="AH1716" s="230"/>
    </row>
    <row r="1717">
      <c r="O1717" s="230"/>
      <c r="R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  <c r="AF1717" s="230"/>
      <c r="AG1717" s="230"/>
      <c r="AH1717" s="230"/>
    </row>
    <row r="1718">
      <c r="O1718" s="230"/>
      <c r="R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  <c r="AF1718" s="230"/>
      <c r="AG1718" s="230"/>
      <c r="AH1718" s="230"/>
    </row>
    <row r="1719">
      <c r="O1719" s="230"/>
      <c r="R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  <c r="AF1719" s="230"/>
      <c r="AG1719" s="230"/>
      <c r="AH1719" s="230"/>
    </row>
    <row r="1720">
      <c r="O1720" s="230"/>
      <c r="R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  <c r="AF1720" s="230"/>
      <c r="AG1720" s="230"/>
      <c r="AH1720" s="230"/>
    </row>
    <row r="1721">
      <c r="O1721" s="230"/>
      <c r="R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  <c r="AF1721" s="230"/>
      <c r="AG1721" s="230"/>
      <c r="AH1721" s="230"/>
    </row>
    <row r="1722">
      <c r="O1722" s="230"/>
      <c r="R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  <c r="AF1722" s="230"/>
      <c r="AG1722" s="230"/>
      <c r="AH1722" s="230"/>
    </row>
    <row r="1723">
      <c r="O1723" s="230"/>
      <c r="R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  <c r="AF1723" s="230"/>
      <c r="AG1723" s="230"/>
      <c r="AH1723" s="230"/>
    </row>
    <row r="1724">
      <c r="O1724" s="230"/>
      <c r="R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  <c r="AF1724" s="230"/>
      <c r="AG1724" s="230"/>
      <c r="AH1724" s="230"/>
    </row>
    <row r="1725">
      <c r="O1725" s="230"/>
      <c r="R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  <c r="AF1725" s="230"/>
      <c r="AG1725" s="230"/>
      <c r="AH1725" s="230"/>
    </row>
    <row r="1726">
      <c r="O1726" s="230"/>
      <c r="R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  <c r="AF1726" s="230"/>
      <c r="AG1726" s="230"/>
      <c r="AH1726" s="230"/>
    </row>
    <row r="1727">
      <c r="O1727" s="230"/>
      <c r="R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  <c r="AF1727" s="230"/>
      <c r="AG1727" s="230"/>
      <c r="AH1727" s="230"/>
    </row>
    <row r="1728">
      <c r="O1728" s="230"/>
      <c r="R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  <c r="AF1728" s="230"/>
      <c r="AG1728" s="230"/>
      <c r="AH1728" s="230"/>
    </row>
    <row r="1729">
      <c r="O1729" s="230"/>
      <c r="R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  <c r="AF1729" s="230"/>
      <c r="AG1729" s="230"/>
      <c r="AH1729" s="230"/>
    </row>
    <row r="1730">
      <c r="O1730" s="230"/>
      <c r="R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  <c r="AF1730" s="230"/>
      <c r="AG1730" s="230"/>
      <c r="AH1730" s="230"/>
    </row>
    <row r="1731">
      <c r="O1731" s="230"/>
      <c r="R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  <c r="AF1731" s="230"/>
      <c r="AG1731" s="230"/>
      <c r="AH1731" s="230"/>
    </row>
    <row r="1732">
      <c r="O1732" s="230"/>
      <c r="R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  <c r="AF1732" s="230"/>
      <c r="AG1732" s="230"/>
      <c r="AH1732" s="230"/>
    </row>
    <row r="1733">
      <c r="O1733" s="230"/>
      <c r="R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  <c r="AF1733" s="230"/>
      <c r="AG1733" s="230"/>
      <c r="AH1733" s="230"/>
    </row>
    <row r="1734">
      <c r="O1734" s="230"/>
      <c r="R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  <c r="AF1734" s="230"/>
      <c r="AG1734" s="230"/>
      <c r="AH1734" s="230"/>
    </row>
    <row r="1735">
      <c r="O1735" s="230"/>
      <c r="R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  <c r="AF1735" s="230"/>
      <c r="AG1735" s="230"/>
      <c r="AH1735" s="230"/>
    </row>
    <row r="1736">
      <c r="O1736" s="230"/>
      <c r="R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  <c r="AF1736" s="230"/>
      <c r="AG1736" s="230"/>
      <c r="AH1736" s="230"/>
    </row>
    <row r="1737">
      <c r="O1737" s="230"/>
      <c r="R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  <c r="AF1737" s="230"/>
      <c r="AG1737" s="230"/>
      <c r="AH1737" s="230"/>
    </row>
    <row r="1738">
      <c r="O1738" s="230"/>
      <c r="R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  <c r="AF1738" s="230"/>
      <c r="AG1738" s="230"/>
      <c r="AH1738" s="230"/>
    </row>
    <row r="1739">
      <c r="O1739" s="230"/>
      <c r="R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  <c r="AF1739" s="230"/>
      <c r="AG1739" s="230"/>
      <c r="AH1739" s="230"/>
    </row>
    <row r="1740">
      <c r="O1740" s="230"/>
      <c r="R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  <c r="AF1740" s="230"/>
      <c r="AG1740" s="230"/>
      <c r="AH1740" s="230"/>
    </row>
    <row r="1741">
      <c r="O1741" s="230"/>
      <c r="R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  <c r="AF1741" s="230"/>
      <c r="AG1741" s="230"/>
      <c r="AH1741" s="230"/>
    </row>
    <row r="1742">
      <c r="O1742" s="230"/>
      <c r="R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  <c r="AF1742" s="230"/>
      <c r="AG1742" s="230"/>
      <c r="AH1742" s="230"/>
    </row>
    <row r="1743">
      <c r="O1743" s="230"/>
      <c r="R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  <c r="AF1743" s="230"/>
      <c r="AG1743" s="230"/>
      <c r="AH1743" s="230"/>
    </row>
    <row r="1744">
      <c r="O1744" s="230"/>
      <c r="R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  <c r="AF1744" s="230"/>
      <c r="AG1744" s="230"/>
      <c r="AH1744" s="230"/>
    </row>
    <row r="1745">
      <c r="O1745" s="230"/>
      <c r="R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  <c r="AF1745" s="230"/>
      <c r="AG1745" s="230"/>
      <c r="AH1745" s="230"/>
    </row>
    <row r="1746">
      <c r="O1746" s="230"/>
      <c r="R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  <c r="AF1746" s="230"/>
      <c r="AG1746" s="230"/>
      <c r="AH1746" s="230"/>
    </row>
    <row r="1747">
      <c r="O1747" s="230"/>
      <c r="R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  <c r="AF1747" s="230"/>
      <c r="AG1747" s="230"/>
      <c r="AH1747" s="230"/>
    </row>
    <row r="1748">
      <c r="O1748" s="230"/>
      <c r="R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  <c r="AF1748" s="230"/>
      <c r="AG1748" s="230"/>
      <c r="AH1748" s="230"/>
    </row>
    <row r="1749">
      <c r="O1749" s="230"/>
      <c r="R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  <c r="AF1749" s="230"/>
      <c r="AG1749" s="230"/>
      <c r="AH1749" s="230"/>
    </row>
    <row r="1750">
      <c r="O1750" s="230"/>
      <c r="R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  <c r="AF1750" s="230"/>
      <c r="AG1750" s="230"/>
      <c r="AH1750" s="230"/>
    </row>
    <row r="1751">
      <c r="O1751" s="230"/>
      <c r="R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  <c r="AF1751" s="230"/>
      <c r="AG1751" s="230"/>
      <c r="AH1751" s="230"/>
    </row>
    <row r="1752">
      <c r="O1752" s="230"/>
      <c r="R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  <c r="AF1752" s="230"/>
      <c r="AG1752" s="230"/>
      <c r="AH1752" s="230"/>
    </row>
    <row r="1753">
      <c r="O1753" s="230"/>
      <c r="R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  <c r="AF1753" s="230"/>
      <c r="AG1753" s="230"/>
      <c r="AH1753" s="230"/>
    </row>
    <row r="1754">
      <c r="O1754" s="230"/>
      <c r="R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  <c r="AF1754" s="230"/>
      <c r="AG1754" s="230"/>
      <c r="AH1754" s="230"/>
    </row>
    <row r="1755">
      <c r="O1755" s="230"/>
      <c r="R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  <c r="AF1755" s="230"/>
      <c r="AG1755" s="230"/>
      <c r="AH1755" s="230"/>
    </row>
    <row r="1756">
      <c r="O1756" s="230"/>
      <c r="R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  <c r="AF1756" s="230"/>
      <c r="AG1756" s="230"/>
      <c r="AH1756" s="230"/>
    </row>
    <row r="1757">
      <c r="O1757" s="230"/>
      <c r="R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  <c r="AF1757" s="230"/>
      <c r="AG1757" s="230"/>
      <c r="AH1757" s="230"/>
    </row>
    <row r="1758">
      <c r="O1758" s="230"/>
      <c r="R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  <c r="AF1758" s="230"/>
      <c r="AG1758" s="230"/>
      <c r="AH1758" s="230"/>
    </row>
    <row r="1759">
      <c r="O1759" s="230"/>
      <c r="R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  <c r="AF1759" s="230"/>
      <c r="AG1759" s="230"/>
      <c r="AH1759" s="230"/>
    </row>
    <row r="1760">
      <c r="O1760" s="230"/>
      <c r="R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  <c r="AF1760" s="230"/>
      <c r="AG1760" s="230"/>
      <c r="AH1760" s="230"/>
    </row>
    <row r="1761">
      <c r="O1761" s="230"/>
      <c r="R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  <c r="AF1761" s="230"/>
      <c r="AG1761" s="230"/>
      <c r="AH1761" s="230"/>
    </row>
    <row r="1762">
      <c r="O1762" s="230"/>
      <c r="R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  <c r="AF1762" s="230"/>
      <c r="AG1762" s="230"/>
      <c r="AH1762" s="230"/>
    </row>
    <row r="1763">
      <c r="O1763" s="230"/>
      <c r="R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  <c r="AF1763" s="230"/>
      <c r="AG1763" s="230"/>
      <c r="AH1763" s="230"/>
    </row>
    <row r="1764">
      <c r="O1764" s="230"/>
      <c r="R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  <c r="AF1764" s="230"/>
      <c r="AG1764" s="230"/>
      <c r="AH1764" s="230"/>
    </row>
    <row r="1765">
      <c r="O1765" s="230"/>
      <c r="R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  <c r="AF1765" s="230"/>
      <c r="AG1765" s="230"/>
      <c r="AH1765" s="230"/>
    </row>
    <row r="1766">
      <c r="O1766" s="230"/>
      <c r="R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  <c r="AF1766" s="230"/>
      <c r="AG1766" s="230"/>
      <c r="AH1766" s="230"/>
    </row>
    <row r="1767">
      <c r="O1767" s="230"/>
      <c r="R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  <c r="AF1767" s="230"/>
      <c r="AG1767" s="230"/>
      <c r="AH1767" s="230"/>
    </row>
    <row r="1768">
      <c r="O1768" s="230"/>
      <c r="R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  <c r="AF1768" s="230"/>
      <c r="AG1768" s="230"/>
      <c r="AH1768" s="230"/>
    </row>
    <row r="1769">
      <c r="O1769" s="230"/>
      <c r="R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  <c r="AF1769" s="230"/>
      <c r="AG1769" s="230"/>
      <c r="AH1769" s="230"/>
    </row>
    <row r="1770">
      <c r="O1770" s="230"/>
      <c r="R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  <c r="AF1770" s="230"/>
      <c r="AG1770" s="230"/>
      <c r="AH1770" s="230"/>
    </row>
    <row r="1771">
      <c r="O1771" s="230"/>
      <c r="R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  <c r="AF1771" s="230"/>
      <c r="AG1771" s="230"/>
      <c r="AH1771" s="230"/>
    </row>
    <row r="1772">
      <c r="O1772" s="230"/>
      <c r="R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  <c r="AF1772" s="230"/>
      <c r="AG1772" s="230"/>
      <c r="AH1772" s="230"/>
    </row>
    <row r="1773">
      <c r="O1773" s="230"/>
      <c r="R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  <c r="AF1773" s="230"/>
      <c r="AG1773" s="230"/>
      <c r="AH1773" s="230"/>
    </row>
    <row r="1774">
      <c r="O1774" s="230"/>
      <c r="R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  <c r="AF1774" s="230"/>
      <c r="AG1774" s="230"/>
      <c r="AH1774" s="230"/>
    </row>
    <row r="1775">
      <c r="O1775" s="230"/>
      <c r="R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  <c r="AF1775" s="230"/>
      <c r="AG1775" s="230"/>
      <c r="AH1775" s="230"/>
    </row>
    <row r="1776">
      <c r="O1776" s="230"/>
      <c r="R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  <c r="AF1776" s="230"/>
      <c r="AG1776" s="230"/>
      <c r="AH1776" s="230"/>
    </row>
    <row r="1777">
      <c r="O1777" s="230"/>
      <c r="R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  <c r="AF1777" s="230"/>
      <c r="AG1777" s="230"/>
      <c r="AH1777" s="230"/>
    </row>
    <row r="1778">
      <c r="O1778" s="230"/>
      <c r="R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  <c r="AF1778" s="230"/>
      <c r="AG1778" s="230"/>
      <c r="AH1778" s="230"/>
    </row>
    <row r="1779">
      <c r="O1779" s="230"/>
      <c r="R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  <c r="AF1779" s="230"/>
      <c r="AG1779" s="230"/>
      <c r="AH1779" s="230"/>
    </row>
    <row r="1780">
      <c r="O1780" s="230"/>
      <c r="R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  <c r="AF1780" s="230"/>
      <c r="AG1780" s="230"/>
      <c r="AH1780" s="230"/>
    </row>
    <row r="1781">
      <c r="O1781" s="230"/>
      <c r="R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  <c r="AF1781" s="230"/>
      <c r="AG1781" s="230"/>
      <c r="AH1781" s="230"/>
    </row>
    <row r="1782">
      <c r="O1782" s="230"/>
      <c r="R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  <c r="AF1782" s="230"/>
      <c r="AG1782" s="230"/>
      <c r="AH1782" s="230"/>
    </row>
    <row r="1783">
      <c r="O1783" s="230"/>
      <c r="R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  <c r="AF1783" s="230"/>
      <c r="AG1783" s="230"/>
      <c r="AH1783" s="230"/>
    </row>
    <row r="1784">
      <c r="O1784" s="230"/>
      <c r="R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  <c r="AF1784" s="230"/>
      <c r="AG1784" s="230"/>
      <c r="AH1784" s="230"/>
    </row>
    <row r="1785">
      <c r="O1785" s="230"/>
      <c r="R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  <c r="AF1785" s="230"/>
      <c r="AG1785" s="230"/>
      <c r="AH1785" s="230"/>
    </row>
    <row r="1786">
      <c r="O1786" s="230"/>
      <c r="R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  <c r="AF1786" s="230"/>
      <c r="AG1786" s="230"/>
      <c r="AH1786" s="230"/>
    </row>
    <row r="1787">
      <c r="O1787" s="230"/>
      <c r="R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  <c r="AF1787" s="230"/>
      <c r="AG1787" s="230"/>
      <c r="AH1787" s="230"/>
    </row>
    <row r="1788">
      <c r="O1788" s="230"/>
      <c r="R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  <c r="AF1788" s="230"/>
      <c r="AG1788" s="230"/>
      <c r="AH1788" s="230"/>
    </row>
    <row r="1789">
      <c r="O1789" s="230"/>
      <c r="R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  <c r="AF1789" s="230"/>
      <c r="AG1789" s="230"/>
      <c r="AH1789" s="230"/>
    </row>
    <row r="1790">
      <c r="O1790" s="230"/>
      <c r="R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  <c r="AF1790" s="230"/>
      <c r="AG1790" s="230"/>
      <c r="AH1790" s="230"/>
    </row>
    <row r="1791">
      <c r="O1791" s="230"/>
      <c r="R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  <c r="AF1791" s="230"/>
      <c r="AG1791" s="230"/>
      <c r="AH1791" s="230"/>
    </row>
    <row r="1792">
      <c r="O1792" s="230"/>
      <c r="R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  <c r="AF1792" s="230"/>
      <c r="AG1792" s="230"/>
      <c r="AH1792" s="230"/>
    </row>
    <row r="1793">
      <c r="O1793" s="230"/>
      <c r="R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  <c r="AF1793" s="230"/>
      <c r="AG1793" s="230"/>
      <c r="AH1793" s="230"/>
    </row>
    <row r="1794">
      <c r="O1794" s="230"/>
      <c r="R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  <c r="AF1794" s="230"/>
      <c r="AG1794" s="230"/>
      <c r="AH1794" s="230"/>
    </row>
    <row r="1795">
      <c r="O1795" s="230"/>
      <c r="R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  <c r="AF1795" s="230"/>
      <c r="AG1795" s="230"/>
      <c r="AH1795" s="230"/>
    </row>
    <row r="1796">
      <c r="O1796" s="230"/>
      <c r="R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  <c r="AF1796" s="230"/>
      <c r="AG1796" s="230"/>
      <c r="AH1796" s="230"/>
    </row>
    <row r="1797">
      <c r="O1797" s="230"/>
      <c r="R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  <c r="AF1797" s="230"/>
      <c r="AG1797" s="230"/>
      <c r="AH1797" s="230"/>
    </row>
    <row r="1798">
      <c r="O1798" s="230"/>
      <c r="R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  <c r="AF1798" s="230"/>
      <c r="AG1798" s="230"/>
      <c r="AH1798" s="230"/>
    </row>
    <row r="1799">
      <c r="O1799" s="230"/>
      <c r="R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  <c r="AF1799" s="230"/>
      <c r="AG1799" s="230"/>
      <c r="AH1799" s="230"/>
    </row>
    <row r="1800">
      <c r="O1800" s="230"/>
      <c r="R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  <c r="AF1800" s="230"/>
      <c r="AG1800" s="230"/>
      <c r="AH1800" s="230"/>
    </row>
    <row r="1801">
      <c r="O1801" s="230"/>
      <c r="R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  <c r="AF1801" s="230"/>
      <c r="AG1801" s="230"/>
      <c r="AH1801" s="230"/>
    </row>
    <row r="1802">
      <c r="O1802" s="230"/>
      <c r="R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  <c r="AF1802" s="230"/>
      <c r="AG1802" s="230"/>
      <c r="AH1802" s="230"/>
    </row>
    <row r="1803">
      <c r="O1803" s="230"/>
      <c r="R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  <c r="AF1803" s="230"/>
      <c r="AG1803" s="230"/>
      <c r="AH1803" s="230"/>
    </row>
    <row r="1804">
      <c r="O1804" s="230"/>
      <c r="R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  <c r="AF1804" s="230"/>
      <c r="AG1804" s="230"/>
      <c r="AH1804" s="230"/>
    </row>
    <row r="1805">
      <c r="O1805" s="230"/>
      <c r="R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  <c r="AF1805" s="230"/>
      <c r="AG1805" s="230"/>
      <c r="AH1805" s="230"/>
    </row>
    <row r="1806">
      <c r="O1806" s="230"/>
      <c r="R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  <c r="AF1806" s="230"/>
      <c r="AG1806" s="230"/>
      <c r="AH1806" s="230"/>
    </row>
    <row r="1807">
      <c r="O1807" s="230"/>
      <c r="R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  <c r="AF1807" s="230"/>
      <c r="AG1807" s="230"/>
      <c r="AH1807" s="230"/>
    </row>
    <row r="1808">
      <c r="O1808" s="230"/>
      <c r="R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  <c r="AF1808" s="230"/>
      <c r="AG1808" s="230"/>
      <c r="AH1808" s="230"/>
    </row>
    <row r="1809">
      <c r="O1809" s="230"/>
      <c r="R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  <c r="AF1809" s="230"/>
      <c r="AG1809" s="230"/>
      <c r="AH1809" s="230"/>
    </row>
    <row r="1810">
      <c r="O1810" s="230"/>
      <c r="R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  <c r="AF1810" s="230"/>
      <c r="AG1810" s="230"/>
      <c r="AH1810" s="230"/>
    </row>
    <row r="1811">
      <c r="O1811" s="230"/>
      <c r="R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  <c r="AF1811" s="230"/>
      <c r="AG1811" s="230"/>
      <c r="AH1811" s="230"/>
    </row>
    <row r="1812">
      <c r="O1812" s="230"/>
      <c r="R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  <c r="AF1812" s="230"/>
      <c r="AG1812" s="230"/>
      <c r="AH1812" s="230"/>
    </row>
    <row r="1813">
      <c r="O1813" s="230"/>
      <c r="R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  <c r="AF1813" s="230"/>
      <c r="AG1813" s="230"/>
      <c r="AH1813" s="230"/>
    </row>
    <row r="1814">
      <c r="O1814" s="230"/>
      <c r="R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  <c r="AF1814" s="230"/>
      <c r="AG1814" s="230"/>
      <c r="AH1814" s="230"/>
    </row>
    <row r="1815">
      <c r="O1815" s="230"/>
      <c r="R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  <c r="AF1815" s="230"/>
      <c r="AG1815" s="230"/>
      <c r="AH1815" s="230"/>
    </row>
    <row r="1816">
      <c r="O1816" s="230"/>
      <c r="R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  <c r="AF1816" s="230"/>
      <c r="AG1816" s="230"/>
      <c r="AH1816" s="230"/>
    </row>
    <row r="1817">
      <c r="O1817" s="230"/>
      <c r="R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  <c r="AF1817" s="230"/>
      <c r="AG1817" s="230"/>
      <c r="AH1817" s="230"/>
    </row>
    <row r="1818">
      <c r="O1818" s="230"/>
      <c r="R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  <c r="AF1818" s="230"/>
      <c r="AG1818" s="230"/>
      <c r="AH1818" s="230"/>
    </row>
    <row r="1819">
      <c r="O1819" s="230"/>
      <c r="R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  <c r="AF1819" s="230"/>
      <c r="AG1819" s="230"/>
      <c r="AH1819" s="230"/>
    </row>
    <row r="1820">
      <c r="O1820" s="230"/>
      <c r="R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  <c r="AF1820" s="230"/>
      <c r="AG1820" s="230"/>
      <c r="AH1820" s="230"/>
    </row>
    <row r="1821">
      <c r="O1821" s="230"/>
      <c r="R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  <c r="AF1821" s="230"/>
      <c r="AG1821" s="230"/>
      <c r="AH1821" s="230"/>
    </row>
    <row r="1822">
      <c r="O1822" s="230"/>
      <c r="R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  <c r="AF1822" s="230"/>
      <c r="AG1822" s="230"/>
      <c r="AH1822" s="230"/>
    </row>
    <row r="1823">
      <c r="O1823" s="230"/>
      <c r="R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  <c r="AF1823" s="230"/>
      <c r="AG1823" s="230"/>
      <c r="AH1823" s="230"/>
    </row>
    <row r="1824">
      <c r="O1824" s="230"/>
      <c r="R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  <c r="AF1824" s="230"/>
      <c r="AG1824" s="230"/>
      <c r="AH1824" s="230"/>
    </row>
    <row r="1825">
      <c r="O1825" s="230"/>
      <c r="R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  <c r="AF1825" s="230"/>
      <c r="AG1825" s="230"/>
      <c r="AH1825" s="230"/>
    </row>
    <row r="1826">
      <c r="O1826" s="230"/>
      <c r="R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  <c r="AF1826" s="230"/>
      <c r="AG1826" s="230"/>
      <c r="AH1826" s="230"/>
    </row>
    <row r="1827">
      <c r="O1827" s="230"/>
      <c r="R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  <c r="AF1827" s="230"/>
      <c r="AG1827" s="230"/>
      <c r="AH1827" s="230"/>
    </row>
    <row r="1828">
      <c r="O1828" s="230"/>
      <c r="R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  <c r="AF1828" s="230"/>
      <c r="AG1828" s="230"/>
      <c r="AH1828" s="230"/>
    </row>
    <row r="1829">
      <c r="O1829" s="230"/>
      <c r="R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  <c r="AF1829" s="230"/>
      <c r="AG1829" s="230"/>
      <c r="AH1829" s="230"/>
    </row>
    <row r="1830">
      <c r="O1830" s="230"/>
      <c r="R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  <c r="AF1830" s="230"/>
      <c r="AG1830" s="230"/>
      <c r="AH1830" s="230"/>
    </row>
    <row r="1831">
      <c r="O1831" s="230"/>
      <c r="R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  <c r="AF1831" s="230"/>
      <c r="AG1831" s="230"/>
      <c r="AH1831" s="230"/>
    </row>
    <row r="1832">
      <c r="O1832" s="230"/>
      <c r="R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  <c r="AF1832" s="230"/>
      <c r="AG1832" s="230"/>
      <c r="AH1832" s="230"/>
    </row>
    <row r="1833">
      <c r="O1833" s="230"/>
      <c r="R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  <c r="AF1833" s="230"/>
      <c r="AG1833" s="230"/>
      <c r="AH1833" s="230"/>
    </row>
    <row r="1834">
      <c r="O1834" s="230"/>
      <c r="R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  <c r="AF1834" s="230"/>
      <c r="AG1834" s="230"/>
      <c r="AH1834" s="230"/>
    </row>
    <row r="1835">
      <c r="O1835" s="230"/>
      <c r="R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  <c r="AF1835" s="230"/>
      <c r="AG1835" s="230"/>
      <c r="AH1835" s="230"/>
    </row>
    <row r="1836">
      <c r="O1836" s="230"/>
      <c r="R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  <c r="AF1836" s="230"/>
      <c r="AG1836" s="230"/>
      <c r="AH1836" s="230"/>
    </row>
    <row r="1837">
      <c r="O1837" s="230"/>
      <c r="R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  <c r="AF1837" s="230"/>
      <c r="AG1837" s="230"/>
      <c r="AH1837" s="230"/>
    </row>
    <row r="1838">
      <c r="O1838" s="230"/>
      <c r="R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  <c r="AF1838" s="230"/>
      <c r="AG1838" s="230"/>
      <c r="AH1838" s="230"/>
    </row>
    <row r="1839">
      <c r="O1839" s="230"/>
      <c r="R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  <c r="AF1839" s="230"/>
      <c r="AG1839" s="230"/>
      <c r="AH1839" s="230"/>
    </row>
    <row r="1840">
      <c r="O1840" s="230"/>
      <c r="R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  <c r="AF1840" s="230"/>
      <c r="AG1840" s="230"/>
      <c r="AH1840" s="230"/>
    </row>
    <row r="1841">
      <c r="O1841" s="230"/>
      <c r="R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  <c r="AF1841" s="230"/>
      <c r="AG1841" s="230"/>
      <c r="AH1841" s="230"/>
    </row>
    <row r="1842">
      <c r="O1842" s="230"/>
      <c r="R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  <c r="AF1842" s="230"/>
      <c r="AG1842" s="230"/>
      <c r="AH1842" s="230"/>
    </row>
    <row r="1843">
      <c r="O1843" s="230"/>
      <c r="R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  <c r="AF1843" s="230"/>
      <c r="AG1843" s="230"/>
      <c r="AH1843" s="230"/>
    </row>
    <row r="1844">
      <c r="O1844" s="230"/>
      <c r="R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  <c r="AF1844" s="230"/>
      <c r="AG1844" s="230"/>
      <c r="AH1844" s="230"/>
    </row>
    <row r="1845">
      <c r="O1845" s="230"/>
      <c r="R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  <c r="AF1845" s="230"/>
      <c r="AG1845" s="230"/>
      <c r="AH1845" s="230"/>
    </row>
    <row r="1846">
      <c r="O1846" s="230"/>
      <c r="R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  <c r="AF1846" s="230"/>
      <c r="AG1846" s="230"/>
      <c r="AH1846" s="230"/>
    </row>
    <row r="1847">
      <c r="O1847" s="230"/>
      <c r="R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  <c r="AF1847" s="230"/>
      <c r="AG1847" s="230"/>
      <c r="AH1847" s="230"/>
    </row>
    <row r="1848">
      <c r="O1848" s="230"/>
      <c r="R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  <c r="AF1848" s="230"/>
      <c r="AG1848" s="230"/>
      <c r="AH1848" s="230"/>
    </row>
    <row r="1849">
      <c r="O1849" s="230"/>
      <c r="R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  <c r="AF1849" s="230"/>
      <c r="AG1849" s="230"/>
      <c r="AH1849" s="230"/>
    </row>
    <row r="1850">
      <c r="O1850" s="230"/>
      <c r="R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  <c r="AF1850" s="230"/>
      <c r="AG1850" s="230"/>
      <c r="AH1850" s="230"/>
    </row>
    <row r="1851">
      <c r="O1851" s="230"/>
      <c r="R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  <c r="AF1851" s="230"/>
      <c r="AG1851" s="230"/>
      <c r="AH1851" s="230"/>
    </row>
    <row r="1852">
      <c r="O1852" s="230"/>
      <c r="R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  <c r="AF1852" s="230"/>
      <c r="AG1852" s="230"/>
      <c r="AH1852" s="230"/>
    </row>
    <row r="1853">
      <c r="O1853" s="230"/>
      <c r="R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  <c r="AF1853" s="230"/>
      <c r="AG1853" s="230"/>
      <c r="AH1853" s="230"/>
    </row>
    <row r="1854">
      <c r="O1854" s="230"/>
      <c r="R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  <c r="AF1854" s="230"/>
      <c r="AG1854" s="230"/>
      <c r="AH1854" s="230"/>
    </row>
    <row r="1855">
      <c r="O1855" s="230"/>
      <c r="R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  <c r="AF1855" s="230"/>
      <c r="AG1855" s="230"/>
      <c r="AH1855" s="230"/>
    </row>
    <row r="1856">
      <c r="O1856" s="230"/>
      <c r="R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  <c r="AF1856" s="230"/>
      <c r="AG1856" s="230"/>
      <c r="AH1856" s="230"/>
    </row>
    <row r="1857">
      <c r="O1857" s="230"/>
      <c r="R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  <c r="AF1857" s="230"/>
      <c r="AG1857" s="230"/>
      <c r="AH1857" s="230"/>
    </row>
    <row r="1858">
      <c r="O1858" s="230"/>
      <c r="R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  <c r="AF1858" s="230"/>
      <c r="AG1858" s="230"/>
      <c r="AH1858" s="230"/>
    </row>
    <row r="1859">
      <c r="O1859" s="230"/>
      <c r="R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  <c r="AF1859" s="230"/>
      <c r="AG1859" s="230"/>
      <c r="AH1859" s="230"/>
    </row>
    <row r="1860">
      <c r="O1860" s="230"/>
      <c r="R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  <c r="AF1860" s="230"/>
      <c r="AG1860" s="230"/>
      <c r="AH1860" s="230"/>
    </row>
    <row r="1861">
      <c r="O1861" s="230"/>
      <c r="R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  <c r="AF1861" s="230"/>
      <c r="AG1861" s="230"/>
      <c r="AH1861" s="230"/>
    </row>
    <row r="1862">
      <c r="O1862" s="230"/>
      <c r="R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  <c r="AF1862" s="230"/>
      <c r="AG1862" s="230"/>
      <c r="AH1862" s="230"/>
    </row>
    <row r="1863">
      <c r="O1863" s="230"/>
      <c r="R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  <c r="AF1863" s="230"/>
      <c r="AG1863" s="230"/>
      <c r="AH1863" s="230"/>
    </row>
    <row r="1864">
      <c r="O1864" s="230"/>
      <c r="R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  <c r="AF1864" s="230"/>
      <c r="AG1864" s="230"/>
      <c r="AH1864" s="230"/>
    </row>
    <row r="1865">
      <c r="O1865" s="230"/>
      <c r="R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  <c r="AF1865" s="230"/>
      <c r="AG1865" s="230"/>
      <c r="AH1865" s="230"/>
    </row>
    <row r="1866">
      <c r="O1866" s="230"/>
      <c r="R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  <c r="AF1866" s="230"/>
      <c r="AG1866" s="230"/>
      <c r="AH1866" s="230"/>
    </row>
    <row r="1867">
      <c r="O1867" s="230"/>
      <c r="R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  <c r="AF1867" s="230"/>
      <c r="AG1867" s="230"/>
      <c r="AH1867" s="230"/>
    </row>
    <row r="1868">
      <c r="O1868" s="230"/>
      <c r="R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  <c r="AF1868" s="230"/>
      <c r="AG1868" s="230"/>
      <c r="AH1868" s="230"/>
    </row>
    <row r="1869">
      <c r="O1869" s="230"/>
      <c r="R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  <c r="AF1869" s="230"/>
      <c r="AG1869" s="230"/>
      <c r="AH1869" s="230"/>
    </row>
    <row r="1870">
      <c r="O1870" s="230"/>
      <c r="R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  <c r="AF1870" s="230"/>
      <c r="AG1870" s="230"/>
      <c r="AH1870" s="230"/>
    </row>
    <row r="1871">
      <c r="O1871" s="230"/>
      <c r="R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  <c r="AF1871" s="230"/>
      <c r="AG1871" s="230"/>
      <c r="AH1871" s="230"/>
    </row>
    <row r="1872">
      <c r="O1872" s="230"/>
      <c r="R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  <c r="AF1872" s="230"/>
      <c r="AG1872" s="230"/>
      <c r="AH1872" s="230"/>
    </row>
    <row r="1873">
      <c r="O1873" s="230"/>
      <c r="R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  <c r="AF1873" s="230"/>
      <c r="AG1873" s="230"/>
      <c r="AH1873" s="230"/>
    </row>
    <row r="1874">
      <c r="O1874" s="230"/>
      <c r="R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  <c r="AF1874" s="230"/>
      <c r="AG1874" s="230"/>
      <c r="AH1874" s="230"/>
    </row>
    <row r="1875">
      <c r="O1875" s="230"/>
      <c r="R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  <c r="AF1875" s="230"/>
      <c r="AG1875" s="230"/>
      <c r="AH1875" s="230"/>
    </row>
    <row r="1876">
      <c r="O1876" s="230"/>
      <c r="R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  <c r="AF1876" s="230"/>
      <c r="AG1876" s="230"/>
      <c r="AH1876" s="230"/>
    </row>
    <row r="1877">
      <c r="O1877" s="230"/>
      <c r="R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  <c r="AF1877" s="230"/>
      <c r="AG1877" s="230"/>
      <c r="AH1877" s="230"/>
    </row>
    <row r="1878">
      <c r="O1878" s="230"/>
      <c r="R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  <c r="AF1878" s="230"/>
      <c r="AG1878" s="230"/>
      <c r="AH1878" s="230"/>
    </row>
    <row r="1879">
      <c r="O1879" s="230"/>
      <c r="R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  <c r="AF1879" s="230"/>
      <c r="AG1879" s="230"/>
      <c r="AH1879" s="230"/>
    </row>
    <row r="1880">
      <c r="O1880" s="230"/>
      <c r="R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  <c r="AF1880" s="230"/>
      <c r="AG1880" s="230"/>
      <c r="AH1880" s="230"/>
    </row>
    <row r="1881">
      <c r="O1881" s="230"/>
      <c r="R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  <c r="AF1881" s="230"/>
      <c r="AG1881" s="230"/>
      <c r="AH1881" s="230"/>
    </row>
    <row r="1882">
      <c r="O1882" s="230"/>
      <c r="R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  <c r="AF1882" s="230"/>
      <c r="AG1882" s="230"/>
      <c r="AH1882" s="230"/>
    </row>
    <row r="1883">
      <c r="O1883" s="230"/>
      <c r="R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  <c r="AF1883" s="230"/>
      <c r="AG1883" s="230"/>
      <c r="AH1883" s="230"/>
    </row>
    <row r="1884">
      <c r="O1884" s="230"/>
      <c r="R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  <c r="AF1884" s="230"/>
      <c r="AG1884" s="230"/>
      <c r="AH1884" s="230"/>
    </row>
    <row r="1885">
      <c r="O1885" s="230"/>
      <c r="R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  <c r="AF1885" s="230"/>
      <c r="AG1885" s="230"/>
      <c r="AH1885" s="230"/>
    </row>
    <row r="1886">
      <c r="O1886" s="230"/>
      <c r="R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  <c r="AF1886" s="230"/>
      <c r="AG1886" s="230"/>
      <c r="AH1886" s="230"/>
    </row>
    <row r="1887">
      <c r="O1887" s="230"/>
      <c r="R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  <c r="AF1887" s="230"/>
      <c r="AG1887" s="230"/>
      <c r="AH1887" s="230"/>
    </row>
    <row r="1888">
      <c r="O1888" s="230"/>
      <c r="R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  <c r="AF1888" s="230"/>
      <c r="AG1888" s="230"/>
      <c r="AH1888" s="230"/>
    </row>
    <row r="1889">
      <c r="O1889" s="230"/>
      <c r="R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  <c r="AF1889" s="230"/>
      <c r="AG1889" s="230"/>
      <c r="AH1889" s="230"/>
    </row>
    <row r="1890">
      <c r="O1890" s="230"/>
      <c r="R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  <c r="AF1890" s="230"/>
      <c r="AG1890" s="230"/>
      <c r="AH1890" s="230"/>
    </row>
    <row r="1891">
      <c r="O1891" s="230"/>
      <c r="R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  <c r="AF1891" s="230"/>
      <c r="AG1891" s="230"/>
      <c r="AH1891" s="230"/>
    </row>
    <row r="1892">
      <c r="O1892" s="230"/>
      <c r="R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  <c r="AF1892" s="230"/>
      <c r="AG1892" s="230"/>
      <c r="AH1892" s="230"/>
    </row>
    <row r="1893">
      <c r="O1893" s="230"/>
      <c r="R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  <c r="AF1893" s="230"/>
      <c r="AG1893" s="230"/>
      <c r="AH1893" s="230"/>
    </row>
    <row r="1894">
      <c r="O1894" s="230"/>
      <c r="R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  <c r="AF1894" s="230"/>
      <c r="AG1894" s="230"/>
      <c r="AH1894" s="230"/>
    </row>
    <row r="1895">
      <c r="O1895" s="230"/>
      <c r="R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  <c r="AF1895" s="230"/>
      <c r="AG1895" s="230"/>
      <c r="AH1895" s="230"/>
    </row>
    <row r="1896">
      <c r="O1896" s="230"/>
      <c r="R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  <c r="AF1896" s="230"/>
      <c r="AG1896" s="230"/>
      <c r="AH1896" s="230"/>
    </row>
    <row r="1897">
      <c r="O1897" s="230"/>
      <c r="R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  <c r="AF1897" s="230"/>
      <c r="AG1897" s="230"/>
      <c r="AH1897" s="230"/>
    </row>
    <row r="1898">
      <c r="O1898" s="230"/>
      <c r="R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  <c r="AF1898" s="230"/>
      <c r="AG1898" s="230"/>
      <c r="AH1898" s="230"/>
    </row>
    <row r="1899">
      <c r="O1899" s="230"/>
      <c r="R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  <c r="AF1899" s="230"/>
      <c r="AG1899" s="230"/>
      <c r="AH1899" s="230"/>
    </row>
    <row r="1900">
      <c r="O1900" s="230"/>
      <c r="R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  <c r="AF1900" s="230"/>
      <c r="AG1900" s="230"/>
      <c r="AH1900" s="230"/>
    </row>
    <row r="1901">
      <c r="O1901" s="230"/>
      <c r="R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  <c r="AF1901" s="230"/>
      <c r="AG1901" s="230"/>
      <c r="AH1901" s="230"/>
    </row>
    <row r="1902">
      <c r="O1902" s="230"/>
      <c r="R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  <c r="AF1902" s="230"/>
      <c r="AG1902" s="230"/>
      <c r="AH1902" s="230"/>
    </row>
    <row r="1903">
      <c r="O1903" s="230"/>
      <c r="R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  <c r="AF1903" s="230"/>
      <c r="AG1903" s="230"/>
      <c r="AH1903" s="230"/>
    </row>
    <row r="1904">
      <c r="O1904" s="230"/>
      <c r="R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  <c r="AF1904" s="230"/>
      <c r="AG1904" s="230"/>
      <c r="AH1904" s="230"/>
    </row>
    <row r="1905">
      <c r="O1905" s="230"/>
      <c r="R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  <c r="AF1905" s="230"/>
      <c r="AG1905" s="230"/>
      <c r="AH1905" s="230"/>
    </row>
    <row r="1906">
      <c r="O1906" s="230"/>
      <c r="R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  <c r="AF1906" s="230"/>
      <c r="AG1906" s="230"/>
      <c r="AH1906" s="230"/>
    </row>
    <row r="1907">
      <c r="O1907" s="230"/>
      <c r="R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  <c r="AF1907" s="230"/>
      <c r="AG1907" s="230"/>
      <c r="AH1907" s="230"/>
    </row>
    <row r="1908">
      <c r="O1908" s="230"/>
      <c r="R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  <c r="AF1908" s="230"/>
      <c r="AG1908" s="230"/>
      <c r="AH1908" s="230"/>
    </row>
    <row r="1909">
      <c r="O1909" s="230"/>
      <c r="R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  <c r="AF1909" s="230"/>
      <c r="AG1909" s="230"/>
      <c r="AH1909" s="230"/>
    </row>
    <row r="1910">
      <c r="O1910" s="230"/>
      <c r="R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  <c r="AF1910" s="230"/>
      <c r="AG1910" s="230"/>
      <c r="AH1910" s="230"/>
    </row>
    <row r="1911">
      <c r="O1911" s="230"/>
      <c r="R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  <c r="AF1911" s="230"/>
      <c r="AG1911" s="230"/>
      <c r="AH1911" s="230"/>
    </row>
    <row r="1912">
      <c r="O1912" s="230"/>
      <c r="R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  <c r="AF1912" s="230"/>
      <c r="AG1912" s="230"/>
      <c r="AH1912" s="230"/>
    </row>
    <row r="1913">
      <c r="O1913" s="230"/>
      <c r="R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  <c r="AF1913" s="230"/>
      <c r="AG1913" s="230"/>
      <c r="AH1913" s="230"/>
    </row>
    <row r="1914">
      <c r="O1914" s="230"/>
      <c r="R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  <c r="AF1914" s="230"/>
      <c r="AG1914" s="230"/>
      <c r="AH1914" s="230"/>
    </row>
    <row r="1915">
      <c r="O1915" s="230"/>
      <c r="R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  <c r="AF1915" s="230"/>
      <c r="AG1915" s="230"/>
      <c r="AH1915" s="230"/>
    </row>
    <row r="1916">
      <c r="O1916" s="230"/>
      <c r="R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  <c r="AF1916" s="230"/>
      <c r="AG1916" s="230"/>
      <c r="AH1916" s="230"/>
    </row>
    <row r="1917">
      <c r="O1917" s="230"/>
      <c r="R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  <c r="AF1917" s="230"/>
      <c r="AG1917" s="230"/>
      <c r="AH1917" s="230"/>
    </row>
    <row r="1918">
      <c r="O1918" s="230"/>
      <c r="R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  <c r="AF1918" s="230"/>
      <c r="AG1918" s="230"/>
      <c r="AH1918" s="230"/>
    </row>
    <row r="1919">
      <c r="O1919" s="230"/>
      <c r="R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  <c r="AF1919" s="230"/>
      <c r="AG1919" s="230"/>
      <c r="AH1919" s="230"/>
    </row>
    <row r="1920">
      <c r="O1920" s="230"/>
      <c r="R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  <c r="AF1920" s="230"/>
      <c r="AG1920" s="230"/>
      <c r="AH1920" s="230"/>
    </row>
    <row r="1921">
      <c r="O1921" s="230"/>
      <c r="R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  <c r="AF1921" s="230"/>
      <c r="AG1921" s="230"/>
      <c r="AH1921" s="230"/>
    </row>
    <row r="1922">
      <c r="O1922" s="230"/>
      <c r="R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  <c r="AF1922" s="230"/>
      <c r="AG1922" s="230"/>
      <c r="AH1922" s="230"/>
    </row>
    <row r="1923">
      <c r="O1923" s="230"/>
      <c r="R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  <c r="AF1923" s="230"/>
      <c r="AG1923" s="230"/>
      <c r="AH1923" s="230"/>
    </row>
    <row r="1924">
      <c r="O1924" s="230"/>
      <c r="R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  <c r="AF1924" s="230"/>
      <c r="AG1924" s="230"/>
      <c r="AH1924" s="230"/>
    </row>
    <row r="1925">
      <c r="O1925" s="230"/>
      <c r="R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  <c r="AF1925" s="230"/>
      <c r="AG1925" s="230"/>
      <c r="AH1925" s="230"/>
    </row>
    <row r="1926">
      <c r="O1926" s="230"/>
      <c r="R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  <c r="AF1926" s="230"/>
      <c r="AG1926" s="230"/>
      <c r="AH1926" s="230"/>
    </row>
    <row r="1927">
      <c r="O1927" s="230"/>
      <c r="R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  <c r="AF1927" s="230"/>
      <c r="AG1927" s="230"/>
      <c r="AH1927" s="230"/>
    </row>
    <row r="1928">
      <c r="O1928" s="230"/>
      <c r="R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  <c r="AF1928" s="230"/>
      <c r="AG1928" s="230"/>
      <c r="AH1928" s="230"/>
    </row>
    <row r="1929">
      <c r="O1929" s="230"/>
      <c r="R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  <c r="AF1929" s="230"/>
      <c r="AG1929" s="230"/>
      <c r="AH1929" s="230"/>
    </row>
    <row r="1930">
      <c r="O1930" s="230"/>
      <c r="R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  <c r="AF1930" s="230"/>
      <c r="AG1930" s="230"/>
      <c r="AH1930" s="230"/>
    </row>
    <row r="1931">
      <c r="O1931" s="230"/>
      <c r="R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  <c r="AF1931" s="230"/>
      <c r="AG1931" s="230"/>
      <c r="AH1931" s="230"/>
    </row>
    <row r="1932">
      <c r="O1932" s="230"/>
      <c r="R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  <c r="AF1932" s="230"/>
      <c r="AG1932" s="230"/>
      <c r="AH1932" s="230"/>
    </row>
    <row r="1933">
      <c r="O1933" s="230"/>
      <c r="R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  <c r="AF1933" s="230"/>
      <c r="AG1933" s="230"/>
      <c r="AH1933" s="230"/>
    </row>
    <row r="1934">
      <c r="O1934" s="230"/>
      <c r="R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  <c r="AF1934" s="230"/>
      <c r="AG1934" s="230"/>
      <c r="AH1934" s="230"/>
    </row>
    <row r="1935">
      <c r="O1935" s="230"/>
      <c r="R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  <c r="AF1935" s="230"/>
      <c r="AG1935" s="230"/>
      <c r="AH1935" s="230"/>
    </row>
    <row r="1936">
      <c r="O1936" s="230"/>
      <c r="R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  <c r="AF1936" s="230"/>
      <c r="AG1936" s="230"/>
      <c r="AH1936" s="230"/>
    </row>
    <row r="1937">
      <c r="O1937" s="230"/>
      <c r="R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  <c r="AF1937" s="230"/>
      <c r="AG1937" s="230"/>
      <c r="AH1937" s="230"/>
    </row>
    <row r="1938">
      <c r="O1938" s="230"/>
      <c r="R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  <c r="AF1938" s="230"/>
      <c r="AG1938" s="230"/>
      <c r="AH1938" s="230"/>
    </row>
    <row r="1939">
      <c r="O1939" s="230"/>
      <c r="R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  <c r="AF1939" s="230"/>
      <c r="AG1939" s="230"/>
      <c r="AH1939" s="230"/>
    </row>
    <row r="1940">
      <c r="O1940" s="230"/>
      <c r="R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  <c r="AF1940" s="230"/>
      <c r="AG1940" s="230"/>
      <c r="AH1940" s="230"/>
    </row>
    <row r="1941">
      <c r="O1941" s="230"/>
      <c r="R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  <c r="AF1941" s="230"/>
      <c r="AG1941" s="230"/>
      <c r="AH1941" s="230"/>
    </row>
    <row r="1942">
      <c r="O1942" s="230"/>
      <c r="R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  <c r="AF1942" s="230"/>
      <c r="AG1942" s="230"/>
      <c r="AH1942" s="230"/>
    </row>
    <row r="1943">
      <c r="O1943" s="230"/>
      <c r="R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  <c r="AF1943" s="230"/>
      <c r="AG1943" s="230"/>
      <c r="AH1943" s="230"/>
    </row>
    <row r="1944">
      <c r="O1944" s="230"/>
      <c r="R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  <c r="AF1944" s="230"/>
      <c r="AG1944" s="230"/>
      <c r="AH1944" s="230"/>
    </row>
    <row r="1945">
      <c r="O1945" s="230"/>
      <c r="R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  <c r="AH1945" s="230"/>
    </row>
    <row r="1946">
      <c r="O1946" s="230"/>
      <c r="R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  <c r="AF1946" s="230"/>
      <c r="AG1946" s="230"/>
      <c r="AH1946" s="230"/>
    </row>
    <row r="1947">
      <c r="O1947" s="230"/>
      <c r="R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  <c r="AF1947" s="230"/>
      <c r="AG1947" s="230"/>
      <c r="AH1947" s="230"/>
    </row>
    <row r="1948">
      <c r="O1948" s="230"/>
      <c r="R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  <c r="AF1948" s="230"/>
      <c r="AG1948" s="230"/>
      <c r="AH1948" s="230"/>
    </row>
    <row r="1949">
      <c r="O1949" s="230"/>
      <c r="R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  <c r="AF1949" s="230"/>
      <c r="AG1949" s="230"/>
      <c r="AH1949" s="230"/>
    </row>
    <row r="1950">
      <c r="O1950" s="230"/>
      <c r="R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  <c r="AF1950" s="230"/>
      <c r="AG1950" s="230"/>
      <c r="AH1950" s="230"/>
    </row>
    <row r="1951">
      <c r="O1951" s="230"/>
      <c r="R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  <c r="AF1951" s="230"/>
      <c r="AG1951" s="230"/>
      <c r="AH1951" s="230"/>
    </row>
    <row r="1952">
      <c r="O1952" s="230"/>
      <c r="R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  <c r="AF1952" s="230"/>
      <c r="AG1952" s="230"/>
      <c r="AH1952" s="230"/>
    </row>
    <row r="1953">
      <c r="O1953" s="230"/>
      <c r="R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  <c r="AF1953" s="230"/>
      <c r="AG1953" s="230"/>
      <c r="AH1953" s="230"/>
    </row>
    <row r="1954">
      <c r="O1954" s="230"/>
      <c r="R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  <c r="AF1954" s="230"/>
      <c r="AG1954" s="230"/>
      <c r="AH1954" s="230"/>
    </row>
    <row r="1955">
      <c r="O1955" s="230"/>
      <c r="R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  <c r="AF1955" s="230"/>
      <c r="AG1955" s="230"/>
      <c r="AH1955" s="230"/>
    </row>
    <row r="1956">
      <c r="O1956" s="230"/>
      <c r="R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  <c r="AF1956" s="230"/>
      <c r="AG1956" s="230"/>
      <c r="AH1956" s="230"/>
    </row>
    <row r="1957">
      <c r="O1957" s="230"/>
      <c r="R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  <c r="AF1957" s="230"/>
      <c r="AG1957" s="230"/>
      <c r="AH1957" s="230"/>
    </row>
    <row r="1958">
      <c r="O1958" s="230"/>
      <c r="R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  <c r="AF1958" s="230"/>
      <c r="AG1958" s="230"/>
      <c r="AH1958" s="230"/>
    </row>
    <row r="1959">
      <c r="O1959" s="230"/>
      <c r="R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  <c r="AF1959" s="230"/>
      <c r="AG1959" s="230"/>
      <c r="AH1959" s="230"/>
    </row>
    <row r="1960">
      <c r="O1960" s="230"/>
      <c r="R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  <c r="AF1960" s="230"/>
      <c r="AG1960" s="230"/>
      <c r="AH1960" s="230"/>
    </row>
    <row r="1961">
      <c r="O1961" s="230"/>
      <c r="R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  <c r="AF1961" s="230"/>
      <c r="AG1961" s="230"/>
      <c r="AH1961" s="230"/>
    </row>
    <row r="1962">
      <c r="O1962" s="230"/>
      <c r="R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  <c r="AF1962" s="230"/>
      <c r="AG1962" s="230"/>
      <c r="AH1962" s="230"/>
    </row>
    <row r="1963">
      <c r="O1963" s="230"/>
      <c r="R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  <c r="AF1963" s="230"/>
      <c r="AG1963" s="230"/>
      <c r="AH1963" s="230"/>
    </row>
    <row r="1964">
      <c r="O1964" s="230"/>
      <c r="R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  <c r="AF1964" s="230"/>
      <c r="AG1964" s="230"/>
      <c r="AH1964" s="230"/>
    </row>
    <row r="1965">
      <c r="O1965" s="230"/>
      <c r="R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  <c r="AF1965" s="230"/>
      <c r="AG1965" s="230"/>
      <c r="AH1965" s="230"/>
    </row>
    <row r="1966">
      <c r="O1966" s="230"/>
      <c r="R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  <c r="AF1966" s="230"/>
      <c r="AG1966" s="230"/>
      <c r="AH1966" s="230"/>
    </row>
    <row r="1967">
      <c r="O1967" s="230"/>
      <c r="R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  <c r="AF1967" s="230"/>
      <c r="AG1967" s="230"/>
      <c r="AH1967" s="230"/>
    </row>
    <row r="1968">
      <c r="O1968" s="230"/>
      <c r="R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  <c r="AF1968" s="230"/>
      <c r="AG1968" s="230"/>
      <c r="AH1968" s="230"/>
    </row>
    <row r="1969">
      <c r="O1969" s="230"/>
      <c r="R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  <c r="AF1969" s="230"/>
      <c r="AG1969" s="230"/>
      <c r="AH1969" s="230"/>
    </row>
    <row r="1970">
      <c r="O1970" s="230"/>
      <c r="R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  <c r="AF1970" s="230"/>
      <c r="AG1970" s="230"/>
      <c r="AH1970" s="230"/>
    </row>
    <row r="1971">
      <c r="O1971" s="230"/>
      <c r="R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  <c r="AF1971" s="230"/>
      <c r="AG1971" s="230"/>
      <c r="AH1971" s="230"/>
    </row>
    <row r="1972">
      <c r="O1972" s="230"/>
      <c r="R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  <c r="AF1972" s="230"/>
      <c r="AG1972" s="230"/>
      <c r="AH1972" s="230"/>
    </row>
    <row r="1973">
      <c r="O1973" s="230"/>
      <c r="R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  <c r="AF1973" s="230"/>
      <c r="AG1973" s="230"/>
      <c r="AH1973" s="230"/>
    </row>
    <row r="1974">
      <c r="O1974" s="230"/>
      <c r="R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  <c r="AF1974" s="230"/>
      <c r="AG1974" s="230"/>
      <c r="AH1974" s="230"/>
    </row>
    <row r="1975">
      <c r="O1975" s="230"/>
      <c r="R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  <c r="AF1975" s="230"/>
      <c r="AG1975" s="230"/>
      <c r="AH1975" s="230"/>
    </row>
    <row r="1976">
      <c r="O1976" s="230"/>
      <c r="R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  <c r="AF1976" s="230"/>
      <c r="AG1976" s="230"/>
      <c r="AH1976" s="230"/>
    </row>
    <row r="1977">
      <c r="O1977" s="230"/>
      <c r="R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  <c r="AF1977" s="230"/>
      <c r="AG1977" s="230"/>
      <c r="AH1977" s="230"/>
    </row>
    <row r="1978">
      <c r="O1978" s="230"/>
      <c r="R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  <c r="AF1978" s="230"/>
      <c r="AG1978" s="230"/>
      <c r="AH1978" s="230"/>
    </row>
    <row r="1979">
      <c r="O1979" s="230"/>
      <c r="R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  <c r="AF1979" s="230"/>
      <c r="AG1979" s="230"/>
      <c r="AH1979" s="230"/>
    </row>
    <row r="1980">
      <c r="O1980" s="230"/>
      <c r="R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  <c r="AF1980" s="230"/>
      <c r="AG1980" s="230"/>
      <c r="AH1980" s="230"/>
    </row>
    <row r="1981">
      <c r="O1981" s="230"/>
      <c r="R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  <c r="AF1981" s="230"/>
      <c r="AG1981" s="230"/>
      <c r="AH1981" s="230"/>
    </row>
    <row r="1982">
      <c r="O1982" s="230"/>
      <c r="R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  <c r="AF1982" s="230"/>
      <c r="AG1982" s="230"/>
      <c r="AH1982" s="230"/>
    </row>
    <row r="1983">
      <c r="O1983" s="230"/>
      <c r="R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  <c r="AF1983" s="230"/>
      <c r="AG1983" s="230"/>
      <c r="AH1983" s="230"/>
    </row>
    <row r="1984">
      <c r="O1984" s="230"/>
      <c r="R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  <c r="AF1984" s="230"/>
      <c r="AG1984" s="230"/>
      <c r="AH1984" s="230"/>
    </row>
    <row r="1985">
      <c r="O1985" s="230"/>
      <c r="R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  <c r="AF1985" s="230"/>
      <c r="AG1985" s="230"/>
      <c r="AH1985" s="230"/>
    </row>
    <row r="1986">
      <c r="O1986" s="230"/>
      <c r="R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  <c r="AF1986" s="230"/>
      <c r="AG1986" s="230"/>
      <c r="AH1986" s="230"/>
    </row>
    <row r="1987">
      <c r="O1987" s="230"/>
      <c r="R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  <c r="AF1987" s="230"/>
      <c r="AG1987" s="230"/>
      <c r="AH1987" s="230"/>
    </row>
    <row r="1988">
      <c r="O1988" s="230"/>
      <c r="R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  <c r="AF1988" s="230"/>
      <c r="AG1988" s="230"/>
      <c r="AH1988" s="230"/>
    </row>
    <row r="1989">
      <c r="O1989" s="230"/>
      <c r="R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  <c r="AF1989" s="230"/>
      <c r="AG1989" s="230"/>
      <c r="AH1989" s="230"/>
    </row>
    <row r="1990">
      <c r="O1990" s="230"/>
      <c r="R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  <c r="AF1990" s="230"/>
      <c r="AG1990" s="230"/>
      <c r="AH1990" s="230"/>
    </row>
    <row r="1991">
      <c r="O1991" s="230"/>
      <c r="R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  <c r="AF1991" s="230"/>
      <c r="AG1991" s="230"/>
      <c r="AH1991" s="230"/>
    </row>
    <row r="1992">
      <c r="O1992" s="230"/>
      <c r="R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  <c r="AF1992" s="230"/>
      <c r="AG1992" s="230"/>
      <c r="AH1992" s="230"/>
    </row>
    <row r="1993">
      <c r="O1993" s="230"/>
      <c r="R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  <c r="AF1993" s="230"/>
      <c r="AG1993" s="230"/>
      <c r="AH1993" s="230"/>
    </row>
    <row r="1994">
      <c r="O1994" s="230"/>
      <c r="R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  <c r="AF1994" s="230"/>
      <c r="AG1994" s="230"/>
      <c r="AH1994" s="230"/>
    </row>
    <row r="1995">
      <c r="O1995" s="230"/>
      <c r="R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  <c r="AF1995" s="230"/>
      <c r="AG1995" s="230"/>
      <c r="AH1995" s="230"/>
    </row>
    <row r="1996">
      <c r="O1996" s="230"/>
      <c r="R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  <c r="AF1996" s="230"/>
      <c r="AG1996" s="230"/>
      <c r="AH1996" s="230"/>
    </row>
    <row r="1997">
      <c r="O1997" s="230"/>
      <c r="R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  <c r="AF1997" s="230"/>
      <c r="AG1997" s="230"/>
      <c r="AH1997" s="230"/>
    </row>
    <row r="1998">
      <c r="O1998" s="230"/>
      <c r="R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  <c r="AF1998" s="230"/>
      <c r="AG1998" s="230"/>
      <c r="AH1998" s="230"/>
    </row>
    <row r="1999">
      <c r="O1999" s="230"/>
      <c r="R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  <c r="AF1999" s="230"/>
      <c r="AG1999" s="230"/>
      <c r="AH1999" s="230"/>
    </row>
    <row r="2000">
      <c r="O2000" s="230"/>
      <c r="R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  <c r="AF2000" s="230"/>
      <c r="AG2000" s="230"/>
      <c r="AH2000" s="230"/>
    </row>
    <row r="2001">
      <c r="O2001" s="230"/>
      <c r="R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  <c r="AF2001" s="230"/>
      <c r="AG2001" s="230"/>
      <c r="AH2001" s="230"/>
    </row>
    <row r="2002">
      <c r="O2002" s="230"/>
      <c r="R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  <c r="AF2002" s="230"/>
      <c r="AG2002" s="230"/>
      <c r="AH2002" s="230"/>
    </row>
    <row r="2003">
      <c r="O2003" s="230"/>
      <c r="R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  <c r="AF2003" s="230"/>
      <c r="AG2003" s="230"/>
      <c r="AH2003" s="230"/>
    </row>
    <row r="2004">
      <c r="O2004" s="230"/>
      <c r="R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  <c r="AF2004" s="230"/>
      <c r="AG2004" s="230"/>
      <c r="AH2004" s="230"/>
    </row>
  </sheetData>
  <autoFilter ref="$A$1:$AR$2004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103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16.0</v>
      </c>
      <c r="C3" s="219">
        <v>474.5</v>
      </c>
      <c r="D3" s="216"/>
      <c r="E3" s="212"/>
      <c r="F3" s="217"/>
    </row>
    <row r="4" ht="22.5" customHeight="1">
      <c r="A4" s="218" t="s">
        <v>250</v>
      </c>
      <c r="B4" s="216"/>
      <c r="C4" s="212">
        <v>198.0</v>
      </c>
      <c r="D4" s="216"/>
      <c r="E4" s="212"/>
      <c r="F4" s="220" t="s">
        <v>251</v>
      </c>
    </row>
    <row r="5" ht="22.5" customHeight="1">
      <c r="A5" s="218" t="s">
        <v>252</v>
      </c>
      <c r="B5" s="216"/>
      <c r="C5" s="212">
        <v>15.0</v>
      </c>
      <c r="D5" s="216"/>
      <c r="E5" s="212"/>
      <c r="F5" s="220" t="s">
        <v>251</v>
      </c>
    </row>
    <row r="6" ht="22.5" customHeight="1">
      <c r="A6" s="218" t="s">
        <v>253</v>
      </c>
      <c r="B6" s="216"/>
      <c r="C6" s="212">
        <v>8.0</v>
      </c>
      <c r="D6" s="216"/>
      <c r="E6" s="212"/>
      <c r="F6" s="221" t="s">
        <v>8066</v>
      </c>
    </row>
    <row r="7" ht="22.5" customHeight="1">
      <c r="A7" s="218" t="s">
        <v>255</v>
      </c>
      <c r="B7" s="216">
        <f>SUM('Sprint 10'!O:O)</f>
        <v>470</v>
      </c>
      <c r="C7" s="212">
        <f>ROUND(SUM('Sprint 10'!S:S)/3600,2)</f>
        <v>323.5</v>
      </c>
      <c r="D7" s="216">
        <f>SUMIF('Sprint 10'!J:J, "Done", 'Sprint 10'!O:O)</f>
        <v>168</v>
      </c>
      <c r="E7" s="212">
        <f>ROUND(SUMIF('Sprint 10'!J:J, "Done", 'Sprint 10'!S:S)/3600,2)</f>
        <v>84.5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f>IFERROR(__xludf.DUMMYFUNCTION("IFERROR(SUM(FILTER('Sprint 10'!O:O, ('Sprint 10'!P:P = ""mid-sprint""))),0)"),14.0)</f>
        <v>14</v>
      </c>
      <c r="C9" s="212">
        <f>IFERROR(__xludf.DUMMYFUNCTION("ROUND(IFERROR(SUM(FILTER('Sprint 10'!S:S, ('Sprint 10'!P:P = ""mid-sprint"")))/3600,0),2)"),5.17)</f>
        <v>5.17</v>
      </c>
      <c r="D9" s="212">
        <f>IFERROR(__xludf.DUMMYFUNCTION("IFERROR(SUM(FILTER('Sprint 10'!O:O, (('Sprint 10'!J:J = ""Done"")) * ('Sprint 10'!P:P = ""mid-sprint""))),0)"),12.0)</f>
        <v>12</v>
      </c>
      <c r="E9" s="212">
        <f>IFERROR(__xludf.DUMMYFUNCTION("ROUND(IFERROR(SUM(FILTER('Sprint 10'!S:S, (('Sprint 10'!J:J = ""Done"")) * ('Sprint 10'!P:P = ""mid-sprint"")))/3600,0),2)"),5.17)</f>
        <v>5.17</v>
      </c>
      <c r="F9" s="225" t="s">
        <v>259</v>
      </c>
    </row>
    <row r="10" ht="22.5" customHeight="1">
      <c r="A10" s="218" t="s">
        <v>258</v>
      </c>
      <c r="B10" s="212">
        <f>IFERROR(__xludf.DUMMYFUNCTION("IFERROR(SUM(FILTER('Sprint 10'!O:O, ('Sprint 10'!Q:Q = ""change-request""))),0)"),0.0)</f>
        <v>0</v>
      </c>
      <c r="C10" s="212">
        <f>IFERROR(__xludf.DUMMYFUNCTION("ROUND(IFERROR(SUM(FILTER('Sprint 10'!S:S, ('Sprint 10'!Q:Q = ""change-request"")))/3600,0),2)"),0.0)</f>
        <v>0</v>
      </c>
      <c r="D10" s="212">
        <f>IFERROR(__xludf.DUMMYFUNCTION("IFERROR(SUM(FILTER('Sprint 10'!O:O, (('Sprint 10'!J:J = ""Done"")) * ('Sprint 10'!Q:Q = ""change-request""))),0)"),0.0)</f>
        <v>0</v>
      </c>
      <c r="E10" s="212">
        <f>IFERROR(__xludf.DUMMYFUNCTION("ROUND(IFERROR(SUM(FILTER('Sprint 10'!S:S, (('Sprint 10'!J:J = ""Done"")) * ('Sprint 10'!Q:Q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10'!O:O, ('Sprint 10'!E:E = ""Aek:Atiphat Nanthachitvanich""))),0)"),32.0)</f>
        <v>32</v>
      </c>
      <c r="C12" s="223">
        <f>IFERROR(__xludf.DUMMYFUNCTION("ROUND(IFERROR(SUM(FILTER('Sprint 10'!S:S, ('Sprint 10'!E:E = ""Aek:Atiphat Nanthachitvanich"")))/3600,0),2)"),28.83)</f>
        <v>28.83</v>
      </c>
      <c r="D12" s="216">
        <f>IFERROR(__xludf.DUMMYFUNCTION("IFERROR(SUM(FILTER('Sprint 10'!O:O, (('Sprint 10'!J:J = ""Done"")) * ('Sprint 10'!E:E = ""Aek:Atiphat Nanthachitvanich""))),0)"),18.0)</f>
        <v>18</v>
      </c>
      <c r="E12" s="223">
        <f>IFERROR(__xludf.DUMMYFUNCTION("ROUND(IFERROR(SUM(FILTER('Sprint 10'!S:S, (('Sprint 10'!J:J = ""Done"")) * ('Sprint 10'!E:E = ""Aek:Atiphat Nanthachitvanich"")))/3600,0),2)"),19.83)</f>
        <v>19.83</v>
      </c>
      <c r="F12" s="224"/>
    </row>
    <row r="13" ht="22.5" customHeight="1">
      <c r="A13" s="218" t="s">
        <v>32</v>
      </c>
      <c r="B13" s="216">
        <f>IFERROR(__xludf.DUMMYFUNCTION("IFERROR(SUM(FILTER('Sprint 10'!O:O, ('Sprint 10'!E:E = ""A:Phongthorn""))),0)"),41.0)</f>
        <v>41</v>
      </c>
      <c r="C13" s="223">
        <f>IFERROR(__xludf.DUMMYFUNCTION("ROUND(IFERROR(SUM(FILTER('Sprint 10'!S:S, ('Sprint 10'!E:E = ""A:Phongthorn"")))/3600,0),2)"),58.0)</f>
        <v>58</v>
      </c>
      <c r="D13" s="216">
        <f>IFERROR(__xludf.DUMMYFUNCTION("IFERROR(SUM(FILTER('Sprint 10'!O:O, (('Sprint 10'!J:J = ""Done"")) * ('Sprint 10'!E:E = ""A:Phongthorn""))),0)"),22.0)</f>
        <v>22</v>
      </c>
      <c r="E13" s="223">
        <f>IFERROR(__xludf.DUMMYFUNCTION("ROUND(IFERROR(SUM(FILTER('Sprint 10'!S:S, (('Sprint 10'!J:J = ""Done"")) * ('Sprint 10'!E:E = ""A:Phongthorn"")))/3600,0),2)"),26.0)</f>
        <v>26</v>
      </c>
      <c r="F13" s="224"/>
    </row>
    <row r="14" ht="22.5" customHeight="1">
      <c r="A14" s="218" t="s">
        <v>72</v>
      </c>
      <c r="B14" s="216">
        <f>IFERROR(__xludf.DUMMYFUNCTION("IFERROR(SUM(FILTER('Sprint 10'!O:O, ('Sprint 10'!E:E = ""Aom: Pornsawan Polnyiem""))),0)"),48.0)</f>
        <v>48</v>
      </c>
      <c r="C14" s="223">
        <f>IFERROR(__xludf.DUMMYFUNCTION("ROUND(IFERROR(SUM(FILTER('Sprint 10'!S:S, ('Sprint 10'!E:E = ""Aom: Pornsawan Polnyiem"")))/3600,0),2)"),17.67)</f>
        <v>17.67</v>
      </c>
      <c r="D14" s="216">
        <f>IFERROR(__xludf.DUMMYFUNCTION("IFERROR(SUM(FILTER('Sprint 10'!O:O, (('Sprint 10'!J:J = ""Done"")) * ('Sprint 10'!E:E = ""Aom: Pornsawan Polnyiem""))),0)"),29.0)</f>
        <v>29</v>
      </c>
      <c r="E14" s="223">
        <f>IFERROR(__xludf.DUMMYFUNCTION("ROUND(IFERROR(SUM(FILTER('Sprint 10'!S:S, (('Sprint 10'!J:J = ""Done"")) * ('Sprint 10'!E:E = ""Aom: Pornsawan Polnyiem"")))/3600,0),2)"),17.67)</f>
        <v>17.67</v>
      </c>
      <c r="F14" s="224"/>
    </row>
    <row r="15" ht="22.5" customHeight="1">
      <c r="A15" s="218" t="s">
        <v>24</v>
      </c>
      <c r="B15" s="216">
        <f>IFERROR(__xludf.DUMMYFUNCTION("IFERROR(SUM(FILTER('Sprint 10'!O:O, ('Sprint 10'!E:E = ""Zan : Isarapong Bulan""))),0)"),19.0)</f>
        <v>19</v>
      </c>
      <c r="C15" s="223">
        <f>IFERROR(__xludf.DUMMYFUNCTION("ROUND(IFERROR(SUM(FILTER('Sprint 10'!S:S, ('Sprint 10'!E:E = ""Zan : Isarapong Bulan"")))/3600,0),2)"),8.0)</f>
        <v>8</v>
      </c>
      <c r="D15" s="216">
        <f>IFERROR(__xludf.DUMMYFUNCTION("IFERROR(SUM(FILTER('Sprint 10'!O:O, (('Sprint 10'!J:J = ""Done"")) * ('Sprint 10'!E:E = ""Zan : Isarapong Bulan""))),0)"),14.0)</f>
        <v>14</v>
      </c>
      <c r="E15" s="223">
        <f>IFERROR(__xludf.DUMMYFUNCTION("ROUND(IFERROR(SUM(FILTER('Sprint 10'!S:S, (('Sprint 10'!J:J = ""Done"")) * ('Sprint 10'!E:E = ""Zan : Isarapong Bulan"")))/3600,0),2)"),0.0)</f>
        <v>0</v>
      </c>
      <c r="F15" s="224"/>
    </row>
    <row r="16" ht="22.5" customHeight="1">
      <c r="A16" s="218" t="s">
        <v>73</v>
      </c>
      <c r="B16" s="216">
        <f>IFERROR(__xludf.DUMMYFUNCTION("IFERROR(SUM(FILTER('Sprint 10'!O:O, ('Sprint 10'!E:E = ""Mai:Sateta Abvanawong""))),0)"),64.0)</f>
        <v>64</v>
      </c>
      <c r="C16" s="223">
        <f>IFERROR(__xludf.DUMMYFUNCTION("ROUND(IFERROR(SUM(FILTER('Sprint 10'!S:S, ('Sprint 10'!E:E = ""Mai:Sateta Abvanawong"")))/3600,0),2)"),44.0)</f>
        <v>44</v>
      </c>
      <c r="D16" s="216">
        <f>IFERROR(__xludf.DUMMYFUNCTION("IFERROR(SUM(FILTER('Sprint 10'!O:O, (('Sprint 10'!J:J = ""Done"")) * ('Sprint 10'!E:E = ""Mai:Sateta Abvanawong""))),0)"),5.0)</f>
        <v>5</v>
      </c>
      <c r="E16" s="223">
        <f>IFERROR(__xludf.DUMMYFUNCTION("ROUND(IFERROR(SUM(FILTER('Sprint 10'!S:S, (('Sprint 10'!J:J = ""Done"")) * ('Sprint 10'!E:E = ""Mai:Sateta Abvanawong""))),0)/3600,2)"),6.0)</f>
        <v>6</v>
      </c>
      <c r="F16" s="224"/>
    </row>
    <row r="17" ht="22.5" customHeight="1">
      <c r="A17" s="218" t="s">
        <v>74</v>
      </c>
      <c r="B17" s="216">
        <f>IFERROR(__xludf.DUMMYFUNCTION("IFERROR(SUM(FILTER('Sprint 10'!O:O, ('Sprint 10'!E:E = ""Mac: Jarupong Pawichpongkul""))),0)"),59.0)</f>
        <v>59</v>
      </c>
      <c r="C17" s="223">
        <f>IFERROR(__xludf.DUMMYFUNCTION("ROUND(IFERROR(SUM(FILTER('Sprint 10'!S:S, ('Sprint 10'!E:E = ""Mac: Jarupong Pawichpongkul"")))/3600,0),2)"),32.0)</f>
        <v>32</v>
      </c>
      <c r="D17" s="216">
        <f>IFERROR(__xludf.DUMMYFUNCTION("IFERROR(SUM(FILTER('Sprint 10'!O:O, (('Sprint 10'!J:J = ""Done"")) * ('Sprint 10'!E:E = ""Mac: Jarupong Pawichpongkul""))),0)"),0.0)</f>
        <v>0</v>
      </c>
      <c r="E17" s="223">
        <f>IFERROR(__xludf.DUMMYFUNCTION("ROUND(IFERROR(SUM(FILTER('Sprint 10'!S:S, (('Sprint 10'!J:J = ""Done"")) * ('Sprint 10'!E:E = ""Mac: 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10'!O:O, ('Sprint 10'!E:E = ""Moss : Kittapath Sangvikukit""))),0)"),51.0)</f>
        <v>51</v>
      </c>
      <c r="C18" s="223">
        <f>IFERROR(__xludf.DUMMYFUNCTION("ROUND(IFERROR(SUM(FILTER('Sprint 10'!S:S, ('Sprint 10'!E:E = ""Moss : Kittapath Sangvikukit"")))/3600,0),2)"),48.0)</f>
        <v>48</v>
      </c>
      <c r="D18" s="216">
        <f>IFERROR(__xludf.DUMMYFUNCTION("IFERROR(SUM(FILTER('Sprint 10'!O:O, (('Sprint 10'!J:J = ""Done"")) * ('Sprint 10'!E:E = ""Moss : Kittapath Sangvikukit""))),0)"),11.0)</f>
        <v>11</v>
      </c>
      <c r="E18" s="223">
        <f>IFERROR(__xludf.DUMMYFUNCTION("ROUND(IFERROR(SUM(FILTER('Sprint 10'!S:S, (('Sprint 10'!J:J = ""Done"")) * ('Sprint 10'!E:E = ""Moss : Kittapath Sangvikukit"")))/3600,0),2)"),12.0)</f>
        <v>12</v>
      </c>
      <c r="F18" s="224"/>
    </row>
    <row r="19" ht="22.5" customHeight="1">
      <c r="A19" s="218" t="s">
        <v>28</v>
      </c>
      <c r="B19" s="216">
        <f>IFERROR(__xludf.DUMMYFUNCTION("IFERROR(SUM(FILTER('Sprint 10'!O:O, ('Sprint 10'!E:E = ""Jack: Warin Kesorn""))),0)"),22.0)</f>
        <v>22</v>
      </c>
      <c r="C19" s="223">
        <f>IFERROR(__xludf.DUMMYFUNCTION("ROUND(IFERROR(SUM(FILTER('Sprint 10'!S:S, ('Sprint 10'!E:E = ""Jack: Warin Kesorn"")))/3600,0),2)"),1.0)</f>
        <v>1</v>
      </c>
      <c r="D19" s="216">
        <f>IFERROR(__xludf.DUMMYFUNCTION("IFERROR(SUM(FILTER('Sprint 10'!O:O, (('Sprint 10'!J:J = ""Done"")) * ('Sprint 10'!E:E = ""Jack: Warin Kesorn""))),0)"),14.0)</f>
        <v>14</v>
      </c>
      <c r="E19" s="223">
        <f>IFERROR(__xludf.DUMMYFUNCTION("ROUND(IFERROR(SUM(FILTER('Sprint 10'!S:S, (('Sprint 10'!J:J = ""Done"")) * ('Sprint 10'!E:E = ""Jack: Warin Kesorn"")))/3600,0),2)"),1.0)</f>
        <v>1</v>
      </c>
      <c r="F19" s="224"/>
    </row>
    <row r="20" ht="22.5" customHeight="1">
      <c r="A20" s="218" t="s">
        <v>3616</v>
      </c>
      <c r="B20" s="216">
        <f>IFERROR(__xludf.DUMMYFUNCTION("IFERROR(SUM(FILTER('Sprint 10'!O:O, ('Sprint 10'!E:E = ""Art_narupontp""))),0)"),0.0)</f>
        <v>0</v>
      </c>
      <c r="C20" s="223">
        <f>IFERROR(__xludf.DUMMYFUNCTION("ROUND(IFERROR(SUM(FILTER('Sprint 10'!S:S, ('Sprint 10'!E:E = ""Art_narupontp"")))/3600,0),2)"),0.0)</f>
        <v>0</v>
      </c>
      <c r="D20" s="216">
        <f>IFERROR(__xludf.DUMMYFUNCTION("IFERROR(SUM(FILTER('Sprint 10'!O:O, (('Sprint 10'!J:J = ""Done"")) * ('Sprint 10'!E:E = ""Art_narupontp""))),0)"),0.0)</f>
        <v>0</v>
      </c>
      <c r="E20" s="223">
        <f>IFERROR(__xludf.DUMMYFUNCTION("ROUND(IFERROR(SUM(FILTER('Sprint 10'!S:S, (('Sprint 10'!J:J = ""Done"")) * ('Sprint 10'!E:E = ""Art_narupontp"")))/3600,0),2)"),0.0)</f>
        <v>0</v>
      </c>
      <c r="F20" s="224"/>
    </row>
    <row r="21" ht="22.5" customHeight="1">
      <c r="A21" s="218" t="s">
        <v>3617</v>
      </c>
      <c r="B21" s="216">
        <f>IFERROR(__xludf.DUMMYFUNCTION("IFERROR(SUM(FILTER('Sprint 10'!O:O, ('Sprint 10'!E:E = ""Kae: Pimonrath Jaiyen""))),0)"),37.0)</f>
        <v>37</v>
      </c>
      <c r="C21" s="223">
        <f>IFERROR(__xludf.DUMMYFUNCTION("ROUND(IFERROR(SUM(FILTER('Sprint 10'!S:S, ('Sprint 10'!E:E = ""Kae: Pimonrath Jaiyen"")))/3600,0),2)"),32.0)</f>
        <v>32</v>
      </c>
      <c r="D21" s="216">
        <f>IFERROR(__xludf.DUMMYFUNCTION("IFERROR(SUM(FILTER('Sprint 10'!O:O, (('Sprint 10'!J:J = ""Done"")) * ('Sprint 10'!E:E = ""Kae: Pimonrath Jaiyen""))),0)"),23.0)</f>
        <v>23</v>
      </c>
      <c r="E21" s="223">
        <f>IFERROR(__xludf.DUMMYFUNCTION("ROUND(IFERROR(SUM(FILTER('Sprint 10'!S:S, (('Sprint 10'!J:J = ""Done"")) * ('Sprint 10'!E:E = ""Kae: Pimonrath Jaiyen"")))/3600,0),2)"),0.0)</f>
        <v>0</v>
      </c>
      <c r="F21" s="224"/>
    </row>
    <row r="22" ht="22.5" customHeight="1">
      <c r="A22" s="218" t="s">
        <v>76</v>
      </c>
      <c r="B22" s="216">
        <f>IFERROR(__xludf.DUMMYFUNCTION("IFERROR(SUM(FILTER('Sprint 10'!O:O, ('Sprint 10'!E:E = ""Nim : muthita munmueang""))),0)"),59.0)</f>
        <v>59</v>
      </c>
      <c r="C22" s="223">
        <f>IFERROR(__xludf.DUMMYFUNCTION("ROUND(IFERROR(SUM(FILTER('Sprint 10'!S:S, ('Sprint 10'!E:E = ""Nim : muthita munmueang"")))/3600,0),2)"),28.0)</f>
        <v>28</v>
      </c>
      <c r="D22" s="216">
        <f>IFERROR(__xludf.DUMMYFUNCTION("IFERROR(SUM(FILTER('Sprint 10'!O:O, (('Sprint 10'!J:J = ""Done"")) * ('Sprint 10'!E:E = ""Nim : muthita munmueang""))),0)"),21.0)</f>
        <v>21</v>
      </c>
      <c r="E22" s="223">
        <f>IFERROR(__xludf.DUMMYFUNCTION("ROUND(IFERROR(SUM(FILTER('Sprint 10'!S:S, (('Sprint 10'!J:J = ""Done"")) * ('Sprint 10'!E:E = ""Nim : muthita munmueang"")))/3600,0),2)"),0.0)</f>
        <v>0</v>
      </c>
      <c r="F22" s="224"/>
    </row>
    <row r="23">
      <c r="C23" s="125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42" t="s">
        <v>3615</v>
      </c>
      <c r="J25" s="234"/>
      <c r="K25" s="234"/>
      <c r="L25" s="235"/>
    </row>
    <row r="26" ht="20.25" customHeight="1">
      <c r="A26" s="239" t="s">
        <v>2214</v>
      </c>
      <c r="B26" s="243" t="s">
        <v>30</v>
      </c>
      <c r="C26" s="243" t="s">
        <v>24</v>
      </c>
      <c r="D26" s="243" t="s">
        <v>72</v>
      </c>
      <c r="E26" s="243" t="s">
        <v>28</v>
      </c>
      <c r="F26" s="243" t="s">
        <v>32</v>
      </c>
      <c r="G26" s="243" t="s">
        <v>3616</v>
      </c>
      <c r="H26" s="243" t="s">
        <v>73</v>
      </c>
      <c r="I26" s="243" t="s">
        <v>3617</v>
      </c>
      <c r="J26" s="243" t="s">
        <v>74</v>
      </c>
      <c r="K26" s="243" t="s">
        <v>76</v>
      </c>
      <c r="L26" s="243" t="s">
        <v>75</v>
      </c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101" t="s">
        <v>4665</v>
      </c>
      <c r="B27" s="99">
        <f>IFERROR(__xludf.DUMMYFUNCTION("IFERROR(
  SUM(
    FILTER(
      'Sprint 10'!O:O,
      ('Sprint 10'!E:E = ""Aek:Atiphat Nanthachitvanich"") *
      (LEFT('Sprint 10'!B:B,7) = ""RDTHANA"")
    )
  ),
0)"),4.0)</f>
        <v>4</v>
      </c>
      <c r="C27" s="99">
        <f>IFERROR(__xludf.DUMMYFUNCTION("IFERROR(
  SUM(
    FILTER(
      'Sprint 10'!O:O,
      ('Sprint 10'!E:E = ""Zan : Isarapong Bulan"") *
      (LEFT('Sprint 10'!B:B,7) = ""RDTHANA"")
    )
  ),
0)"),5.0)</f>
        <v>5</v>
      </c>
      <c r="D27" s="99">
        <f>IFERROR(__xludf.DUMMYFUNCTION("IFERROR(
  SUM(
    FILTER(
      'Sprint 10'!O:O,
      ('Sprint 10'!E:E = ""Aom: Pornsawan Polnyiem"") *
      (LEFT('Sprint 10'!B:B,7) = ""RDTHANA"")
    )
  ),
0)"),1.0)</f>
        <v>1</v>
      </c>
      <c r="E27" s="99">
        <f>IFERROR(__xludf.DUMMYFUNCTION("IFERROR(
  SUM(
    FILTER(
      'Sprint 10'!O:O,
      ('Sprint 10'!E:E = ""Jack: Warin Kesorn"") *
      (LEFT('Sprint 10'!B:B,7) = ""RDTHANA"")
    )
  ),
0)"),8.0)</f>
        <v>8</v>
      </c>
      <c r="F27" s="99">
        <f>IFERROR(__xludf.DUMMYFUNCTION("IFERROR(
  SUM(
    FILTER(
      'Sprint 10'!O:O,
      ('Sprint 10'!E:E = ""A:Phongthorn"") *
      (LEFT('Sprint 10'!B:B,7) = ""RDTHANA"")
    )
  ),
0)"),23.0)</f>
        <v>23</v>
      </c>
      <c r="G27" s="99">
        <f>IFERROR(__xludf.DUMMYFUNCTION("IFERROR(
  SUM(
    FILTER(
      'Sprint 10'!O:O,
      ('Sprint 10'!E:E = ""Art_narupontp"") *
      (LEFT('Sprint 10'!B:B,7) = ""RDTHANA"")
    )
  ),
0)"),0.0)</f>
        <v>0</v>
      </c>
      <c r="H27" s="99">
        <f>IFERROR(__xludf.DUMMYFUNCTION("IFERROR(
  SUM(
    FILTER(
      'Sprint 10'!O:O,
      ('Sprint 10'!E:E = ""Mai:Sateta Abvanawong"") *
      (LEFT('Sprint 10'!B:B,7) = ""RDTHANA"")
    )
  ),
0)"),36.0)</f>
        <v>36</v>
      </c>
      <c r="I27" s="99">
        <f>IFERROR(__xludf.DUMMYFUNCTION("IFERROR(
  SUM(
    FILTER(
      'Sprint 10'!O:O,
      ('Sprint 10'!E:E = ""Kae: Pimonrath Jaiyen"") *
      (LEFT('Sprint 10'!B:B,7) = ""RDTHANA"")
    )
  ),
0)"),26.0)</f>
        <v>26</v>
      </c>
      <c r="J27" s="99">
        <f>IFERROR(__xludf.DUMMYFUNCTION("IFERROR(
  SUM(
    FILTER(
      'Sprint 10'!O:O,
      ('Sprint 10'!E:E = ""Mac: Jarupong Pawichpongkul"") *
      (LEFT('Sprint 10'!B:B,7) = ""RDTHANA"")
    )
  ),
0)"),45.0)</f>
        <v>45</v>
      </c>
      <c r="K27" s="99">
        <f>IFERROR(__xludf.DUMMYFUNCTION("IFERROR(
  SUM(
    FILTER(
      'Sprint 10'!O:O,
      ('Sprint 10'!E:E = ""Nim : muthita munmueang"") *
      (LEFT('Sprint 10'!B:B,7) = ""RDTHANA"")
    )
  ),
0)"),32.0)</f>
        <v>32</v>
      </c>
      <c r="L27" s="99">
        <f>IFERROR(__xludf.DUMMYFUNCTION("IFERROR(
  SUM(
    FILTER(
      'Sprint 10'!O:O,
      ('Sprint 10'!E:E = ""Moss : Kittapath Sangvikukit"") *
      (LEFT('Sprint 10'!B:B,7) = ""RDTHANA"")
    )
  ),
0)"),40.0)</f>
        <v>40</v>
      </c>
    </row>
    <row r="28">
      <c r="A28" s="101" t="s">
        <v>4666</v>
      </c>
      <c r="B28" s="99">
        <f>IFERROR(__xludf.DUMMYFUNCTION("IFERROR(
  SUM(
    FILTER(
      'Sprint 10'!O:O,
      ('Sprint 10'!E:E = ""Aek:Atiphat Nanthachitvanich"") *
      (LEFT('Sprint 10'!B:B,9) = ""DEVRDECOM"")
    )
  ),
0)"),18.0)</f>
        <v>18</v>
      </c>
      <c r="C28" s="99">
        <f>IFERROR(__xludf.DUMMYFUNCTION("IFERROR(
  SUM(
    FILTER(
      'Sprint 10'!O:O,
      ('Sprint 10'!E:E = ""Zan : Isarapong Bulan"") *
      (LEFT('Sprint 10'!B:B,9) = ""DEVRDECOM"")
    )
  ),
0)"),0.0)</f>
        <v>0</v>
      </c>
      <c r="D28" s="99">
        <f>IFERROR(__xludf.DUMMYFUNCTION("IFERROR(
  SUM(
    FILTER(
      'Sprint 10'!O:O,
      ('Sprint 10'!E:E = ""Aom: Pornsawan Polnyiem"") *
      (LEFT('Sprint 10'!B:B,9) = ""DEVRDECOM"")
    )
  ),
0)"),0.0)</f>
        <v>0</v>
      </c>
      <c r="E28" s="99">
        <f>IFERROR(__xludf.DUMMYFUNCTION("IFERROR(
  SUM(
    FILTER(
      'Sprint 10'!O:O,
      ('Sprint 10'!E:E = ""Jack: Warin Kesorn"") *
      (LEFT('Sprint 10'!B:B,9) = ""DEVRDECOM"")
    )
  ),
0)"),8.0)</f>
        <v>8</v>
      </c>
      <c r="F28" s="99">
        <f>IFERROR(__xludf.DUMMYFUNCTION("IFERROR(
  SUM(
    FILTER(
      'Sprint 10'!O:O,
      ('Sprint 10'!E:E = ""A:Phongthorn"") *
      (LEFT('Sprint 10'!B:B,9) = ""DEVRDECOM"")
    )
  ),
0)"),7.0)</f>
        <v>7</v>
      </c>
      <c r="G28" s="99">
        <f>IFERROR(__xludf.DUMMYFUNCTION("IFERROR(
  SUM(
    FILTER(
      'Sprint 10'!O:O,
      ('Sprint 10'!E:E = ""Art_narupontp"") *
      (LEFT('Sprint 10'!B:B,9) = ""DEVRDECOM"")
    )
  ),
0)"),0.0)</f>
        <v>0</v>
      </c>
      <c r="H28" s="99">
        <f>IFERROR(__xludf.DUMMYFUNCTION("IFERROR(
  SUM(
    FILTER(
      'Sprint 10'!O:O,
      ('Sprint 10'!E:E = ""Mai:Sateta Abvanawong"") *
      (LEFT('Sprint 10'!B:B,9) = ""DEVRDECOM"")
    )
  ),
0)"),3.0)</f>
        <v>3</v>
      </c>
      <c r="I28" s="99">
        <f>IFERROR(__xludf.DUMMYFUNCTION("IFERROR(
  SUM(
    FILTER(
      'Sprint 10'!O:O,
      ('Sprint 10'!E:E = ""Kae: Pimonrath Jaiyen"") *
      (LEFT('Sprint 10'!B:B,9) = ""DEVRDECOM"")
    )
  ),
0)"),8.0)</f>
        <v>8</v>
      </c>
      <c r="J28" s="99">
        <f>IFERROR(__xludf.DUMMYFUNCTION("IFERROR(
  SUM(
    FILTER(
      'Sprint 10'!O:O,
      ('Sprint 10'!E:E = ""Mac: Jarupong Pawichpongkul"") *
      (LEFT('Sprint 10'!B:B,9) = ""DEVRDECOM"")
    )
  ),
0)"),3.0)</f>
        <v>3</v>
      </c>
      <c r="K28" s="99">
        <f>IFERROR(__xludf.DUMMYFUNCTION("IFERROR(
  SUM(
    FILTER(
      'Sprint 10'!O:O,
      ('Sprint 10'!E:E = ""Nim : muthita munmueang"") *
      (LEFT('Sprint 10'!B:B,9) = ""DEVRDECOM"")
    )
  ),
0)"),2.0)</f>
        <v>2</v>
      </c>
      <c r="L28" s="99">
        <f>IFERROR(__xludf.DUMMYFUNCTION("IFERROR(
  SUM(
    FILTER(
      'Sprint 10'!O:O,
      ('Sprint 10'!E:E = ""Moss : Kittapath Sangvikukit"") *
      (LEFT('Sprint 10'!B:B,9) = ""DEVRDECOM"")
    )
  ),
0)"),11.0)</f>
        <v>11</v>
      </c>
    </row>
    <row r="29" ht="32.25" customHeight="1">
      <c r="A29" s="101" t="s">
        <v>4667</v>
      </c>
      <c r="B29" s="99">
        <f>IFERROR(__xludf.DUMMYFUNCTION("IFERROR(
  SUM(
    FILTER(
      'Sprint 10'!O:O,
      ('Sprint 10'!E:E = ""Aek:Atiphat Nanthachitvanich"") *
      (LEFT('Sprint 10'!B:B,7) = ""DEVRDCT"")
    )
  ),
0)"),9.0)</f>
        <v>9</v>
      </c>
      <c r="C29" s="99">
        <f>IFERROR(__xludf.DUMMYFUNCTION("IFERROR(
  SUM(
    FILTER(
      'Sprint 10'!O:O,
      ('Sprint 10'!E:E = ""Zan : Isarapong Bulan"") *
      (LEFT('Sprint 10'!B:B,7) = ""DEVRDCT"")
    )
  ),
0)"),0.0)</f>
        <v>0</v>
      </c>
      <c r="D29" s="99">
        <f>IFERROR(__xludf.DUMMYFUNCTION("IFERROR(
  SUM(
    FILTER(
      'Sprint 10'!O:O,
      ('Sprint 10'!E:E = ""Aom: Pornsawan Polnyiem"") *
      (LEFT('Sprint 10'!B:B,7) = ""DEVRDCT"")
    )
  ),
0)"),3.0)</f>
        <v>3</v>
      </c>
      <c r="E29" s="99">
        <f>IFERROR(__xludf.DUMMYFUNCTION("IFERROR(
  SUM(
    FILTER(
      'Sprint 10'!O:O,
      ('Sprint 10'!E:E = ""Jack: Warin Kesorn"") *
      (LEFT('Sprint 10'!B:B,7) = ""DEVRDCT"")
    )
  ),
0)"),4.0)</f>
        <v>4</v>
      </c>
      <c r="F29" s="99">
        <f>IFERROR(__xludf.DUMMYFUNCTION("IFERROR(
  SUM(
    FILTER(
      'Sprint 10'!O:O,
      ('Sprint 10'!E:E = ""A:Phongthorn"") *
      (LEFT('Sprint 10'!B:B,7) = ""DEVRDCT"")
    )
  ),
0)"),0.0)</f>
        <v>0</v>
      </c>
      <c r="G29" s="99">
        <f>IFERROR(__xludf.DUMMYFUNCTION("IFERROR(
  SUM(
    FILTER(
      'Sprint 10'!O:O,
      ('Sprint 10'!E:E = ""Art_narupontp"") *
      (LEFT('Sprint 10'!B:B,7) = ""DEVRDCT"")
    )
  ),
0)"),0.0)</f>
        <v>0</v>
      </c>
      <c r="H29" s="99">
        <f>IFERROR(__xludf.DUMMYFUNCTION("IFERROR(
  SUM(
    FILTER(
      'Sprint 10'!O:O,
      ('Sprint 10'!E:E = ""Mai:Sateta Abvanawong"") *
      (LEFT('Sprint 10'!B:B,7) = ""DEVRDCT"")
    )
  ),
0)"),0.0)</f>
        <v>0</v>
      </c>
      <c r="I29" s="99">
        <f>IFERROR(__xludf.DUMMYFUNCTION("IFERROR(
  SUM(
    FILTER(
      'Sprint 10'!O:O,
      ('Sprint 10'!E:E = ""Moss : Kittapath Sangvikukit"") *
      (LEFT('Sprint 10'!B:B,7) = ""DEVRDCT"")
    )
  ),
0)"),0.0)</f>
        <v>0</v>
      </c>
      <c r="J29" s="99">
        <f>IFERROR(__xludf.DUMMYFUNCTION("IFERROR(
  SUM(
    FILTER(
      'Sprint 10'!O:O,
      ('Sprint 10'!E:E = ""Mac: Jarupong Pawichpongkul"") *
      (LEFT('Sprint 10'!B:B,7) = ""DEVRDCT"")
    )
  ),
0)"),4.0)</f>
        <v>4</v>
      </c>
      <c r="K29" s="99">
        <f>IFERROR(__xludf.DUMMYFUNCTION("IFERROR(
  SUM(
    FILTER(
      'Sprint 10'!O:O,
      ('Sprint 10'!E:E = ""Moss : Kittapath Sangvikukit"") *
      (LEFT('Sprint 10'!B:B,7) = ""DEVRDCT"")
    )
  ),
0)"),0.0)</f>
        <v>0</v>
      </c>
      <c r="L29" s="99">
        <f>IFERROR(__xludf.DUMMYFUNCTION("IFERROR(
  SUM(
    FILTER(
      'Sprint 10'!O:O,
      ('Sprint 10'!E:E = ""Moss : Kittapath Sangvikukit"") *
      (LEFT('Sprint 10'!B:B,7) = ""DEVRDCT"")
    )
  ),
0)"),0.0)</f>
        <v>0</v>
      </c>
    </row>
    <row r="30" ht="22.5" customHeight="1">
      <c r="A30" s="101" t="s">
        <v>4668</v>
      </c>
      <c r="B30" s="99">
        <f>IFERROR(__xludf.DUMMYFUNCTION("IFERROR(
  SUM(
    FILTER(
      'Sprint 10'!O:O,
      ('Sprint 10'!E:E = ""Aek:Atiphat Nanthachitvanich"") *
      (LEFT('Sprint 10'!B:B,8) = ""DEVRDADJ"")
    )
  ),
0)"),0.0)</f>
        <v>0</v>
      </c>
      <c r="C30" s="99">
        <f>IFERROR(__xludf.DUMMYFUNCTION("IFERROR(
  SUM(
    FILTER(
      'Sprint 10'!O:O,
      ('Sprint 10'!E:E = ""Zan : Isarapong Bulan"") *
      (LEFT('Sprint 10'!B:B,8) = ""DEVRDADJ"")
    )
  ),
0)"),0.0)</f>
        <v>0</v>
      </c>
      <c r="D30" s="99">
        <f>IFERROR(__xludf.DUMMYFUNCTION("IFERROR(
  SUM(
    FILTER(
      'Sprint 10'!O:O,
      ('Sprint 10'!E:E = ""Aom: Pornsawan Polnyiem"") *
      (LEFT('Sprint 10'!B:B,8) = ""DEVRDADJ"")
    )
  ),
0)"),0.0)</f>
        <v>0</v>
      </c>
      <c r="E30" s="99">
        <f>IFERROR(__xludf.DUMMYFUNCTION("IFERROR(
  SUM(
    FILTER(
      'Sprint 10'!O:O,
      ('Sprint 10'!E:E = ""Jack: Warin Kesorn"") *
      (LEFT('Sprint 10'!B:B,8) = ""DEVRDADJ"")
    )
  ),
0)"),0.0)</f>
        <v>0</v>
      </c>
      <c r="F30" s="99">
        <f>IFERROR(__xludf.DUMMYFUNCTION("IFERROR(
  SUM(
    FILTER(
      'Sprint 10'!O:O,
      ('Sprint 10'!E:E = ""A:Phongthorn"") *
      (LEFT('Sprint 10'!B:B,8) = ""DEVRDADJ"")
    )
  ),
0)"),0.0)</f>
        <v>0</v>
      </c>
      <c r="G30" s="99">
        <f>IFERROR(__xludf.DUMMYFUNCTION("IFERROR(
  SUM(
    FILTER(
      'Sprint 10'!O:O,
      ('Sprint 10'!E:E = ""Art_narupontp"") *
      (LEFT('Sprint 10'!B:B,8) = ""DEVRDADJ"")
    )
  ),
0)"),0.0)</f>
        <v>0</v>
      </c>
      <c r="H30" s="99">
        <f>IFERROR(__xludf.DUMMYFUNCTION("IFERROR(
  SUM(
    FILTER(
      'Sprint 10'!O:O,
      ('Sprint 10'!E:E = ""Mai:Sateta Abvanawong"") *
      (LEFT('Sprint 10'!B:B,8) = ""DEVRDADJ"")
    )
  ),
0)"),2.0)</f>
        <v>2</v>
      </c>
      <c r="I30" s="99">
        <f>IFERROR(__xludf.DUMMYFUNCTION("IFERROR(
  SUM(
    FILTER(
      'Sprint 10'!O:O,
      ('Sprint 10'!E:E = ""Kae: Pimonrath Jaiyen"") *
      (LEFT('Sprint 10'!B:B,8) = ""DEVRDADJ"")
    )
  ),
0)"),0.0)</f>
        <v>0</v>
      </c>
      <c r="J30" s="99">
        <f>IFERROR(__xludf.DUMMYFUNCTION("IFERROR(
  SUM(
    FILTER(
      'Sprint 10'!O:O,
      ('Sprint 10'!E:E = ""Mac: Jarupong Pawichpongkul"") *
      (LEFT('Sprint 10'!B:B,8) = ""DEVRDADJ"")
    )
  ),
0)"),2.0)</f>
        <v>2</v>
      </c>
      <c r="K30" s="99">
        <f>IFERROR(__xludf.DUMMYFUNCTION("IFERROR(
  SUM(
    FILTER(
      'Sprint 10'!O:O,
      ('Sprint 10'!E:E = ""Nim : muthita munmueang"") *
      (LEFT('Sprint 10'!B:B,8) = ""DEVRDADJ"")
    )
  ),
0)"),5.0)</f>
        <v>5</v>
      </c>
      <c r="L30" s="99">
        <f>IFERROR(__xludf.DUMMYFUNCTION("IFERROR(
  SUM(
    FILTER(
      'Sprint 10'!O:O,
      ('Sprint 10'!E:E = ""Moss : Kittapath Sangvikukit"") *
      (LEFT('Sprint 10'!B:B,8) = ""DEVRDADJ"")
    )
  ),
0)"),0.0)</f>
        <v>0</v>
      </c>
    </row>
    <row r="31">
      <c r="A31" s="101" t="s">
        <v>4669</v>
      </c>
      <c r="B31" s="101">
        <f>IFERROR(__xludf.DUMMYFUNCTION("IFERROR(
  SUM(
    FILTER(
      'Sprint 10'!O:O,
      ('Sprint 10'!E:E = ""Aek:Atiphat Nanthachitvanich"") *
      (LEFT('Sprint 10'!B:B,5) = ""RDAPS"")
    )
  ),
0)"),0.0)</f>
        <v>0</v>
      </c>
      <c r="C31" s="99">
        <f>IFERROR(__xludf.DUMMYFUNCTION("IFERROR(
  SUM(
    FILTER(
      'Sprint 10'!O:O,
      ('Sprint 10'!E:E = ""Zan : Isarapong Bulan"") *
      (LEFT('Sprint 10'!B:B,5) = ""RDAPS"")
    )
  ),
0)"),14.0)</f>
        <v>14</v>
      </c>
      <c r="D31" s="99">
        <f>IFERROR(__xludf.DUMMYFUNCTION("IFERROR(
  SUM(
    FILTER(
      'Sprint 10'!O:O,
      ('Sprint 10'!E:E = ""Aom: Pornsawan Polnyiem"") *
      (LEFT('Sprint 10'!B:B,5) = ""RDAPS"")
    )
  ),
0)"),25.0)</f>
        <v>25</v>
      </c>
      <c r="E31" s="99">
        <f>IFERROR(__xludf.DUMMYFUNCTION("IFERROR(
  SUM(
    FILTER(
      'Sprint 10'!O:O,
      ('Sprint 10'!E:E = ""Jack: Warin Kesorn"") *
      (LEFT('Sprint 10'!B:B,5) = ""RDAPS"")
    )
  ),
0)"),2.0)</f>
        <v>2</v>
      </c>
      <c r="F31" s="99">
        <f>IFERROR(__xludf.DUMMYFUNCTION("IFERROR(
  SUM(
    FILTER(
      'Sprint 10'!O:O,
      ('Sprint 10'!E:E = ""A:Phongthorn"") *
      (LEFT('Sprint 10'!B:B,5) = ""RDAPS"")
    )
  ),
0)"),11.0)</f>
        <v>11</v>
      </c>
      <c r="G31" s="99">
        <f>IFERROR(__xludf.DUMMYFUNCTION("IFERROR(
  SUM(
    FILTER(
      'Sprint 10'!O:O,
      ('Sprint 10'!E:E = ""Art_narupontp"") *
      (LEFT('Sprint 10'!B:B,5) = ""RDAPS"")
    )
  ),
0)"),0.0)</f>
        <v>0</v>
      </c>
      <c r="H31" s="99">
        <f>IFERROR(__xludf.DUMMYFUNCTION("IFERROR(
  SUM(
    FILTER(
      'Sprint 10'!O:O,
      ('Sprint 10'!E:E = ""Mai:Sateta Abvanawong"") *
      (LEFT('Sprint 10'!B:B,5) = ""RDAPS"")
    )
  ),
0)"),15.0)</f>
        <v>15</v>
      </c>
      <c r="I31" s="99">
        <f>IFERROR(__xludf.DUMMYFUNCTION("IFERROR(
  SUM(
    FILTER(
      'Sprint 10'!O:O,
      ('Sprint 10'!E:E = ""Kae: Pimonrath Jaiyen"") *
      (LEFT('Sprint 10'!B:B,5) = ""RDAPS"")
    )
  ),
0)"),0.0)</f>
        <v>0</v>
      </c>
      <c r="J31" s="99">
        <f>IFERROR(__xludf.DUMMYFUNCTION("IFERROR(
  SUM(
    FILTER(
      'Sprint 10'!O:O,
      ('Sprint 10'!E:E = ""Mac: Jarupong Pawichpongkul"") *
      (LEFT('Sprint 10'!B:B,5) = ""RDAPS"")
    )
  ),
0)"),0.0)</f>
        <v>0</v>
      </c>
      <c r="K31" s="99">
        <f>IFERROR(__xludf.DUMMYFUNCTION("IFERROR(
  SUM(
    FILTER(
      'Sprint 10'!O:O,
      ('Sprint 10'!E:E = ""Moss : Kittapath Sangvikukitฃ"") *
      (LEFT('Sprint 10'!B:B,5) = ""RDAPS"")
    )
  ),
0)"),0.0)</f>
        <v>0</v>
      </c>
      <c r="L31" s="99">
        <f>IFERROR(__xludf.DUMMYFUNCTION("IFERROR(
  SUM(
    FILTER(
      'Sprint 10'!O:O,
      ('Sprint 10'!E:E = ""Moss : Kittapath Sangvikukit"") *
      (LEFT('Sprint 10'!B:B,5) = ""RDAPS"")
    )
  ),
0)"),0.0)</f>
        <v>0</v>
      </c>
    </row>
    <row r="32" ht="21.0" customHeight="1">
      <c r="A32" s="101" t="s">
        <v>4670</v>
      </c>
      <c r="B32" s="101">
        <f>IFERROR(__xludf.DUMMYFUNCTION("IFERROR(
  SUM(
    FILTER(
      'Sprint 10'!O:O,
      ('Sprint 10'!E:E = ""Aek:Atiphat Nanthachitvanich"") *
      (LEFT('Sprint 10'!B:B,8) = ""DEVRDSUP"")
    )
  ),
0)"),1.0)</f>
        <v>1</v>
      </c>
      <c r="C32" s="99">
        <f>IFERROR(__xludf.DUMMYFUNCTION("IFERROR(
  SUM(
    FILTER(
      'Sprint 10'!O:O,
      ('Sprint 10'!E:E = ""Zan : Isarapong Bulan"") *
      (LEFT('Sprint 10'!B:B,8) = ""DEVRDSUP"")
    )
  ),
0)"),0.0)</f>
        <v>0</v>
      </c>
      <c r="D32" s="99">
        <f>IFERROR(__xludf.DUMMYFUNCTION("IFERROR(
  SUM(
    FILTER(
      'Sprint 10'!O:O,
      ('Sprint 10'!E:E = ""Aom: Pornsawan Polnyiem"") *
      (LEFT('Sprint 10'!B:B,8) = ""DEVRDSUP"")
    )
  ),
0)"),19.0)</f>
        <v>19</v>
      </c>
      <c r="E32" s="99">
        <f>IFERROR(__xludf.DUMMYFUNCTION("IFERROR(
  SUM(
    FILTER(
      'Sprint 10'!O:O,
      ('Sprint 10'!E:E = ""Jack: Warin Kesorn"") *
      (LEFT('Sprint 10'!B:B,8) = ""DEVRDSUP"")
    )
  ),
0)"),0.0)</f>
        <v>0</v>
      </c>
      <c r="F32" s="101">
        <f>IFERROR(__xludf.DUMMYFUNCTION("IFERROR(
  SUM(
    FILTER(
      'Sprint 10'!P:P,
      ('Sprint 10'!F:F = ""A:Phongthorn"") *
      (LEFT('Sprint 10'!C:C,8) = ""DEVRDSUP"")
    )
  ),
0)"),0.0)</f>
        <v>0</v>
      </c>
      <c r="G32" s="99">
        <f>IFERROR(__xludf.DUMMYFUNCTION("IFERROR(
  SUM(
    FILTER(
      'Sprint 10'!O:O,
      ('Sprint 10'!E:E = ""Art_narupontp"") *
      (LEFT('Sprint 10'!B:B,8) = ""DEVRDSUP"")
    )
  ),
0)"),0.0)</f>
        <v>0</v>
      </c>
      <c r="H32" s="99">
        <f>IFERROR(__xludf.DUMMYFUNCTION("IFERROR(
  SUM(
    FILTER(
      'Sprint 10'!O:O,
      ('Sprint 10'!E:E = ""Mai:Sateta Abvanawong"") *
      (LEFT('Sprint 10'!B:B,8) = ""DEVRDSUP"")
    )
  ),
0)"),8.0)</f>
        <v>8</v>
      </c>
      <c r="I32" s="99">
        <f>IFERROR(__xludf.DUMMYFUNCTION("IFERROR(
  SUM(
    FILTER(
      'Sprint 10'!O:O,
      ('Sprint 10'!E:E = ""Kae: Pimonrath Jaiyen"") *
      (LEFT('Sprint 10'!B:B,8) = ""DEVRDSUP"")
    )
  ),
0)"),0.0)</f>
        <v>0</v>
      </c>
      <c r="J32" s="99">
        <f>IFERROR(__xludf.DUMMYFUNCTION("IFERROR(
  SUM(
    FILTER(
      'Sprint 10'!O:O,
      ('Sprint 10'!E:E = ""Mac: Jarupong Pawichpongkul"") *
      (LEFT('Sprint 10'!B:B,8) = ""DEVRDSUP"")
    )
  ),
0)"),5.0)</f>
        <v>5</v>
      </c>
      <c r="K32" s="99">
        <f>IFERROR(__xludf.DUMMYFUNCTION("IFERROR(
  SUM(
    FILTER(
      'Sprint 10'!O:O,
      ('Sprint 10'!E:E = ""Nim : muthita munmueang"") *
      (LEFT('Sprint 10'!B:B,8) = ""DEVRDSUP"")
    )
  ),
0)"),0.0)</f>
        <v>0</v>
      </c>
      <c r="L32" s="99">
        <f>IFERROR(__xludf.DUMMYFUNCTION("IFERROR(
  SUM(
    FILTER(
      'Sprint 10'!O:O,
      ('Sprint 10'!E:E = ""Moss : Kittapath Sangvikukit"") *
      (LEFT('Sprint 10'!B:B,8) = ""DEVRDSUP"")
    )
  ),
0)"),0.0)</f>
        <v>0</v>
      </c>
    </row>
    <row r="33">
      <c r="C33" s="125"/>
    </row>
    <row r="34">
      <c r="C34" s="125"/>
    </row>
    <row r="35" ht="24.75" customHeight="1">
      <c r="A35" s="232"/>
      <c r="B35" s="233" t="s">
        <v>2210</v>
      </c>
      <c r="C35" s="234"/>
      <c r="D35" s="234"/>
      <c r="E35" s="235"/>
      <c r="F35" s="236" t="s">
        <v>2211</v>
      </c>
      <c r="G35" s="234"/>
      <c r="H35" s="235"/>
      <c r="I35" s="242" t="s">
        <v>3615</v>
      </c>
      <c r="J35" s="234"/>
      <c r="K35" s="234"/>
      <c r="L35" s="235"/>
    </row>
    <row r="36" ht="20.25" customHeight="1">
      <c r="A36" s="239" t="s">
        <v>3618</v>
      </c>
      <c r="B36" s="243" t="s">
        <v>30</v>
      </c>
      <c r="C36" s="243" t="s">
        <v>24</v>
      </c>
      <c r="D36" s="243" t="s">
        <v>72</v>
      </c>
      <c r="E36" s="243" t="s">
        <v>28</v>
      </c>
      <c r="F36" s="243" t="s">
        <v>32</v>
      </c>
      <c r="G36" s="243" t="s">
        <v>3616</v>
      </c>
      <c r="H36" s="243" t="s">
        <v>73</v>
      </c>
      <c r="I36" s="243" t="s">
        <v>3617</v>
      </c>
      <c r="J36" s="243" t="s">
        <v>74</v>
      </c>
      <c r="K36" s="243" t="s">
        <v>76</v>
      </c>
      <c r="L36" s="243" t="s">
        <v>75</v>
      </c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101" t="s">
        <v>4665</v>
      </c>
      <c r="B37" s="99">
        <f>IFERROR(__xludf.DUMMYFUNCTION("ROUND(
  IFERROR(
    SUM(
      FILTER(
        'Sprint 10'!S:S,
        ('Sprint 10'!E:E = ""Aek:Atiphat Nanthachitvanich"") *
        (LEFT('Sprint 10'!B:B,7) = ""RDTHANA"")
      )
    ) / 3600,
    0
  ),
  2
)"),0.0)</f>
        <v>0</v>
      </c>
      <c r="C37" s="99">
        <f>IFERROR(__xludf.DUMMYFUNCTION("ROUND(
  IFERROR(
    SUM(
      FILTER(
        'Sprint 10'!S:S,
        ('Sprint 10'!E:E = ""Zan : Isarapong Bulan"") *
        (LEFT('Sprint 10'!B:B,7) = ""RDTHANA"")
      )
    ) / 3600,
    0
  ),
  2
)"),8.0)</f>
        <v>8</v>
      </c>
      <c r="D37" s="99">
        <f>IFERROR(__xludf.DUMMYFUNCTION("ROUND(
  IFERROR(
    SUM(
      FILTER(
        'Sprint 10'!S:S,
        ('Sprint 10'!E:E = ""Aom: Pornsawan Polnyiem"") *
        (LEFT('Sprint 10'!B:B,7) = ""RDTHANA"")
      )
    ) / 3600,
    0
  ),
  2
)"),0.0)</f>
        <v>0</v>
      </c>
      <c r="E37" s="99">
        <f>IFERROR(__xludf.DUMMYFUNCTION("ROUND(
  IFERROR(
    SUM(
      FILTER(
        'Sprint 10'!S:S,
        ('Sprint 10'!E:E = ""Jack: Warin Kesorn"") *
        (LEFT('Sprint 10'!B:B,7) = ""RDTHANA"")
      )
    ) / 3600,
    0
  ),
  2
)"),0.0)</f>
        <v>0</v>
      </c>
      <c r="F37" s="99">
        <f>IFERROR(__xludf.DUMMYFUNCTION("ROUND(
  IFERROR(
    SUM(
      FILTER(
        'Sprint 10'!S:S,
        ('Sprint 10'!E:E = ""A:Phongthorn"") *
        (LEFT('Sprint 10'!B:B,7) = ""RDTHANA"")
      )
    ) / 3600,
    0
  ),
  2
)"),2.0)</f>
        <v>2</v>
      </c>
      <c r="G37" s="99">
        <f>IFERROR(__xludf.DUMMYFUNCTION("ROUND(
  IFERROR(
    SUM(
      FILTER(
        'Sprint 10'!S:S,
        ('Sprint 10'!E:E = ""Art_narupontp"") *
        (LEFT('Sprint 10'!B:B,7) = ""RDTHANA"")
      )
    ) / 3600,
    0
  ),
  2
)"),0.0)</f>
        <v>0</v>
      </c>
      <c r="H37" s="99">
        <f>IFERROR(__xludf.DUMMYFUNCTION("ROUND(
  IFERROR(
    SUM(
      FILTER(
        'Sprint 10'!S:S,
        ('Sprint 10'!E:E = ""Mai:Sateta Abvanawong"") *
        (LEFT('Sprint 10'!B:B,7) = ""RDTHANA"")
      )
    ) / 3600,
    0
  ),
  2
)"),2.0)</f>
        <v>2</v>
      </c>
      <c r="I37" s="99">
        <f>IFERROR(__xludf.DUMMYFUNCTION("ROUND(
  IFERROR(
    SUM(
      FILTER(
        'Sprint 10'!S:S,
        ('Sprint 10'!E:E = ""Kae: Pimonrath Jaiyen"") *
        (LEFT('Sprint 10'!B:B,7) = ""RDTHANA"")
      )
    ) / 3600,
    0
  ),
  2
)"),16.0)</f>
        <v>16</v>
      </c>
      <c r="J37" s="99">
        <f>IFERROR(__xludf.DUMMYFUNCTION("ROUND(
  IFERROR(
    SUM(
      FILTER(
        'Sprint 10'!S:S,
        ('Sprint 10'!E:E = ""Mac: Jarupong Pawichpongkul"") *
        (LEFT('Sprint 10'!B:B,7) = ""RDTHANA"")
      )
    ) / 3600,
    0
  ),
  2
)"),21.0)</f>
        <v>21</v>
      </c>
      <c r="K37" s="99">
        <f>IFERROR(__xludf.DUMMYFUNCTION("ROUND(
  IFERROR(
    SUM(
      FILTER(
        'Sprint 10'!S:S,
        ('Sprint 10'!E:E = ""Nim : muthita munmueang"") *
        (LEFT('Sprint 10'!B:B,7) = ""RDTHANA"")
      )
    ) / 3600,
    0
  ),
  2
)"),0.0)</f>
        <v>0</v>
      </c>
      <c r="L37" s="99">
        <f>IFERROR(__xludf.DUMMYFUNCTION("ROUND(
  IFERROR(
    SUM(
      FILTER(
        'Sprint 10'!S:S,
        ('Sprint 10'!E:E = ""Moss : Kittapath Sangvikukit"") *
        (LEFT('Sprint 10'!B:B,7) = ""RDTHANA"")
      )
    ) / 3600,
    0
  ),
  2
)"),36.0)</f>
        <v>36</v>
      </c>
    </row>
    <row r="38">
      <c r="A38" s="101" t="s">
        <v>4666</v>
      </c>
      <c r="B38" s="99">
        <f>IFERROR(__xludf.DUMMYFUNCTION("ROUND(
  IFERROR(
    SUM(
      FILTER(
        'Sprint 10'!S:S,
        ('Sprint 10'!E:E = ""Aek:Atiphat Nanthachitvanich"") *
        (LEFT('Sprint 10'!B:B,9) = ""DEVRDECOM"")
      )
    ) / 3600,
    0
  ),
  2
)"),19.67)</f>
        <v>19.67</v>
      </c>
      <c r="C38" s="99">
        <f>IFERROR(__xludf.DUMMYFUNCTION("ROUND(
  IFERROR(
    SUM(
      FILTER(
        'Sprint 10'!S:S,
        ('Sprint 10'!E:E = ""Zan : Isarapong Bulan"") *
        (LEFT('Sprint 10'!B:B,9) = ""DEVRDECOM"")
      )
    ) / 3600,
    0
  ),
  2
)"),0.0)</f>
        <v>0</v>
      </c>
      <c r="D38" s="99">
        <f>IFERROR(__xludf.DUMMYFUNCTION("ROUND(
  IFERROR(
    SUM(
      FILTER(
        'Sprint 10'!S:S,
        ('Sprint 10'!E:E = ""Aom: Pornsawan Polnyiem"") *
        (LEFT('Sprint 10'!B:B,9) = ""DEVRDECOM"")
      )
    ) / 3600,
    0
  ),
  2
)"),0.0)</f>
        <v>0</v>
      </c>
      <c r="E38" s="99">
        <f>IFERROR(__xludf.DUMMYFUNCTION("ROUND(
  IFERROR(
    SUM(
      FILTER(
        'Sprint 10'!S:S,
        ('Sprint 10'!E:E = ""Jack: Warin Kesorn"") *
        (LEFT('Sprint 10'!B:B,9) = ""DEVRDECOM"")
      )
    ) / 3600,
    0
  ),
  2
)"),0.0)</f>
        <v>0</v>
      </c>
      <c r="F38" s="99">
        <f>IFERROR(__xludf.DUMMYFUNCTION("ROUND(
  IFERROR(
    SUM(
      FILTER(
        'Sprint 10'!S:S,
        ('Sprint 10'!E:E = ""A:Phongthorn"") *
        (LEFT('Sprint 10'!B:B,9) = ""DEVRDECOM"")
      )
    ) / 3600,
    0
  ),
  2
)"),22.0)</f>
        <v>22</v>
      </c>
      <c r="G38" s="99">
        <f>IFERROR(__xludf.DUMMYFUNCTION("ROUND(
  IFERROR(
    SUM(
      FILTER(
        'Sprint 10'!S:S,
        ('Sprint 10'!E:E = ""Art_narupontp"") *
        (LEFT('Sprint 10'!B:B,9) = ""DEVRDECOM"")
      )
    ) / 3600,
    0
  ),
  2
)"),0.0)</f>
        <v>0</v>
      </c>
      <c r="H38" s="99">
        <f>IFERROR(__xludf.DUMMYFUNCTION("ROUND(
  IFERROR(
    SUM(
      FILTER(
        'Sprint 10'!S:S,
        ('Sprint 10'!E:E = ""Mai:Sateta Abvanawong"") *
        (LEFT('Sprint 10'!B:B,9) = ""DEVRDECOM"")
      )
    ) / 3600,
    0
  ),
  2
)"),0.0)</f>
        <v>0</v>
      </c>
      <c r="I38" s="99">
        <f>IFERROR(__xludf.DUMMYFUNCTION("ROUND(
  IFERROR(
    SUM(
      FILTER(
        'Sprint 10'!S:S,
        ('Sprint 10'!E:E = ""Kae: Pimonrath Jaiyen"") *
        (LEFT('Sprint 10'!B:B,9) = ""DEVRDECOM"")
      )
    ) / 3600,
    0
  ),
  2
)"),8.0)</f>
        <v>8</v>
      </c>
      <c r="J38" s="99">
        <f>IFERROR(__xludf.DUMMYFUNCTION("ROUND(
  IFERROR(
    SUM(
      FILTER(
        'Sprint 10'!S:S,
        ('Sprint 10'!E:E = ""Mac: Jarupong Pawichpongkul"") *
        (LEFT('Sprint 10'!B:B,9) = ""DEVRDECOM"")
      )
    ) / 3600,
    0
  ),
  2
)"),4.0)</f>
        <v>4</v>
      </c>
      <c r="K38" s="99">
        <f>IFERROR(__xludf.DUMMYFUNCTION("ROUND(
  IFERROR(
    SUM(
      FILTER(
        'Sprint 10'!S:S,
        ('Sprint 10'!E:E = ""Nim : muthita munmueang"") *
        (LEFT('Sprint 10'!B:B,9) = ""DEVRDECOM"")
      )
    ) / 3600,
    0
  ),
  2
)"),4.0)</f>
        <v>4</v>
      </c>
      <c r="L38" s="99">
        <f>IFERROR(__xludf.DUMMYFUNCTION("ROUND(
  IFERROR(
    SUM(
      FILTER(
        'Sprint 10'!S:S,
        ('Sprint 10'!E:E = ""Moss : Kittapath Sangvikukit"") *
        (LEFT('Sprint 10'!B:B,9) = ""DEVRDECOM"")
      )
    ) / 3600,
    0
  ),
  2
)"),12.0)</f>
        <v>12</v>
      </c>
    </row>
    <row r="39" ht="32.25" customHeight="1">
      <c r="A39" s="101" t="s">
        <v>4667</v>
      </c>
      <c r="B39" s="99">
        <f>IFERROR(__xludf.DUMMYFUNCTION("ROUND(
  IFERROR(
    SUM(
      FILTER(
        'Sprint 10'!S:S,
        ('Sprint 10'!E:E = ""Aek:Atiphat Nanthachitvanich"") *
        (LEFT('Sprint 10'!B:B,7) = ""DEVRDCT"")
      )
    ) / 3600,
    0
  ),
  2
)"),9.0)</f>
        <v>9</v>
      </c>
      <c r="C39" s="99">
        <f>IFERROR(__xludf.DUMMYFUNCTION("ROUND(
  IFERROR(
    SUM(
      FILTER(
        'Sprint 10'!S:S,
        ('Sprint 10'!E:E = ""Zan : Isarapong Bulan"") *
        (LEFT('Sprint 10'!B:B,7) = ""DEVRDCT"")
      )
    ) / 3600,
    0
  ),
  2
)"),0.0)</f>
        <v>0</v>
      </c>
      <c r="D39" s="99">
        <f>IFERROR(__xludf.DUMMYFUNCTION("ROUND(
  IFERROR(
    SUM(
      FILTER(
        'Sprint 10'!S:S,
        ('Sprint 10'!E:E = ""Aom: Pornsawan Polnyiem"") *
        (LEFT('Sprint 10'!B:B,7) = ""DEVRDCT"")
      )
    ) / 3600,
    0
  ),
  2
)"),2.0)</f>
        <v>2</v>
      </c>
      <c r="E39" s="99">
        <f>IFERROR(__xludf.DUMMYFUNCTION("ROUND(
  IFERROR(
    SUM(
      FILTER(
        'Sprint 10'!S:S,
        ('Sprint 10'!E:E = ""Jack: Warin Kesorn"") *
        (LEFT('Sprint 10'!B:B,7) = ""DEVRDCT"")
      )
    ) / 3600,
    0
  ),
  2
)"),1.0)</f>
        <v>1</v>
      </c>
      <c r="F39" s="99">
        <f>IFERROR(__xludf.DUMMYFUNCTION("ROUND(
  IFERROR(
    SUM(
      FILTER(
        'Sprint 10'!S:S,
        ('Sprint 10'!E:E = ""A:Phongthorn"") *
        (LEFT('Sprint 10'!B:B,7) = ""DEVRDCT"")
      )
    ) / 3600,
    0
  ),
  2
)"),0.0)</f>
        <v>0</v>
      </c>
      <c r="G39" s="99">
        <f>IFERROR(__xludf.DUMMYFUNCTION("ROUND(
  IFERROR(
    SUM(
      FILTER(
        'Sprint 10'!S:S,
        ('Sprint 10'!E:E = ""Art_narupontp"") *
        (LEFT('Sprint 10'!B:B,7) = ""DEVRDCT"")
      )
    ) / 3600,
    0
  ),
  2
)"),0.0)</f>
        <v>0</v>
      </c>
      <c r="H39" s="99">
        <f>IFERROR(__xludf.DUMMYFUNCTION("ROUND(
  IFERROR(
    SUM(
      FILTER(
        'Sprint 10'!S:S,
        ('Sprint 10'!E:E = ""Mai:Sateta Abvanawong"") *
        (LEFT('Sprint 10'!B:B,7) = ""DEVRDCT"")
      )
    ) / 3600,
    0
  ),
  2
)"),0.0)</f>
        <v>0</v>
      </c>
      <c r="I39" s="99">
        <f>IFERROR(__xludf.DUMMYFUNCTION("ROUND(
  IFERROR(
    SUM(
      FILTER(
        'Sprint 10'!S:S,
        ('Sprint 10'!E:E = ""Kae: Pimonrath Jaiyen"") *
        (LEFT('Sprint 10'!B:B,7) = ""DEVRDCT"")
      )
    ) / 3600,
    0
  ),
  2
)"),8.0)</f>
        <v>8</v>
      </c>
      <c r="J39" s="99">
        <f>IFERROR(__xludf.DUMMYFUNCTION("ROUND(
  IFERROR(
    SUM(
      FILTER(
        'Sprint 10'!S:S,
        ('Sprint 10'!E:E = ""Mac: Jarupong Pawichpongkul"") *
        (LEFT('Sprint 10'!B:B,7) = ""DEVRDCT"")
      )
    ) / 3600,
    0
  ),
  2
)"),7.0)</f>
        <v>7</v>
      </c>
      <c r="K39" s="99">
        <f>IFERROR(__xludf.DUMMYFUNCTION("ROUND(
  IFERROR(
    SUM(
      FILTER(
        'Sprint 10'!S:S,
        ('Sprint 10'!E:E = ""Nim : muthita munmueang"") *
        (LEFT('Sprint 10'!B:B,7) = ""DEVRDCT"")
      )
    ) / 3600,
    0
  ),
  2
)"),24.0)</f>
        <v>24</v>
      </c>
      <c r="L39" s="99">
        <f>IFERROR(__xludf.DUMMYFUNCTION("ROUND(
  IFERROR(
    SUM(
      FILTER(
        'Sprint 10'!S:S,
        ('Sprint 10'!E:E = ""Moss : Kittapath Sangvikukit"") *
        (LEFT('Sprint 10'!B:B,7) = ""DEVRDCT"")
      )
    ) / 3600,
    0
  ),
  2
)"),0.0)</f>
        <v>0</v>
      </c>
    </row>
    <row r="40" ht="22.5" customHeight="1">
      <c r="A40" s="101" t="s">
        <v>4668</v>
      </c>
      <c r="B40" s="99">
        <f>IFERROR(__xludf.DUMMYFUNCTION("ROUND(
  IFERROR(
    SUM(
      FILTER(
        'Sprint 10'!S:S,
        ('Sprint 10'!E:E = ""Aek:Atiphat Nanthachitvanich"") *
        (LEFT('Sprint 10'!B:B,8) = ""DEVRDADJ"")
      )
    ) / 3600,
    0
  ),
  2
)"),0.0)</f>
        <v>0</v>
      </c>
      <c r="C40" s="99">
        <f>IFERROR(__xludf.DUMMYFUNCTION("ROUND(
  IFERROR(
    SUM(
      FILTER(
        'Sprint 10'!S:S,
        ('Sprint 10'!E:E = ""Zan : Isarapong Bulan"") *
        (LEFT('Sprint 10'!B:B,8) = ""DEVRDADJ"")
      )
    ) / 3600,
    0
  ),
  2
)"),0.0)</f>
        <v>0</v>
      </c>
      <c r="D40" s="99">
        <f>IFERROR(__xludf.DUMMYFUNCTION("ROUND(
  IFERROR(
    SUM(
      FILTER(
        'Sprint 10'!S:S,
        ('Sprint 10'!E:E = ""Aom: Pornsawan Polnyiem"") *
        (LEFT('Sprint 10'!B:B,8) = ""DEVRDADJ"")
      )
    ) / 3600,
    0
  ),
  2
)"),0.0)</f>
        <v>0</v>
      </c>
      <c r="E40" s="99">
        <f>IFERROR(__xludf.DUMMYFUNCTION("ROUND(
  IFERROR(
    SUM(
      FILTER(
        'Sprint 10'!S:S,
        ('Sprint 10'!E:E = ""Jack: Warin Kesorn"") *
        (LEFT('Sprint 10'!B:B,8) = ""DEVRDADJ"")
      )
    ) / 3600,
    0
  ),
  2
)"),0.0)</f>
        <v>0</v>
      </c>
      <c r="F40" s="99">
        <f>IFERROR(__xludf.DUMMYFUNCTION("ROUND(
  IFERROR(
    SUM(
      FILTER(
        'Sprint 10'!S:S,
        ('Sprint 10'!E:E = ""A:Phongthorn"") *
        (LEFT('Sprint 10'!B:B,8) = ""DEVRDADJ"")
      )
    ) / 3600,
    0
  ),
  2
)"),0.0)</f>
        <v>0</v>
      </c>
      <c r="G40" s="99">
        <f>IFERROR(__xludf.DUMMYFUNCTION("ROUND(
  IFERROR(
    SUM(
      FILTER(
        'Sprint 10'!S:S,
        ('Sprint 10'!E:E = ""Aek:Atiphat Nanthachitvanich"") *
        (LEFT('Sprint 10'!B:B,8) = ""DEVRDADJ"")
      )
    ) / 3600,
    0
  ),
  2
)"),0.0)</f>
        <v>0</v>
      </c>
      <c r="H40" s="99">
        <f>IFERROR(__xludf.DUMMYFUNCTION("ROUND(
  IFERROR(
    SUM(
      FILTER(
        'Sprint 10'!S:S,
        ('Sprint 10'!E:E = ""Mai:Sateta Abvanawong"") *
        (LEFT('Sprint 10'!B:B,8) = ""DEVRDADJ"")
      )
    ) / 3600,
    0
  ),
  2
)"),0.0)</f>
        <v>0</v>
      </c>
      <c r="I40" s="99">
        <f>IFERROR(__xludf.DUMMYFUNCTION("ROUND(
  IFERROR(
    SUM(
      FILTER(
        'Sprint 10'!S:S,
        ('Sprint 10'!E:E = ""Kae: Pimonrath Jaiyen"") *
        (LEFT('Sprint 10'!B:B,8) = ""DEVRDADJ"")
      )
    ) / 3600,
    0
  ),
  2
)"),0.0)</f>
        <v>0</v>
      </c>
      <c r="J40" s="99">
        <f>IFERROR(__xludf.DUMMYFUNCTION("ROUND(
  IFERROR(
    SUM(
      FILTER(
        'Sprint 10'!S:S,
        ('Sprint 10'!E:E = ""Mac: Jarupong Pawichpongkul"") *
        (LEFT('Sprint 10'!B:B,8) = ""DEVRDADJ"")
      )
    ) / 3600,
    0
  ),
  2
)"),0.0)</f>
        <v>0</v>
      </c>
      <c r="K40" s="99">
        <f>IFERROR(__xludf.DUMMYFUNCTION("ROUND(
  IFERROR(
    SUM(
      FILTER(
        'Sprint 10'!S:S,
        ('Sprint 10'!E:E = ""Aek:Atiphat Nanthachitvanich"") *
        (LEFT('Sprint 10'!B:B,8) = ""DEVRDADJ"")
      )
    ) / 3600,
    0
  ),
  2
)"),0.0)</f>
        <v>0</v>
      </c>
      <c r="L40" s="99">
        <f>IFERROR(__xludf.DUMMYFUNCTION("ROUND(
  IFERROR(
    SUM(
      FILTER(
        'Sprint 10'!S:S,
        ('Sprint 10'!E:E = ""Moss : Kittapath Sangvikukit"") *
        (LEFT('Sprint 10'!B:B,8) = ""DEVRDADJ"")
      )
    ) / 3600,
    0
  ),
  2
)"),0.0)</f>
        <v>0</v>
      </c>
    </row>
    <row r="41">
      <c r="A41" s="101" t="s">
        <v>4669</v>
      </c>
      <c r="B41" s="101">
        <f>IFERROR(__xludf.DUMMYFUNCTION("ROUND(
  IFERROR(
    SUM(
      FILTER(
        'Sprint 10'!S:S,
        ('Sprint 10'!E:E = ""Aek:Atiphat Nanthachitvanich"") *
        (LEFT('Sprint 10'!B:B,5) = ""RDAPS"")
      )
    ) / 3600,
    0
  ),
  2
)"),0.0)</f>
        <v>0</v>
      </c>
      <c r="C41" s="99">
        <f>IFERROR(__xludf.DUMMYFUNCTION("ROUND(
  IFERROR(
    SUM(
      FILTER(
        'Sprint 10'!S:S,
        ('Sprint 10'!E:E = ""Zan : Isarapong Bulan"") *
        (LEFT('Sprint 10'!B:B,5) = ""RDAPS"")
      )
    ) / 3600,
    0
  ),
  2
)"),0.0)</f>
        <v>0</v>
      </c>
      <c r="D41" s="99">
        <f>IFERROR(__xludf.DUMMYFUNCTION("ROUND(
  IFERROR(
    SUM(
      FILTER(
        'Sprint 10'!S:S,
        ('Sprint 10'!E:E = ""Aom: Pornsawan Polnyiem"") *
        (LEFT('Sprint 10'!B:B,5) = ""RDAPS"")
      )
    ) / 3600,
    0
  ),
  2
)"),11.0)</f>
        <v>11</v>
      </c>
      <c r="E41" s="99">
        <f>IFERROR(__xludf.DUMMYFUNCTION("ROUND(
  IFERROR(
    SUM(
      FILTER(
        'Sprint 10'!S:S,
        ('Sprint 10'!E:E = ""Jack: Warin Kesorn"") *
        (LEFT('Sprint 10'!B:B,5) = ""RDAPS"")
      )
    ) / 3600,
    0
  ),
  2
)"),0.0)</f>
        <v>0</v>
      </c>
      <c r="F41" s="99">
        <f>IFERROR(__xludf.DUMMYFUNCTION("ROUND(
  IFERROR(
    SUM(
      FILTER(
        'Sprint 10'!S:S,
        ('Sprint 10'!E:E = ""A:Phongthorn"") *
        (LEFT('Sprint 10'!B:B,5) = ""RDAPS"")
      )
    ) / 3600,
    0
  ),
  2
)"),34.0)</f>
        <v>34</v>
      </c>
      <c r="G41" s="99">
        <f>IFERROR(__xludf.DUMMYFUNCTION("ROUND(
  IFERROR(
    SUM(
      FILTER(
        'Sprint 10'!S:S,
        ('Sprint 10'!E:E = ""Art_narupontp"") *
        (LEFT('Sprint 10'!B:B,5) = ""RDAPS"")
      )
    ) / 3600,
    0
  ),
  2
)"),0.0)</f>
        <v>0</v>
      </c>
      <c r="H41" s="99">
        <f>IFERROR(__xludf.DUMMYFUNCTION("ROUND(
  IFERROR(
    SUM(
      FILTER(
        'Sprint 10'!S:S,
        ('Sprint 10'!E:E = ""Mai:Sateta Abvanawong"") *
        (LEFT('Sprint 10'!B:B,5) = ""RDAPS"")
      )
    ) / 3600,
    0
  ),
  2
)"),42.0)</f>
        <v>42</v>
      </c>
      <c r="I41" s="99">
        <f>IFERROR(__xludf.DUMMYFUNCTION("ROUND(
  IFERROR(
    SUM(
      FILTER(
        'Sprint 10'!S:S,
        ('Sprint 10'!E:E = ""Kae: Pimonrath Jaiyen"") *
        (LEFT('Sprint 10'!B:B,5) = ""RDAPS"")
      )
    ) / 3600,
    0
  ),
  2
)"),0.0)</f>
        <v>0</v>
      </c>
      <c r="J41" s="99">
        <f>IFERROR(__xludf.DUMMYFUNCTION("ROUND(
  IFERROR(
    SUM(
      FILTER(
        'Sprint 10'!S:S,
        ('Sprint 10'!E:E = ""Mac: Jarupong Pawichpongkul"") *
        (LEFT('Sprint 10'!B:B,5) = ""RDAPS"")
      )
    ) / 3600,
    0
  ),
  2
)"),0.0)</f>
        <v>0</v>
      </c>
      <c r="K41" s="99">
        <f>IFERROR(__xludf.DUMMYFUNCTION("ROUND(
  IFERROR(
    SUM(
      FILTER(
        'Sprint 10'!S:S,
        ('Sprint 10'!E:E = ""Nim : muthita munmueang"") *
        (LEFT('Sprint 10'!B:B,5) = ""RDAPS"")
      )
    ) / 3600,
    0
  ),
  2
)"),0.0)</f>
        <v>0</v>
      </c>
      <c r="L41" s="99">
        <f>IFERROR(__xludf.DUMMYFUNCTION("ROUND(
  IFERROR(
    SUM(
      FILTER(
        'Sprint 10'!S:S,
        ('Sprint 10'!E:E = ""Moss : Kittapath Sangvikukit"") *
        (LEFT('Sprint 10'!B:B,5) = ""RDAPS"")
      )
    ) / 3600,
    0
  ),
  2
)"),0.0)</f>
        <v>0</v>
      </c>
    </row>
    <row r="42" ht="21.0" customHeight="1">
      <c r="A42" s="101" t="s">
        <v>4670</v>
      </c>
      <c r="B42" s="101">
        <f>IFERROR(__xludf.DUMMYFUNCTION("ROUND(
  IFERROR(
    SUM(
      FILTER(
        'Sprint 10'!S:S,
        ('Sprint 10'!E:E = ""Aek:Atiphat Nanthachitvanich"") *
        (LEFT('Sprint 10'!B:B,8) = ""DEVRDSUP"")
      )
    ) / 3600,
    0
  ),
  2
)"),0.17)</f>
        <v>0.17</v>
      </c>
      <c r="C42" s="99">
        <f>IFERROR(__xludf.DUMMYFUNCTION("ROUND(
  IFERROR(
    SUM(
      FILTER(
        'Sprint 10'!S:S,
        ('Sprint 10'!E:E = ""Zan : Isarapong Bulan"") *
        (LEFT('Sprint 10'!B:B,8) = ""DEVRDSUP"")
      )
    ) / 3600,
    0
  ),
  2
)"),0.0)</f>
        <v>0</v>
      </c>
      <c r="D42" s="99">
        <f>IFERROR(__xludf.DUMMYFUNCTION("ROUND(
  IFERROR(
    SUM(
      FILTER(
        'Sprint 10'!S:S,
        ('Sprint 10'!E:E = ""Aom: Pornsawan Polnyiem"") *
        (LEFT('Sprint 10'!B:B,8) = ""DEVRDSUP"")
      )
    ) / 3600,
    0
  ),
  2
)"),4.67)</f>
        <v>4.67</v>
      </c>
      <c r="E42" s="99">
        <f>IFERROR(__xludf.DUMMYFUNCTION("ROUND(
  IFERROR(
    SUM(
      FILTER(
        'Sprint 10'!S:S,
        ('Sprint 10'!E:E = ""Jack: Warin Kesorn"") *
        (LEFT('Sprint 10'!B:B,8) = ""DEVRDSUP"")
      )
    ) / 3600,
    0
  ),
  2
)"),0.0)</f>
        <v>0</v>
      </c>
      <c r="F42" s="101">
        <f>IFERROR(__xludf.DUMMYFUNCTION("ROUND(
  IFERROR(
    SUM(
      FILTER(
        'Sprint 10'!S:S,
        ('Sprint 10'!E:E = ""A:Phongthorn"") *
        (LEFT('Sprint 10'!B:B,8) = ""DEVRDSUP"")
      )
    ) / 3600,
    0
  ),
  2
)"),0.0)</f>
        <v>0</v>
      </c>
      <c r="G42" s="99">
        <f>IFERROR(__xludf.DUMMYFUNCTION("ROUND(
  IFERROR(
    SUM(
      FILTER(
        'Sprint 10'!S:S,
        ('Sprint 10'!E:E = ""Art_narupontp"") *
        (LEFT('Sprint 10'!B:B,8) = ""DEVRDSUP"")
      )
    ) / 3600,
    0
  ),
  2
)"),0.0)</f>
        <v>0</v>
      </c>
      <c r="H42" s="99">
        <f>IFERROR(__xludf.DUMMYFUNCTION("ROUND(
  IFERROR(
    SUM(
      FILTER(
        'Sprint 10'!S:S,
        ('Sprint 10'!E:E = ""Mai:Sateta Abvanawong"") *
        (LEFT('Sprint 10'!B:B,8) = ""DEVRDSUP"")
      )
    ) / 3600,
    0
  ),
  2
)"),0.0)</f>
        <v>0</v>
      </c>
      <c r="I42" s="99">
        <f>IFERROR(__xludf.DUMMYFUNCTION("ROUND(
  IFERROR(
    SUM(
      FILTER(
        'Sprint 10'!S:S,
        ('Sprint 10'!E:E = ""Kae: Pimonrath Jaiyen"") *
        (LEFT('Sprint 10'!B:B,8) = ""DEVRDSUP"")
      )
    ) / 3600,
    0
  ),
  2
)"),0.0)</f>
        <v>0</v>
      </c>
      <c r="J42" s="99">
        <f>IFERROR(__xludf.DUMMYFUNCTION("ROUND(
  IFERROR(
    SUM(
      FILTER(
        'Sprint 10'!S:S,
        ('Sprint 10'!E:E = ""Mac: Jarupong Pawichpongkul"") *
        (LEFT('Sprint 10'!B:B,8) = ""DEVRDSUP"")
      )
    ) / 3600,
    0
  ),
  2
)"),0.0)</f>
        <v>0</v>
      </c>
      <c r="K42" s="99">
        <f>IFERROR(__xludf.DUMMYFUNCTION("ROUND(
  IFERROR(
    SUM(
      FILTER(
        'Sprint 10'!S:S,
        ('Sprint 10'!E:E = ""Nim : muthita munmueang"") *
        (LEFT('Sprint 10'!B:B,8) = ""DEVRDSUP"")
      )
    ) / 3600,
    0
  ),
  2
)"),0.0)</f>
        <v>0</v>
      </c>
      <c r="L42" s="99">
        <f>IFERROR(__xludf.DUMMYFUNCTION("ROUND(
  IFERROR(
    SUM(
      FILTER(
        'Sprint 10'!S:S,
        ('Sprint 10'!E:E = ""Moss : Kittapath Sangvikukit"") *
        (LEFT('Sprint 10'!B:B,8) = ""DEVRDSUP"")
      )
    ) / 3600,
    0
  ),
  2
)"),0.0)</f>
        <v>0</v>
      </c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</sheetData>
  <mergeCells count="6">
    <mergeCell ref="B25:E25"/>
    <mergeCell ref="F25:H25"/>
    <mergeCell ref="I25:L25"/>
    <mergeCell ref="B35:E35"/>
    <mergeCell ref="F35:H35"/>
    <mergeCell ref="I35:L3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31.38"/>
    <col customWidth="1" min="15" max="15" width="18.13"/>
    <col customWidth="1" min="19" max="21" width="17.5"/>
    <col customWidth="1" min="22" max="22" width="21.25"/>
    <col customWidth="1" min="23" max="23" width="20.13"/>
    <col customWidth="1" min="24" max="24" width="21.25"/>
    <col customWidth="1" min="25" max="25" width="20.13"/>
    <col customWidth="1" min="26" max="26" width="21.25"/>
    <col customWidth="1" min="27" max="27" width="20.13"/>
    <col customWidth="1" min="29" max="29" width="17.5"/>
    <col customWidth="1" min="30" max="30" width="21.25"/>
    <col customWidth="1" min="31" max="31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02" t="s">
        <v>70</v>
      </c>
      <c r="U1" s="149" t="s">
        <v>3245</v>
      </c>
      <c r="V1" s="115" t="s">
        <v>8067</v>
      </c>
      <c r="W1" s="115" t="s">
        <v>6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88"/>
      <c r="AO1" s="88"/>
    </row>
    <row r="2">
      <c r="A2" s="102" t="s">
        <v>310</v>
      </c>
      <c r="B2" s="102" t="s">
        <v>8068</v>
      </c>
      <c r="C2" s="229" t="s">
        <v>8069</v>
      </c>
      <c r="D2" s="102" t="s">
        <v>8070</v>
      </c>
      <c r="E2" s="102" t="s">
        <v>353</v>
      </c>
      <c r="F2" s="102" t="s">
        <v>354</v>
      </c>
      <c r="G2" s="102" t="s">
        <v>353</v>
      </c>
      <c r="H2" s="102" t="s">
        <v>354</v>
      </c>
      <c r="I2" s="102" t="s">
        <v>284</v>
      </c>
      <c r="J2" s="102" t="s">
        <v>26</v>
      </c>
      <c r="L2" s="229" t="s">
        <v>8071</v>
      </c>
      <c r="M2" s="229" t="s">
        <v>8072</v>
      </c>
      <c r="N2" s="102"/>
      <c r="O2" s="102">
        <v>3.0</v>
      </c>
      <c r="P2" s="102"/>
      <c r="S2" s="102"/>
      <c r="T2" s="102" t="s">
        <v>4961</v>
      </c>
      <c r="U2" s="230" t="str">
        <f>IF(ISNUMBER(MATCH(B2, 'Sprint 9'!B:B, 0)), "มาจาก Sprint 9", "")</f>
        <v/>
      </c>
      <c r="V2" s="230" t="str">
        <f t="array" ref="V2">IF(ISNUMBER(MATCH(B2, 'Sprint 9'!B:B, 0)), INDEX('Sprint 9'!J:J, MATCH(B2, 'Sprint 9'!B:B, 0)), "")</f>
        <v/>
      </c>
    </row>
    <row r="3">
      <c r="A3" s="102" t="s">
        <v>310</v>
      </c>
      <c r="B3" s="102" t="s">
        <v>8073</v>
      </c>
      <c r="C3" s="229" t="s">
        <v>8074</v>
      </c>
      <c r="D3" s="102" t="s">
        <v>8075</v>
      </c>
      <c r="E3" s="102" t="s">
        <v>353</v>
      </c>
      <c r="F3" s="102" t="s">
        <v>354</v>
      </c>
      <c r="G3" s="102" t="s">
        <v>353</v>
      </c>
      <c r="H3" s="102" t="s">
        <v>354</v>
      </c>
      <c r="I3" s="102" t="s">
        <v>284</v>
      </c>
      <c r="J3" s="102" t="s">
        <v>26</v>
      </c>
      <c r="L3" s="229" t="s">
        <v>8076</v>
      </c>
      <c r="M3" s="229" t="s">
        <v>8077</v>
      </c>
      <c r="O3" s="102">
        <v>3.0</v>
      </c>
      <c r="S3" s="230"/>
      <c r="T3" s="102" t="s">
        <v>4961</v>
      </c>
      <c r="U3" s="230" t="str">
        <f>IF(ISNUMBER(MATCH(B3, 'Sprint 9'!B:B, 0)), "มาจาก Sprint 9", "")</f>
        <v/>
      </c>
      <c r="V3" s="230" t="str">
        <f t="array" ref="V3">IF(ISNUMBER(MATCH(B3, 'Sprint 9'!B:B, 0)), INDEX('Sprint 9'!J:J, MATCH(B3, 'Sprint 9'!B:B, 0)), "")</f>
        <v/>
      </c>
    </row>
    <row r="4">
      <c r="A4" s="102" t="s">
        <v>310</v>
      </c>
      <c r="B4" s="102" t="s">
        <v>6951</v>
      </c>
      <c r="C4" s="229" t="s">
        <v>6952</v>
      </c>
      <c r="D4" s="102" t="s">
        <v>6953</v>
      </c>
      <c r="E4" s="102" t="s">
        <v>314</v>
      </c>
      <c r="F4" s="102" t="s">
        <v>315</v>
      </c>
      <c r="G4" s="102" t="s">
        <v>314</v>
      </c>
      <c r="H4" s="102" t="s">
        <v>315</v>
      </c>
      <c r="I4" s="102" t="s">
        <v>284</v>
      </c>
      <c r="J4" s="102" t="s">
        <v>34</v>
      </c>
      <c r="L4" s="229" t="s">
        <v>6954</v>
      </c>
      <c r="M4" s="229" t="s">
        <v>8078</v>
      </c>
      <c r="O4" s="102">
        <v>5.0</v>
      </c>
      <c r="S4" s="230"/>
      <c r="T4" s="102" t="s">
        <v>1364</v>
      </c>
      <c r="U4" s="230" t="str">
        <f>IF(ISNUMBER(MATCH(B4, 'Sprint 9'!B:B, 0)), "มาจาก Sprint 9", "")</f>
        <v/>
      </c>
      <c r="V4" s="230" t="str">
        <f t="array" ref="V4">IF(ISNUMBER(MATCH(B4, 'Sprint 9'!B:B, 0)), INDEX('Sprint 9'!J:J, MATCH(B4, 'Sprint 9'!B:B, 0)), "")</f>
        <v/>
      </c>
    </row>
    <row r="5">
      <c r="A5" s="102" t="s">
        <v>276</v>
      </c>
      <c r="B5" s="102" t="s">
        <v>8079</v>
      </c>
      <c r="C5" s="229" t="s">
        <v>8080</v>
      </c>
      <c r="D5" s="102" t="s">
        <v>8081</v>
      </c>
      <c r="E5" s="102" t="s">
        <v>521</v>
      </c>
      <c r="F5" s="102" t="s">
        <v>522</v>
      </c>
      <c r="G5" s="102" t="s">
        <v>521</v>
      </c>
      <c r="H5" s="102" t="s">
        <v>522</v>
      </c>
      <c r="I5" s="102" t="s">
        <v>284</v>
      </c>
      <c r="J5" s="102" t="s">
        <v>26</v>
      </c>
      <c r="L5" s="229" t="s">
        <v>8082</v>
      </c>
      <c r="M5" s="229" t="s">
        <v>8083</v>
      </c>
      <c r="N5" s="102"/>
      <c r="O5" s="230"/>
      <c r="S5" s="230"/>
      <c r="T5" s="102" t="s">
        <v>4961</v>
      </c>
      <c r="U5" s="230" t="str">
        <f>IF(ISNUMBER(MATCH(B5, 'Sprint 9'!B:B, 0)), "มาจาก Sprint 9", "")</f>
        <v/>
      </c>
      <c r="V5" s="230" t="str">
        <f t="array" ref="V5">IF(ISNUMBER(MATCH(B5, 'Sprint 9'!B:B, 0)), INDEX('Sprint 9'!J:J, MATCH(B5, 'Sprint 9'!B:B, 0)), "")</f>
        <v/>
      </c>
    </row>
    <row r="6">
      <c r="A6" s="102" t="s">
        <v>310</v>
      </c>
      <c r="B6" s="102" t="s">
        <v>8084</v>
      </c>
      <c r="C6" s="229" t="s">
        <v>8085</v>
      </c>
      <c r="D6" s="102" t="s">
        <v>8086</v>
      </c>
      <c r="E6" s="102" t="s">
        <v>282</v>
      </c>
      <c r="F6" s="102" t="s">
        <v>283</v>
      </c>
      <c r="G6" s="102" t="s">
        <v>282</v>
      </c>
      <c r="H6" s="102" t="s">
        <v>283</v>
      </c>
      <c r="I6" s="102" t="s">
        <v>284</v>
      </c>
      <c r="J6" s="102" t="s">
        <v>34</v>
      </c>
      <c r="L6" s="229" t="s">
        <v>8087</v>
      </c>
      <c r="M6" s="229" t="s">
        <v>8088</v>
      </c>
      <c r="N6" s="102"/>
      <c r="O6" s="102">
        <v>3.0</v>
      </c>
      <c r="P6" s="102"/>
      <c r="S6" s="230"/>
      <c r="T6" s="102" t="s">
        <v>4961</v>
      </c>
      <c r="U6" s="230" t="str">
        <f>IF(ISNUMBER(MATCH(B6, 'Sprint 9'!B:B, 0)), "มาจาก Sprint 9", "")</f>
        <v/>
      </c>
      <c r="V6" s="230" t="str">
        <f t="array" ref="V6">IF(ISNUMBER(MATCH(B6, 'Sprint 9'!B:B, 0)), INDEX('Sprint 9'!J:J, MATCH(B6, 'Sprint 9'!B:B, 0)), "")</f>
        <v/>
      </c>
    </row>
    <row r="7">
      <c r="A7" s="102" t="s">
        <v>310</v>
      </c>
      <c r="B7" s="102" t="s">
        <v>8089</v>
      </c>
      <c r="C7" s="229" t="s">
        <v>8090</v>
      </c>
      <c r="D7" s="102" t="s">
        <v>8091</v>
      </c>
      <c r="E7" s="102" t="s">
        <v>556</v>
      </c>
      <c r="F7" s="102" t="s">
        <v>557</v>
      </c>
      <c r="G7" s="102" t="s">
        <v>353</v>
      </c>
      <c r="H7" s="102" t="s">
        <v>354</v>
      </c>
      <c r="I7" s="102" t="s">
        <v>284</v>
      </c>
      <c r="J7" s="102" t="s">
        <v>26</v>
      </c>
      <c r="L7" s="229" t="s">
        <v>8092</v>
      </c>
      <c r="M7" s="229" t="s">
        <v>8083</v>
      </c>
      <c r="N7" s="229" t="s">
        <v>5573</v>
      </c>
      <c r="O7" s="102">
        <v>2.0</v>
      </c>
      <c r="P7" s="102" t="s">
        <v>538</v>
      </c>
      <c r="S7" s="102">
        <v>14400.0</v>
      </c>
      <c r="T7" s="102" t="s">
        <v>4961</v>
      </c>
      <c r="U7" s="230" t="str">
        <f>IF(ISNUMBER(MATCH(B7, 'Sprint 9'!B:B, 0)), "มาจาก Sprint 9", "")</f>
        <v/>
      </c>
      <c r="V7" s="230" t="str">
        <f t="array" ref="V7">IF(ISNUMBER(MATCH(B7, 'Sprint 9'!B:B, 0)), INDEX('Sprint 9'!J:J, MATCH(B7, 'Sprint 9'!B:B, 0)), "")</f>
        <v/>
      </c>
    </row>
    <row r="8">
      <c r="A8" s="102" t="s">
        <v>276</v>
      </c>
      <c r="B8" s="102" t="s">
        <v>8093</v>
      </c>
      <c r="C8" s="229" t="s">
        <v>8094</v>
      </c>
      <c r="D8" s="102" t="s">
        <v>8095</v>
      </c>
      <c r="E8" s="102" t="s">
        <v>316</v>
      </c>
      <c r="F8" s="102" t="s">
        <v>317</v>
      </c>
      <c r="G8" s="102" t="s">
        <v>316</v>
      </c>
      <c r="H8" s="102" t="s">
        <v>317</v>
      </c>
      <c r="I8" s="102" t="s">
        <v>284</v>
      </c>
      <c r="J8" s="102" t="s">
        <v>26</v>
      </c>
      <c r="L8" s="229" t="s">
        <v>8096</v>
      </c>
      <c r="M8" s="229" t="s">
        <v>8097</v>
      </c>
      <c r="N8" s="102"/>
      <c r="O8" s="102"/>
      <c r="S8" s="102"/>
      <c r="T8" s="102" t="s">
        <v>4961</v>
      </c>
      <c r="U8" s="230" t="str">
        <f>IF(ISNUMBER(MATCH(B8, 'Sprint 9'!B:B, 0)), "มาจาก Sprint 9", "")</f>
        <v/>
      </c>
      <c r="V8" s="230" t="str">
        <f t="array" ref="V8">IF(ISNUMBER(MATCH(B8, 'Sprint 9'!B:B, 0)), INDEX('Sprint 9'!J:J, MATCH(B8, 'Sprint 9'!B:B, 0)), "")</f>
        <v/>
      </c>
    </row>
    <row r="9">
      <c r="A9" s="102" t="s">
        <v>310</v>
      </c>
      <c r="B9" s="102" t="s">
        <v>8098</v>
      </c>
      <c r="C9" s="229" t="s">
        <v>8099</v>
      </c>
      <c r="D9" s="102" t="s">
        <v>8100</v>
      </c>
      <c r="E9" s="102" t="s">
        <v>513</v>
      </c>
      <c r="F9" s="102" t="s">
        <v>514</v>
      </c>
      <c r="G9" s="102" t="s">
        <v>314</v>
      </c>
      <c r="H9" s="102" t="s">
        <v>315</v>
      </c>
      <c r="I9" s="102" t="s">
        <v>284</v>
      </c>
      <c r="J9" s="102" t="s">
        <v>26</v>
      </c>
      <c r="L9" s="229" t="s">
        <v>8101</v>
      </c>
      <c r="M9" s="229" t="s">
        <v>8102</v>
      </c>
      <c r="N9" s="102"/>
      <c r="O9" s="102">
        <v>3.0</v>
      </c>
      <c r="P9" s="102"/>
      <c r="Q9" s="102"/>
      <c r="R9" s="102"/>
      <c r="S9" s="102">
        <v>28800.0</v>
      </c>
      <c r="T9" s="102" t="s">
        <v>1364</v>
      </c>
      <c r="U9" s="230" t="str">
        <f>IF(ISNUMBER(MATCH(B9, 'Sprint 9'!B:B, 0)), "มาจาก Sprint 9", "")</f>
        <v/>
      </c>
      <c r="V9" s="230" t="str">
        <f t="array" ref="V9">IF(ISNUMBER(MATCH(B9, 'Sprint 9'!B:B, 0)), INDEX('Sprint 9'!J:J, MATCH(B9, 'Sprint 9'!B:B, 0)), "")</f>
        <v/>
      </c>
    </row>
    <row r="10">
      <c r="A10" s="102" t="s">
        <v>276</v>
      </c>
      <c r="B10" s="102" t="s">
        <v>8103</v>
      </c>
      <c r="C10" s="229" t="s">
        <v>8104</v>
      </c>
      <c r="D10" s="102" t="s">
        <v>8105</v>
      </c>
      <c r="E10" s="102" t="s">
        <v>316</v>
      </c>
      <c r="F10" s="102" t="s">
        <v>317</v>
      </c>
      <c r="G10" s="102" t="s">
        <v>316</v>
      </c>
      <c r="H10" s="102" t="s">
        <v>317</v>
      </c>
      <c r="I10" s="102" t="s">
        <v>284</v>
      </c>
      <c r="J10" s="102" t="s">
        <v>26</v>
      </c>
      <c r="L10" s="229" t="s">
        <v>8106</v>
      </c>
      <c r="M10" s="229" t="s">
        <v>8107</v>
      </c>
      <c r="N10" s="229" t="s">
        <v>7534</v>
      </c>
      <c r="O10" s="102"/>
      <c r="P10" s="102"/>
      <c r="Q10" s="102"/>
      <c r="R10" s="102"/>
      <c r="S10" s="102"/>
      <c r="T10" s="102" t="s">
        <v>4961</v>
      </c>
      <c r="U10" s="230" t="str">
        <f>IF(ISNUMBER(MATCH(B10, 'Sprint 9'!B:B, 0)), "มาจาก Sprint 9", "")</f>
        <v/>
      </c>
      <c r="V10" s="230" t="str">
        <f t="array" ref="V10">IF(ISNUMBER(MATCH(B10, 'Sprint 9'!B:B, 0)), INDEX('Sprint 9'!J:J, MATCH(B10, 'Sprint 9'!B:B, 0)), "")</f>
        <v/>
      </c>
    </row>
    <row r="11">
      <c r="A11" s="102" t="s">
        <v>310</v>
      </c>
      <c r="B11" s="102" t="s">
        <v>8108</v>
      </c>
      <c r="C11" s="229" t="s">
        <v>8109</v>
      </c>
      <c r="D11" s="102" t="s">
        <v>8110</v>
      </c>
      <c r="E11" s="102" t="s">
        <v>282</v>
      </c>
      <c r="F11" s="102" t="s">
        <v>283</v>
      </c>
      <c r="G11" s="102" t="s">
        <v>282</v>
      </c>
      <c r="H11" s="102" t="s">
        <v>283</v>
      </c>
      <c r="I11" s="102" t="s">
        <v>284</v>
      </c>
      <c r="J11" s="102" t="s">
        <v>63</v>
      </c>
      <c r="L11" s="229" t="s">
        <v>8111</v>
      </c>
      <c r="M11" s="229" t="s">
        <v>8112</v>
      </c>
      <c r="N11" s="229" t="s">
        <v>8113</v>
      </c>
      <c r="O11" s="102">
        <v>2.0</v>
      </c>
      <c r="P11" s="102" t="s">
        <v>4656</v>
      </c>
      <c r="Q11" s="102" t="s">
        <v>593</v>
      </c>
      <c r="S11" s="102"/>
      <c r="T11" s="102" t="s">
        <v>4961</v>
      </c>
      <c r="U11" s="230" t="str">
        <f>IF(ISNUMBER(MATCH(B11, 'Sprint 9'!B:B, 0)), "มาจาก Sprint 9", "")</f>
        <v/>
      </c>
      <c r="V11" s="230" t="str">
        <f t="array" ref="V11">IF(ISNUMBER(MATCH(B11, 'Sprint 9'!B:B, 0)), INDEX('Sprint 9'!J:J, MATCH(B11, 'Sprint 9'!B:B, 0)), "")</f>
        <v/>
      </c>
    </row>
    <row r="12">
      <c r="A12" s="102" t="s">
        <v>310</v>
      </c>
      <c r="B12" s="102" t="s">
        <v>5908</v>
      </c>
      <c r="C12" s="229" t="s">
        <v>5909</v>
      </c>
      <c r="D12" s="102" t="s">
        <v>5910</v>
      </c>
      <c r="E12" s="102" t="s">
        <v>584</v>
      </c>
      <c r="F12" s="102" t="s">
        <v>585</v>
      </c>
      <c r="G12" s="102" t="s">
        <v>282</v>
      </c>
      <c r="H12" s="102" t="s">
        <v>283</v>
      </c>
      <c r="I12" s="102" t="s">
        <v>284</v>
      </c>
      <c r="J12" s="102" t="s">
        <v>678</v>
      </c>
      <c r="L12" s="229" t="s">
        <v>5911</v>
      </c>
      <c r="M12" s="229" t="s">
        <v>8114</v>
      </c>
      <c r="N12" s="102"/>
      <c r="O12" s="102">
        <v>2.0</v>
      </c>
      <c r="P12" s="102" t="s">
        <v>5912</v>
      </c>
      <c r="S12" s="102"/>
      <c r="T12" s="102" t="s">
        <v>5913</v>
      </c>
      <c r="U12" s="230" t="str">
        <f>IF(ISNUMBER(MATCH(B12, 'Sprint 9'!B:B, 0)), "มาจาก Sprint 9", "")</f>
        <v/>
      </c>
      <c r="V12" s="230" t="str">
        <f t="array" ref="V12">IF(ISNUMBER(MATCH(B12, 'Sprint 9'!B:B, 0)), INDEX('Sprint 9'!J:J, MATCH(B12, 'Sprint 9'!B:B, 0)), "")</f>
        <v/>
      </c>
    </row>
    <row r="13">
      <c r="A13" s="102" t="s">
        <v>310</v>
      </c>
      <c r="B13" s="102" t="s">
        <v>8115</v>
      </c>
      <c r="C13" s="229" t="s">
        <v>8116</v>
      </c>
      <c r="D13" s="102" t="s">
        <v>8117</v>
      </c>
      <c r="E13" s="102" t="s">
        <v>513</v>
      </c>
      <c r="F13" s="102" t="s">
        <v>514</v>
      </c>
      <c r="G13" s="102" t="s">
        <v>314</v>
      </c>
      <c r="H13" s="102" t="s">
        <v>315</v>
      </c>
      <c r="I13" s="102" t="s">
        <v>284</v>
      </c>
      <c r="J13" s="102" t="s">
        <v>26</v>
      </c>
      <c r="L13" s="229" t="s">
        <v>8118</v>
      </c>
      <c r="M13" s="229" t="s">
        <v>8119</v>
      </c>
      <c r="N13" s="229" t="s">
        <v>7534</v>
      </c>
      <c r="O13" s="102">
        <v>1.0</v>
      </c>
      <c r="S13" s="102">
        <v>7200.0</v>
      </c>
      <c r="T13" s="102" t="s">
        <v>1364</v>
      </c>
      <c r="U13" s="230" t="str">
        <f>IF(ISNUMBER(MATCH(B13, 'Sprint 9'!B:B, 0)), "มาจาก Sprint 9", "")</f>
        <v/>
      </c>
      <c r="V13" s="230" t="str">
        <f t="array" ref="V13">IF(ISNUMBER(MATCH(B13, 'Sprint 9'!B:B, 0)), INDEX('Sprint 9'!J:J, MATCH(B13, 'Sprint 9'!B:B, 0)), "")</f>
        <v/>
      </c>
    </row>
    <row r="14">
      <c r="A14" s="102" t="s">
        <v>310</v>
      </c>
      <c r="B14" s="102" t="s">
        <v>8120</v>
      </c>
      <c r="C14" s="229" t="s">
        <v>8121</v>
      </c>
      <c r="D14" s="102" t="s">
        <v>8122</v>
      </c>
      <c r="E14" s="102" t="s">
        <v>282</v>
      </c>
      <c r="F14" s="102" t="s">
        <v>283</v>
      </c>
      <c r="G14" s="102" t="s">
        <v>316</v>
      </c>
      <c r="H14" s="102" t="s">
        <v>317</v>
      </c>
      <c r="I14" s="102" t="s">
        <v>515</v>
      </c>
      <c r="J14" s="102" t="s">
        <v>26</v>
      </c>
      <c r="L14" s="229" t="s">
        <v>8123</v>
      </c>
      <c r="M14" s="229" t="s">
        <v>8124</v>
      </c>
      <c r="N14" s="229" t="s">
        <v>7544</v>
      </c>
      <c r="O14" s="102">
        <v>1.0</v>
      </c>
      <c r="P14" s="102" t="s">
        <v>4656</v>
      </c>
      <c r="Q14" s="102" t="s">
        <v>8125</v>
      </c>
      <c r="R14" s="102" t="s">
        <v>474</v>
      </c>
      <c r="S14" s="102">
        <v>1800.0</v>
      </c>
      <c r="T14" s="102" t="s">
        <v>4961</v>
      </c>
      <c r="U14" s="230" t="str">
        <f>IF(ISNUMBER(MATCH(B14, 'Sprint 9'!B:B, 0)), "มาจาก Sprint 9", "")</f>
        <v/>
      </c>
      <c r="V14" s="230" t="str">
        <f t="array" ref="V14">IF(ISNUMBER(MATCH(B14, 'Sprint 9'!B:B, 0)), INDEX('Sprint 9'!J:J, MATCH(B14, 'Sprint 9'!B:B, 0)), "")</f>
        <v/>
      </c>
    </row>
    <row r="15">
      <c r="A15" s="102" t="s">
        <v>310</v>
      </c>
      <c r="B15" s="102" t="s">
        <v>8126</v>
      </c>
      <c r="C15" s="229" t="s">
        <v>8127</v>
      </c>
      <c r="D15" s="102" t="s">
        <v>8128</v>
      </c>
      <c r="E15" s="102" t="s">
        <v>282</v>
      </c>
      <c r="F15" s="102" t="s">
        <v>283</v>
      </c>
      <c r="G15" s="102" t="s">
        <v>316</v>
      </c>
      <c r="H15" s="102" t="s">
        <v>317</v>
      </c>
      <c r="I15" s="102" t="s">
        <v>515</v>
      </c>
      <c r="J15" s="102" t="s">
        <v>26</v>
      </c>
      <c r="L15" s="229" t="s">
        <v>8129</v>
      </c>
      <c r="M15" s="229" t="s">
        <v>8130</v>
      </c>
      <c r="N15" s="229" t="s">
        <v>7544</v>
      </c>
      <c r="O15" s="102">
        <v>1.0</v>
      </c>
      <c r="P15" s="102" t="s">
        <v>4656</v>
      </c>
      <c r="Q15" s="102" t="s">
        <v>8125</v>
      </c>
      <c r="R15" s="102" t="s">
        <v>474</v>
      </c>
      <c r="S15" s="102">
        <v>1800.0</v>
      </c>
      <c r="T15" s="102" t="s">
        <v>4961</v>
      </c>
      <c r="U15" s="230" t="str">
        <f>IF(ISNUMBER(MATCH(B15, 'Sprint 9'!B:B, 0)), "มาจาก Sprint 9", "")</f>
        <v/>
      </c>
      <c r="V15" s="230" t="str">
        <f t="array" ref="V15">IF(ISNUMBER(MATCH(B15, 'Sprint 9'!B:B, 0)), INDEX('Sprint 9'!J:J, MATCH(B15, 'Sprint 9'!B:B, 0)), "")</f>
        <v/>
      </c>
    </row>
    <row r="16">
      <c r="A16" s="102" t="s">
        <v>310</v>
      </c>
      <c r="B16" s="102" t="s">
        <v>8131</v>
      </c>
      <c r="C16" s="229" t="s">
        <v>8132</v>
      </c>
      <c r="D16" s="102" t="s">
        <v>8133</v>
      </c>
      <c r="E16" s="102" t="s">
        <v>282</v>
      </c>
      <c r="F16" s="102" t="s">
        <v>283</v>
      </c>
      <c r="G16" s="102" t="s">
        <v>316</v>
      </c>
      <c r="H16" s="102" t="s">
        <v>317</v>
      </c>
      <c r="I16" s="102" t="s">
        <v>284</v>
      </c>
      <c r="J16" s="102" t="s">
        <v>26</v>
      </c>
      <c r="L16" s="229" t="s">
        <v>8134</v>
      </c>
      <c r="M16" s="229" t="s">
        <v>8135</v>
      </c>
      <c r="O16" s="102">
        <v>1.0</v>
      </c>
      <c r="P16" s="102" t="s">
        <v>4656</v>
      </c>
      <c r="Q16" s="102" t="s">
        <v>368</v>
      </c>
      <c r="S16" s="102">
        <v>1800.0</v>
      </c>
      <c r="T16" s="102" t="s">
        <v>4961</v>
      </c>
      <c r="U16" s="230" t="str">
        <f>IF(ISNUMBER(MATCH(B16, 'Sprint 9'!B:B, 0)), "มาจาก Sprint 9", "")</f>
        <v/>
      </c>
      <c r="V16" s="230" t="str">
        <f t="array" ref="V16">IF(ISNUMBER(MATCH(B16, 'Sprint 9'!B:B, 0)), INDEX('Sprint 9'!J:J, MATCH(B16, 'Sprint 9'!B:B, 0)), "")</f>
        <v/>
      </c>
    </row>
    <row r="17">
      <c r="A17" s="102" t="s">
        <v>276</v>
      </c>
      <c r="B17" s="102" t="s">
        <v>8136</v>
      </c>
      <c r="C17" s="229" t="s">
        <v>8137</v>
      </c>
      <c r="D17" s="102" t="s">
        <v>8138</v>
      </c>
      <c r="E17" s="102" t="s">
        <v>304</v>
      </c>
      <c r="F17" s="102" t="s">
        <v>305</v>
      </c>
      <c r="G17" s="102" t="s">
        <v>304</v>
      </c>
      <c r="H17" s="102" t="s">
        <v>305</v>
      </c>
      <c r="I17" s="102" t="s">
        <v>284</v>
      </c>
      <c r="J17" s="102" t="s">
        <v>26</v>
      </c>
      <c r="L17" s="229" t="s">
        <v>8139</v>
      </c>
      <c r="M17" s="229" t="s">
        <v>8140</v>
      </c>
      <c r="N17" s="229" t="s">
        <v>8141</v>
      </c>
      <c r="O17" s="102"/>
      <c r="P17" s="102" t="s">
        <v>593</v>
      </c>
      <c r="Q17" s="102" t="s">
        <v>1808</v>
      </c>
      <c r="S17" s="102">
        <v>0.0</v>
      </c>
      <c r="T17" s="102" t="s">
        <v>6449</v>
      </c>
      <c r="U17" s="230" t="str">
        <f>IF(ISNUMBER(MATCH(B17, 'Sprint 9'!B:B, 0)), "มาจาก Sprint 9", "")</f>
        <v/>
      </c>
      <c r="V17" s="230" t="str">
        <f t="array" ref="V17">IF(ISNUMBER(MATCH(B17, 'Sprint 9'!B:B, 0)), INDEX('Sprint 9'!J:J, MATCH(B17, 'Sprint 9'!B:B, 0)), "")</f>
        <v/>
      </c>
    </row>
    <row r="18">
      <c r="A18" s="102" t="s">
        <v>310</v>
      </c>
      <c r="B18" s="102" t="s">
        <v>8142</v>
      </c>
      <c r="C18" s="229" t="s">
        <v>8143</v>
      </c>
      <c r="D18" s="102" t="s">
        <v>8144</v>
      </c>
      <c r="E18" s="102" t="s">
        <v>282</v>
      </c>
      <c r="F18" s="102" t="s">
        <v>283</v>
      </c>
      <c r="G18" s="102" t="s">
        <v>316</v>
      </c>
      <c r="H18" s="102" t="s">
        <v>317</v>
      </c>
      <c r="I18" s="102" t="s">
        <v>284</v>
      </c>
      <c r="J18" s="102" t="s">
        <v>26</v>
      </c>
      <c r="L18" s="229" t="s">
        <v>8145</v>
      </c>
      <c r="M18" s="229" t="s">
        <v>8146</v>
      </c>
      <c r="N18" s="102"/>
      <c r="O18" s="102">
        <v>1.0</v>
      </c>
      <c r="P18" s="102" t="s">
        <v>366</v>
      </c>
      <c r="Q18" s="102" t="s">
        <v>4656</v>
      </c>
      <c r="R18" s="102" t="s">
        <v>368</v>
      </c>
      <c r="S18" s="102">
        <v>1800.0</v>
      </c>
      <c r="T18" s="102" t="s">
        <v>4961</v>
      </c>
      <c r="U18" s="230" t="str">
        <f>IF(ISNUMBER(MATCH(B18, 'Sprint 9'!B:B, 0)), "มาจาก Sprint 9", "")</f>
        <v/>
      </c>
      <c r="V18" s="230" t="str">
        <f t="array" ref="V18">IF(ISNUMBER(MATCH(B18, 'Sprint 9'!B:B, 0)), INDEX('Sprint 9'!J:J, MATCH(B18, 'Sprint 9'!B:B, 0)), "")</f>
        <v/>
      </c>
    </row>
    <row r="19">
      <c r="A19" s="102" t="s">
        <v>310</v>
      </c>
      <c r="B19" s="102" t="s">
        <v>8147</v>
      </c>
      <c r="C19" s="229" t="s">
        <v>8148</v>
      </c>
      <c r="D19" s="102" t="s">
        <v>8149</v>
      </c>
      <c r="E19" s="102" t="s">
        <v>304</v>
      </c>
      <c r="F19" s="102" t="s">
        <v>305</v>
      </c>
      <c r="G19" s="102" t="s">
        <v>304</v>
      </c>
      <c r="H19" s="102" t="s">
        <v>305</v>
      </c>
      <c r="I19" s="102" t="s">
        <v>284</v>
      </c>
      <c r="J19" s="102" t="s">
        <v>26</v>
      </c>
      <c r="L19" s="229" t="s">
        <v>8150</v>
      </c>
      <c r="M19" s="229" t="s">
        <v>8140</v>
      </c>
      <c r="N19" s="102"/>
      <c r="O19" s="102">
        <v>3.0</v>
      </c>
      <c r="P19" s="102"/>
      <c r="S19" s="102"/>
      <c r="T19" s="102" t="s">
        <v>6449</v>
      </c>
      <c r="U19" s="230" t="str">
        <f>IF(ISNUMBER(MATCH(B19, 'Sprint 9'!B:B, 0)), "มาจาก Sprint 9", "")</f>
        <v/>
      </c>
      <c r="V19" s="230" t="str">
        <f t="array" ref="V19">IF(ISNUMBER(MATCH(B19, 'Sprint 9'!B:B, 0)), INDEX('Sprint 9'!J:J, MATCH(B19, 'Sprint 9'!B:B, 0)), "")</f>
        <v/>
      </c>
    </row>
    <row r="20">
      <c r="A20" s="102" t="s">
        <v>332</v>
      </c>
      <c r="B20" s="102" t="s">
        <v>8151</v>
      </c>
      <c r="C20" s="229" t="s">
        <v>8152</v>
      </c>
      <c r="D20" s="102" t="s">
        <v>8153</v>
      </c>
      <c r="E20" s="102" t="s">
        <v>564</v>
      </c>
      <c r="F20" s="102" t="s">
        <v>565</v>
      </c>
      <c r="G20" s="102" t="s">
        <v>521</v>
      </c>
      <c r="H20" s="102" t="s">
        <v>522</v>
      </c>
      <c r="I20" s="102" t="s">
        <v>284</v>
      </c>
      <c r="J20" s="102" t="s">
        <v>336</v>
      </c>
      <c r="L20" s="229" t="s">
        <v>8154</v>
      </c>
      <c r="M20" s="229" t="s">
        <v>8155</v>
      </c>
      <c r="N20" s="229" t="s">
        <v>8156</v>
      </c>
      <c r="O20" s="102">
        <v>1.0</v>
      </c>
      <c r="S20" s="230"/>
      <c r="T20" s="102" t="s">
        <v>5913</v>
      </c>
      <c r="U20" s="230" t="str">
        <f>IF(ISNUMBER(MATCH(B20, 'Sprint 9'!B:B, 0)), "มาจาก Sprint 9", "")</f>
        <v/>
      </c>
      <c r="V20" s="230" t="str">
        <f t="array" ref="V20">IF(ISNUMBER(MATCH(B20, 'Sprint 9'!B:B, 0)), INDEX('Sprint 9'!J:J, MATCH(B20, 'Sprint 9'!B:B, 0)), "")</f>
        <v/>
      </c>
    </row>
    <row r="21">
      <c r="A21" s="102" t="s">
        <v>310</v>
      </c>
      <c r="B21" s="102" t="s">
        <v>8157</v>
      </c>
      <c r="C21" s="229" t="s">
        <v>8158</v>
      </c>
      <c r="D21" s="102" t="s">
        <v>8159</v>
      </c>
      <c r="E21" s="102" t="s">
        <v>282</v>
      </c>
      <c r="F21" s="102" t="s">
        <v>283</v>
      </c>
      <c r="G21" s="102" t="s">
        <v>316</v>
      </c>
      <c r="H21" s="102" t="s">
        <v>317</v>
      </c>
      <c r="I21" s="102" t="s">
        <v>284</v>
      </c>
      <c r="J21" s="102" t="s">
        <v>26</v>
      </c>
      <c r="L21" s="229" t="s">
        <v>8160</v>
      </c>
      <c r="M21" s="229" t="s">
        <v>8161</v>
      </c>
      <c r="N21" s="229" t="s">
        <v>5573</v>
      </c>
      <c r="O21" s="102">
        <v>1.0</v>
      </c>
      <c r="P21" s="102" t="s">
        <v>368</v>
      </c>
      <c r="S21" s="102">
        <v>1800.0</v>
      </c>
      <c r="T21" s="102" t="s">
        <v>4961</v>
      </c>
      <c r="U21" s="230" t="str">
        <f>IF(ISNUMBER(MATCH(B21, 'Sprint 9'!B:B, 0)), "มาจาก Sprint 9", "")</f>
        <v/>
      </c>
      <c r="V21" s="230" t="str">
        <f t="array" ref="V21">IF(ISNUMBER(MATCH(B21, 'Sprint 9'!B:B, 0)), INDEX('Sprint 9'!J:J, MATCH(B21, 'Sprint 9'!B:B, 0)), "")</f>
        <v/>
      </c>
    </row>
    <row r="22">
      <c r="A22" s="102" t="s">
        <v>332</v>
      </c>
      <c r="B22" s="102" t="s">
        <v>8162</v>
      </c>
      <c r="C22" s="229" t="s">
        <v>8163</v>
      </c>
      <c r="D22" s="102" t="s">
        <v>8164</v>
      </c>
      <c r="E22" s="102" t="s">
        <v>6860</v>
      </c>
      <c r="F22" s="102" t="s">
        <v>6861</v>
      </c>
      <c r="G22" s="102" t="s">
        <v>521</v>
      </c>
      <c r="H22" s="102" t="s">
        <v>522</v>
      </c>
      <c r="I22" s="102" t="s">
        <v>284</v>
      </c>
      <c r="J22" s="102" t="s">
        <v>336</v>
      </c>
      <c r="L22" s="229" t="s">
        <v>8165</v>
      </c>
      <c r="M22" s="229" t="s">
        <v>8166</v>
      </c>
      <c r="N22" s="229" t="s">
        <v>7520</v>
      </c>
      <c r="O22" s="102">
        <v>3.0</v>
      </c>
      <c r="S22" s="230"/>
      <c r="T22" s="102" t="s">
        <v>5913</v>
      </c>
      <c r="U22" s="230" t="str">
        <f>IF(ISNUMBER(MATCH(B22, 'Sprint 9'!B:B, 0)), "มาจาก Sprint 9", "")</f>
        <v/>
      </c>
      <c r="V22" s="230" t="str">
        <f t="array" ref="V22">IF(ISNUMBER(MATCH(B22, 'Sprint 9'!B:B, 0)), INDEX('Sprint 9'!J:J, MATCH(B22, 'Sprint 9'!B:B, 0)), "")</f>
        <v/>
      </c>
    </row>
    <row r="23">
      <c r="A23" s="102" t="s">
        <v>310</v>
      </c>
      <c r="B23" s="102" t="s">
        <v>8167</v>
      </c>
      <c r="C23" s="229" t="s">
        <v>8168</v>
      </c>
      <c r="D23" s="102" t="s">
        <v>8169</v>
      </c>
      <c r="E23" s="102" t="s">
        <v>314</v>
      </c>
      <c r="F23" s="102" t="s">
        <v>315</v>
      </c>
      <c r="G23" s="102" t="s">
        <v>314</v>
      </c>
      <c r="H23" s="102" t="s">
        <v>315</v>
      </c>
      <c r="I23" s="102" t="s">
        <v>284</v>
      </c>
      <c r="J23" s="102" t="s">
        <v>26</v>
      </c>
      <c r="L23" s="229" t="s">
        <v>8170</v>
      </c>
      <c r="M23" s="229" t="s">
        <v>8171</v>
      </c>
      <c r="O23" s="102">
        <v>1.0</v>
      </c>
      <c r="S23" s="102">
        <v>1800.0</v>
      </c>
      <c r="T23" s="102" t="s">
        <v>1364</v>
      </c>
      <c r="U23" s="230" t="str">
        <f>IF(ISNUMBER(MATCH(B23, 'Sprint 9'!B:B, 0)), "มาจาก Sprint 9", "")</f>
        <v/>
      </c>
      <c r="V23" s="230" t="str">
        <f t="array" ref="V23">IF(ISNUMBER(MATCH(B23, 'Sprint 9'!B:B, 0)), INDEX('Sprint 9'!J:J, MATCH(B23, 'Sprint 9'!B:B, 0)), "")</f>
        <v/>
      </c>
    </row>
    <row r="24">
      <c r="A24" s="102" t="s">
        <v>310</v>
      </c>
      <c r="B24" s="102" t="s">
        <v>8172</v>
      </c>
      <c r="C24" s="229" t="s">
        <v>8173</v>
      </c>
      <c r="D24" s="102" t="s">
        <v>8174</v>
      </c>
      <c r="E24" s="102" t="s">
        <v>314</v>
      </c>
      <c r="F24" s="102" t="s">
        <v>315</v>
      </c>
      <c r="G24" s="102" t="s">
        <v>314</v>
      </c>
      <c r="H24" s="102" t="s">
        <v>315</v>
      </c>
      <c r="I24" s="102" t="s">
        <v>284</v>
      </c>
      <c r="J24" s="102" t="s">
        <v>26</v>
      </c>
      <c r="L24" s="229" t="s">
        <v>8175</v>
      </c>
      <c r="M24" s="229" t="s">
        <v>8176</v>
      </c>
      <c r="N24" s="102"/>
      <c r="O24" s="102">
        <v>1.0</v>
      </c>
      <c r="S24" s="102">
        <v>1800.0</v>
      </c>
      <c r="T24" s="102" t="s">
        <v>1364</v>
      </c>
      <c r="U24" s="230" t="str">
        <f>IF(ISNUMBER(MATCH(B24, 'Sprint 9'!B:B, 0)), "มาจาก Sprint 9", "")</f>
        <v/>
      </c>
      <c r="V24" s="230" t="str">
        <f t="array" ref="V24">IF(ISNUMBER(MATCH(B24, 'Sprint 9'!B:B, 0)), INDEX('Sprint 9'!J:J, MATCH(B24, 'Sprint 9'!B:B, 0)), "")</f>
        <v/>
      </c>
    </row>
    <row r="25">
      <c r="A25" s="102" t="s">
        <v>310</v>
      </c>
      <c r="B25" s="102" t="s">
        <v>8177</v>
      </c>
      <c r="C25" s="229" t="s">
        <v>8178</v>
      </c>
      <c r="D25" s="102" t="s">
        <v>8179</v>
      </c>
      <c r="E25" s="102" t="s">
        <v>314</v>
      </c>
      <c r="F25" s="102" t="s">
        <v>315</v>
      </c>
      <c r="G25" s="102" t="s">
        <v>314</v>
      </c>
      <c r="H25" s="102" t="s">
        <v>315</v>
      </c>
      <c r="I25" s="102" t="s">
        <v>284</v>
      </c>
      <c r="J25" s="102" t="s">
        <v>26</v>
      </c>
      <c r="L25" s="229" t="s">
        <v>8175</v>
      </c>
      <c r="M25" s="229" t="s">
        <v>8176</v>
      </c>
      <c r="N25" s="102"/>
      <c r="O25" s="102">
        <v>1.0</v>
      </c>
      <c r="S25" s="102">
        <v>1800.0</v>
      </c>
      <c r="T25" s="102" t="s">
        <v>1364</v>
      </c>
      <c r="U25" s="230" t="str">
        <f>IF(ISNUMBER(MATCH(B25, 'Sprint 9'!B:B, 0)), "มาจาก Sprint 9", "")</f>
        <v/>
      </c>
      <c r="V25" s="230" t="str">
        <f t="array" ref="V25">IF(ISNUMBER(MATCH(B25, 'Sprint 9'!B:B, 0)), INDEX('Sprint 9'!J:J, MATCH(B25, 'Sprint 9'!B:B, 0)), "")</f>
        <v/>
      </c>
    </row>
    <row r="26">
      <c r="A26" s="102" t="s">
        <v>310</v>
      </c>
      <c r="B26" s="102" t="s">
        <v>8180</v>
      </c>
      <c r="C26" s="229" t="s">
        <v>8181</v>
      </c>
      <c r="D26" s="102" t="s">
        <v>8182</v>
      </c>
      <c r="E26" s="102" t="s">
        <v>6860</v>
      </c>
      <c r="F26" s="102" t="s">
        <v>6861</v>
      </c>
      <c r="G26" s="102" t="s">
        <v>353</v>
      </c>
      <c r="H26" s="102" t="s">
        <v>354</v>
      </c>
      <c r="I26" s="102" t="s">
        <v>284</v>
      </c>
      <c r="J26" s="102" t="s">
        <v>26</v>
      </c>
      <c r="L26" s="229" t="s">
        <v>8183</v>
      </c>
      <c r="M26" s="229" t="s">
        <v>8184</v>
      </c>
      <c r="N26" s="229" t="s">
        <v>8141</v>
      </c>
      <c r="O26" s="102">
        <v>1.0</v>
      </c>
      <c r="P26" s="102"/>
      <c r="Q26" s="102"/>
      <c r="S26" s="102">
        <v>7200.0</v>
      </c>
      <c r="T26" s="102" t="s">
        <v>4961</v>
      </c>
      <c r="U26" s="230" t="str">
        <f>IF(ISNUMBER(MATCH(B26, 'Sprint 9'!B:B, 0)), "มาจาก Sprint 9", "")</f>
        <v/>
      </c>
      <c r="V26" s="230" t="str">
        <f t="array" ref="V26">IF(ISNUMBER(MATCH(B26, 'Sprint 9'!B:B, 0)), INDEX('Sprint 9'!J:J, MATCH(B26, 'Sprint 9'!B:B, 0)), "")</f>
        <v/>
      </c>
    </row>
    <row r="27">
      <c r="A27" s="102" t="s">
        <v>310</v>
      </c>
      <c r="B27" s="102" t="s">
        <v>8185</v>
      </c>
      <c r="C27" s="229" t="s">
        <v>8186</v>
      </c>
      <c r="D27" s="102" t="s">
        <v>8187</v>
      </c>
      <c r="E27" s="102" t="s">
        <v>314</v>
      </c>
      <c r="F27" s="102" t="s">
        <v>315</v>
      </c>
      <c r="G27" s="102" t="s">
        <v>316</v>
      </c>
      <c r="H27" s="102" t="s">
        <v>317</v>
      </c>
      <c r="I27" s="102" t="s">
        <v>284</v>
      </c>
      <c r="J27" s="102" t="s">
        <v>26</v>
      </c>
      <c r="L27" s="229" t="s">
        <v>8188</v>
      </c>
      <c r="M27" s="229" t="s">
        <v>8189</v>
      </c>
      <c r="N27" s="229" t="s">
        <v>7520</v>
      </c>
      <c r="O27" s="102">
        <v>1.0</v>
      </c>
      <c r="P27" s="102"/>
      <c r="Q27" s="102"/>
      <c r="R27" s="102"/>
      <c r="S27" s="102">
        <v>600.0</v>
      </c>
      <c r="T27" s="102" t="s">
        <v>4961</v>
      </c>
      <c r="U27" s="230" t="str">
        <f>IF(ISNUMBER(MATCH(B27, 'Sprint 9'!B:B, 0)), "มาจาก Sprint 9", "")</f>
        <v/>
      </c>
      <c r="V27" s="230" t="str">
        <f t="array" ref="V27">IF(ISNUMBER(MATCH(B27, 'Sprint 9'!B:B, 0)), INDEX('Sprint 9'!J:J, MATCH(B27, 'Sprint 9'!B:B, 0)), "")</f>
        <v/>
      </c>
    </row>
    <row r="28">
      <c r="A28" s="102" t="s">
        <v>310</v>
      </c>
      <c r="B28" s="102" t="s">
        <v>8190</v>
      </c>
      <c r="C28" s="229" t="s">
        <v>8191</v>
      </c>
      <c r="D28" s="102" t="s">
        <v>8192</v>
      </c>
      <c r="E28" s="102" t="s">
        <v>304</v>
      </c>
      <c r="F28" s="102" t="s">
        <v>305</v>
      </c>
      <c r="G28" s="102" t="s">
        <v>304</v>
      </c>
      <c r="H28" s="102" t="s">
        <v>305</v>
      </c>
      <c r="I28" s="102" t="s">
        <v>284</v>
      </c>
      <c r="J28" s="102" t="s">
        <v>26</v>
      </c>
      <c r="L28" s="229" t="s">
        <v>8193</v>
      </c>
      <c r="M28" s="229" t="s">
        <v>8194</v>
      </c>
      <c r="N28" s="229" t="s">
        <v>7509</v>
      </c>
      <c r="O28" s="102">
        <v>1.0</v>
      </c>
      <c r="P28" s="102" t="s">
        <v>27</v>
      </c>
      <c r="Q28" s="102" t="s">
        <v>593</v>
      </c>
      <c r="S28" s="102">
        <v>3600.0</v>
      </c>
      <c r="T28" s="102" t="s">
        <v>6449</v>
      </c>
      <c r="U28" s="230" t="str">
        <f>IF(ISNUMBER(MATCH(B28, 'Sprint 9'!B:B, 0)), "มาจาก Sprint 9", "")</f>
        <v/>
      </c>
      <c r="V28" s="230" t="str">
        <f t="array" ref="V28">IF(ISNUMBER(MATCH(B28, 'Sprint 9'!B:B, 0)), INDEX('Sprint 9'!J:J, MATCH(B28, 'Sprint 9'!B:B, 0)), "")</f>
        <v/>
      </c>
      <c r="X28" s="102"/>
      <c r="Y28" s="102"/>
      <c r="Z28" s="102"/>
    </row>
    <row r="29">
      <c r="A29" s="102" t="s">
        <v>310</v>
      </c>
      <c r="B29" s="102" t="s">
        <v>8195</v>
      </c>
      <c r="C29" s="229" t="s">
        <v>8196</v>
      </c>
      <c r="D29" s="102" t="s">
        <v>8197</v>
      </c>
      <c r="E29" s="102" t="s">
        <v>282</v>
      </c>
      <c r="F29" s="102" t="s">
        <v>283</v>
      </c>
      <c r="G29" s="102" t="s">
        <v>316</v>
      </c>
      <c r="H29" s="102" t="s">
        <v>317</v>
      </c>
      <c r="I29" s="102" t="s">
        <v>284</v>
      </c>
      <c r="J29" s="102" t="s">
        <v>26</v>
      </c>
      <c r="L29" s="229" t="s">
        <v>8198</v>
      </c>
      <c r="M29" s="229" t="s">
        <v>8199</v>
      </c>
      <c r="O29" s="102">
        <v>1.0</v>
      </c>
      <c r="P29" s="102" t="s">
        <v>366</v>
      </c>
      <c r="Q29" s="102" t="s">
        <v>4656</v>
      </c>
      <c r="R29" s="102" t="s">
        <v>368</v>
      </c>
      <c r="S29" s="102">
        <v>1800.0</v>
      </c>
      <c r="T29" s="102" t="s">
        <v>4961</v>
      </c>
      <c r="U29" s="230" t="str">
        <f>IF(ISNUMBER(MATCH(B29, 'Sprint 9'!B:B, 0)), "มาจาก Sprint 9", "")</f>
        <v/>
      </c>
      <c r="V29" s="230" t="str">
        <f t="array" ref="V29">IF(ISNUMBER(MATCH(B29, 'Sprint 9'!B:B, 0)), INDEX('Sprint 9'!J:J, MATCH(B29, 'Sprint 9'!B:B, 0)), "")</f>
        <v/>
      </c>
      <c r="X29" s="102"/>
      <c r="Y29" s="102"/>
      <c r="Z29" s="102"/>
    </row>
    <row r="30">
      <c r="A30" s="102" t="s">
        <v>276</v>
      </c>
      <c r="B30" s="102" t="s">
        <v>8200</v>
      </c>
      <c r="C30" s="229" t="s">
        <v>8201</v>
      </c>
      <c r="D30" s="102" t="s">
        <v>8202</v>
      </c>
      <c r="E30" s="102" t="s">
        <v>3288</v>
      </c>
      <c r="F30" s="102" t="s">
        <v>3289</v>
      </c>
      <c r="G30" s="102" t="s">
        <v>3288</v>
      </c>
      <c r="H30" s="102" t="s">
        <v>3289</v>
      </c>
      <c r="I30" s="102" t="s">
        <v>284</v>
      </c>
      <c r="J30" s="102" t="s">
        <v>26</v>
      </c>
      <c r="L30" s="229" t="s">
        <v>8203</v>
      </c>
      <c r="M30" s="229" t="s">
        <v>8204</v>
      </c>
      <c r="O30" s="230"/>
      <c r="S30" s="230"/>
      <c r="T30" s="102" t="s">
        <v>5944</v>
      </c>
      <c r="U30" s="230" t="str">
        <f>IF(ISNUMBER(MATCH(B30, 'Sprint 9'!B:B, 0)), "มาจาก Sprint 9", "")</f>
        <v/>
      </c>
      <c r="V30" s="230" t="str">
        <f t="array" ref="V30">IF(ISNUMBER(MATCH(B30, 'Sprint 9'!B:B, 0)), INDEX('Sprint 9'!J:J, MATCH(B30, 'Sprint 9'!B:B, 0)), "")</f>
        <v/>
      </c>
      <c r="X30" s="102" t="s">
        <v>5920</v>
      </c>
      <c r="Y30" s="102" t="s">
        <v>5920</v>
      </c>
      <c r="Z30" s="102" t="s">
        <v>5913</v>
      </c>
    </row>
    <row r="31">
      <c r="A31" s="102" t="s">
        <v>276</v>
      </c>
      <c r="B31" s="102" t="s">
        <v>8205</v>
      </c>
      <c r="C31" s="229" t="s">
        <v>8206</v>
      </c>
      <c r="D31" s="102" t="s">
        <v>8202</v>
      </c>
      <c r="E31" s="102" t="s">
        <v>3288</v>
      </c>
      <c r="F31" s="102" t="s">
        <v>3289</v>
      </c>
      <c r="G31" s="102" t="s">
        <v>3288</v>
      </c>
      <c r="H31" s="102" t="s">
        <v>3289</v>
      </c>
      <c r="I31" s="102" t="s">
        <v>284</v>
      </c>
      <c r="J31" s="102" t="s">
        <v>26</v>
      </c>
      <c r="L31" s="229" t="s">
        <v>8207</v>
      </c>
      <c r="M31" s="229" t="s">
        <v>8204</v>
      </c>
      <c r="O31" s="230"/>
      <c r="S31" s="230"/>
      <c r="T31" s="102" t="s">
        <v>5944</v>
      </c>
      <c r="U31" s="230" t="str">
        <f>IF(ISNUMBER(MATCH(B31, 'Sprint 9'!B:B, 0)), "มาจาก Sprint 9", "")</f>
        <v/>
      </c>
      <c r="V31" s="230" t="str">
        <f t="array" ref="V31">IF(ISNUMBER(MATCH(B31, 'Sprint 9'!B:B, 0)), INDEX('Sprint 9'!J:J, MATCH(B31, 'Sprint 9'!B:B, 0)), "")</f>
        <v/>
      </c>
      <c r="X31" s="102" t="s">
        <v>5920</v>
      </c>
      <c r="Y31" s="102" t="s">
        <v>5920</v>
      </c>
      <c r="Z31" s="102" t="s">
        <v>5913</v>
      </c>
    </row>
    <row r="32">
      <c r="A32" s="102" t="s">
        <v>276</v>
      </c>
      <c r="B32" s="102" t="s">
        <v>8208</v>
      </c>
      <c r="C32" s="229" t="s">
        <v>8209</v>
      </c>
      <c r="D32" s="102" t="s">
        <v>8202</v>
      </c>
      <c r="E32" s="102" t="s">
        <v>3288</v>
      </c>
      <c r="F32" s="102" t="s">
        <v>3289</v>
      </c>
      <c r="G32" s="102" t="s">
        <v>3288</v>
      </c>
      <c r="H32" s="102" t="s">
        <v>3289</v>
      </c>
      <c r="I32" s="102" t="s">
        <v>284</v>
      </c>
      <c r="J32" s="102" t="s">
        <v>26</v>
      </c>
      <c r="L32" s="229" t="s">
        <v>8207</v>
      </c>
      <c r="M32" s="229" t="s">
        <v>8210</v>
      </c>
      <c r="O32" s="230"/>
      <c r="S32" s="230"/>
      <c r="T32" s="102" t="s">
        <v>5944</v>
      </c>
      <c r="U32" s="230" t="str">
        <f>IF(ISNUMBER(MATCH(B32, 'Sprint 9'!B:B, 0)), "มาจาก Sprint 9", "")</f>
        <v/>
      </c>
      <c r="V32" s="230" t="str">
        <f t="array" ref="V32">IF(ISNUMBER(MATCH(B32, 'Sprint 9'!B:B, 0)), INDEX('Sprint 9'!J:J, MATCH(B32, 'Sprint 9'!B:B, 0)), "")</f>
        <v/>
      </c>
      <c r="X32" s="102" t="s">
        <v>5920</v>
      </c>
      <c r="Y32" s="102" t="s">
        <v>5920</v>
      </c>
      <c r="Z32" s="102" t="s">
        <v>5913</v>
      </c>
    </row>
    <row r="33">
      <c r="A33" s="102" t="s">
        <v>276</v>
      </c>
      <c r="B33" s="102" t="s">
        <v>8211</v>
      </c>
      <c r="C33" s="229" t="s">
        <v>8212</v>
      </c>
      <c r="D33" s="102" t="s">
        <v>8202</v>
      </c>
      <c r="E33" s="102" t="s">
        <v>3288</v>
      </c>
      <c r="F33" s="102" t="s">
        <v>3289</v>
      </c>
      <c r="G33" s="102" t="s">
        <v>3288</v>
      </c>
      <c r="H33" s="102" t="s">
        <v>3289</v>
      </c>
      <c r="I33" s="102" t="s">
        <v>284</v>
      </c>
      <c r="J33" s="102" t="s">
        <v>26</v>
      </c>
      <c r="L33" s="229" t="s">
        <v>8207</v>
      </c>
      <c r="M33" s="229" t="s">
        <v>8210</v>
      </c>
      <c r="N33" s="102"/>
      <c r="O33" s="102"/>
      <c r="S33" s="102"/>
      <c r="T33" s="102" t="s">
        <v>5944</v>
      </c>
      <c r="U33" s="230" t="str">
        <f>IF(ISNUMBER(MATCH(B33, 'Sprint 9'!B:B, 0)), "มาจาก Sprint 9", "")</f>
        <v/>
      </c>
      <c r="V33" s="230" t="str">
        <f t="array" ref="V33">IF(ISNUMBER(MATCH(B33, 'Sprint 9'!B:B, 0)), INDEX('Sprint 9'!J:J, MATCH(B33, 'Sprint 9'!B:B, 0)), "")</f>
        <v/>
      </c>
      <c r="X33" s="102" t="s">
        <v>5920</v>
      </c>
      <c r="Y33" s="102" t="s">
        <v>5920</v>
      </c>
      <c r="Z33" s="102" t="s">
        <v>5913</v>
      </c>
    </row>
    <row r="34">
      <c r="A34" s="102" t="s">
        <v>276</v>
      </c>
      <c r="B34" s="102" t="s">
        <v>8213</v>
      </c>
      <c r="C34" s="229" t="s">
        <v>8214</v>
      </c>
      <c r="D34" s="102" t="s">
        <v>8202</v>
      </c>
      <c r="E34" s="102" t="s">
        <v>3288</v>
      </c>
      <c r="F34" s="102" t="s">
        <v>3289</v>
      </c>
      <c r="G34" s="102" t="s">
        <v>3288</v>
      </c>
      <c r="H34" s="102" t="s">
        <v>3289</v>
      </c>
      <c r="I34" s="102" t="s">
        <v>284</v>
      </c>
      <c r="J34" s="102" t="s">
        <v>26</v>
      </c>
      <c r="L34" s="229" t="s">
        <v>8215</v>
      </c>
      <c r="M34" s="229" t="s">
        <v>8210</v>
      </c>
      <c r="N34" s="102"/>
      <c r="O34" s="102"/>
      <c r="S34" s="102"/>
      <c r="T34" s="102" t="s">
        <v>5944</v>
      </c>
      <c r="U34" s="230" t="str">
        <f>IF(ISNUMBER(MATCH(B34, 'Sprint 9'!B:B, 0)), "มาจาก Sprint 9", "")</f>
        <v/>
      </c>
      <c r="V34" s="230" t="str">
        <f t="array" ref="V34">IF(ISNUMBER(MATCH(B34, 'Sprint 9'!B:B, 0)), INDEX('Sprint 9'!J:J, MATCH(B34, 'Sprint 9'!B:B, 0)), "")</f>
        <v/>
      </c>
      <c r="X34" s="102" t="s">
        <v>5920</v>
      </c>
      <c r="Y34" s="102" t="s">
        <v>5920</v>
      </c>
      <c r="Z34" s="102" t="s">
        <v>5913</v>
      </c>
    </row>
    <row r="35">
      <c r="A35" s="102" t="s">
        <v>310</v>
      </c>
      <c r="B35" s="102" t="s">
        <v>7504</v>
      </c>
      <c r="C35" s="229" t="s">
        <v>7505</v>
      </c>
      <c r="D35" s="102" t="s">
        <v>7506</v>
      </c>
      <c r="E35" s="102" t="s">
        <v>564</v>
      </c>
      <c r="F35" s="102" t="s">
        <v>565</v>
      </c>
      <c r="G35" s="102" t="s">
        <v>353</v>
      </c>
      <c r="H35" s="102" t="s">
        <v>354</v>
      </c>
      <c r="I35" s="102" t="s">
        <v>284</v>
      </c>
      <c r="J35" s="102" t="s">
        <v>454</v>
      </c>
      <c r="L35" s="229" t="s">
        <v>7507</v>
      </c>
      <c r="M35" s="229" t="s">
        <v>8216</v>
      </c>
      <c r="N35" s="229" t="s">
        <v>7509</v>
      </c>
      <c r="O35" s="102">
        <v>1.0</v>
      </c>
      <c r="S35" s="102">
        <v>3600.0</v>
      </c>
      <c r="T35" s="102" t="s">
        <v>5913</v>
      </c>
      <c r="U35" s="230" t="str">
        <f>IF(ISNUMBER(MATCH(B35, 'Sprint 9'!B:B, 0)), "มาจาก Sprint 9", "")</f>
        <v/>
      </c>
      <c r="V35" s="230" t="str">
        <f t="array" ref="V35">IF(ISNUMBER(MATCH(B35, 'Sprint 9'!B:B, 0)), INDEX('Sprint 9'!J:J, MATCH(B35, 'Sprint 9'!B:B, 0)), "")</f>
        <v/>
      </c>
    </row>
    <row r="36">
      <c r="A36" s="102" t="s">
        <v>310</v>
      </c>
      <c r="B36" s="102" t="s">
        <v>7510</v>
      </c>
      <c r="C36" s="229" t="s">
        <v>7511</v>
      </c>
      <c r="D36" s="102" t="s">
        <v>7512</v>
      </c>
      <c r="E36" s="102" t="s">
        <v>564</v>
      </c>
      <c r="F36" s="102" t="s">
        <v>565</v>
      </c>
      <c r="G36" s="102" t="s">
        <v>353</v>
      </c>
      <c r="H36" s="102" t="s">
        <v>354</v>
      </c>
      <c r="I36" s="102" t="s">
        <v>284</v>
      </c>
      <c r="J36" s="102" t="s">
        <v>454</v>
      </c>
      <c r="L36" s="229" t="s">
        <v>7513</v>
      </c>
      <c r="M36" s="229" t="s">
        <v>8216</v>
      </c>
      <c r="N36" s="229" t="s">
        <v>7509</v>
      </c>
      <c r="O36" s="102">
        <v>2.0</v>
      </c>
      <c r="S36" s="102">
        <v>10800.0</v>
      </c>
      <c r="T36" s="102" t="s">
        <v>5913</v>
      </c>
      <c r="U36" s="230" t="str">
        <f>IF(ISNUMBER(MATCH(B36, 'Sprint 9'!B:B, 0)), "มาจาก Sprint 9", "")</f>
        <v/>
      </c>
      <c r="V36" s="230" t="str">
        <f t="array" ref="V36">IF(ISNUMBER(MATCH(B36, 'Sprint 9'!B:B, 0)), INDEX('Sprint 9'!J:J, MATCH(B36, 'Sprint 9'!B:B, 0)), "")</f>
        <v/>
      </c>
    </row>
    <row r="37">
      <c r="A37" s="102" t="s">
        <v>1465</v>
      </c>
      <c r="B37" s="102" t="s">
        <v>8217</v>
      </c>
      <c r="C37" s="229" t="s">
        <v>8218</v>
      </c>
      <c r="D37" s="102" t="s">
        <v>8219</v>
      </c>
      <c r="E37" s="102"/>
      <c r="F37" s="102"/>
      <c r="G37" s="102" t="s">
        <v>3288</v>
      </c>
      <c r="H37" s="102" t="s">
        <v>3289</v>
      </c>
      <c r="I37" s="102" t="s">
        <v>284</v>
      </c>
      <c r="J37" s="102" t="s">
        <v>26</v>
      </c>
      <c r="L37" s="229" t="s">
        <v>8220</v>
      </c>
      <c r="M37" s="229" t="s">
        <v>8221</v>
      </c>
      <c r="N37" s="102"/>
      <c r="O37" s="102"/>
      <c r="P37" s="102"/>
      <c r="Q37" s="102"/>
      <c r="S37" s="102"/>
      <c r="T37" s="102" t="s">
        <v>8039</v>
      </c>
      <c r="U37" s="230" t="str">
        <f>IF(ISNUMBER(MATCH(B37, 'Sprint 9'!B:B, 0)), "มาจาก Sprint 9", "")</f>
        <v/>
      </c>
      <c r="V37" s="230" t="str">
        <f t="array" ref="V37">IF(ISNUMBER(MATCH(B37, 'Sprint 9'!B:B, 0)), INDEX('Sprint 9'!J:J, MATCH(B37, 'Sprint 9'!B:B, 0)), "")</f>
        <v/>
      </c>
    </row>
    <row r="38">
      <c r="A38" s="102" t="s">
        <v>310</v>
      </c>
      <c r="B38" s="102" t="s">
        <v>7515</v>
      </c>
      <c r="C38" s="229" t="s">
        <v>7516</v>
      </c>
      <c r="D38" s="102" t="s">
        <v>7517</v>
      </c>
      <c r="E38" s="102" t="s">
        <v>495</v>
      </c>
      <c r="F38" s="102" t="s">
        <v>496</v>
      </c>
      <c r="G38" s="102" t="s">
        <v>282</v>
      </c>
      <c r="H38" s="102" t="s">
        <v>283</v>
      </c>
      <c r="I38" s="102" t="s">
        <v>515</v>
      </c>
      <c r="J38" s="102" t="s">
        <v>454</v>
      </c>
      <c r="L38" s="229" t="s">
        <v>7518</v>
      </c>
      <c r="M38" s="229" t="s">
        <v>8222</v>
      </c>
      <c r="N38" s="229" t="s">
        <v>7520</v>
      </c>
      <c r="O38" s="102">
        <v>3.0</v>
      </c>
      <c r="P38" s="102" t="s">
        <v>777</v>
      </c>
      <c r="Q38" s="102" t="s">
        <v>4656</v>
      </c>
      <c r="S38" s="102">
        <v>28800.0</v>
      </c>
      <c r="T38" s="102" t="s">
        <v>5913</v>
      </c>
      <c r="U38" s="230" t="str">
        <f>IF(ISNUMBER(MATCH(B38, 'Sprint 9'!B:B, 0)), "มาจาก Sprint 9", "")</f>
        <v/>
      </c>
      <c r="V38" s="230" t="str">
        <f t="array" ref="V38">IF(ISNUMBER(MATCH(B38, 'Sprint 9'!B:B, 0)), INDEX('Sprint 9'!J:J, MATCH(B38, 'Sprint 9'!B:B, 0)), "")</f>
        <v/>
      </c>
    </row>
    <row r="39">
      <c r="A39" s="102" t="s">
        <v>310</v>
      </c>
      <c r="B39" s="102" t="s">
        <v>7521</v>
      </c>
      <c r="C39" s="229" t="s">
        <v>7522</v>
      </c>
      <c r="D39" s="102" t="s">
        <v>7523</v>
      </c>
      <c r="E39" s="102" t="s">
        <v>495</v>
      </c>
      <c r="F39" s="102" t="s">
        <v>496</v>
      </c>
      <c r="G39" s="102" t="s">
        <v>282</v>
      </c>
      <c r="H39" s="102" t="s">
        <v>283</v>
      </c>
      <c r="I39" s="102" t="s">
        <v>515</v>
      </c>
      <c r="J39" s="102" t="s">
        <v>454</v>
      </c>
      <c r="L39" s="229" t="s">
        <v>7518</v>
      </c>
      <c r="M39" s="229" t="s">
        <v>8223</v>
      </c>
      <c r="N39" s="229" t="s">
        <v>7509</v>
      </c>
      <c r="O39" s="102">
        <v>3.0</v>
      </c>
      <c r="P39" s="102" t="s">
        <v>7525</v>
      </c>
      <c r="Q39" s="102" t="s">
        <v>4656</v>
      </c>
      <c r="S39" s="102">
        <v>43200.0</v>
      </c>
      <c r="T39" s="102" t="s">
        <v>5913</v>
      </c>
      <c r="U39" s="230" t="str">
        <f>IF(ISNUMBER(MATCH(B39, 'Sprint 9'!B:B, 0)), "มาจาก Sprint 9", "")</f>
        <v/>
      </c>
      <c r="V39" s="230" t="str">
        <f t="array" ref="V39">IF(ISNUMBER(MATCH(B39, 'Sprint 9'!B:B, 0)), INDEX('Sprint 9'!J:J, MATCH(B39, 'Sprint 9'!B:B, 0)), "")</f>
        <v/>
      </c>
    </row>
    <row r="40">
      <c r="A40" s="102" t="s">
        <v>276</v>
      </c>
      <c r="B40" s="102" t="s">
        <v>8224</v>
      </c>
      <c r="C40" s="229" t="s">
        <v>8225</v>
      </c>
      <c r="D40" s="102" t="s">
        <v>8226</v>
      </c>
      <c r="E40" s="102" t="s">
        <v>282</v>
      </c>
      <c r="F40" s="102" t="s">
        <v>283</v>
      </c>
      <c r="G40" s="102" t="s">
        <v>316</v>
      </c>
      <c r="H40" s="102" t="s">
        <v>317</v>
      </c>
      <c r="I40" s="102" t="s">
        <v>284</v>
      </c>
      <c r="J40" s="102" t="s">
        <v>26</v>
      </c>
      <c r="L40" s="229" t="s">
        <v>8227</v>
      </c>
      <c r="M40" s="229" t="s">
        <v>8228</v>
      </c>
      <c r="O40" s="102"/>
      <c r="P40" s="102"/>
      <c r="Q40" s="102"/>
      <c r="R40" s="102"/>
      <c r="S40" s="102"/>
      <c r="T40" s="102" t="s">
        <v>4961</v>
      </c>
      <c r="U40" s="230" t="str">
        <f>IF(ISNUMBER(MATCH(B40, 'Sprint 9'!B:B, 0)), "มาจาก Sprint 9", "")</f>
        <v/>
      </c>
      <c r="V40" s="230" t="str">
        <f t="array" ref="V40">IF(ISNUMBER(MATCH(B40, 'Sprint 9'!B:B, 0)), INDEX('Sprint 9'!J:J, MATCH(B40, 'Sprint 9'!B:B, 0)), "")</f>
        <v/>
      </c>
    </row>
    <row r="41">
      <c r="A41" s="102" t="s">
        <v>310</v>
      </c>
      <c r="B41" s="102" t="s">
        <v>8229</v>
      </c>
      <c r="C41" s="229" t="s">
        <v>8230</v>
      </c>
      <c r="D41" s="102" t="s">
        <v>8231</v>
      </c>
      <c r="E41" s="102" t="s">
        <v>282</v>
      </c>
      <c r="F41" s="102" t="s">
        <v>283</v>
      </c>
      <c r="G41" s="102" t="s">
        <v>316</v>
      </c>
      <c r="H41" s="102" t="s">
        <v>317</v>
      </c>
      <c r="I41" s="102" t="s">
        <v>284</v>
      </c>
      <c r="J41" s="102" t="s">
        <v>26</v>
      </c>
      <c r="L41" s="229" t="s">
        <v>8232</v>
      </c>
      <c r="M41" s="229" t="s">
        <v>8228</v>
      </c>
      <c r="O41" s="102">
        <v>1.0</v>
      </c>
      <c r="P41" s="102" t="s">
        <v>4656</v>
      </c>
      <c r="Q41" s="102" t="s">
        <v>367</v>
      </c>
      <c r="R41" s="102" t="s">
        <v>368</v>
      </c>
      <c r="S41" s="102">
        <v>600.0</v>
      </c>
      <c r="T41" s="102" t="s">
        <v>4961</v>
      </c>
      <c r="U41" s="230" t="str">
        <f>IF(ISNUMBER(MATCH(B41, 'Sprint 9'!B:B, 0)), "มาจาก Sprint 9", "")</f>
        <v/>
      </c>
      <c r="V41" s="230" t="str">
        <f t="array" ref="V41">IF(ISNUMBER(MATCH(B41, 'Sprint 9'!B:B, 0)), INDEX('Sprint 9'!J:J, MATCH(B41, 'Sprint 9'!B:B, 0)), "")</f>
        <v/>
      </c>
      <c r="X41" s="102"/>
      <c r="Y41" s="102"/>
    </row>
    <row r="42">
      <c r="A42" s="102" t="s">
        <v>276</v>
      </c>
      <c r="B42" s="102" t="s">
        <v>8233</v>
      </c>
      <c r="C42" s="229" t="s">
        <v>8234</v>
      </c>
      <c r="D42" s="102" t="s">
        <v>1567</v>
      </c>
      <c r="E42" s="102" t="s">
        <v>3288</v>
      </c>
      <c r="F42" s="102" t="s">
        <v>3289</v>
      </c>
      <c r="G42" s="102" t="s">
        <v>3288</v>
      </c>
      <c r="H42" s="102" t="s">
        <v>3289</v>
      </c>
      <c r="I42" s="102" t="s">
        <v>284</v>
      </c>
      <c r="J42" s="102" t="s">
        <v>26</v>
      </c>
      <c r="L42" s="229" t="s">
        <v>8235</v>
      </c>
      <c r="M42" s="229" t="s">
        <v>8236</v>
      </c>
      <c r="O42" s="102"/>
      <c r="P42" s="102"/>
      <c r="S42" s="230"/>
      <c r="T42" s="102" t="s">
        <v>8237</v>
      </c>
      <c r="U42" s="230" t="str">
        <f>IF(ISNUMBER(MATCH(B42, 'Sprint 9'!B:B, 0)), "มาจาก Sprint 9", "")</f>
        <v/>
      </c>
      <c r="V42" s="230" t="str">
        <f t="array" ref="V42">IF(ISNUMBER(MATCH(B42, 'Sprint 9'!B:B, 0)), INDEX('Sprint 9'!J:J, MATCH(B42, 'Sprint 9'!B:B, 0)), "")</f>
        <v/>
      </c>
      <c r="X42" s="102" t="s">
        <v>8237</v>
      </c>
      <c r="Y42" s="102" t="s">
        <v>8039</v>
      </c>
    </row>
    <row r="43">
      <c r="A43" s="102" t="s">
        <v>310</v>
      </c>
      <c r="B43" s="102" t="s">
        <v>6439</v>
      </c>
      <c r="C43" s="229" t="s">
        <v>6440</v>
      </c>
      <c r="D43" s="102" t="s">
        <v>6441</v>
      </c>
      <c r="E43" s="102" t="s">
        <v>282</v>
      </c>
      <c r="F43" s="102" t="s">
        <v>283</v>
      </c>
      <c r="G43" s="102" t="s">
        <v>282</v>
      </c>
      <c r="H43" s="102" t="s">
        <v>283</v>
      </c>
      <c r="I43" s="102" t="s">
        <v>284</v>
      </c>
      <c r="J43" s="102" t="s">
        <v>63</v>
      </c>
      <c r="L43" s="229" t="s">
        <v>6442</v>
      </c>
      <c r="M43" s="229" t="s">
        <v>8238</v>
      </c>
      <c r="O43" s="102">
        <v>5.0</v>
      </c>
      <c r="P43" s="102" t="s">
        <v>5547</v>
      </c>
      <c r="S43" s="230"/>
      <c r="T43" s="102" t="s">
        <v>4961</v>
      </c>
      <c r="U43" s="230" t="str">
        <f>IF(ISNUMBER(MATCH(B43, 'Sprint 9'!B:B, 0)), "มาจาก Sprint 9", "")</f>
        <v/>
      </c>
      <c r="V43" s="230" t="str">
        <f t="array" ref="V43">IF(ISNUMBER(MATCH(B43, 'Sprint 9'!B:B, 0)), INDEX('Sprint 9'!J:J, MATCH(B43, 'Sprint 9'!B:B, 0)), "")</f>
        <v/>
      </c>
    </row>
    <row r="44">
      <c r="A44" s="102" t="s">
        <v>310</v>
      </c>
      <c r="B44" s="102" t="s">
        <v>8239</v>
      </c>
      <c r="C44" s="229" t="s">
        <v>8240</v>
      </c>
      <c r="D44" s="102" t="s">
        <v>8241</v>
      </c>
      <c r="E44" s="102" t="s">
        <v>584</v>
      </c>
      <c r="F44" s="102" t="s">
        <v>585</v>
      </c>
      <c r="G44" s="102" t="s">
        <v>282</v>
      </c>
      <c r="H44" s="102" t="s">
        <v>283</v>
      </c>
      <c r="I44" s="102" t="s">
        <v>515</v>
      </c>
      <c r="J44" s="102" t="s">
        <v>678</v>
      </c>
      <c r="L44" s="229" t="s">
        <v>8242</v>
      </c>
      <c r="M44" s="229" t="s">
        <v>8243</v>
      </c>
      <c r="O44" s="102">
        <v>8.0</v>
      </c>
      <c r="P44" s="102" t="s">
        <v>1808</v>
      </c>
      <c r="S44" s="230"/>
      <c r="T44" s="102" t="s">
        <v>4961</v>
      </c>
      <c r="U44" s="230" t="str">
        <f>IF(ISNUMBER(MATCH(B44, 'Sprint 9'!B:B, 0)), "มาจาก Sprint 9", "")</f>
        <v/>
      </c>
      <c r="V44" s="230" t="str">
        <f t="array" ref="V44">IF(ISNUMBER(MATCH(B44, 'Sprint 9'!B:B, 0)), INDEX('Sprint 9'!J:J, MATCH(B44, 'Sprint 9'!B:B, 0)), "")</f>
        <v/>
      </c>
      <c r="X44" s="102"/>
    </row>
    <row r="45">
      <c r="A45" s="102" t="s">
        <v>276</v>
      </c>
      <c r="B45" s="102" t="s">
        <v>7526</v>
      </c>
      <c r="C45" s="229" t="s">
        <v>7527</v>
      </c>
      <c r="D45" s="102" t="s">
        <v>1567</v>
      </c>
      <c r="E45" s="102" t="s">
        <v>3288</v>
      </c>
      <c r="F45" s="102" t="s">
        <v>3289</v>
      </c>
      <c r="G45" s="102" t="s">
        <v>3288</v>
      </c>
      <c r="H45" s="102" t="s">
        <v>3289</v>
      </c>
      <c r="I45" s="102" t="s">
        <v>284</v>
      </c>
      <c r="J45" s="102" t="s">
        <v>34</v>
      </c>
      <c r="L45" s="229" t="s">
        <v>7528</v>
      </c>
      <c r="M45" s="229" t="s">
        <v>7572</v>
      </c>
      <c r="O45" s="230"/>
      <c r="S45" s="230"/>
      <c r="T45" s="102" t="s">
        <v>5920</v>
      </c>
      <c r="U45" s="230" t="str">
        <f>IF(ISNUMBER(MATCH(B45, 'Sprint 9'!B:B, 0)), "มาจาก Sprint 9", "")</f>
        <v/>
      </c>
      <c r="V45" s="230" t="str">
        <f t="array" ref="V45">IF(ISNUMBER(MATCH(B45, 'Sprint 9'!B:B, 0)), INDEX('Sprint 9'!J:J, MATCH(B45, 'Sprint 9'!B:B, 0)), "")</f>
        <v/>
      </c>
      <c r="X45" s="102" t="s">
        <v>5913</v>
      </c>
    </row>
    <row r="46">
      <c r="A46" s="102" t="s">
        <v>276</v>
      </c>
      <c r="B46" s="102" t="s">
        <v>8244</v>
      </c>
      <c r="C46" s="229" t="s">
        <v>8245</v>
      </c>
      <c r="D46" s="102" t="s">
        <v>1567</v>
      </c>
      <c r="E46" s="102" t="s">
        <v>3288</v>
      </c>
      <c r="F46" s="102" t="s">
        <v>3289</v>
      </c>
      <c r="G46" s="102" t="s">
        <v>3288</v>
      </c>
      <c r="H46" s="102" t="s">
        <v>3289</v>
      </c>
      <c r="I46" s="102" t="s">
        <v>284</v>
      </c>
      <c r="J46" s="102" t="s">
        <v>26</v>
      </c>
      <c r="L46" s="229" t="s">
        <v>7528</v>
      </c>
      <c r="M46" s="229" t="s">
        <v>8246</v>
      </c>
      <c r="O46" s="230"/>
      <c r="S46" s="230"/>
      <c r="T46" s="102" t="s">
        <v>5920</v>
      </c>
      <c r="U46" s="230" t="str">
        <f>IF(ISNUMBER(MATCH(B46, 'Sprint 9'!B:B, 0)), "มาจาก Sprint 9", "")</f>
        <v/>
      </c>
      <c r="V46" s="230" t="str">
        <f t="array" ref="V46">IF(ISNUMBER(MATCH(B46, 'Sprint 9'!B:B, 0)), INDEX('Sprint 9'!J:J, MATCH(B46, 'Sprint 9'!B:B, 0)), "")</f>
        <v/>
      </c>
      <c r="X46" s="102" t="s">
        <v>5913</v>
      </c>
    </row>
    <row r="47">
      <c r="A47" s="102" t="s">
        <v>1459</v>
      </c>
      <c r="B47" s="102" t="s">
        <v>8247</v>
      </c>
      <c r="C47" s="229" t="s">
        <v>8248</v>
      </c>
      <c r="D47" s="102" t="s">
        <v>8249</v>
      </c>
      <c r="E47" s="102" t="s">
        <v>3288</v>
      </c>
      <c r="F47" s="102" t="s">
        <v>3289</v>
      </c>
      <c r="G47" s="102" t="s">
        <v>3288</v>
      </c>
      <c r="H47" s="102" t="s">
        <v>3289</v>
      </c>
      <c r="I47" s="102" t="s">
        <v>284</v>
      </c>
      <c r="J47" s="102" t="s">
        <v>26</v>
      </c>
      <c r="L47" s="229" t="s">
        <v>8250</v>
      </c>
      <c r="M47" s="229" t="s">
        <v>8251</v>
      </c>
      <c r="O47" s="230"/>
      <c r="S47" s="230"/>
      <c r="T47" s="102" t="s">
        <v>5913</v>
      </c>
      <c r="U47" s="230" t="str">
        <f>IF(ISNUMBER(MATCH(B47, 'Sprint 9'!B:B, 0)), "มาจาก Sprint 9", "")</f>
        <v/>
      </c>
      <c r="V47" s="230" t="str">
        <f t="array" ref="V47">IF(ISNUMBER(MATCH(B47, 'Sprint 9'!B:B, 0)), INDEX('Sprint 9'!J:J, MATCH(B47, 'Sprint 9'!B:B, 0)), "")</f>
        <v/>
      </c>
    </row>
    <row r="48">
      <c r="A48" s="102" t="s">
        <v>1465</v>
      </c>
      <c r="B48" s="102" t="s">
        <v>8252</v>
      </c>
      <c r="C48" s="229" t="s">
        <v>8253</v>
      </c>
      <c r="D48" s="102" t="s">
        <v>8254</v>
      </c>
      <c r="E48" s="102"/>
      <c r="F48" s="102"/>
      <c r="G48" s="102" t="s">
        <v>3288</v>
      </c>
      <c r="H48" s="102" t="s">
        <v>3289</v>
      </c>
      <c r="I48" s="102" t="s">
        <v>284</v>
      </c>
      <c r="J48" s="102" t="s">
        <v>26</v>
      </c>
      <c r="L48" s="229" t="s">
        <v>8255</v>
      </c>
      <c r="M48" s="229" t="s">
        <v>8204</v>
      </c>
      <c r="N48" s="102"/>
      <c r="O48" s="102"/>
      <c r="S48" s="102"/>
      <c r="T48" s="102" t="s">
        <v>5913</v>
      </c>
      <c r="U48" s="230" t="str">
        <f>IF(ISNUMBER(MATCH(B48, 'Sprint 9'!B:B, 0)), "มาจาก Sprint 9", "")</f>
        <v/>
      </c>
      <c r="V48" s="230" t="str">
        <f t="array" ref="V48">IF(ISNUMBER(MATCH(B48, 'Sprint 9'!B:B, 0)), INDEX('Sprint 9'!J:J, MATCH(B48, 'Sprint 9'!B:B, 0)), "")</f>
        <v/>
      </c>
    </row>
    <row r="49">
      <c r="A49" s="102" t="s">
        <v>310</v>
      </c>
      <c r="B49" s="102" t="s">
        <v>8256</v>
      </c>
      <c r="C49" s="229" t="s">
        <v>8257</v>
      </c>
      <c r="D49" s="102" t="s">
        <v>8258</v>
      </c>
      <c r="E49" s="102" t="s">
        <v>495</v>
      </c>
      <c r="F49" s="102" t="s">
        <v>496</v>
      </c>
      <c r="G49" s="102" t="s">
        <v>314</v>
      </c>
      <c r="H49" s="102" t="s">
        <v>315</v>
      </c>
      <c r="I49" s="102" t="s">
        <v>284</v>
      </c>
      <c r="J49" s="102" t="s">
        <v>26</v>
      </c>
      <c r="L49" s="229" t="s">
        <v>8259</v>
      </c>
      <c r="M49" s="229" t="s">
        <v>8260</v>
      </c>
      <c r="N49" s="229" t="s">
        <v>5567</v>
      </c>
      <c r="O49" s="102">
        <v>2.0</v>
      </c>
      <c r="P49" s="102"/>
      <c r="S49" s="102">
        <v>14400.0</v>
      </c>
      <c r="T49" s="102" t="s">
        <v>1364</v>
      </c>
      <c r="U49" s="230" t="str">
        <f>IF(ISNUMBER(MATCH(B49, 'Sprint 9'!B:B, 0)), "มาจาก Sprint 9", "")</f>
        <v/>
      </c>
      <c r="V49" s="230" t="str">
        <f t="array" ref="V49">IF(ISNUMBER(MATCH(B49, 'Sprint 9'!B:B, 0)), INDEX('Sprint 9'!J:J, MATCH(B49, 'Sprint 9'!B:B, 0)), "")</f>
        <v/>
      </c>
    </row>
    <row r="50">
      <c r="A50" s="102" t="s">
        <v>310</v>
      </c>
      <c r="B50" s="102" t="s">
        <v>8261</v>
      </c>
      <c r="C50" s="229" t="s">
        <v>8262</v>
      </c>
      <c r="D50" s="102" t="s">
        <v>8263</v>
      </c>
      <c r="E50" s="102" t="s">
        <v>314</v>
      </c>
      <c r="F50" s="102" t="s">
        <v>315</v>
      </c>
      <c r="G50" s="102" t="s">
        <v>314</v>
      </c>
      <c r="H50" s="102" t="s">
        <v>315</v>
      </c>
      <c r="I50" s="102" t="s">
        <v>284</v>
      </c>
      <c r="J50" s="102" t="s">
        <v>26</v>
      </c>
      <c r="L50" s="229" t="s">
        <v>8264</v>
      </c>
      <c r="M50" s="229" t="s">
        <v>8176</v>
      </c>
      <c r="N50" s="102"/>
      <c r="O50" s="102">
        <v>2.0</v>
      </c>
      <c r="P50" s="102" t="s">
        <v>593</v>
      </c>
      <c r="Q50" s="102"/>
      <c r="S50" s="102">
        <v>14400.0</v>
      </c>
      <c r="T50" s="102" t="s">
        <v>1364</v>
      </c>
      <c r="U50" s="230" t="str">
        <f>IF(ISNUMBER(MATCH(B50, 'Sprint 9'!B:B, 0)), "มาจาก Sprint 9", "")</f>
        <v/>
      </c>
      <c r="V50" s="230" t="str">
        <f t="array" ref="V50">IF(ISNUMBER(MATCH(B50, 'Sprint 9'!B:B, 0)), INDEX('Sprint 9'!J:J, MATCH(B50, 'Sprint 9'!B:B, 0)), "")</f>
        <v/>
      </c>
    </row>
    <row r="51">
      <c r="A51" s="102" t="s">
        <v>310</v>
      </c>
      <c r="B51" s="102" t="s">
        <v>8265</v>
      </c>
      <c r="C51" s="229" t="s">
        <v>8266</v>
      </c>
      <c r="D51" s="102" t="s">
        <v>8267</v>
      </c>
      <c r="E51" s="102" t="s">
        <v>282</v>
      </c>
      <c r="F51" s="102" t="s">
        <v>283</v>
      </c>
      <c r="G51" s="102" t="s">
        <v>316</v>
      </c>
      <c r="H51" s="102" t="s">
        <v>317</v>
      </c>
      <c r="I51" s="102" t="s">
        <v>515</v>
      </c>
      <c r="J51" s="102" t="s">
        <v>26</v>
      </c>
      <c r="L51" s="229" t="s">
        <v>8268</v>
      </c>
      <c r="M51" s="229" t="s">
        <v>8269</v>
      </c>
      <c r="N51" s="229" t="s">
        <v>5567</v>
      </c>
      <c r="O51" s="102">
        <v>1.0</v>
      </c>
      <c r="P51" s="102" t="s">
        <v>4656</v>
      </c>
      <c r="Q51" s="102" t="s">
        <v>783</v>
      </c>
      <c r="S51" s="102">
        <v>1800.0</v>
      </c>
      <c r="T51" s="102" t="s">
        <v>4961</v>
      </c>
      <c r="U51" s="230" t="str">
        <f>IF(ISNUMBER(MATCH(B51, 'Sprint 9'!B:B, 0)), "มาจาก Sprint 9", "")</f>
        <v/>
      </c>
      <c r="V51" s="230" t="str">
        <f t="array" ref="V51">IF(ISNUMBER(MATCH(B51, 'Sprint 9'!B:B, 0)), INDEX('Sprint 9'!J:J, MATCH(B51, 'Sprint 9'!B:B, 0)), "")</f>
        <v/>
      </c>
    </row>
    <row r="52">
      <c r="A52" s="102" t="s">
        <v>310</v>
      </c>
      <c r="B52" s="102" t="s">
        <v>7529</v>
      </c>
      <c r="C52" s="229" t="s">
        <v>7530</v>
      </c>
      <c r="D52" s="102" t="s">
        <v>7531</v>
      </c>
      <c r="E52" s="102" t="s">
        <v>6315</v>
      </c>
      <c r="F52" s="102" t="s">
        <v>6316</v>
      </c>
      <c r="G52" s="102" t="s">
        <v>282</v>
      </c>
      <c r="H52" s="102" t="s">
        <v>283</v>
      </c>
      <c r="I52" s="102" t="s">
        <v>284</v>
      </c>
      <c r="J52" s="102" t="s">
        <v>678</v>
      </c>
      <c r="L52" s="229" t="s">
        <v>7532</v>
      </c>
      <c r="M52" s="229" t="s">
        <v>8270</v>
      </c>
      <c r="N52" s="229" t="s">
        <v>7534</v>
      </c>
      <c r="O52" s="102">
        <v>3.0</v>
      </c>
      <c r="S52" s="230"/>
      <c r="T52" s="102" t="s">
        <v>5913</v>
      </c>
      <c r="U52" s="230" t="str">
        <f>IF(ISNUMBER(MATCH(B52, 'Sprint 9'!B:B, 0)), "มาจาก Sprint 9", "")</f>
        <v/>
      </c>
      <c r="V52" s="230" t="str">
        <f t="array" ref="V52">IF(ISNUMBER(MATCH(B52, 'Sprint 9'!B:B, 0)), INDEX('Sprint 9'!J:J, MATCH(B52, 'Sprint 9'!B:B, 0)), "")</f>
        <v/>
      </c>
    </row>
    <row r="53">
      <c r="A53" s="102" t="s">
        <v>276</v>
      </c>
      <c r="B53" s="102" t="s">
        <v>8271</v>
      </c>
      <c r="C53" s="229" t="s">
        <v>8272</v>
      </c>
      <c r="D53" s="102" t="s">
        <v>8273</v>
      </c>
      <c r="E53" s="102" t="s">
        <v>282</v>
      </c>
      <c r="F53" s="102" t="s">
        <v>283</v>
      </c>
      <c r="G53" s="102" t="s">
        <v>316</v>
      </c>
      <c r="H53" s="102" t="s">
        <v>317</v>
      </c>
      <c r="I53" s="102" t="s">
        <v>515</v>
      </c>
      <c r="J53" s="102" t="s">
        <v>63</v>
      </c>
      <c r="L53" s="229" t="s">
        <v>8274</v>
      </c>
      <c r="M53" s="229" t="s">
        <v>8275</v>
      </c>
      <c r="O53" s="230"/>
      <c r="S53" s="230"/>
      <c r="T53" s="102" t="s">
        <v>4961</v>
      </c>
      <c r="U53" s="230" t="str">
        <f>IF(ISNUMBER(MATCH(B53, 'Sprint 9'!B:B, 0)), "มาจาก Sprint 9", "")</f>
        <v/>
      </c>
      <c r="V53" s="230" t="str">
        <f t="array" ref="V53">IF(ISNUMBER(MATCH(B53, 'Sprint 9'!B:B, 0)), INDEX('Sprint 9'!J:J, MATCH(B53, 'Sprint 9'!B:B, 0)), "")</f>
        <v/>
      </c>
    </row>
    <row r="54">
      <c r="A54" s="102" t="s">
        <v>276</v>
      </c>
      <c r="B54" s="102" t="s">
        <v>8276</v>
      </c>
      <c r="C54" s="229" t="s">
        <v>8277</v>
      </c>
      <c r="D54" s="102" t="s">
        <v>8278</v>
      </c>
      <c r="E54" s="102" t="s">
        <v>282</v>
      </c>
      <c r="F54" s="102" t="s">
        <v>283</v>
      </c>
      <c r="G54" s="102" t="s">
        <v>316</v>
      </c>
      <c r="H54" s="102" t="s">
        <v>317</v>
      </c>
      <c r="I54" s="102" t="s">
        <v>515</v>
      </c>
      <c r="J54" s="102" t="s">
        <v>26</v>
      </c>
      <c r="L54" s="229" t="s">
        <v>8279</v>
      </c>
      <c r="M54" s="229" t="s">
        <v>8280</v>
      </c>
      <c r="O54" s="230"/>
      <c r="S54" s="230"/>
      <c r="T54" s="102" t="s">
        <v>4961</v>
      </c>
      <c r="U54" s="230" t="str">
        <f>IF(ISNUMBER(MATCH(B54, 'Sprint 9'!B:B, 0)), "มาจาก Sprint 9", "")</f>
        <v/>
      </c>
      <c r="V54" s="230" t="str">
        <f t="array" ref="V54">IF(ISNUMBER(MATCH(B54, 'Sprint 9'!B:B, 0)), INDEX('Sprint 9'!J:J, MATCH(B54, 'Sprint 9'!B:B, 0)), "")</f>
        <v/>
      </c>
    </row>
    <row r="55">
      <c r="A55" s="102" t="s">
        <v>276</v>
      </c>
      <c r="B55" s="102" t="s">
        <v>8281</v>
      </c>
      <c r="C55" s="229" t="s">
        <v>8282</v>
      </c>
      <c r="D55" s="102" t="s">
        <v>8283</v>
      </c>
      <c r="E55" s="102" t="s">
        <v>282</v>
      </c>
      <c r="F55" s="102" t="s">
        <v>283</v>
      </c>
      <c r="G55" s="102" t="s">
        <v>316</v>
      </c>
      <c r="H55" s="102" t="s">
        <v>317</v>
      </c>
      <c r="I55" s="102" t="s">
        <v>515</v>
      </c>
      <c r="J55" s="102" t="s">
        <v>26</v>
      </c>
      <c r="L55" s="229" t="s">
        <v>8284</v>
      </c>
      <c r="M55" s="229" t="s">
        <v>8285</v>
      </c>
      <c r="O55" s="102"/>
      <c r="P55" s="102"/>
      <c r="Q55" s="102"/>
      <c r="R55" s="102"/>
      <c r="S55" s="230"/>
      <c r="T55" s="102" t="s">
        <v>4961</v>
      </c>
      <c r="U55" s="230" t="str">
        <f>IF(ISNUMBER(MATCH(B55, 'Sprint 9'!B:B, 0)), "มาจาก Sprint 9", "")</f>
        <v/>
      </c>
      <c r="V55" s="230" t="str">
        <f t="array" ref="V55">IF(ISNUMBER(MATCH(B55, 'Sprint 9'!B:B, 0)), INDEX('Sprint 9'!J:J, MATCH(B55, 'Sprint 9'!B:B, 0)), "")</f>
        <v/>
      </c>
    </row>
    <row r="56">
      <c r="A56" s="102" t="s">
        <v>310</v>
      </c>
      <c r="B56" s="102" t="s">
        <v>8286</v>
      </c>
      <c r="C56" s="229" t="s">
        <v>8287</v>
      </c>
      <c r="D56" s="102" t="s">
        <v>8288</v>
      </c>
      <c r="E56" s="102" t="s">
        <v>316</v>
      </c>
      <c r="F56" s="102" t="s">
        <v>317</v>
      </c>
      <c r="G56" s="102" t="s">
        <v>316</v>
      </c>
      <c r="H56" s="102" t="s">
        <v>317</v>
      </c>
      <c r="I56" s="102" t="s">
        <v>515</v>
      </c>
      <c r="J56" s="102" t="s">
        <v>34</v>
      </c>
      <c r="L56" s="229" t="s">
        <v>8289</v>
      </c>
      <c r="M56" s="229" t="s">
        <v>8290</v>
      </c>
      <c r="O56" s="102">
        <v>8.0</v>
      </c>
      <c r="P56" s="102" t="s">
        <v>366</v>
      </c>
      <c r="Q56" s="102" t="s">
        <v>367</v>
      </c>
      <c r="R56" s="102" t="s">
        <v>368</v>
      </c>
      <c r="S56" s="230"/>
      <c r="T56" s="102" t="s">
        <v>4961</v>
      </c>
      <c r="U56" s="230" t="str">
        <f>IF(ISNUMBER(MATCH(B56, 'Sprint 9'!B:B, 0)), "มาจาก Sprint 9", "")</f>
        <v/>
      </c>
      <c r="V56" s="230" t="str">
        <f t="array" ref="V56">IF(ISNUMBER(MATCH(B56, 'Sprint 9'!B:B, 0)), INDEX('Sprint 9'!J:J, MATCH(B56, 'Sprint 9'!B:B, 0)), "")</f>
        <v/>
      </c>
    </row>
    <row r="57">
      <c r="A57" s="102" t="s">
        <v>310</v>
      </c>
      <c r="B57" s="102" t="s">
        <v>8291</v>
      </c>
      <c r="C57" s="229" t="s">
        <v>8292</v>
      </c>
      <c r="D57" s="102" t="s">
        <v>8293</v>
      </c>
      <c r="E57" s="102" t="s">
        <v>353</v>
      </c>
      <c r="F57" s="102" t="s">
        <v>354</v>
      </c>
      <c r="G57" s="102" t="s">
        <v>353</v>
      </c>
      <c r="H57" s="102" t="s">
        <v>354</v>
      </c>
      <c r="I57" s="102" t="s">
        <v>284</v>
      </c>
      <c r="J57" s="102" t="s">
        <v>26</v>
      </c>
      <c r="L57" s="229" t="s">
        <v>8294</v>
      </c>
      <c r="M57" s="229" t="s">
        <v>8295</v>
      </c>
      <c r="O57" s="102">
        <v>5.0</v>
      </c>
      <c r="P57" s="102"/>
      <c r="S57" s="230"/>
      <c r="T57" s="102" t="s">
        <v>4961</v>
      </c>
      <c r="U57" s="230" t="str">
        <f>IF(ISNUMBER(MATCH(B57, 'Sprint 9'!B:B, 0)), "มาจาก Sprint 9", "")</f>
        <v/>
      </c>
      <c r="V57" s="230" t="str">
        <f t="array" ref="V57">IF(ISNUMBER(MATCH(B57, 'Sprint 9'!B:B, 0)), INDEX('Sprint 9'!J:J, MATCH(B57, 'Sprint 9'!B:B, 0)), "")</f>
        <v/>
      </c>
    </row>
    <row r="58">
      <c r="A58" s="102" t="s">
        <v>310</v>
      </c>
      <c r="B58" s="102" t="s">
        <v>8296</v>
      </c>
      <c r="C58" s="229" t="s">
        <v>8297</v>
      </c>
      <c r="D58" s="102" t="s">
        <v>8298</v>
      </c>
      <c r="E58" s="102" t="s">
        <v>314</v>
      </c>
      <c r="F58" s="102" t="s">
        <v>315</v>
      </c>
      <c r="G58" s="102" t="s">
        <v>314</v>
      </c>
      <c r="H58" s="102" t="s">
        <v>315</v>
      </c>
      <c r="I58" s="102" t="s">
        <v>284</v>
      </c>
      <c r="J58" s="102" t="s">
        <v>26</v>
      </c>
      <c r="L58" s="229" t="s">
        <v>8299</v>
      </c>
      <c r="M58" s="229" t="s">
        <v>8300</v>
      </c>
      <c r="N58" s="102"/>
      <c r="O58" s="102">
        <v>1.0</v>
      </c>
      <c r="P58" s="102" t="s">
        <v>593</v>
      </c>
      <c r="S58" s="102">
        <v>600.0</v>
      </c>
      <c r="T58" s="102" t="s">
        <v>1364</v>
      </c>
      <c r="U58" s="230" t="str">
        <f>IF(ISNUMBER(MATCH(B58, 'Sprint 9'!B:B, 0)), "มาจาก Sprint 9", "")</f>
        <v/>
      </c>
      <c r="V58" s="230" t="str">
        <f t="array" ref="V58">IF(ISNUMBER(MATCH(B58, 'Sprint 9'!B:B, 0)), INDEX('Sprint 9'!J:J, MATCH(B58, 'Sprint 9'!B:B, 0)), "")</f>
        <v/>
      </c>
    </row>
    <row r="59">
      <c r="A59" s="102" t="s">
        <v>310</v>
      </c>
      <c r="B59" s="102" t="s">
        <v>7923</v>
      </c>
      <c r="C59" s="229" t="s">
        <v>7924</v>
      </c>
      <c r="D59" s="102" t="s">
        <v>7925</v>
      </c>
      <c r="E59" s="102" t="s">
        <v>584</v>
      </c>
      <c r="F59" s="102" t="s">
        <v>585</v>
      </c>
      <c r="G59" s="102" t="s">
        <v>353</v>
      </c>
      <c r="H59" s="102" t="s">
        <v>354</v>
      </c>
      <c r="I59" s="102" t="s">
        <v>284</v>
      </c>
      <c r="J59" s="102" t="s">
        <v>454</v>
      </c>
      <c r="L59" s="229" t="s">
        <v>7926</v>
      </c>
      <c r="M59" s="229" t="s">
        <v>8301</v>
      </c>
      <c r="N59" s="229" t="s">
        <v>5567</v>
      </c>
      <c r="O59" s="102">
        <v>3.0</v>
      </c>
      <c r="S59" s="102"/>
      <c r="T59" s="102" t="s">
        <v>6449</v>
      </c>
      <c r="U59" s="230" t="str">
        <f>IF(ISNUMBER(MATCH(B59, 'Sprint 9'!B:B, 0)), "มาจาก Sprint 9", "")</f>
        <v/>
      </c>
      <c r="V59" s="230" t="str">
        <f t="array" ref="V59">IF(ISNUMBER(MATCH(B59, 'Sprint 9'!B:B, 0)), INDEX('Sprint 9'!J:J, MATCH(B59, 'Sprint 9'!B:B, 0)), "")</f>
        <v/>
      </c>
    </row>
    <row r="60">
      <c r="A60" s="102" t="s">
        <v>310</v>
      </c>
      <c r="B60" s="102" t="s">
        <v>6960</v>
      </c>
      <c r="C60" s="229" t="s">
        <v>6961</v>
      </c>
      <c r="D60" s="102" t="s">
        <v>6962</v>
      </c>
      <c r="E60" s="102" t="s">
        <v>6860</v>
      </c>
      <c r="F60" s="102" t="s">
        <v>6861</v>
      </c>
      <c r="G60" s="102" t="s">
        <v>353</v>
      </c>
      <c r="H60" s="102" t="s">
        <v>354</v>
      </c>
      <c r="I60" s="102" t="s">
        <v>284</v>
      </c>
      <c r="J60" s="102" t="s">
        <v>678</v>
      </c>
      <c r="L60" s="229" t="s">
        <v>6963</v>
      </c>
      <c r="M60" s="229" t="s">
        <v>8302</v>
      </c>
      <c r="N60" s="229" t="s">
        <v>5567</v>
      </c>
      <c r="O60" s="102">
        <v>3.0</v>
      </c>
      <c r="S60" s="102">
        <v>28800.0</v>
      </c>
      <c r="T60" s="102" t="s">
        <v>6449</v>
      </c>
      <c r="U60" s="230" t="str">
        <f>IF(ISNUMBER(MATCH(B60, 'Sprint 9'!B:B, 0)), "มาจาก Sprint 9", "")</f>
        <v/>
      </c>
      <c r="V60" s="230" t="str">
        <f t="array" ref="V60">IF(ISNUMBER(MATCH(B60, 'Sprint 9'!B:B, 0)), INDEX('Sprint 9'!J:J, MATCH(B60, 'Sprint 9'!B:B, 0)), "")</f>
        <v/>
      </c>
    </row>
    <row r="61">
      <c r="A61" s="102" t="s">
        <v>310</v>
      </c>
      <c r="B61" s="102" t="s">
        <v>8303</v>
      </c>
      <c r="C61" s="229" t="s">
        <v>8304</v>
      </c>
      <c r="D61" s="102" t="s">
        <v>8305</v>
      </c>
      <c r="E61" s="102" t="s">
        <v>513</v>
      </c>
      <c r="F61" s="102" t="s">
        <v>514</v>
      </c>
      <c r="G61" s="102" t="s">
        <v>353</v>
      </c>
      <c r="H61" s="102" t="s">
        <v>354</v>
      </c>
      <c r="I61" s="102" t="s">
        <v>284</v>
      </c>
      <c r="J61" s="102" t="s">
        <v>678</v>
      </c>
      <c r="L61" s="229" t="s">
        <v>8306</v>
      </c>
      <c r="M61" s="229" t="s">
        <v>8307</v>
      </c>
      <c r="O61" s="102">
        <v>5.0</v>
      </c>
      <c r="S61" s="102">
        <v>86400.0</v>
      </c>
      <c r="T61" s="102" t="s">
        <v>4961</v>
      </c>
      <c r="U61" s="230" t="str">
        <f>IF(ISNUMBER(MATCH(B61, 'Sprint 9'!B:B, 0)), "มาจาก Sprint 9", "")</f>
        <v/>
      </c>
      <c r="V61" s="230" t="str">
        <f t="array" ref="V61">IF(ISNUMBER(MATCH(B61, 'Sprint 9'!B:B, 0)), INDEX('Sprint 9'!J:J, MATCH(B61, 'Sprint 9'!B:B, 0)), "")</f>
        <v/>
      </c>
    </row>
    <row r="62">
      <c r="A62" s="102" t="s">
        <v>310</v>
      </c>
      <c r="B62" s="102" t="s">
        <v>8308</v>
      </c>
      <c r="C62" s="229" t="s">
        <v>8309</v>
      </c>
      <c r="D62" s="102" t="s">
        <v>8310</v>
      </c>
      <c r="E62" s="102" t="s">
        <v>513</v>
      </c>
      <c r="F62" s="102" t="s">
        <v>514</v>
      </c>
      <c r="G62" s="102" t="s">
        <v>353</v>
      </c>
      <c r="H62" s="102" t="s">
        <v>354</v>
      </c>
      <c r="I62" s="102" t="s">
        <v>284</v>
      </c>
      <c r="J62" s="102" t="s">
        <v>26</v>
      </c>
      <c r="L62" s="229" t="s">
        <v>8311</v>
      </c>
      <c r="M62" s="229" t="s">
        <v>8312</v>
      </c>
      <c r="O62" s="102">
        <v>1.0</v>
      </c>
      <c r="S62" s="102">
        <v>7200.0</v>
      </c>
      <c r="T62" s="102" t="s">
        <v>4961</v>
      </c>
      <c r="U62" s="230" t="str">
        <f>IF(ISNUMBER(MATCH(B62, 'Sprint 9'!B:B, 0)), "มาจาก Sprint 9", "")</f>
        <v/>
      </c>
      <c r="V62" s="230" t="str">
        <f t="array" ref="V62">IF(ISNUMBER(MATCH(B62, 'Sprint 9'!B:B, 0)), INDEX('Sprint 9'!J:J, MATCH(B62, 'Sprint 9'!B:B, 0)), "")</f>
        <v/>
      </c>
    </row>
    <row r="63">
      <c r="A63" s="102" t="s">
        <v>310</v>
      </c>
      <c r="B63" s="102" t="s">
        <v>8313</v>
      </c>
      <c r="C63" s="229" t="s">
        <v>8314</v>
      </c>
      <c r="D63" s="102" t="s">
        <v>8315</v>
      </c>
      <c r="E63" s="102" t="s">
        <v>282</v>
      </c>
      <c r="F63" s="102" t="s">
        <v>283</v>
      </c>
      <c r="G63" s="102" t="s">
        <v>282</v>
      </c>
      <c r="H63" s="102" t="s">
        <v>283</v>
      </c>
      <c r="I63" s="102" t="s">
        <v>284</v>
      </c>
      <c r="J63" s="102" t="s">
        <v>26</v>
      </c>
      <c r="L63" s="229" t="s">
        <v>8316</v>
      </c>
      <c r="M63" s="229" t="s">
        <v>8317</v>
      </c>
      <c r="N63" s="102"/>
      <c r="O63" s="102">
        <v>1.0</v>
      </c>
      <c r="P63" s="102"/>
      <c r="S63" s="102"/>
      <c r="T63" s="102" t="s">
        <v>6449</v>
      </c>
      <c r="U63" s="230" t="str">
        <f>IF(ISNUMBER(MATCH(B63, 'Sprint 9'!B:B, 0)), "มาจาก Sprint 9", "")</f>
        <v/>
      </c>
      <c r="V63" s="230" t="str">
        <f t="array" ref="V63">IF(ISNUMBER(MATCH(B63, 'Sprint 9'!B:B, 0)), INDEX('Sprint 9'!J:J, MATCH(B63, 'Sprint 9'!B:B, 0)), "")</f>
        <v/>
      </c>
    </row>
    <row r="64">
      <c r="A64" s="102" t="s">
        <v>310</v>
      </c>
      <c r="B64" s="102" t="s">
        <v>5562</v>
      </c>
      <c r="C64" s="229" t="s">
        <v>5563</v>
      </c>
      <c r="D64" s="102" t="s">
        <v>5564</v>
      </c>
      <c r="E64" s="102" t="s">
        <v>556</v>
      </c>
      <c r="F64" s="102" t="s">
        <v>557</v>
      </c>
      <c r="G64" s="102" t="s">
        <v>282</v>
      </c>
      <c r="H64" s="102" t="s">
        <v>283</v>
      </c>
      <c r="I64" s="102" t="s">
        <v>284</v>
      </c>
      <c r="J64" s="102" t="s">
        <v>678</v>
      </c>
      <c r="L64" s="229" t="s">
        <v>5565</v>
      </c>
      <c r="M64" s="229" t="s">
        <v>8318</v>
      </c>
      <c r="N64" s="229" t="s">
        <v>5567</v>
      </c>
      <c r="O64" s="102">
        <v>2.0</v>
      </c>
      <c r="P64" s="102" t="s">
        <v>5547</v>
      </c>
      <c r="S64" s="102">
        <v>14400.0</v>
      </c>
      <c r="T64" s="102" t="s">
        <v>4961</v>
      </c>
      <c r="U64" s="230" t="str">
        <f>IF(ISNUMBER(MATCH(B64, 'Sprint 9'!B:B, 0)), "มาจาก Sprint 9", "")</f>
        <v/>
      </c>
      <c r="V64" s="230" t="str">
        <f t="array" ref="V64">IF(ISNUMBER(MATCH(B64, 'Sprint 9'!B:B, 0)), INDEX('Sprint 9'!J:J, MATCH(B64, 'Sprint 9'!B:B, 0)), "")</f>
        <v/>
      </c>
    </row>
    <row r="65">
      <c r="A65" s="102" t="s">
        <v>310</v>
      </c>
      <c r="B65" s="102" t="s">
        <v>8319</v>
      </c>
      <c r="C65" s="229" t="s">
        <v>8320</v>
      </c>
      <c r="D65" s="102" t="s">
        <v>8321</v>
      </c>
      <c r="E65" s="102" t="s">
        <v>556</v>
      </c>
      <c r="F65" s="102" t="s">
        <v>557</v>
      </c>
      <c r="G65" s="102" t="s">
        <v>282</v>
      </c>
      <c r="H65" s="102" t="s">
        <v>283</v>
      </c>
      <c r="I65" s="102" t="s">
        <v>515</v>
      </c>
      <c r="J65" s="102" t="s">
        <v>678</v>
      </c>
      <c r="L65" s="229" t="s">
        <v>8322</v>
      </c>
      <c r="M65" s="229" t="s">
        <v>8323</v>
      </c>
      <c r="N65" s="229" t="s">
        <v>7509</v>
      </c>
      <c r="O65" s="102">
        <v>5.0</v>
      </c>
      <c r="P65" s="102" t="s">
        <v>504</v>
      </c>
      <c r="S65" s="102">
        <v>57600.0</v>
      </c>
      <c r="T65" s="102" t="s">
        <v>4961</v>
      </c>
      <c r="U65" s="230" t="str">
        <f>IF(ISNUMBER(MATCH(B65, 'Sprint 9'!B:B, 0)), "มาจาก Sprint 9", "")</f>
        <v/>
      </c>
      <c r="V65" s="230" t="str">
        <f t="array" ref="V65">IF(ISNUMBER(MATCH(B65, 'Sprint 9'!B:B, 0)), INDEX('Sprint 9'!J:J, MATCH(B65, 'Sprint 9'!B:B, 0)), "")</f>
        <v/>
      </c>
    </row>
    <row r="66">
      <c r="A66" s="102" t="s">
        <v>310</v>
      </c>
      <c r="B66" s="102" t="s">
        <v>7535</v>
      </c>
      <c r="C66" s="229" t="s">
        <v>7536</v>
      </c>
      <c r="D66" s="102" t="s">
        <v>7537</v>
      </c>
      <c r="E66" s="102" t="s">
        <v>564</v>
      </c>
      <c r="F66" s="102" t="s">
        <v>565</v>
      </c>
      <c r="G66" s="102" t="s">
        <v>304</v>
      </c>
      <c r="H66" s="102" t="s">
        <v>305</v>
      </c>
      <c r="I66" s="102" t="s">
        <v>284</v>
      </c>
      <c r="J66" s="102" t="s">
        <v>678</v>
      </c>
      <c r="L66" s="229" t="s">
        <v>7538</v>
      </c>
      <c r="M66" s="229" t="s">
        <v>8324</v>
      </c>
      <c r="N66" s="229" t="s">
        <v>7520</v>
      </c>
      <c r="O66" s="102">
        <v>3.0</v>
      </c>
      <c r="P66" s="102" t="s">
        <v>777</v>
      </c>
      <c r="S66" s="102">
        <v>21600.0</v>
      </c>
      <c r="T66" s="102" t="s">
        <v>5913</v>
      </c>
      <c r="U66" s="230" t="str">
        <f>IF(ISNUMBER(MATCH(B66, 'Sprint 9'!B:B, 0)), "มาจาก Sprint 9", "")</f>
        <v/>
      </c>
      <c r="V66" s="230" t="str">
        <f t="array" ref="V66">IF(ISNUMBER(MATCH(B66, 'Sprint 9'!B:B, 0)), INDEX('Sprint 9'!J:J, MATCH(B66, 'Sprint 9'!B:B, 0)), "")</f>
        <v/>
      </c>
    </row>
    <row r="67">
      <c r="A67" s="102" t="s">
        <v>310</v>
      </c>
      <c r="B67" s="102" t="s">
        <v>7540</v>
      </c>
      <c r="C67" s="229" t="s">
        <v>7541</v>
      </c>
      <c r="D67" s="102" t="s">
        <v>7542</v>
      </c>
      <c r="E67" s="102" t="s">
        <v>495</v>
      </c>
      <c r="F67" s="102" t="s">
        <v>496</v>
      </c>
      <c r="G67" s="102" t="s">
        <v>304</v>
      </c>
      <c r="H67" s="102" t="s">
        <v>305</v>
      </c>
      <c r="I67" s="102" t="s">
        <v>284</v>
      </c>
      <c r="J67" s="102" t="s">
        <v>678</v>
      </c>
      <c r="L67" s="229" t="s">
        <v>7543</v>
      </c>
      <c r="M67" s="229" t="s">
        <v>8222</v>
      </c>
      <c r="N67" s="229" t="s">
        <v>7544</v>
      </c>
      <c r="O67" s="102">
        <v>8.0</v>
      </c>
      <c r="P67" s="102" t="s">
        <v>538</v>
      </c>
      <c r="S67" s="102">
        <v>57600.0</v>
      </c>
      <c r="T67" s="102" t="s">
        <v>5913</v>
      </c>
      <c r="U67" s="230" t="str">
        <f>IF(ISNUMBER(MATCH(B67, 'Sprint 9'!B:B, 0)), "มาจาก Sprint 9", "")</f>
        <v/>
      </c>
      <c r="V67" s="230" t="str">
        <f t="array" ref="V67">IF(ISNUMBER(MATCH(B67, 'Sprint 9'!B:B, 0)), INDEX('Sprint 9'!J:J, MATCH(B67, 'Sprint 9'!B:B, 0)), "")</f>
        <v/>
      </c>
      <c r="X67" s="102"/>
    </row>
    <row r="68">
      <c r="A68" s="102" t="s">
        <v>276</v>
      </c>
      <c r="B68" s="102" t="s">
        <v>8325</v>
      </c>
      <c r="C68" s="229" t="s">
        <v>8326</v>
      </c>
      <c r="D68" s="102" t="s">
        <v>8327</v>
      </c>
      <c r="E68" s="102" t="s">
        <v>316</v>
      </c>
      <c r="F68" s="102" t="s">
        <v>317</v>
      </c>
      <c r="G68" s="102" t="s">
        <v>316</v>
      </c>
      <c r="H68" s="102" t="s">
        <v>317</v>
      </c>
      <c r="I68" s="102" t="s">
        <v>284</v>
      </c>
      <c r="J68" s="102" t="s">
        <v>26</v>
      </c>
      <c r="L68" s="229" t="s">
        <v>8328</v>
      </c>
      <c r="M68" s="229" t="s">
        <v>8329</v>
      </c>
      <c r="O68" s="102"/>
      <c r="P68" s="102"/>
      <c r="S68" s="102"/>
      <c r="T68" s="102" t="s">
        <v>4960</v>
      </c>
      <c r="U68" s="230" t="str">
        <f>IF(ISNUMBER(MATCH(B68, 'Sprint 9'!B:B, 0)), "มาจาก Sprint 9", "")</f>
        <v>มาจาก Sprint 9</v>
      </c>
      <c r="V68" s="230" t="str">
        <f t="array" ref="V68">IF(ISNUMBER(MATCH(B68, 'Sprint 9'!B:B, 0)), INDEX('Sprint 9'!J:J, MATCH(B68, 'Sprint 9'!B:B, 0)), "")</f>
        <v>Done</v>
      </c>
      <c r="X68" s="102" t="s">
        <v>4961</v>
      </c>
    </row>
    <row r="69">
      <c r="A69" s="102" t="s">
        <v>310</v>
      </c>
      <c r="B69" s="102" t="s">
        <v>8330</v>
      </c>
      <c r="C69" s="229" t="s">
        <v>8331</v>
      </c>
      <c r="D69" s="102" t="s">
        <v>8332</v>
      </c>
      <c r="E69" s="102" t="s">
        <v>282</v>
      </c>
      <c r="F69" s="102" t="s">
        <v>283</v>
      </c>
      <c r="G69" s="102" t="s">
        <v>282</v>
      </c>
      <c r="H69" s="102" t="s">
        <v>283</v>
      </c>
      <c r="I69" s="102" t="s">
        <v>284</v>
      </c>
      <c r="J69" s="102" t="s">
        <v>26</v>
      </c>
      <c r="L69" s="229" t="s">
        <v>8333</v>
      </c>
      <c r="M69" s="229" t="s">
        <v>8334</v>
      </c>
      <c r="O69" s="102">
        <v>3.0</v>
      </c>
      <c r="P69" s="102" t="s">
        <v>593</v>
      </c>
      <c r="S69" s="102">
        <v>14400.0</v>
      </c>
      <c r="T69" s="102" t="s">
        <v>4960</v>
      </c>
      <c r="U69" s="230" t="str">
        <f>IF(ISNUMBER(MATCH(B69, 'Sprint 9'!B:B, 0)), "มาจาก Sprint 9", "")</f>
        <v>มาจาก Sprint 9</v>
      </c>
      <c r="V69" s="230" t="str">
        <f t="array" ref="V69">IF(ISNUMBER(MATCH(B69, 'Sprint 9'!B:B, 0)), INDEX('Sprint 9'!J:J, MATCH(B69, 'Sprint 9'!B:B, 0)), "")</f>
        <v>In Progress</v>
      </c>
      <c r="X69" s="102" t="s">
        <v>4961</v>
      </c>
    </row>
    <row r="70">
      <c r="A70" s="102" t="s">
        <v>310</v>
      </c>
      <c r="B70" s="102" t="s">
        <v>8335</v>
      </c>
      <c r="C70" s="229" t="s">
        <v>8336</v>
      </c>
      <c r="D70" s="102" t="s">
        <v>8332</v>
      </c>
      <c r="E70" s="102" t="s">
        <v>282</v>
      </c>
      <c r="F70" s="102" t="s">
        <v>283</v>
      </c>
      <c r="G70" s="102" t="s">
        <v>282</v>
      </c>
      <c r="H70" s="102" t="s">
        <v>283</v>
      </c>
      <c r="I70" s="102" t="s">
        <v>284</v>
      </c>
      <c r="J70" s="102" t="s">
        <v>26</v>
      </c>
      <c r="L70" s="229" t="s">
        <v>8337</v>
      </c>
      <c r="M70" s="229" t="s">
        <v>8338</v>
      </c>
      <c r="N70" s="102"/>
      <c r="O70" s="102">
        <v>2.0</v>
      </c>
      <c r="P70" s="102" t="s">
        <v>593</v>
      </c>
      <c r="S70" s="102">
        <v>7200.0</v>
      </c>
      <c r="T70" s="102" t="s">
        <v>6448</v>
      </c>
      <c r="U70" s="230" t="str">
        <f>IF(ISNUMBER(MATCH(B70, 'Sprint 9'!B:B, 0)), "มาจาก Sprint 9", "")</f>
        <v>มาจาก Sprint 9</v>
      </c>
      <c r="V70" s="230" t="str">
        <f t="array" ref="V70">IF(ISNUMBER(MATCH(B70, 'Sprint 9'!B:B, 0)), INDEX('Sprint 9'!J:J, MATCH(B70, 'Sprint 9'!B:B, 0)), "")</f>
        <v>In Progress</v>
      </c>
      <c r="X70" s="102" t="s">
        <v>6449</v>
      </c>
    </row>
    <row r="71">
      <c r="A71" s="102" t="s">
        <v>310</v>
      </c>
      <c r="B71" s="102" t="s">
        <v>7545</v>
      </c>
      <c r="C71" s="229" t="s">
        <v>7546</v>
      </c>
      <c r="D71" s="102" t="s">
        <v>7547</v>
      </c>
      <c r="E71" s="102" t="s">
        <v>6315</v>
      </c>
      <c r="F71" s="102" t="s">
        <v>6316</v>
      </c>
      <c r="G71" s="102" t="s">
        <v>282</v>
      </c>
      <c r="H71" s="102" t="s">
        <v>283</v>
      </c>
      <c r="I71" s="102" t="s">
        <v>284</v>
      </c>
      <c r="J71" s="102" t="s">
        <v>678</v>
      </c>
      <c r="L71" s="229" t="s">
        <v>7548</v>
      </c>
      <c r="M71" s="229" t="s">
        <v>8339</v>
      </c>
      <c r="N71" s="229" t="s">
        <v>7509</v>
      </c>
      <c r="O71" s="102">
        <v>3.0</v>
      </c>
      <c r="P71" s="102" t="s">
        <v>777</v>
      </c>
      <c r="Q71" s="102"/>
      <c r="R71" s="102"/>
      <c r="S71" s="102">
        <v>28800.0</v>
      </c>
      <c r="T71" s="102" t="s">
        <v>6449</v>
      </c>
      <c r="U71" s="230" t="str">
        <f>IF(ISNUMBER(MATCH(B71, 'Sprint 9'!B:B, 0)), "มาจาก Sprint 9", "")</f>
        <v/>
      </c>
      <c r="V71" s="230" t="str">
        <f t="array" ref="V71">IF(ISNUMBER(MATCH(B71, 'Sprint 9'!B:B, 0)), INDEX('Sprint 9'!J:J, MATCH(B71, 'Sprint 9'!B:B, 0)), "")</f>
        <v/>
      </c>
    </row>
    <row r="72">
      <c r="A72" s="102" t="s">
        <v>310</v>
      </c>
      <c r="B72" s="102" t="s">
        <v>7550</v>
      </c>
      <c r="C72" s="229" t="s">
        <v>7551</v>
      </c>
      <c r="D72" s="102" t="s">
        <v>7552</v>
      </c>
      <c r="E72" s="102" t="s">
        <v>564</v>
      </c>
      <c r="F72" s="102" t="s">
        <v>565</v>
      </c>
      <c r="G72" s="102" t="s">
        <v>282</v>
      </c>
      <c r="H72" s="102" t="s">
        <v>283</v>
      </c>
      <c r="I72" s="102" t="s">
        <v>284</v>
      </c>
      <c r="J72" s="102" t="s">
        <v>678</v>
      </c>
      <c r="L72" s="229" t="s">
        <v>7553</v>
      </c>
      <c r="M72" s="229" t="s">
        <v>8340</v>
      </c>
      <c r="N72" s="229" t="s">
        <v>7555</v>
      </c>
      <c r="O72" s="102">
        <v>1.0</v>
      </c>
      <c r="P72" s="102" t="s">
        <v>7556</v>
      </c>
      <c r="Q72" s="102" t="s">
        <v>593</v>
      </c>
      <c r="R72" s="102" t="s">
        <v>6527</v>
      </c>
      <c r="S72" s="102">
        <v>3600.0</v>
      </c>
      <c r="T72" s="102" t="s">
        <v>6449</v>
      </c>
      <c r="U72" s="230" t="str">
        <f>IF(ISNUMBER(MATCH(B72, 'Sprint 9'!B:B, 0)), "มาจาก Sprint 9", "")</f>
        <v/>
      </c>
      <c r="V72" s="230" t="str">
        <f t="array" ref="V72">IF(ISNUMBER(MATCH(B72, 'Sprint 9'!B:B, 0)), INDEX('Sprint 9'!J:J, MATCH(B72, 'Sprint 9'!B:B, 0)), "")</f>
        <v/>
      </c>
    </row>
    <row r="73">
      <c r="A73" s="102" t="s">
        <v>310</v>
      </c>
      <c r="B73" s="102" t="s">
        <v>7557</v>
      </c>
      <c r="C73" s="229" t="s">
        <v>7558</v>
      </c>
      <c r="D73" s="102" t="s">
        <v>7559</v>
      </c>
      <c r="E73" s="102" t="s">
        <v>564</v>
      </c>
      <c r="F73" s="102" t="s">
        <v>565</v>
      </c>
      <c r="G73" s="102" t="s">
        <v>282</v>
      </c>
      <c r="H73" s="102" t="s">
        <v>283</v>
      </c>
      <c r="I73" s="102" t="s">
        <v>284</v>
      </c>
      <c r="J73" s="102" t="s">
        <v>678</v>
      </c>
      <c r="L73" s="229" t="s">
        <v>7560</v>
      </c>
      <c r="M73" s="229" t="s">
        <v>8220</v>
      </c>
      <c r="N73" s="229" t="s">
        <v>5567</v>
      </c>
      <c r="O73" s="102">
        <v>3.0</v>
      </c>
      <c r="P73" s="102" t="s">
        <v>504</v>
      </c>
      <c r="S73" s="102">
        <v>21600.0</v>
      </c>
      <c r="T73" s="102" t="s">
        <v>6449</v>
      </c>
      <c r="U73" s="230" t="str">
        <f>IF(ISNUMBER(MATCH(B73, 'Sprint 9'!B:B, 0)), "มาจาก Sprint 9", "")</f>
        <v/>
      </c>
      <c r="V73" s="230" t="str">
        <f t="array" ref="V73">IF(ISNUMBER(MATCH(B73, 'Sprint 9'!B:B, 0)), INDEX('Sprint 9'!J:J, MATCH(B73, 'Sprint 9'!B:B, 0)), "")</f>
        <v/>
      </c>
    </row>
    <row r="74">
      <c r="A74" s="102" t="s">
        <v>310</v>
      </c>
      <c r="B74" s="102" t="s">
        <v>8341</v>
      </c>
      <c r="C74" s="229" t="s">
        <v>8342</v>
      </c>
      <c r="D74" s="102" t="s">
        <v>8343</v>
      </c>
      <c r="E74" s="102" t="s">
        <v>556</v>
      </c>
      <c r="F74" s="102" t="s">
        <v>557</v>
      </c>
      <c r="G74" s="102" t="s">
        <v>282</v>
      </c>
      <c r="H74" s="102" t="s">
        <v>283</v>
      </c>
      <c r="I74" s="102" t="s">
        <v>515</v>
      </c>
      <c r="J74" s="102" t="s">
        <v>678</v>
      </c>
      <c r="L74" s="229" t="s">
        <v>8344</v>
      </c>
      <c r="M74" s="229" t="s">
        <v>8323</v>
      </c>
      <c r="N74" s="229" t="s">
        <v>7520</v>
      </c>
      <c r="O74" s="102">
        <v>5.0</v>
      </c>
      <c r="P74" s="102" t="s">
        <v>5547</v>
      </c>
      <c r="Q74" s="102"/>
      <c r="S74" s="102">
        <v>57600.0</v>
      </c>
      <c r="T74" s="102" t="s">
        <v>4961</v>
      </c>
      <c r="U74" s="230" t="str">
        <f>IF(ISNUMBER(MATCH(B74, 'Sprint 9'!B:B, 0)), "มาจาก Sprint 9", "")</f>
        <v/>
      </c>
      <c r="V74" s="230" t="str">
        <f t="array" ref="V74">IF(ISNUMBER(MATCH(B74, 'Sprint 9'!B:B, 0)), INDEX('Sprint 9'!J:J, MATCH(B74, 'Sprint 9'!B:B, 0)), "")</f>
        <v/>
      </c>
      <c r="X74" s="102"/>
    </row>
    <row r="75">
      <c r="A75" s="102" t="s">
        <v>332</v>
      </c>
      <c r="B75" s="102" t="s">
        <v>8345</v>
      </c>
      <c r="C75" s="229" t="s">
        <v>8346</v>
      </c>
      <c r="D75" s="102" t="s">
        <v>8347</v>
      </c>
      <c r="E75" s="102" t="s">
        <v>282</v>
      </c>
      <c r="F75" s="102" t="s">
        <v>283</v>
      </c>
      <c r="G75" s="102" t="s">
        <v>316</v>
      </c>
      <c r="H75" s="102" t="s">
        <v>317</v>
      </c>
      <c r="I75" s="102" t="s">
        <v>648</v>
      </c>
      <c r="J75" s="102" t="s">
        <v>336</v>
      </c>
      <c r="L75" s="229" t="s">
        <v>8348</v>
      </c>
      <c r="M75" s="229" t="s">
        <v>8349</v>
      </c>
      <c r="N75" s="229" t="s">
        <v>8350</v>
      </c>
      <c r="O75" s="102">
        <v>1.0</v>
      </c>
      <c r="P75" s="102" t="s">
        <v>367</v>
      </c>
      <c r="Q75" s="102" t="s">
        <v>783</v>
      </c>
      <c r="S75" s="230"/>
      <c r="T75" s="102" t="s">
        <v>4960</v>
      </c>
      <c r="U75" s="230" t="str">
        <f>IF(ISNUMBER(MATCH(B75, 'Sprint 9'!B:B, 0)), "มาจาก Sprint 9", "")</f>
        <v>มาจาก Sprint 9</v>
      </c>
      <c r="V75" s="230" t="str">
        <f t="array" ref="V75">IF(ISNUMBER(MATCH(B75, 'Sprint 9'!B:B, 0)), INDEX('Sprint 9'!J:J, MATCH(B75, 'Sprint 9'!B:B, 0)), "")</f>
        <v>RETESTING</v>
      </c>
      <c r="X75" s="102" t="s">
        <v>4961</v>
      </c>
    </row>
    <row r="76">
      <c r="A76" s="102" t="s">
        <v>310</v>
      </c>
      <c r="B76" s="102" t="s">
        <v>7928</v>
      </c>
      <c r="C76" s="229" t="s">
        <v>7929</v>
      </c>
      <c r="D76" s="102" t="s">
        <v>7930</v>
      </c>
      <c r="E76" s="102" t="s">
        <v>584</v>
      </c>
      <c r="F76" s="102" t="s">
        <v>585</v>
      </c>
      <c r="G76" s="102" t="s">
        <v>353</v>
      </c>
      <c r="H76" s="102" t="s">
        <v>354</v>
      </c>
      <c r="I76" s="102" t="s">
        <v>284</v>
      </c>
      <c r="J76" s="102" t="s">
        <v>454</v>
      </c>
      <c r="L76" s="229" t="s">
        <v>7931</v>
      </c>
      <c r="M76" s="229" t="s">
        <v>8351</v>
      </c>
      <c r="O76" s="102">
        <v>1.0</v>
      </c>
      <c r="P76" s="102" t="s">
        <v>435</v>
      </c>
      <c r="S76" s="230"/>
      <c r="T76" s="102" t="s">
        <v>6448</v>
      </c>
      <c r="U76" s="230" t="str">
        <f>IF(ISNUMBER(MATCH(B76, 'Sprint 9'!B:B, 0)), "มาจาก Sprint 9", "")</f>
        <v>มาจาก Sprint 9</v>
      </c>
      <c r="V76" s="230" t="str">
        <f t="array" ref="V76">IF(ISNUMBER(MATCH(B76, 'Sprint 9'!B:B, 0)), INDEX('Sprint 9'!J:J, MATCH(B76, 'Sprint 9'!B:B, 0)), "")</f>
        <v>Ready To Test</v>
      </c>
      <c r="X76" s="102" t="s">
        <v>6449</v>
      </c>
    </row>
    <row r="77">
      <c r="A77" s="102" t="s">
        <v>276</v>
      </c>
      <c r="B77" s="102" t="s">
        <v>8352</v>
      </c>
      <c r="C77" s="229" t="s">
        <v>8353</v>
      </c>
      <c r="D77" s="102" t="s">
        <v>8354</v>
      </c>
      <c r="E77" s="102" t="s">
        <v>282</v>
      </c>
      <c r="F77" s="102" t="s">
        <v>283</v>
      </c>
      <c r="G77" s="102" t="s">
        <v>316</v>
      </c>
      <c r="H77" s="102" t="s">
        <v>317</v>
      </c>
      <c r="I77" s="102" t="s">
        <v>318</v>
      </c>
      <c r="J77" s="102" t="s">
        <v>63</v>
      </c>
      <c r="L77" s="229" t="s">
        <v>8355</v>
      </c>
      <c r="M77" s="229" t="s">
        <v>8355</v>
      </c>
      <c r="O77" s="230"/>
      <c r="S77" s="230"/>
      <c r="T77" s="102" t="s">
        <v>4961</v>
      </c>
      <c r="U77" s="230" t="str">
        <f>IF(ISNUMBER(MATCH(B77, 'Sprint 9'!B:B, 0)), "มาจาก Sprint 9", "")</f>
        <v/>
      </c>
      <c r="V77" s="230" t="str">
        <f t="array" ref="V77">IF(ISNUMBER(MATCH(B77, 'Sprint 9'!B:B, 0)), INDEX('Sprint 9'!J:J, MATCH(B77, 'Sprint 9'!B:B, 0)), "")</f>
        <v/>
      </c>
      <c r="X77" s="102"/>
      <c r="Y77" s="102"/>
      <c r="Z77" s="102"/>
    </row>
    <row r="78">
      <c r="A78" s="102" t="s">
        <v>276</v>
      </c>
      <c r="B78" s="102" t="s">
        <v>7932</v>
      </c>
      <c r="C78" s="229" t="s">
        <v>7933</v>
      </c>
      <c r="D78" s="102" t="s">
        <v>347</v>
      </c>
      <c r="E78" s="102" t="s">
        <v>521</v>
      </c>
      <c r="F78" s="102" t="s">
        <v>522</v>
      </c>
      <c r="G78" s="102" t="s">
        <v>521</v>
      </c>
      <c r="H78" s="102" t="s">
        <v>522</v>
      </c>
      <c r="I78" s="102" t="s">
        <v>284</v>
      </c>
      <c r="J78" s="102" t="s">
        <v>63</v>
      </c>
      <c r="L78" s="229" t="s">
        <v>7935</v>
      </c>
      <c r="M78" s="229" t="s">
        <v>8356</v>
      </c>
      <c r="O78" s="230"/>
      <c r="S78" s="230"/>
      <c r="T78" s="102" t="s">
        <v>5944</v>
      </c>
      <c r="U78" s="230" t="str">
        <f>IF(ISNUMBER(MATCH(B78, 'Sprint 9'!B:B, 0)), "มาจาก Sprint 9", "")</f>
        <v>มาจาก Sprint 9</v>
      </c>
      <c r="V78" s="230" t="str">
        <f t="array" ref="V78">IF(ISNUMBER(MATCH(B78, 'Sprint 9'!B:B, 0)), INDEX('Sprint 9'!J:J, MATCH(B78, 'Sprint 9'!B:B, 0)), "")</f>
        <v>To Do</v>
      </c>
      <c r="X78" s="102" t="s">
        <v>5920</v>
      </c>
      <c r="Y78" s="102" t="s">
        <v>5920</v>
      </c>
      <c r="Z78" s="102" t="s">
        <v>5913</v>
      </c>
    </row>
    <row r="79">
      <c r="A79" s="102" t="s">
        <v>276</v>
      </c>
      <c r="B79" s="102" t="s">
        <v>7937</v>
      </c>
      <c r="C79" s="229" t="s">
        <v>7938</v>
      </c>
      <c r="D79" s="102" t="s">
        <v>347</v>
      </c>
      <c r="E79" s="102" t="s">
        <v>521</v>
      </c>
      <c r="F79" s="102" t="s">
        <v>522</v>
      </c>
      <c r="G79" s="102" t="s">
        <v>521</v>
      </c>
      <c r="H79" s="102" t="s">
        <v>522</v>
      </c>
      <c r="I79" s="102" t="s">
        <v>284</v>
      </c>
      <c r="J79" s="102" t="s">
        <v>63</v>
      </c>
      <c r="L79" s="229" t="s">
        <v>7940</v>
      </c>
      <c r="M79" s="229" t="s">
        <v>8027</v>
      </c>
      <c r="O79" s="102"/>
      <c r="P79" s="102"/>
      <c r="S79" s="102"/>
      <c r="T79" s="102" t="s">
        <v>5944</v>
      </c>
      <c r="U79" s="230" t="str">
        <f>IF(ISNUMBER(MATCH(B79, 'Sprint 9'!B:B, 0)), "มาจาก Sprint 9", "")</f>
        <v>มาจาก Sprint 9</v>
      </c>
      <c r="V79" s="230" t="str">
        <f t="array" ref="V79">IF(ISNUMBER(MATCH(B79, 'Sprint 9'!B:B, 0)), INDEX('Sprint 9'!J:J, MATCH(B79, 'Sprint 9'!B:B, 0)), "")</f>
        <v>To Do</v>
      </c>
      <c r="X79" s="102" t="s">
        <v>5920</v>
      </c>
      <c r="Y79" s="102" t="s">
        <v>5920</v>
      </c>
      <c r="Z79" s="102" t="s">
        <v>5913</v>
      </c>
    </row>
    <row r="80">
      <c r="A80" s="102" t="s">
        <v>310</v>
      </c>
      <c r="B80" s="102" t="s">
        <v>8357</v>
      </c>
      <c r="C80" s="229" t="s">
        <v>8358</v>
      </c>
      <c r="D80" s="102" t="s">
        <v>8359</v>
      </c>
      <c r="E80" s="102" t="s">
        <v>282</v>
      </c>
      <c r="F80" s="102" t="s">
        <v>283</v>
      </c>
      <c r="G80" s="102" t="s">
        <v>316</v>
      </c>
      <c r="H80" s="102" t="s">
        <v>317</v>
      </c>
      <c r="I80" s="102" t="s">
        <v>318</v>
      </c>
      <c r="J80" s="102" t="s">
        <v>26</v>
      </c>
      <c r="L80" s="229" t="s">
        <v>8360</v>
      </c>
      <c r="M80" s="229" t="s">
        <v>8361</v>
      </c>
      <c r="O80" s="102">
        <v>2.0</v>
      </c>
      <c r="P80" s="102" t="s">
        <v>368</v>
      </c>
      <c r="S80" s="102">
        <v>1800.0</v>
      </c>
      <c r="T80" s="102" t="s">
        <v>4961</v>
      </c>
      <c r="U80" s="230" t="str">
        <f>IF(ISNUMBER(MATCH(B80, 'Sprint 9'!B:B, 0)), "มาจาก Sprint 9", "")</f>
        <v/>
      </c>
      <c r="V80" s="230" t="str">
        <f t="array" ref="V80">IF(ISNUMBER(MATCH(B80, 'Sprint 9'!B:B, 0)), INDEX('Sprint 9'!J:J, MATCH(B80, 'Sprint 9'!B:B, 0)), "")</f>
        <v/>
      </c>
      <c r="X80" s="102"/>
      <c r="Y80" s="102"/>
    </row>
    <row r="81">
      <c r="A81" s="102" t="s">
        <v>276</v>
      </c>
      <c r="B81" s="102" t="s">
        <v>8362</v>
      </c>
      <c r="C81" s="229" t="s">
        <v>8363</v>
      </c>
      <c r="D81" s="102" t="s">
        <v>1567</v>
      </c>
      <c r="E81" s="102" t="s">
        <v>3288</v>
      </c>
      <c r="F81" s="102" t="s">
        <v>3289</v>
      </c>
      <c r="G81" s="102" t="s">
        <v>3288</v>
      </c>
      <c r="H81" s="102" t="s">
        <v>3289</v>
      </c>
      <c r="I81" s="102" t="s">
        <v>284</v>
      </c>
      <c r="J81" s="102" t="s">
        <v>26</v>
      </c>
      <c r="L81" s="229" t="s">
        <v>8364</v>
      </c>
      <c r="M81" s="229" t="s">
        <v>8365</v>
      </c>
      <c r="O81" s="230"/>
      <c r="S81" s="230"/>
      <c r="T81" s="102" t="s">
        <v>5920</v>
      </c>
      <c r="U81" s="230" t="str">
        <f>IF(ISNUMBER(MATCH(B81, 'Sprint 9'!B:B, 0)), "มาจาก Sprint 9", "")</f>
        <v>มาจาก Sprint 9</v>
      </c>
      <c r="V81" s="230" t="str">
        <f t="array" ref="V81">IF(ISNUMBER(MATCH(B81, 'Sprint 9'!B:B, 0)), INDEX('Sprint 9'!J:J, MATCH(B81, 'Sprint 9'!B:B, 0)), "")</f>
        <v>In Progress</v>
      </c>
      <c r="X81" s="102" t="s">
        <v>5920</v>
      </c>
      <c r="Y81" s="102" t="s">
        <v>5913</v>
      </c>
    </row>
    <row r="82">
      <c r="A82" s="102" t="s">
        <v>276</v>
      </c>
      <c r="B82" s="102" t="s">
        <v>8366</v>
      </c>
      <c r="C82" s="229" t="s">
        <v>8367</v>
      </c>
      <c r="D82" s="102" t="s">
        <v>1567</v>
      </c>
      <c r="E82" s="102" t="s">
        <v>3288</v>
      </c>
      <c r="F82" s="102" t="s">
        <v>3289</v>
      </c>
      <c r="G82" s="102" t="s">
        <v>3288</v>
      </c>
      <c r="H82" s="102" t="s">
        <v>3289</v>
      </c>
      <c r="I82" s="102" t="s">
        <v>284</v>
      </c>
      <c r="J82" s="102" t="s">
        <v>26</v>
      </c>
      <c r="L82" s="229" t="s">
        <v>8364</v>
      </c>
      <c r="M82" s="229" t="s">
        <v>8365</v>
      </c>
      <c r="O82" s="230"/>
      <c r="S82" s="230"/>
      <c r="T82" s="102" t="s">
        <v>5920</v>
      </c>
      <c r="U82" s="230" t="str">
        <f>IF(ISNUMBER(MATCH(B82, 'Sprint 9'!B:B, 0)), "มาจาก Sprint 9", "")</f>
        <v>มาจาก Sprint 9</v>
      </c>
      <c r="V82" s="230" t="str">
        <f t="array" ref="V82">IF(ISNUMBER(MATCH(B82, 'Sprint 9'!B:B, 0)), INDEX('Sprint 9'!J:J, MATCH(B82, 'Sprint 9'!B:B, 0)), "")</f>
        <v>In Progress</v>
      </c>
      <c r="X82" s="102" t="s">
        <v>5920</v>
      </c>
      <c r="Y82" s="102" t="s">
        <v>5913</v>
      </c>
    </row>
    <row r="83">
      <c r="A83" s="102" t="s">
        <v>276</v>
      </c>
      <c r="B83" s="102" t="s">
        <v>8368</v>
      </c>
      <c r="C83" s="229" t="s">
        <v>8369</v>
      </c>
      <c r="D83" s="102" t="s">
        <v>1567</v>
      </c>
      <c r="E83" s="102" t="s">
        <v>3288</v>
      </c>
      <c r="F83" s="102" t="s">
        <v>3289</v>
      </c>
      <c r="G83" s="102" t="s">
        <v>3288</v>
      </c>
      <c r="H83" s="102" t="s">
        <v>3289</v>
      </c>
      <c r="I83" s="102" t="s">
        <v>284</v>
      </c>
      <c r="J83" s="102" t="s">
        <v>26</v>
      </c>
      <c r="L83" s="229" t="s">
        <v>8364</v>
      </c>
      <c r="M83" s="229" t="s">
        <v>8365</v>
      </c>
      <c r="O83" s="230"/>
      <c r="S83" s="230"/>
      <c r="T83" s="102" t="s">
        <v>5920</v>
      </c>
      <c r="U83" s="230" t="str">
        <f>IF(ISNUMBER(MATCH(B83, 'Sprint 9'!B:B, 0)), "มาจาก Sprint 9", "")</f>
        <v>มาจาก Sprint 9</v>
      </c>
      <c r="V83" s="230" t="str">
        <f t="array" ref="V83">IF(ISNUMBER(MATCH(B83, 'Sprint 9'!B:B, 0)), INDEX('Sprint 9'!J:J, MATCH(B83, 'Sprint 9'!B:B, 0)), "")</f>
        <v>In Progress</v>
      </c>
      <c r="X83" s="102" t="s">
        <v>5920</v>
      </c>
      <c r="Y83" s="102" t="s">
        <v>5913</v>
      </c>
    </row>
    <row r="84">
      <c r="A84" s="102" t="s">
        <v>1459</v>
      </c>
      <c r="B84" s="102" t="s">
        <v>8370</v>
      </c>
      <c r="C84" s="229" t="s">
        <v>8371</v>
      </c>
      <c r="D84" s="102" t="s">
        <v>8372</v>
      </c>
      <c r="G84" s="102" t="s">
        <v>3288</v>
      </c>
      <c r="H84" s="102" t="s">
        <v>3289</v>
      </c>
      <c r="I84" s="102" t="s">
        <v>284</v>
      </c>
      <c r="J84" s="102" t="s">
        <v>26</v>
      </c>
      <c r="L84" s="229" t="s">
        <v>8373</v>
      </c>
      <c r="M84" s="229" t="s">
        <v>8374</v>
      </c>
      <c r="O84" s="230"/>
      <c r="S84" s="230"/>
      <c r="T84" s="102" t="s">
        <v>5920</v>
      </c>
      <c r="U84" s="230" t="str">
        <f>IF(ISNUMBER(MATCH(B84, 'Sprint 9'!B:B, 0)), "มาจาก Sprint 9", "")</f>
        <v>มาจาก Sprint 9</v>
      </c>
      <c r="V84" s="230" t="str">
        <f t="array" ref="V84">IF(ISNUMBER(MATCH(B84, 'Sprint 9'!B:B, 0)), INDEX('Sprint 9'!J:J, MATCH(B84, 'Sprint 9'!B:B, 0)), "")</f>
        <v>In Progress</v>
      </c>
      <c r="X84" s="102" t="s">
        <v>5913</v>
      </c>
    </row>
    <row r="85">
      <c r="A85" s="102" t="s">
        <v>1465</v>
      </c>
      <c r="B85" s="102" t="s">
        <v>8375</v>
      </c>
      <c r="C85" s="229" t="s">
        <v>8376</v>
      </c>
      <c r="D85" s="102" t="s">
        <v>8377</v>
      </c>
      <c r="G85" s="102" t="s">
        <v>3288</v>
      </c>
      <c r="H85" s="102" t="s">
        <v>3289</v>
      </c>
      <c r="I85" s="102" t="s">
        <v>284</v>
      </c>
      <c r="J85" s="102" t="s">
        <v>26</v>
      </c>
      <c r="L85" s="229" t="s">
        <v>8378</v>
      </c>
      <c r="M85" s="229" t="s">
        <v>8374</v>
      </c>
      <c r="O85" s="102"/>
      <c r="S85" s="230"/>
      <c r="T85" s="102" t="s">
        <v>5920</v>
      </c>
      <c r="U85" s="230" t="str">
        <f>IF(ISNUMBER(MATCH(B85, 'Sprint 9'!B:B, 0)), "มาจาก Sprint 9", "")</f>
        <v>มาจาก Sprint 9</v>
      </c>
      <c r="V85" s="230" t="str">
        <f t="array" ref="V85">IF(ISNUMBER(MATCH(B85, 'Sprint 9'!B:B, 0)), INDEX('Sprint 9'!J:J, MATCH(B85, 'Sprint 9'!B:B, 0)), "")</f>
        <v>To Do</v>
      </c>
      <c r="X85" s="102" t="s">
        <v>5913</v>
      </c>
    </row>
    <row r="86">
      <c r="A86" s="102" t="s">
        <v>332</v>
      </c>
      <c r="B86" s="102" t="s">
        <v>8379</v>
      </c>
      <c r="C86" s="229" t="s">
        <v>8380</v>
      </c>
      <c r="D86" s="102" t="s">
        <v>8381</v>
      </c>
      <c r="E86" s="102"/>
      <c r="F86" s="102"/>
      <c r="G86" s="102" t="s">
        <v>316</v>
      </c>
      <c r="H86" s="102" t="s">
        <v>317</v>
      </c>
      <c r="I86" s="102" t="s">
        <v>284</v>
      </c>
      <c r="J86" s="102" t="s">
        <v>759</v>
      </c>
      <c r="L86" s="229" t="s">
        <v>8382</v>
      </c>
      <c r="M86" s="229" t="s">
        <v>8383</v>
      </c>
      <c r="N86" s="102"/>
      <c r="O86" s="102">
        <v>3.0</v>
      </c>
      <c r="P86" s="102"/>
      <c r="Q86" s="102"/>
      <c r="R86" s="102"/>
      <c r="S86" s="230"/>
      <c r="T86" s="102" t="s">
        <v>4961</v>
      </c>
      <c r="U86" s="230" t="str">
        <f>IF(ISNUMBER(MATCH(B86, 'Sprint 9'!B:B, 0)), "มาจาก Sprint 9", "")</f>
        <v/>
      </c>
      <c r="V86" s="230" t="str">
        <f t="array" ref="V86">IF(ISNUMBER(MATCH(B86, 'Sprint 9'!B:B, 0)), INDEX('Sprint 9'!J:J, MATCH(B86, 'Sprint 9'!B:B, 0)), "")</f>
        <v/>
      </c>
    </row>
    <row r="87">
      <c r="A87" s="102" t="s">
        <v>332</v>
      </c>
      <c r="B87" s="102" t="s">
        <v>8384</v>
      </c>
      <c r="C87" s="229" t="s">
        <v>8385</v>
      </c>
      <c r="D87" s="102" t="s">
        <v>8386</v>
      </c>
      <c r="E87" s="102" t="s">
        <v>282</v>
      </c>
      <c r="F87" s="102" t="s">
        <v>283</v>
      </c>
      <c r="G87" s="102" t="s">
        <v>316</v>
      </c>
      <c r="H87" s="102" t="s">
        <v>317</v>
      </c>
      <c r="I87" s="102" t="s">
        <v>1921</v>
      </c>
      <c r="J87" s="102" t="s">
        <v>2415</v>
      </c>
      <c r="L87" s="229" t="s">
        <v>8387</v>
      </c>
      <c r="M87" s="229" t="s">
        <v>8388</v>
      </c>
      <c r="N87" s="229" t="s">
        <v>8350</v>
      </c>
      <c r="O87" s="102"/>
      <c r="P87" s="102" t="s">
        <v>367</v>
      </c>
      <c r="Q87" s="102" t="s">
        <v>783</v>
      </c>
      <c r="R87" s="102" t="s">
        <v>5547</v>
      </c>
      <c r="S87" s="230"/>
      <c r="T87" s="102" t="s">
        <v>4961</v>
      </c>
      <c r="U87" s="230" t="str">
        <f>IF(ISNUMBER(MATCH(B87, 'Sprint 9'!B:B, 0)), "มาจาก Sprint 9", "")</f>
        <v/>
      </c>
      <c r="V87" s="230" t="str">
        <f t="array" ref="V87">IF(ISNUMBER(MATCH(B87, 'Sprint 9'!B:B, 0)), INDEX('Sprint 9'!J:J, MATCH(B87, 'Sprint 9'!B:B, 0)), "")</f>
        <v/>
      </c>
    </row>
    <row r="88">
      <c r="A88" s="102" t="s">
        <v>310</v>
      </c>
      <c r="B88" s="102" t="s">
        <v>5568</v>
      </c>
      <c r="C88" s="229" t="s">
        <v>5569</v>
      </c>
      <c r="D88" s="102" t="s">
        <v>5570</v>
      </c>
      <c r="E88" s="102" t="s">
        <v>556</v>
      </c>
      <c r="F88" s="102" t="s">
        <v>557</v>
      </c>
      <c r="G88" s="102" t="s">
        <v>316</v>
      </c>
      <c r="H88" s="102" t="s">
        <v>317</v>
      </c>
      <c r="I88" s="102" t="s">
        <v>515</v>
      </c>
      <c r="J88" s="102" t="s">
        <v>63</v>
      </c>
      <c r="L88" s="229" t="s">
        <v>5571</v>
      </c>
      <c r="M88" s="229" t="s">
        <v>8389</v>
      </c>
      <c r="N88" s="229" t="s">
        <v>5573</v>
      </c>
      <c r="O88" s="102">
        <v>5.0</v>
      </c>
      <c r="P88" s="102" t="s">
        <v>1756</v>
      </c>
      <c r="S88" s="102"/>
      <c r="T88" s="102" t="s">
        <v>4961</v>
      </c>
      <c r="U88" s="230" t="str">
        <f>IF(ISNUMBER(MATCH(B88, 'Sprint 9'!B:B, 0)), "มาจาก Sprint 9", "")</f>
        <v/>
      </c>
      <c r="V88" s="230" t="str">
        <f t="array" ref="V88">IF(ISNUMBER(MATCH(B88, 'Sprint 9'!B:B, 0)), INDEX('Sprint 9'!J:J, MATCH(B88, 'Sprint 9'!B:B, 0)), "")</f>
        <v/>
      </c>
    </row>
    <row r="89">
      <c r="A89" s="102" t="s">
        <v>310</v>
      </c>
      <c r="B89" s="102" t="s">
        <v>7562</v>
      </c>
      <c r="C89" s="229" t="s">
        <v>7563</v>
      </c>
      <c r="D89" s="102" t="s">
        <v>7564</v>
      </c>
      <c r="E89" s="102" t="s">
        <v>564</v>
      </c>
      <c r="F89" s="102" t="s">
        <v>565</v>
      </c>
      <c r="G89" s="102" t="s">
        <v>316</v>
      </c>
      <c r="H89" s="102" t="s">
        <v>317</v>
      </c>
      <c r="I89" s="102" t="s">
        <v>515</v>
      </c>
      <c r="J89" s="102" t="s">
        <v>63</v>
      </c>
      <c r="L89" s="229" t="s">
        <v>7565</v>
      </c>
      <c r="M89" s="229" t="s">
        <v>8390</v>
      </c>
      <c r="N89" s="229" t="s">
        <v>5573</v>
      </c>
      <c r="O89" s="102">
        <v>5.0</v>
      </c>
      <c r="P89" s="102" t="s">
        <v>1756</v>
      </c>
      <c r="S89" s="102">
        <v>0.0</v>
      </c>
      <c r="T89" s="102" t="s">
        <v>4961</v>
      </c>
      <c r="U89" s="230" t="str">
        <f>IF(ISNUMBER(MATCH(B89, 'Sprint 9'!B:B, 0)), "มาจาก Sprint 9", "")</f>
        <v/>
      </c>
      <c r="V89" s="230" t="str">
        <f t="array" ref="V89">IF(ISNUMBER(MATCH(B89, 'Sprint 9'!B:B, 0)), INDEX('Sprint 9'!J:J, MATCH(B89, 'Sprint 9'!B:B, 0)), "")</f>
        <v/>
      </c>
      <c r="X89" s="102"/>
    </row>
    <row r="90">
      <c r="A90" s="102" t="s">
        <v>310</v>
      </c>
      <c r="B90" s="102" t="s">
        <v>8391</v>
      </c>
      <c r="C90" s="229" t="s">
        <v>8392</v>
      </c>
      <c r="D90" s="102" t="s">
        <v>8393</v>
      </c>
      <c r="E90" s="102" t="s">
        <v>513</v>
      </c>
      <c r="F90" s="102" t="s">
        <v>514</v>
      </c>
      <c r="G90" s="102" t="s">
        <v>353</v>
      </c>
      <c r="H90" s="102" t="s">
        <v>354</v>
      </c>
      <c r="I90" s="102" t="s">
        <v>284</v>
      </c>
      <c r="J90" s="102" t="s">
        <v>26</v>
      </c>
      <c r="L90" s="229" t="s">
        <v>8394</v>
      </c>
      <c r="M90" s="229" t="s">
        <v>8395</v>
      </c>
      <c r="O90" s="102">
        <v>1.0</v>
      </c>
      <c r="S90" s="102">
        <v>7200.0</v>
      </c>
      <c r="T90" s="102" t="s">
        <v>5920</v>
      </c>
      <c r="U90" s="230" t="str">
        <f>IF(ISNUMBER(MATCH(B90, 'Sprint 9'!B:B, 0)), "มาจาก Sprint 9", "")</f>
        <v>มาจาก Sprint 9</v>
      </c>
      <c r="V90" s="230" t="str">
        <f t="array" ref="V90">IF(ISNUMBER(MATCH(B90, 'Sprint 9'!B:B, 0)), INDEX('Sprint 9'!J:J, MATCH(B90, 'Sprint 9'!B:B, 0)), "")</f>
        <v>Ready to Staging</v>
      </c>
      <c r="X90" s="102" t="s">
        <v>5913</v>
      </c>
    </row>
    <row r="91">
      <c r="A91" s="102" t="s">
        <v>310</v>
      </c>
      <c r="B91" s="102" t="s">
        <v>6964</v>
      </c>
      <c r="C91" s="229" t="s">
        <v>6965</v>
      </c>
      <c r="D91" s="102" t="s">
        <v>6966</v>
      </c>
      <c r="E91" s="102" t="s">
        <v>314</v>
      </c>
      <c r="F91" s="102" t="s">
        <v>315</v>
      </c>
      <c r="G91" s="102" t="s">
        <v>353</v>
      </c>
      <c r="H91" s="102" t="s">
        <v>354</v>
      </c>
      <c r="I91" s="102" t="s">
        <v>284</v>
      </c>
      <c r="J91" s="102" t="s">
        <v>678</v>
      </c>
      <c r="L91" s="229" t="s">
        <v>6967</v>
      </c>
      <c r="M91" s="229" t="s">
        <v>8396</v>
      </c>
      <c r="O91" s="102">
        <v>2.0</v>
      </c>
      <c r="P91" s="102"/>
      <c r="Q91" s="102"/>
      <c r="S91" s="102">
        <v>10800.0</v>
      </c>
      <c r="T91" s="102" t="s">
        <v>6448</v>
      </c>
      <c r="U91" s="230" t="str">
        <f>IF(ISNUMBER(MATCH(B91, 'Sprint 9'!B:B, 0)), "มาจาก Sprint 9", "")</f>
        <v>มาจาก Sprint 9</v>
      </c>
      <c r="V91" s="230" t="str">
        <f t="array" ref="V91">IF(ISNUMBER(MATCH(B91, 'Sprint 9'!B:B, 0)), INDEX('Sprint 9'!J:J, MATCH(B91, 'Sprint 9'!B:B, 0)), "")</f>
        <v>In Review</v>
      </c>
      <c r="X91" s="102" t="s">
        <v>6449</v>
      </c>
    </row>
    <row r="92">
      <c r="A92" s="102" t="s">
        <v>310</v>
      </c>
      <c r="B92" s="102" t="s">
        <v>8397</v>
      </c>
      <c r="C92" s="229" t="s">
        <v>8398</v>
      </c>
      <c r="D92" s="102" t="s">
        <v>8399</v>
      </c>
      <c r="E92" s="102" t="s">
        <v>282</v>
      </c>
      <c r="F92" s="102" t="s">
        <v>283</v>
      </c>
      <c r="G92" s="102" t="s">
        <v>282</v>
      </c>
      <c r="H92" s="102" t="s">
        <v>283</v>
      </c>
      <c r="I92" s="102" t="s">
        <v>515</v>
      </c>
      <c r="J92" s="102" t="s">
        <v>26</v>
      </c>
      <c r="L92" s="229" t="s">
        <v>8400</v>
      </c>
      <c r="M92" s="229" t="s">
        <v>8238</v>
      </c>
      <c r="O92" s="102">
        <v>2.0</v>
      </c>
      <c r="P92" s="102" t="s">
        <v>4656</v>
      </c>
      <c r="Q92" s="102" t="s">
        <v>7229</v>
      </c>
      <c r="S92" s="102">
        <v>10800.0</v>
      </c>
      <c r="T92" s="102" t="s">
        <v>4960</v>
      </c>
      <c r="U92" s="230" t="str">
        <f>IF(ISNUMBER(MATCH(B92, 'Sprint 9'!B:B, 0)), "มาจาก Sprint 9", "")</f>
        <v>มาจาก Sprint 9</v>
      </c>
      <c r="V92" s="230" t="str">
        <f t="array" ref="V92">IF(ISNUMBER(MATCH(B92, 'Sprint 9'!B:B, 0)), INDEX('Sprint 9'!J:J, MATCH(B92, 'Sprint 9'!B:B, 0)), "")</f>
        <v>Ready To Test</v>
      </c>
      <c r="X92" s="102" t="s">
        <v>4961</v>
      </c>
    </row>
    <row r="93">
      <c r="A93" s="102" t="s">
        <v>332</v>
      </c>
      <c r="B93" s="102" t="s">
        <v>8401</v>
      </c>
      <c r="C93" s="229" t="s">
        <v>8402</v>
      </c>
      <c r="D93" s="102" t="s">
        <v>8403</v>
      </c>
      <c r="E93" s="102" t="s">
        <v>556</v>
      </c>
      <c r="F93" s="102" t="s">
        <v>557</v>
      </c>
      <c r="G93" s="102" t="s">
        <v>3288</v>
      </c>
      <c r="H93" s="102" t="s">
        <v>3289</v>
      </c>
      <c r="I93" s="102" t="s">
        <v>284</v>
      </c>
      <c r="J93" s="102" t="s">
        <v>336</v>
      </c>
      <c r="L93" s="229" t="s">
        <v>8404</v>
      </c>
      <c r="M93" s="229" t="s">
        <v>8405</v>
      </c>
      <c r="O93" s="230"/>
      <c r="S93" s="230"/>
      <c r="T93" s="102" t="s">
        <v>4960</v>
      </c>
      <c r="U93" s="230" t="str">
        <f>IF(ISNUMBER(MATCH(B93, 'Sprint 9'!B:B, 0)), "มาจาก Sprint 9", "")</f>
        <v>มาจาก Sprint 9</v>
      </c>
      <c r="V93" s="230" t="str">
        <f t="array" ref="V93">IF(ISNUMBER(MATCH(B93, 'Sprint 9'!B:B, 0)), INDEX('Sprint 9'!J:J, MATCH(B93, 'Sprint 9'!B:B, 0)), "")</f>
        <v>Resolved</v>
      </c>
      <c r="X93" s="102" t="s">
        <v>4961</v>
      </c>
    </row>
    <row r="94">
      <c r="A94" s="102" t="s">
        <v>276</v>
      </c>
      <c r="B94" s="102" t="s">
        <v>7943</v>
      </c>
      <c r="C94" s="229" t="s">
        <v>7944</v>
      </c>
      <c r="D94" s="102" t="s">
        <v>347</v>
      </c>
      <c r="E94" s="102" t="s">
        <v>280</v>
      </c>
      <c r="F94" s="102" t="s">
        <v>281</v>
      </c>
      <c r="G94" s="102" t="s">
        <v>280</v>
      </c>
      <c r="H94" s="102" t="s">
        <v>281</v>
      </c>
      <c r="I94" s="102" t="s">
        <v>284</v>
      </c>
      <c r="J94" s="102" t="s">
        <v>34</v>
      </c>
      <c r="L94" s="229" t="s">
        <v>7945</v>
      </c>
      <c r="M94" s="229" t="s">
        <v>7946</v>
      </c>
      <c r="O94" s="230"/>
      <c r="S94" s="230"/>
      <c r="T94" s="102" t="s">
        <v>1363</v>
      </c>
      <c r="U94" s="230" t="str">
        <f>IF(ISNUMBER(MATCH(B94, 'Sprint 9'!B:B, 0)), "มาจาก Sprint 9", "")</f>
        <v>มาจาก Sprint 9</v>
      </c>
      <c r="V94" s="230" t="str">
        <f t="array" ref="V94">IF(ISNUMBER(MATCH(B94, 'Sprint 9'!B:B, 0)), INDEX('Sprint 9'!J:J, MATCH(B94, 'Sprint 9'!B:B, 0)), "")</f>
        <v>To Do</v>
      </c>
      <c r="X94" s="102" t="s">
        <v>1364</v>
      </c>
    </row>
    <row r="95">
      <c r="A95" s="102" t="s">
        <v>276</v>
      </c>
      <c r="B95" s="102" t="s">
        <v>7947</v>
      </c>
      <c r="C95" s="229" t="s">
        <v>7948</v>
      </c>
      <c r="D95" s="102" t="s">
        <v>2030</v>
      </c>
      <c r="E95" s="102" t="s">
        <v>280</v>
      </c>
      <c r="F95" s="102" t="s">
        <v>281</v>
      </c>
      <c r="G95" s="102" t="s">
        <v>280</v>
      </c>
      <c r="H95" s="102" t="s">
        <v>281</v>
      </c>
      <c r="I95" s="102" t="s">
        <v>284</v>
      </c>
      <c r="J95" s="102" t="s">
        <v>26</v>
      </c>
      <c r="L95" s="229" t="s">
        <v>7945</v>
      </c>
      <c r="M95" s="229" t="s">
        <v>7949</v>
      </c>
      <c r="O95" s="230"/>
      <c r="S95" s="230"/>
      <c r="T95" s="102" t="s">
        <v>1363</v>
      </c>
      <c r="U95" s="230" t="str">
        <f>IF(ISNUMBER(MATCH(B95, 'Sprint 9'!B:B, 0)), "มาจาก Sprint 9", "")</f>
        <v>มาจาก Sprint 9</v>
      </c>
      <c r="V95" s="230" t="str">
        <f t="array" ref="V95">IF(ISNUMBER(MATCH(B95, 'Sprint 9'!B:B, 0)), INDEX('Sprint 9'!J:J, MATCH(B95, 'Sprint 9'!B:B, 0)), "")</f>
        <v>Done</v>
      </c>
      <c r="X95" s="102" t="s">
        <v>1364</v>
      </c>
    </row>
    <row r="96">
      <c r="A96" s="102" t="s">
        <v>276</v>
      </c>
      <c r="B96" s="102" t="s">
        <v>7950</v>
      </c>
      <c r="C96" s="229" t="s">
        <v>7951</v>
      </c>
      <c r="D96" s="102" t="s">
        <v>347</v>
      </c>
      <c r="E96" s="102" t="s">
        <v>280</v>
      </c>
      <c r="F96" s="102" t="s">
        <v>281</v>
      </c>
      <c r="G96" s="102" t="s">
        <v>280</v>
      </c>
      <c r="H96" s="102" t="s">
        <v>281</v>
      </c>
      <c r="I96" s="102" t="s">
        <v>284</v>
      </c>
      <c r="J96" s="102" t="s">
        <v>63</v>
      </c>
      <c r="L96" s="229" t="s">
        <v>7952</v>
      </c>
      <c r="M96" s="229" t="s">
        <v>7945</v>
      </c>
      <c r="O96" s="230"/>
      <c r="S96" s="230"/>
      <c r="T96" s="102" t="s">
        <v>1363</v>
      </c>
      <c r="U96" s="230" t="str">
        <f>IF(ISNUMBER(MATCH(B96, 'Sprint 9'!B:B, 0)), "มาจาก Sprint 9", "")</f>
        <v>มาจาก Sprint 9</v>
      </c>
      <c r="V96" s="230" t="str">
        <f t="array" ref="V96">IF(ISNUMBER(MATCH(B96, 'Sprint 9'!B:B, 0)), INDEX('Sprint 9'!J:J, MATCH(B96, 'Sprint 9'!B:B, 0)), "")</f>
        <v>To Do</v>
      </c>
      <c r="X96" s="102" t="s">
        <v>1364</v>
      </c>
    </row>
    <row r="97">
      <c r="A97" s="102" t="s">
        <v>276</v>
      </c>
      <c r="B97" s="102" t="s">
        <v>7954</v>
      </c>
      <c r="C97" s="229" t="s">
        <v>7955</v>
      </c>
      <c r="D97" s="102" t="s">
        <v>2030</v>
      </c>
      <c r="E97" s="102" t="s">
        <v>280</v>
      </c>
      <c r="F97" s="102" t="s">
        <v>281</v>
      </c>
      <c r="G97" s="102" t="s">
        <v>280</v>
      </c>
      <c r="H97" s="102" t="s">
        <v>281</v>
      </c>
      <c r="I97" s="102" t="s">
        <v>284</v>
      </c>
      <c r="J97" s="102" t="s">
        <v>26</v>
      </c>
      <c r="L97" s="229" t="s">
        <v>7952</v>
      </c>
      <c r="M97" s="229" t="s">
        <v>7956</v>
      </c>
      <c r="O97" s="230"/>
      <c r="S97" s="230"/>
      <c r="T97" s="102" t="s">
        <v>1363</v>
      </c>
      <c r="U97" s="230" t="str">
        <f>IF(ISNUMBER(MATCH(B97, 'Sprint 9'!B:B, 0)), "มาจาก Sprint 9", "")</f>
        <v>มาจาก Sprint 9</v>
      </c>
      <c r="V97" s="230" t="str">
        <f t="array" ref="V97">IF(ISNUMBER(MATCH(B97, 'Sprint 9'!B:B, 0)), INDEX('Sprint 9'!J:J, MATCH(B97, 'Sprint 9'!B:B, 0)), "")</f>
        <v>Done</v>
      </c>
      <c r="X97" s="102" t="s">
        <v>1364</v>
      </c>
    </row>
    <row r="98">
      <c r="A98" s="102" t="s">
        <v>276</v>
      </c>
      <c r="B98" s="102" t="s">
        <v>7957</v>
      </c>
      <c r="C98" s="229" t="s">
        <v>7958</v>
      </c>
      <c r="D98" s="102" t="s">
        <v>347</v>
      </c>
      <c r="E98" s="102" t="s">
        <v>280</v>
      </c>
      <c r="F98" s="102" t="s">
        <v>281</v>
      </c>
      <c r="G98" s="102" t="s">
        <v>280</v>
      </c>
      <c r="H98" s="102" t="s">
        <v>281</v>
      </c>
      <c r="I98" s="102" t="s">
        <v>284</v>
      </c>
      <c r="J98" s="102" t="s">
        <v>63</v>
      </c>
      <c r="L98" s="229" t="s">
        <v>7952</v>
      </c>
      <c r="M98" s="229" t="s">
        <v>7952</v>
      </c>
      <c r="O98" s="230"/>
      <c r="S98" s="230"/>
      <c r="T98" s="102" t="s">
        <v>1363</v>
      </c>
      <c r="U98" s="230" t="str">
        <f>IF(ISNUMBER(MATCH(B98, 'Sprint 9'!B:B, 0)), "มาจาก Sprint 9", "")</f>
        <v>มาจาก Sprint 9</v>
      </c>
      <c r="V98" s="230" t="str">
        <f t="array" ref="V98">IF(ISNUMBER(MATCH(B98, 'Sprint 9'!B:B, 0)), INDEX('Sprint 9'!J:J, MATCH(B98, 'Sprint 9'!B:B, 0)), "")</f>
        <v>To Do</v>
      </c>
      <c r="X98" s="102" t="s">
        <v>1364</v>
      </c>
    </row>
    <row r="99">
      <c r="A99" s="102" t="s">
        <v>276</v>
      </c>
      <c r="B99" s="102" t="s">
        <v>7960</v>
      </c>
      <c r="C99" s="229" t="s">
        <v>7961</v>
      </c>
      <c r="D99" s="102" t="s">
        <v>2030</v>
      </c>
      <c r="E99" s="102" t="s">
        <v>280</v>
      </c>
      <c r="F99" s="102" t="s">
        <v>281</v>
      </c>
      <c r="G99" s="102" t="s">
        <v>280</v>
      </c>
      <c r="H99" s="102" t="s">
        <v>281</v>
      </c>
      <c r="I99" s="102" t="s">
        <v>284</v>
      </c>
      <c r="J99" s="102" t="s">
        <v>26</v>
      </c>
      <c r="L99" s="229" t="s">
        <v>7952</v>
      </c>
      <c r="M99" s="229" t="s">
        <v>7962</v>
      </c>
      <c r="O99" s="230"/>
      <c r="S99" s="230"/>
      <c r="T99" s="102" t="s">
        <v>1363</v>
      </c>
      <c r="U99" s="230" t="str">
        <f>IF(ISNUMBER(MATCH(B99, 'Sprint 9'!B:B, 0)), "มาจาก Sprint 9", "")</f>
        <v>มาจาก Sprint 9</v>
      </c>
      <c r="V99" s="230" t="str">
        <f t="array" ref="V99">IF(ISNUMBER(MATCH(B99, 'Sprint 9'!B:B, 0)), INDEX('Sprint 9'!J:J, MATCH(B99, 'Sprint 9'!B:B, 0)), "")</f>
        <v>In Progress</v>
      </c>
      <c r="X99" s="102" t="s">
        <v>1364</v>
      </c>
    </row>
    <row r="100">
      <c r="A100" s="102" t="s">
        <v>276</v>
      </c>
      <c r="B100" s="102" t="s">
        <v>7963</v>
      </c>
      <c r="C100" s="229" t="s">
        <v>7964</v>
      </c>
      <c r="D100" s="102" t="s">
        <v>347</v>
      </c>
      <c r="E100" s="102" t="s">
        <v>280</v>
      </c>
      <c r="F100" s="102" t="s">
        <v>281</v>
      </c>
      <c r="G100" s="102" t="s">
        <v>280</v>
      </c>
      <c r="H100" s="102" t="s">
        <v>281</v>
      </c>
      <c r="I100" s="102" t="s">
        <v>284</v>
      </c>
      <c r="J100" s="102" t="s">
        <v>63</v>
      </c>
      <c r="L100" s="229" t="s">
        <v>7952</v>
      </c>
      <c r="M100" s="229" t="s">
        <v>7952</v>
      </c>
      <c r="O100" s="230"/>
      <c r="S100" s="230"/>
      <c r="T100" s="102" t="s">
        <v>1363</v>
      </c>
      <c r="U100" s="230" t="str">
        <f>IF(ISNUMBER(MATCH(B100, 'Sprint 9'!B:B, 0)), "มาจาก Sprint 9", "")</f>
        <v>มาจาก Sprint 9</v>
      </c>
      <c r="V100" s="230" t="str">
        <f t="array" ref="V100">IF(ISNUMBER(MATCH(B100, 'Sprint 9'!B:B, 0)), INDEX('Sprint 9'!J:J, MATCH(B100, 'Sprint 9'!B:B, 0)), "")</f>
        <v>To Do</v>
      </c>
      <c r="X100" s="102" t="s">
        <v>1364</v>
      </c>
    </row>
    <row r="101">
      <c r="A101" s="102" t="s">
        <v>276</v>
      </c>
      <c r="B101" s="102" t="s">
        <v>7966</v>
      </c>
      <c r="C101" s="229" t="s">
        <v>7967</v>
      </c>
      <c r="D101" s="102" t="s">
        <v>2030</v>
      </c>
      <c r="E101" s="102" t="s">
        <v>280</v>
      </c>
      <c r="F101" s="102" t="s">
        <v>281</v>
      </c>
      <c r="G101" s="102" t="s">
        <v>280</v>
      </c>
      <c r="H101" s="102" t="s">
        <v>281</v>
      </c>
      <c r="I101" s="102" t="s">
        <v>284</v>
      </c>
      <c r="J101" s="102" t="s">
        <v>26</v>
      </c>
      <c r="L101" s="229" t="s">
        <v>7952</v>
      </c>
      <c r="M101" s="229" t="s">
        <v>7962</v>
      </c>
      <c r="N101" s="102"/>
      <c r="O101" s="230"/>
      <c r="P101" s="102"/>
      <c r="S101" s="102"/>
      <c r="T101" s="102" t="s">
        <v>1363</v>
      </c>
      <c r="U101" s="230" t="str">
        <f>IF(ISNUMBER(MATCH(B101, 'Sprint 9'!B:B, 0)), "มาจาก Sprint 9", "")</f>
        <v>มาจาก Sprint 9</v>
      </c>
      <c r="V101" s="230" t="str">
        <f t="array" ref="V101">IF(ISNUMBER(MATCH(B101, 'Sprint 9'!B:B, 0)), INDEX('Sprint 9'!J:J, MATCH(B101, 'Sprint 9'!B:B, 0)), "")</f>
        <v>In Review</v>
      </c>
      <c r="X101" s="102" t="s">
        <v>1364</v>
      </c>
    </row>
    <row r="102">
      <c r="A102" s="102" t="s">
        <v>276</v>
      </c>
      <c r="B102" s="102" t="s">
        <v>8406</v>
      </c>
      <c r="C102" s="229" t="s">
        <v>8407</v>
      </c>
      <c r="D102" s="102" t="s">
        <v>8408</v>
      </c>
      <c r="E102" s="102" t="s">
        <v>513</v>
      </c>
      <c r="F102" s="102" t="s">
        <v>514</v>
      </c>
      <c r="G102" s="102" t="s">
        <v>513</v>
      </c>
      <c r="H102" s="102" t="s">
        <v>514</v>
      </c>
      <c r="I102" s="102" t="s">
        <v>284</v>
      </c>
      <c r="J102" s="102" t="s">
        <v>26</v>
      </c>
      <c r="L102" s="229" t="s">
        <v>8409</v>
      </c>
      <c r="M102" s="229" t="s">
        <v>8410</v>
      </c>
      <c r="N102" s="229" t="s">
        <v>7577</v>
      </c>
      <c r="O102" s="230"/>
      <c r="P102" s="102" t="s">
        <v>593</v>
      </c>
      <c r="S102" s="102">
        <v>14400.0</v>
      </c>
      <c r="T102" s="102" t="s">
        <v>1363</v>
      </c>
      <c r="U102" s="230" t="str">
        <f>IF(ISNUMBER(MATCH(B102, 'Sprint 9'!B:B, 0)), "มาจาก Sprint 9", "")</f>
        <v>มาจาก Sprint 9</v>
      </c>
      <c r="V102" s="230" t="str">
        <f t="array" ref="V102">IF(ISNUMBER(MATCH(B102, 'Sprint 9'!B:B, 0)), INDEX('Sprint 9'!J:J, MATCH(B102, 'Sprint 9'!B:B, 0)), "")</f>
        <v>Ready to Staging</v>
      </c>
      <c r="X102" s="102" t="s">
        <v>1364</v>
      </c>
    </row>
    <row r="103">
      <c r="A103" s="102" t="s">
        <v>276</v>
      </c>
      <c r="B103" s="102" t="s">
        <v>8411</v>
      </c>
      <c r="C103" s="229" t="s">
        <v>8412</v>
      </c>
      <c r="D103" s="102" t="s">
        <v>8413</v>
      </c>
      <c r="E103" s="102" t="s">
        <v>3288</v>
      </c>
      <c r="F103" s="102" t="s">
        <v>3289</v>
      </c>
      <c r="G103" s="102" t="s">
        <v>3288</v>
      </c>
      <c r="H103" s="102" t="s">
        <v>3289</v>
      </c>
      <c r="I103" s="102" t="s">
        <v>284</v>
      </c>
      <c r="J103" s="102" t="s">
        <v>26</v>
      </c>
      <c r="L103" s="229" t="s">
        <v>8414</v>
      </c>
      <c r="M103" s="229" t="s">
        <v>8415</v>
      </c>
      <c r="O103" s="230"/>
      <c r="S103" s="230"/>
      <c r="T103" s="102" t="s">
        <v>5920</v>
      </c>
      <c r="U103" s="230" t="str">
        <f>IF(ISNUMBER(MATCH(B103, 'Sprint 9'!B:B, 0)), "มาจาก Sprint 9", "")</f>
        <v>มาจาก Sprint 9</v>
      </c>
      <c r="V103" s="230" t="str">
        <f t="array" ref="V103">IF(ISNUMBER(MATCH(B103, 'Sprint 9'!B:B, 0)), INDEX('Sprint 9'!J:J, MATCH(B103, 'Sprint 9'!B:B, 0)), "")</f>
        <v>In Progress</v>
      </c>
      <c r="X103" s="102" t="s">
        <v>5913</v>
      </c>
    </row>
    <row r="104">
      <c r="A104" s="102" t="s">
        <v>276</v>
      </c>
      <c r="B104" s="102" t="s">
        <v>7568</v>
      </c>
      <c r="C104" s="229" t="s">
        <v>7569</v>
      </c>
      <c r="D104" s="102" t="s">
        <v>7570</v>
      </c>
      <c r="E104" s="102" t="s">
        <v>3288</v>
      </c>
      <c r="F104" s="102" t="s">
        <v>3289</v>
      </c>
      <c r="G104" s="102" t="s">
        <v>3288</v>
      </c>
      <c r="H104" s="102" t="s">
        <v>3289</v>
      </c>
      <c r="I104" s="102" t="s">
        <v>284</v>
      </c>
      <c r="J104" s="102" t="s">
        <v>26</v>
      </c>
      <c r="L104" s="229" t="s">
        <v>7571</v>
      </c>
      <c r="M104" s="229" t="s">
        <v>7572</v>
      </c>
      <c r="N104" s="102"/>
      <c r="O104" s="102"/>
      <c r="P104" s="102"/>
      <c r="S104" s="102"/>
      <c r="T104" s="102" t="s">
        <v>5920</v>
      </c>
      <c r="U104" s="230" t="str">
        <f>IF(ISNUMBER(MATCH(B104, 'Sprint 9'!B:B, 0)), "มาจาก Sprint 9", "")</f>
        <v>มาจาก Sprint 9</v>
      </c>
      <c r="V104" s="230" t="str">
        <f t="array" ref="V104">IF(ISNUMBER(MATCH(B104, 'Sprint 9'!B:B, 0)), INDEX('Sprint 9'!J:J, MATCH(B104, 'Sprint 9'!B:B, 0)), "")</f>
        <v>In Progress</v>
      </c>
      <c r="X104" s="102" t="s">
        <v>5913</v>
      </c>
    </row>
    <row r="105">
      <c r="A105" s="102" t="s">
        <v>310</v>
      </c>
      <c r="B105" s="102" t="s">
        <v>7573</v>
      </c>
      <c r="C105" s="229" t="s">
        <v>7574</v>
      </c>
      <c r="D105" s="102" t="s">
        <v>7575</v>
      </c>
      <c r="E105" s="102" t="s">
        <v>6315</v>
      </c>
      <c r="F105" s="102" t="s">
        <v>6316</v>
      </c>
      <c r="G105" s="102" t="s">
        <v>282</v>
      </c>
      <c r="H105" s="102" t="s">
        <v>283</v>
      </c>
      <c r="I105" s="102" t="s">
        <v>284</v>
      </c>
      <c r="J105" s="102" t="s">
        <v>454</v>
      </c>
      <c r="L105" s="229" t="s">
        <v>7576</v>
      </c>
      <c r="M105" s="229" t="s">
        <v>8416</v>
      </c>
      <c r="N105" s="229" t="s">
        <v>7577</v>
      </c>
      <c r="O105" s="102">
        <v>5.0</v>
      </c>
      <c r="P105" s="102" t="s">
        <v>504</v>
      </c>
      <c r="S105" s="102">
        <v>57600.0</v>
      </c>
      <c r="T105" s="102" t="s">
        <v>5920</v>
      </c>
      <c r="U105" s="230" t="str">
        <f>IF(ISNUMBER(MATCH(B105, 'Sprint 9'!B:B, 0)), "มาจาก Sprint 9", "")</f>
        <v>มาจาก Sprint 9</v>
      </c>
      <c r="V105" s="230" t="str">
        <f t="array" ref="V105">IF(ISNUMBER(MATCH(B105, 'Sprint 9'!B:B, 0)), INDEX('Sprint 9'!J:J, MATCH(B105, 'Sprint 9'!B:B, 0)), "")</f>
        <v>Ready To Test</v>
      </c>
      <c r="X105" s="102" t="s">
        <v>5913</v>
      </c>
    </row>
    <row r="106">
      <c r="A106" s="102" t="s">
        <v>310</v>
      </c>
      <c r="B106" s="102" t="s">
        <v>6969</v>
      </c>
      <c r="C106" s="229" t="s">
        <v>6970</v>
      </c>
      <c r="D106" s="102" t="s">
        <v>6971</v>
      </c>
      <c r="E106" s="102" t="s">
        <v>6860</v>
      </c>
      <c r="F106" s="102" t="s">
        <v>6861</v>
      </c>
      <c r="G106" s="102" t="s">
        <v>353</v>
      </c>
      <c r="H106" s="102" t="s">
        <v>354</v>
      </c>
      <c r="I106" s="102" t="s">
        <v>284</v>
      </c>
      <c r="J106" s="102" t="s">
        <v>678</v>
      </c>
      <c r="L106" s="229" t="s">
        <v>6972</v>
      </c>
      <c r="M106" s="229" t="s">
        <v>8417</v>
      </c>
      <c r="O106" s="230"/>
      <c r="S106" s="230"/>
      <c r="T106" s="102" t="s">
        <v>6448</v>
      </c>
      <c r="U106" s="230" t="str">
        <f>IF(ISNUMBER(MATCH(B106, 'Sprint 9'!B:B, 0)), "มาจาก Sprint 9", "")</f>
        <v>มาจาก Sprint 9</v>
      </c>
      <c r="V106" s="230" t="str">
        <f t="array" ref="V106">IF(ISNUMBER(MATCH(B106, 'Sprint 9'!B:B, 0)), INDEX('Sprint 9'!J:J, MATCH(B106, 'Sprint 9'!B:B, 0)), "")</f>
        <v>In Review</v>
      </c>
      <c r="X106" s="102" t="s">
        <v>6449</v>
      </c>
    </row>
    <row r="107">
      <c r="A107" s="102" t="s">
        <v>276</v>
      </c>
      <c r="B107" s="102" t="s">
        <v>7968</v>
      </c>
      <c r="C107" s="229" t="s">
        <v>7969</v>
      </c>
      <c r="D107" s="102" t="s">
        <v>8418</v>
      </c>
      <c r="E107" s="102" t="s">
        <v>521</v>
      </c>
      <c r="F107" s="102" t="s">
        <v>522</v>
      </c>
      <c r="G107" s="102" t="s">
        <v>521</v>
      </c>
      <c r="H107" s="102" t="s">
        <v>522</v>
      </c>
      <c r="I107" s="102" t="s">
        <v>284</v>
      </c>
      <c r="J107" s="102" t="s">
        <v>63</v>
      </c>
      <c r="L107" s="229" t="s">
        <v>7971</v>
      </c>
      <c r="M107" s="229" t="s">
        <v>7971</v>
      </c>
      <c r="O107" s="230"/>
      <c r="S107" s="230"/>
      <c r="T107" s="102" t="s">
        <v>6448</v>
      </c>
      <c r="U107" s="230" t="str">
        <f>IF(ISNUMBER(MATCH(B107, 'Sprint 9'!B:B, 0)), "มาจาก Sprint 9", "")</f>
        <v>มาจาก Sprint 9</v>
      </c>
      <c r="V107" s="230" t="str">
        <f t="array" ref="V107">IF(ISNUMBER(MATCH(B107, 'Sprint 9'!B:B, 0)), INDEX('Sprint 9'!J:J, MATCH(B107, 'Sprint 9'!B:B, 0)), "")</f>
        <v>To Do</v>
      </c>
      <c r="X107" s="102" t="s">
        <v>6449</v>
      </c>
    </row>
    <row r="108">
      <c r="A108" s="102" t="s">
        <v>276</v>
      </c>
      <c r="B108" s="102" t="s">
        <v>6973</v>
      </c>
      <c r="C108" s="229" t="s">
        <v>6974</v>
      </c>
      <c r="D108" s="102" t="s">
        <v>8419</v>
      </c>
      <c r="E108" s="102" t="s">
        <v>521</v>
      </c>
      <c r="F108" s="102" t="s">
        <v>522</v>
      </c>
      <c r="G108" s="102" t="s">
        <v>521</v>
      </c>
      <c r="H108" s="102" t="s">
        <v>522</v>
      </c>
      <c r="I108" s="102" t="s">
        <v>284</v>
      </c>
      <c r="J108" s="102" t="s">
        <v>63</v>
      </c>
      <c r="L108" s="229" t="s">
        <v>6976</v>
      </c>
      <c r="M108" s="229" t="s">
        <v>8420</v>
      </c>
      <c r="O108" s="230"/>
      <c r="S108" s="230"/>
      <c r="T108" s="102" t="s">
        <v>6448</v>
      </c>
      <c r="U108" s="230" t="str">
        <f>IF(ISNUMBER(MATCH(B108, 'Sprint 9'!B:B, 0)), "มาจาก Sprint 9", "")</f>
        <v>มาจาก Sprint 9</v>
      </c>
      <c r="V108" s="230" t="str">
        <f t="array" ref="V108">IF(ISNUMBER(MATCH(B108, 'Sprint 9'!B:B, 0)), INDEX('Sprint 9'!J:J, MATCH(B108, 'Sprint 9'!B:B, 0)), "")</f>
        <v>To Do</v>
      </c>
      <c r="X108" s="102" t="s">
        <v>6449</v>
      </c>
    </row>
    <row r="109">
      <c r="A109" s="102" t="s">
        <v>276</v>
      </c>
      <c r="B109" s="102" t="s">
        <v>6977</v>
      </c>
      <c r="C109" s="229" t="s">
        <v>6978</v>
      </c>
      <c r="D109" s="102" t="s">
        <v>8419</v>
      </c>
      <c r="E109" s="102" t="s">
        <v>521</v>
      </c>
      <c r="F109" s="102" t="s">
        <v>522</v>
      </c>
      <c r="G109" s="102" t="s">
        <v>521</v>
      </c>
      <c r="H109" s="102" t="s">
        <v>522</v>
      </c>
      <c r="I109" s="102" t="s">
        <v>284</v>
      </c>
      <c r="J109" s="102" t="s">
        <v>63</v>
      </c>
      <c r="L109" s="229" t="s">
        <v>6980</v>
      </c>
      <c r="M109" s="229" t="s">
        <v>8420</v>
      </c>
      <c r="O109" s="230"/>
      <c r="S109" s="230"/>
      <c r="T109" s="102" t="s">
        <v>6448</v>
      </c>
      <c r="U109" s="230" t="str">
        <f>IF(ISNUMBER(MATCH(B109, 'Sprint 9'!B:B, 0)), "มาจาก Sprint 9", "")</f>
        <v>มาจาก Sprint 9</v>
      </c>
      <c r="V109" s="230" t="str">
        <f t="array" ref="V109">IF(ISNUMBER(MATCH(B109, 'Sprint 9'!B:B, 0)), INDEX('Sprint 9'!J:J, MATCH(B109, 'Sprint 9'!B:B, 0)), "")</f>
        <v>To Do</v>
      </c>
      <c r="X109" s="102" t="s">
        <v>6449</v>
      </c>
    </row>
    <row r="110">
      <c r="A110" s="102" t="s">
        <v>276</v>
      </c>
      <c r="B110" s="102" t="s">
        <v>6981</v>
      </c>
      <c r="C110" s="229" t="s">
        <v>6982</v>
      </c>
      <c r="D110" s="102" t="s">
        <v>2030</v>
      </c>
      <c r="E110" s="102" t="s">
        <v>521</v>
      </c>
      <c r="F110" s="102" t="s">
        <v>522</v>
      </c>
      <c r="G110" s="102" t="s">
        <v>521</v>
      </c>
      <c r="H110" s="102" t="s">
        <v>522</v>
      </c>
      <c r="I110" s="102" t="s">
        <v>284</v>
      </c>
      <c r="J110" s="102" t="s">
        <v>63</v>
      </c>
      <c r="L110" s="229" t="s">
        <v>6984</v>
      </c>
      <c r="M110" s="229" t="s">
        <v>6984</v>
      </c>
      <c r="N110" s="102"/>
      <c r="O110" s="230"/>
      <c r="S110" s="230"/>
      <c r="T110" s="102" t="s">
        <v>6448</v>
      </c>
      <c r="U110" s="230" t="str">
        <f>IF(ISNUMBER(MATCH(B110, 'Sprint 9'!B:B, 0)), "มาจาก Sprint 9", "")</f>
        <v>มาจาก Sprint 9</v>
      </c>
      <c r="V110" s="230" t="str">
        <f t="array" ref="V110">IF(ISNUMBER(MATCH(B110, 'Sprint 9'!B:B, 0)), INDEX('Sprint 9'!J:J, MATCH(B110, 'Sprint 9'!B:B, 0)), "")</f>
        <v>To Do</v>
      </c>
      <c r="X110" s="102" t="s">
        <v>6449</v>
      </c>
    </row>
    <row r="111">
      <c r="A111" s="102" t="s">
        <v>332</v>
      </c>
      <c r="B111" s="102" t="s">
        <v>8421</v>
      </c>
      <c r="C111" s="229" t="s">
        <v>8422</v>
      </c>
      <c r="D111" s="102" t="s">
        <v>8423</v>
      </c>
      <c r="E111" s="102" t="s">
        <v>353</v>
      </c>
      <c r="F111" s="102" t="s">
        <v>354</v>
      </c>
      <c r="G111" s="102" t="s">
        <v>316</v>
      </c>
      <c r="H111" s="102" t="s">
        <v>317</v>
      </c>
      <c r="I111" s="102" t="s">
        <v>284</v>
      </c>
      <c r="J111" s="102" t="s">
        <v>2318</v>
      </c>
      <c r="L111" s="229" t="s">
        <v>8424</v>
      </c>
      <c r="M111" s="229" t="s">
        <v>8425</v>
      </c>
      <c r="N111" s="229" t="s">
        <v>5567</v>
      </c>
      <c r="O111" s="102"/>
      <c r="P111" s="102"/>
      <c r="S111" s="102"/>
      <c r="T111" s="102" t="s">
        <v>4961</v>
      </c>
      <c r="U111" s="230" t="str">
        <f>IF(ISNUMBER(MATCH(B111, 'Sprint 9'!B:B, 0)), "มาจาก Sprint 9", "")</f>
        <v/>
      </c>
      <c r="V111" s="230" t="str">
        <f t="array" ref="V111">IF(ISNUMBER(MATCH(B111, 'Sprint 9'!B:B, 0)), INDEX('Sprint 9'!J:J, MATCH(B111, 'Sprint 9'!B:B, 0)), "")</f>
        <v/>
      </c>
      <c r="X111" s="102"/>
    </row>
    <row r="112">
      <c r="A112" s="102" t="s">
        <v>310</v>
      </c>
      <c r="B112" s="102" t="s">
        <v>7580</v>
      </c>
      <c r="C112" s="229" t="s">
        <v>7581</v>
      </c>
      <c r="D112" s="102" t="s">
        <v>7582</v>
      </c>
      <c r="E112" s="102" t="s">
        <v>564</v>
      </c>
      <c r="F112" s="102" t="s">
        <v>565</v>
      </c>
      <c r="G112" s="102" t="s">
        <v>353</v>
      </c>
      <c r="H112" s="102" t="s">
        <v>354</v>
      </c>
      <c r="I112" s="102" t="s">
        <v>284</v>
      </c>
      <c r="J112" s="102" t="s">
        <v>454</v>
      </c>
      <c r="L112" s="229" t="s">
        <v>7583</v>
      </c>
      <c r="M112" s="229" t="s">
        <v>8426</v>
      </c>
      <c r="N112" s="229" t="s">
        <v>6990</v>
      </c>
      <c r="O112" s="102">
        <v>2.0</v>
      </c>
      <c r="P112" s="102" t="s">
        <v>777</v>
      </c>
      <c r="S112" s="102">
        <v>10800.0</v>
      </c>
      <c r="T112" s="102" t="s">
        <v>5920</v>
      </c>
      <c r="U112" s="230" t="str">
        <f>IF(ISNUMBER(MATCH(B112, 'Sprint 9'!B:B, 0)), "มาจาก Sprint 9", "")</f>
        <v>มาจาก Sprint 9</v>
      </c>
      <c r="V112" s="230" t="str">
        <f t="array" ref="V112">IF(ISNUMBER(MATCH(B112, 'Sprint 9'!B:B, 0)), INDEX('Sprint 9'!J:J, MATCH(B112, 'Sprint 9'!B:B, 0)), "")</f>
        <v>Ready To Test</v>
      </c>
      <c r="X112" s="102" t="s">
        <v>5913</v>
      </c>
    </row>
    <row r="113">
      <c r="A113" s="102" t="s">
        <v>310</v>
      </c>
      <c r="B113" s="102" t="s">
        <v>7585</v>
      </c>
      <c r="C113" s="229" t="s">
        <v>7586</v>
      </c>
      <c r="D113" s="102" t="s">
        <v>7587</v>
      </c>
      <c r="E113" s="102" t="s">
        <v>564</v>
      </c>
      <c r="F113" s="102" t="s">
        <v>565</v>
      </c>
      <c r="G113" s="102" t="s">
        <v>353</v>
      </c>
      <c r="H113" s="102" t="s">
        <v>354</v>
      </c>
      <c r="I113" s="102" t="s">
        <v>284</v>
      </c>
      <c r="J113" s="102" t="s">
        <v>454</v>
      </c>
      <c r="L113" s="229" t="s">
        <v>7583</v>
      </c>
      <c r="M113" s="229" t="s">
        <v>8426</v>
      </c>
      <c r="N113" s="229" t="s">
        <v>6990</v>
      </c>
      <c r="O113" s="102">
        <v>3.0</v>
      </c>
      <c r="P113" s="102" t="s">
        <v>7525</v>
      </c>
      <c r="S113" s="102">
        <v>28800.0</v>
      </c>
      <c r="T113" s="102" t="s">
        <v>5920</v>
      </c>
      <c r="U113" s="230" t="str">
        <f>IF(ISNUMBER(MATCH(B113, 'Sprint 9'!B:B, 0)), "มาจาก Sprint 9", "")</f>
        <v>มาจาก Sprint 9</v>
      </c>
      <c r="V113" s="230" t="str">
        <f t="array" ref="V113">IF(ISNUMBER(MATCH(B113, 'Sprint 9'!B:B, 0)), INDEX('Sprint 9'!J:J, MATCH(B113, 'Sprint 9'!B:B, 0)), "")</f>
        <v>Ready To Test</v>
      </c>
      <c r="X113" s="102" t="s">
        <v>5913</v>
      </c>
    </row>
    <row r="114">
      <c r="A114" s="102" t="s">
        <v>310</v>
      </c>
      <c r="B114" s="102" t="s">
        <v>6986</v>
      </c>
      <c r="C114" s="229" t="s">
        <v>6987</v>
      </c>
      <c r="D114" s="102" t="s">
        <v>6988</v>
      </c>
      <c r="E114" s="102" t="s">
        <v>6860</v>
      </c>
      <c r="F114" s="102" t="s">
        <v>6861</v>
      </c>
      <c r="G114" s="102" t="s">
        <v>353</v>
      </c>
      <c r="H114" s="102" t="s">
        <v>354</v>
      </c>
      <c r="I114" s="102" t="s">
        <v>284</v>
      </c>
      <c r="J114" s="102" t="s">
        <v>678</v>
      </c>
      <c r="L114" s="229" t="s">
        <v>6989</v>
      </c>
      <c r="M114" s="229" t="s">
        <v>8427</v>
      </c>
      <c r="N114" s="229" t="s">
        <v>6990</v>
      </c>
      <c r="O114" s="102">
        <v>5.0</v>
      </c>
      <c r="P114" s="102" t="s">
        <v>6991</v>
      </c>
      <c r="S114" s="102">
        <v>57600.0</v>
      </c>
      <c r="T114" s="102" t="s">
        <v>6448</v>
      </c>
      <c r="U114" s="230" t="str">
        <f>IF(ISNUMBER(MATCH(B114, 'Sprint 9'!B:B, 0)), "มาจาก Sprint 9", "")</f>
        <v>มาจาก Sprint 9</v>
      </c>
      <c r="V114" s="230" t="str">
        <f t="array" ref="V114">IF(ISNUMBER(MATCH(B114, 'Sprint 9'!B:B, 0)), INDEX('Sprint 9'!J:J, MATCH(B114, 'Sprint 9'!B:B, 0)), "")</f>
        <v>In Review</v>
      </c>
      <c r="X114" s="102" t="s">
        <v>6449</v>
      </c>
    </row>
    <row r="115">
      <c r="A115" s="102" t="s">
        <v>310</v>
      </c>
      <c r="B115" s="102" t="s">
        <v>8428</v>
      </c>
      <c r="C115" s="229" t="s">
        <v>8429</v>
      </c>
      <c r="D115" s="102" t="s">
        <v>8430</v>
      </c>
      <c r="E115" s="102" t="s">
        <v>314</v>
      </c>
      <c r="F115" s="102" t="s">
        <v>315</v>
      </c>
      <c r="G115" s="102" t="s">
        <v>314</v>
      </c>
      <c r="H115" s="102" t="s">
        <v>315</v>
      </c>
      <c r="I115" s="102" t="s">
        <v>284</v>
      </c>
      <c r="J115" s="102" t="s">
        <v>26</v>
      </c>
      <c r="L115" s="229" t="s">
        <v>8431</v>
      </c>
      <c r="M115" s="229" t="s">
        <v>8119</v>
      </c>
      <c r="N115" s="102"/>
      <c r="O115" s="102">
        <v>2.0</v>
      </c>
      <c r="P115" s="102"/>
      <c r="S115" s="102">
        <v>10800.0</v>
      </c>
      <c r="T115" s="102" t="s">
        <v>1363</v>
      </c>
      <c r="U115" s="230" t="str">
        <f>IF(ISNUMBER(MATCH(B115, 'Sprint 9'!B:B, 0)), "มาจาก Sprint 9", "")</f>
        <v>มาจาก Sprint 9</v>
      </c>
      <c r="V115" s="230" t="str">
        <f t="array" ref="V115">IF(ISNUMBER(MATCH(B115, 'Sprint 9'!B:B, 0)), INDEX('Sprint 9'!J:J, MATCH(B115, 'Sprint 9'!B:B, 0)), "")</f>
        <v>Ready To Test</v>
      </c>
      <c r="X115" s="102" t="s">
        <v>1364</v>
      </c>
    </row>
    <row r="116">
      <c r="A116" s="102" t="s">
        <v>310</v>
      </c>
      <c r="B116" s="102" t="s">
        <v>7975</v>
      </c>
      <c r="C116" s="229" t="s">
        <v>7976</v>
      </c>
      <c r="D116" s="102" t="s">
        <v>7977</v>
      </c>
      <c r="E116" s="102" t="s">
        <v>556</v>
      </c>
      <c r="F116" s="102" t="s">
        <v>557</v>
      </c>
      <c r="G116" s="102" t="s">
        <v>353</v>
      </c>
      <c r="H116" s="102" t="s">
        <v>354</v>
      </c>
      <c r="I116" s="102" t="s">
        <v>284</v>
      </c>
      <c r="J116" s="102" t="s">
        <v>454</v>
      </c>
      <c r="L116" s="229" t="s">
        <v>7978</v>
      </c>
      <c r="M116" s="229" t="s">
        <v>8432</v>
      </c>
      <c r="N116" s="229" t="s">
        <v>7979</v>
      </c>
      <c r="O116" s="102">
        <v>3.0</v>
      </c>
      <c r="P116" s="102" t="s">
        <v>504</v>
      </c>
      <c r="S116" s="102"/>
      <c r="T116" s="102" t="s">
        <v>1363</v>
      </c>
      <c r="U116" s="230" t="str">
        <f>IF(ISNUMBER(MATCH(B116, 'Sprint 9'!B:B, 0)), "มาจาก Sprint 9", "")</f>
        <v>มาจาก Sprint 9</v>
      </c>
      <c r="V116" s="230" t="str">
        <f t="array" ref="V116">IF(ISNUMBER(MATCH(B116, 'Sprint 9'!B:B, 0)), INDEX('Sprint 9'!J:J, MATCH(B116, 'Sprint 9'!B:B, 0)), "")</f>
        <v>Ready To Test</v>
      </c>
      <c r="X116" s="102" t="s">
        <v>1364</v>
      </c>
    </row>
    <row r="117">
      <c r="A117" s="102" t="s">
        <v>310</v>
      </c>
      <c r="B117" s="102" t="s">
        <v>7980</v>
      </c>
      <c r="C117" s="229" t="s">
        <v>7981</v>
      </c>
      <c r="D117" s="102" t="s">
        <v>7982</v>
      </c>
      <c r="E117" s="102" t="s">
        <v>584</v>
      </c>
      <c r="F117" s="102" t="s">
        <v>585</v>
      </c>
      <c r="G117" s="102" t="s">
        <v>353</v>
      </c>
      <c r="H117" s="102" t="s">
        <v>354</v>
      </c>
      <c r="I117" s="102" t="s">
        <v>284</v>
      </c>
      <c r="J117" s="102" t="s">
        <v>454</v>
      </c>
      <c r="L117" s="229" t="s">
        <v>7983</v>
      </c>
      <c r="M117" s="229" t="s">
        <v>8432</v>
      </c>
      <c r="N117" s="229" t="s">
        <v>6810</v>
      </c>
      <c r="O117" s="102">
        <v>2.0</v>
      </c>
      <c r="P117" s="102" t="s">
        <v>504</v>
      </c>
      <c r="S117" s="102">
        <v>14400.0</v>
      </c>
      <c r="T117" s="102" t="s">
        <v>1363</v>
      </c>
      <c r="U117" s="230" t="str">
        <f>IF(ISNUMBER(MATCH(B117, 'Sprint 9'!B:B, 0)), "มาจาก Sprint 9", "")</f>
        <v>มาจาก Sprint 9</v>
      </c>
      <c r="V117" s="230" t="str">
        <f t="array" ref="V117">IF(ISNUMBER(MATCH(B117, 'Sprint 9'!B:B, 0)), INDEX('Sprint 9'!J:J, MATCH(B117, 'Sprint 9'!B:B, 0)), "")</f>
        <v>Ready To Test</v>
      </c>
      <c r="X117" s="102" t="s">
        <v>1364</v>
      </c>
    </row>
    <row r="118">
      <c r="A118" s="102" t="s">
        <v>310</v>
      </c>
      <c r="B118" s="102" t="s">
        <v>7984</v>
      </c>
      <c r="C118" s="229" t="s">
        <v>7985</v>
      </c>
      <c r="D118" s="102" t="s">
        <v>7986</v>
      </c>
      <c r="E118" s="102" t="s">
        <v>564</v>
      </c>
      <c r="F118" s="102" t="s">
        <v>565</v>
      </c>
      <c r="G118" s="102" t="s">
        <v>353</v>
      </c>
      <c r="H118" s="102" t="s">
        <v>354</v>
      </c>
      <c r="I118" s="102" t="s">
        <v>284</v>
      </c>
      <c r="J118" s="102" t="s">
        <v>454</v>
      </c>
      <c r="L118" s="229" t="s">
        <v>7987</v>
      </c>
      <c r="M118" s="229" t="s">
        <v>8433</v>
      </c>
      <c r="N118" s="229" t="s">
        <v>7989</v>
      </c>
      <c r="O118" s="102">
        <v>1.0</v>
      </c>
      <c r="P118" s="102" t="s">
        <v>7556</v>
      </c>
      <c r="S118" s="102">
        <v>3600.0</v>
      </c>
      <c r="T118" s="102" t="s">
        <v>1363</v>
      </c>
      <c r="U118" s="230" t="str">
        <f>IF(ISNUMBER(MATCH(B118, 'Sprint 9'!B:B, 0)), "มาจาก Sprint 9", "")</f>
        <v>มาจาก Sprint 9</v>
      </c>
      <c r="V118" s="230" t="str">
        <f t="array" ref="V118">IF(ISNUMBER(MATCH(B118, 'Sprint 9'!B:B, 0)), INDEX('Sprint 9'!J:J, MATCH(B118, 'Sprint 9'!B:B, 0)), "")</f>
        <v>Ready To Test</v>
      </c>
      <c r="X118" s="102" t="s">
        <v>1364</v>
      </c>
    </row>
    <row r="119">
      <c r="A119" s="102" t="s">
        <v>310</v>
      </c>
      <c r="B119" s="102" t="s">
        <v>6992</v>
      </c>
      <c r="C119" s="229" t="s">
        <v>6993</v>
      </c>
      <c r="D119" s="102" t="s">
        <v>6994</v>
      </c>
      <c r="E119" s="102" t="s">
        <v>314</v>
      </c>
      <c r="F119" s="102" t="s">
        <v>315</v>
      </c>
      <c r="G119" s="102" t="s">
        <v>353</v>
      </c>
      <c r="H119" s="102" t="s">
        <v>354</v>
      </c>
      <c r="I119" s="102" t="s">
        <v>284</v>
      </c>
      <c r="J119" s="102" t="s">
        <v>678</v>
      </c>
      <c r="L119" s="229" t="s">
        <v>6995</v>
      </c>
      <c r="M119" s="229" t="s">
        <v>8351</v>
      </c>
      <c r="O119" s="102">
        <v>3.0</v>
      </c>
      <c r="P119" s="102"/>
      <c r="S119" s="102">
        <v>10800.0</v>
      </c>
      <c r="T119" s="102" t="s">
        <v>6448</v>
      </c>
      <c r="U119" s="230" t="str">
        <f>IF(ISNUMBER(MATCH(B119, 'Sprint 9'!B:B, 0)), "มาจาก Sprint 9", "")</f>
        <v>มาจาก Sprint 9</v>
      </c>
      <c r="V119" s="230" t="str">
        <f t="array" ref="V119">IF(ISNUMBER(MATCH(B119, 'Sprint 9'!B:B, 0)), INDEX('Sprint 9'!J:J, MATCH(B119, 'Sprint 9'!B:B, 0)), "")</f>
        <v>Ready to Staging</v>
      </c>
      <c r="X119" s="102" t="s">
        <v>6449</v>
      </c>
    </row>
    <row r="120">
      <c r="A120" s="102" t="s">
        <v>310</v>
      </c>
      <c r="B120" s="102" t="s">
        <v>6996</v>
      </c>
      <c r="C120" s="229" t="s">
        <v>6997</v>
      </c>
      <c r="D120" s="102" t="s">
        <v>6998</v>
      </c>
      <c r="E120" s="102" t="s">
        <v>314</v>
      </c>
      <c r="F120" s="102" t="s">
        <v>315</v>
      </c>
      <c r="G120" s="102" t="s">
        <v>353</v>
      </c>
      <c r="H120" s="102" t="s">
        <v>354</v>
      </c>
      <c r="I120" s="102" t="s">
        <v>284</v>
      </c>
      <c r="J120" s="102" t="s">
        <v>678</v>
      </c>
      <c r="L120" s="229" t="s">
        <v>6995</v>
      </c>
      <c r="M120" s="229" t="s">
        <v>8351</v>
      </c>
      <c r="N120" s="102"/>
      <c r="O120" s="102">
        <v>3.0</v>
      </c>
      <c r="P120" s="102" t="s">
        <v>6991</v>
      </c>
      <c r="S120" s="102">
        <v>10800.0</v>
      </c>
      <c r="T120" s="102" t="s">
        <v>6448</v>
      </c>
      <c r="U120" s="230" t="str">
        <f>IF(ISNUMBER(MATCH(B120, 'Sprint 9'!B:B, 0)), "มาจาก Sprint 9", "")</f>
        <v>มาจาก Sprint 9</v>
      </c>
      <c r="V120" s="230" t="str">
        <f t="array" ref="V120">IF(ISNUMBER(MATCH(B120, 'Sprint 9'!B:B, 0)), INDEX('Sprint 9'!J:J, MATCH(B120, 'Sprint 9'!B:B, 0)), "")</f>
        <v>Ready to Staging</v>
      </c>
      <c r="X120" s="102" t="s">
        <v>6449</v>
      </c>
    </row>
    <row r="121">
      <c r="A121" s="102" t="s">
        <v>4410</v>
      </c>
      <c r="B121" s="102" t="s">
        <v>8434</v>
      </c>
      <c r="C121" s="229" t="s">
        <v>8435</v>
      </c>
      <c r="D121" s="102" t="s">
        <v>8436</v>
      </c>
      <c r="E121" s="102" t="s">
        <v>304</v>
      </c>
      <c r="F121" s="102" t="s">
        <v>305</v>
      </c>
      <c r="G121" s="102" t="s">
        <v>304</v>
      </c>
      <c r="H121" s="102" t="s">
        <v>305</v>
      </c>
      <c r="I121" s="102" t="s">
        <v>284</v>
      </c>
      <c r="J121" s="102" t="s">
        <v>26</v>
      </c>
      <c r="L121" s="229" t="s">
        <v>8437</v>
      </c>
      <c r="M121" s="229" t="s">
        <v>8438</v>
      </c>
      <c r="N121" s="229" t="s">
        <v>7520</v>
      </c>
      <c r="O121" s="102">
        <v>2.0</v>
      </c>
      <c r="P121" s="102" t="s">
        <v>1612</v>
      </c>
      <c r="S121" s="230"/>
      <c r="T121" s="102" t="s">
        <v>4960</v>
      </c>
      <c r="U121" s="230" t="str">
        <f>IF(ISNUMBER(MATCH(B121, 'Sprint 9'!B:B, 0)), "มาจาก Sprint 9", "")</f>
        <v>มาจาก Sprint 9</v>
      </c>
      <c r="V121" s="230" t="str">
        <f t="array" ref="V121">IF(ISNUMBER(MATCH(B121, 'Sprint 9'!B:B, 0)), INDEX('Sprint 9'!J:J, MATCH(B121, 'Sprint 9'!B:B, 0)), "")</f>
        <v>To Do</v>
      </c>
      <c r="X121" s="102" t="s">
        <v>4961</v>
      </c>
    </row>
    <row r="122">
      <c r="A122" s="102" t="s">
        <v>310</v>
      </c>
      <c r="B122" s="102" t="s">
        <v>8439</v>
      </c>
      <c r="C122" s="229" t="s">
        <v>8440</v>
      </c>
      <c r="D122" s="102" t="s">
        <v>8441</v>
      </c>
      <c r="E122" s="102" t="s">
        <v>314</v>
      </c>
      <c r="F122" s="102" t="s">
        <v>315</v>
      </c>
      <c r="G122" s="102" t="s">
        <v>314</v>
      </c>
      <c r="H122" s="102" t="s">
        <v>315</v>
      </c>
      <c r="I122" s="102" t="s">
        <v>284</v>
      </c>
      <c r="J122" s="102" t="s">
        <v>34</v>
      </c>
      <c r="L122" s="229" t="s">
        <v>8442</v>
      </c>
      <c r="M122" s="229" t="s">
        <v>8351</v>
      </c>
      <c r="O122" s="102">
        <v>1.0</v>
      </c>
      <c r="P122" s="102"/>
      <c r="S122" s="102"/>
      <c r="T122" s="102" t="s">
        <v>6448</v>
      </c>
      <c r="U122" s="230" t="str">
        <f>IF(ISNUMBER(MATCH(B122, 'Sprint 9'!B:B, 0)), "มาจาก Sprint 9", "")</f>
        <v>มาจาก Sprint 9</v>
      </c>
      <c r="V122" s="230" t="str">
        <f t="array" ref="V122">IF(ISNUMBER(MATCH(B122, 'Sprint 9'!B:B, 0)), INDEX('Sprint 9'!J:J, MATCH(B122, 'Sprint 9'!B:B, 0)), "")</f>
        <v>In Progress</v>
      </c>
      <c r="X122" s="102" t="s">
        <v>6449</v>
      </c>
    </row>
    <row r="123">
      <c r="A123" s="102" t="s">
        <v>310</v>
      </c>
      <c r="B123" s="102" t="s">
        <v>7588</v>
      </c>
      <c r="C123" s="229" t="s">
        <v>7589</v>
      </c>
      <c r="D123" s="102" t="s">
        <v>7590</v>
      </c>
      <c r="E123" s="102" t="s">
        <v>513</v>
      </c>
      <c r="F123" s="102" t="s">
        <v>514</v>
      </c>
      <c r="G123" s="102" t="s">
        <v>314</v>
      </c>
      <c r="H123" s="102" t="s">
        <v>315</v>
      </c>
      <c r="I123" s="102" t="s">
        <v>284</v>
      </c>
      <c r="J123" s="102" t="s">
        <v>454</v>
      </c>
      <c r="L123" s="229" t="s">
        <v>7591</v>
      </c>
      <c r="M123" s="229" t="s">
        <v>8426</v>
      </c>
      <c r="N123" s="102"/>
      <c r="O123" s="102">
        <v>5.0</v>
      </c>
      <c r="P123" s="102" t="s">
        <v>7593</v>
      </c>
      <c r="S123" s="102">
        <v>28800.0</v>
      </c>
      <c r="T123" s="102" t="s">
        <v>4960</v>
      </c>
      <c r="U123" s="230" t="str">
        <f>IF(ISNUMBER(MATCH(B123, 'Sprint 9'!B:B, 0)), "มาจาก Sprint 9", "")</f>
        <v>มาจาก Sprint 9</v>
      </c>
      <c r="V123" s="230" t="str">
        <f t="array" ref="V123">IF(ISNUMBER(MATCH(B123, 'Sprint 9'!B:B, 0)), INDEX('Sprint 9'!J:J, MATCH(B123, 'Sprint 9'!B:B, 0)), "")</f>
        <v>Ready To Test</v>
      </c>
      <c r="X123" s="102" t="s">
        <v>4961</v>
      </c>
    </row>
    <row r="124">
      <c r="A124" s="102" t="s">
        <v>310</v>
      </c>
      <c r="B124" s="102" t="s">
        <v>8443</v>
      </c>
      <c r="C124" s="229" t="s">
        <v>8444</v>
      </c>
      <c r="D124" s="102" t="s">
        <v>8445</v>
      </c>
      <c r="E124" s="102" t="s">
        <v>513</v>
      </c>
      <c r="F124" s="102" t="s">
        <v>514</v>
      </c>
      <c r="G124" s="102" t="s">
        <v>314</v>
      </c>
      <c r="H124" s="102" t="s">
        <v>315</v>
      </c>
      <c r="I124" s="102" t="s">
        <v>284</v>
      </c>
      <c r="J124" s="102" t="s">
        <v>26</v>
      </c>
      <c r="L124" s="229" t="s">
        <v>8446</v>
      </c>
      <c r="M124" s="229" t="s">
        <v>8119</v>
      </c>
      <c r="N124" s="229" t="s">
        <v>8447</v>
      </c>
      <c r="O124" s="102">
        <v>3.0</v>
      </c>
      <c r="P124" s="102"/>
      <c r="S124" s="102">
        <v>28800.0</v>
      </c>
      <c r="T124" s="102" t="s">
        <v>1363</v>
      </c>
      <c r="U124" s="230" t="str">
        <f>IF(ISNUMBER(MATCH(B124, 'Sprint 9'!B:B, 0)), "มาจาก Sprint 9", "")</f>
        <v>มาจาก Sprint 9</v>
      </c>
      <c r="V124" s="230" t="str">
        <f t="array" ref="V124">IF(ISNUMBER(MATCH(B124, 'Sprint 9'!B:B, 0)), INDEX('Sprint 9'!J:J, MATCH(B124, 'Sprint 9'!B:B, 0)), "")</f>
        <v>Ready to Staging</v>
      </c>
      <c r="X124" s="102" t="s">
        <v>1364</v>
      </c>
    </row>
    <row r="125">
      <c r="A125" s="102" t="s">
        <v>310</v>
      </c>
      <c r="B125" s="102" t="s">
        <v>7594</v>
      </c>
      <c r="C125" s="229" t="s">
        <v>7595</v>
      </c>
      <c r="D125" s="102" t="s">
        <v>7596</v>
      </c>
      <c r="E125" s="102" t="s">
        <v>556</v>
      </c>
      <c r="F125" s="102" t="s">
        <v>557</v>
      </c>
      <c r="G125" s="102" t="s">
        <v>353</v>
      </c>
      <c r="H125" s="102" t="s">
        <v>354</v>
      </c>
      <c r="I125" s="102" t="s">
        <v>284</v>
      </c>
      <c r="J125" s="102" t="s">
        <v>454</v>
      </c>
      <c r="L125" s="229" t="s">
        <v>7597</v>
      </c>
      <c r="M125" s="229" t="s">
        <v>8426</v>
      </c>
      <c r="N125" s="229" t="s">
        <v>6810</v>
      </c>
      <c r="O125" s="102">
        <v>3.0</v>
      </c>
      <c r="P125" s="102" t="s">
        <v>5912</v>
      </c>
      <c r="S125" s="102"/>
      <c r="T125" s="102" t="s">
        <v>5920</v>
      </c>
      <c r="U125" s="230" t="str">
        <f>IF(ISNUMBER(MATCH(B125, 'Sprint 9'!B:B, 0)), "มาจาก Sprint 9", "")</f>
        <v>มาจาก Sprint 9</v>
      </c>
      <c r="V125" s="230" t="str">
        <f t="array" ref="V125">IF(ISNUMBER(MATCH(B125, 'Sprint 9'!B:B, 0)), INDEX('Sprint 9'!J:J, MATCH(B125, 'Sprint 9'!B:B, 0)), "")</f>
        <v>Ready To Test</v>
      </c>
      <c r="X125" s="102" t="s">
        <v>5913</v>
      </c>
    </row>
    <row r="126">
      <c r="A126" s="102" t="s">
        <v>310</v>
      </c>
      <c r="B126" s="102" t="s">
        <v>8448</v>
      </c>
      <c r="C126" s="229" t="s">
        <v>8449</v>
      </c>
      <c r="D126" s="102" t="s">
        <v>8450</v>
      </c>
      <c r="E126" s="102" t="s">
        <v>556</v>
      </c>
      <c r="F126" s="102" t="s">
        <v>557</v>
      </c>
      <c r="G126" s="102" t="s">
        <v>353</v>
      </c>
      <c r="H126" s="102" t="s">
        <v>354</v>
      </c>
      <c r="I126" s="102" t="s">
        <v>284</v>
      </c>
      <c r="J126" s="102" t="s">
        <v>26</v>
      </c>
      <c r="L126" s="229" t="s">
        <v>8451</v>
      </c>
      <c r="M126" s="229" t="s">
        <v>8452</v>
      </c>
      <c r="N126" s="229" t="s">
        <v>7989</v>
      </c>
      <c r="O126" s="102">
        <v>1.0</v>
      </c>
      <c r="P126" s="102" t="s">
        <v>6872</v>
      </c>
      <c r="S126" s="102">
        <v>7200.0</v>
      </c>
      <c r="T126" s="102" t="s">
        <v>5920</v>
      </c>
      <c r="U126" s="230" t="str">
        <f>IF(ISNUMBER(MATCH(B126, 'Sprint 9'!B:B, 0)), "มาจาก Sprint 9", "")</f>
        <v>มาจาก Sprint 9</v>
      </c>
      <c r="V126" s="230" t="str">
        <f t="array" ref="V126">IF(ISNUMBER(MATCH(B126, 'Sprint 9'!B:B, 0)), INDEX('Sprint 9'!J:J, MATCH(B126, 'Sprint 9'!B:B, 0)), "")</f>
        <v>Ready To Test</v>
      </c>
      <c r="X126" s="102" t="s">
        <v>5913</v>
      </c>
    </row>
    <row r="127">
      <c r="A127" s="102" t="s">
        <v>310</v>
      </c>
      <c r="B127" s="102" t="s">
        <v>7991</v>
      </c>
      <c r="C127" s="229" t="s">
        <v>7992</v>
      </c>
      <c r="D127" s="102" t="s">
        <v>7993</v>
      </c>
      <c r="E127" s="102" t="s">
        <v>6315</v>
      </c>
      <c r="F127" s="102" t="s">
        <v>6316</v>
      </c>
      <c r="G127" s="102" t="s">
        <v>282</v>
      </c>
      <c r="H127" s="102" t="s">
        <v>283</v>
      </c>
      <c r="I127" s="102" t="s">
        <v>284</v>
      </c>
      <c r="J127" s="102" t="s">
        <v>454</v>
      </c>
      <c r="L127" s="229" t="s">
        <v>7994</v>
      </c>
      <c r="M127" s="229" t="s">
        <v>8432</v>
      </c>
      <c r="N127" s="229" t="s">
        <v>6810</v>
      </c>
      <c r="O127" s="102">
        <v>3.0</v>
      </c>
      <c r="P127" s="102" t="s">
        <v>504</v>
      </c>
      <c r="S127" s="102">
        <v>28800.0</v>
      </c>
      <c r="T127" s="102" t="s">
        <v>1363</v>
      </c>
      <c r="U127" s="230" t="str">
        <f>IF(ISNUMBER(MATCH(B127, 'Sprint 9'!B:B, 0)), "มาจาก Sprint 9", "")</f>
        <v>มาจาก Sprint 9</v>
      </c>
      <c r="V127" s="230" t="str">
        <f t="array" ref="V127">IF(ISNUMBER(MATCH(B127, 'Sprint 9'!B:B, 0)), INDEX('Sprint 9'!J:J, MATCH(B127, 'Sprint 9'!B:B, 0)), "")</f>
        <v>Ready To Test</v>
      </c>
      <c r="X127" s="102" t="s">
        <v>1364</v>
      </c>
    </row>
    <row r="128">
      <c r="A128" s="102" t="s">
        <v>310</v>
      </c>
      <c r="B128" s="102" t="s">
        <v>7995</v>
      </c>
      <c r="C128" s="229" t="s">
        <v>7996</v>
      </c>
      <c r="D128" s="102" t="s">
        <v>7997</v>
      </c>
      <c r="E128" s="102" t="s">
        <v>564</v>
      </c>
      <c r="F128" s="102" t="s">
        <v>565</v>
      </c>
      <c r="G128" s="102" t="s">
        <v>282</v>
      </c>
      <c r="H128" s="102" t="s">
        <v>283</v>
      </c>
      <c r="I128" s="102" t="s">
        <v>284</v>
      </c>
      <c r="J128" s="102" t="s">
        <v>454</v>
      </c>
      <c r="L128" s="229" t="s">
        <v>7998</v>
      </c>
      <c r="M128" s="229" t="s">
        <v>8453</v>
      </c>
      <c r="N128" s="229" t="s">
        <v>7979</v>
      </c>
      <c r="O128" s="102">
        <v>2.0</v>
      </c>
      <c r="P128" s="102" t="s">
        <v>777</v>
      </c>
      <c r="S128" s="102">
        <v>10800.0</v>
      </c>
      <c r="T128" s="102" t="s">
        <v>1363</v>
      </c>
      <c r="U128" s="230" t="str">
        <f>IF(ISNUMBER(MATCH(B128, 'Sprint 9'!B:B, 0)), "มาจาก Sprint 9", "")</f>
        <v>มาจาก Sprint 9</v>
      </c>
      <c r="V128" s="230" t="str">
        <f t="array" ref="V128">IF(ISNUMBER(MATCH(B128, 'Sprint 9'!B:B, 0)), INDEX('Sprint 9'!J:J, MATCH(B128, 'Sprint 9'!B:B, 0)), "")</f>
        <v>Ready To Test</v>
      </c>
      <c r="X128" s="102" t="s">
        <v>1364</v>
      </c>
      <c r="Y128" s="102"/>
    </row>
    <row r="129">
      <c r="A129" s="102" t="s">
        <v>332</v>
      </c>
      <c r="B129" s="102" t="s">
        <v>8454</v>
      </c>
      <c r="C129" s="229" t="s">
        <v>8455</v>
      </c>
      <c r="D129" s="102" t="s">
        <v>8456</v>
      </c>
      <c r="E129" s="102" t="s">
        <v>934</v>
      </c>
      <c r="F129" s="102" t="s">
        <v>935</v>
      </c>
      <c r="G129" s="102" t="s">
        <v>316</v>
      </c>
      <c r="H129" s="102" t="s">
        <v>317</v>
      </c>
      <c r="I129" s="102" t="s">
        <v>284</v>
      </c>
      <c r="J129" s="102" t="s">
        <v>2318</v>
      </c>
      <c r="L129" s="229" t="s">
        <v>8457</v>
      </c>
      <c r="M129" s="229" t="s">
        <v>8458</v>
      </c>
      <c r="N129" s="229" t="s">
        <v>8459</v>
      </c>
      <c r="O129" s="230"/>
      <c r="P129" s="102" t="s">
        <v>322</v>
      </c>
      <c r="Q129" s="102" t="s">
        <v>538</v>
      </c>
      <c r="S129" s="230"/>
      <c r="T129" s="102" t="s">
        <v>4960</v>
      </c>
      <c r="U129" s="230" t="str">
        <f>IF(ISNUMBER(MATCH(B129, 'Sprint 9'!B:B, 0)), "มาจาก Sprint 9", "")</f>
        <v>มาจาก Sprint 9</v>
      </c>
      <c r="V129" s="230" t="str">
        <f t="array" ref="V129">IF(ISNUMBER(MATCH(B129, 'Sprint 9'!B:B, 0)), INDEX('Sprint 9'!J:J, MATCH(B129, 'Sprint 9'!B:B, 0)), "")</f>
        <v>UNDER VALIDATION</v>
      </c>
      <c r="X129" s="102" t="s">
        <v>4961</v>
      </c>
    </row>
    <row r="130">
      <c r="A130" s="102" t="s">
        <v>310</v>
      </c>
      <c r="B130" s="102" t="s">
        <v>8000</v>
      </c>
      <c r="C130" s="229" t="s">
        <v>8001</v>
      </c>
      <c r="D130" s="102" t="s">
        <v>8002</v>
      </c>
      <c r="E130" s="102" t="s">
        <v>584</v>
      </c>
      <c r="F130" s="102" t="s">
        <v>585</v>
      </c>
      <c r="G130" s="102" t="s">
        <v>353</v>
      </c>
      <c r="H130" s="102" t="s">
        <v>354</v>
      </c>
      <c r="I130" s="102" t="s">
        <v>284</v>
      </c>
      <c r="J130" s="102" t="s">
        <v>454</v>
      </c>
      <c r="L130" s="229" t="s">
        <v>8003</v>
      </c>
      <c r="M130" s="229" t="s">
        <v>8351</v>
      </c>
      <c r="N130" s="229" t="s">
        <v>7979</v>
      </c>
      <c r="O130" s="102">
        <v>8.0</v>
      </c>
      <c r="P130" s="102" t="s">
        <v>435</v>
      </c>
      <c r="S130" s="102">
        <v>86400.0</v>
      </c>
      <c r="T130" s="102" t="s">
        <v>6448</v>
      </c>
      <c r="U130" s="230" t="str">
        <f>IF(ISNUMBER(MATCH(B130, 'Sprint 9'!B:B, 0)), "มาจาก Sprint 9", "")</f>
        <v>มาจาก Sprint 9</v>
      </c>
      <c r="V130" s="230" t="str">
        <f t="array" ref="V130">IF(ISNUMBER(MATCH(B130, 'Sprint 9'!B:B, 0)), INDEX('Sprint 9'!J:J, MATCH(B130, 'Sprint 9'!B:B, 0)), "")</f>
        <v>Ready To Test</v>
      </c>
      <c r="X130" s="102" t="s">
        <v>6449</v>
      </c>
    </row>
    <row r="131">
      <c r="A131" s="102" t="s">
        <v>310</v>
      </c>
      <c r="B131" s="102" t="s">
        <v>8460</v>
      </c>
      <c r="C131" s="229" t="s">
        <v>8461</v>
      </c>
      <c r="D131" s="102" t="s">
        <v>8462</v>
      </c>
      <c r="E131" s="102" t="s">
        <v>282</v>
      </c>
      <c r="F131" s="102" t="s">
        <v>283</v>
      </c>
      <c r="G131" s="102" t="s">
        <v>282</v>
      </c>
      <c r="H131" s="102" t="s">
        <v>283</v>
      </c>
      <c r="I131" s="102" t="s">
        <v>318</v>
      </c>
      <c r="J131" s="102" t="s">
        <v>26</v>
      </c>
      <c r="L131" s="229" t="s">
        <v>8463</v>
      </c>
      <c r="M131" s="229" t="s">
        <v>8464</v>
      </c>
      <c r="O131" s="102">
        <v>3.0</v>
      </c>
      <c r="P131" s="102" t="s">
        <v>4656</v>
      </c>
      <c r="Q131" s="102" t="s">
        <v>1808</v>
      </c>
      <c r="S131" s="102">
        <v>0.0</v>
      </c>
      <c r="T131" s="102" t="s">
        <v>4960</v>
      </c>
      <c r="U131" s="230" t="str">
        <f>IF(ISNUMBER(MATCH(B131, 'Sprint 9'!B:B, 0)), "มาจาก Sprint 9", "")</f>
        <v>มาจาก Sprint 9</v>
      </c>
      <c r="V131" s="230" t="str">
        <f t="array" ref="V131">IF(ISNUMBER(MATCH(B131, 'Sprint 9'!B:B, 0)), INDEX('Sprint 9'!J:J, MATCH(B131, 'Sprint 9'!B:B, 0)), "")</f>
        <v>Ready To Test</v>
      </c>
      <c r="W131" s="102">
        <v>21600.0</v>
      </c>
      <c r="X131" s="102" t="s">
        <v>4960</v>
      </c>
      <c r="Y131" s="102" t="s">
        <v>4961</v>
      </c>
    </row>
    <row r="132">
      <c r="A132" s="102" t="s">
        <v>310</v>
      </c>
      <c r="B132" s="102" t="s">
        <v>8465</v>
      </c>
      <c r="C132" s="229" t="s">
        <v>8466</v>
      </c>
      <c r="D132" s="102" t="s">
        <v>8467</v>
      </c>
      <c r="E132" s="102" t="s">
        <v>282</v>
      </c>
      <c r="F132" s="102" t="s">
        <v>283</v>
      </c>
      <c r="G132" s="102" t="s">
        <v>282</v>
      </c>
      <c r="H132" s="102" t="s">
        <v>283</v>
      </c>
      <c r="I132" s="102" t="s">
        <v>318</v>
      </c>
      <c r="J132" s="102" t="s">
        <v>26</v>
      </c>
      <c r="L132" s="229" t="s">
        <v>8468</v>
      </c>
      <c r="M132" s="229" t="s">
        <v>8464</v>
      </c>
      <c r="O132" s="102">
        <v>2.0</v>
      </c>
      <c r="P132" s="102" t="s">
        <v>4656</v>
      </c>
      <c r="Q132" s="102" t="s">
        <v>504</v>
      </c>
      <c r="S132" s="102">
        <v>0.0</v>
      </c>
      <c r="T132" s="102" t="s">
        <v>4960</v>
      </c>
      <c r="U132" s="230" t="str">
        <f>IF(ISNUMBER(MATCH(B132, 'Sprint 9'!B:B, 0)), "มาจาก Sprint 9", "")</f>
        <v>มาจาก Sprint 9</v>
      </c>
      <c r="V132" s="230" t="str">
        <f t="array" ref="V132">IF(ISNUMBER(MATCH(B132, 'Sprint 9'!B:B, 0)), INDEX('Sprint 9'!J:J, MATCH(B132, 'Sprint 9'!B:B, 0)), "")</f>
        <v>Ready To Test</v>
      </c>
      <c r="W132" s="102">
        <v>14400.0</v>
      </c>
      <c r="X132" s="102" t="s">
        <v>4960</v>
      </c>
      <c r="Y132" s="102" t="s">
        <v>4961</v>
      </c>
    </row>
    <row r="133">
      <c r="A133" s="102" t="s">
        <v>310</v>
      </c>
      <c r="B133" s="102" t="s">
        <v>8469</v>
      </c>
      <c r="C133" s="229" t="s">
        <v>8470</v>
      </c>
      <c r="D133" s="102" t="s">
        <v>8471</v>
      </c>
      <c r="E133" s="102" t="s">
        <v>282</v>
      </c>
      <c r="F133" s="102" t="s">
        <v>283</v>
      </c>
      <c r="G133" s="102" t="s">
        <v>353</v>
      </c>
      <c r="H133" s="102" t="s">
        <v>354</v>
      </c>
      <c r="I133" s="102" t="s">
        <v>318</v>
      </c>
      <c r="J133" s="102" t="s">
        <v>26</v>
      </c>
      <c r="L133" s="229" t="s">
        <v>8472</v>
      </c>
      <c r="M133" s="229" t="s">
        <v>8464</v>
      </c>
      <c r="O133" s="102">
        <v>3.0</v>
      </c>
      <c r="P133" s="102" t="s">
        <v>777</v>
      </c>
      <c r="Q133" s="102" t="s">
        <v>4656</v>
      </c>
      <c r="S133" s="102">
        <v>0.0</v>
      </c>
      <c r="T133" s="102" t="s">
        <v>4960</v>
      </c>
      <c r="U133" s="230" t="str">
        <f>IF(ISNUMBER(MATCH(B133, 'Sprint 9'!B:B, 0)), "มาจาก Sprint 9", "")</f>
        <v>มาจาก Sprint 9</v>
      </c>
      <c r="V133" s="230" t="str">
        <f t="array" ref="V133">IF(ISNUMBER(MATCH(B133, 'Sprint 9'!B:B, 0)), INDEX('Sprint 9'!J:J, MATCH(B133, 'Sprint 9'!B:B, 0)), "")</f>
        <v>Ready To Test</v>
      </c>
      <c r="W133" s="102">
        <v>14400.0</v>
      </c>
      <c r="X133" s="102" t="s">
        <v>4960</v>
      </c>
      <c r="Y133" s="102" t="s">
        <v>4961</v>
      </c>
    </row>
    <row r="134">
      <c r="A134" s="102" t="s">
        <v>332</v>
      </c>
      <c r="B134" s="102" t="s">
        <v>8473</v>
      </c>
      <c r="C134" s="229" t="s">
        <v>8474</v>
      </c>
      <c r="D134" s="102" t="s">
        <v>8475</v>
      </c>
      <c r="E134" s="102" t="s">
        <v>314</v>
      </c>
      <c r="F134" s="102" t="s">
        <v>315</v>
      </c>
      <c r="G134" s="102" t="s">
        <v>316</v>
      </c>
      <c r="H134" s="102" t="s">
        <v>317</v>
      </c>
      <c r="I134" s="102" t="s">
        <v>284</v>
      </c>
      <c r="J134" s="102" t="s">
        <v>2318</v>
      </c>
      <c r="L134" s="229" t="s">
        <v>8476</v>
      </c>
      <c r="M134" s="229" t="s">
        <v>8477</v>
      </c>
      <c r="N134" s="229" t="s">
        <v>7544</v>
      </c>
      <c r="O134" s="230"/>
      <c r="P134" s="102" t="s">
        <v>367</v>
      </c>
      <c r="S134" s="230"/>
      <c r="T134" s="102" t="s">
        <v>4960</v>
      </c>
      <c r="U134" s="230" t="str">
        <f>IF(ISNUMBER(MATCH(B134, 'Sprint 9'!B:B, 0)), "มาจาก Sprint 9", "")</f>
        <v>มาจาก Sprint 9</v>
      </c>
      <c r="V134" s="230" t="str">
        <f t="array" ref="V134">IF(ISNUMBER(MATCH(B134, 'Sprint 9'!B:B, 0)), INDEX('Sprint 9'!J:J, MATCH(B134, 'Sprint 9'!B:B, 0)), "")</f>
        <v>UNDER VALIDATION</v>
      </c>
      <c r="X134" s="102" t="s">
        <v>4961</v>
      </c>
    </row>
    <row r="135">
      <c r="A135" s="102" t="s">
        <v>332</v>
      </c>
      <c r="B135" s="102" t="s">
        <v>6443</v>
      </c>
      <c r="C135" s="229" t="s">
        <v>6444</v>
      </c>
      <c r="D135" s="102" t="s">
        <v>6445</v>
      </c>
      <c r="E135" s="102" t="s">
        <v>353</v>
      </c>
      <c r="F135" s="102" t="s">
        <v>354</v>
      </c>
      <c r="G135" s="102" t="s">
        <v>521</v>
      </c>
      <c r="H135" s="102" t="s">
        <v>522</v>
      </c>
      <c r="I135" s="102" t="s">
        <v>284</v>
      </c>
      <c r="J135" s="102" t="s">
        <v>1075</v>
      </c>
      <c r="L135" s="229" t="s">
        <v>6446</v>
      </c>
      <c r="M135" s="229" t="s">
        <v>8351</v>
      </c>
      <c r="O135" s="230"/>
      <c r="S135" s="230"/>
      <c r="T135" s="102" t="s">
        <v>6448</v>
      </c>
      <c r="U135" s="230" t="str">
        <f>IF(ISNUMBER(MATCH(B135, 'Sprint 9'!B:B, 0)), "มาจาก Sprint 9", "")</f>
        <v>มาจาก Sprint 9</v>
      </c>
      <c r="V135" s="230" t="str">
        <f t="array" ref="V135">IF(ISNUMBER(MATCH(B135, 'Sprint 9'!B:B, 0)), INDEX('Sprint 9'!J:J, MATCH(B135, 'Sprint 9'!B:B, 0)), "")</f>
        <v>Open</v>
      </c>
      <c r="X135" s="102" t="s">
        <v>6449</v>
      </c>
    </row>
    <row r="136">
      <c r="A136" s="102" t="s">
        <v>4410</v>
      </c>
      <c r="B136" s="102" t="s">
        <v>4955</v>
      </c>
      <c r="C136" s="229" t="s">
        <v>4956</v>
      </c>
      <c r="D136" s="102" t="s">
        <v>4957</v>
      </c>
      <c r="E136" s="102" t="s">
        <v>282</v>
      </c>
      <c r="F136" s="102" t="s">
        <v>283</v>
      </c>
      <c r="G136" s="102" t="s">
        <v>316</v>
      </c>
      <c r="H136" s="102" t="s">
        <v>317</v>
      </c>
      <c r="I136" s="102" t="s">
        <v>284</v>
      </c>
      <c r="J136" s="102" t="s">
        <v>34</v>
      </c>
      <c r="L136" s="229" t="s">
        <v>4958</v>
      </c>
      <c r="M136" s="229" t="s">
        <v>8478</v>
      </c>
      <c r="O136" s="102">
        <v>5.0</v>
      </c>
      <c r="S136" s="230"/>
      <c r="T136" s="102" t="s">
        <v>4960</v>
      </c>
      <c r="U136" s="230" t="str">
        <f>IF(ISNUMBER(MATCH(B136, 'Sprint 9'!B:B, 0)), "มาจาก Sprint 9", "")</f>
        <v>มาจาก Sprint 9</v>
      </c>
      <c r="V136" s="230" t="str">
        <f t="array" ref="V136">IF(ISNUMBER(MATCH(B136, 'Sprint 9'!B:B, 0)), INDEX('Sprint 9'!J:J, MATCH(B136, 'Sprint 9'!B:B, 0)), "")</f>
        <v>To Do</v>
      </c>
      <c r="X136" s="102" t="s">
        <v>4961</v>
      </c>
    </row>
    <row r="137">
      <c r="A137" s="102" t="s">
        <v>310</v>
      </c>
      <c r="B137" s="102" t="s">
        <v>7601</v>
      </c>
      <c r="C137" s="229" t="s">
        <v>7602</v>
      </c>
      <c r="D137" s="102" t="s">
        <v>7603</v>
      </c>
      <c r="E137" s="102" t="s">
        <v>564</v>
      </c>
      <c r="F137" s="102" t="s">
        <v>565</v>
      </c>
      <c r="G137" s="102" t="s">
        <v>282</v>
      </c>
      <c r="H137" s="102" t="s">
        <v>283</v>
      </c>
      <c r="I137" s="102" t="s">
        <v>515</v>
      </c>
      <c r="J137" s="102" t="s">
        <v>454</v>
      </c>
      <c r="L137" s="229" t="s">
        <v>7604</v>
      </c>
      <c r="M137" s="229" t="s">
        <v>8426</v>
      </c>
      <c r="N137" s="229" t="s">
        <v>7606</v>
      </c>
      <c r="O137" s="102">
        <v>2.0</v>
      </c>
      <c r="S137" s="102">
        <v>0.0</v>
      </c>
      <c r="T137" s="102" t="s">
        <v>5920</v>
      </c>
      <c r="U137" s="230" t="str">
        <f>IF(ISNUMBER(MATCH(B137, 'Sprint 9'!B:B, 0)), "มาจาก Sprint 9", "")</f>
        <v>มาจาก Sprint 9</v>
      </c>
      <c r="V137" s="230" t="str">
        <f t="array" ref="V137">IF(ISNUMBER(MATCH(B137, 'Sprint 9'!B:B, 0)), INDEX('Sprint 9'!J:J, MATCH(B137, 'Sprint 9'!B:B, 0)), "")</f>
        <v>Ready To Test</v>
      </c>
      <c r="W137" s="102">
        <v>14400.0</v>
      </c>
      <c r="X137" s="102" t="s">
        <v>5920</v>
      </c>
      <c r="Y137" s="102" t="s">
        <v>5913</v>
      </c>
    </row>
    <row r="138">
      <c r="A138" s="102" t="s">
        <v>332</v>
      </c>
      <c r="B138" s="102" t="s">
        <v>8479</v>
      </c>
      <c r="C138" s="229" t="s">
        <v>8480</v>
      </c>
      <c r="D138" s="102" t="s">
        <v>8481</v>
      </c>
      <c r="E138" s="102" t="s">
        <v>353</v>
      </c>
      <c r="F138" s="102" t="s">
        <v>354</v>
      </c>
      <c r="G138" s="102" t="s">
        <v>353</v>
      </c>
      <c r="H138" s="102" t="s">
        <v>354</v>
      </c>
      <c r="I138" s="102" t="s">
        <v>284</v>
      </c>
      <c r="J138" s="102" t="s">
        <v>336</v>
      </c>
      <c r="L138" s="229" t="s">
        <v>8482</v>
      </c>
      <c r="M138" s="229" t="s">
        <v>8483</v>
      </c>
      <c r="O138" s="230"/>
      <c r="S138" s="230"/>
      <c r="T138" s="102" t="s">
        <v>4960</v>
      </c>
      <c r="U138" s="230" t="str">
        <f>IF(ISNUMBER(MATCH(B138, 'Sprint 9'!B:B, 0)), "มาจาก Sprint 9", "")</f>
        <v>มาจาก Sprint 9</v>
      </c>
      <c r="V138" s="230" t="str">
        <f t="array" ref="V138">IF(ISNUMBER(MATCH(B138, 'Sprint 9'!B:B, 0)), INDEX('Sprint 9'!J:J, MATCH(B138, 'Sprint 9'!B:B, 0)), "")</f>
        <v>Resolved</v>
      </c>
      <c r="X138" s="102" t="s">
        <v>4960</v>
      </c>
      <c r="Y138" s="102" t="s">
        <v>4961</v>
      </c>
    </row>
    <row r="139">
      <c r="A139" s="102" t="s">
        <v>310</v>
      </c>
      <c r="B139" s="102" t="s">
        <v>8484</v>
      </c>
      <c r="C139" s="229" t="s">
        <v>8485</v>
      </c>
      <c r="D139" s="102" t="s">
        <v>8486</v>
      </c>
      <c r="E139" s="102" t="s">
        <v>282</v>
      </c>
      <c r="F139" s="102" t="s">
        <v>283</v>
      </c>
      <c r="G139" s="102" t="s">
        <v>316</v>
      </c>
      <c r="H139" s="102" t="s">
        <v>317</v>
      </c>
      <c r="I139" s="102" t="s">
        <v>284</v>
      </c>
      <c r="J139" s="102" t="s">
        <v>26</v>
      </c>
      <c r="L139" s="229" t="s">
        <v>8487</v>
      </c>
      <c r="M139" s="229" t="s">
        <v>8488</v>
      </c>
      <c r="O139" s="102">
        <v>1.0</v>
      </c>
      <c r="S139" s="102">
        <v>1800.0</v>
      </c>
      <c r="T139" s="102" t="s">
        <v>4960</v>
      </c>
      <c r="U139" s="230" t="str">
        <f>IF(ISNUMBER(MATCH(B139, 'Sprint 9'!B:B, 0)), "มาจาก Sprint 9", "")</f>
        <v>มาจาก Sprint 9</v>
      </c>
      <c r="V139" s="230" t="str">
        <f t="array" ref="V139">IF(ISNUMBER(MATCH(B139, 'Sprint 9'!B:B, 0)), INDEX('Sprint 9'!J:J, MATCH(B139, 'Sprint 9'!B:B, 0)), "")</f>
        <v>In Progress</v>
      </c>
      <c r="X139" s="102" t="s">
        <v>4961</v>
      </c>
    </row>
    <row r="140">
      <c r="A140" s="102" t="s">
        <v>310</v>
      </c>
      <c r="B140" s="102" t="s">
        <v>5914</v>
      </c>
      <c r="C140" s="229" t="s">
        <v>5915</v>
      </c>
      <c r="D140" s="102" t="s">
        <v>5916</v>
      </c>
      <c r="E140" s="102" t="s">
        <v>584</v>
      </c>
      <c r="F140" s="102" t="s">
        <v>585</v>
      </c>
      <c r="G140" s="102" t="s">
        <v>353</v>
      </c>
      <c r="H140" s="102" t="s">
        <v>354</v>
      </c>
      <c r="I140" s="102" t="s">
        <v>284</v>
      </c>
      <c r="J140" s="102" t="s">
        <v>454</v>
      </c>
      <c r="L140" s="229" t="s">
        <v>5917</v>
      </c>
      <c r="M140" s="229" t="s">
        <v>8426</v>
      </c>
      <c r="N140" s="229" t="s">
        <v>5918</v>
      </c>
      <c r="O140" s="102">
        <v>3.0</v>
      </c>
      <c r="S140" s="102">
        <v>0.0</v>
      </c>
      <c r="T140" s="102" t="s">
        <v>5920</v>
      </c>
      <c r="U140" s="230" t="str">
        <f>IF(ISNUMBER(MATCH(B140, 'Sprint 9'!B:B, 0)), "มาจาก Sprint 9", "")</f>
        <v>มาจาก Sprint 9</v>
      </c>
      <c r="V140" s="230" t="str">
        <f t="array" ref="V140">IF(ISNUMBER(MATCH(B140, 'Sprint 9'!B:B, 0)), INDEX('Sprint 9'!J:J, MATCH(B140, 'Sprint 9'!B:B, 0)), "")</f>
        <v>Ready To Test</v>
      </c>
      <c r="W140" s="102">
        <v>21600.0</v>
      </c>
      <c r="X140" s="102" t="s">
        <v>5920</v>
      </c>
      <c r="Y140" s="102" t="s">
        <v>5913</v>
      </c>
    </row>
    <row r="141">
      <c r="A141" s="102" t="s">
        <v>4410</v>
      </c>
      <c r="B141" s="102" t="s">
        <v>8489</v>
      </c>
      <c r="C141" s="229" t="s">
        <v>8490</v>
      </c>
      <c r="D141" s="102" t="s">
        <v>8491</v>
      </c>
      <c r="E141" s="102" t="s">
        <v>353</v>
      </c>
      <c r="F141" s="102" t="s">
        <v>354</v>
      </c>
      <c r="G141" s="102" t="s">
        <v>353</v>
      </c>
      <c r="H141" s="102" t="s">
        <v>354</v>
      </c>
      <c r="I141" s="102" t="s">
        <v>284</v>
      </c>
      <c r="J141" s="102" t="s">
        <v>26</v>
      </c>
      <c r="L141" s="229" t="s">
        <v>8492</v>
      </c>
      <c r="M141" s="229" t="s">
        <v>8483</v>
      </c>
      <c r="O141" s="102">
        <v>3.0</v>
      </c>
      <c r="S141" s="230"/>
      <c r="T141" s="102" t="s">
        <v>4960</v>
      </c>
      <c r="U141" s="230" t="str">
        <f>IF(ISNUMBER(MATCH(B141, 'Sprint 9'!B:B, 0)), "มาจาก Sprint 9", "")</f>
        <v>มาจาก Sprint 9</v>
      </c>
      <c r="V141" s="230" t="str">
        <f t="array" ref="V141">IF(ISNUMBER(MATCH(B141, 'Sprint 9'!B:B, 0)), INDEX('Sprint 9'!J:J, MATCH(B141, 'Sprint 9'!B:B, 0)), "")</f>
        <v>To Do</v>
      </c>
      <c r="X141" s="102" t="s">
        <v>4960</v>
      </c>
      <c r="Y141" s="102" t="s">
        <v>4961</v>
      </c>
    </row>
    <row r="142">
      <c r="A142" s="102" t="s">
        <v>332</v>
      </c>
      <c r="B142" s="102" t="s">
        <v>8493</v>
      </c>
      <c r="C142" s="229" t="s">
        <v>8494</v>
      </c>
      <c r="D142" s="102" t="s">
        <v>8495</v>
      </c>
      <c r="E142" s="102" t="s">
        <v>556</v>
      </c>
      <c r="F142" s="102" t="s">
        <v>557</v>
      </c>
      <c r="G142" s="102" t="s">
        <v>521</v>
      </c>
      <c r="H142" s="102" t="s">
        <v>522</v>
      </c>
      <c r="I142" s="102" t="s">
        <v>284</v>
      </c>
      <c r="J142" s="102" t="s">
        <v>336</v>
      </c>
      <c r="L142" s="229" t="s">
        <v>8496</v>
      </c>
      <c r="M142" s="229" t="s">
        <v>8497</v>
      </c>
      <c r="O142" s="230"/>
      <c r="S142" s="230"/>
      <c r="T142" s="102" t="s">
        <v>5920</v>
      </c>
      <c r="U142" s="230" t="str">
        <f>IF(ISNUMBER(MATCH(B142, 'Sprint 9'!B:B, 0)), "มาจาก Sprint 9", "")</f>
        <v>มาจาก Sprint 9</v>
      </c>
      <c r="V142" s="230" t="str">
        <f t="array" ref="V142">IF(ISNUMBER(MATCH(B142, 'Sprint 9'!B:B, 0)), INDEX('Sprint 9'!J:J, MATCH(B142, 'Sprint 9'!B:B, 0)), "")</f>
        <v>UNDER VALIDATION</v>
      </c>
      <c r="X142" s="102" t="s">
        <v>5920</v>
      </c>
      <c r="Y142" s="102" t="s">
        <v>5913</v>
      </c>
    </row>
    <row r="143">
      <c r="A143" s="102" t="s">
        <v>310</v>
      </c>
      <c r="B143" s="102" t="s">
        <v>7608</v>
      </c>
      <c r="C143" s="229" t="s">
        <v>7609</v>
      </c>
      <c r="D143" s="102" t="s">
        <v>7610</v>
      </c>
      <c r="E143" s="102" t="s">
        <v>564</v>
      </c>
      <c r="F143" s="102" t="s">
        <v>565</v>
      </c>
      <c r="G143" s="102" t="s">
        <v>282</v>
      </c>
      <c r="H143" s="102" t="s">
        <v>283</v>
      </c>
      <c r="I143" s="102" t="s">
        <v>284</v>
      </c>
      <c r="J143" s="102" t="s">
        <v>454</v>
      </c>
      <c r="L143" s="229" t="s">
        <v>7611</v>
      </c>
      <c r="M143" s="229" t="s">
        <v>8426</v>
      </c>
      <c r="N143" s="229" t="s">
        <v>5918</v>
      </c>
      <c r="O143" s="102">
        <v>1.0</v>
      </c>
      <c r="P143" s="102" t="s">
        <v>504</v>
      </c>
      <c r="S143" s="102">
        <v>0.0</v>
      </c>
      <c r="T143" s="102" t="s">
        <v>5920</v>
      </c>
      <c r="U143" s="230" t="str">
        <f>IF(ISNUMBER(MATCH(B143, 'Sprint 9'!B:B, 0)), "มาจาก Sprint 9", "")</f>
        <v>มาจาก Sprint 9</v>
      </c>
      <c r="V143" s="230" t="str">
        <f t="array" ref="V143">IF(ISNUMBER(MATCH(B143, 'Sprint 9'!B:B, 0)), INDEX('Sprint 9'!J:J, MATCH(B143, 'Sprint 9'!B:B, 0)), "")</f>
        <v>Ready To Test</v>
      </c>
      <c r="W143" s="102">
        <v>3600.0</v>
      </c>
      <c r="X143" s="102" t="s">
        <v>5920</v>
      </c>
      <c r="Y143" s="102" t="s">
        <v>5913</v>
      </c>
    </row>
    <row r="144">
      <c r="A144" s="102" t="s">
        <v>1465</v>
      </c>
      <c r="B144" s="102" t="s">
        <v>8498</v>
      </c>
      <c r="C144" s="229" t="s">
        <v>8499</v>
      </c>
      <c r="D144" s="102" t="s">
        <v>8500</v>
      </c>
      <c r="G144" s="102" t="s">
        <v>521</v>
      </c>
      <c r="H144" s="102" t="s">
        <v>522</v>
      </c>
      <c r="I144" s="102" t="s">
        <v>284</v>
      </c>
      <c r="J144" s="102" t="s">
        <v>63</v>
      </c>
      <c r="L144" s="229" t="s">
        <v>8501</v>
      </c>
      <c r="M144" s="229" t="s">
        <v>8426</v>
      </c>
      <c r="O144" s="230"/>
      <c r="S144" s="230"/>
      <c r="T144" s="102" t="s">
        <v>5920</v>
      </c>
      <c r="U144" s="230" t="str">
        <f>IF(ISNUMBER(MATCH(B144, 'Sprint 9'!B:B, 0)), "มาจาก Sprint 9", "")</f>
        <v>มาจาก Sprint 9</v>
      </c>
      <c r="V144" s="230" t="str">
        <f t="array" ref="V144">IF(ISNUMBER(MATCH(B144, 'Sprint 9'!B:B, 0)), INDEX('Sprint 9'!J:J, MATCH(B144, 'Sprint 9'!B:B, 0)), "")</f>
        <v>To Do</v>
      </c>
      <c r="X144" s="102" t="s">
        <v>5920</v>
      </c>
      <c r="Y144" s="102" t="s">
        <v>5913</v>
      </c>
    </row>
    <row r="145">
      <c r="A145" s="102" t="s">
        <v>630</v>
      </c>
      <c r="B145" s="102" t="s">
        <v>1357</v>
      </c>
      <c r="C145" s="229" t="s">
        <v>1358</v>
      </c>
      <c r="D145" s="102" t="s">
        <v>1359</v>
      </c>
      <c r="G145" s="102" t="s">
        <v>314</v>
      </c>
      <c r="H145" s="102" t="s">
        <v>315</v>
      </c>
      <c r="I145" s="102" t="s">
        <v>284</v>
      </c>
      <c r="J145" s="102" t="s">
        <v>63</v>
      </c>
      <c r="L145" s="229" t="s">
        <v>1360</v>
      </c>
      <c r="M145" s="229" t="s">
        <v>8433</v>
      </c>
      <c r="O145" s="230"/>
      <c r="S145" s="230"/>
      <c r="T145" s="102" t="s">
        <v>1363</v>
      </c>
      <c r="U145" s="230" t="str">
        <f>IF(ISNUMBER(MATCH(B145, 'Sprint 9'!B:B, 0)), "มาจาก Sprint 9", "")</f>
        <v>มาจาก Sprint 9</v>
      </c>
      <c r="V145" s="230" t="str">
        <f t="array" ref="V145">IF(ISNUMBER(MATCH(B145, 'Sprint 9'!B:B, 0)), INDEX('Sprint 9'!J:J, MATCH(B145, 'Sprint 9'!B:B, 0)), "")</f>
        <v>To Do</v>
      </c>
      <c r="X145" s="102" t="s">
        <v>1363</v>
      </c>
      <c r="Y145" s="102" t="s">
        <v>1364</v>
      </c>
    </row>
    <row r="146">
      <c r="A146" s="102" t="s">
        <v>276</v>
      </c>
      <c r="B146" s="102" t="s">
        <v>8502</v>
      </c>
      <c r="C146" s="229" t="s">
        <v>8503</v>
      </c>
      <c r="D146" s="102" t="s">
        <v>4345</v>
      </c>
      <c r="E146" s="102" t="s">
        <v>3288</v>
      </c>
      <c r="F146" s="102" t="s">
        <v>3289</v>
      </c>
      <c r="G146" s="102" t="s">
        <v>391</v>
      </c>
      <c r="H146" s="102" t="s">
        <v>392</v>
      </c>
      <c r="I146" s="102" t="s">
        <v>284</v>
      </c>
      <c r="J146" s="102" t="s">
        <v>26</v>
      </c>
      <c r="L146" s="229" t="s">
        <v>8504</v>
      </c>
      <c r="M146" s="229" t="s">
        <v>8505</v>
      </c>
      <c r="O146" s="230"/>
      <c r="S146" s="230"/>
      <c r="T146" s="102" t="s">
        <v>5920</v>
      </c>
      <c r="U146" s="230" t="str">
        <f>IF(ISNUMBER(MATCH(B146, 'Sprint 9'!B:B, 0)), "มาจาก Sprint 9", "")</f>
        <v>มาจาก Sprint 9</v>
      </c>
      <c r="V146" s="230" t="str">
        <f t="array" ref="V146">IF(ISNUMBER(MATCH(B146, 'Sprint 9'!B:B, 0)), INDEX('Sprint 9'!J:J, MATCH(B146, 'Sprint 9'!B:B, 0)), "")</f>
        <v>Done</v>
      </c>
      <c r="X146" s="102" t="s">
        <v>5920</v>
      </c>
      <c r="Y146" s="102" t="s">
        <v>5913</v>
      </c>
    </row>
    <row r="147">
      <c r="A147" s="102" t="s">
        <v>276</v>
      </c>
      <c r="B147" s="102" t="s">
        <v>8506</v>
      </c>
      <c r="C147" s="229" t="s">
        <v>8507</v>
      </c>
      <c r="D147" s="102" t="s">
        <v>8508</v>
      </c>
      <c r="E147" s="102" t="s">
        <v>3288</v>
      </c>
      <c r="F147" s="102" t="s">
        <v>3289</v>
      </c>
      <c r="G147" s="102" t="s">
        <v>391</v>
      </c>
      <c r="H147" s="102" t="s">
        <v>392</v>
      </c>
      <c r="I147" s="102" t="s">
        <v>284</v>
      </c>
      <c r="J147" s="102" t="s">
        <v>26</v>
      </c>
      <c r="L147" s="229" t="s">
        <v>8504</v>
      </c>
      <c r="M147" s="229" t="s">
        <v>8509</v>
      </c>
      <c r="O147" s="230"/>
      <c r="S147" s="230"/>
      <c r="T147" s="102" t="s">
        <v>5920</v>
      </c>
      <c r="U147" s="230" t="str">
        <f>IF(ISNUMBER(MATCH(B147, 'Sprint 9'!B:B, 0)), "มาจาก Sprint 9", "")</f>
        <v>มาจาก Sprint 9</v>
      </c>
      <c r="V147" s="230" t="str">
        <f t="array" ref="V147">IF(ISNUMBER(MATCH(B147, 'Sprint 9'!B:B, 0)), INDEX('Sprint 9'!J:J, MATCH(B147, 'Sprint 9'!B:B, 0)), "")</f>
        <v>Done</v>
      </c>
      <c r="X147" s="102" t="s">
        <v>5920</v>
      </c>
      <c r="Y147" s="102" t="s">
        <v>5913</v>
      </c>
    </row>
    <row r="148">
      <c r="A148" s="102" t="s">
        <v>276</v>
      </c>
      <c r="B148" s="102" t="s">
        <v>8510</v>
      </c>
      <c r="C148" s="229" t="s">
        <v>8511</v>
      </c>
      <c r="D148" s="102" t="s">
        <v>4345</v>
      </c>
      <c r="E148" s="102" t="s">
        <v>3288</v>
      </c>
      <c r="F148" s="102" t="s">
        <v>3289</v>
      </c>
      <c r="G148" s="102" t="s">
        <v>391</v>
      </c>
      <c r="H148" s="102" t="s">
        <v>392</v>
      </c>
      <c r="I148" s="102" t="s">
        <v>284</v>
      </c>
      <c r="J148" s="102" t="s">
        <v>26</v>
      </c>
      <c r="L148" s="229" t="s">
        <v>8512</v>
      </c>
      <c r="M148" s="229" t="s">
        <v>8513</v>
      </c>
      <c r="O148" s="230"/>
      <c r="S148" s="230"/>
      <c r="T148" s="102" t="s">
        <v>5920</v>
      </c>
      <c r="U148" s="230" t="str">
        <f>IF(ISNUMBER(MATCH(B148, 'Sprint 9'!B:B, 0)), "มาจาก Sprint 9", "")</f>
        <v>มาจาก Sprint 9</v>
      </c>
      <c r="V148" s="230" t="str">
        <f t="array" ref="V148">IF(ISNUMBER(MATCH(B148, 'Sprint 9'!B:B, 0)), INDEX('Sprint 9'!J:J, MATCH(B148, 'Sprint 9'!B:B, 0)), "")</f>
        <v>Done</v>
      </c>
      <c r="X148" s="102" t="s">
        <v>5920</v>
      </c>
      <c r="Y148" s="102" t="s">
        <v>5913</v>
      </c>
    </row>
    <row r="149">
      <c r="A149" s="102" t="s">
        <v>276</v>
      </c>
      <c r="B149" s="102" t="s">
        <v>8514</v>
      </c>
      <c r="C149" s="229" t="s">
        <v>8515</v>
      </c>
      <c r="D149" s="102" t="s">
        <v>4345</v>
      </c>
      <c r="E149" s="102" t="s">
        <v>3288</v>
      </c>
      <c r="F149" s="102" t="s">
        <v>3289</v>
      </c>
      <c r="G149" s="102" t="s">
        <v>391</v>
      </c>
      <c r="H149" s="102" t="s">
        <v>392</v>
      </c>
      <c r="I149" s="102" t="s">
        <v>284</v>
      </c>
      <c r="J149" s="102" t="s">
        <v>26</v>
      </c>
      <c r="L149" s="229" t="s">
        <v>8516</v>
      </c>
      <c r="M149" s="229" t="s">
        <v>8517</v>
      </c>
      <c r="O149" s="230"/>
      <c r="S149" s="230"/>
      <c r="T149" s="102" t="s">
        <v>5944</v>
      </c>
      <c r="U149" s="230" t="str">
        <f>IF(ISNUMBER(MATCH(B149, 'Sprint 9'!B:B, 0)), "มาจาก Sprint 9", "")</f>
        <v>มาจาก Sprint 9</v>
      </c>
      <c r="V149" s="230" t="str">
        <f t="array" ref="V149">IF(ISNUMBER(MATCH(B149, 'Sprint 9'!B:B, 0)), INDEX('Sprint 9'!J:J, MATCH(B149, 'Sprint 9'!B:B, 0)), "")</f>
        <v>Done</v>
      </c>
      <c r="X149" s="102" t="s">
        <v>5920</v>
      </c>
      <c r="Y149" s="102" t="s">
        <v>5920</v>
      </c>
      <c r="Z149" s="102" t="s">
        <v>5913</v>
      </c>
    </row>
    <row r="150">
      <c r="A150" s="102" t="s">
        <v>276</v>
      </c>
      <c r="B150" s="102" t="s">
        <v>8518</v>
      </c>
      <c r="C150" s="229" t="s">
        <v>8519</v>
      </c>
      <c r="D150" s="102" t="s">
        <v>4345</v>
      </c>
      <c r="E150" s="102" t="s">
        <v>3288</v>
      </c>
      <c r="F150" s="102" t="s">
        <v>3289</v>
      </c>
      <c r="G150" s="102" t="s">
        <v>391</v>
      </c>
      <c r="H150" s="102" t="s">
        <v>392</v>
      </c>
      <c r="I150" s="102" t="s">
        <v>284</v>
      </c>
      <c r="J150" s="102" t="s">
        <v>26</v>
      </c>
      <c r="L150" s="229" t="s">
        <v>8520</v>
      </c>
      <c r="M150" s="229" t="s">
        <v>8521</v>
      </c>
      <c r="O150" s="230"/>
      <c r="S150" s="230"/>
      <c r="T150" s="102" t="s">
        <v>5944</v>
      </c>
      <c r="U150" s="230" t="str">
        <f>IF(ISNUMBER(MATCH(B150, 'Sprint 9'!B:B, 0)), "มาจาก Sprint 9", "")</f>
        <v>มาจาก Sprint 9</v>
      </c>
      <c r="V150" s="230" t="str">
        <f t="array" ref="V150">IF(ISNUMBER(MATCH(B150, 'Sprint 9'!B:B, 0)), INDEX('Sprint 9'!J:J, MATCH(B150, 'Sprint 9'!B:B, 0)), "")</f>
        <v>Done</v>
      </c>
      <c r="X150" s="102" t="s">
        <v>5920</v>
      </c>
      <c r="Y150" s="102" t="s">
        <v>5920</v>
      </c>
      <c r="Z150" s="102" t="s">
        <v>5913</v>
      </c>
    </row>
    <row r="151">
      <c r="A151" s="102" t="s">
        <v>276</v>
      </c>
      <c r="B151" s="102" t="s">
        <v>8522</v>
      </c>
      <c r="C151" s="229" t="s">
        <v>8523</v>
      </c>
      <c r="D151" s="102" t="s">
        <v>4345</v>
      </c>
      <c r="E151" s="102" t="s">
        <v>3288</v>
      </c>
      <c r="F151" s="102" t="s">
        <v>3289</v>
      </c>
      <c r="G151" s="102" t="s">
        <v>391</v>
      </c>
      <c r="H151" s="102" t="s">
        <v>392</v>
      </c>
      <c r="I151" s="102" t="s">
        <v>284</v>
      </c>
      <c r="J151" s="102" t="s">
        <v>26</v>
      </c>
      <c r="L151" s="229" t="s">
        <v>8520</v>
      </c>
      <c r="M151" s="229" t="s">
        <v>8524</v>
      </c>
      <c r="O151" s="230"/>
      <c r="S151" s="230"/>
      <c r="T151" s="102" t="s">
        <v>5944</v>
      </c>
      <c r="U151" s="230" t="str">
        <f>IF(ISNUMBER(MATCH(B151, 'Sprint 9'!B:B, 0)), "มาจาก Sprint 9", "")</f>
        <v>มาจาก Sprint 9</v>
      </c>
      <c r="V151" s="230" t="str">
        <f t="array" ref="V151">IF(ISNUMBER(MATCH(B151, 'Sprint 9'!B:B, 0)), INDEX('Sprint 9'!J:J, MATCH(B151, 'Sprint 9'!B:B, 0)), "")</f>
        <v>Done</v>
      </c>
      <c r="X151" s="102" t="s">
        <v>5920</v>
      </c>
      <c r="Y151" s="102" t="s">
        <v>5920</v>
      </c>
      <c r="Z151" s="102" t="s">
        <v>5913</v>
      </c>
    </row>
    <row r="152">
      <c r="A152" s="102" t="s">
        <v>276</v>
      </c>
      <c r="B152" s="102" t="s">
        <v>8525</v>
      </c>
      <c r="C152" s="229" t="s">
        <v>8526</v>
      </c>
      <c r="D152" s="102" t="s">
        <v>4345</v>
      </c>
      <c r="E152" s="102" t="s">
        <v>3288</v>
      </c>
      <c r="F152" s="102" t="s">
        <v>3289</v>
      </c>
      <c r="G152" s="102" t="s">
        <v>391</v>
      </c>
      <c r="H152" s="102" t="s">
        <v>392</v>
      </c>
      <c r="I152" s="102" t="s">
        <v>284</v>
      </c>
      <c r="J152" s="102" t="s">
        <v>26</v>
      </c>
      <c r="L152" s="229" t="s">
        <v>8520</v>
      </c>
      <c r="M152" s="229" t="s">
        <v>8527</v>
      </c>
      <c r="O152" s="230"/>
      <c r="S152" s="230"/>
      <c r="T152" s="102" t="s">
        <v>5944</v>
      </c>
      <c r="U152" s="230" t="str">
        <f>IF(ISNUMBER(MATCH(B152, 'Sprint 9'!B:B, 0)), "มาจาก Sprint 9", "")</f>
        <v>มาจาก Sprint 9</v>
      </c>
      <c r="V152" s="230" t="str">
        <f t="array" ref="V152">IF(ISNUMBER(MATCH(B152, 'Sprint 9'!B:B, 0)), INDEX('Sprint 9'!J:J, MATCH(B152, 'Sprint 9'!B:B, 0)), "")</f>
        <v>Done</v>
      </c>
      <c r="X152" s="102" t="s">
        <v>5920</v>
      </c>
      <c r="Y152" s="102" t="s">
        <v>5920</v>
      </c>
      <c r="Z152" s="102" t="s">
        <v>5913</v>
      </c>
    </row>
    <row r="153">
      <c r="A153" s="102" t="s">
        <v>276</v>
      </c>
      <c r="B153" s="102" t="s">
        <v>8528</v>
      </c>
      <c r="C153" s="229" t="s">
        <v>8529</v>
      </c>
      <c r="D153" s="102" t="s">
        <v>4345</v>
      </c>
      <c r="E153" s="102" t="s">
        <v>3288</v>
      </c>
      <c r="F153" s="102" t="s">
        <v>3289</v>
      </c>
      <c r="G153" s="102" t="s">
        <v>391</v>
      </c>
      <c r="H153" s="102" t="s">
        <v>392</v>
      </c>
      <c r="I153" s="102" t="s">
        <v>284</v>
      </c>
      <c r="J153" s="102" t="s">
        <v>26</v>
      </c>
      <c r="L153" s="229" t="s">
        <v>8520</v>
      </c>
      <c r="M153" s="229" t="s">
        <v>8530</v>
      </c>
      <c r="O153" s="230"/>
      <c r="S153" s="230"/>
      <c r="T153" s="102" t="s">
        <v>5944</v>
      </c>
      <c r="U153" s="230" t="str">
        <f>IF(ISNUMBER(MATCH(B153, 'Sprint 9'!B:B, 0)), "มาจาก Sprint 9", "")</f>
        <v>มาจาก Sprint 9</v>
      </c>
      <c r="V153" s="230" t="str">
        <f t="array" ref="V153">IF(ISNUMBER(MATCH(B153, 'Sprint 9'!B:B, 0)), INDEX('Sprint 9'!J:J, MATCH(B153, 'Sprint 9'!B:B, 0)), "")</f>
        <v>Done</v>
      </c>
      <c r="X153" s="102" t="s">
        <v>5920</v>
      </c>
      <c r="Y153" s="102" t="s">
        <v>5920</v>
      </c>
      <c r="Z153" s="102" t="s">
        <v>5913</v>
      </c>
    </row>
    <row r="154">
      <c r="A154" s="102" t="s">
        <v>276</v>
      </c>
      <c r="B154" s="102" t="s">
        <v>7614</v>
      </c>
      <c r="C154" s="229" t="s">
        <v>7615</v>
      </c>
      <c r="D154" s="102" t="s">
        <v>7616</v>
      </c>
      <c r="E154" s="102" t="s">
        <v>391</v>
      </c>
      <c r="F154" s="102" t="s">
        <v>392</v>
      </c>
      <c r="G154" s="102" t="s">
        <v>391</v>
      </c>
      <c r="H154" s="102" t="s">
        <v>392</v>
      </c>
      <c r="I154" s="102" t="s">
        <v>284</v>
      </c>
      <c r="J154" s="102" t="s">
        <v>34</v>
      </c>
      <c r="L154" s="229" t="s">
        <v>7617</v>
      </c>
      <c r="M154" s="229" t="s">
        <v>8006</v>
      </c>
      <c r="O154" s="230"/>
      <c r="S154" s="230"/>
      <c r="T154" s="102" t="s">
        <v>5944</v>
      </c>
      <c r="U154" s="230" t="str">
        <f>IF(ISNUMBER(MATCH(B154, 'Sprint 9'!B:B, 0)), "มาจาก Sprint 9", "")</f>
        <v>มาจาก Sprint 9</v>
      </c>
      <c r="V154" s="230" t="str">
        <f t="array" ref="V154">IF(ISNUMBER(MATCH(B154, 'Sprint 9'!B:B, 0)), INDEX('Sprint 9'!J:J, MATCH(B154, 'Sprint 9'!B:B, 0)), "")</f>
        <v>In Progress</v>
      </c>
      <c r="X154" s="102" t="s">
        <v>5920</v>
      </c>
      <c r="Y154" s="102" t="s">
        <v>5920</v>
      </c>
      <c r="Z154" s="102" t="s">
        <v>5913</v>
      </c>
    </row>
    <row r="155">
      <c r="A155" s="102" t="s">
        <v>276</v>
      </c>
      <c r="B155" s="102" t="s">
        <v>8531</v>
      </c>
      <c r="C155" s="229" t="s">
        <v>8532</v>
      </c>
      <c r="D155" s="102" t="s">
        <v>4345</v>
      </c>
      <c r="E155" s="102" t="s">
        <v>3288</v>
      </c>
      <c r="F155" s="102" t="s">
        <v>3289</v>
      </c>
      <c r="G155" s="102" t="s">
        <v>391</v>
      </c>
      <c r="H155" s="102" t="s">
        <v>392</v>
      </c>
      <c r="I155" s="102" t="s">
        <v>284</v>
      </c>
      <c r="J155" s="102" t="s">
        <v>26</v>
      </c>
      <c r="L155" s="229" t="s">
        <v>8533</v>
      </c>
      <c r="M155" s="229" t="s">
        <v>8534</v>
      </c>
      <c r="O155" s="230"/>
      <c r="S155" s="230"/>
      <c r="T155" s="102" t="s">
        <v>8237</v>
      </c>
      <c r="U155" s="230" t="str">
        <f>IF(ISNUMBER(MATCH(B155, 'Sprint 9'!B:B, 0)), "มาจาก Sprint 9", "")</f>
        <v>มาจาก Sprint 9</v>
      </c>
      <c r="V155" s="230" t="str">
        <f t="array" ref="V155">IF(ISNUMBER(MATCH(B155, 'Sprint 9'!B:B, 0)), INDEX('Sprint 9'!J:J, MATCH(B155, 'Sprint 9'!B:B, 0)), "")</f>
        <v>Done</v>
      </c>
      <c r="X155" s="102" t="s">
        <v>8237</v>
      </c>
      <c r="Y155" s="102" t="s">
        <v>8039</v>
      </c>
    </row>
    <row r="156">
      <c r="A156" s="102" t="s">
        <v>276</v>
      </c>
      <c r="B156" s="102" t="s">
        <v>8535</v>
      </c>
      <c r="C156" s="229" t="s">
        <v>8536</v>
      </c>
      <c r="D156" s="102" t="s">
        <v>5650</v>
      </c>
      <c r="E156" s="102" t="s">
        <v>3288</v>
      </c>
      <c r="F156" s="102" t="s">
        <v>3289</v>
      </c>
      <c r="G156" s="102" t="s">
        <v>391</v>
      </c>
      <c r="H156" s="102" t="s">
        <v>392</v>
      </c>
      <c r="I156" s="102" t="s">
        <v>284</v>
      </c>
      <c r="J156" s="102" t="s">
        <v>26</v>
      </c>
      <c r="L156" s="229" t="s">
        <v>8537</v>
      </c>
      <c r="M156" s="229" t="s">
        <v>8534</v>
      </c>
      <c r="O156" s="230"/>
      <c r="S156" s="230"/>
      <c r="T156" s="102" t="s">
        <v>8237</v>
      </c>
      <c r="U156" s="230" t="str">
        <f>IF(ISNUMBER(MATCH(B156, 'Sprint 9'!B:B, 0)), "มาจาก Sprint 9", "")</f>
        <v>มาจาก Sprint 9</v>
      </c>
      <c r="V156" s="230" t="str">
        <f t="array" ref="V156">IF(ISNUMBER(MATCH(B156, 'Sprint 9'!B:B, 0)), INDEX('Sprint 9'!J:J, MATCH(B156, 'Sprint 9'!B:B, 0)), "")</f>
        <v>Done</v>
      </c>
      <c r="X156" s="102" t="s">
        <v>8237</v>
      </c>
      <c r="Y156" s="102" t="s">
        <v>8039</v>
      </c>
    </row>
    <row r="157">
      <c r="A157" s="102" t="s">
        <v>310</v>
      </c>
      <c r="B157" s="102" t="s">
        <v>5921</v>
      </c>
      <c r="C157" s="229" t="s">
        <v>5922</v>
      </c>
      <c r="D157" s="102" t="s">
        <v>5923</v>
      </c>
      <c r="E157" s="102" t="s">
        <v>556</v>
      </c>
      <c r="F157" s="102" t="s">
        <v>557</v>
      </c>
      <c r="G157" s="102" t="s">
        <v>353</v>
      </c>
      <c r="H157" s="102" t="s">
        <v>354</v>
      </c>
      <c r="I157" s="102" t="s">
        <v>284</v>
      </c>
      <c r="J157" s="102" t="s">
        <v>454</v>
      </c>
      <c r="L157" s="229" t="s">
        <v>5924</v>
      </c>
      <c r="M157" s="229" t="s">
        <v>8426</v>
      </c>
      <c r="N157" s="229" t="s">
        <v>5925</v>
      </c>
      <c r="O157" s="102">
        <v>1.0</v>
      </c>
      <c r="S157" s="230"/>
      <c r="T157" s="102" t="s">
        <v>5920</v>
      </c>
      <c r="U157" s="230" t="str">
        <f>IF(ISNUMBER(MATCH(B157, 'Sprint 9'!B:B, 0)), "มาจาก Sprint 9", "")</f>
        <v>มาจาก Sprint 9</v>
      </c>
      <c r="V157" s="230" t="str">
        <f t="array" ref="V157">IF(ISNUMBER(MATCH(B157, 'Sprint 9'!B:B, 0)), INDEX('Sprint 9'!J:J, MATCH(B157, 'Sprint 9'!B:B, 0)), "")</f>
        <v>Blocked</v>
      </c>
      <c r="X157" s="102" t="s">
        <v>5920</v>
      </c>
      <c r="Y157" s="102" t="s">
        <v>5913</v>
      </c>
    </row>
    <row r="158">
      <c r="A158" s="102" t="s">
        <v>310</v>
      </c>
      <c r="B158" s="102" t="s">
        <v>5926</v>
      </c>
      <c r="C158" s="229" t="s">
        <v>5927</v>
      </c>
      <c r="D158" s="102" t="s">
        <v>5928</v>
      </c>
      <c r="E158" s="102" t="s">
        <v>564</v>
      </c>
      <c r="F158" s="102" t="s">
        <v>565</v>
      </c>
      <c r="G158" s="102" t="s">
        <v>353</v>
      </c>
      <c r="H158" s="102" t="s">
        <v>354</v>
      </c>
      <c r="I158" s="102" t="s">
        <v>515</v>
      </c>
      <c r="J158" s="102" t="s">
        <v>454</v>
      </c>
      <c r="L158" s="229" t="s">
        <v>5929</v>
      </c>
      <c r="M158" s="229" t="s">
        <v>8426</v>
      </c>
      <c r="N158" s="229" t="s">
        <v>5925</v>
      </c>
      <c r="O158" s="102">
        <v>3.0</v>
      </c>
      <c r="T158" s="102" t="s">
        <v>5920</v>
      </c>
      <c r="U158" s="230" t="str">
        <f>IF(ISNUMBER(MATCH(B158, 'Sprint 9'!B:B, 0)), "มาจาก Sprint 9", "")</f>
        <v>มาจาก Sprint 9</v>
      </c>
      <c r="V158" s="230" t="str">
        <f t="array" ref="V158">IF(ISNUMBER(MATCH(B158, 'Sprint 9'!B:B, 0)), INDEX('Sprint 9'!J:J, MATCH(B158, 'Sprint 9'!B:B, 0)), "")</f>
        <v>Ready To Test</v>
      </c>
      <c r="W158" s="102">
        <v>28800.0</v>
      </c>
      <c r="X158" s="102" t="s">
        <v>5920</v>
      </c>
      <c r="Y158" s="102" t="s">
        <v>5913</v>
      </c>
    </row>
    <row r="159">
      <c r="A159" s="102" t="s">
        <v>310</v>
      </c>
      <c r="B159" s="102" t="s">
        <v>7618</v>
      </c>
      <c r="C159" s="229" t="s">
        <v>7619</v>
      </c>
      <c r="D159" s="102" t="s">
        <v>7620</v>
      </c>
      <c r="E159" s="102" t="s">
        <v>513</v>
      </c>
      <c r="F159" s="102" t="s">
        <v>514</v>
      </c>
      <c r="G159" s="102" t="s">
        <v>353</v>
      </c>
      <c r="H159" s="102" t="s">
        <v>354</v>
      </c>
      <c r="I159" s="102" t="s">
        <v>515</v>
      </c>
      <c r="J159" s="102" t="s">
        <v>34</v>
      </c>
      <c r="L159" s="229" t="s">
        <v>5929</v>
      </c>
      <c r="M159" s="229" t="s">
        <v>8538</v>
      </c>
      <c r="N159" s="229" t="s">
        <v>6456</v>
      </c>
      <c r="O159" s="102">
        <v>5.0</v>
      </c>
      <c r="T159" s="102" t="s">
        <v>5920</v>
      </c>
      <c r="U159" s="230" t="str">
        <f>IF(ISNUMBER(MATCH(B159, 'Sprint 9'!B:B, 0)), "มาจาก Sprint 9", "")</f>
        <v>มาจาก Sprint 9</v>
      </c>
      <c r="V159" s="230" t="str">
        <f t="array" ref="V159">IF(ISNUMBER(MATCH(B159, 'Sprint 9'!B:B, 0)), INDEX('Sprint 9'!J:J, MATCH(B159, 'Sprint 9'!B:B, 0)), "")</f>
        <v>Ready To Test</v>
      </c>
      <c r="W159" s="102">
        <v>57600.0</v>
      </c>
      <c r="X159" s="102" t="s">
        <v>5920</v>
      </c>
      <c r="Y159" s="102" t="s">
        <v>5913</v>
      </c>
    </row>
    <row r="160">
      <c r="A160" s="102" t="s">
        <v>310</v>
      </c>
      <c r="B160" s="102" t="s">
        <v>7622</v>
      </c>
      <c r="C160" s="229" t="s">
        <v>7623</v>
      </c>
      <c r="D160" s="102" t="s">
        <v>7624</v>
      </c>
      <c r="E160" s="102" t="s">
        <v>584</v>
      </c>
      <c r="F160" s="102" t="s">
        <v>585</v>
      </c>
      <c r="G160" s="102" t="s">
        <v>353</v>
      </c>
      <c r="H160" s="102" t="s">
        <v>354</v>
      </c>
      <c r="I160" s="102" t="s">
        <v>515</v>
      </c>
      <c r="J160" s="102" t="s">
        <v>454</v>
      </c>
      <c r="L160" s="229" t="s">
        <v>5929</v>
      </c>
      <c r="M160" s="229" t="s">
        <v>8426</v>
      </c>
      <c r="N160" s="229" t="s">
        <v>6456</v>
      </c>
      <c r="O160" s="102">
        <v>8.0</v>
      </c>
      <c r="T160" s="102" t="s">
        <v>5920</v>
      </c>
      <c r="U160" s="230" t="str">
        <f>IF(ISNUMBER(MATCH(B160, 'Sprint 9'!B:B, 0)), "มาจาก Sprint 9", "")</f>
        <v>มาจาก Sprint 9</v>
      </c>
      <c r="V160" s="230" t="str">
        <f t="array" ref="V160">IF(ISNUMBER(MATCH(B160, 'Sprint 9'!B:B, 0)), INDEX('Sprint 9'!J:J, MATCH(B160, 'Sprint 9'!B:B, 0)), "")</f>
        <v>Ready To Test</v>
      </c>
      <c r="W160" s="102">
        <v>57600.0</v>
      </c>
      <c r="X160" s="102" t="s">
        <v>5920</v>
      </c>
      <c r="Y160" s="102" t="s">
        <v>5913</v>
      </c>
    </row>
    <row r="161">
      <c r="A161" s="102" t="s">
        <v>310</v>
      </c>
      <c r="B161" s="102" t="s">
        <v>5930</v>
      </c>
      <c r="C161" s="229" t="s">
        <v>5931</v>
      </c>
      <c r="D161" s="102" t="s">
        <v>5932</v>
      </c>
      <c r="E161" s="102" t="s">
        <v>556</v>
      </c>
      <c r="F161" s="102" t="s">
        <v>557</v>
      </c>
      <c r="G161" s="102" t="s">
        <v>353</v>
      </c>
      <c r="H161" s="102" t="s">
        <v>354</v>
      </c>
      <c r="I161" s="102" t="s">
        <v>318</v>
      </c>
      <c r="J161" s="102" t="s">
        <v>454</v>
      </c>
      <c r="L161" s="229" t="s">
        <v>5933</v>
      </c>
      <c r="M161" s="229" t="s">
        <v>8426</v>
      </c>
      <c r="N161" s="229" t="s">
        <v>5934</v>
      </c>
      <c r="O161" s="102">
        <v>3.0</v>
      </c>
      <c r="P161" s="102" t="s">
        <v>5912</v>
      </c>
      <c r="T161" s="102" t="s">
        <v>5920</v>
      </c>
      <c r="U161" s="230" t="str">
        <f>IF(ISNUMBER(MATCH(B161, 'Sprint 9'!B:B, 0)), "มาจาก Sprint 9", "")</f>
        <v>มาจาก Sprint 9</v>
      </c>
      <c r="V161" s="230" t="str">
        <f t="array" ref="V161">IF(ISNUMBER(MATCH(B161, 'Sprint 9'!B:B, 0)), INDEX('Sprint 9'!J:J, MATCH(B161, 'Sprint 9'!B:B, 0)), "")</f>
        <v>Ready To Test</v>
      </c>
      <c r="W161" s="102">
        <v>28800.0</v>
      </c>
      <c r="X161" s="102" t="s">
        <v>5920</v>
      </c>
      <c r="Y161" s="102" t="s">
        <v>5913</v>
      </c>
    </row>
    <row r="162">
      <c r="A162" s="102" t="s">
        <v>310</v>
      </c>
      <c r="B162" s="102" t="s">
        <v>8008</v>
      </c>
      <c r="C162" s="229" t="s">
        <v>8009</v>
      </c>
      <c r="D162" s="102" t="s">
        <v>8010</v>
      </c>
      <c r="E162" s="102" t="s">
        <v>556</v>
      </c>
      <c r="F162" s="102" t="s">
        <v>557</v>
      </c>
      <c r="G162" s="102" t="s">
        <v>282</v>
      </c>
      <c r="H162" s="102" t="s">
        <v>283</v>
      </c>
      <c r="I162" s="102" t="s">
        <v>284</v>
      </c>
      <c r="J162" s="102" t="s">
        <v>454</v>
      </c>
      <c r="L162" s="229" t="s">
        <v>8011</v>
      </c>
      <c r="M162" s="229" t="s">
        <v>8426</v>
      </c>
      <c r="N162" s="229" t="s">
        <v>7606</v>
      </c>
      <c r="O162" s="102">
        <v>2.0</v>
      </c>
      <c r="P162" s="102" t="s">
        <v>504</v>
      </c>
      <c r="Q162" s="102" t="s">
        <v>5547</v>
      </c>
      <c r="T162" s="102" t="s">
        <v>5920</v>
      </c>
      <c r="U162" s="230" t="str">
        <f>IF(ISNUMBER(MATCH(B162, 'Sprint 9'!B:B, 0)), "มาจาก Sprint 9", "")</f>
        <v>มาจาก Sprint 9</v>
      </c>
      <c r="V162" s="230" t="str">
        <f t="array" ref="V162">IF(ISNUMBER(MATCH(B162, 'Sprint 9'!B:B, 0)), INDEX('Sprint 9'!J:J, MATCH(B162, 'Sprint 9'!B:B, 0)), "")</f>
        <v>Ready To Test</v>
      </c>
      <c r="W162" s="230"/>
      <c r="X162" s="102" t="s">
        <v>5920</v>
      </c>
      <c r="Y162" s="102" t="s">
        <v>5913</v>
      </c>
    </row>
    <row r="163">
      <c r="A163" s="102" t="s">
        <v>310</v>
      </c>
      <c r="B163" s="102" t="s">
        <v>8539</v>
      </c>
      <c r="C163" s="229" t="s">
        <v>8540</v>
      </c>
      <c r="D163" s="102" t="s">
        <v>8541</v>
      </c>
      <c r="E163" s="102" t="s">
        <v>314</v>
      </c>
      <c r="F163" s="102" t="s">
        <v>315</v>
      </c>
      <c r="G163" s="102" t="s">
        <v>314</v>
      </c>
      <c r="H163" s="102" t="s">
        <v>315</v>
      </c>
      <c r="I163" s="102" t="s">
        <v>284</v>
      </c>
      <c r="J163" s="102" t="s">
        <v>26</v>
      </c>
      <c r="L163" s="229" t="s">
        <v>8542</v>
      </c>
      <c r="M163" s="229" t="s">
        <v>8543</v>
      </c>
      <c r="O163" s="102">
        <v>2.0</v>
      </c>
      <c r="P163" s="102" t="s">
        <v>593</v>
      </c>
      <c r="S163" s="102">
        <v>10800.0</v>
      </c>
      <c r="T163" s="102" t="s">
        <v>1364</v>
      </c>
      <c r="U163" s="230" t="str">
        <f>IF(ISNUMBER(MATCH(B163, 'Sprint 9'!B:B, 0)), "มาจาก Sprint 9", "")</f>
        <v/>
      </c>
      <c r="V163" s="230" t="str">
        <f t="array" ref="V163">IF(ISNUMBER(MATCH(B163, 'Sprint 9'!B:B, 0)), INDEX('Sprint 9'!J:J, MATCH(B163, 'Sprint 9'!B:B, 0)), "")</f>
        <v/>
      </c>
    </row>
    <row r="164">
      <c r="A164" s="102" t="s">
        <v>310</v>
      </c>
      <c r="B164" s="102" t="s">
        <v>8544</v>
      </c>
      <c r="C164" s="229" t="s">
        <v>8545</v>
      </c>
      <c r="D164" s="102" t="s">
        <v>8546</v>
      </c>
      <c r="E164" s="102" t="s">
        <v>304</v>
      </c>
      <c r="F164" s="102" t="s">
        <v>305</v>
      </c>
      <c r="G164" s="102" t="s">
        <v>314</v>
      </c>
      <c r="H164" s="102" t="s">
        <v>315</v>
      </c>
      <c r="I164" s="102" t="s">
        <v>284</v>
      </c>
      <c r="J164" s="102" t="s">
        <v>26</v>
      </c>
      <c r="L164" s="229" t="s">
        <v>8547</v>
      </c>
      <c r="M164" s="229" t="s">
        <v>8548</v>
      </c>
      <c r="N164" s="229" t="s">
        <v>7606</v>
      </c>
      <c r="O164" s="102">
        <v>3.0</v>
      </c>
      <c r="T164" s="102" t="s">
        <v>1363</v>
      </c>
      <c r="U164" s="230" t="str">
        <f>IF(ISNUMBER(MATCH(B164, 'Sprint 9'!B:B, 0)), "มาจาก Sprint 9", "")</f>
        <v>มาจาก Sprint 9</v>
      </c>
      <c r="V164" s="230" t="str">
        <f t="array" ref="V164">IF(ISNUMBER(MATCH(B164, 'Sprint 9'!B:B, 0)), INDEX('Sprint 9'!J:J, MATCH(B164, 'Sprint 9'!B:B, 0)), "")</f>
        <v>Ready To Test</v>
      </c>
      <c r="W164" s="230"/>
      <c r="X164" s="102" t="s">
        <v>1363</v>
      </c>
      <c r="Y164" s="102" t="s">
        <v>1364</v>
      </c>
    </row>
    <row r="165">
      <c r="A165" s="102" t="s">
        <v>310</v>
      </c>
      <c r="B165" s="102" t="s">
        <v>8549</v>
      </c>
      <c r="C165" s="229" t="s">
        <v>8550</v>
      </c>
      <c r="D165" s="102" t="s">
        <v>8551</v>
      </c>
      <c r="E165" s="102" t="s">
        <v>314</v>
      </c>
      <c r="F165" s="102" t="s">
        <v>315</v>
      </c>
      <c r="G165" s="102" t="s">
        <v>314</v>
      </c>
      <c r="H165" s="102" t="s">
        <v>315</v>
      </c>
      <c r="I165" s="102" t="s">
        <v>284</v>
      </c>
      <c r="J165" s="102" t="s">
        <v>26</v>
      </c>
      <c r="L165" s="229" t="s">
        <v>8552</v>
      </c>
      <c r="M165" s="229" t="s">
        <v>8300</v>
      </c>
      <c r="O165" s="102">
        <v>3.0</v>
      </c>
      <c r="P165" s="102" t="s">
        <v>593</v>
      </c>
      <c r="S165" s="102">
        <v>28800.0</v>
      </c>
      <c r="T165" s="102" t="s">
        <v>1364</v>
      </c>
      <c r="U165" s="230" t="str">
        <f>IF(ISNUMBER(MATCH(B165, 'Sprint 9'!B:B, 0)), "มาจาก Sprint 9", "")</f>
        <v/>
      </c>
      <c r="V165" s="230" t="str">
        <f t="array" ref="V165">IF(ISNUMBER(MATCH(B165, 'Sprint 9'!B:B, 0)), INDEX('Sprint 9'!J:J, MATCH(B165, 'Sprint 9'!B:B, 0)), "")</f>
        <v/>
      </c>
    </row>
    <row r="166">
      <c r="A166" s="102" t="s">
        <v>310</v>
      </c>
      <c r="B166" s="102" t="s">
        <v>8553</v>
      </c>
      <c r="C166" s="229" t="s">
        <v>8554</v>
      </c>
      <c r="D166" s="102" t="s">
        <v>8555</v>
      </c>
      <c r="E166" s="102" t="s">
        <v>495</v>
      </c>
      <c r="F166" s="102" t="s">
        <v>496</v>
      </c>
      <c r="G166" s="102" t="s">
        <v>314</v>
      </c>
      <c r="H166" s="102" t="s">
        <v>315</v>
      </c>
      <c r="I166" s="102" t="s">
        <v>284</v>
      </c>
      <c r="J166" s="102" t="s">
        <v>26</v>
      </c>
      <c r="L166" s="229" t="s">
        <v>8556</v>
      </c>
      <c r="M166" s="229" t="s">
        <v>8557</v>
      </c>
      <c r="O166" s="102">
        <v>1.0</v>
      </c>
      <c r="T166" s="102" t="s">
        <v>1363</v>
      </c>
      <c r="U166" s="230" t="str">
        <f>IF(ISNUMBER(MATCH(B166, 'Sprint 9'!B:B, 0)), "มาจาก Sprint 9", "")</f>
        <v>มาจาก Sprint 9</v>
      </c>
      <c r="V166" s="230" t="str">
        <f t="array" ref="V166">IF(ISNUMBER(MATCH(B166, 'Sprint 9'!B:B, 0)), INDEX('Sprint 9'!J:J, MATCH(B166, 'Sprint 9'!B:B, 0)), "")</f>
        <v>Ready To Test</v>
      </c>
      <c r="W166" s="102">
        <v>7200.0</v>
      </c>
      <c r="X166" s="102" t="s">
        <v>1363</v>
      </c>
      <c r="Y166" s="102" t="s">
        <v>1364</v>
      </c>
    </row>
    <row r="167">
      <c r="A167" s="102" t="s">
        <v>310</v>
      </c>
      <c r="B167" s="102" t="s">
        <v>8558</v>
      </c>
      <c r="C167" s="229" t="s">
        <v>8559</v>
      </c>
      <c r="D167" s="102" t="s">
        <v>8560</v>
      </c>
      <c r="E167" s="102" t="s">
        <v>513</v>
      </c>
      <c r="F167" s="102" t="s">
        <v>514</v>
      </c>
      <c r="G167" s="102" t="s">
        <v>314</v>
      </c>
      <c r="H167" s="102" t="s">
        <v>315</v>
      </c>
      <c r="I167" s="102" t="s">
        <v>284</v>
      </c>
      <c r="J167" s="102" t="s">
        <v>26</v>
      </c>
      <c r="L167" s="229" t="s">
        <v>8561</v>
      </c>
      <c r="M167" s="229" t="s">
        <v>8562</v>
      </c>
      <c r="N167" s="229" t="s">
        <v>8563</v>
      </c>
      <c r="O167" s="102">
        <v>3.0</v>
      </c>
      <c r="T167" s="102" t="s">
        <v>5920</v>
      </c>
      <c r="U167" s="230" t="str">
        <f>IF(ISNUMBER(MATCH(B167, 'Sprint 9'!B:B, 0)), "มาจาก Sprint 9", "")</f>
        <v>มาจาก Sprint 9</v>
      </c>
      <c r="V167" s="230" t="str">
        <f t="array" ref="V167">IF(ISNUMBER(MATCH(B167, 'Sprint 9'!B:B, 0)), INDEX('Sprint 9'!J:J, MATCH(B167, 'Sprint 9'!B:B, 0)), "")</f>
        <v>Ready To Test</v>
      </c>
      <c r="W167" s="102">
        <v>57600.0</v>
      </c>
      <c r="X167" s="102" t="s">
        <v>5920</v>
      </c>
      <c r="Y167" s="102" t="s">
        <v>5913</v>
      </c>
    </row>
    <row r="168">
      <c r="A168" s="102" t="s">
        <v>310</v>
      </c>
      <c r="B168" s="102" t="s">
        <v>7630</v>
      </c>
      <c r="C168" s="229" t="s">
        <v>7631</v>
      </c>
      <c r="D168" s="102" t="s">
        <v>7632</v>
      </c>
      <c r="E168" s="102" t="s">
        <v>513</v>
      </c>
      <c r="F168" s="102" t="s">
        <v>514</v>
      </c>
      <c r="G168" s="102" t="s">
        <v>353</v>
      </c>
      <c r="H168" s="102" t="s">
        <v>354</v>
      </c>
      <c r="I168" s="102" t="s">
        <v>318</v>
      </c>
      <c r="J168" s="102" t="s">
        <v>454</v>
      </c>
      <c r="L168" s="229" t="s">
        <v>7633</v>
      </c>
      <c r="M168" s="229" t="s">
        <v>8426</v>
      </c>
      <c r="O168" s="102">
        <v>1.0</v>
      </c>
      <c r="T168" s="102" t="s">
        <v>5920</v>
      </c>
      <c r="U168" s="230" t="str">
        <f>IF(ISNUMBER(MATCH(B168, 'Sprint 9'!B:B, 0)), "มาจาก Sprint 9", "")</f>
        <v>มาจาก Sprint 9</v>
      </c>
      <c r="V168" s="230" t="str">
        <f t="array" ref="V168">IF(ISNUMBER(MATCH(B168, 'Sprint 9'!B:B, 0)), INDEX('Sprint 9'!J:J, MATCH(B168, 'Sprint 9'!B:B, 0)), "")</f>
        <v>Ready To Test</v>
      </c>
      <c r="W168" s="102">
        <v>7200.0</v>
      </c>
      <c r="X168" s="102" t="s">
        <v>5920</v>
      </c>
      <c r="Y168" s="102" t="s">
        <v>5913</v>
      </c>
    </row>
    <row r="169">
      <c r="A169" s="102" t="s">
        <v>310</v>
      </c>
      <c r="B169" s="102" t="s">
        <v>6451</v>
      </c>
      <c r="C169" s="229" t="s">
        <v>6452</v>
      </c>
      <c r="D169" s="102" t="s">
        <v>6453</v>
      </c>
      <c r="E169" s="102" t="s">
        <v>556</v>
      </c>
      <c r="F169" s="102" t="s">
        <v>557</v>
      </c>
      <c r="G169" s="102" t="s">
        <v>353</v>
      </c>
      <c r="H169" s="102" t="s">
        <v>354</v>
      </c>
      <c r="I169" s="102" t="s">
        <v>515</v>
      </c>
      <c r="J169" s="102" t="s">
        <v>454</v>
      </c>
      <c r="L169" s="229" t="s">
        <v>6454</v>
      </c>
      <c r="M169" s="229" t="s">
        <v>8426</v>
      </c>
      <c r="N169" s="229" t="s">
        <v>6456</v>
      </c>
      <c r="O169" s="102">
        <v>5.0</v>
      </c>
      <c r="T169" s="102" t="s">
        <v>5920</v>
      </c>
      <c r="U169" s="230" t="str">
        <f>IF(ISNUMBER(MATCH(B169, 'Sprint 9'!B:B, 0)), "มาจาก Sprint 9", "")</f>
        <v>มาจาก Sprint 9</v>
      </c>
      <c r="V169" s="230" t="str">
        <f t="array" ref="V169">IF(ISNUMBER(MATCH(B169, 'Sprint 9'!B:B, 0)), INDEX('Sprint 9'!J:J, MATCH(B169, 'Sprint 9'!B:B, 0)), "")</f>
        <v>Ready To Test</v>
      </c>
      <c r="W169" s="102">
        <v>57600.0</v>
      </c>
      <c r="X169" s="102" t="s">
        <v>5920</v>
      </c>
      <c r="Y169" s="102" t="s">
        <v>5913</v>
      </c>
    </row>
    <row r="170">
      <c r="A170" s="102" t="s">
        <v>310</v>
      </c>
      <c r="B170" s="102" t="s">
        <v>6457</v>
      </c>
      <c r="C170" s="229" t="s">
        <v>6458</v>
      </c>
      <c r="D170" s="102" t="s">
        <v>6459</v>
      </c>
      <c r="E170" s="102" t="s">
        <v>564</v>
      </c>
      <c r="F170" s="102" t="s">
        <v>565</v>
      </c>
      <c r="G170" s="102" t="s">
        <v>353</v>
      </c>
      <c r="H170" s="102" t="s">
        <v>354</v>
      </c>
      <c r="I170" s="102" t="s">
        <v>515</v>
      </c>
      <c r="J170" s="102" t="s">
        <v>454</v>
      </c>
      <c r="L170" s="229" t="s">
        <v>6460</v>
      </c>
      <c r="M170" s="229" t="s">
        <v>8426</v>
      </c>
      <c r="N170" s="229" t="s">
        <v>6456</v>
      </c>
      <c r="O170" s="102">
        <v>2.0</v>
      </c>
      <c r="T170" s="102" t="s">
        <v>5920</v>
      </c>
      <c r="U170" s="230" t="str">
        <f>IF(ISNUMBER(MATCH(B170, 'Sprint 9'!B:B, 0)), "มาจาก Sprint 9", "")</f>
        <v>มาจาก Sprint 9</v>
      </c>
      <c r="V170" s="230" t="str">
        <f t="array" ref="V170">IF(ISNUMBER(MATCH(B170, 'Sprint 9'!B:B, 0)), INDEX('Sprint 9'!J:J, MATCH(B170, 'Sprint 9'!B:B, 0)), "")</f>
        <v>Ready To Test</v>
      </c>
      <c r="W170" s="102">
        <v>7200.0</v>
      </c>
      <c r="X170" s="102" t="s">
        <v>5920</v>
      </c>
      <c r="Y170" s="102" t="s">
        <v>5913</v>
      </c>
    </row>
    <row r="171">
      <c r="A171" s="102" t="s">
        <v>310</v>
      </c>
      <c r="B171" s="102" t="s">
        <v>8564</v>
      </c>
      <c r="C171" s="229" t="s">
        <v>8565</v>
      </c>
      <c r="D171" s="102" t="s">
        <v>8566</v>
      </c>
      <c r="E171" s="102" t="s">
        <v>6860</v>
      </c>
      <c r="F171" s="102" t="s">
        <v>6861</v>
      </c>
      <c r="G171" s="102" t="s">
        <v>314</v>
      </c>
      <c r="H171" s="102" t="s">
        <v>315</v>
      </c>
      <c r="I171" s="102" t="s">
        <v>284</v>
      </c>
      <c r="J171" s="102" t="s">
        <v>26</v>
      </c>
      <c r="L171" s="229" t="s">
        <v>8567</v>
      </c>
      <c r="M171" s="229" t="s">
        <v>8557</v>
      </c>
      <c r="O171" s="102">
        <v>5.0</v>
      </c>
      <c r="P171" s="102" t="s">
        <v>1305</v>
      </c>
      <c r="T171" s="102" t="s">
        <v>1363</v>
      </c>
      <c r="U171" s="230" t="str">
        <f>IF(ISNUMBER(MATCH(B171, 'Sprint 9'!B:B, 0)), "มาจาก Sprint 9", "")</f>
        <v>มาจาก Sprint 9</v>
      </c>
      <c r="V171" s="230" t="str">
        <f t="array" ref="V171">IF(ISNUMBER(MATCH(B171, 'Sprint 9'!B:B, 0)), INDEX('Sprint 9'!J:J, MATCH(B171, 'Sprint 9'!B:B, 0)), "")</f>
        <v>Ready To Test</v>
      </c>
      <c r="W171" s="230"/>
      <c r="X171" s="102" t="s">
        <v>1363</v>
      </c>
      <c r="Y171" s="102" t="s">
        <v>1364</v>
      </c>
    </row>
    <row r="172">
      <c r="A172" s="102" t="s">
        <v>310</v>
      </c>
      <c r="B172" s="102" t="s">
        <v>8568</v>
      </c>
      <c r="C172" s="229" t="s">
        <v>8569</v>
      </c>
      <c r="D172" s="102" t="s">
        <v>8570</v>
      </c>
      <c r="E172" s="102" t="s">
        <v>513</v>
      </c>
      <c r="F172" s="102" t="s">
        <v>514</v>
      </c>
      <c r="G172" s="102" t="s">
        <v>314</v>
      </c>
      <c r="H172" s="102" t="s">
        <v>315</v>
      </c>
      <c r="I172" s="102" t="s">
        <v>284</v>
      </c>
      <c r="J172" s="102" t="s">
        <v>26</v>
      </c>
      <c r="L172" s="229" t="s">
        <v>8571</v>
      </c>
      <c r="M172" s="229" t="s">
        <v>8562</v>
      </c>
      <c r="O172" s="102">
        <v>5.0</v>
      </c>
      <c r="P172" s="102" t="s">
        <v>1305</v>
      </c>
      <c r="Q172" s="102"/>
      <c r="T172" s="102" t="s">
        <v>5920</v>
      </c>
      <c r="U172" s="230" t="str">
        <f>IF(ISNUMBER(MATCH(B172, 'Sprint 9'!B:B, 0)), "มาจาก Sprint 9", "")</f>
        <v>มาจาก Sprint 9</v>
      </c>
      <c r="V172" s="230" t="str">
        <f t="array" ref="V172">IF(ISNUMBER(MATCH(B172, 'Sprint 9'!B:B, 0)), INDEX('Sprint 9'!J:J, MATCH(B172, 'Sprint 9'!B:B, 0)), "")</f>
        <v>Ready To Test</v>
      </c>
      <c r="W172" s="102">
        <v>57600.0</v>
      </c>
      <c r="X172" s="102" t="s">
        <v>5920</v>
      </c>
      <c r="Y172" s="102" t="s">
        <v>5913</v>
      </c>
    </row>
    <row r="173">
      <c r="A173" s="102" t="s">
        <v>310</v>
      </c>
      <c r="B173" s="102" t="s">
        <v>8572</v>
      </c>
      <c r="C173" s="229" t="s">
        <v>8573</v>
      </c>
      <c r="D173" s="102" t="s">
        <v>8574</v>
      </c>
      <c r="E173" s="102" t="s">
        <v>282</v>
      </c>
      <c r="F173" s="102" t="s">
        <v>283</v>
      </c>
      <c r="G173" s="102" t="s">
        <v>282</v>
      </c>
      <c r="H173" s="102" t="s">
        <v>283</v>
      </c>
      <c r="I173" s="102" t="s">
        <v>515</v>
      </c>
      <c r="J173" s="102" t="s">
        <v>26</v>
      </c>
      <c r="L173" s="229" t="s">
        <v>8575</v>
      </c>
      <c r="M173" s="229" t="s">
        <v>8576</v>
      </c>
      <c r="O173" s="102">
        <v>2.0</v>
      </c>
      <c r="P173" s="102" t="s">
        <v>504</v>
      </c>
      <c r="S173" s="102">
        <v>14400.0</v>
      </c>
      <c r="T173" s="102" t="s">
        <v>4961</v>
      </c>
      <c r="U173" s="230" t="str">
        <f>IF(ISNUMBER(MATCH(B173, 'Sprint 9'!B:B, 0)), "มาจาก Sprint 9", "")</f>
        <v/>
      </c>
      <c r="V173" s="230" t="str">
        <f t="array" ref="V173">IF(ISNUMBER(MATCH(B173, 'Sprint 9'!B:B, 0)), INDEX('Sprint 9'!J:J, MATCH(B173, 'Sprint 9'!B:B, 0)), "")</f>
        <v/>
      </c>
      <c r="X173" s="102"/>
      <c r="Y173" s="102"/>
    </row>
    <row r="174">
      <c r="A174" s="102" t="s">
        <v>310</v>
      </c>
      <c r="B174" s="102" t="s">
        <v>7636</v>
      </c>
      <c r="C174" s="229" t="s">
        <v>7637</v>
      </c>
      <c r="D174" s="102" t="s">
        <v>7638</v>
      </c>
      <c r="E174" s="102" t="s">
        <v>564</v>
      </c>
      <c r="F174" s="102" t="s">
        <v>565</v>
      </c>
      <c r="G174" s="102" t="s">
        <v>353</v>
      </c>
      <c r="H174" s="102" t="s">
        <v>354</v>
      </c>
      <c r="I174" s="102" t="s">
        <v>515</v>
      </c>
      <c r="J174" s="102" t="s">
        <v>454</v>
      </c>
      <c r="L174" s="229" t="s">
        <v>7639</v>
      </c>
      <c r="M174" s="229" t="s">
        <v>8426</v>
      </c>
      <c r="N174" s="229" t="s">
        <v>6456</v>
      </c>
      <c r="O174" s="102">
        <v>5.0</v>
      </c>
      <c r="P174" s="102"/>
      <c r="T174" s="102" t="s">
        <v>5920</v>
      </c>
      <c r="U174" s="230" t="str">
        <f>IF(ISNUMBER(MATCH(B174, 'Sprint 9'!B:B, 0)), "มาจาก Sprint 9", "")</f>
        <v>มาจาก Sprint 9</v>
      </c>
      <c r="V174" s="230" t="str">
        <f t="array" ref="V174">IF(ISNUMBER(MATCH(B174, 'Sprint 9'!B:B, 0)), INDEX('Sprint 9'!J:J, MATCH(B174, 'Sprint 9'!B:B, 0)), "")</f>
        <v>Ready To Test</v>
      </c>
      <c r="W174" s="102">
        <v>57600.0</v>
      </c>
      <c r="X174" s="102" t="s">
        <v>5920</v>
      </c>
      <c r="Y174" s="102" t="s">
        <v>5913</v>
      </c>
    </row>
    <row r="175">
      <c r="A175" s="102" t="s">
        <v>310</v>
      </c>
      <c r="B175" s="102" t="s">
        <v>8577</v>
      </c>
      <c r="C175" s="229" t="s">
        <v>8578</v>
      </c>
      <c r="D175" s="102" t="s">
        <v>8579</v>
      </c>
      <c r="E175" s="102" t="s">
        <v>6315</v>
      </c>
      <c r="F175" s="102" t="s">
        <v>6316</v>
      </c>
      <c r="G175" s="102" t="s">
        <v>353</v>
      </c>
      <c r="H175" s="102" t="s">
        <v>354</v>
      </c>
      <c r="I175" s="102" t="s">
        <v>515</v>
      </c>
      <c r="J175" s="102" t="s">
        <v>26</v>
      </c>
      <c r="L175" s="229" t="s">
        <v>8580</v>
      </c>
      <c r="M175" s="229" t="s">
        <v>8581</v>
      </c>
      <c r="N175" s="102"/>
      <c r="O175" s="102">
        <v>2.0</v>
      </c>
      <c r="T175" s="102" t="s">
        <v>5920</v>
      </c>
      <c r="U175" s="230" t="str">
        <f>IF(ISNUMBER(MATCH(B175, 'Sprint 9'!B:B, 0)), "มาจาก Sprint 9", "")</f>
        <v>มาจาก Sprint 9</v>
      </c>
      <c r="V175" s="230" t="str">
        <f t="array" ref="V175">IF(ISNUMBER(MATCH(B175, 'Sprint 9'!B:B, 0)), INDEX('Sprint 9'!J:J, MATCH(B175, 'Sprint 9'!B:B, 0)), "")</f>
        <v>Ready To Test</v>
      </c>
      <c r="W175" s="102"/>
      <c r="X175" s="102" t="s">
        <v>5920</v>
      </c>
      <c r="Y175" s="102" t="s">
        <v>5913</v>
      </c>
    </row>
    <row r="176">
      <c r="A176" s="102" t="s">
        <v>310</v>
      </c>
      <c r="B176" s="102" t="s">
        <v>8582</v>
      </c>
      <c r="C176" s="229" t="s">
        <v>8583</v>
      </c>
      <c r="D176" s="102" t="s">
        <v>8584</v>
      </c>
      <c r="E176" s="102" t="s">
        <v>6315</v>
      </c>
      <c r="F176" s="102" t="s">
        <v>6316</v>
      </c>
      <c r="G176" s="102" t="s">
        <v>353</v>
      </c>
      <c r="H176" s="102" t="s">
        <v>354</v>
      </c>
      <c r="I176" s="102" t="s">
        <v>515</v>
      </c>
      <c r="J176" s="102" t="s">
        <v>26</v>
      </c>
      <c r="L176" s="229" t="s">
        <v>8585</v>
      </c>
      <c r="M176" s="229" t="s">
        <v>8581</v>
      </c>
      <c r="O176" s="102">
        <v>3.0</v>
      </c>
      <c r="T176" s="102" t="s">
        <v>5920</v>
      </c>
      <c r="U176" s="230" t="str">
        <f>IF(ISNUMBER(MATCH(B176, 'Sprint 9'!B:B, 0)), "มาจาก Sprint 9", "")</f>
        <v>มาจาก Sprint 9</v>
      </c>
      <c r="V176" s="230" t="str">
        <f t="array" ref="V176">IF(ISNUMBER(MATCH(B176, 'Sprint 9'!B:B, 0)), INDEX('Sprint 9'!J:J, MATCH(B176, 'Sprint 9'!B:B, 0)), "")</f>
        <v>Ready To Test</v>
      </c>
      <c r="W176" s="230"/>
      <c r="X176" s="102" t="s">
        <v>5920</v>
      </c>
      <c r="Y176" s="102" t="s">
        <v>5913</v>
      </c>
    </row>
    <row r="177">
      <c r="A177" s="102" t="s">
        <v>310</v>
      </c>
      <c r="B177" s="102" t="s">
        <v>8586</v>
      </c>
      <c r="C177" s="229" t="s">
        <v>8587</v>
      </c>
      <c r="D177" s="102" t="s">
        <v>8588</v>
      </c>
      <c r="E177" s="102" t="s">
        <v>6860</v>
      </c>
      <c r="F177" s="102" t="s">
        <v>6861</v>
      </c>
      <c r="G177" s="102" t="s">
        <v>353</v>
      </c>
      <c r="H177" s="102" t="s">
        <v>354</v>
      </c>
      <c r="I177" s="102" t="s">
        <v>515</v>
      </c>
      <c r="J177" s="102" t="s">
        <v>26</v>
      </c>
      <c r="L177" s="229" t="s">
        <v>8589</v>
      </c>
      <c r="M177" s="229" t="s">
        <v>8581</v>
      </c>
      <c r="N177" s="229" t="s">
        <v>5925</v>
      </c>
      <c r="O177" s="102">
        <v>5.0</v>
      </c>
      <c r="T177" s="102" t="s">
        <v>5920</v>
      </c>
      <c r="U177" s="230" t="str">
        <f>IF(ISNUMBER(MATCH(B177, 'Sprint 9'!B:B, 0)), "มาจาก Sprint 9", "")</f>
        <v>มาจาก Sprint 9</v>
      </c>
      <c r="V177" s="230" t="str">
        <f t="array" ref="V177">IF(ISNUMBER(MATCH(B177, 'Sprint 9'!B:B, 0)), INDEX('Sprint 9'!J:J, MATCH(B177, 'Sprint 9'!B:B, 0)), "")</f>
        <v>Ready To Test</v>
      </c>
      <c r="W177" s="230"/>
      <c r="X177" s="102" t="s">
        <v>5920</v>
      </c>
      <c r="Y177" s="102" t="s">
        <v>5913</v>
      </c>
    </row>
    <row r="178">
      <c r="A178" s="102" t="s">
        <v>310</v>
      </c>
      <c r="B178" s="102" t="s">
        <v>8590</v>
      </c>
      <c r="C178" s="229" t="s">
        <v>8591</v>
      </c>
      <c r="D178" s="102" t="s">
        <v>8592</v>
      </c>
      <c r="E178" s="102" t="s">
        <v>314</v>
      </c>
      <c r="F178" s="102" t="s">
        <v>315</v>
      </c>
      <c r="G178" s="102" t="s">
        <v>314</v>
      </c>
      <c r="H178" s="102" t="s">
        <v>315</v>
      </c>
      <c r="I178" s="102" t="s">
        <v>284</v>
      </c>
      <c r="J178" s="102" t="s">
        <v>26</v>
      </c>
      <c r="L178" s="229" t="s">
        <v>8593</v>
      </c>
      <c r="M178" s="229" t="s">
        <v>8562</v>
      </c>
      <c r="N178" s="102"/>
      <c r="O178" s="102">
        <v>2.0</v>
      </c>
      <c r="P178" s="102" t="s">
        <v>1305</v>
      </c>
      <c r="T178" s="102" t="s">
        <v>5920</v>
      </c>
      <c r="U178" s="230" t="str">
        <f>IF(ISNUMBER(MATCH(B178, 'Sprint 9'!B:B, 0)), "มาจาก Sprint 9", "")</f>
        <v>มาจาก Sprint 9</v>
      </c>
      <c r="V178" s="230" t="str">
        <f t="array" ref="V178">IF(ISNUMBER(MATCH(B178, 'Sprint 9'!B:B, 0)), INDEX('Sprint 9'!J:J, MATCH(B178, 'Sprint 9'!B:B, 0)), "")</f>
        <v>Ready To Test</v>
      </c>
      <c r="W178" s="102">
        <v>10800.0</v>
      </c>
      <c r="X178" s="102" t="s">
        <v>5920</v>
      </c>
      <c r="Y178" s="102" t="s">
        <v>5913</v>
      </c>
    </row>
    <row r="179">
      <c r="A179" s="102" t="s">
        <v>310</v>
      </c>
      <c r="B179" s="102" t="s">
        <v>8594</v>
      </c>
      <c r="C179" s="229" t="s">
        <v>8595</v>
      </c>
      <c r="D179" s="102" t="s">
        <v>8596</v>
      </c>
      <c r="E179" s="102" t="s">
        <v>584</v>
      </c>
      <c r="F179" s="102" t="s">
        <v>585</v>
      </c>
      <c r="G179" s="102" t="s">
        <v>353</v>
      </c>
      <c r="H179" s="102" t="s">
        <v>354</v>
      </c>
      <c r="I179" s="102" t="s">
        <v>284</v>
      </c>
      <c r="J179" s="102" t="s">
        <v>26</v>
      </c>
      <c r="L179" s="229" t="s">
        <v>8597</v>
      </c>
      <c r="M179" s="229" t="s">
        <v>8432</v>
      </c>
      <c r="O179" s="102">
        <v>5.0</v>
      </c>
      <c r="P179" s="102"/>
      <c r="T179" s="102" t="s">
        <v>8237</v>
      </c>
      <c r="U179" s="230" t="str">
        <f>IF(ISNUMBER(MATCH(B179, 'Sprint 9'!B:B, 0)), "มาจาก Sprint 9", "")</f>
        <v>มาจาก Sprint 9</v>
      </c>
      <c r="V179" s="230" t="str">
        <f t="array" ref="V179">IF(ISNUMBER(MATCH(B179, 'Sprint 9'!B:B, 0)), INDEX('Sprint 9'!J:J, MATCH(B179, 'Sprint 9'!B:B, 0)), "")</f>
        <v>Ready To Test</v>
      </c>
      <c r="W179" s="102">
        <v>57600.0</v>
      </c>
      <c r="X179" s="102" t="s">
        <v>8237</v>
      </c>
      <c r="Y179" s="102" t="s">
        <v>8039</v>
      </c>
    </row>
    <row r="180">
      <c r="A180" s="102" t="s">
        <v>310</v>
      </c>
      <c r="B180" s="102" t="s">
        <v>8598</v>
      </c>
      <c r="C180" s="229" t="s">
        <v>8599</v>
      </c>
      <c r="D180" s="102" t="s">
        <v>8600</v>
      </c>
      <c r="E180" s="102" t="s">
        <v>556</v>
      </c>
      <c r="F180" s="102" t="s">
        <v>557</v>
      </c>
      <c r="G180" s="102" t="s">
        <v>353</v>
      </c>
      <c r="H180" s="102" t="s">
        <v>354</v>
      </c>
      <c r="I180" s="102" t="s">
        <v>284</v>
      </c>
      <c r="J180" s="102" t="s">
        <v>26</v>
      </c>
      <c r="L180" s="229" t="s">
        <v>8601</v>
      </c>
      <c r="M180" s="229" t="s">
        <v>8432</v>
      </c>
      <c r="N180" s="229" t="s">
        <v>8602</v>
      </c>
      <c r="O180" s="102">
        <v>2.0</v>
      </c>
      <c r="T180" s="102" t="s">
        <v>8237</v>
      </c>
      <c r="U180" s="230" t="str">
        <f>IF(ISNUMBER(MATCH(B180, 'Sprint 9'!B:B, 0)), "มาจาก Sprint 9", "")</f>
        <v>มาจาก Sprint 9</v>
      </c>
      <c r="V180" s="230" t="str">
        <f t="array" ref="V180">IF(ISNUMBER(MATCH(B180, 'Sprint 9'!B:B, 0)), INDEX('Sprint 9'!J:J, MATCH(B180, 'Sprint 9'!B:B, 0)), "")</f>
        <v>Ready To Test</v>
      </c>
      <c r="W180" s="102">
        <v>14400.0</v>
      </c>
      <c r="X180" s="102" t="s">
        <v>8237</v>
      </c>
      <c r="Y180" s="102" t="s">
        <v>8039</v>
      </c>
    </row>
    <row r="181">
      <c r="A181" s="102" t="s">
        <v>276</v>
      </c>
      <c r="B181" s="102" t="s">
        <v>7640</v>
      </c>
      <c r="C181" s="229" t="s">
        <v>7641</v>
      </c>
      <c r="D181" s="102" t="s">
        <v>7642</v>
      </c>
      <c r="E181" s="102" t="s">
        <v>391</v>
      </c>
      <c r="F181" s="102" t="s">
        <v>392</v>
      </c>
      <c r="G181" s="102" t="s">
        <v>391</v>
      </c>
      <c r="H181" s="102" t="s">
        <v>392</v>
      </c>
      <c r="I181" s="102" t="s">
        <v>284</v>
      </c>
      <c r="J181" s="102" t="s">
        <v>34</v>
      </c>
      <c r="L181" s="229" t="s">
        <v>7643</v>
      </c>
      <c r="M181" s="229" t="s">
        <v>8013</v>
      </c>
      <c r="N181" s="102"/>
      <c r="O181" s="102"/>
      <c r="S181" s="102"/>
      <c r="T181" s="102" t="s">
        <v>5944</v>
      </c>
      <c r="U181" s="230" t="str">
        <f>IF(ISNUMBER(MATCH(B181, 'Sprint 9'!B:B, 0)), "มาจาก Sprint 9", "")</f>
        <v>มาจาก Sprint 9</v>
      </c>
      <c r="V181" s="230" t="str">
        <f t="array" ref="V181">IF(ISNUMBER(MATCH(B181, 'Sprint 9'!B:B, 0)), INDEX('Sprint 9'!J:J, MATCH(B181, 'Sprint 9'!B:B, 0)), "")</f>
        <v>In Progress</v>
      </c>
      <c r="X181" s="102" t="s">
        <v>5920</v>
      </c>
      <c r="Y181" s="102" t="s">
        <v>5920</v>
      </c>
      <c r="Z181" s="102" t="s">
        <v>5913</v>
      </c>
    </row>
    <row r="182">
      <c r="A182" s="102" t="s">
        <v>276</v>
      </c>
      <c r="B182" s="102" t="s">
        <v>7644</v>
      </c>
      <c r="C182" s="229" t="s">
        <v>7645</v>
      </c>
      <c r="D182" s="102" t="s">
        <v>7646</v>
      </c>
      <c r="E182" s="102" t="s">
        <v>391</v>
      </c>
      <c r="F182" s="102" t="s">
        <v>392</v>
      </c>
      <c r="G182" s="102" t="s">
        <v>391</v>
      </c>
      <c r="H182" s="102" t="s">
        <v>392</v>
      </c>
      <c r="I182" s="102" t="s">
        <v>284</v>
      </c>
      <c r="J182" s="102" t="s">
        <v>34</v>
      </c>
      <c r="L182" s="229" t="s">
        <v>7643</v>
      </c>
      <c r="M182" s="229" t="s">
        <v>7647</v>
      </c>
      <c r="N182" s="102"/>
      <c r="O182" s="230"/>
      <c r="S182" s="230"/>
      <c r="T182" s="102" t="s">
        <v>5944</v>
      </c>
      <c r="U182" s="230" t="str">
        <f>IF(ISNUMBER(MATCH(B182, 'Sprint 9'!B:B, 0)), "มาจาก Sprint 9", "")</f>
        <v>มาจาก Sprint 9</v>
      </c>
      <c r="V182" s="230" t="str">
        <f t="array" ref="V182">IF(ISNUMBER(MATCH(B182, 'Sprint 9'!B:B, 0)), INDEX('Sprint 9'!J:J, MATCH(B182, 'Sprint 9'!B:B, 0)), "")</f>
        <v>In Progress</v>
      </c>
      <c r="X182" s="102" t="s">
        <v>5920</v>
      </c>
      <c r="Y182" s="102" t="s">
        <v>5920</v>
      </c>
      <c r="Z182" s="102" t="s">
        <v>5913</v>
      </c>
    </row>
    <row r="183">
      <c r="A183" s="102" t="s">
        <v>276</v>
      </c>
      <c r="B183" s="102" t="s">
        <v>7648</v>
      </c>
      <c r="C183" s="229" t="s">
        <v>7649</v>
      </c>
      <c r="D183" s="102" t="s">
        <v>7650</v>
      </c>
      <c r="E183" s="102" t="s">
        <v>391</v>
      </c>
      <c r="F183" s="102" t="s">
        <v>392</v>
      </c>
      <c r="G183" s="102" t="s">
        <v>391</v>
      </c>
      <c r="H183" s="102" t="s">
        <v>392</v>
      </c>
      <c r="I183" s="102" t="s">
        <v>284</v>
      </c>
      <c r="J183" s="102" t="s">
        <v>34</v>
      </c>
      <c r="L183" s="229" t="s">
        <v>7643</v>
      </c>
      <c r="M183" s="229" t="s">
        <v>8014</v>
      </c>
      <c r="O183" s="230"/>
      <c r="S183" s="230"/>
      <c r="T183" s="102" t="s">
        <v>5944</v>
      </c>
      <c r="U183" s="230" t="str">
        <f>IF(ISNUMBER(MATCH(B183, 'Sprint 9'!B:B, 0)), "มาจาก Sprint 9", "")</f>
        <v>มาจาก Sprint 9</v>
      </c>
      <c r="V183" s="230" t="str">
        <f t="array" ref="V183">IF(ISNUMBER(MATCH(B183, 'Sprint 9'!B:B, 0)), INDEX('Sprint 9'!J:J, MATCH(B183, 'Sprint 9'!B:B, 0)), "")</f>
        <v>In Progress</v>
      </c>
      <c r="X183" s="102" t="s">
        <v>5920</v>
      </c>
      <c r="Y183" s="102" t="s">
        <v>5920</v>
      </c>
      <c r="Z183" s="102" t="s">
        <v>5913</v>
      </c>
    </row>
    <row r="184">
      <c r="A184" s="102" t="s">
        <v>276</v>
      </c>
      <c r="B184" s="102" t="s">
        <v>7651</v>
      </c>
      <c r="C184" s="229" t="s">
        <v>7652</v>
      </c>
      <c r="D184" s="102" t="s">
        <v>8015</v>
      </c>
      <c r="E184" s="102"/>
      <c r="F184" s="102"/>
      <c r="G184" s="102" t="s">
        <v>391</v>
      </c>
      <c r="H184" s="102" t="s">
        <v>392</v>
      </c>
      <c r="I184" s="102" t="s">
        <v>284</v>
      </c>
      <c r="J184" s="102" t="s">
        <v>63</v>
      </c>
      <c r="L184" s="229" t="s">
        <v>7654</v>
      </c>
      <c r="M184" s="229" t="s">
        <v>8016</v>
      </c>
      <c r="O184" s="230"/>
      <c r="S184" s="230"/>
      <c r="T184" s="102" t="s">
        <v>5944</v>
      </c>
      <c r="U184" s="230" t="str">
        <f>IF(ISNUMBER(MATCH(B184, 'Sprint 9'!B:B, 0)), "มาจาก Sprint 9", "")</f>
        <v>มาจาก Sprint 9</v>
      </c>
      <c r="V184" s="230" t="str">
        <f t="array" ref="V184">IF(ISNUMBER(MATCH(B184, 'Sprint 9'!B:B, 0)), INDEX('Sprint 9'!J:J, MATCH(B184, 'Sprint 9'!B:B, 0)), "")</f>
        <v>To Do</v>
      </c>
      <c r="X184" s="102" t="s">
        <v>5920</v>
      </c>
      <c r="Y184" s="102" t="s">
        <v>5920</v>
      </c>
      <c r="Z184" s="102" t="s">
        <v>5913</v>
      </c>
    </row>
    <row r="185">
      <c r="A185" s="102" t="s">
        <v>276</v>
      </c>
      <c r="B185" s="102" t="s">
        <v>7656</v>
      </c>
      <c r="C185" s="229" t="s">
        <v>7657</v>
      </c>
      <c r="D185" s="102" t="s">
        <v>7658</v>
      </c>
      <c r="E185" s="102" t="s">
        <v>391</v>
      </c>
      <c r="F185" s="102" t="s">
        <v>392</v>
      </c>
      <c r="G185" s="102" t="s">
        <v>391</v>
      </c>
      <c r="H185" s="102" t="s">
        <v>392</v>
      </c>
      <c r="I185" s="102" t="s">
        <v>284</v>
      </c>
      <c r="J185" s="102" t="s">
        <v>34</v>
      </c>
      <c r="L185" s="229" t="s">
        <v>7654</v>
      </c>
      <c r="M185" s="229" t="s">
        <v>8017</v>
      </c>
      <c r="O185" s="230"/>
      <c r="S185" s="230"/>
      <c r="T185" s="102" t="s">
        <v>5944</v>
      </c>
      <c r="U185" s="230" t="str">
        <f>IF(ISNUMBER(MATCH(B185, 'Sprint 9'!B:B, 0)), "มาจาก Sprint 9", "")</f>
        <v>มาจาก Sprint 9</v>
      </c>
      <c r="V185" s="230" t="str">
        <f t="array" ref="V185">IF(ISNUMBER(MATCH(B185, 'Sprint 9'!B:B, 0)), INDEX('Sprint 9'!J:J, MATCH(B185, 'Sprint 9'!B:B, 0)), "")</f>
        <v>In Progress</v>
      </c>
      <c r="X185" s="102" t="s">
        <v>5920</v>
      </c>
      <c r="Y185" s="102" t="s">
        <v>5920</v>
      </c>
      <c r="Z185" s="102" t="s">
        <v>5913</v>
      </c>
    </row>
    <row r="186">
      <c r="A186" s="102" t="s">
        <v>276</v>
      </c>
      <c r="B186" s="102" t="s">
        <v>7659</v>
      </c>
      <c r="C186" s="229" t="s">
        <v>7660</v>
      </c>
      <c r="D186" s="102" t="s">
        <v>7661</v>
      </c>
      <c r="E186" s="102" t="s">
        <v>391</v>
      </c>
      <c r="F186" s="102" t="s">
        <v>392</v>
      </c>
      <c r="G186" s="102" t="s">
        <v>391</v>
      </c>
      <c r="H186" s="102" t="s">
        <v>392</v>
      </c>
      <c r="I186" s="102" t="s">
        <v>284</v>
      </c>
      <c r="J186" s="102" t="s">
        <v>34</v>
      </c>
      <c r="L186" s="229" t="s">
        <v>7654</v>
      </c>
      <c r="M186" s="229" t="s">
        <v>8018</v>
      </c>
      <c r="O186" s="230"/>
      <c r="S186" s="230"/>
      <c r="T186" s="102" t="s">
        <v>5944</v>
      </c>
      <c r="U186" s="230" t="str">
        <f>IF(ISNUMBER(MATCH(B186, 'Sprint 9'!B:B, 0)), "มาจาก Sprint 9", "")</f>
        <v>มาจาก Sprint 9</v>
      </c>
      <c r="V186" s="230" t="str">
        <f t="array" ref="V186">IF(ISNUMBER(MATCH(B186, 'Sprint 9'!B:B, 0)), INDEX('Sprint 9'!J:J, MATCH(B186, 'Sprint 9'!B:B, 0)), "")</f>
        <v>In Progress</v>
      </c>
      <c r="X186" s="102" t="s">
        <v>5920</v>
      </c>
      <c r="Y186" s="102" t="s">
        <v>5920</v>
      </c>
      <c r="Z186" s="102" t="s">
        <v>5913</v>
      </c>
    </row>
    <row r="187">
      <c r="A187" s="102" t="s">
        <v>276</v>
      </c>
      <c r="B187" s="102" t="s">
        <v>7662</v>
      </c>
      <c r="C187" s="229" t="s">
        <v>7663</v>
      </c>
      <c r="D187" s="102" t="s">
        <v>7664</v>
      </c>
      <c r="E187" s="102" t="s">
        <v>391</v>
      </c>
      <c r="F187" s="102" t="s">
        <v>392</v>
      </c>
      <c r="G187" s="102" t="s">
        <v>391</v>
      </c>
      <c r="H187" s="102" t="s">
        <v>392</v>
      </c>
      <c r="I187" s="102" t="s">
        <v>284</v>
      </c>
      <c r="J187" s="102" t="s">
        <v>34</v>
      </c>
      <c r="L187" s="229" t="s">
        <v>7654</v>
      </c>
      <c r="M187" s="229" t="s">
        <v>8019</v>
      </c>
      <c r="O187" s="230"/>
      <c r="S187" s="230"/>
      <c r="T187" s="102" t="s">
        <v>5944</v>
      </c>
      <c r="U187" s="230" t="str">
        <f>IF(ISNUMBER(MATCH(B187, 'Sprint 9'!B:B, 0)), "มาจาก Sprint 9", "")</f>
        <v>มาจาก Sprint 9</v>
      </c>
      <c r="V187" s="230" t="str">
        <f t="array" ref="V187">IF(ISNUMBER(MATCH(B187, 'Sprint 9'!B:B, 0)), INDEX('Sprint 9'!J:J, MATCH(B187, 'Sprint 9'!B:B, 0)), "")</f>
        <v>In Progress</v>
      </c>
      <c r="X187" s="102" t="s">
        <v>5920</v>
      </c>
      <c r="Y187" s="102" t="s">
        <v>5920</v>
      </c>
      <c r="Z187" s="102" t="s">
        <v>5913</v>
      </c>
    </row>
    <row r="188">
      <c r="A188" s="102" t="s">
        <v>276</v>
      </c>
      <c r="B188" s="102" t="s">
        <v>7666</v>
      </c>
      <c r="C188" s="229" t="s">
        <v>7667</v>
      </c>
      <c r="D188" s="102" t="s">
        <v>7668</v>
      </c>
      <c r="E188" s="102" t="s">
        <v>391</v>
      </c>
      <c r="F188" s="102" t="s">
        <v>392</v>
      </c>
      <c r="G188" s="102" t="s">
        <v>391</v>
      </c>
      <c r="H188" s="102" t="s">
        <v>392</v>
      </c>
      <c r="I188" s="102" t="s">
        <v>284</v>
      </c>
      <c r="J188" s="102" t="s">
        <v>34</v>
      </c>
      <c r="L188" s="229" t="s">
        <v>7669</v>
      </c>
      <c r="M188" s="229" t="s">
        <v>8020</v>
      </c>
      <c r="O188" s="230"/>
      <c r="S188" s="230"/>
      <c r="T188" s="102" t="s">
        <v>5944</v>
      </c>
      <c r="U188" s="230" t="str">
        <f>IF(ISNUMBER(MATCH(B188, 'Sprint 9'!B:B, 0)), "มาจาก Sprint 9", "")</f>
        <v>มาจาก Sprint 9</v>
      </c>
      <c r="V188" s="230" t="str">
        <f t="array" ref="V188">IF(ISNUMBER(MATCH(B188, 'Sprint 9'!B:B, 0)), INDEX('Sprint 9'!J:J, MATCH(B188, 'Sprint 9'!B:B, 0)), "")</f>
        <v>In Progress</v>
      </c>
      <c r="X188" s="102" t="s">
        <v>5920</v>
      </c>
      <c r="Y188" s="102" t="s">
        <v>5920</v>
      </c>
      <c r="Z188" s="102" t="s">
        <v>5913</v>
      </c>
    </row>
    <row r="189">
      <c r="A189" s="102" t="s">
        <v>276</v>
      </c>
      <c r="B189" s="102" t="s">
        <v>8021</v>
      </c>
      <c r="C189" s="229" t="s">
        <v>8022</v>
      </c>
      <c r="D189" s="102" t="s">
        <v>4345</v>
      </c>
      <c r="E189" s="102" t="s">
        <v>391</v>
      </c>
      <c r="F189" s="102" t="s">
        <v>392</v>
      </c>
      <c r="G189" s="102" t="s">
        <v>391</v>
      </c>
      <c r="H189" s="102" t="s">
        <v>392</v>
      </c>
      <c r="I189" s="102" t="s">
        <v>284</v>
      </c>
      <c r="J189" s="102" t="s">
        <v>26</v>
      </c>
      <c r="L189" s="229" t="s">
        <v>7669</v>
      </c>
      <c r="M189" s="229" t="s">
        <v>7949</v>
      </c>
      <c r="O189" s="230"/>
      <c r="S189" s="230"/>
      <c r="T189" s="102" t="s">
        <v>5920</v>
      </c>
      <c r="U189" s="230" t="str">
        <f>IF(ISNUMBER(MATCH(B189, 'Sprint 9'!B:B, 0)), "มาจาก Sprint 9", "")</f>
        <v>มาจาก Sprint 9</v>
      </c>
      <c r="V189" s="230" t="str">
        <f t="array" ref="V189">IF(ISNUMBER(MATCH(B189, 'Sprint 9'!B:B, 0)), INDEX('Sprint 9'!J:J, MATCH(B189, 'Sprint 9'!B:B, 0)), "")</f>
        <v>Done</v>
      </c>
      <c r="X189" s="102" t="s">
        <v>5920</v>
      </c>
      <c r="Y189" s="102" t="s">
        <v>5913</v>
      </c>
      <c r="Z189" s="102"/>
    </row>
    <row r="190">
      <c r="A190" s="102" t="s">
        <v>276</v>
      </c>
      <c r="B190" s="102" t="s">
        <v>7670</v>
      </c>
      <c r="C190" s="229" t="s">
        <v>7671</v>
      </c>
      <c r="D190" s="102" t="s">
        <v>7672</v>
      </c>
      <c r="E190" s="102" t="s">
        <v>391</v>
      </c>
      <c r="F190" s="102" t="s">
        <v>392</v>
      </c>
      <c r="G190" s="102" t="s">
        <v>391</v>
      </c>
      <c r="H190" s="102" t="s">
        <v>392</v>
      </c>
      <c r="I190" s="102" t="s">
        <v>284</v>
      </c>
      <c r="J190" s="102" t="s">
        <v>34</v>
      </c>
      <c r="L190" s="229" t="s">
        <v>7669</v>
      </c>
      <c r="M190" s="229" t="s">
        <v>8020</v>
      </c>
      <c r="O190" s="230"/>
      <c r="S190" s="230"/>
      <c r="T190" s="102" t="s">
        <v>5944</v>
      </c>
      <c r="U190" s="230" t="str">
        <f>IF(ISNUMBER(MATCH(B190, 'Sprint 9'!B:B, 0)), "มาจาก Sprint 9", "")</f>
        <v>มาจาก Sprint 9</v>
      </c>
      <c r="V190" s="230" t="str">
        <f t="array" ref="V190">IF(ISNUMBER(MATCH(B190, 'Sprint 9'!B:B, 0)), INDEX('Sprint 9'!J:J, MATCH(B190, 'Sprint 9'!B:B, 0)), "")</f>
        <v>In Progress</v>
      </c>
      <c r="X190" s="102" t="s">
        <v>5920</v>
      </c>
      <c r="Y190" s="102" t="s">
        <v>5920</v>
      </c>
      <c r="Z190" s="102" t="s">
        <v>5913</v>
      </c>
    </row>
    <row r="191">
      <c r="A191" s="102" t="s">
        <v>276</v>
      </c>
      <c r="B191" s="102" t="s">
        <v>7673</v>
      </c>
      <c r="C191" s="229" t="s">
        <v>7674</v>
      </c>
      <c r="D191" s="102" t="s">
        <v>7675</v>
      </c>
      <c r="E191" s="102" t="s">
        <v>391</v>
      </c>
      <c r="F191" s="102" t="s">
        <v>392</v>
      </c>
      <c r="G191" s="102" t="s">
        <v>391</v>
      </c>
      <c r="H191" s="102" t="s">
        <v>392</v>
      </c>
      <c r="I191" s="102" t="s">
        <v>284</v>
      </c>
      <c r="J191" s="102" t="s">
        <v>34</v>
      </c>
      <c r="L191" s="229" t="s">
        <v>7676</v>
      </c>
      <c r="M191" s="229" t="s">
        <v>8020</v>
      </c>
      <c r="O191" s="230"/>
      <c r="S191" s="230"/>
      <c r="T191" s="102" t="s">
        <v>5944</v>
      </c>
      <c r="U191" s="230" t="str">
        <f>IF(ISNUMBER(MATCH(B191, 'Sprint 9'!B:B, 0)), "มาจาก Sprint 9", "")</f>
        <v>มาจาก Sprint 9</v>
      </c>
      <c r="V191" s="230" t="str">
        <f t="array" ref="V191">IF(ISNUMBER(MATCH(B191, 'Sprint 9'!B:B, 0)), INDEX('Sprint 9'!J:J, MATCH(B191, 'Sprint 9'!B:B, 0)), "")</f>
        <v>In Progress</v>
      </c>
      <c r="X191" s="102" t="s">
        <v>5920</v>
      </c>
      <c r="Y191" s="102" t="s">
        <v>5920</v>
      </c>
      <c r="Z191" s="102" t="s">
        <v>5913</v>
      </c>
    </row>
    <row r="192">
      <c r="A192" s="102" t="s">
        <v>276</v>
      </c>
      <c r="B192" s="102" t="s">
        <v>7677</v>
      </c>
      <c r="C192" s="229" t="s">
        <v>7678</v>
      </c>
      <c r="D192" s="102" t="s">
        <v>7679</v>
      </c>
      <c r="E192" s="102" t="s">
        <v>391</v>
      </c>
      <c r="F192" s="102" t="s">
        <v>392</v>
      </c>
      <c r="G192" s="102" t="s">
        <v>391</v>
      </c>
      <c r="H192" s="102" t="s">
        <v>392</v>
      </c>
      <c r="I192" s="102" t="s">
        <v>284</v>
      </c>
      <c r="J192" s="102" t="s">
        <v>34</v>
      </c>
      <c r="L192" s="229" t="s">
        <v>7676</v>
      </c>
      <c r="M192" s="229" t="s">
        <v>8020</v>
      </c>
      <c r="O192" s="230"/>
      <c r="S192" s="230"/>
      <c r="T192" s="102" t="s">
        <v>5944</v>
      </c>
      <c r="U192" s="230" t="str">
        <f>IF(ISNUMBER(MATCH(B192, 'Sprint 9'!B:B, 0)), "มาจาก Sprint 9", "")</f>
        <v>มาจาก Sprint 9</v>
      </c>
      <c r="V192" s="230" t="str">
        <f t="array" ref="V192">IF(ISNUMBER(MATCH(B192, 'Sprint 9'!B:B, 0)), INDEX('Sprint 9'!J:J, MATCH(B192, 'Sprint 9'!B:B, 0)), "")</f>
        <v>In Progress</v>
      </c>
      <c r="X192" s="102" t="s">
        <v>5920</v>
      </c>
      <c r="Y192" s="102" t="s">
        <v>5920</v>
      </c>
      <c r="Z192" s="102" t="s">
        <v>5913</v>
      </c>
    </row>
    <row r="193">
      <c r="A193" s="102" t="s">
        <v>276</v>
      </c>
      <c r="B193" s="102" t="s">
        <v>7680</v>
      </c>
      <c r="C193" s="229" t="s">
        <v>7681</v>
      </c>
      <c r="D193" s="102" t="s">
        <v>7682</v>
      </c>
      <c r="E193" s="102" t="s">
        <v>391</v>
      </c>
      <c r="F193" s="102" t="s">
        <v>392</v>
      </c>
      <c r="G193" s="102" t="s">
        <v>391</v>
      </c>
      <c r="H193" s="102" t="s">
        <v>392</v>
      </c>
      <c r="I193" s="102" t="s">
        <v>284</v>
      </c>
      <c r="J193" s="102" t="s">
        <v>34</v>
      </c>
      <c r="L193" s="229" t="s">
        <v>7683</v>
      </c>
      <c r="M193" s="229" t="s">
        <v>8023</v>
      </c>
      <c r="O193" s="230"/>
      <c r="S193" s="230"/>
      <c r="T193" s="102" t="s">
        <v>5944</v>
      </c>
      <c r="U193" s="230" t="str">
        <f>IF(ISNUMBER(MATCH(B193, 'Sprint 9'!B:B, 0)), "มาจาก Sprint 9", "")</f>
        <v>มาจาก Sprint 9</v>
      </c>
      <c r="V193" s="230" t="str">
        <f t="array" ref="V193">IF(ISNUMBER(MATCH(B193, 'Sprint 9'!B:B, 0)), INDEX('Sprint 9'!J:J, MATCH(B193, 'Sprint 9'!B:B, 0)), "")</f>
        <v>In Progress</v>
      </c>
      <c r="X193" s="102" t="s">
        <v>5920</v>
      </c>
      <c r="Y193" s="102" t="s">
        <v>5920</v>
      </c>
      <c r="Z193" s="102" t="s">
        <v>5913</v>
      </c>
    </row>
    <row r="194">
      <c r="A194" s="102" t="s">
        <v>276</v>
      </c>
      <c r="B194" s="102" t="s">
        <v>7684</v>
      </c>
      <c r="C194" s="229" t="s">
        <v>7685</v>
      </c>
      <c r="D194" s="102" t="s">
        <v>7686</v>
      </c>
      <c r="E194" s="102" t="s">
        <v>391</v>
      </c>
      <c r="F194" s="102" t="s">
        <v>392</v>
      </c>
      <c r="G194" s="102" t="s">
        <v>391</v>
      </c>
      <c r="H194" s="102" t="s">
        <v>392</v>
      </c>
      <c r="I194" s="102" t="s">
        <v>284</v>
      </c>
      <c r="J194" s="102" t="s">
        <v>34</v>
      </c>
      <c r="L194" s="229" t="s">
        <v>7683</v>
      </c>
      <c r="M194" s="229" t="s">
        <v>8023</v>
      </c>
      <c r="O194" s="230"/>
      <c r="S194" s="230"/>
      <c r="T194" s="102" t="s">
        <v>5944</v>
      </c>
      <c r="U194" s="230" t="str">
        <f>IF(ISNUMBER(MATCH(B194, 'Sprint 9'!B:B, 0)), "มาจาก Sprint 9", "")</f>
        <v>มาจาก Sprint 9</v>
      </c>
      <c r="V194" s="230" t="str">
        <f t="array" ref="V194">IF(ISNUMBER(MATCH(B194, 'Sprint 9'!B:B, 0)), INDEX('Sprint 9'!J:J, MATCH(B194, 'Sprint 9'!B:B, 0)), "")</f>
        <v>In Progress</v>
      </c>
      <c r="X194" s="102" t="s">
        <v>5920</v>
      </c>
      <c r="Y194" s="102" t="s">
        <v>5920</v>
      </c>
      <c r="Z194" s="102" t="s">
        <v>5913</v>
      </c>
    </row>
    <row r="195">
      <c r="A195" s="102" t="s">
        <v>276</v>
      </c>
      <c r="B195" s="102" t="s">
        <v>7687</v>
      </c>
      <c r="C195" s="229" t="s">
        <v>7688</v>
      </c>
      <c r="D195" s="102" t="s">
        <v>7689</v>
      </c>
      <c r="E195" s="102" t="s">
        <v>391</v>
      </c>
      <c r="F195" s="102" t="s">
        <v>392</v>
      </c>
      <c r="G195" s="102" t="s">
        <v>391</v>
      </c>
      <c r="H195" s="102" t="s">
        <v>392</v>
      </c>
      <c r="I195" s="102" t="s">
        <v>284</v>
      </c>
      <c r="J195" s="102" t="s">
        <v>34</v>
      </c>
      <c r="L195" s="229" t="s">
        <v>7690</v>
      </c>
      <c r="M195" s="229" t="s">
        <v>8023</v>
      </c>
      <c r="O195" s="230"/>
      <c r="S195" s="230"/>
      <c r="T195" s="102" t="s">
        <v>5944</v>
      </c>
      <c r="U195" s="230" t="str">
        <f>IF(ISNUMBER(MATCH(B195, 'Sprint 9'!B:B, 0)), "มาจาก Sprint 9", "")</f>
        <v>มาจาก Sprint 9</v>
      </c>
      <c r="V195" s="230" t="str">
        <f t="array" ref="V195">IF(ISNUMBER(MATCH(B195, 'Sprint 9'!B:B, 0)), INDEX('Sprint 9'!J:J, MATCH(B195, 'Sprint 9'!B:B, 0)), "")</f>
        <v>In Progress</v>
      </c>
      <c r="X195" s="102" t="s">
        <v>5920</v>
      </c>
      <c r="Y195" s="102" t="s">
        <v>5920</v>
      </c>
      <c r="Z195" s="102" t="s">
        <v>5913</v>
      </c>
    </row>
    <row r="196">
      <c r="A196" s="102" t="s">
        <v>276</v>
      </c>
      <c r="B196" s="102" t="s">
        <v>7691</v>
      </c>
      <c r="C196" s="229" t="s">
        <v>7692</v>
      </c>
      <c r="D196" s="102" t="s">
        <v>4345</v>
      </c>
      <c r="E196" s="102" t="s">
        <v>391</v>
      </c>
      <c r="F196" s="102" t="s">
        <v>392</v>
      </c>
      <c r="G196" s="102" t="s">
        <v>391</v>
      </c>
      <c r="H196" s="102" t="s">
        <v>392</v>
      </c>
      <c r="I196" s="102" t="s">
        <v>284</v>
      </c>
      <c r="J196" s="102" t="s">
        <v>63</v>
      </c>
      <c r="L196" s="229" t="s">
        <v>7693</v>
      </c>
      <c r="M196" s="229" t="s">
        <v>7693</v>
      </c>
      <c r="O196" s="230"/>
      <c r="S196" s="230"/>
      <c r="T196" s="102" t="s">
        <v>7695</v>
      </c>
      <c r="U196" s="230" t="str">
        <f>IF(ISNUMBER(MATCH(B196, 'Sprint 9'!B:B, 0)), "มาจาก Sprint 9", "")</f>
        <v>มาจาก Sprint 9</v>
      </c>
      <c r="V196" s="230" t="str">
        <f t="array" ref="V196">IF(ISNUMBER(MATCH(B196, 'Sprint 9'!B:B, 0)), INDEX('Sprint 9'!J:J, MATCH(B196, 'Sprint 9'!B:B, 0)), "")</f>
        <v>To Do</v>
      </c>
      <c r="X196" s="102" t="s">
        <v>7696</v>
      </c>
      <c r="Y196" s="102" t="s">
        <v>5944</v>
      </c>
      <c r="Z196" s="102" t="s">
        <v>5920</v>
      </c>
      <c r="AA196" s="102" t="s">
        <v>5920</v>
      </c>
      <c r="AB196" s="102" t="s">
        <v>5913</v>
      </c>
    </row>
    <row r="197">
      <c r="A197" s="102" t="s">
        <v>276</v>
      </c>
      <c r="B197" s="102" t="s">
        <v>6462</v>
      </c>
      <c r="C197" s="229" t="s">
        <v>6463</v>
      </c>
      <c r="D197" s="102" t="s">
        <v>4345</v>
      </c>
      <c r="E197" s="102" t="s">
        <v>280</v>
      </c>
      <c r="F197" s="102" t="s">
        <v>281</v>
      </c>
      <c r="G197" s="102" t="s">
        <v>391</v>
      </c>
      <c r="H197" s="102" t="s">
        <v>392</v>
      </c>
      <c r="I197" s="102" t="s">
        <v>284</v>
      </c>
      <c r="J197" s="102" t="s">
        <v>63</v>
      </c>
      <c r="L197" s="229" t="s">
        <v>6464</v>
      </c>
      <c r="M197" s="229" t="s">
        <v>6464</v>
      </c>
      <c r="O197" s="230"/>
      <c r="S197" s="230"/>
      <c r="T197" s="102" t="s">
        <v>5944</v>
      </c>
      <c r="U197" s="230" t="str">
        <f>IF(ISNUMBER(MATCH(B197, 'Sprint 9'!B:B, 0)), "มาจาก Sprint 9", "")</f>
        <v>มาจาก Sprint 9</v>
      </c>
      <c r="V197" s="230" t="str">
        <f t="array" ref="V197">IF(ISNUMBER(MATCH(B197, 'Sprint 9'!B:B, 0)), INDEX('Sprint 9'!J:J, MATCH(B197, 'Sprint 9'!B:B, 0)), "")</f>
        <v>To Do</v>
      </c>
      <c r="X197" s="102" t="s">
        <v>5920</v>
      </c>
      <c r="Y197" s="102" t="s">
        <v>5920</v>
      </c>
      <c r="Z197" s="102" t="s">
        <v>5913</v>
      </c>
    </row>
    <row r="198">
      <c r="A198" s="102" t="s">
        <v>276</v>
      </c>
      <c r="B198" s="102" t="s">
        <v>8603</v>
      </c>
      <c r="C198" s="229" t="s">
        <v>8604</v>
      </c>
      <c r="D198" s="102" t="s">
        <v>4345</v>
      </c>
      <c r="E198" s="102" t="s">
        <v>521</v>
      </c>
      <c r="F198" s="102" t="s">
        <v>522</v>
      </c>
      <c r="G198" s="102" t="s">
        <v>391</v>
      </c>
      <c r="H198" s="102" t="s">
        <v>392</v>
      </c>
      <c r="I198" s="102" t="s">
        <v>284</v>
      </c>
      <c r="J198" s="102" t="s">
        <v>63</v>
      </c>
      <c r="L198" s="229" t="s">
        <v>6464</v>
      </c>
      <c r="M198" s="229" t="s">
        <v>6464</v>
      </c>
      <c r="O198" s="230"/>
      <c r="S198" s="230"/>
      <c r="T198" s="102" t="s">
        <v>5920</v>
      </c>
      <c r="U198" s="230" t="str">
        <f>IF(ISNUMBER(MATCH(B198, 'Sprint 9'!B:B, 0)), "มาจาก Sprint 9", "")</f>
        <v>มาจาก Sprint 9</v>
      </c>
      <c r="V198" s="230" t="str">
        <f t="array" ref="V198">IF(ISNUMBER(MATCH(B198, 'Sprint 9'!B:B, 0)), INDEX('Sprint 9'!J:J, MATCH(B198, 'Sprint 9'!B:B, 0)), "")</f>
        <v>To Do</v>
      </c>
      <c r="X198" s="102" t="s">
        <v>5920</v>
      </c>
      <c r="Y198" s="102" t="s">
        <v>5913</v>
      </c>
      <c r="Z198" s="102"/>
      <c r="AA198" s="102"/>
      <c r="AB198" s="102"/>
    </row>
    <row r="199">
      <c r="A199" s="102" t="s">
        <v>276</v>
      </c>
      <c r="B199" s="102" t="s">
        <v>8024</v>
      </c>
      <c r="C199" s="229" t="s">
        <v>8025</v>
      </c>
      <c r="D199" s="102" t="s">
        <v>8026</v>
      </c>
      <c r="E199" s="102" t="s">
        <v>521</v>
      </c>
      <c r="F199" s="102" t="s">
        <v>522</v>
      </c>
      <c r="G199" s="102" t="s">
        <v>391</v>
      </c>
      <c r="H199" s="102" t="s">
        <v>392</v>
      </c>
      <c r="I199" s="102" t="s">
        <v>284</v>
      </c>
      <c r="J199" s="102" t="s">
        <v>26</v>
      </c>
      <c r="L199" s="229" t="s">
        <v>7700</v>
      </c>
      <c r="M199" s="229" t="s">
        <v>8027</v>
      </c>
      <c r="O199" s="230"/>
      <c r="S199" s="230"/>
      <c r="T199" s="102" t="s">
        <v>5944</v>
      </c>
      <c r="U199" s="230" t="str">
        <f>IF(ISNUMBER(MATCH(B199, 'Sprint 9'!B:B, 0)), "มาจาก Sprint 9", "")</f>
        <v>มาจาก Sprint 9</v>
      </c>
      <c r="V199" s="230" t="str">
        <f t="array" ref="V199">IF(ISNUMBER(MATCH(B199, 'Sprint 9'!B:B, 0)), INDEX('Sprint 9'!J:J, MATCH(B199, 'Sprint 9'!B:B, 0)), "")</f>
        <v>Done</v>
      </c>
      <c r="X199" s="102" t="s">
        <v>5920</v>
      </c>
      <c r="Y199" s="102" t="s">
        <v>5920</v>
      </c>
      <c r="Z199" s="102" t="s">
        <v>5913</v>
      </c>
    </row>
    <row r="200">
      <c r="A200" s="102" t="s">
        <v>276</v>
      </c>
      <c r="B200" s="102" t="s">
        <v>7697</v>
      </c>
      <c r="C200" s="229" t="s">
        <v>7698</v>
      </c>
      <c r="D200" s="102" t="s">
        <v>4345</v>
      </c>
      <c r="E200" s="102" t="s">
        <v>391</v>
      </c>
      <c r="F200" s="102" t="s">
        <v>392</v>
      </c>
      <c r="G200" s="102" t="s">
        <v>391</v>
      </c>
      <c r="H200" s="102" t="s">
        <v>392</v>
      </c>
      <c r="I200" s="102" t="s">
        <v>284</v>
      </c>
      <c r="J200" s="102" t="s">
        <v>63</v>
      </c>
      <c r="L200" s="229" t="s">
        <v>7700</v>
      </c>
      <c r="M200" s="229" t="s">
        <v>7700</v>
      </c>
      <c r="O200" s="230"/>
      <c r="S200" s="230"/>
      <c r="T200" s="102" t="s">
        <v>5944</v>
      </c>
      <c r="U200" s="230" t="str">
        <f>IF(ISNUMBER(MATCH(B200, 'Sprint 9'!B:B, 0)), "มาจาก Sprint 9", "")</f>
        <v>มาจาก Sprint 9</v>
      </c>
      <c r="V200" s="230" t="str">
        <f t="array" ref="V200">IF(ISNUMBER(MATCH(B200, 'Sprint 9'!B:B, 0)), INDEX('Sprint 9'!J:J, MATCH(B200, 'Sprint 9'!B:B, 0)), "")</f>
        <v>To Do</v>
      </c>
      <c r="X200" s="102" t="s">
        <v>5920</v>
      </c>
      <c r="Y200" s="102" t="s">
        <v>5920</v>
      </c>
      <c r="Z200" s="102" t="s">
        <v>5913</v>
      </c>
    </row>
    <row r="201">
      <c r="A201" s="102" t="s">
        <v>276</v>
      </c>
      <c r="B201" s="102" t="s">
        <v>8028</v>
      </c>
      <c r="C201" s="229" t="s">
        <v>8029</v>
      </c>
      <c r="D201" s="102" t="s">
        <v>8030</v>
      </c>
      <c r="E201" s="102" t="s">
        <v>521</v>
      </c>
      <c r="F201" s="102" t="s">
        <v>522</v>
      </c>
      <c r="G201" s="102" t="s">
        <v>391</v>
      </c>
      <c r="H201" s="102" t="s">
        <v>392</v>
      </c>
      <c r="I201" s="102" t="s">
        <v>284</v>
      </c>
      <c r="J201" s="102" t="s">
        <v>26</v>
      </c>
      <c r="L201" s="229" t="s">
        <v>8031</v>
      </c>
      <c r="M201" s="229" t="s">
        <v>8032</v>
      </c>
      <c r="O201" s="230"/>
      <c r="S201" s="230"/>
      <c r="T201" s="102" t="s">
        <v>5944</v>
      </c>
      <c r="U201" s="230" t="str">
        <f>IF(ISNUMBER(MATCH(B201, 'Sprint 9'!B:B, 0)), "มาจาก Sprint 9", "")</f>
        <v>มาจาก Sprint 9</v>
      </c>
      <c r="V201" s="230" t="str">
        <f t="array" ref="V201">IF(ISNUMBER(MATCH(B201, 'Sprint 9'!B:B, 0)), INDEX('Sprint 9'!J:J, MATCH(B201, 'Sprint 9'!B:B, 0)), "")</f>
        <v>Done</v>
      </c>
      <c r="X201" s="102" t="s">
        <v>5920</v>
      </c>
      <c r="Y201" s="102" t="s">
        <v>5920</v>
      </c>
      <c r="Z201" s="102" t="s">
        <v>5913</v>
      </c>
    </row>
    <row r="202">
      <c r="A202" s="102" t="s">
        <v>310</v>
      </c>
      <c r="B202" s="102" t="s">
        <v>8605</v>
      </c>
      <c r="C202" s="229" t="s">
        <v>8606</v>
      </c>
      <c r="D202" s="102" t="s">
        <v>8607</v>
      </c>
      <c r="E202" s="102" t="s">
        <v>513</v>
      </c>
      <c r="F202" s="102" t="s">
        <v>514</v>
      </c>
      <c r="G202" s="102" t="s">
        <v>353</v>
      </c>
      <c r="H202" s="102" t="s">
        <v>354</v>
      </c>
      <c r="I202" s="102" t="s">
        <v>284</v>
      </c>
      <c r="J202" s="102" t="s">
        <v>26</v>
      </c>
      <c r="L202" s="229" t="s">
        <v>8608</v>
      </c>
      <c r="M202" s="229" t="s">
        <v>8609</v>
      </c>
      <c r="N202" s="229" t="s">
        <v>6481</v>
      </c>
      <c r="O202" s="102">
        <v>5.0</v>
      </c>
      <c r="T202" s="102" t="s">
        <v>5944</v>
      </c>
      <c r="U202" s="230" t="str">
        <f>IF(ISNUMBER(MATCH(B202, 'Sprint 9'!B:B, 0)), "มาจาก Sprint 9", "")</f>
        <v>มาจาก Sprint 9</v>
      </c>
      <c r="V202" s="230" t="str">
        <f t="array" ref="V202">IF(ISNUMBER(MATCH(B202, 'Sprint 9'!B:B, 0)), INDEX('Sprint 9'!J:J, MATCH(B202, 'Sprint 9'!B:B, 0)), "")</f>
        <v>Ready To Test</v>
      </c>
      <c r="W202" s="102">
        <v>57600.0</v>
      </c>
      <c r="X202" s="102" t="s">
        <v>5920</v>
      </c>
      <c r="Y202" s="102" t="s">
        <v>5920</v>
      </c>
      <c r="Z202" s="102" t="s">
        <v>5913</v>
      </c>
    </row>
    <row r="203">
      <c r="A203" s="102" t="s">
        <v>310</v>
      </c>
      <c r="B203" s="102" t="s">
        <v>7702</v>
      </c>
      <c r="C203" s="229" t="s">
        <v>7703</v>
      </c>
      <c r="D203" s="102" t="s">
        <v>7704</v>
      </c>
      <c r="E203" s="102" t="s">
        <v>584</v>
      </c>
      <c r="F203" s="102" t="s">
        <v>585</v>
      </c>
      <c r="G203" s="102" t="s">
        <v>282</v>
      </c>
      <c r="H203" s="102" t="s">
        <v>283</v>
      </c>
      <c r="I203" s="102" t="s">
        <v>284</v>
      </c>
      <c r="J203" s="102" t="s">
        <v>454</v>
      </c>
      <c r="L203" s="229" t="s">
        <v>7705</v>
      </c>
      <c r="M203" s="229" t="s">
        <v>8426</v>
      </c>
      <c r="N203" s="229" t="s">
        <v>6456</v>
      </c>
      <c r="O203" s="102">
        <v>3.0</v>
      </c>
      <c r="P203" s="102" t="s">
        <v>5912</v>
      </c>
      <c r="T203" s="102" t="s">
        <v>5920</v>
      </c>
      <c r="U203" s="230" t="str">
        <f>IF(ISNUMBER(MATCH(B203, 'Sprint 9'!B:B, 0)), "มาจาก Sprint 9", "")</f>
        <v>มาจาก Sprint 9</v>
      </c>
      <c r="V203" s="230" t="str">
        <f t="array" ref="V203">IF(ISNUMBER(MATCH(B203, 'Sprint 9'!B:B, 0)), INDEX('Sprint 9'!J:J, MATCH(B203, 'Sprint 9'!B:B, 0)), "")</f>
        <v>Ready To Test</v>
      </c>
      <c r="W203" s="102">
        <v>21600.0</v>
      </c>
      <c r="X203" s="102" t="s">
        <v>5920</v>
      </c>
      <c r="Y203" s="102" t="s">
        <v>5913</v>
      </c>
      <c r="Z203" s="102"/>
    </row>
    <row r="204">
      <c r="A204" s="102" t="s">
        <v>310</v>
      </c>
      <c r="B204" s="102" t="s">
        <v>6466</v>
      </c>
      <c r="C204" s="229" t="s">
        <v>6467</v>
      </c>
      <c r="D204" s="102" t="s">
        <v>6468</v>
      </c>
      <c r="E204" s="102" t="s">
        <v>304</v>
      </c>
      <c r="F204" s="102" t="s">
        <v>305</v>
      </c>
      <c r="G204" s="102" t="s">
        <v>353</v>
      </c>
      <c r="H204" s="102" t="s">
        <v>354</v>
      </c>
      <c r="I204" s="102" t="s">
        <v>284</v>
      </c>
      <c r="J204" s="102" t="s">
        <v>454</v>
      </c>
      <c r="L204" s="229" t="s">
        <v>6469</v>
      </c>
      <c r="M204" s="229" t="s">
        <v>8426</v>
      </c>
      <c r="N204" s="229" t="s">
        <v>6471</v>
      </c>
      <c r="O204" s="102">
        <v>3.0</v>
      </c>
      <c r="P204" s="102" t="s">
        <v>3197</v>
      </c>
      <c r="Q204" s="102" t="s">
        <v>593</v>
      </c>
      <c r="T204" s="102" t="s">
        <v>5944</v>
      </c>
      <c r="U204" s="230" t="str">
        <f>IF(ISNUMBER(MATCH(B204, 'Sprint 9'!B:B, 0)), "มาจาก Sprint 9", "")</f>
        <v>มาจาก Sprint 9</v>
      </c>
      <c r="V204" s="230" t="str">
        <f t="array" ref="V204">IF(ISNUMBER(MATCH(B204, 'Sprint 9'!B:B, 0)), INDEX('Sprint 9'!J:J, MATCH(B204, 'Sprint 9'!B:B, 0)), "")</f>
        <v>Ready To Test</v>
      </c>
      <c r="W204" s="102">
        <v>18000.0</v>
      </c>
      <c r="X204" s="102" t="s">
        <v>5920</v>
      </c>
      <c r="Y204" s="102" t="s">
        <v>5920</v>
      </c>
      <c r="Z204" s="102" t="s">
        <v>5913</v>
      </c>
    </row>
    <row r="205">
      <c r="A205" s="102" t="s">
        <v>310</v>
      </c>
      <c r="B205" s="102" t="s">
        <v>7706</v>
      </c>
      <c r="C205" s="229" t="s">
        <v>7707</v>
      </c>
      <c r="D205" s="102" t="s">
        <v>8610</v>
      </c>
      <c r="E205" s="102" t="s">
        <v>353</v>
      </c>
      <c r="F205" s="102" t="s">
        <v>354</v>
      </c>
      <c r="G205" s="102" t="s">
        <v>353</v>
      </c>
      <c r="H205" s="102" t="s">
        <v>354</v>
      </c>
      <c r="I205" s="102" t="s">
        <v>515</v>
      </c>
      <c r="J205" s="102" t="s">
        <v>454</v>
      </c>
      <c r="L205" s="229" t="s">
        <v>7709</v>
      </c>
      <c r="M205" s="229" t="s">
        <v>8611</v>
      </c>
      <c r="N205" s="102"/>
      <c r="O205" s="102">
        <v>5.0</v>
      </c>
      <c r="P205" s="102"/>
      <c r="S205" s="102">
        <v>28800.0</v>
      </c>
      <c r="T205" s="102" t="s">
        <v>5920</v>
      </c>
      <c r="U205" s="230" t="str">
        <f>IF(ISNUMBER(MATCH(B205, 'Sprint 9'!B:B, 0)), "มาจาก Sprint 9", "")</f>
        <v>มาจาก Sprint 9</v>
      </c>
      <c r="V205" s="230" t="str">
        <f t="array" ref="V205">IF(ISNUMBER(MATCH(B205, 'Sprint 9'!B:B, 0)), INDEX('Sprint 9'!J:J, MATCH(B205, 'Sprint 9'!B:B, 0)), "")</f>
        <v>In Progress</v>
      </c>
      <c r="W205" s="102" t="s">
        <v>3995</v>
      </c>
      <c r="X205" s="102" t="s">
        <v>5920</v>
      </c>
      <c r="Y205" s="102" t="s">
        <v>5913</v>
      </c>
    </row>
    <row r="206">
      <c r="A206" s="102" t="s">
        <v>310</v>
      </c>
      <c r="B206" s="102" t="s">
        <v>8612</v>
      </c>
      <c r="C206" s="229" t="s">
        <v>8613</v>
      </c>
      <c r="D206" s="102" t="s">
        <v>8614</v>
      </c>
      <c r="E206" s="102" t="s">
        <v>304</v>
      </c>
      <c r="F206" s="102" t="s">
        <v>305</v>
      </c>
      <c r="G206" s="102" t="s">
        <v>314</v>
      </c>
      <c r="H206" s="102" t="s">
        <v>315</v>
      </c>
      <c r="I206" s="102" t="s">
        <v>284</v>
      </c>
      <c r="J206" s="102" t="s">
        <v>26</v>
      </c>
      <c r="L206" s="229" t="s">
        <v>8615</v>
      </c>
      <c r="M206" s="229" t="s">
        <v>8557</v>
      </c>
      <c r="N206" s="229" t="s">
        <v>8602</v>
      </c>
      <c r="O206" s="102">
        <v>5.0</v>
      </c>
      <c r="P206" s="102" t="s">
        <v>1305</v>
      </c>
      <c r="Q206" s="102" t="s">
        <v>593</v>
      </c>
      <c r="S206" s="102"/>
      <c r="T206" s="102" t="s">
        <v>1363</v>
      </c>
      <c r="U206" s="230" t="str">
        <f>IF(ISNUMBER(MATCH(B206, 'Sprint 9'!B:B, 0)), "มาจาก Sprint 9", "")</f>
        <v>มาจาก Sprint 9</v>
      </c>
      <c r="V206" s="230" t="str">
        <f t="array" ref="V206">IF(ISNUMBER(MATCH(B206, 'Sprint 9'!B:B, 0)), INDEX('Sprint 9'!J:J, MATCH(B206, 'Sprint 9'!B:B, 0)), "")</f>
        <v>Ready To Test</v>
      </c>
      <c r="X206" s="102" t="s">
        <v>1363</v>
      </c>
      <c r="Y206" s="102" t="s">
        <v>1364</v>
      </c>
      <c r="Z206" s="102"/>
    </row>
    <row r="207">
      <c r="A207" s="102" t="s">
        <v>332</v>
      </c>
      <c r="B207" s="102" t="s">
        <v>8616</v>
      </c>
      <c r="C207" s="229" t="s">
        <v>8617</v>
      </c>
      <c r="D207" s="102" t="s">
        <v>8618</v>
      </c>
      <c r="E207" s="102" t="s">
        <v>353</v>
      </c>
      <c r="F207" s="102" t="s">
        <v>354</v>
      </c>
      <c r="G207" s="102" t="s">
        <v>316</v>
      </c>
      <c r="H207" s="102" t="s">
        <v>317</v>
      </c>
      <c r="I207" s="102" t="s">
        <v>284</v>
      </c>
      <c r="J207" s="102" t="s">
        <v>2318</v>
      </c>
      <c r="L207" s="229" t="s">
        <v>8619</v>
      </c>
      <c r="M207" s="229" t="s">
        <v>8620</v>
      </c>
      <c r="O207" s="102"/>
      <c r="S207" s="102"/>
      <c r="T207" s="102" t="s">
        <v>8621</v>
      </c>
      <c r="U207" s="230" t="str">
        <f>IF(ISNUMBER(MATCH(B207, 'Sprint 9'!B:B, 0)), "มาจาก Sprint 9", "")</f>
        <v/>
      </c>
      <c r="V207" s="230" t="str">
        <f t="array" ref="V207">IF(ISNUMBER(MATCH(B207, 'Sprint 9'!B:B, 0)), INDEX('Sprint 9'!J:J, MATCH(B207, 'Sprint 9'!B:B, 0)), "")</f>
        <v/>
      </c>
      <c r="X207" s="102" t="s">
        <v>4961</v>
      </c>
      <c r="Y207" s="102"/>
    </row>
    <row r="208">
      <c r="A208" s="102" t="s">
        <v>332</v>
      </c>
      <c r="B208" s="102" t="s">
        <v>8622</v>
      </c>
      <c r="C208" s="229" t="s">
        <v>8623</v>
      </c>
      <c r="D208" s="102" t="s">
        <v>8624</v>
      </c>
      <c r="E208" s="102" t="s">
        <v>304</v>
      </c>
      <c r="F208" s="102" t="s">
        <v>305</v>
      </c>
      <c r="G208" s="102" t="s">
        <v>316</v>
      </c>
      <c r="H208" s="102" t="s">
        <v>317</v>
      </c>
      <c r="I208" s="102" t="s">
        <v>284</v>
      </c>
      <c r="J208" s="102" t="s">
        <v>1408</v>
      </c>
      <c r="L208" s="229" t="s">
        <v>8625</v>
      </c>
      <c r="M208" s="229" t="s">
        <v>8478</v>
      </c>
      <c r="N208" s="102"/>
      <c r="O208" s="102"/>
      <c r="P208" s="102"/>
      <c r="Q208" s="102"/>
      <c r="S208" s="230"/>
      <c r="T208" s="102" t="s">
        <v>4960</v>
      </c>
      <c r="U208" s="230" t="str">
        <f>IF(ISNUMBER(MATCH(B208, 'Sprint 9'!B:B, 0)), "มาจาก Sprint 9", "")</f>
        <v>มาจาก Sprint 9</v>
      </c>
      <c r="V208" s="230" t="str">
        <f t="array" ref="V208">IF(ISNUMBER(MATCH(B208, 'Sprint 9'!B:B, 0)), INDEX('Sprint 9'!J:J, MATCH(B208, 'Sprint 9'!B:B, 0)), "")</f>
        <v>UNDER VALIDATION</v>
      </c>
      <c r="X208" s="102" t="s">
        <v>4961</v>
      </c>
      <c r="Y208" s="102"/>
    </row>
    <row r="209">
      <c r="A209" s="102" t="s">
        <v>310</v>
      </c>
      <c r="B209" s="102" t="s">
        <v>8626</v>
      </c>
      <c r="C209" s="229" t="s">
        <v>8627</v>
      </c>
      <c r="D209" s="102" t="s">
        <v>8628</v>
      </c>
      <c r="E209" s="102" t="s">
        <v>584</v>
      </c>
      <c r="F209" s="102" t="s">
        <v>585</v>
      </c>
      <c r="G209" s="102" t="s">
        <v>353</v>
      </c>
      <c r="H209" s="102" t="s">
        <v>354</v>
      </c>
      <c r="I209" s="102" t="s">
        <v>284</v>
      </c>
      <c r="J209" s="102" t="s">
        <v>26</v>
      </c>
      <c r="L209" s="229" t="s">
        <v>8629</v>
      </c>
      <c r="M209" s="229" t="s">
        <v>8609</v>
      </c>
      <c r="N209" s="229" t="s">
        <v>7761</v>
      </c>
      <c r="O209" s="102">
        <v>8.0</v>
      </c>
      <c r="T209" s="102" t="s">
        <v>5944</v>
      </c>
      <c r="U209" s="230" t="str">
        <f>IF(ISNUMBER(MATCH(B209, 'Sprint 9'!B:B, 0)), "มาจาก Sprint 9", "")</f>
        <v>มาจาก Sprint 9</v>
      </c>
      <c r="V209" s="230" t="str">
        <f t="array" ref="V209">IF(ISNUMBER(MATCH(B209, 'Sprint 9'!B:B, 0)), INDEX('Sprint 9'!J:J, MATCH(B209, 'Sprint 9'!B:B, 0)), "")</f>
        <v>Ready To Test</v>
      </c>
      <c r="W209" s="102">
        <v>86400.0</v>
      </c>
      <c r="X209" s="102" t="s">
        <v>5920</v>
      </c>
      <c r="Y209" s="102" t="s">
        <v>5920</v>
      </c>
      <c r="Z209" s="102" t="s">
        <v>5913</v>
      </c>
    </row>
    <row r="210">
      <c r="A210" s="102" t="s">
        <v>310</v>
      </c>
      <c r="B210" s="102" t="s">
        <v>8630</v>
      </c>
      <c r="C210" s="229" t="s">
        <v>8631</v>
      </c>
      <c r="D210" s="102" t="s">
        <v>8632</v>
      </c>
      <c r="E210" s="102" t="s">
        <v>6315</v>
      </c>
      <c r="F210" s="102" t="s">
        <v>6316</v>
      </c>
      <c r="G210" s="102" t="s">
        <v>353</v>
      </c>
      <c r="H210" s="102" t="s">
        <v>354</v>
      </c>
      <c r="I210" s="102" t="s">
        <v>284</v>
      </c>
      <c r="J210" s="102" t="s">
        <v>26</v>
      </c>
      <c r="L210" s="229" t="s">
        <v>8633</v>
      </c>
      <c r="M210" s="229" t="s">
        <v>8609</v>
      </c>
      <c r="N210" s="229" t="s">
        <v>6481</v>
      </c>
      <c r="O210" s="102">
        <v>5.0</v>
      </c>
      <c r="S210" s="230"/>
      <c r="T210" s="102" t="s">
        <v>5944</v>
      </c>
      <c r="U210" s="230" t="str">
        <f>IF(ISNUMBER(MATCH(B210, 'Sprint 9'!B:B, 0)), "มาจาก Sprint 9", "")</f>
        <v>มาจาก Sprint 9</v>
      </c>
      <c r="V210" s="230" t="str">
        <f t="array" ref="V210">IF(ISNUMBER(MATCH(B210, 'Sprint 9'!B:B, 0)), INDEX('Sprint 9'!J:J, MATCH(B210, 'Sprint 9'!B:B, 0)), "")</f>
        <v>Ready To Test</v>
      </c>
      <c r="X210" s="102" t="s">
        <v>5920</v>
      </c>
      <c r="Y210" s="102" t="s">
        <v>5920</v>
      </c>
      <c r="Z210" s="102" t="s">
        <v>5913</v>
      </c>
    </row>
    <row r="211">
      <c r="A211" s="102" t="s">
        <v>310</v>
      </c>
      <c r="B211" s="102" t="s">
        <v>8634</v>
      </c>
      <c r="C211" s="229" t="s">
        <v>8635</v>
      </c>
      <c r="D211" s="102" t="s">
        <v>8636</v>
      </c>
      <c r="E211" s="102" t="s">
        <v>6315</v>
      </c>
      <c r="F211" s="102" t="s">
        <v>6316</v>
      </c>
      <c r="G211" s="102" t="s">
        <v>353</v>
      </c>
      <c r="H211" s="102" t="s">
        <v>354</v>
      </c>
      <c r="I211" s="102" t="s">
        <v>284</v>
      </c>
      <c r="J211" s="102" t="s">
        <v>26</v>
      </c>
      <c r="L211" s="229" t="s">
        <v>8637</v>
      </c>
      <c r="M211" s="229" t="s">
        <v>8609</v>
      </c>
      <c r="N211" s="229" t="s">
        <v>7735</v>
      </c>
      <c r="O211" s="102">
        <v>8.0</v>
      </c>
      <c r="S211" s="102">
        <v>0.0</v>
      </c>
      <c r="T211" s="102" t="s">
        <v>5944</v>
      </c>
      <c r="U211" s="230" t="str">
        <f>IF(ISNUMBER(MATCH(B211, 'Sprint 9'!B:B, 0)), "มาจาก Sprint 9", "")</f>
        <v>มาจาก Sprint 9</v>
      </c>
      <c r="V211" s="230" t="str">
        <f t="array" ref="V211">IF(ISNUMBER(MATCH(B211, 'Sprint 9'!B:B, 0)), INDEX('Sprint 9'!J:J, MATCH(B211, 'Sprint 9'!B:B, 0)), "")</f>
        <v>Ready To Test</v>
      </c>
      <c r="X211" s="102" t="s">
        <v>5920</v>
      </c>
      <c r="Y211" s="102" t="s">
        <v>5920</v>
      </c>
      <c r="Z211" s="102" t="s">
        <v>5913</v>
      </c>
    </row>
    <row r="212">
      <c r="A212" s="102" t="s">
        <v>310</v>
      </c>
      <c r="B212" s="102" t="s">
        <v>8638</v>
      </c>
      <c r="C212" s="229" t="s">
        <v>8639</v>
      </c>
      <c r="D212" s="102" t="s">
        <v>8640</v>
      </c>
      <c r="E212" s="102" t="s">
        <v>584</v>
      </c>
      <c r="F212" s="102" t="s">
        <v>585</v>
      </c>
      <c r="G212" s="102" t="s">
        <v>353</v>
      </c>
      <c r="H212" s="102" t="s">
        <v>354</v>
      </c>
      <c r="I212" s="102" t="s">
        <v>284</v>
      </c>
      <c r="J212" s="102" t="s">
        <v>26</v>
      </c>
      <c r="L212" s="229" t="s">
        <v>8641</v>
      </c>
      <c r="M212" s="229" t="s">
        <v>8642</v>
      </c>
      <c r="N212" s="229" t="s">
        <v>7735</v>
      </c>
      <c r="O212" s="102">
        <v>8.0</v>
      </c>
      <c r="S212" s="102">
        <v>0.0</v>
      </c>
      <c r="T212" s="102" t="s">
        <v>5944</v>
      </c>
      <c r="U212" s="230" t="str">
        <f>IF(ISNUMBER(MATCH(B212, 'Sprint 9'!B:B, 0)), "มาจาก Sprint 9", "")</f>
        <v>มาจาก Sprint 9</v>
      </c>
      <c r="V212" s="230" t="str">
        <f t="array" ref="V212">IF(ISNUMBER(MATCH(B212, 'Sprint 9'!B:B, 0)), INDEX('Sprint 9'!J:J, MATCH(B212, 'Sprint 9'!B:B, 0)), "")</f>
        <v>Ready To Test</v>
      </c>
      <c r="W212" s="102">
        <v>57600.0</v>
      </c>
      <c r="X212" s="102" t="s">
        <v>5920</v>
      </c>
      <c r="Y212" s="102" t="s">
        <v>5920</v>
      </c>
      <c r="Z212" s="102" t="s">
        <v>5913</v>
      </c>
    </row>
    <row r="213">
      <c r="A213" s="102" t="s">
        <v>630</v>
      </c>
      <c r="B213" s="102" t="s">
        <v>8034</v>
      </c>
      <c r="C213" s="229" t="s">
        <v>8035</v>
      </c>
      <c r="D213" s="102" t="s">
        <v>8036</v>
      </c>
      <c r="E213" s="102"/>
      <c r="F213" s="102"/>
      <c r="G213" s="102" t="s">
        <v>353</v>
      </c>
      <c r="H213" s="102" t="s">
        <v>354</v>
      </c>
      <c r="I213" s="102" t="s">
        <v>284</v>
      </c>
      <c r="J213" s="102" t="s">
        <v>63</v>
      </c>
      <c r="L213" s="229" t="s">
        <v>8037</v>
      </c>
      <c r="M213" s="229" t="s">
        <v>8643</v>
      </c>
      <c r="N213" s="102"/>
      <c r="O213" s="102"/>
      <c r="S213" s="102"/>
      <c r="T213" s="102" t="s">
        <v>8237</v>
      </c>
      <c r="U213" s="230" t="str">
        <f>IF(ISNUMBER(MATCH(B213, 'Sprint 9'!B:B, 0)), "มาจาก Sprint 9", "")</f>
        <v>มาจาก Sprint 9</v>
      </c>
      <c r="V213" s="230" t="str">
        <f t="array" ref="V213">IF(ISNUMBER(MATCH(B213, 'Sprint 9'!B:B, 0)), INDEX('Sprint 9'!J:J, MATCH(B213, 'Sprint 9'!B:B, 0)), "")</f>
        <v>To Do</v>
      </c>
      <c r="X213" s="102" t="s">
        <v>8237</v>
      </c>
      <c r="Y213" s="102" t="s">
        <v>8039</v>
      </c>
      <c r="Z213" s="102"/>
    </row>
    <row r="214">
      <c r="A214" s="102" t="s">
        <v>310</v>
      </c>
      <c r="B214" s="102" t="s">
        <v>6472</v>
      </c>
      <c r="C214" s="229" t="s">
        <v>6473</v>
      </c>
      <c r="D214" s="102" t="s">
        <v>6474</v>
      </c>
      <c r="E214" s="102" t="s">
        <v>282</v>
      </c>
      <c r="F214" s="102" t="s">
        <v>283</v>
      </c>
      <c r="G214" s="102" t="s">
        <v>282</v>
      </c>
      <c r="H214" s="102" t="s">
        <v>283</v>
      </c>
      <c r="I214" s="102" t="s">
        <v>284</v>
      </c>
      <c r="J214" s="102" t="s">
        <v>454</v>
      </c>
      <c r="L214" s="229" t="s">
        <v>6475</v>
      </c>
      <c r="M214" s="229" t="s">
        <v>8426</v>
      </c>
      <c r="N214" s="102"/>
      <c r="O214" s="102">
        <v>0.0</v>
      </c>
      <c r="S214" s="102"/>
      <c r="T214" s="102" t="s">
        <v>5944</v>
      </c>
      <c r="U214" s="230" t="str">
        <f>IF(ISNUMBER(MATCH(B214, 'Sprint 9'!B:B, 0)), "มาจาก Sprint 9", "")</f>
        <v>มาจาก Sprint 9</v>
      </c>
      <c r="V214" s="230" t="str">
        <f t="array" ref="V214">IF(ISNUMBER(MATCH(B214, 'Sprint 9'!B:B, 0)), INDEX('Sprint 9'!J:J, MATCH(B214, 'Sprint 9'!B:B, 0)), "")</f>
        <v>Ready To Test</v>
      </c>
      <c r="X214" s="102" t="s">
        <v>5920</v>
      </c>
      <c r="Y214" s="102" t="s">
        <v>5920</v>
      </c>
      <c r="Z214" s="102" t="s">
        <v>5913</v>
      </c>
    </row>
    <row r="215">
      <c r="A215" s="102" t="s">
        <v>310</v>
      </c>
      <c r="B215" s="102" t="s">
        <v>8040</v>
      </c>
      <c r="C215" s="229" t="s">
        <v>8041</v>
      </c>
      <c r="D215" s="102" t="s">
        <v>8042</v>
      </c>
      <c r="E215" s="102" t="s">
        <v>6860</v>
      </c>
      <c r="F215" s="102" t="s">
        <v>6861</v>
      </c>
      <c r="G215" s="102" t="s">
        <v>282</v>
      </c>
      <c r="H215" s="102" t="s">
        <v>283</v>
      </c>
      <c r="I215" s="102" t="s">
        <v>284</v>
      </c>
      <c r="J215" s="102" t="s">
        <v>454</v>
      </c>
      <c r="L215" s="229" t="s">
        <v>7714</v>
      </c>
      <c r="M215" s="229" t="s">
        <v>8644</v>
      </c>
      <c r="O215" s="102">
        <v>5.0</v>
      </c>
      <c r="P215" s="102" t="s">
        <v>504</v>
      </c>
      <c r="S215" s="230"/>
      <c r="T215" s="102" t="s">
        <v>5944</v>
      </c>
      <c r="U215" s="230" t="str">
        <f>IF(ISNUMBER(MATCH(B215, 'Sprint 9'!B:B, 0)), "มาจาก Sprint 9", "")</f>
        <v>มาจาก Sprint 9</v>
      </c>
      <c r="V215" s="230" t="str">
        <f t="array" ref="V215">IF(ISNUMBER(MATCH(B215, 'Sprint 9'!B:B, 0)), INDEX('Sprint 9'!J:J, MATCH(B215, 'Sprint 9'!B:B, 0)), "")</f>
        <v>Ready To Test</v>
      </c>
      <c r="X215" s="102" t="s">
        <v>5920</v>
      </c>
      <c r="Y215" s="102" t="s">
        <v>5920</v>
      </c>
      <c r="Z215" s="102" t="s">
        <v>5913</v>
      </c>
    </row>
    <row r="216">
      <c r="A216" s="102" t="s">
        <v>310</v>
      </c>
      <c r="B216" s="102" t="s">
        <v>7711</v>
      </c>
      <c r="C216" s="229" t="s">
        <v>7712</v>
      </c>
      <c r="D216" s="102" t="s">
        <v>7713</v>
      </c>
      <c r="E216" s="102" t="s">
        <v>556</v>
      </c>
      <c r="F216" s="102" t="s">
        <v>557</v>
      </c>
      <c r="G216" s="102" t="s">
        <v>282</v>
      </c>
      <c r="H216" s="102" t="s">
        <v>283</v>
      </c>
      <c r="I216" s="102" t="s">
        <v>284</v>
      </c>
      <c r="J216" s="102" t="s">
        <v>454</v>
      </c>
      <c r="L216" s="229" t="s">
        <v>7714</v>
      </c>
      <c r="M216" s="229" t="s">
        <v>8426</v>
      </c>
      <c r="N216" s="229" t="s">
        <v>6471</v>
      </c>
      <c r="O216" s="102">
        <v>5.0</v>
      </c>
      <c r="P216" s="102" t="s">
        <v>504</v>
      </c>
      <c r="T216" s="102" t="s">
        <v>5944</v>
      </c>
      <c r="U216" s="230" t="str">
        <f>IF(ISNUMBER(MATCH(B216, 'Sprint 9'!B:B, 0)), "มาจาก Sprint 9", "")</f>
        <v>มาจาก Sprint 9</v>
      </c>
      <c r="V216" s="230" t="str">
        <f t="array" ref="V216">IF(ISNUMBER(MATCH(B216, 'Sprint 9'!B:B, 0)), INDEX('Sprint 9'!J:J, MATCH(B216, 'Sprint 9'!B:B, 0)), "")</f>
        <v>Ready To Test</v>
      </c>
      <c r="W216" s="102">
        <v>57600.0</v>
      </c>
      <c r="X216" s="102" t="s">
        <v>5920</v>
      </c>
      <c r="Y216" s="102" t="s">
        <v>5920</v>
      </c>
      <c r="Z216" s="102" t="s">
        <v>5913</v>
      </c>
    </row>
    <row r="217">
      <c r="A217" s="102" t="s">
        <v>310</v>
      </c>
      <c r="B217" s="102" t="s">
        <v>8044</v>
      </c>
      <c r="C217" s="229" t="s">
        <v>8045</v>
      </c>
      <c r="D217" s="102" t="s">
        <v>8046</v>
      </c>
      <c r="E217" s="102" t="s">
        <v>556</v>
      </c>
      <c r="F217" s="102" t="s">
        <v>557</v>
      </c>
      <c r="G217" s="102" t="s">
        <v>282</v>
      </c>
      <c r="H217" s="102" t="s">
        <v>283</v>
      </c>
      <c r="I217" s="102" t="s">
        <v>284</v>
      </c>
      <c r="J217" s="102" t="s">
        <v>454</v>
      </c>
      <c r="L217" s="229" t="s">
        <v>7714</v>
      </c>
      <c r="M217" s="229" t="s">
        <v>8644</v>
      </c>
      <c r="N217" s="229" t="s">
        <v>8047</v>
      </c>
      <c r="O217" s="102">
        <v>5.0</v>
      </c>
      <c r="P217" s="102" t="s">
        <v>504</v>
      </c>
      <c r="T217" s="102" t="s">
        <v>5944</v>
      </c>
      <c r="U217" s="230" t="str">
        <f>IF(ISNUMBER(MATCH(B217, 'Sprint 9'!B:B, 0)), "มาจาก Sprint 9", "")</f>
        <v>มาจาก Sprint 9</v>
      </c>
      <c r="V217" s="230" t="str">
        <f t="array" ref="V217">IF(ISNUMBER(MATCH(B217, 'Sprint 9'!B:B, 0)), INDEX('Sprint 9'!J:J, MATCH(B217, 'Sprint 9'!B:B, 0)), "")</f>
        <v>Ready To Test</v>
      </c>
      <c r="W217" s="102">
        <v>57600.0</v>
      </c>
      <c r="X217" s="102" t="s">
        <v>5920</v>
      </c>
      <c r="Y217" s="102" t="s">
        <v>5920</v>
      </c>
      <c r="Z217" s="102" t="s">
        <v>5913</v>
      </c>
    </row>
    <row r="218">
      <c r="A218" s="102" t="s">
        <v>310</v>
      </c>
      <c r="B218" s="102" t="s">
        <v>7716</v>
      </c>
      <c r="C218" s="229" t="s">
        <v>7717</v>
      </c>
      <c r="D218" s="102" t="s">
        <v>7718</v>
      </c>
      <c r="E218" s="102" t="s">
        <v>564</v>
      </c>
      <c r="F218" s="102" t="s">
        <v>565</v>
      </c>
      <c r="G218" s="102" t="s">
        <v>282</v>
      </c>
      <c r="H218" s="102" t="s">
        <v>283</v>
      </c>
      <c r="I218" s="102" t="s">
        <v>284</v>
      </c>
      <c r="J218" s="102" t="s">
        <v>454</v>
      </c>
      <c r="L218" s="229" t="s">
        <v>7719</v>
      </c>
      <c r="M218" s="229" t="s">
        <v>8644</v>
      </c>
      <c r="N218" s="229" t="s">
        <v>7720</v>
      </c>
      <c r="O218" s="102">
        <v>2.0</v>
      </c>
      <c r="P218" s="102" t="s">
        <v>504</v>
      </c>
      <c r="T218" s="102" t="s">
        <v>5944</v>
      </c>
      <c r="U218" s="230" t="str">
        <f>IF(ISNUMBER(MATCH(B218, 'Sprint 9'!B:B, 0)), "มาจาก Sprint 9", "")</f>
        <v>มาจาก Sprint 9</v>
      </c>
      <c r="V218" s="230" t="str">
        <f t="array" ref="V218">IF(ISNUMBER(MATCH(B218, 'Sprint 9'!B:B, 0)), INDEX('Sprint 9'!J:J, MATCH(B218, 'Sprint 9'!B:B, 0)), "")</f>
        <v>Ready To Test</v>
      </c>
      <c r="W218" s="102">
        <v>10800.0</v>
      </c>
      <c r="X218" s="102" t="s">
        <v>5920</v>
      </c>
      <c r="Y218" s="102" t="s">
        <v>5920</v>
      </c>
      <c r="Z218" s="102" t="s">
        <v>5913</v>
      </c>
    </row>
    <row r="219">
      <c r="A219" s="102" t="s">
        <v>310</v>
      </c>
      <c r="B219" s="102" t="s">
        <v>7721</v>
      </c>
      <c r="C219" s="229" t="s">
        <v>7722</v>
      </c>
      <c r="D219" s="102" t="s">
        <v>7723</v>
      </c>
      <c r="E219" s="102" t="s">
        <v>564</v>
      </c>
      <c r="F219" s="102" t="s">
        <v>565</v>
      </c>
      <c r="G219" s="102" t="s">
        <v>282</v>
      </c>
      <c r="H219" s="102" t="s">
        <v>283</v>
      </c>
      <c r="I219" s="102" t="s">
        <v>284</v>
      </c>
      <c r="J219" s="102" t="s">
        <v>454</v>
      </c>
      <c r="L219" s="229" t="s">
        <v>7724</v>
      </c>
      <c r="M219" s="229" t="s">
        <v>8644</v>
      </c>
      <c r="N219" s="229" t="s">
        <v>7726</v>
      </c>
      <c r="O219" s="102">
        <v>3.0</v>
      </c>
      <c r="P219" s="102" t="s">
        <v>504</v>
      </c>
      <c r="T219" s="102" t="s">
        <v>5944</v>
      </c>
      <c r="U219" s="230" t="str">
        <f>IF(ISNUMBER(MATCH(B219, 'Sprint 9'!B:B, 0)), "มาจาก Sprint 9", "")</f>
        <v>มาจาก Sprint 9</v>
      </c>
      <c r="V219" s="230" t="str">
        <f t="array" ref="V219">IF(ISNUMBER(MATCH(B219, 'Sprint 9'!B:B, 0)), INDEX('Sprint 9'!J:J, MATCH(B219, 'Sprint 9'!B:B, 0)), "")</f>
        <v>Ready To Test</v>
      </c>
      <c r="W219" s="102">
        <v>28800.0</v>
      </c>
      <c r="X219" s="102" t="s">
        <v>5920</v>
      </c>
      <c r="Y219" s="102" t="s">
        <v>5920</v>
      </c>
      <c r="Z219" s="102" t="s">
        <v>5913</v>
      </c>
    </row>
    <row r="220">
      <c r="A220" s="102" t="s">
        <v>310</v>
      </c>
      <c r="B220" s="102" t="s">
        <v>7727</v>
      </c>
      <c r="C220" s="229" t="s">
        <v>7728</v>
      </c>
      <c r="D220" s="102" t="s">
        <v>7729</v>
      </c>
      <c r="E220" s="102" t="s">
        <v>564</v>
      </c>
      <c r="F220" s="102" t="s">
        <v>565</v>
      </c>
      <c r="G220" s="102" t="s">
        <v>282</v>
      </c>
      <c r="H220" s="102" t="s">
        <v>283</v>
      </c>
      <c r="I220" s="102" t="s">
        <v>284</v>
      </c>
      <c r="J220" s="102" t="s">
        <v>454</v>
      </c>
      <c r="L220" s="229" t="s">
        <v>7730</v>
      </c>
      <c r="M220" s="229" t="s">
        <v>8644</v>
      </c>
      <c r="N220" s="229" t="s">
        <v>7720</v>
      </c>
      <c r="O220" s="102">
        <v>2.0</v>
      </c>
      <c r="P220" s="102" t="s">
        <v>504</v>
      </c>
      <c r="T220" s="102" t="s">
        <v>5944</v>
      </c>
      <c r="U220" s="230" t="str">
        <f>IF(ISNUMBER(MATCH(B220, 'Sprint 9'!B:B, 0)), "มาจาก Sprint 9", "")</f>
        <v>มาจาก Sprint 9</v>
      </c>
      <c r="V220" s="230" t="str">
        <f t="array" ref="V220">IF(ISNUMBER(MATCH(B220, 'Sprint 9'!B:B, 0)), INDEX('Sprint 9'!J:J, MATCH(B220, 'Sprint 9'!B:B, 0)), "")</f>
        <v>Ready To Test</v>
      </c>
      <c r="W220" s="102">
        <v>10800.0</v>
      </c>
      <c r="X220" s="102" t="s">
        <v>5920</v>
      </c>
      <c r="Y220" s="102" t="s">
        <v>5920</v>
      </c>
      <c r="Z220" s="102" t="s">
        <v>5913</v>
      </c>
    </row>
    <row r="221">
      <c r="A221" s="102" t="s">
        <v>310</v>
      </c>
      <c r="B221" s="102" t="s">
        <v>7731</v>
      </c>
      <c r="C221" s="229" t="s">
        <v>7732</v>
      </c>
      <c r="D221" s="102" t="s">
        <v>7733</v>
      </c>
      <c r="E221" s="102" t="s">
        <v>564</v>
      </c>
      <c r="F221" s="102" t="s">
        <v>565</v>
      </c>
      <c r="G221" s="102" t="s">
        <v>282</v>
      </c>
      <c r="H221" s="102" t="s">
        <v>283</v>
      </c>
      <c r="I221" s="102" t="s">
        <v>284</v>
      </c>
      <c r="J221" s="102" t="s">
        <v>454</v>
      </c>
      <c r="L221" s="229" t="s">
        <v>7734</v>
      </c>
      <c r="M221" s="229" t="s">
        <v>8644</v>
      </c>
      <c r="N221" s="229" t="s">
        <v>7735</v>
      </c>
      <c r="O221" s="102">
        <v>2.0</v>
      </c>
      <c r="P221" s="102" t="s">
        <v>504</v>
      </c>
      <c r="T221" s="102" t="s">
        <v>5944</v>
      </c>
      <c r="U221" s="230" t="str">
        <f>IF(ISNUMBER(MATCH(B221, 'Sprint 9'!B:B, 0)), "มาจาก Sprint 9", "")</f>
        <v>มาจาก Sprint 9</v>
      </c>
      <c r="V221" s="230" t="str">
        <f t="array" ref="V221">IF(ISNUMBER(MATCH(B221, 'Sprint 9'!B:B, 0)), INDEX('Sprint 9'!J:J, MATCH(B221, 'Sprint 9'!B:B, 0)), "")</f>
        <v>Ready To Test</v>
      </c>
      <c r="W221" s="102">
        <v>10800.0</v>
      </c>
      <c r="X221" s="102" t="s">
        <v>5920</v>
      </c>
      <c r="Y221" s="102" t="s">
        <v>5920</v>
      </c>
      <c r="Z221" s="102" t="s">
        <v>5913</v>
      </c>
    </row>
    <row r="222">
      <c r="A222" s="102" t="s">
        <v>310</v>
      </c>
      <c r="B222" s="102" t="s">
        <v>8645</v>
      </c>
      <c r="C222" s="229" t="s">
        <v>8646</v>
      </c>
      <c r="D222" s="102" t="s">
        <v>8647</v>
      </c>
      <c r="E222" s="102" t="s">
        <v>353</v>
      </c>
      <c r="F222" s="102" t="s">
        <v>354</v>
      </c>
      <c r="G222" s="102" t="s">
        <v>316</v>
      </c>
      <c r="H222" s="102" t="s">
        <v>317</v>
      </c>
      <c r="I222" s="102" t="s">
        <v>284</v>
      </c>
      <c r="J222" s="102" t="s">
        <v>355</v>
      </c>
      <c r="L222" s="229" t="s">
        <v>8648</v>
      </c>
      <c r="M222" s="229" t="s">
        <v>8307</v>
      </c>
      <c r="N222" s="229" t="s">
        <v>7979</v>
      </c>
      <c r="O222" s="102"/>
      <c r="P222" s="102"/>
      <c r="S222" s="102"/>
      <c r="T222" s="102" t="s">
        <v>4961</v>
      </c>
      <c r="U222" s="230" t="str">
        <f>IF(ISNUMBER(MATCH(B222, 'Sprint 9'!B:B, 0)), "มาจาก Sprint 9", "")</f>
        <v>มาจาก Sprint 9</v>
      </c>
      <c r="V222" s="230" t="str">
        <f t="array" ref="V222">IF(ISNUMBER(MATCH(B222, 'Sprint 9'!B:B, 0)), INDEX('Sprint 9'!J:J, MATCH(B222, 'Sprint 9'!B:B, 0)), "")</f>
        <v>To Do</v>
      </c>
      <c r="X222" s="102"/>
      <c r="Y222" s="102"/>
      <c r="Z222" s="102"/>
    </row>
    <row r="223">
      <c r="A223" s="102" t="s">
        <v>310</v>
      </c>
      <c r="B223" s="102" t="s">
        <v>7736</v>
      </c>
      <c r="C223" s="229" t="s">
        <v>7737</v>
      </c>
      <c r="D223" s="102" t="s">
        <v>7738</v>
      </c>
      <c r="E223" s="102" t="s">
        <v>495</v>
      </c>
      <c r="F223" s="102" t="s">
        <v>496</v>
      </c>
      <c r="G223" s="102" t="s">
        <v>282</v>
      </c>
      <c r="H223" s="102" t="s">
        <v>283</v>
      </c>
      <c r="I223" s="102" t="s">
        <v>284</v>
      </c>
      <c r="J223" s="102" t="s">
        <v>454</v>
      </c>
      <c r="L223" s="229" t="s">
        <v>7739</v>
      </c>
      <c r="M223" s="229" t="s">
        <v>8644</v>
      </c>
      <c r="N223" s="102"/>
      <c r="O223" s="102">
        <v>2.0</v>
      </c>
      <c r="P223" s="102" t="s">
        <v>504</v>
      </c>
      <c r="T223" s="102" t="s">
        <v>5944</v>
      </c>
      <c r="U223" s="230" t="str">
        <f>IF(ISNUMBER(MATCH(B223, 'Sprint 9'!B:B, 0)), "มาจาก Sprint 9", "")</f>
        <v>มาจาก Sprint 9</v>
      </c>
      <c r="V223" s="230" t="str">
        <f t="array" ref="V223">IF(ISNUMBER(MATCH(B223, 'Sprint 9'!B:B, 0)), INDEX('Sprint 9'!J:J, MATCH(B223, 'Sprint 9'!B:B, 0)), "")</f>
        <v>Ready To Test</v>
      </c>
      <c r="W223" s="102">
        <v>28800.0</v>
      </c>
      <c r="X223" s="102" t="s">
        <v>5920</v>
      </c>
      <c r="Y223" s="102" t="s">
        <v>5920</v>
      </c>
      <c r="Z223" s="102" t="s">
        <v>5913</v>
      </c>
    </row>
    <row r="224">
      <c r="A224" s="102" t="s">
        <v>310</v>
      </c>
      <c r="B224" s="102" t="s">
        <v>7740</v>
      </c>
      <c r="C224" s="229" t="s">
        <v>7741</v>
      </c>
      <c r="D224" s="102" t="s">
        <v>7742</v>
      </c>
      <c r="E224" s="102" t="s">
        <v>556</v>
      </c>
      <c r="F224" s="102" t="s">
        <v>557</v>
      </c>
      <c r="G224" s="102" t="s">
        <v>282</v>
      </c>
      <c r="H224" s="102" t="s">
        <v>283</v>
      </c>
      <c r="I224" s="102" t="s">
        <v>284</v>
      </c>
      <c r="J224" s="102" t="s">
        <v>454</v>
      </c>
      <c r="L224" s="229" t="s">
        <v>7739</v>
      </c>
      <c r="M224" s="229" t="s">
        <v>8644</v>
      </c>
      <c r="N224" s="229" t="s">
        <v>7743</v>
      </c>
      <c r="O224" s="102">
        <v>5.0</v>
      </c>
      <c r="P224" s="102" t="s">
        <v>504</v>
      </c>
      <c r="T224" s="102" t="s">
        <v>5944</v>
      </c>
      <c r="U224" s="230" t="str">
        <f>IF(ISNUMBER(MATCH(B224, 'Sprint 9'!B:B, 0)), "มาจาก Sprint 9", "")</f>
        <v>มาจาก Sprint 9</v>
      </c>
      <c r="V224" s="230" t="str">
        <f t="array" ref="V224">IF(ISNUMBER(MATCH(B224, 'Sprint 9'!B:B, 0)), INDEX('Sprint 9'!J:J, MATCH(B224, 'Sprint 9'!B:B, 0)), "")</f>
        <v>Ready To Test</v>
      </c>
      <c r="W224" s="102">
        <v>57600.0</v>
      </c>
      <c r="X224" s="102" t="s">
        <v>5920</v>
      </c>
      <c r="Y224" s="102" t="s">
        <v>5920</v>
      </c>
      <c r="Z224" s="102" t="s">
        <v>5913</v>
      </c>
    </row>
    <row r="225">
      <c r="A225" s="102" t="s">
        <v>310</v>
      </c>
      <c r="B225" s="102" t="s">
        <v>7744</v>
      </c>
      <c r="C225" s="229" t="s">
        <v>7745</v>
      </c>
      <c r="D225" s="102" t="s">
        <v>7746</v>
      </c>
      <c r="E225" s="102" t="s">
        <v>564</v>
      </c>
      <c r="F225" s="102" t="s">
        <v>565</v>
      </c>
      <c r="G225" s="102" t="s">
        <v>282</v>
      </c>
      <c r="H225" s="102" t="s">
        <v>283</v>
      </c>
      <c r="I225" s="102" t="s">
        <v>284</v>
      </c>
      <c r="J225" s="102" t="s">
        <v>454</v>
      </c>
      <c r="L225" s="229" t="s">
        <v>7739</v>
      </c>
      <c r="M225" s="229" t="s">
        <v>8644</v>
      </c>
      <c r="N225" s="229" t="s">
        <v>7735</v>
      </c>
      <c r="O225" s="102">
        <v>3.0</v>
      </c>
      <c r="P225" s="102" t="s">
        <v>504</v>
      </c>
      <c r="T225" s="102" t="s">
        <v>5944</v>
      </c>
      <c r="U225" s="230" t="str">
        <f>IF(ISNUMBER(MATCH(B225, 'Sprint 9'!B:B, 0)), "มาจาก Sprint 9", "")</f>
        <v>มาจาก Sprint 9</v>
      </c>
      <c r="V225" s="230" t="str">
        <f t="array" ref="V225">IF(ISNUMBER(MATCH(B225, 'Sprint 9'!B:B, 0)), INDEX('Sprint 9'!J:J, MATCH(B225, 'Sprint 9'!B:B, 0)), "")</f>
        <v>Ready To Test</v>
      </c>
      <c r="W225" s="102">
        <v>28800.0</v>
      </c>
      <c r="X225" s="102" t="s">
        <v>5920</v>
      </c>
      <c r="Y225" s="102" t="s">
        <v>5920</v>
      </c>
      <c r="Z225" s="102" t="s">
        <v>5913</v>
      </c>
    </row>
    <row r="226">
      <c r="A226" s="102" t="s">
        <v>310</v>
      </c>
      <c r="B226" s="102" t="s">
        <v>7747</v>
      </c>
      <c r="C226" s="229" t="s">
        <v>7748</v>
      </c>
      <c r="D226" s="102" t="s">
        <v>7749</v>
      </c>
      <c r="E226" s="102" t="s">
        <v>495</v>
      </c>
      <c r="F226" s="102" t="s">
        <v>496</v>
      </c>
      <c r="G226" s="102" t="s">
        <v>282</v>
      </c>
      <c r="H226" s="102" t="s">
        <v>283</v>
      </c>
      <c r="I226" s="102" t="s">
        <v>284</v>
      </c>
      <c r="J226" s="102" t="s">
        <v>454</v>
      </c>
      <c r="L226" s="229" t="s">
        <v>7739</v>
      </c>
      <c r="M226" s="229" t="s">
        <v>8644</v>
      </c>
      <c r="N226" s="102"/>
      <c r="O226" s="102">
        <v>8.0</v>
      </c>
      <c r="P226" s="102" t="s">
        <v>504</v>
      </c>
      <c r="T226" s="102" t="s">
        <v>5944</v>
      </c>
      <c r="U226" s="230" t="str">
        <f>IF(ISNUMBER(MATCH(B226, 'Sprint 9'!B:B, 0)), "มาจาก Sprint 9", "")</f>
        <v>มาจาก Sprint 9</v>
      </c>
      <c r="V226" s="230" t="str">
        <f t="array" ref="V226">IF(ISNUMBER(MATCH(B226, 'Sprint 9'!B:B, 0)), INDEX('Sprint 9'!J:J, MATCH(B226, 'Sprint 9'!B:B, 0)), "")</f>
        <v>Ready To Test</v>
      </c>
      <c r="W226" s="102">
        <v>86400.0</v>
      </c>
      <c r="X226" s="102" t="s">
        <v>5920</v>
      </c>
      <c r="Y226" s="102" t="s">
        <v>5920</v>
      </c>
      <c r="Z226" s="102" t="s">
        <v>5913</v>
      </c>
    </row>
    <row r="227">
      <c r="A227" s="102" t="s">
        <v>310</v>
      </c>
      <c r="B227" s="102" t="s">
        <v>7750</v>
      </c>
      <c r="C227" s="229" t="s">
        <v>7751</v>
      </c>
      <c r="D227" s="102" t="s">
        <v>7752</v>
      </c>
      <c r="E227" s="102" t="s">
        <v>495</v>
      </c>
      <c r="F227" s="102" t="s">
        <v>496</v>
      </c>
      <c r="G227" s="102" t="s">
        <v>282</v>
      </c>
      <c r="H227" s="102" t="s">
        <v>283</v>
      </c>
      <c r="I227" s="102" t="s">
        <v>284</v>
      </c>
      <c r="J227" s="102" t="s">
        <v>454</v>
      </c>
      <c r="L227" s="229" t="s">
        <v>7753</v>
      </c>
      <c r="M227" s="229" t="s">
        <v>8644</v>
      </c>
      <c r="N227" s="102"/>
      <c r="O227" s="102">
        <v>5.0</v>
      </c>
      <c r="P227" s="102" t="s">
        <v>504</v>
      </c>
      <c r="T227" s="102" t="s">
        <v>5944</v>
      </c>
      <c r="U227" s="230" t="str">
        <f>IF(ISNUMBER(MATCH(B227, 'Sprint 9'!B:B, 0)), "มาจาก Sprint 9", "")</f>
        <v>มาจาก Sprint 9</v>
      </c>
      <c r="V227" s="230" t="str">
        <f t="array" ref="V227">IF(ISNUMBER(MATCH(B227, 'Sprint 9'!B:B, 0)), INDEX('Sprint 9'!J:J, MATCH(B227, 'Sprint 9'!B:B, 0)), "")</f>
        <v>Ready To Test</v>
      </c>
      <c r="W227" s="102">
        <v>28800.0</v>
      </c>
      <c r="X227" s="102" t="s">
        <v>5920</v>
      </c>
      <c r="Y227" s="102" t="s">
        <v>5920</v>
      </c>
      <c r="Z227" s="102" t="s">
        <v>5913</v>
      </c>
    </row>
    <row r="228">
      <c r="A228" s="102" t="s">
        <v>310</v>
      </c>
      <c r="B228" s="102" t="s">
        <v>7754</v>
      </c>
      <c r="C228" s="229" t="s">
        <v>7755</v>
      </c>
      <c r="D228" s="102" t="s">
        <v>7756</v>
      </c>
      <c r="E228" s="102" t="s">
        <v>556</v>
      </c>
      <c r="F228" s="102" t="s">
        <v>557</v>
      </c>
      <c r="G228" s="102" t="s">
        <v>282</v>
      </c>
      <c r="H228" s="102" t="s">
        <v>283</v>
      </c>
      <c r="I228" s="102" t="s">
        <v>284</v>
      </c>
      <c r="J228" s="102" t="s">
        <v>454</v>
      </c>
      <c r="L228" s="229" t="s">
        <v>7757</v>
      </c>
      <c r="M228" s="229" t="s">
        <v>8644</v>
      </c>
      <c r="N228" s="229" t="s">
        <v>7726</v>
      </c>
      <c r="O228" s="102">
        <v>3.0</v>
      </c>
      <c r="P228" s="102" t="s">
        <v>504</v>
      </c>
      <c r="T228" s="102" t="s">
        <v>5944</v>
      </c>
      <c r="U228" s="230" t="str">
        <f>IF(ISNUMBER(MATCH(B228, 'Sprint 9'!B:B, 0)), "มาจาก Sprint 9", "")</f>
        <v>มาจาก Sprint 9</v>
      </c>
      <c r="V228" s="230" t="str">
        <f t="array" ref="V228">IF(ISNUMBER(MATCH(B228, 'Sprint 9'!B:B, 0)), INDEX('Sprint 9'!J:J, MATCH(B228, 'Sprint 9'!B:B, 0)), "")</f>
        <v>Ready To Test</v>
      </c>
      <c r="W228" s="102">
        <v>28800.0</v>
      </c>
      <c r="X228" s="102" t="s">
        <v>5920</v>
      </c>
      <c r="Y228" s="102" t="s">
        <v>5920</v>
      </c>
      <c r="Z228" s="102" t="s">
        <v>5913</v>
      </c>
    </row>
    <row r="229">
      <c r="A229" s="102" t="s">
        <v>310</v>
      </c>
      <c r="B229" s="102" t="s">
        <v>7758</v>
      </c>
      <c r="C229" s="229" t="s">
        <v>7759</v>
      </c>
      <c r="D229" s="102" t="s">
        <v>7760</v>
      </c>
      <c r="E229" s="102" t="s">
        <v>564</v>
      </c>
      <c r="F229" s="102" t="s">
        <v>565</v>
      </c>
      <c r="G229" s="102" t="s">
        <v>282</v>
      </c>
      <c r="H229" s="102" t="s">
        <v>283</v>
      </c>
      <c r="I229" s="102" t="s">
        <v>284</v>
      </c>
      <c r="J229" s="102" t="s">
        <v>454</v>
      </c>
      <c r="L229" s="229" t="s">
        <v>7757</v>
      </c>
      <c r="M229" s="229" t="s">
        <v>8644</v>
      </c>
      <c r="N229" s="229" t="s">
        <v>7761</v>
      </c>
      <c r="O229" s="102">
        <v>3.0</v>
      </c>
      <c r="P229" s="102" t="s">
        <v>504</v>
      </c>
      <c r="T229" s="102" t="s">
        <v>5944</v>
      </c>
      <c r="U229" s="230" t="str">
        <f>IF(ISNUMBER(MATCH(B229, 'Sprint 9'!B:B, 0)), "มาจาก Sprint 9", "")</f>
        <v>มาจาก Sprint 9</v>
      </c>
      <c r="V229" s="230" t="str">
        <f t="array" ref="V229">IF(ISNUMBER(MATCH(B229, 'Sprint 9'!B:B, 0)), INDEX('Sprint 9'!J:J, MATCH(B229, 'Sprint 9'!B:B, 0)), "")</f>
        <v>Ready To Test</v>
      </c>
      <c r="W229" s="102">
        <v>28800.0</v>
      </c>
      <c r="X229" s="102" t="s">
        <v>5920</v>
      </c>
      <c r="Y229" s="102" t="s">
        <v>5920</v>
      </c>
      <c r="Z229" s="102" t="s">
        <v>5913</v>
      </c>
    </row>
    <row r="230">
      <c r="A230" s="102" t="s">
        <v>310</v>
      </c>
      <c r="B230" s="102" t="s">
        <v>7762</v>
      </c>
      <c r="C230" s="229" t="s">
        <v>7763</v>
      </c>
      <c r="D230" s="102" t="s">
        <v>7764</v>
      </c>
      <c r="E230" s="102" t="s">
        <v>304</v>
      </c>
      <c r="F230" s="102" t="s">
        <v>305</v>
      </c>
      <c r="G230" s="102" t="s">
        <v>282</v>
      </c>
      <c r="H230" s="102" t="s">
        <v>283</v>
      </c>
      <c r="I230" s="102" t="s">
        <v>284</v>
      </c>
      <c r="J230" s="102" t="s">
        <v>454</v>
      </c>
      <c r="L230" s="229" t="s">
        <v>7757</v>
      </c>
      <c r="M230" s="229" t="s">
        <v>8644</v>
      </c>
      <c r="N230" s="102"/>
      <c r="O230" s="102">
        <v>5.0</v>
      </c>
      <c r="P230" s="102" t="s">
        <v>504</v>
      </c>
      <c r="T230" s="102" t="s">
        <v>5944</v>
      </c>
      <c r="U230" s="230" t="str">
        <f>IF(ISNUMBER(MATCH(B230, 'Sprint 9'!B:B, 0)), "มาจาก Sprint 9", "")</f>
        <v>มาจาก Sprint 9</v>
      </c>
      <c r="V230" s="230" t="str">
        <f t="array" ref="V230">IF(ISNUMBER(MATCH(B230, 'Sprint 9'!B:B, 0)), INDEX('Sprint 9'!J:J, MATCH(B230, 'Sprint 9'!B:B, 0)), "")</f>
        <v>Ready To Test</v>
      </c>
      <c r="W230" s="102">
        <v>86400.0</v>
      </c>
      <c r="X230" s="102" t="s">
        <v>5920</v>
      </c>
      <c r="Y230" s="102" t="s">
        <v>5920</v>
      </c>
      <c r="Z230" s="102" t="s">
        <v>5913</v>
      </c>
    </row>
    <row r="231">
      <c r="A231" s="102" t="s">
        <v>310</v>
      </c>
      <c r="B231" s="102" t="s">
        <v>7765</v>
      </c>
      <c r="C231" s="229" t="s">
        <v>7766</v>
      </c>
      <c r="D231" s="102" t="s">
        <v>7767</v>
      </c>
      <c r="E231" s="102" t="s">
        <v>556</v>
      </c>
      <c r="F231" s="102" t="s">
        <v>557</v>
      </c>
      <c r="G231" s="102" t="s">
        <v>282</v>
      </c>
      <c r="H231" s="102" t="s">
        <v>283</v>
      </c>
      <c r="I231" s="102" t="s">
        <v>284</v>
      </c>
      <c r="J231" s="102" t="s">
        <v>454</v>
      </c>
      <c r="L231" s="229" t="s">
        <v>7757</v>
      </c>
      <c r="M231" s="229" t="s">
        <v>8644</v>
      </c>
      <c r="N231" s="229" t="s">
        <v>7720</v>
      </c>
      <c r="O231" s="102">
        <v>3.0</v>
      </c>
      <c r="P231" s="102" t="s">
        <v>504</v>
      </c>
      <c r="T231" s="102" t="s">
        <v>5944</v>
      </c>
      <c r="U231" s="230" t="str">
        <f>IF(ISNUMBER(MATCH(B231, 'Sprint 9'!B:B, 0)), "มาจาก Sprint 9", "")</f>
        <v>มาจาก Sprint 9</v>
      </c>
      <c r="V231" s="230" t="str">
        <f t="array" ref="V231">IF(ISNUMBER(MATCH(B231, 'Sprint 9'!B:B, 0)), INDEX('Sprint 9'!J:J, MATCH(B231, 'Sprint 9'!B:B, 0)), "")</f>
        <v>Ready To Test</v>
      </c>
      <c r="W231" s="102">
        <v>28800.0</v>
      </c>
      <c r="X231" s="102" t="s">
        <v>5920</v>
      </c>
      <c r="Y231" s="102" t="s">
        <v>5920</v>
      </c>
      <c r="Z231" s="102" t="s">
        <v>5913</v>
      </c>
    </row>
    <row r="232">
      <c r="A232" s="102" t="s">
        <v>310</v>
      </c>
      <c r="B232" s="102" t="s">
        <v>7768</v>
      </c>
      <c r="C232" s="229" t="s">
        <v>7769</v>
      </c>
      <c r="D232" s="102" t="s">
        <v>7770</v>
      </c>
      <c r="E232" s="102" t="s">
        <v>564</v>
      </c>
      <c r="F232" s="102" t="s">
        <v>565</v>
      </c>
      <c r="G232" s="102" t="s">
        <v>282</v>
      </c>
      <c r="H232" s="102" t="s">
        <v>283</v>
      </c>
      <c r="I232" s="102" t="s">
        <v>284</v>
      </c>
      <c r="J232" s="102" t="s">
        <v>454</v>
      </c>
      <c r="L232" s="229" t="s">
        <v>7771</v>
      </c>
      <c r="M232" s="229" t="s">
        <v>8644</v>
      </c>
      <c r="N232" s="229" t="s">
        <v>6471</v>
      </c>
      <c r="O232" s="102">
        <v>5.0</v>
      </c>
      <c r="P232" s="102" t="s">
        <v>504</v>
      </c>
      <c r="T232" s="102" t="s">
        <v>5944</v>
      </c>
      <c r="U232" s="230" t="str">
        <f>IF(ISNUMBER(MATCH(B232, 'Sprint 9'!B:B, 0)), "มาจาก Sprint 9", "")</f>
        <v>มาจาก Sprint 9</v>
      </c>
      <c r="V232" s="230" t="str">
        <f t="array" ref="V232">IF(ISNUMBER(MATCH(B232, 'Sprint 9'!B:B, 0)), INDEX('Sprint 9'!J:J, MATCH(B232, 'Sprint 9'!B:B, 0)), "")</f>
        <v>Ready To Test</v>
      </c>
      <c r="W232" s="102">
        <v>43200.0</v>
      </c>
      <c r="X232" s="102" t="s">
        <v>5920</v>
      </c>
      <c r="Y232" s="102" t="s">
        <v>5920</v>
      </c>
      <c r="Z232" s="102" t="s">
        <v>5913</v>
      </c>
    </row>
    <row r="233">
      <c r="A233" s="102" t="s">
        <v>332</v>
      </c>
      <c r="B233" s="102" t="s">
        <v>8048</v>
      </c>
      <c r="C233" s="229" t="s">
        <v>8049</v>
      </c>
      <c r="D233" s="102" t="s">
        <v>8050</v>
      </c>
      <c r="E233" s="102" t="s">
        <v>353</v>
      </c>
      <c r="F233" s="102" t="s">
        <v>354</v>
      </c>
      <c r="G233" s="102" t="s">
        <v>3288</v>
      </c>
      <c r="H233" s="102" t="s">
        <v>3289</v>
      </c>
      <c r="I233" s="102" t="s">
        <v>284</v>
      </c>
      <c r="J233" s="102" t="s">
        <v>2231</v>
      </c>
      <c r="L233" s="229" t="s">
        <v>8051</v>
      </c>
      <c r="M233" s="229" t="s">
        <v>8649</v>
      </c>
      <c r="N233" s="102"/>
      <c r="O233" s="102"/>
      <c r="P233" s="102"/>
      <c r="S233" s="102"/>
      <c r="T233" s="102" t="s">
        <v>8237</v>
      </c>
      <c r="U233" s="230" t="str">
        <f>IF(ISNUMBER(MATCH(B233, 'Sprint 9'!B:B, 0)), "มาจาก Sprint 9", "")</f>
        <v>มาจาก Sprint 9</v>
      </c>
      <c r="V233" s="230" t="str">
        <f t="array" ref="V233">IF(ISNUMBER(MATCH(B233, 'Sprint 9'!B:B, 0)), INDEX('Sprint 9'!J:J, MATCH(B233, 'Sprint 9'!B:B, 0)), "")</f>
        <v>UNDER VALIDATION</v>
      </c>
      <c r="X233" s="102" t="s">
        <v>8039</v>
      </c>
      <c r="Y233" s="102"/>
      <c r="Z233" s="102"/>
    </row>
    <row r="234">
      <c r="A234" s="102" t="s">
        <v>310</v>
      </c>
      <c r="B234" s="102" t="s">
        <v>7772</v>
      </c>
      <c r="C234" s="229" t="s">
        <v>7773</v>
      </c>
      <c r="D234" s="102" t="s">
        <v>7774</v>
      </c>
      <c r="E234" s="102" t="s">
        <v>282</v>
      </c>
      <c r="F234" s="102" t="s">
        <v>283</v>
      </c>
      <c r="G234" s="102" t="s">
        <v>282</v>
      </c>
      <c r="H234" s="102" t="s">
        <v>283</v>
      </c>
      <c r="I234" s="102" t="s">
        <v>284</v>
      </c>
      <c r="J234" s="102" t="s">
        <v>454</v>
      </c>
      <c r="L234" s="229" t="s">
        <v>7775</v>
      </c>
      <c r="M234" s="229" t="s">
        <v>8426</v>
      </c>
      <c r="N234" s="102"/>
      <c r="O234" s="102">
        <v>1.0</v>
      </c>
      <c r="P234" s="102" t="s">
        <v>777</v>
      </c>
      <c r="S234" s="102"/>
      <c r="T234" s="102" t="s">
        <v>7695</v>
      </c>
      <c r="U234" s="230" t="str">
        <f>IF(ISNUMBER(MATCH(B234, 'Sprint 9'!B:B, 0)), "มาจาก Sprint 9", "")</f>
        <v>มาจาก Sprint 9</v>
      </c>
      <c r="V234" s="230" t="str">
        <f t="array" ref="V234">IF(ISNUMBER(MATCH(B234, 'Sprint 9'!B:B, 0)), INDEX('Sprint 9'!J:J, MATCH(B234, 'Sprint 9'!B:B, 0)), "")</f>
        <v>Ready To Test</v>
      </c>
      <c r="X234" s="102" t="s">
        <v>7696</v>
      </c>
      <c r="Y234" s="102" t="s">
        <v>5944</v>
      </c>
      <c r="Z234" s="102" t="s">
        <v>5920</v>
      </c>
      <c r="AA234" s="102" t="s">
        <v>5920</v>
      </c>
      <c r="AB234" s="102" t="s">
        <v>5913</v>
      </c>
    </row>
    <row r="235">
      <c r="A235" s="102" t="s">
        <v>332</v>
      </c>
      <c r="B235" s="102" t="s">
        <v>8650</v>
      </c>
      <c r="C235" s="229" t="s">
        <v>8651</v>
      </c>
      <c r="D235" s="102" t="s">
        <v>8652</v>
      </c>
      <c r="E235" s="102" t="s">
        <v>564</v>
      </c>
      <c r="F235" s="102" t="s">
        <v>565</v>
      </c>
      <c r="G235" s="102" t="s">
        <v>3288</v>
      </c>
      <c r="H235" s="102" t="s">
        <v>3289</v>
      </c>
      <c r="I235" s="102" t="s">
        <v>284</v>
      </c>
      <c r="J235" s="102" t="s">
        <v>336</v>
      </c>
      <c r="L235" s="229" t="s">
        <v>8653</v>
      </c>
      <c r="M235" s="229" t="s">
        <v>8654</v>
      </c>
      <c r="N235" s="229" t="s">
        <v>7509</v>
      </c>
      <c r="O235" s="102">
        <v>2.0</v>
      </c>
      <c r="S235" s="230"/>
      <c r="T235" s="102" t="s">
        <v>8237</v>
      </c>
      <c r="U235" s="230" t="str">
        <f>IF(ISNUMBER(MATCH(B235, 'Sprint 9'!B:B, 0)), "มาจาก Sprint 9", "")</f>
        <v>มาจาก Sprint 9</v>
      </c>
      <c r="V235" s="230" t="str">
        <f t="array" ref="V235">IF(ISNUMBER(MATCH(B235, 'Sprint 9'!B:B, 0)), INDEX('Sprint 9'!J:J, MATCH(B235, 'Sprint 9'!B:B, 0)), "")</f>
        <v>UNDER VALIDATION</v>
      </c>
      <c r="X235" s="102" t="s">
        <v>8039</v>
      </c>
    </row>
    <row r="236">
      <c r="A236" s="102" t="s">
        <v>310</v>
      </c>
      <c r="B236" s="102" t="s">
        <v>4962</v>
      </c>
      <c r="C236" s="229" t="s">
        <v>4963</v>
      </c>
      <c r="D236" s="102" t="s">
        <v>4964</v>
      </c>
      <c r="E236" s="102" t="s">
        <v>556</v>
      </c>
      <c r="F236" s="102" t="s">
        <v>557</v>
      </c>
      <c r="G236" s="102" t="s">
        <v>353</v>
      </c>
      <c r="H236" s="102" t="s">
        <v>354</v>
      </c>
      <c r="I236" s="102" t="s">
        <v>284</v>
      </c>
      <c r="J236" s="102" t="s">
        <v>454</v>
      </c>
      <c r="L236" s="229" t="s">
        <v>4965</v>
      </c>
      <c r="M236" s="229" t="s">
        <v>8655</v>
      </c>
      <c r="N236" s="229" t="s">
        <v>4966</v>
      </c>
      <c r="O236" s="102">
        <v>1.0</v>
      </c>
      <c r="P236" s="102"/>
      <c r="S236" s="102">
        <v>7200.0</v>
      </c>
      <c r="T236" s="102" t="s">
        <v>4967</v>
      </c>
      <c r="U236" s="230" t="str">
        <f>IF(ISNUMBER(MATCH(B236, 'Sprint 9'!B:B, 0)), "มาจาก Sprint 9", "")</f>
        <v>มาจาก Sprint 9</v>
      </c>
      <c r="V236" s="230" t="str">
        <f t="array" ref="V236">IF(ISNUMBER(MATCH(B236, 'Sprint 9'!B:B, 0)), INDEX('Sprint 9'!J:J, MATCH(B236, 'Sprint 9'!B:B, 0)), "")</f>
        <v>Ready To Test</v>
      </c>
      <c r="X236" s="102" t="s">
        <v>4968</v>
      </c>
      <c r="Y236" s="102" t="s">
        <v>4960</v>
      </c>
      <c r="Z236" s="102" t="s">
        <v>4961</v>
      </c>
      <c r="AA236" s="102"/>
      <c r="AB236" s="102"/>
    </row>
    <row r="237">
      <c r="A237" s="102" t="s">
        <v>310</v>
      </c>
      <c r="B237" s="102" t="s">
        <v>5940</v>
      </c>
      <c r="C237" s="229" t="s">
        <v>5941</v>
      </c>
      <c r="D237" s="102" t="s">
        <v>5942</v>
      </c>
      <c r="E237" s="102" t="s">
        <v>513</v>
      </c>
      <c r="F237" s="102" t="s">
        <v>514</v>
      </c>
      <c r="G237" s="102" t="s">
        <v>282</v>
      </c>
      <c r="H237" s="102" t="s">
        <v>283</v>
      </c>
      <c r="I237" s="102" t="s">
        <v>284</v>
      </c>
      <c r="J237" s="102" t="s">
        <v>454</v>
      </c>
      <c r="L237" s="229" t="s">
        <v>5943</v>
      </c>
      <c r="M237" s="229" t="s">
        <v>8426</v>
      </c>
      <c r="N237" s="102"/>
      <c r="O237" s="102">
        <v>3.0</v>
      </c>
      <c r="T237" s="102" t="s">
        <v>5944</v>
      </c>
      <c r="U237" s="230" t="str">
        <f>IF(ISNUMBER(MATCH(B237, 'Sprint 9'!B:B, 0)), "มาจาก Sprint 9", "")</f>
        <v>มาจาก Sprint 9</v>
      </c>
      <c r="V237" s="230" t="str">
        <f t="array" ref="V237">IF(ISNUMBER(MATCH(B237, 'Sprint 9'!B:B, 0)), INDEX('Sprint 9'!J:J, MATCH(B237, 'Sprint 9'!B:B, 0)), "")</f>
        <v>Ready To Test</v>
      </c>
      <c r="W237" s="102">
        <v>28800.0</v>
      </c>
      <c r="X237" s="102" t="s">
        <v>5920</v>
      </c>
      <c r="Y237" s="102" t="s">
        <v>5920</v>
      </c>
      <c r="Z237" s="102" t="s">
        <v>5913</v>
      </c>
    </row>
    <row r="238">
      <c r="A238" s="102" t="s">
        <v>310</v>
      </c>
      <c r="B238" s="102" t="s">
        <v>8656</v>
      </c>
      <c r="C238" s="229" t="s">
        <v>8657</v>
      </c>
      <c r="D238" s="102" t="s">
        <v>8658</v>
      </c>
      <c r="E238" s="102" t="s">
        <v>495</v>
      </c>
      <c r="F238" s="102" t="s">
        <v>496</v>
      </c>
      <c r="G238" s="102" t="s">
        <v>282</v>
      </c>
      <c r="H238" s="102" t="s">
        <v>283</v>
      </c>
      <c r="I238" s="102" t="s">
        <v>284</v>
      </c>
      <c r="J238" s="102" t="s">
        <v>454</v>
      </c>
      <c r="L238" s="229" t="s">
        <v>8659</v>
      </c>
      <c r="M238" s="229" t="s">
        <v>8644</v>
      </c>
      <c r="N238" s="102"/>
      <c r="O238" s="102">
        <v>2.0</v>
      </c>
      <c r="T238" s="102" t="s">
        <v>5920</v>
      </c>
      <c r="U238" s="230" t="str">
        <f>IF(ISNUMBER(MATCH(B238, 'Sprint 9'!B:B, 0)), "มาจาก Sprint 9", "")</f>
        <v>มาจาก Sprint 9</v>
      </c>
      <c r="V238" s="230" t="str">
        <f t="array" ref="V238">IF(ISNUMBER(MATCH(B238, 'Sprint 9'!B:B, 0)), INDEX('Sprint 9'!J:J, MATCH(B238, 'Sprint 9'!B:B, 0)), "")</f>
        <v>Ready To Test</v>
      </c>
      <c r="W238" s="102">
        <v>7200.0</v>
      </c>
      <c r="X238" s="102" t="s">
        <v>5920</v>
      </c>
      <c r="Y238" s="102" t="s">
        <v>5913</v>
      </c>
      <c r="Z238" s="102"/>
    </row>
    <row r="239">
      <c r="A239" s="102" t="s">
        <v>310</v>
      </c>
      <c r="B239" s="102" t="s">
        <v>8053</v>
      </c>
      <c r="C239" s="229" t="s">
        <v>8054</v>
      </c>
      <c r="D239" s="102" t="s">
        <v>8055</v>
      </c>
      <c r="E239" s="102" t="s">
        <v>495</v>
      </c>
      <c r="F239" s="102" t="s">
        <v>496</v>
      </c>
      <c r="G239" s="102" t="s">
        <v>282</v>
      </c>
      <c r="H239" s="102" t="s">
        <v>283</v>
      </c>
      <c r="I239" s="102" t="s">
        <v>284</v>
      </c>
      <c r="J239" s="102" t="s">
        <v>454</v>
      </c>
      <c r="L239" s="229" t="s">
        <v>8056</v>
      </c>
      <c r="M239" s="229" t="s">
        <v>8426</v>
      </c>
      <c r="N239" s="102"/>
      <c r="O239" s="102">
        <v>5.0</v>
      </c>
      <c r="P239" s="102" t="s">
        <v>777</v>
      </c>
      <c r="R239" s="230"/>
      <c r="T239" s="102" t="s">
        <v>5920</v>
      </c>
      <c r="U239" s="230" t="str">
        <f>IF(ISNUMBER(MATCH(B239, 'Sprint 9'!B:B, 0)), "มาจาก Sprint 9", "")</f>
        <v>มาจาก Sprint 9</v>
      </c>
      <c r="V239" s="230" t="str">
        <f t="array" ref="V239">IF(ISNUMBER(MATCH(B239, 'Sprint 9'!B:B, 0)), INDEX('Sprint 9'!J:J, MATCH(B239, 'Sprint 9'!B:B, 0)), "")</f>
        <v>Ready To Test</v>
      </c>
      <c r="W239" s="102">
        <v>57600.0</v>
      </c>
      <c r="X239" s="102" t="s">
        <v>5920</v>
      </c>
      <c r="Y239" s="102" t="s">
        <v>5913</v>
      </c>
      <c r="Z239" s="102"/>
      <c r="AA239" s="230"/>
      <c r="AB239" s="230"/>
      <c r="AC239" s="230"/>
      <c r="AD239" s="230"/>
      <c r="AE239" s="230"/>
      <c r="AF239" s="102"/>
      <c r="AG239" s="102"/>
      <c r="AH239" s="102"/>
      <c r="AI239" s="102"/>
      <c r="AJ239" s="102"/>
    </row>
    <row r="240">
      <c r="A240" s="102" t="s">
        <v>310</v>
      </c>
      <c r="B240" s="102" t="s">
        <v>8058</v>
      </c>
      <c r="C240" s="229" t="s">
        <v>8059</v>
      </c>
      <c r="D240" s="102" t="s">
        <v>8060</v>
      </c>
      <c r="E240" s="102" t="s">
        <v>495</v>
      </c>
      <c r="F240" s="102" t="s">
        <v>496</v>
      </c>
      <c r="G240" s="102" t="s">
        <v>282</v>
      </c>
      <c r="H240" s="102" t="s">
        <v>283</v>
      </c>
      <c r="I240" s="102" t="s">
        <v>284</v>
      </c>
      <c r="J240" s="102" t="s">
        <v>454</v>
      </c>
      <c r="L240" s="229" t="s">
        <v>8061</v>
      </c>
      <c r="M240" s="229" t="s">
        <v>8426</v>
      </c>
      <c r="N240" s="102"/>
      <c r="O240" s="102">
        <v>2.0</v>
      </c>
      <c r="P240" s="102" t="s">
        <v>3197</v>
      </c>
      <c r="R240" s="230"/>
      <c r="T240" s="102" t="s">
        <v>5944</v>
      </c>
      <c r="U240" s="230" t="str">
        <f>IF(ISNUMBER(MATCH(B240, 'Sprint 9'!B:B, 0)), "มาจาก Sprint 9", "")</f>
        <v>มาจาก Sprint 9</v>
      </c>
      <c r="V240" s="230" t="str">
        <f t="array" ref="V240">IF(ISNUMBER(MATCH(B240, 'Sprint 9'!B:B, 0)), INDEX('Sprint 9'!J:J, MATCH(B240, 'Sprint 9'!B:B, 0)), "")</f>
        <v>Ready To Test</v>
      </c>
      <c r="W240" s="102">
        <v>3600.0</v>
      </c>
      <c r="X240" s="102" t="s">
        <v>5920</v>
      </c>
      <c r="Y240" s="102" t="s">
        <v>5920</v>
      </c>
      <c r="Z240" s="102" t="s">
        <v>5913</v>
      </c>
      <c r="AA240" s="230"/>
      <c r="AB240" s="230"/>
      <c r="AC240" s="230"/>
      <c r="AD240" s="230"/>
      <c r="AE240" s="230"/>
      <c r="AF240" s="102"/>
      <c r="AG240" s="102"/>
      <c r="AH240" s="102"/>
      <c r="AI240" s="102"/>
      <c r="AJ240" s="102"/>
      <c r="AK240" s="102"/>
      <c r="AL240" s="102"/>
      <c r="AM240" s="102"/>
    </row>
    <row r="241">
      <c r="A241" s="102" t="s">
        <v>310</v>
      </c>
      <c r="B241" s="102" t="s">
        <v>8062</v>
      </c>
      <c r="C241" s="229" t="s">
        <v>8063</v>
      </c>
      <c r="D241" s="102" t="s">
        <v>8064</v>
      </c>
      <c r="E241" s="102" t="s">
        <v>495</v>
      </c>
      <c r="F241" s="102" t="s">
        <v>496</v>
      </c>
      <c r="G241" s="102" t="s">
        <v>282</v>
      </c>
      <c r="H241" s="102" t="s">
        <v>283</v>
      </c>
      <c r="I241" s="102" t="s">
        <v>284</v>
      </c>
      <c r="J241" s="102" t="s">
        <v>454</v>
      </c>
      <c r="L241" s="229" t="s">
        <v>8065</v>
      </c>
      <c r="M241" s="229" t="s">
        <v>8426</v>
      </c>
      <c r="N241" s="102"/>
      <c r="O241" s="102">
        <v>2.0</v>
      </c>
      <c r="P241" s="102" t="s">
        <v>3197</v>
      </c>
      <c r="R241" s="230"/>
      <c r="T241" s="102" t="s">
        <v>5944</v>
      </c>
      <c r="U241" s="230" t="str">
        <f>IF(ISNUMBER(MATCH(B241, 'Sprint 9'!B:B, 0)), "มาจาก Sprint 9", "")</f>
        <v>มาจาก Sprint 9</v>
      </c>
      <c r="V241" s="230" t="str">
        <f t="array" ref="V241">IF(ISNUMBER(MATCH(B241, 'Sprint 9'!B:B, 0)), INDEX('Sprint 9'!J:J, MATCH(B241, 'Sprint 9'!B:B, 0)), "")</f>
        <v>Ready To Test</v>
      </c>
      <c r="W241" s="102">
        <v>14400.0</v>
      </c>
      <c r="X241" s="102" t="s">
        <v>5920</v>
      </c>
      <c r="Y241" s="102" t="s">
        <v>5920</v>
      </c>
      <c r="Z241" s="102" t="s">
        <v>5913</v>
      </c>
      <c r="AA241" s="230"/>
      <c r="AB241" s="230"/>
      <c r="AC241" s="230"/>
      <c r="AD241" s="230"/>
      <c r="AE241" s="230"/>
      <c r="AF241" s="102"/>
      <c r="AG241" s="102"/>
      <c r="AH241" s="102"/>
    </row>
    <row r="242">
      <c r="A242" s="102" t="s">
        <v>332</v>
      </c>
      <c r="B242" s="102" t="s">
        <v>6476</v>
      </c>
      <c r="C242" s="229" t="s">
        <v>6477</v>
      </c>
      <c r="D242" s="102" t="s">
        <v>6478</v>
      </c>
      <c r="E242" s="102" t="s">
        <v>556</v>
      </c>
      <c r="F242" s="102" t="s">
        <v>557</v>
      </c>
      <c r="G242" s="102" t="s">
        <v>316</v>
      </c>
      <c r="H242" s="102" t="s">
        <v>317</v>
      </c>
      <c r="I242" s="102" t="s">
        <v>1921</v>
      </c>
      <c r="J242" s="102" t="s">
        <v>922</v>
      </c>
      <c r="L242" s="229" t="s">
        <v>6479</v>
      </c>
      <c r="M242" s="229" t="s">
        <v>8660</v>
      </c>
      <c r="N242" s="229" t="s">
        <v>6481</v>
      </c>
      <c r="O242" s="102">
        <v>3.0</v>
      </c>
      <c r="P242" s="102"/>
      <c r="R242" s="230"/>
      <c r="S242" s="102"/>
      <c r="T242" s="102" t="s">
        <v>4961</v>
      </c>
      <c r="U242" s="230" t="str">
        <f>IF(ISNUMBER(MATCH(B242, 'Sprint 9'!B:B, 0)), "มาจาก Sprint 9", "")</f>
        <v/>
      </c>
      <c r="V242" s="230" t="str">
        <f t="array" ref="V242">IF(ISNUMBER(MATCH(B242, 'Sprint 9'!B:B, 0)), INDEX('Sprint 9'!J:J, MATCH(B242, 'Sprint 9'!B:B, 0)), "")</f>
        <v/>
      </c>
      <c r="X242" s="102"/>
      <c r="Y242" s="102"/>
      <c r="Z242" s="102"/>
      <c r="AA242" s="230"/>
      <c r="AB242" s="230"/>
      <c r="AC242" s="230"/>
      <c r="AD242" s="230"/>
      <c r="AE242" s="230"/>
      <c r="AF242" s="102"/>
      <c r="AG242" s="102"/>
      <c r="AH242" s="102"/>
      <c r="AI242" s="102"/>
    </row>
    <row r="243">
      <c r="A243" s="102" t="s">
        <v>332</v>
      </c>
      <c r="B243" s="102" t="s">
        <v>8661</v>
      </c>
      <c r="C243" s="229" t="s">
        <v>8662</v>
      </c>
      <c r="D243" s="102" t="s">
        <v>8663</v>
      </c>
      <c r="E243" s="102" t="s">
        <v>282</v>
      </c>
      <c r="F243" s="102" t="s">
        <v>283</v>
      </c>
      <c r="G243" s="102" t="s">
        <v>316</v>
      </c>
      <c r="H243" s="102" t="s">
        <v>317</v>
      </c>
      <c r="I243" s="102" t="s">
        <v>284</v>
      </c>
      <c r="J243" s="102" t="s">
        <v>478</v>
      </c>
      <c r="L243" s="229" t="s">
        <v>8664</v>
      </c>
      <c r="M243" s="229" t="s">
        <v>8665</v>
      </c>
      <c r="N243" s="229" t="s">
        <v>8666</v>
      </c>
      <c r="O243" s="102">
        <v>2.0</v>
      </c>
      <c r="P243" s="102" t="s">
        <v>7229</v>
      </c>
      <c r="R243" s="230"/>
      <c r="S243" s="102"/>
      <c r="T243" s="102" t="s">
        <v>4960</v>
      </c>
      <c r="U243" s="230" t="str">
        <f>IF(ISNUMBER(MATCH(B243, 'Sprint 9'!B:B, 0)), "มาจาก Sprint 9", "")</f>
        <v>มาจาก Sprint 9</v>
      </c>
      <c r="V243" s="230" t="str">
        <f t="array" ref="V243">IF(ISNUMBER(MATCH(B243, 'Sprint 9'!B:B, 0)), INDEX('Sprint 9'!J:J, MATCH(B243, 'Sprint 9'!B:B, 0)), "")</f>
        <v>UNDER VALIDATION</v>
      </c>
      <c r="X243" s="102" t="s">
        <v>4960</v>
      </c>
      <c r="Y243" s="102" t="s">
        <v>4961</v>
      </c>
      <c r="Z243" s="102"/>
      <c r="AA243" s="230"/>
      <c r="AB243" s="230"/>
      <c r="AC243" s="230"/>
      <c r="AD243" s="230"/>
      <c r="AE243" s="230"/>
    </row>
    <row r="244">
      <c r="A244" s="102" t="s">
        <v>332</v>
      </c>
      <c r="B244" s="102" t="s">
        <v>8667</v>
      </c>
      <c r="C244" s="229" t="s">
        <v>8668</v>
      </c>
      <c r="D244" s="102" t="s">
        <v>8669</v>
      </c>
      <c r="E244" s="102" t="s">
        <v>353</v>
      </c>
      <c r="F244" s="102" t="s">
        <v>354</v>
      </c>
      <c r="G244" s="102" t="s">
        <v>316</v>
      </c>
      <c r="H244" s="102" t="s">
        <v>317</v>
      </c>
      <c r="I244" s="102" t="s">
        <v>284</v>
      </c>
      <c r="J244" s="102" t="s">
        <v>2318</v>
      </c>
      <c r="L244" s="229" t="s">
        <v>8670</v>
      </c>
      <c r="M244" s="229" t="s">
        <v>8671</v>
      </c>
      <c r="N244" s="229" t="s">
        <v>8672</v>
      </c>
      <c r="O244" s="102"/>
      <c r="P244" s="102" t="s">
        <v>538</v>
      </c>
      <c r="R244" s="230"/>
      <c r="S244" s="230"/>
      <c r="T244" s="102" t="s">
        <v>4961</v>
      </c>
      <c r="U244" s="230" t="str">
        <f>IF(ISNUMBER(MATCH(B244, 'Sprint 9'!B:B, 0)), "มาจาก Sprint 9", "")</f>
        <v/>
      </c>
      <c r="V244" s="230" t="str">
        <f t="array" ref="V244">IF(ISNUMBER(MATCH(B244, 'Sprint 9'!B:B, 0)), INDEX('Sprint 9'!J:J, MATCH(B244, 'Sprint 9'!B:B, 0)), "")</f>
        <v/>
      </c>
      <c r="X244" s="230"/>
      <c r="Y244" s="230"/>
      <c r="Z244" s="230"/>
      <c r="AA244" s="230"/>
      <c r="AB244" s="230"/>
      <c r="AC244" s="230"/>
      <c r="AD244" s="230"/>
      <c r="AE244" s="230"/>
    </row>
    <row r="245">
      <c r="A245" s="102" t="s">
        <v>310</v>
      </c>
      <c r="B245" s="102" t="s">
        <v>8673</v>
      </c>
      <c r="C245" s="229" t="s">
        <v>8674</v>
      </c>
      <c r="D245" s="102" t="s">
        <v>8675</v>
      </c>
      <c r="E245" s="102" t="s">
        <v>495</v>
      </c>
      <c r="F245" s="102" t="s">
        <v>496</v>
      </c>
      <c r="G245" s="102" t="s">
        <v>314</v>
      </c>
      <c r="H245" s="102" t="s">
        <v>315</v>
      </c>
      <c r="I245" s="102" t="s">
        <v>284</v>
      </c>
      <c r="J245" s="102" t="s">
        <v>26</v>
      </c>
      <c r="L245" s="229" t="s">
        <v>8676</v>
      </c>
      <c r="M245" s="229" t="s">
        <v>8548</v>
      </c>
      <c r="N245" s="102"/>
      <c r="O245" s="102">
        <v>3.0</v>
      </c>
      <c r="P245" s="102" t="s">
        <v>1305</v>
      </c>
      <c r="R245" s="230"/>
      <c r="S245" s="102">
        <v>28800.0</v>
      </c>
      <c r="T245" s="102" t="s">
        <v>1363</v>
      </c>
      <c r="U245" s="230" t="str">
        <f>IF(ISNUMBER(MATCH(B245, 'Sprint 9'!B:B, 0)), "มาจาก Sprint 9", "")</f>
        <v>มาจาก Sprint 9</v>
      </c>
      <c r="V245" s="230" t="str">
        <f t="array" ref="V245">IF(ISNUMBER(MATCH(B245, 'Sprint 9'!B:B, 0)), INDEX('Sprint 9'!J:J, MATCH(B245, 'Sprint 9'!B:B, 0)), "")</f>
        <v>Ready To Test</v>
      </c>
      <c r="X245" s="102" t="s">
        <v>1364</v>
      </c>
      <c r="Y245" s="102"/>
      <c r="Z245" s="230"/>
      <c r="AA245" s="230"/>
      <c r="AB245" s="230"/>
      <c r="AC245" s="230"/>
      <c r="AD245" s="230"/>
      <c r="AE245" s="230"/>
    </row>
    <row r="246">
      <c r="A246" s="102" t="s">
        <v>310</v>
      </c>
      <c r="B246" s="102" t="s">
        <v>8677</v>
      </c>
      <c r="C246" s="229" t="s">
        <v>8678</v>
      </c>
      <c r="D246" s="102" t="s">
        <v>8679</v>
      </c>
      <c r="E246" s="102" t="s">
        <v>495</v>
      </c>
      <c r="F246" s="102" t="s">
        <v>496</v>
      </c>
      <c r="G246" s="102" t="s">
        <v>314</v>
      </c>
      <c r="H246" s="102" t="s">
        <v>315</v>
      </c>
      <c r="I246" s="102" t="s">
        <v>284</v>
      </c>
      <c r="J246" s="102" t="s">
        <v>26</v>
      </c>
      <c r="L246" s="229" t="s">
        <v>8680</v>
      </c>
      <c r="M246" s="229" t="s">
        <v>8557</v>
      </c>
      <c r="N246" s="229" t="s">
        <v>7606</v>
      </c>
      <c r="O246" s="102">
        <v>5.0</v>
      </c>
      <c r="P246" s="102" t="s">
        <v>1305</v>
      </c>
      <c r="R246" s="230"/>
      <c r="T246" s="102" t="s">
        <v>1363</v>
      </c>
      <c r="U246" s="230" t="str">
        <f>IF(ISNUMBER(MATCH(B246, 'Sprint 9'!B:B, 0)), "มาจาก Sprint 9", "")</f>
        <v>มาจาก Sprint 9</v>
      </c>
      <c r="V246" s="230" t="str">
        <f t="array" ref="V246">IF(ISNUMBER(MATCH(B246, 'Sprint 9'!B:B, 0)), INDEX('Sprint 9'!J:J, MATCH(B246, 'Sprint 9'!B:B, 0)), "")</f>
        <v>Ready To Test</v>
      </c>
      <c r="W246" s="102">
        <v>72000.0</v>
      </c>
      <c r="X246" s="102" t="s">
        <v>1363</v>
      </c>
      <c r="Y246" s="102" t="s">
        <v>1364</v>
      </c>
      <c r="Z246" s="230"/>
      <c r="AA246" s="230"/>
      <c r="AB246" s="230"/>
      <c r="AC246" s="230"/>
      <c r="AD246" s="230"/>
      <c r="AE246" s="230"/>
    </row>
    <row r="247">
      <c r="A247" s="102" t="s">
        <v>310</v>
      </c>
      <c r="B247" s="102" t="s">
        <v>8681</v>
      </c>
      <c r="C247" s="229" t="s">
        <v>8682</v>
      </c>
      <c r="D247" s="102" t="s">
        <v>8683</v>
      </c>
      <c r="E247" s="102" t="s">
        <v>6315</v>
      </c>
      <c r="F247" s="102" t="s">
        <v>6316</v>
      </c>
      <c r="G247" s="102" t="s">
        <v>314</v>
      </c>
      <c r="H247" s="102" t="s">
        <v>315</v>
      </c>
      <c r="I247" s="102" t="s">
        <v>284</v>
      </c>
      <c r="J247" s="102" t="s">
        <v>26</v>
      </c>
      <c r="L247" s="229" t="s">
        <v>8684</v>
      </c>
      <c r="M247" s="229" t="s">
        <v>8557</v>
      </c>
      <c r="N247" s="229" t="s">
        <v>8685</v>
      </c>
      <c r="O247" s="102">
        <v>5.0</v>
      </c>
      <c r="P247" s="102" t="s">
        <v>1305</v>
      </c>
      <c r="R247" s="230"/>
      <c r="S247" s="102"/>
      <c r="T247" s="102" t="s">
        <v>1363</v>
      </c>
      <c r="U247" s="230" t="str">
        <f>IF(ISNUMBER(MATCH(B247, 'Sprint 9'!B:B, 0)), "มาจาก Sprint 9", "")</f>
        <v>มาจาก Sprint 9</v>
      </c>
      <c r="V247" s="230" t="str">
        <f t="array" ref="V247">IF(ISNUMBER(MATCH(B247, 'Sprint 9'!B:B, 0)), INDEX('Sprint 9'!J:J, MATCH(B247, 'Sprint 9'!B:B, 0)), "")</f>
        <v>Ready To Test</v>
      </c>
      <c r="X247" s="102" t="s">
        <v>1363</v>
      </c>
      <c r="Y247" s="102" t="s">
        <v>1364</v>
      </c>
      <c r="Z247" s="230"/>
      <c r="AA247" s="230"/>
      <c r="AB247" s="230"/>
      <c r="AC247" s="230"/>
      <c r="AD247" s="230"/>
      <c r="AE247" s="230"/>
    </row>
    <row r="248">
      <c r="A248" s="102" t="s">
        <v>310</v>
      </c>
      <c r="B248" s="102" t="s">
        <v>8686</v>
      </c>
      <c r="C248" s="229" t="s">
        <v>8687</v>
      </c>
      <c r="D248" s="102" t="s">
        <v>8688</v>
      </c>
      <c r="E248" s="102" t="s">
        <v>314</v>
      </c>
      <c r="F248" s="102" t="s">
        <v>315</v>
      </c>
      <c r="G248" s="102" t="s">
        <v>314</v>
      </c>
      <c r="H248" s="102" t="s">
        <v>315</v>
      </c>
      <c r="I248" s="102" t="s">
        <v>284</v>
      </c>
      <c r="J248" s="102" t="s">
        <v>26</v>
      </c>
      <c r="L248" s="229" t="s">
        <v>8689</v>
      </c>
      <c r="M248" s="229" t="s">
        <v>8562</v>
      </c>
      <c r="N248" s="102"/>
      <c r="O248" s="102">
        <v>2.0</v>
      </c>
      <c r="P248" s="102" t="s">
        <v>1305</v>
      </c>
      <c r="R248" s="230"/>
      <c r="T248" s="102" t="s">
        <v>5920</v>
      </c>
      <c r="U248" s="230" t="str">
        <f>IF(ISNUMBER(MATCH(B248, 'Sprint 9'!B:B, 0)), "มาจาก Sprint 9", "")</f>
        <v>มาจาก Sprint 9</v>
      </c>
      <c r="V248" s="230" t="str">
        <f t="array" ref="V248">IF(ISNUMBER(MATCH(B248, 'Sprint 9'!B:B, 0)), INDEX('Sprint 9'!J:J, MATCH(B248, 'Sprint 9'!B:B, 0)), "")</f>
        <v>Ready To Test</v>
      </c>
      <c r="W248" s="102">
        <v>7200.0</v>
      </c>
      <c r="X248" s="102" t="s">
        <v>5920</v>
      </c>
      <c r="Y248" s="102" t="s">
        <v>5913</v>
      </c>
      <c r="Z248" s="230"/>
      <c r="AA248" s="230"/>
      <c r="AB248" s="230"/>
      <c r="AC248" s="230"/>
      <c r="AD248" s="230"/>
      <c r="AE248" s="230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L249" s="102"/>
      <c r="M249" s="102"/>
      <c r="N249" s="102"/>
      <c r="O249" s="102"/>
      <c r="P249" s="102"/>
      <c r="R249" s="230"/>
      <c r="S249" s="230"/>
      <c r="T249" s="102"/>
      <c r="U249" s="230"/>
      <c r="V249" s="230"/>
      <c r="W249" s="230"/>
      <c r="X249" s="102"/>
      <c r="Y249" s="102"/>
      <c r="Z249" s="230"/>
      <c r="AA249" s="230"/>
      <c r="AB249" s="230"/>
      <c r="AC249" s="230"/>
      <c r="AD249" s="230"/>
      <c r="AE249" s="230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L250" s="102"/>
      <c r="M250" s="102"/>
      <c r="O250" s="102"/>
      <c r="P250" s="102"/>
      <c r="R250" s="230"/>
      <c r="S250" s="102"/>
      <c r="T250" s="102"/>
      <c r="U250" s="230"/>
      <c r="V250" s="230"/>
      <c r="W250" s="230"/>
      <c r="X250" s="102"/>
      <c r="Y250" s="102"/>
      <c r="Z250" s="230"/>
      <c r="AA250" s="230"/>
      <c r="AB250" s="230"/>
      <c r="AC250" s="230"/>
      <c r="AD250" s="230"/>
      <c r="AE250" s="230"/>
    </row>
    <row r="251">
      <c r="O251" s="230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  <c r="AD251" s="230"/>
      <c r="AE251" s="230"/>
    </row>
    <row r="252">
      <c r="O252" s="230"/>
      <c r="R252" s="230"/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  <c r="AC252" s="230"/>
      <c r="AD252" s="230"/>
      <c r="AE252" s="230"/>
    </row>
    <row r="253">
      <c r="O253" s="230"/>
      <c r="R253" s="230"/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  <c r="AC253" s="230"/>
      <c r="AD253" s="230"/>
      <c r="AE253" s="230"/>
    </row>
    <row r="254">
      <c r="O254" s="230"/>
      <c r="R254" s="230"/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  <c r="AC254" s="230"/>
      <c r="AD254" s="230"/>
      <c r="AE254" s="230"/>
    </row>
    <row r="255">
      <c r="O255" s="230"/>
      <c r="R255" s="230"/>
      <c r="S255" s="230"/>
      <c r="T255" s="230"/>
      <c r="U255" s="230"/>
      <c r="V255" s="230"/>
      <c r="W255" s="230"/>
      <c r="X255" s="230"/>
      <c r="Y255" s="230"/>
      <c r="Z255" s="230"/>
      <c r="AA255" s="230"/>
      <c r="AB255" s="230"/>
      <c r="AC255" s="230"/>
      <c r="AD255" s="230"/>
      <c r="AE255" s="230"/>
    </row>
    <row r="256">
      <c r="O256" s="230"/>
      <c r="R256" s="230"/>
      <c r="S256" s="230"/>
      <c r="T256" s="230"/>
      <c r="U256" s="230"/>
      <c r="V256" s="230"/>
      <c r="W256" s="230"/>
      <c r="X256" s="230"/>
      <c r="Y256" s="230"/>
      <c r="Z256" s="230"/>
      <c r="AA256" s="230"/>
      <c r="AB256" s="230"/>
      <c r="AC256" s="230"/>
      <c r="AD256" s="230"/>
      <c r="AE256" s="230"/>
    </row>
    <row r="257">
      <c r="O257" s="230"/>
      <c r="R257" s="230"/>
      <c r="S257" s="230"/>
      <c r="T257" s="230"/>
      <c r="U257" s="230"/>
      <c r="V257" s="230"/>
      <c r="W257" s="230"/>
      <c r="X257" s="230"/>
      <c r="Y257" s="230"/>
      <c r="Z257" s="230"/>
      <c r="AA257" s="230"/>
      <c r="AB257" s="230"/>
      <c r="AC257" s="230"/>
      <c r="AD257" s="230"/>
      <c r="AE257" s="230"/>
    </row>
    <row r="258">
      <c r="O258" s="230"/>
      <c r="R258" s="230"/>
      <c r="S258" s="230"/>
      <c r="T258" s="230"/>
      <c r="U258" s="230"/>
      <c r="V258" s="230"/>
      <c r="W258" s="230"/>
      <c r="X258" s="230"/>
      <c r="Y258" s="230"/>
      <c r="Z258" s="230"/>
      <c r="AA258" s="230"/>
      <c r="AB258" s="230"/>
      <c r="AC258" s="230"/>
      <c r="AD258" s="230"/>
      <c r="AE258" s="230"/>
    </row>
    <row r="259">
      <c r="O259" s="230"/>
      <c r="R259" s="230"/>
      <c r="S259" s="230"/>
      <c r="T259" s="230"/>
      <c r="U259" s="230"/>
      <c r="V259" s="230"/>
      <c r="W259" s="230"/>
      <c r="X259" s="230"/>
      <c r="Y259" s="230"/>
      <c r="Z259" s="230"/>
      <c r="AA259" s="230"/>
      <c r="AB259" s="230"/>
      <c r="AC259" s="230"/>
      <c r="AD259" s="230"/>
      <c r="AE259" s="230"/>
    </row>
    <row r="260">
      <c r="O260" s="230"/>
      <c r="R260" s="230"/>
      <c r="S260" s="230"/>
      <c r="T260" s="230"/>
      <c r="U260" s="230"/>
      <c r="V260" s="230"/>
      <c r="W260" s="230"/>
      <c r="X260" s="230"/>
      <c r="Y260" s="230"/>
      <c r="Z260" s="230"/>
      <c r="AA260" s="230"/>
      <c r="AB260" s="230"/>
      <c r="AC260" s="230"/>
      <c r="AD260" s="230"/>
      <c r="AE260" s="230"/>
    </row>
    <row r="261">
      <c r="O261" s="230"/>
      <c r="R261" s="230"/>
      <c r="S261" s="230"/>
      <c r="T261" s="230"/>
      <c r="U261" s="230"/>
      <c r="V261" s="230"/>
      <c r="W261" s="230"/>
      <c r="X261" s="230"/>
      <c r="Y261" s="230"/>
      <c r="Z261" s="230"/>
      <c r="AA261" s="230"/>
      <c r="AB261" s="230"/>
      <c r="AC261" s="230"/>
      <c r="AD261" s="230"/>
      <c r="AE261" s="230"/>
    </row>
    <row r="262">
      <c r="O262" s="230"/>
      <c r="R262" s="230"/>
      <c r="S262" s="230"/>
      <c r="T262" s="230"/>
      <c r="U262" s="230"/>
      <c r="V262" s="230"/>
      <c r="W262" s="230"/>
      <c r="X262" s="230"/>
      <c r="Y262" s="230"/>
      <c r="Z262" s="230"/>
      <c r="AA262" s="230"/>
      <c r="AB262" s="230"/>
      <c r="AC262" s="230"/>
      <c r="AD262" s="230"/>
      <c r="AE262" s="230"/>
    </row>
    <row r="263">
      <c r="O263" s="230"/>
      <c r="R263" s="230"/>
      <c r="S263" s="230"/>
      <c r="T263" s="230"/>
      <c r="U263" s="230"/>
      <c r="V263" s="230"/>
      <c r="W263" s="230"/>
      <c r="X263" s="230"/>
      <c r="Y263" s="230"/>
      <c r="Z263" s="230"/>
      <c r="AA263" s="230"/>
      <c r="AB263" s="230"/>
      <c r="AC263" s="230"/>
      <c r="AD263" s="230"/>
      <c r="AE263" s="230"/>
    </row>
    <row r="264">
      <c r="O264" s="230"/>
      <c r="R264" s="230"/>
      <c r="S264" s="230"/>
      <c r="T264" s="230"/>
      <c r="U264" s="230"/>
      <c r="V264" s="230"/>
      <c r="W264" s="230"/>
      <c r="X264" s="230"/>
      <c r="Y264" s="230"/>
      <c r="Z264" s="230"/>
      <c r="AA264" s="230"/>
      <c r="AB264" s="230"/>
      <c r="AC264" s="230"/>
      <c r="AD264" s="230"/>
      <c r="AE264" s="230"/>
    </row>
    <row r="265">
      <c r="O265" s="230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  <c r="AD265" s="230"/>
      <c r="AE265" s="230"/>
    </row>
    <row r="266">
      <c r="O266" s="230"/>
      <c r="R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  <c r="AC266" s="230"/>
      <c r="AD266" s="230"/>
      <c r="AE266" s="230"/>
    </row>
    <row r="267">
      <c r="O267" s="230"/>
      <c r="R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  <c r="AC267" s="230"/>
      <c r="AD267" s="230"/>
      <c r="AE267" s="230"/>
    </row>
    <row r="268">
      <c r="O268" s="230"/>
      <c r="R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  <c r="AC268" s="230"/>
      <c r="AD268" s="230"/>
      <c r="AE268" s="230"/>
    </row>
    <row r="269">
      <c r="O269" s="230"/>
      <c r="R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  <c r="AC269" s="230"/>
      <c r="AD269" s="230"/>
      <c r="AE269" s="230"/>
    </row>
    <row r="270">
      <c r="O270" s="230"/>
      <c r="R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  <c r="AC270" s="230"/>
      <c r="AD270" s="230"/>
      <c r="AE270" s="230"/>
    </row>
    <row r="271">
      <c r="O271" s="230"/>
      <c r="R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  <c r="AC271" s="230"/>
      <c r="AD271" s="230"/>
      <c r="AE271" s="230"/>
    </row>
    <row r="272">
      <c r="O272" s="230"/>
      <c r="R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  <c r="AC272" s="230"/>
      <c r="AD272" s="230"/>
      <c r="AE272" s="230"/>
    </row>
    <row r="273">
      <c r="O273" s="230"/>
      <c r="R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  <c r="AC273" s="230"/>
      <c r="AD273" s="230"/>
      <c r="AE273" s="230"/>
    </row>
    <row r="274">
      <c r="O274" s="230"/>
      <c r="R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  <c r="AC274" s="230"/>
      <c r="AD274" s="230"/>
      <c r="AE274" s="230"/>
    </row>
    <row r="275">
      <c r="O275" s="230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</row>
    <row r="276">
      <c r="O276" s="230"/>
      <c r="R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  <c r="AC276" s="230"/>
      <c r="AD276" s="230"/>
      <c r="AE276" s="230"/>
    </row>
    <row r="277">
      <c r="O277" s="230"/>
      <c r="R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  <c r="AC277" s="230"/>
      <c r="AD277" s="230"/>
      <c r="AE277" s="230"/>
    </row>
    <row r="278">
      <c r="O278" s="230"/>
      <c r="R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  <c r="AC278" s="230"/>
      <c r="AD278" s="230"/>
      <c r="AE278" s="230"/>
    </row>
    <row r="279">
      <c r="O279" s="230"/>
      <c r="R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  <c r="AC279" s="230"/>
      <c r="AD279" s="230"/>
      <c r="AE279" s="230"/>
    </row>
    <row r="280">
      <c r="O280" s="230"/>
      <c r="R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  <c r="AC280" s="230"/>
      <c r="AD280" s="230"/>
      <c r="AE280" s="230"/>
    </row>
    <row r="281">
      <c r="O281" s="230"/>
      <c r="R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  <c r="AC281" s="230"/>
      <c r="AD281" s="230"/>
      <c r="AE281" s="230"/>
    </row>
    <row r="282">
      <c r="O282" s="230"/>
      <c r="R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  <c r="AC282" s="230"/>
      <c r="AD282" s="230"/>
      <c r="AE282" s="230"/>
    </row>
    <row r="283">
      <c r="O283" s="230"/>
      <c r="R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  <c r="AC283" s="230"/>
      <c r="AD283" s="230"/>
      <c r="AE283" s="230"/>
    </row>
    <row r="284">
      <c r="O284" s="230"/>
      <c r="R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  <c r="AC284" s="230"/>
      <c r="AD284" s="230"/>
      <c r="AE284" s="230"/>
    </row>
    <row r="285">
      <c r="O285" s="230"/>
      <c r="R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  <c r="AC285" s="230"/>
      <c r="AD285" s="230"/>
      <c r="AE285" s="230"/>
    </row>
    <row r="286">
      <c r="O286" s="230"/>
      <c r="R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  <c r="AC286" s="230"/>
      <c r="AD286" s="230"/>
      <c r="AE286" s="230"/>
    </row>
    <row r="287">
      <c r="O287" s="230"/>
      <c r="R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  <c r="AD287" s="230"/>
      <c r="AE287" s="230"/>
    </row>
    <row r="288">
      <c r="O288" s="230"/>
      <c r="R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  <c r="AC288" s="230"/>
      <c r="AD288" s="230"/>
      <c r="AE288" s="230"/>
    </row>
    <row r="289">
      <c r="O289" s="230"/>
      <c r="R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  <c r="AC289" s="230"/>
      <c r="AD289" s="230"/>
      <c r="AE289" s="230"/>
    </row>
    <row r="290">
      <c r="O290" s="230"/>
      <c r="R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  <c r="AC290" s="230"/>
      <c r="AD290" s="230"/>
      <c r="AE290" s="230"/>
    </row>
    <row r="291">
      <c r="O291" s="230"/>
      <c r="R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  <c r="AC291" s="230"/>
      <c r="AD291" s="230"/>
      <c r="AE291" s="230"/>
    </row>
    <row r="292">
      <c r="O292" s="230"/>
      <c r="R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  <c r="AC292" s="230"/>
      <c r="AD292" s="230"/>
      <c r="AE292" s="230"/>
    </row>
    <row r="293">
      <c r="O293" s="230"/>
      <c r="R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  <c r="AC293" s="230"/>
      <c r="AD293" s="230"/>
      <c r="AE293" s="230"/>
    </row>
    <row r="294">
      <c r="O294" s="230"/>
      <c r="R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  <c r="AD294" s="230"/>
      <c r="AE294" s="230"/>
    </row>
    <row r="295">
      <c r="O295" s="230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</row>
    <row r="296">
      <c r="O296" s="230"/>
      <c r="R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  <c r="AD296" s="230"/>
      <c r="AE296" s="230"/>
    </row>
    <row r="297">
      <c r="O297" s="230"/>
      <c r="R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  <c r="AD297" s="230"/>
      <c r="AE297" s="230"/>
    </row>
    <row r="298">
      <c r="O298" s="230"/>
      <c r="R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  <c r="AD298" s="230"/>
      <c r="AE298" s="230"/>
    </row>
    <row r="299">
      <c r="O299" s="230"/>
      <c r="R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  <c r="AD299" s="230"/>
      <c r="AE299" s="230"/>
    </row>
    <row r="300">
      <c r="O300" s="230"/>
      <c r="R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  <c r="AD300" s="230"/>
      <c r="AE300" s="230"/>
    </row>
    <row r="301">
      <c r="O301" s="230"/>
      <c r="R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  <c r="AD301" s="230"/>
      <c r="AE301" s="230"/>
    </row>
    <row r="302">
      <c r="O302" s="230"/>
      <c r="R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  <c r="AD302" s="230"/>
      <c r="AE302" s="230"/>
    </row>
    <row r="303">
      <c r="O303" s="230"/>
      <c r="R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  <c r="AD303" s="230"/>
      <c r="AE303" s="230"/>
    </row>
    <row r="304">
      <c r="O304" s="230"/>
      <c r="R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  <c r="AD304" s="230"/>
      <c r="AE304" s="230"/>
    </row>
    <row r="305">
      <c r="O305" s="230"/>
      <c r="R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  <c r="AD305" s="230"/>
      <c r="AE305" s="230"/>
    </row>
    <row r="306">
      <c r="O306" s="230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</row>
    <row r="307">
      <c r="O307" s="230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  <c r="AD307" s="230"/>
      <c r="AE307" s="230"/>
    </row>
    <row r="308">
      <c r="O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</row>
    <row r="309">
      <c r="O309" s="230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  <c r="AD309" s="230"/>
      <c r="AE309" s="230"/>
    </row>
    <row r="310">
      <c r="O310" s="230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  <c r="AD310" s="230"/>
      <c r="AE310" s="230"/>
    </row>
    <row r="311">
      <c r="O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</row>
    <row r="312">
      <c r="O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</row>
    <row r="313">
      <c r="O313" s="230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</row>
    <row r="314">
      <c r="O314" s="230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</row>
    <row r="315">
      <c r="O315" s="230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</row>
    <row r="316">
      <c r="O316" s="230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</row>
    <row r="317">
      <c r="O317" s="230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</row>
    <row r="318">
      <c r="O318" s="230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</row>
    <row r="319">
      <c r="O319" s="230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</row>
    <row r="320">
      <c r="O320" s="230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</row>
    <row r="321">
      <c r="O321" s="230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</row>
    <row r="322">
      <c r="O322" s="230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</row>
    <row r="323">
      <c r="O323" s="230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</row>
    <row r="324">
      <c r="O324" s="230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</row>
    <row r="325">
      <c r="O325" s="230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</row>
    <row r="326">
      <c r="O326" s="230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</row>
    <row r="327">
      <c r="O327" s="230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</row>
    <row r="328">
      <c r="O328" s="230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</row>
    <row r="329">
      <c r="O329" s="230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</row>
    <row r="330">
      <c r="O330" s="230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</row>
    <row r="331">
      <c r="O331" s="230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</row>
    <row r="332">
      <c r="O332" s="230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</row>
    <row r="333">
      <c r="O333" s="230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</row>
    <row r="334">
      <c r="O334" s="230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</row>
    <row r="335">
      <c r="O335" s="230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</row>
    <row r="336">
      <c r="O336" s="230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</row>
    <row r="337">
      <c r="O337" s="230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</row>
    <row r="338">
      <c r="O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</row>
    <row r="339">
      <c r="O339" s="230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</row>
    <row r="340">
      <c r="O340" s="230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</row>
    <row r="341">
      <c r="O341" s="230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</row>
    <row r="342">
      <c r="O342" s="230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</row>
    <row r="343">
      <c r="O343" s="230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</row>
    <row r="344">
      <c r="O344" s="230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</row>
    <row r="345">
      <c r="O345" s="230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</row>
    <row r="346">
      <c r="O346" s="230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</row>
    <row r="347">
      <c r="O347" s="230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</row>
    <row r="348">
      <c r="O348" s="230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</row>
    <row r="349">
      <c r="O349" s="230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</row>
    <row r="350">
      <c r="O350" s="230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</row>
    <row r="351">
      <c r="O351" s="230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</row>
    <row r="352">
      <c r="O352" s="230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</row>
    <row r="353">
      <c r="O353" s="230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</row>
    <row r="354">
      <c r="O354" s="230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</row>
    <row r="355">
      <c r="O355" s="230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</row>
    <row r="356">
      <c r="O356" s="230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</row>
    <row r="357">
      <c r="O357" s="230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</row>
    <row r="358">
      <c r="O358" s="230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</row>
    <row r="359">
      <c r="O359" s="230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</row>
    <row r="360">
      <c r="O360" s="230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</row>
    <row r="361">
      <c r="O361" s="230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</row>
    <row r="362">
      <c r="O362" s="230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</row>
    <row r="363">
      <c r="O363" s="230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</row>
    <row r="364">
      <c r="O364" s="230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</row>
    <row r="365">
      <c r="O365" s="230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</row>
    <row r="366">
      <c r="O366" s="230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</row>
    <row r="367">
      <c r="O367" s="230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</row>
    <row r="368">
      <c r="O368" s="230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</row>
    <row r="369">
      <c r="O369" s="230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</row>
    <row r="370">
      <c r="O370" s="230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</row>
    <row r="371">
      <c r="O371" s="230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</row>
    <row r="372">
      <c r="O372" s="230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</row>
    <row r="373">
      <c r="O373" s="230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</row>
    <row r="374">
      <c r="O374" s="230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</row>
    <row r="375">
      <c r="O375" s="230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</row>
    <row r="376">
      <c r="O376" s="230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</row>
    <row r="377">
      <c r="O377" s="230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</row>
    <row r="378">
      <c r="O378" s="230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</row>
    <row r="379">
      <c r="O379" s="230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</row>
    <row r="380">
      <c r="O380" s="230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</row>
    <row r="381">
      <c r="O381" s="230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</row>
    <row r="382">
      <c r="O382" s="230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</row>
    <row r="383">
      <c r="O383" s="230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</row>
    <row r="384">
      <c r="O384" s="230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</row>
    <row r="385">
      <c r="O385" s="230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</row>
    <row r="386">
      <c r="O386" s="230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</row>
    <row r="387">
      <c r="O387" s="230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</row>
    <row r="388">
      <c r="O388" s="230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</row>
    <row r="389">
      <c r="O389" s="230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</row>
    <row r="390">
      <c r="O390" s="230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</row>
    <row r="391">
      <c r="O391" s="230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</row>
    <row r="392">
      <c r="O392" s="230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</row>
    <row r="393">
      <c r="O393" s="230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</row>
    <row r="394">
      <c r="O394" s="230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</row>
    <row r="395">
      <c r="O395" s="230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</row>
    <row r="396">
      <c r="O396" s="230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</row>
    <row r="397">
      <c r="O397" s="230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</row>
    <row r="398">
      <c r="O398" s="230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</row>
    <row r="399">
      <c r="O399" s="230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</row>
    <row r="400">
      <c r="O400" s="230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</row>
    <row r="401">
      <c r="O401" s="230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</row>
    <row r="402">
      <c r="O402" s="230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</row>
    <row r="403">
      <c r="O403" s="230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</row>
    <row r="404">
      <c r="O404" s="230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</row>
    <row r="405">
      <c r="O405" s="230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</row>
    <row r="406">
      <c r="O406" s="230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</row>
    <row r="407">
      <c r="O407" s="230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</row>
    <row r="408">
      <c r="O408" s="230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</row>
    <row r="409">
      <c r="O409" s="230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</row>
    <row r="410">
      <c r="O410" s="230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</row>
    <row r="411">
      <c r="O411" s="230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</row>
    <row r="412">
      <c r="O412" s="230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</row>
    <row r="413">
      <c r="O413" s="230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</row>
    <row r="414">
      <c r="O414" s="230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</row>
    <row r="415">
      <c r="O415" s="230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</row>
    <row r="416">
      <c r="O416" s="230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</row>
    <row r="417">
      <c r="O417" s="230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</row>
    <row r="418">
      <c r="O418" s="230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</row>
    <row r="419">
      <c r="O419" s="230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</row>
    <row r="420">
      <c r="O420" s="230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</row>
    <row r="421">
      <c r="O421" s="230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</row>
    <row r="422">
      <c r="O422" s="230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</row>
    <row r="423">
      <c r="O423" s="230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</row>
    <row r="424">
      <c r="O424" s="230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</row>
    <row r="425">
      <c r="O425" s="230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</row>
    <row r="426">
      <c r="O426" s="230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</row>
    <row r="427">
      <c r="O427" s="230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</row>
    <row r="428">
      <c r="O428" s="230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</row>
    <row r="429">
      <c r="O429" s="230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</row>
    <row r="430">
      <c r="O430" s="230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</row>
    <row r="431">
      <c r="O431" s="230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</row>
    <row r="432">
      <c r="O432" s="230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</row>
    <row r="433">
      <c r="O433" s="230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</row>
    <row r="434">
      <c r="O434" s="230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</row>
    <row r="435">
      <c r="O435" s="230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</row>
    <row r="436">
      <c r="O436" s="230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</row>
    <row r="437">
      <c r="O437" s="230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</row>
    <row r="438">
      <c r="O438" s="230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</row>
    <row r="439">
      <c r="O439" s="230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</row>
    <row r="440">
      <c r="O440" s="230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</row>
    <row r="441">
      <c r="O441" s="230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</row>
    <row r="442">
      <c r="O442" s="230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</row>
    <row r="443">
      <c r="O443" s="230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</row>
    <row r="444">
      <c r="O444" s="230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</row>
    <row r="445">
      <c r="O445" s="230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</row>
    <row r="446">
      <c r="O446" s="230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</row>
    <row r="447">
      <c r="O447" s="230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</row>
    <row r="448">
      <c r="O448" s="230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</row>
    <row r="449">
      <c r="O449" s="230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</row>
    <row r="450">
      <c r="O450" s="230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</row>
    <row r="451">
      <c r="O451" s="230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</row>
    <row r="452">
      <c r="O452" s="230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</row>
    <row r="453">
      <c r="O453" s="230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</row>
    <row r="454">
      <c r="O454" s="230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</row>
    <row r="455">
      <c r="O455" s="230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</row>
    <row r="456">
      <c r="O456" s="230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</row>
    <row r="457">
      <c r="O457" s="230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</row>
    <row r="458">
      <c r="O458" s="230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</row>
    <row r="459">
      <c r="O459" s="230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</row>
    <row r="460">
      <c r="O460" s="230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</row>
    <row r="461">
      <c r="O461" s="230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</row>
    <row r="462">
      <c r="O462" s="230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</row>
    <row r="463">
      <c r="O463" s="230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</row>
    <row r="464">
      <c r="O464" s="230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</row>
    <row r="465">
      <c r="O465" s="230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</row>
    <row r="466">
      <c r="O466" s="230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</row>
    <row r="467">
      <c r="O467" s="230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</row>
    <row r="468">
      <c r="O468" s="230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</row>
    <row r="469">
      <c r="O469" s="230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</row>
    <row r="470">
      <c r="O470" s="230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</row>
    <row r="471">
      <c r="O471" s="230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</row>
    <row r="472">
      <c r="O472" s="230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</row>
    <row r="473">
      <c r="O473" s="230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</row>
    <row r="474">
      <c r="O474" s="230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</row>
    <row r="475">
      <c r="O475" s="230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</row>
    <row r="476">
      <c r="O476" s="230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</row>
    <row r="477">
      <c r="O477" s="230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</row>
    <row r="478">
      <c r="O478" s="230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</row>
    <row r="479">
      <c r="O479" s="230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</row>
    <row r="480">
      <c r="O480" s="230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</row>
    <row r="481">
      <c r="O481" s="230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</row>
    <row r="482">
      <c r="O482" s="230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</row>
    <row r="483">
      <c r="O483" s="230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</row>
    <row r="484">
      <c r="O484" s="230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</row>
    <row r="485">
      <c r="O485" s="230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</row>
    <row r="486">
      <c r="O486" s="230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</row>
    <row r="487">
      <c r="O487" s="230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</row>
    <row r="488">
      <c r="O488" s="230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</row>
    <row r="489">
      <c r="O489" s="230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</row>
    <row r="490">
      <c r="O490" s="230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</row>
    <row r="491">
      <c r="O491" s="230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</row>
    <row r="492">
      <c r="O492" s="230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</row>
    <row r="493">
      <c r="O493" s="230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</row>
    <row r="494">
      <c r="O494" s="230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</row>
    <row r="495">
      <c r="O495" s="230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</row>
    <row r="496">
      <c r="O496" s="230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</row>
    <row r="497">
      <c r="O497" s="230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</row>
    <row r="498">
      <c r="O498" s="230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</row>
    <row r="499">
      <c r="O499" s="230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</row>
    <row r="500">
      <c r="O500" s="230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</row>
    <row r="501">
      <c r="O501" s="230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</row>
    <row r="502">
      <c r="O502" s="230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</row>
    <row r="503">
      <c r="O503" s="230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</row>
    <row r="504">
      <c r="O504" s="230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</row>
    <row r="505">
      <c r="O505" s="230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</row>
    <row r="506">
      <c r="O506" s="230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</row>
    <row r="507">
      <c r="O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</row>
    <row r="508">
      <c r="O508" s="230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</row>
    <row r="509">
      <c r="O509" s="230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</row>
    <row r="510">
      <c r="O510" s="230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</row>
    <row r="511">
      <c r="O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</row>
    <row r="512">
      <c r="O512" s="230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</row>
    <row r="513">
      <c r="O513" s="230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</row>
    <row r="514">
      <c r="O514" s="230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</row>
    <row r="515">
      <c r="O515" s="230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</row>
    <row r="516">
      <c r="O516" s="230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</row>
    <row r="517">
      <c r="O517" s="230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</row>
    <row r="518">
      <c r="O518" s="230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</row>
    <row r="519">
      <c r="O519" s="230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</row>
    <row r="520">
      <c r="O520" s="230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</row>
    <row r="521">
      <c r="O521" s="230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</row>
    <row r="522">
      <c r="O522" s="230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</row>
    <row r="523">
      <c r="O523" s="230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</row>
    <row r="524">
      <c r="O524" s="230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</row>
    <row r="525">
      <c r="O525" s="230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</row>
    <row r="526">
      <c r="O526" s="230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</row>
    <row r="527">
      <c r="O527" s="230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</row>
    <row r="528">
      <c r="O528" s="230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</row>
    <row r="529">
      <c r="O529" s="230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</row>
    <row r="530">
      <c r="O530" s="230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</row>
    <row r="531">
      <c r="O531" s="230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</row>
    <row r="532">
      <c r="O532" s="230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</row>
    <row r="533">
      <c r="O533" s="230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</row>
    <row r="534">
      <c r="O534" s="230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</row>
    <row r="535">
      <c r="O535" s="230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</row>
    <row r="536">
      <c r="O536" s="230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</row>
    <row r="537">
      <c r="O537" s="230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</row>
    <row r="538">
      <c r="O538" s="230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</row>
    <row r="539">
      <c r="O539" s="230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</row>
    <row r="540">
      <c r="O540" s="230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</row>
    <row r="541">
      <c r="O541" s="230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</row>
    <row r="542">
      <c r="O542" s="230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</row>
    <row r="543">
      <c r="O543" s="230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</row>
    <row r="544">
      <c r="O544" s="230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</row>
    <row r="545">
      <c r="O545" s="230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</row>
    <row r="546">
      <c r="O546" s="230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</row>
    <row r="547">
      <c r="O547" s="230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</row>
    <row r="548">
      <c r="O548" s="230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</row>
    <row r="549">
      <c r="O549" s="230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</row>
    <row r="550">
      <c r="O550" s="230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</row>
    <row r="551">
      <c r="O551" s="230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</row>
    <row r="552">
      <c r="O552" s="230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</row>
    <row r="553">
      <c r="O553" s="230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</row>
    <row r="554">
      <c r="O554" s="230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</row>
    <row r="555">
      <c r="O555" s="230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</row>
    <row r="556">
      <c r="O556" s="230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</row>
    <row r="557">
      <c r="O557" s="230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</row>
    <row r="558">
      <c r="O558" s="230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</row>
    <row r="559">
      <c r="O559" s="230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</row>
    <row r="560">
      <c r="O560" s="230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</row>
    <row r="561">
      <c r="O561" s="230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</row>
    <row r="562">
      <c r="O562" s="230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</row>
    <row r="563">
      <c r="O563" s="230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</row>
    <row r="564">
      <c r="O564" s="230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</row>
    <row r="565">
      <c r="O565" s="230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</row>
    <row r="566">
      <c r="O566" s="230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</row>
    <row r="567">
      <c r="O567" s="230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</row>
    <row r="568">
      <c r="O568" s="230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</row>
    <row r="569">
      <c r="O569" s="230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</row>
    <row r="570">
      <c r="O570" s="230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</row>
    <row r="571">
      <c r="O571" s="230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</row>
    <row r="572">
      <c r="O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</row>
    <row r="573">
      <c r="O573" s="230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</row>
    <row r="574">
      <c r="O574" s="230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</row>
    <row r="575">
      <c r="O575" s="230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</row>
    <row r="576">
      <c r="O576" s="230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</row>
    <row r="577">
      <c r="O577" s="230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</row>
    <row r="578">
      <c r="O578" s="230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</row>
    <row r="579">
      <c r="O579" s="230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</row>
    <row r="580">
      <c r="O580" s="230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</row>
    <row r="581">
      <c r="O581" s="230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</row>
    <row r="582">
      <c r="O582" s="230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</row>
    <row r="583">
      <c r="O583" s="230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</row>
    <row r="584">
      <c r="O584" s="230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</row>
    <row r="585">
      <c r="O585" s="230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</row>
    <row r="586">
      <c r="O586" s="230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</row>
    <row r="587">
      <c r="O587" s="230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</row>
    <row r="588">
      <c r="O588" s="230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</row>
    <row r="589">
      <c r="O589" s="230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</row>
    <row r="590">
      <c r="O590" s="230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</row>
    <row r="591">
      <c r="O591" s="230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</row>
    <row r="592">
      <c r="O592" s="230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</row>
    <row r="593">
      <c r="O593" s="230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</row>
    <row r="594">
      <c r="O594" s="230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</row>
    <row r="595">
      <c r="O595" s="230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</row>
    <row r="596">
      <c r="O596" s="230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</row>
    <row r="597">
      <c r="O597" s="230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</row>
    <row r="598">
      <c r="O598" s="230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</row>
    <row r="599">
      <c r="O599" s="230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</row>
    <row r="600">
      <c r="O600" s="230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</row>
    <row r="601">
      <c r="O601" s="230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</row>
    <row r="602">
      <c r="O602" s="230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</row>
    <row r="603">
      <c r="O603" s="230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</row>
    <row r="604">
      <c r="O604" s="230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</row>
    <row r="605">
      <c r="O605" s="230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</row>
    <row r="606">
      <c r="O606" s="230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</row>
    <row r="607">
      <c r="O607" s="230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</row>
    <row r="608">
      <c r="O608" s="230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</row>
    <row r="609">
      <c r="O609" s="230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</row>
    <row r="610">
      <c r="O610" s="230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</row>
    <row r="611">
      <c r="O611" s="230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</row>
    <row r="612">
      <c r="O612" s="230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</row>
    <row r="613">
      <c r="O613" s="230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</row>
    <row r="614">
      <c r="O614" s="230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</row>
    <row r="615">
      <c r="O615" s="230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</row>
    <row r="616">
      <c r="O616" s="230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</row>
    <row r="617">
      <c r="O617" s="230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</row>
    <row r="618">
      <c r="O618" s="230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</row>
    <row r="619">
      <c r="O619" s="230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</row>
    <row r="620">
      <c r="O620" s="230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</row>
    <row r="621">
      <c r="O621" s="230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</row>
    <row r="622">
      <c r="O622" s="230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</row>
    <row r="623">
      <c r="O623" s="230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</row>
    <row r="624">
      <c r="O624" s="230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</row>
    <row r="625">
      <c r="O625" s="230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</row>
    <row r="626">
      <c r="O626" s="230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</row>
    <row r="627">
      <c r="O627" s="230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</row>
    <row r="628">
      <c r="O628" s="230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</row>
    <row r="629">
      <c r="O629" s="230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</row>
    <row r="630">
      <c r="O630" s="230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</row>
    <row r="631">
      <c r="O631" s="230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</row>
    <row r="632">
      <c r="O632" s="230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</row>
    <row r="633">
      <c r="O633" s="230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</row>
    <row r="634">
      <c r="O634" s="230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</row>
    <row r="635">
      <c r="O635" s="230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</row>
    <row r="636">
      <c r="O636" s="230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</row>
    <row r="637">
      <c r="O637" s="230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</row>
    <row r="638">
      <c r="O638" s="230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</row>
    <row r="639">
      <c r="O639" s="230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</row>
    <row r="640">
      <c r="O640" s="230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</row>
    <row r="641">
      <c r="O641" s="230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</row>
    <row r="642">
      <c r="O642" s="230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</row>
    <row r="643">
      <c r="O643" s="230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</row>
    <row r="644">
      <c r="O644" s="230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</row>
    <row r="645">
      <c r="O645" s="230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</row>
    <row r="646">
      <c r="O646" s="230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</row>
    <row r="647">
      <c r="O647" s="230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</row>
    <row r="648">
      <c r="O648" s="230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</row>
    <row r="649">
      <c r="O649" s="230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</row>
    <row r="650">
      <c r="O650" s="230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</row>
    <row r="651">
      <c r="O651" s="230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</row>
    <row r="652">
      <c r="O652" s="230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</row>
    <row r="653">
      <c r="O653" s="230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</row>
    <row r="654">
      <c r="O654" s="230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</row>
    <row r="655">
      <c r="O655" s="230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</row>
    <row r="656">
      <c r="O656" s="230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</row>
    <row r="657">
      <c r="O657" s="230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</row>
    <row r="658">
      <c r="O658" s="230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</row>
    <row r="659">
      <c r="O659" s="230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</row>
    <row r="660">
      <c r="O660" s="230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</row>
    <row r="661">
      <c r="O661" s="230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</row>
    <row r="662">
      <c r="O662" s="230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</row>
    <row r="663">
      <c r="O663" s="230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</row>
    <row r="664">
      <c r="O664" s="230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</row>
    <row r="665">
      <c r="O665" s="230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</row>
    <row r="666">
      <c r="O666" s="230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</row>
    <row r="667">
      <c r="O667" s="230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</row>
    <row r="668">
      <c r="O668" s="230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</row>
    <row r="669">
      <c r="O669" s="230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</row>
    <row r="670">
      <c r="O670" s="230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</row>
    <row r="671">
      <c r="O671" s="230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</row>
    <row r="672">
      <c r="O672" s="230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</row>
    <row r="673">
      <c r="O673" s="230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</row>
    <row r="674">
      <c r="O674" s="230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</row>
    <row r="675">
      <c r="O675" s="230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</row>
    <row r="676">
      <c r="O676" s="230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</row>
    <row r="677">
      <c r="O677" s="230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</row>
    <row r="678">
      <c r="O678" s="230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</row>
    <row r="679">
      <c r="O679" s="230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</row>
    <row r="680">
      <c r="O680" s="230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</row>
    <row r="681">
      <c r="O681" s="230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</row>
    <row r="682">
      <c r="O682" s="230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</row>
    <row r="683">
      <c r="O683" s="230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</row>
    <row r="684">
      <c r="O684" s="230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</row>
    <row r="685">
      <c r="O685" s="230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</row>
    <row r="686">
      <c r="O686" s="230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</row>
    <row r="687">
      <c r="O687" s="230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</row>
    <row r="688">
      <c r="O688" s="230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</row>
    <row r="689">
      <c r="O689" s="230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</row>
    <row r="690">
      <c r="O690" s="230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</row>
    <row r="691">
      <c r="O691" s="230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</row>
    <row r="692">
      <c r="O692" s="230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</row>
    <row r="693">
      <c r="O693" s="230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</row>
    <row r="694">
      <c r="O694" s="230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</row>
    <row r="695">
      <c r="O695" s="230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</row>
    <row r="696">
      <c r="O696" s="230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</row>
    <row r="697">
      <c r="O697" s="230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</row>
    <row r="698">
      <c r="O698" s="230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</row>
    <row r="699">
      <c r="O699" s="230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</row>
    <row r="700">
      <c r="O700" s="230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</row>
    <row r="701">
      <c r="O701" s="230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</row>
    <row r="702">
      <c r="O702" s="230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</row>
    <row r="703">
      <c r="O703" s="230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</row>
    <row r="704">
      <c r="O704" s="230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</row>
    <row r="705">
      <c r="O705" s="230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</row>
    <row r="706">
      <c r="O706" s="230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</row>
    <row r="707">
      <c r="O707" s="230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</row>
    <row r="708">
      <c r="O708" s="230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</row>
    <row r="709">
      <c r="O709" s="230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</row>
    <row r="710">
      <c r="O710" s="230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</row>
    <row r="711">
      <c r="O711" s="230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</row>
    <row r="712">
      <c r="O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</row>
    <row r="713">
      <c r="O713" s="230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</row>
    <row r="714">
      <c r="O714" s="230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</row>
    <row r="715">
      <c r="O715" s="230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</row>
    <row r="716">
      <c r="O716" s="230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</row>
    <row r="717">
      <c r="O717" s="230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</row>
    <row r="718">
      <c r="O718" s="230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</row>
    <row r="719">
      <c r="O719" s="230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</row>
    <row r="720">
      <c r="O720" s="230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</row>
    <row r="721">
      <c r="O721" s="230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</row>
    <row r="722">
      <c r="O722" s="230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</row>
    <row r="723">
      <c r="O723" s="230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</row>
    <row r="724">
      <c r="O724" s="230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</row>
    <row r="725">
      <c r="O725" s="230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</row>
    <row r="726">
      <c r="O726" s="230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</row>
    <row r="727">
      <c r="O727" s="230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</row>
    <row r="728">
      <c r="O728" s="230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</row>
    <row r="729">
      <c r="O729" s="230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</row>
    <row r="730">
      <c r="O730" s="230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</row>
    <row r="731">
      <c r="O731" s="230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</row>
    <row r="732">
      <c r="O732" s="230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</row>
    <row r="733">
      <c r="O733" s="230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</row>
    <row r="734">
      <c r="O734" s="230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</row>
    <row r="735">
      <c r="O735" s="230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</row>
    <row r="736">
      <c r="O736" s="230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</row>
    <row r="737">
      <c r="O737" s="230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</row>
    <row r="738">
      <c r="O738" s="230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</row>
    <row r="739">
      <c r="O739" s="230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</row>
    <row r="740">
      <c r="O740" s="230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</row>
    <row r="741">
      <c r="O741" s="230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</row>
    <row r="742">
      <c r="O742" s="230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</row>
    <row r="743">
      <c r="O743" s="230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</row>
    <row r="744">
      <c r="O744" s="230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</row>
    <row r="745">
      <c r="O745" s="230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</row>
    <row r="746">
      <c r="O746" s="230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</row>
    <row r="747">
      <c r="O747" s="230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</row>
    <row r="748">
      <c r="O748" s="230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</row>
    <row r="749">
      <c r="O749" s="230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</row>
    <row r="750">
      <c r="O750" s="230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</row>
    <row r="751">
      <c r="O751" s="230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</row>
    <row r="752">
      <c r="O752" s="230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</row>
    <row r="753">
      <c r="O753" s="230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</row>
    <row r="754">
      <c r="O754" s="230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</row>
    <row r="755">
      <c r="O755" s="230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</row>
    <row r="756">
      <c r="O756" s="230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</row>
    <row r="757">
      <c r="O757" s="230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</row>
    <row r="758">
      <c r="O758" s="230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</row>
    <row r="759">
      <c r="O759" s="230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</row>
    <row r="760">
      <c r="O760" s="230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</row>
    <row r="761">
      <c r="O761" s="230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</row>
    <row r="762">
      <c r="O762" s="230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</row>
    <row r="763">
      <c r="O763" s="230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</row>
    <row r="764">
      <c r="O764" s="230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</row>
    <row r="765">
      <c r="O765" s="230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</row>
    <row r="766">
      <c r="O766" s="230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</row>
    <row r="767">
      <c r="O767" s="230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</row>
    <row r="768">
      <c r="O768" s="230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</row>
    <row r="769">
      <c r="O769" s="230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</row>
    <row r="770">
      <c r="O770" s="230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</row>
    <row r="771">
      <c r="O771" s="230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</row>
    <row r="772">
      <c r="O772" s="230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</row>
    <row r="773">
      <c r="O773" s="230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</row>
    <row r="774">
      <c r="O774" s="230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</row>
    <row r="775">
      <c r="O775" s="230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</row>
    <row r="776">
      <c r="O776" s="230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</row>
    <row r="777">
      <c r="O777" s="230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</row>
    <row r="778">
      <c r="O778" s="230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</row>
    <row r="779">
      <c r="O779" s="230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</row>
    <row r="780">
      <c r="O780" s="230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</row>
    <row r="781">
      <c r="O781" s="230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</row>
    <row r="782">
      <c r="O782" s="230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</row>
    <row r="783">
      <c r="O783" s="230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</row>
    <row r="784">
      <c r="O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</row>
    <row r="785">
      <c r="O785" s="230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</row>
    <row r="786">
      <c r="O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</row>
    <row r="787">
      <c r="O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</row>
    <row r="788">
      <c r="O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</row>
    <row r="789">
      <c r="O789" s="230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</row>
    <row r="790">
      <c r="O790" s="230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</row>
    <row r="791">
      <c r="O791" s="230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</row>
    <row r="792">
      <c r="O792" s="230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</row>
    <row r="793">
      <c r="O793" s="230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</row>
    <row r="794">
      <c r="O794" s="230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</row>
    <row r="795">
      <c r="O795" s="230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</row>
    <row r="796">
      <c r="O796" s="230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</row>
    <row r="797">
      <c r="O797" s="230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</row>
    <row r="798">
      <c r="O798" s="230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</row>
    <row r="799">
      <c r="O799" s="230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</row>
    <row r="800">
      <c r="O800" s="230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</row>
    <row r="801">
      <c r="O801" s="230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</row>
    <row r="802">
      <c r="O802" s="230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</row>
    <row r="803">
      <c r="O803" s="230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</row>
    <row r="804">
      <c r="O804" s="230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</row>
    <row r="805">
      <c r="O805" s="230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</row>
    <row r="806">
      <c r="O806" s="230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</row>
    <row r="807">
      <c r="O807" s="230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</row>
    <row r="808">
      <c r="O808" s="230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</row>
    <row r="809">
      <c r="O809" s="230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</row>
    <row r="810">
      <c r="O810" s="230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</row>
    <row r="811">
      <c r="O811" s="230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</row>
    <row r="812">
      <c r="O812" s="230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</row>
    <row r="813">
      <c r="O813" s="230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</row>
    <row r="814">
      <c r="O814" s="230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</row>
    <row r="815">
      <c r="O815" s="230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</row>
    <row r="816">
      <c r="O816" s="230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</row>
    <row r="817">
      <c r="O817" s="230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</row>
    <row r="818">
      <c r="O818" s="230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</row>
    <row r="819">
      <c r="O819" s="230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</row>
    <row r="820">
      <c r="O820" s="230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</row>
    <row r="821">
      <c r="O821" s="230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</row>
    <row r="822">
      <c r="O822" s="230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</row>
    <row r="823">
      <c r="O823" s="230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</row>
    <row r="824">
      <c r="O824" s="230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</row>
    <row r="825">
      <c r="O825" s="230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</row>
    <row r="826">
      <c r="O826" s="230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</row>
    <row r="827">
      <c r="O827" s="230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</row>
    <row r="828">
      <c r="O828" s="230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</row>
    <row r="829">
      <c r="O829" s="230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</row>
    <row r="830">
      <c r="O830" s="230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</row>
    <row r="831">
      <c r="O831" s="230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</row>
    <row r="832">
      <c r="O832" s="230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</row>
    <row r="833">
      <c r="O833" s="230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</row>
    <row r="834">
      <c r="O834" s="230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</row>
    <row r="835">
      <c r="O835" s="230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</row>
    <row r="836">
      <c r="O836" s="230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</row>
    <row r="837">
      <c r="O837" s="230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</row>
    <row r="838">
      <c r="O838" s="230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</row>
    <row r="839">
      <c r="O839" s="230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</row>
    <row r="840">
      <c r="O840" s="230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</row>
    <row r="841">
      <c r="O841" s="230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</row>
    <row r="842">
      <c r="O842" s="230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</row>
    <row r="843">
      <c r="O843" s="230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</row>
    <row r="844">
      <c r="O844" s="230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</row>
    <row r="845">
      <c r="O845" s="230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</row>
    <row r="846">
      <c r="O846" s="230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</row>
    <row r="847">
      <c r="O847" s="230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</row>
    <row r="848">
      <c r="O848" s="230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</row>
    <row r="849">
      <c r="O849" s="230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</row>
    <row r="850">
      <c r="O850" s="230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</row>
    <row r="851">
      <c r="O851" s="230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</row>
    <row r="852">
      <c r="O852" s="230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</row>
    <row r="853">
      <c r="O853" s="230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</row>
    <row r="854">
      <c r="O854" s="230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</row>
    <row r="855">
      <c r="O855" s="230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</row>
    <row r="856">
      <c r="O856" s="230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</row>
    <row r="857">
      <c r="O857" s="230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</row>
    <row r="858">
      <c r="O858" s="230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</row>
    <row r="859">
      <c r="O859" s="230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</row>
    <row r="860">
      <c r="O860" s="230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</row>
    <row r="861">
      <c r="O861" s="230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</row>
    <row r="862">
      <c r="O862" s="230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</row>
    <row r="863">
      <c r="O863" s="230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</row>
    <row r="864">
      <c r="O864" s="230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</row>
    <row r="865">
      <c r="O865" s="230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</row>
    <row r="866">
      <c r="O866" s="230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</row>
    <row r="867">
      <c r="O867" s="230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</row>
    <row r="868">
      <c r="O868" s="230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</row>
    <row r="869">
      <c r="O869" s="230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</row>
    <row r="870">
      <c r="O870" s="230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</row>
    <row r="871">
      <c r="O871" s="230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</row>
    <row r="872">
      <c r="O872" s="230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</row>
    <row r="873">
      <c r="O873" s="230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</row>
    <row r="874">
      <c r="O874" s="230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</row>
    <row r="875">
      <c r="O875" s="230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</row>
    <row r="876">
      <c r="O876" s="230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</row>
    <row r="877">
      <c r="O877" s="230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</row>
    <row r="878">
      <c r="O878" s="230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</row>
    <row r="879">
      <c r="O879" s="230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</row>
    <row r="880">
      <c r="O880" s="230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</row>
    <row r="881">
      <c r="O881" s="230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</row>
    <row r="882">
      <c r="O882" s="230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</row>
    <row r="883">
      <c r="O883" s="230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</row>
    <row r="884">
      <c r="O884" s="230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</row>
    <row r="885">
      <c r="O885" s="230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</row>
    <row r="886">
      <c r="O886" s="230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</row>
    <row r="887">
      <c r="O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</row>
    <row r="888">
      <c r="O888" s="230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</row>
    <row r="889">
      <c r="O889" s="230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</row>
    <row r="890">
      <c r="O890" s="230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</row>
    <row r="891">
      <c r="O891" s="230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</row>
    <row r="892">
      <c r="O892" s="230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</row>
    <row r="893">
      <c r="O893" s="230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</row>
    <row r="894">
      <c r="O894" s="230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</row>
    <row r="895">
      <c r="O895" s="230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</row>
    <row r="896">
      <c r="O896" s="230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</row>
    <row r="897">
      <c r="O897" s="230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</row>
    <row r="898">
      <c r="O898" s="230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</row>
    <row r="899">
      <c r="O899" s="230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</row>
    <row r="900">
      <c r="O900" s="230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</row>
    <row r="901">
      <c r="O901" s="230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</row>
    <row r="902">
      <c r="O902" s="230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</row>
    <row r="903">
      <c r="O903" s="230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</row>
    <row r="904">
      <c r="O904" s="230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</row>
    <row r="905">
      <c r="O905" s="230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</row>
    <row r="906">
      <c r="O906" s="230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</row>
    <row r="907">
      <c r="O907" s="230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</row>
    <row r="908">
      <c r="O908" s="230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</row>
    <row r="909">
      <c r="O909" s="230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</row>
    <row r="910">
      <c r="O910" s="230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</row>
    <row r="911">
      <c r="O911" s="230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</row>
    <row r="912">
      <c r="O912" s="230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</row>
    <row r="913">
      <c r="O913" s="230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</row>
    <row r="914">
      <c r="O914" s="230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</row>
    <row r="915">
      <c r="O915" s="230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</row>
    <row r="916">
      <c r="O916" s="230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</row>
    <row r="917">
      <c r="O917" s="230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</row>
    <row r="918">
      <c r="O918" s="230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</row>
    <row r="919">
      <c r="O919" s="230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</row>
    <row r="920">
      <c r="O920" s="230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</row>
    <row r="921">
      <c r="O921" s="230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</row>
    <row r="922">
      <c r="O922" s="230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</row>
    <row r="923">
      <c r="O923" s="230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</row>
    <row r="924">
      <c r="O924" s="230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</row>
    <row r="925">
      <c r="O925" s="230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</row>
    <row r="926">
      <c r="O926" s="230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</row>
    <row r="927">
      <c r="O927" s="230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</row>
    <row r="928">
      <c r="O928" s="230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</row>
    <row r="929">
      <c r="O929" s="230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</row>
    <row r="930">
      <c r="O930" s="230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</row>
    <row r="931">
      <c r="O931" s="230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</row>
    <row r="932">
      <c r="O932" s="230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</row>
    <row r="933">
      <c r="O933" s="230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</row>
    <row r="934">
      <c r="O934" s="230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</row>
    <row r="935">
      <c r="O935" s="230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</row>
    <row r="936">
      <c r="O936" s="230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</row>
    <row r="937">
      <c r="O937" s="230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</row>
    <row r="938">
      <c r="O938" s="230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</row>
    <row r="939">
      <c r="O939" s="230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</row>
    <row r="940">
      <c r="O940" s="230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</row>
    <row r="941">
      <c r="O941" s="230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</row>
    <row r="942">
      <c r="O942" s="230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</row>
    <row r="943">
      <c r="O943" s="230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</row>
    <row r="944">
      <c r="O944" s="230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</row>
    <row r="945">
      <c r="O945" s="230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</row>
    <row r="946">
      <c r="O946" s="230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</row>
    <row r="947">
      <c r="O947" s="230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</row>
    <row r="948">
      <c r="O948" s="230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</row>
    <row r="949">
      <c r="O949" s="230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</row>
    <row r="950">
      <c r="O950" s="230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</row>
    <row r="951">
      <c r="O951" s="230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</row>
    <row r="952">
      <c r="O952" s="230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</row>
    <row r="953">
      <c r="O953" s="230"/>
      <c r="R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</row>
    <row r="954">
      <c r="O954" s="230"/>
      <c r="R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</row>
    <row r="955">
      <c r="O955" s="230"/>
      <c r="R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</row>
    <row r="956">
      <c r="O956" s="230"/>
      <c r="R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</row>
    <row r="957">
      <c r="O957" s="230"/>
      <c r="R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</row>
    <row r="958">
      <c r="O958" s="230"/>
      <c r="R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</row>
    <row r="959">
      <c r="O959" s="230"/>
      <c r="R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</row>
    <row r="960">
      <c r="O960" s="230"/>
      <c r="R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</row>
    <row r="961">
      <c r="O961" s="230"/>
      <c r="R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</row>
    <row r="962">
      <c r="O962" s="230"/>
      <c r="R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</row>
    <row r="963">
      <c r="O963" s="230"/>
      <c r="R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</row>
    <row r="964">
      <c r="O964" s="230"/>
      <c r="R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</row>
    <row r="965">
      <c r="O965" s="230"/>
      <c r="R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</row>
    <row r="966">
      <c r="O966" s="230"/>
      <c r="R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</row>
    <row r="967">
      <c r="O967" s="230"/>
      <c r="R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</row>
    <row r="968">
      <c r="O968" s="230"/>
      <c r="R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</row>
    <row r="969">
      <c r="O969" s="230"/>
      <c r="R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</row>
    <row r="970">
      <c r="O970" s="230"/>
      <c r="R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</row>
    <row r="971">
      <c r="O971" s="230"/>
      <c r="R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</row>
    <row r="972">
      <c r="O972" s="230"/>
      <c r="R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</row>
    <row r="973">
      <c r="O973" s="230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</row>
    <row r="974">
      <c r="O974" s="230"/>
      <c r="R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</row>
    <row r="975">
      <c r="O975" s="230"/>
      <c r="R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</row>
    <row r="976">
      <c r="O976" s="230"/>
      <c r="R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</row>
    <row r="977">
      <c r="O977" s="230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</row>
    <row r="978">
      <c r="O978" s="230"/>
      <c r="R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</row>
    <row r="979">
      <c r="O979" s="230"/>
      <c r="R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</row>
    <row r="980">
      <c r="O980" s="230"/>
      <c r="R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</row>
    <row r="981">
      <c r="O981" s="230"/>
      <c r="R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</row>
    <row r="982">
      <c r="O982" s="230"/>
      <c r="R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</row>
    <row r="983">
      <c r="O983" s="230"/>
      <c r="R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</row>
    <row r="984">
      <c r="O984" s="230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</row>
    <row r="985">
      <c r="O985" s="230"/>
      <c r="R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</row>
    <row r="986">
      <c r="O986" s="230"/>
      <c r="R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</row>
    <row r="987">
      <c r="O987" s="230"/>
      <c r="R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</row>
    <row r="988">
      <c r="O988" s="230"/>
      <c r="R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</row>
    <row r="989">
      <c r="O989" s="230"/>
      <c r="R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</row>
    <row r="990">
      <c r="O990" s="230"/>
      <c r="R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</row>
    <row r="991">
      <c r="O991" s="230"/>
      <c r="R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</row>
    <row r="992">
      <c r="O992" s="230"/>
      <c r="R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</row>
    <row r="993">
      <c r="O993" s="230"/>
      <c r="R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</row>
    <row r="994">
      <c r="O994" s="230"/>
      <c r="R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</row>
    <row r="995">
      <c r="O995" s="230"/>
      <c r="R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</row>
    <row r="996">
      <c r="O996" s="230"/>
      <c r="R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</row>
    <row r="997">
      <c r="O997" s="230"/>
      <c r="R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</row>
    <row r="998">
      <c r="O998" s="230"/>
      <c r="R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</row>
    <row r="999">
      <c r="O999" s="230"/>
      <c r="R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</row>
    <row r="1000">
      <c r="O1000" s="230"/>
      <c r="R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</row>
    <row r="1001">
      <c r="O1001" s="230"/>
      <c r="R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</row>
    <row r="1002">
      <c r="O1002" s="230"/>
      <c r="R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</row>
    <row r="1003">
      <c r="O1003" s="230"/>
      <c r="R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</row>
    <row r="1004">
      <c r="O1004" s="230"/>
      <c r="R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</row>
    <row r="1005">
      <c r="O1005" s="230"/>
      <c r="R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  <c r="AC1005" s="230"/>
      <c r="AD1005" s="230"/>
      <c r="AE1005" s="230"/>
    </row>
    <row r="1006">
      <c r="O1006" s="230"/>
      <c r="R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  <c r="AC1006" s="230"/>
      <c r="AD1006" s="230"/>
      <c r="AE1006" s="230"/>
    </row>
    <row r="1007">
      <c r="O1007" s="230"/>
      <c r="R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  <c r="AC1007" s="230"/>
      <c r="AD1007" s="230"/>
      <c r="AE1007" s="230"/>
    </row>
    <row r="1008">
      <c r="O1008" s="230"/>
      <c r="R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  <c r="AC1008" s="230"/>
      <c r="AD1008" s="230"/>
      <c r="AE1008" s="230"/>
    </row>
    <row r="1009">
      <c r="O1009" s="230"/>
      <c r="R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  <c r="AC1009" s="230"/>
      <c r="AD1009" s="230"/>
      <c r="AE1009" s="230"/>
    </row>
    <row r="1010">
      <c r="O1010" s="230"/>
      <c r="R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  <c r="AC1010" s="230"/>
      <c r="AD1010" s="230"/>
      <c r="AE1010" s="230"/>
    </row>
    <row r="1011">
      <c r="O1011" s="230"/>
      <c r="R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  <c r="AC1011" s="230"/>
      <c r="AD1011" s="230"/>
      <c r="AE1011" s="230"/>
    </row>
    <row r="1012">
      <c r="O1012" s="230"/>
      <c r="R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  <c r="AC1012" s="230"/>
      <c r="AD1012" s="230"/>
      <c r="AE1012" s="230"/>
    </row>
    <row r="1013">
      <c r="O1013" s="230"/>
      <c r="R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  <c r="AC1013" s="230"/>
      <c r="AD1013" s="230"/>
      <c r="AE1013" s="230"/>
    </row>
    <row r="1014">
      <c r="O1014" s="230"/>
      <c r="R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  <c r="AC1014" s="230"/>
      <c r="AD1014" s="230"/>
      <c r="AE1014" s="230"/>
    </row>
    <row r="1015">
      <c r="O1015" s="230"/>
      <c r="R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  <c r="AC1015" s="230"/>
      <c r="AD1015" s="230"/>
      <c r="AE1015" s="230"/>
    </row>
    <row r="1016">
      <c r="O1016" s="230"/>
      <c r="R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  <c r="AC1016" s="230"/>
      <c r="AD1016" s="230"/>
      <c r="AE1016" s="230"/>
    </row>
    <row r="1017">
      <c r="O1017" s="230"/>
      <c r="R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  <c r="AC1017" s="230"/>
      <c r="AD1017" s="230"/>
      <c r="AE1017" s="230"/>
    </row>
    <row r="1018">
      <c r="O1018" s="230"/>
      <c r="R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  <c r="AC1018" s="230"/>
      <c r="AD1018" s="230"/>
      <c r="AE1018" s="230"/>
    </row>
    <row r="1019">
      <c r="O1019" s="230"/>
      <c r="R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  <c r="AC1019" s="230"/>
      <c r="AD1019" s="230"/>
      <c r="AE1019" s="230"/>
    </row>
    <row r="1020">
      <c r="O1020" s="230"/>
      <c r="R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  <c r="AC1020" s="230"/>
      <c r="AD1020" s="230"/>
      <c r="AE1020" s="230"/>
    </row>
    <row r="1021">
      <c r="O1021" s="230"/>
      <c r="R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  <c r="AC1021" s="230"/>
      <c r="AD1021" s="230"/>
      <c r="AE1021" s="230"/>
    </row>
    <row r="1022">
      <c r="O1022" s="230"/>
      <c r="R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  <c r="AC1022" s="230"/>
      <c r="AD1022" s="230"/>
      <c r="AE1022" s="230"/>
    </row>
    <row r="1023">
      <c r="O1023" s="230"/>
      <c r="R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  <c r="AC1023" s="230"/>
      <c r="AD1023" s="230"/>
      <c r="AE1023" s="230"/>
    </row>
    <row r="1024">
      <c r="O1024" s="230"/>
      <c r="R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  <c r="AC1024" s="230"/>
      <c r="AD1024" s="230"/>
      <c r="AE1024" s="230"/>
    </row>
    <row r="1025">
      <c r="O1025" s="230"/>
      <c r="R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  <c r="AC1025" s="230"/>
      <c r="AD1025" s="230"/>
      <c r="AE1025" s="230"/>
    </row>
    <row r="1026">
      <c r="O1026" s="230"/>
      <c r="R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  <c r="AC1026" s="230"/>
      <c r="AD1026" s="230"/>
      <c r="AE1026" s="230"/>
    </row>
    <row r="1027">
      <c r="O1027" s="230"/>
      <c r="R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  <c r="AC1027" s="230"/>
      <c r="AD1027" s="230"/>
      <c r="AE1027" s="230"/>
    </row>
    <row r="1028">
      <c r="O1028" s="230"/>
      <c r="R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  <c r="AC1028" s="230"/>
      <c r="AD1028" s="230"/>
      <c r="AE1028" s="230"/>
    </row>
    <row r="1029">
      <c r="O1029" s="230"/>
      <c r="R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</row>
    <row r="1030">
      <c r="O1030" s="230"/>
      <c r="R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  <c r="AC1030" s="230"/>
      <c r="AD1030" s="230"/>
      <c r="AE1030" s="230"/>
    </row>
    <row r="1031">
      <c r="O1031" s="230"/>
      <c r="R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  <c r="AC1031" s="230"/>
      <c r="AD1031" s="230"/>
      <c r="AE1031" s="230"/>
    </row>
    <row r="1032">
      <c r="O1032" s="230"/>
      <c r="R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  <c r="AC1032" s="230"/>
      <c r="AD1032" s="230"/>
      <c r="AE1032" s="230"/>
    </row>
    <row r="1033">
      <c r="O1033" s="230"/>
      <c r="R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  <c r="AC1033" s="230"/>
      <c r="AD1033" s="230"/>
      <c r="AE1033" s="230"/>
    </row>
    <row r="1034">
      <c r="O1034" s="230"/>
      <c r="R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  <c r="AC1034" s="230"/>
      <c r="AD1034" s="230"/>
      <c r="AE1034" s="230"/>
    </row>
    <row r="1035">
      <c r="O1035" s="230"/>
      <c r="R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  <c r="AC1035" s="230"/>
      <c r="AD1035" s="230"/>
      <c r="AE1035" s="230"/>
    </row>
    <row r="1036">
      <c r="O1036" s="230"/>
      <c r="R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  <c r="AC1036" s="230"/>
      <c r="AD1036" s="230"/>
      <c r="AE1036" s="230"/>
    </row>
    <row r="1037">
      <c r="O1037" s="230"/>
      <c r="R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  <c r="AC1037" s="230"/>
      <c r="AD1037" s="230"/>
      <c r="AE1037" s="230"/>
    </row>
    <row r="1038">
      <c r="O1038" s="230"/>
      <c r="R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  <c r="AC1038" s="230"/>
      <c r="AD1038" s="230"/>
      <c r="AE1038" s="230"/>
    </row>
    <row r="1039">
      <c r="O1039" s="230"/>
      <c r="R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  <c r="AC1039" s="230"/>
      <c r="AD1039" s="230"/>
      <c r="AE1039" s="230"/>
    </row>
    <row r="1040">
      <c r="O1040" s="230"/>
      <c r="R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  <c r="AC1040" s="230"/>
      <c r="AD1040" s="230"/>
      <c r="AE1040" s="230"/>
    </row>
    <row r="1041">
      <c r="O1041" s="230"/>
      <c r="R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  <c r="AC1041" s="230"/>
      <c r="AD1041" s="230"/>
      <c r="AE1041" s="230"/>
    </row>
    <row r="1042">
      <c r="O1042" s="230"/>
      <c r="R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  <c r="AC1042" s="230"/>
      <c r="AD1042" s="230"/>
      <c r="AE1042" s="230"/>
    </row>
    <row r="1043">
      <c r="O1043" s="230"/>
      <c r="R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  <c r="AC1043" s="230"/>
      <c r="AD1043" s="230"/>
      <c r="AE1043" s="230"/>
    </row>
    <row r="1044">
      <c r="O1044" s="230"/>
      <c r="R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  <c r="AC1044" s="230"/>
      <c r="AD1044" s="230"/>
      <c r="AE1044" s="230"/>
    </row>
    <row r="1045">
      <c r="O1045" s="230"/>
      <c r="R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  <c r="AC1045" s="230"/>
      <c r="AD1045" s="230"/>
      <c r="AE1045" s="230"/>
    </row>
    <row r="1046">
      <c r="O1046" s="230"/>
      <c r="R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  <c r="AC1046" s="230"/>
      <c r="AD1046" s="230"/>
      <c r="AE1046" s="230"/>
    </row>
    <row r="1047">
      <c r="O1047" s="230"/>
      <c r="R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  <c r="AC1047" s="230"/>
      <c r="AD1047" s="230"/>
      <c r="AE1047" s="230"/>
    </row>
    <row r="1048">
      <c r="O1048" s="230"/>
      <c r="R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  <c r="AC1048" s="230"/>
      <c r="AD1048" s="230"/>
      <c r="AE1048" s="230"/>
    </row>
    <row r="1049">
      <c r="O1049" s="230"/>
      <c r="R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  <c r="AC1049" s="230"/>
      <c r="AD1049" s="230"/>
      <c r="AE1049" s="230"/>
    </row>
    <row r="1050">
      <c r="O1050" s="230"/>
      <c r="R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  <c r="AC1050" s="230"/>
      <c r="AD1050" s="230"/>
      <c r="AE1050" s="230"/>
    </row>
    <row r="1051">
      <c r="O1051" s="230"/>
      <c r="R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  <c r="AC1051" s="230"/>
      <c r="AD1051" s="230"/>
      <c r="AE1051" s="230"/>
    </row>
    <row r="1052">
      <c r="O1052" s="230"/>
      <c r="R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  <c r="AC1052" s="230"/>
      <c r="AD1052" s="230"/>
      <c r="AE1052" s="230"/>
    </row>
    <row r="1053">
      <c r="O1053" s="230"/>
      <c r="R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  <c r="AC1053" s="230"/>
      <c r="AD1053" s="230"/>
      <c r="AE1053" s="230"/>
    </row>
    <row r="1054">
      <c r="O1054" s="230"/>
      <c r="R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  <c r="AC1054" s="230"/>
      <c r="AD1054" s="230"/>
      <c r="AE1054" s="230"/>
    </row>
    <row r="1055">
      <c r="O1055" s="230"/>
      <c r="R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  <c r="AC1055" s="230"/>
      <c r="AD1055" s="230"/>
      <c r="AE1055" s="230"/>
    </row>
    <row r="1056">
      <c r="O1056" s="230"/>
      <c r="R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  <c r="AC1056" s="230"/>
      <c r="AD1056" s="230"/>
      <c r="AE1056" s="230"/>
    </row>
    <row r="1057">
      <c r="O1057" s="230"/>
      <c r="R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  <c r="AC1057" s="230"/>
      <c r="AD1057" s="230"/>
      <c r="AE1057" s="230"/>
    </row>
    <row r="1058">
      <c r="O1058" s="230"/>
      <c r="R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  <c r="AC1058" s="230"/>
      <c r="AD1058" s="230"/>
      <c r="AE1058" s="230"/>
    </row>
    <row r="1059">
      <c r="O1059" s="230"/>
      <c r="R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  <c r="AC1059" s="230"/>
      <c r="AD1059" s="230"/>
      <c r="AE1059" s="230"/>
    </row>
    <row r="1060">
      <c r="O1060" s="230"/>
      <c r="R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  <c r="AC1060" s="230"/>
      <c r="AD1060" s="230"/>
      <c r="AE1060" s="230"/>
    </row>
    <row r="1061">
      <c r="O1061" s="230"/>
      <c r="R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  <c r="AC1061" s="230"/>
      <c r="AD1061" s="230"/>
      <c r="AE1061" s="230"/>
    </row>
    <row r="1062">
      <c r="O1062" s="230"/>
      <c r="R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  <c r="AC1062" s="230"/>
      <c r="AD1062" s="230"/>
      <c r="AE1062" s="230"/>
    </row>
    <row r="1063">
      <c r="O1063" s="230"/>
      <c r="R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  <c r="AC1063" s="230"/>
      <c r="AD1063" s="230"/>
      <c r="AE1063" s="230"/>
    </row>
    <row r="1064">
      <c r="O1064" s="230"/>
      <c r="R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  <c r="AC1064" s="230"/>
      <c r="AD1064" s="230"/>
      <c r="AE1064" s="230"/>
    </row>
    <row r="1065">
      <c r="O1065" s="230"/>
      <c r="R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  <c r="AC1065" s="230"/>
      <c r="AD1065" s="230"/>
      <c r="AE1065" s="230"/>
    </row>
    <row r="1066">
      <c r="O1066" s="230"/>
      <c r="R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  <c r="AC1066" s="230"/>
      <c r="AD1066" s="230"/>
      <c r="AE1066" s="230"/>
    </row>
    <row r="1067">
      <c r="O1067" s="230"/>
      <c r="R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  <c r="AC1067" s="230"/>
      <c r="AD1067" s="230"/>
      <c r="AE1067" s="230"/>
    </row>
    <row r="1068">
      <c r="O1068" s="230"/>
      <c r="R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  <c r="AC1068" s="230"/>
      <c r="AD1068" s="230"/>
      <c r="AE1068" s="230"/>
    </row>
    <row r="1069">
      <c r="O1069" s="230"/>
      <c r="R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  <c r="AC1069" s="230"/>
      <c r="AD1069" s="230"/>
      <c r="AE1069" s="230"/>
    </row>
    <row r="1070">
      <c r="O1070" s="230"/>
      <c r="R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  <c r="AC1070" s="230"/>
      <c r="AD1070" s="230"/>
      <c r="AE1070" s="230"/>
    </row>
    <row r="1071">
      <c r="O1071" s="230"/>
      <c r="R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  <c r="AC1071" s="230"/>
      <c r="AD1071" s="230"/>
      <c r="AE1071" s="230"/>
    </row>
    <row r="1072">
      <c r="O1072" s="230"/>
      <c r="R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  <c r="AC1072" s="230"/>
      <c r="AD1072" s="230"/>
      <c r="AE1072" s="230"/>
    </row>
    <row r="1073">
      <c r="O1073" s="230"/>
      <c r="R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  <c r="AC1073" s="230"/>
      <c r="AD1073" s="230"/>
      <c r="AE1073" s="230"/>
    </row>
    <row r="1074">
      <c r="O1074" s="230"/>
      <c r="R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  <c r="AC1074" s="230"/>
      <c r="AD1074" s="230"/>
      <c r="AE1074" s="230"/>
    </row>
    <row r="1075">
      <c r="O1075" s="230"/>
      <c r="R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  <c r="AC1075" s="230"/>
      <c r="AD1075" s="230"/>
      <c r="AE1075" s="230"/>
    </row>
    <row r="1076">
      <c r="O1076" s="230"/>
      <c r="R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  <c r="AC1076" s="230"/>
      <c r="AD1076" s="230"/>
      <c r="AE1076" s="230"/>
    </row>
    <row r="1077">
      <c r="O1077" s="230"/>
      <c r="R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  <c r="AC1077" s="230"/>
      <c r="AD1077" s="230"/>
      <c r="AE1077" s="230"/>
    </row>
    <row r="1078">
      <c r="O1078" s="230"/>
      <c r="R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  <c r="AC1078" s="230"/>
      <c r="AD1078" s="230"/>
      <c r="AE1078" s="230"/>
    </row>
    <row r="1079">
      <c r="O1079" s="230"/>
      <c r="R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  <c r="AC1079" s="230"/>
      <c r="AD1079" s="230"/>
      <c r="AE1079" s="230"/>
    </row>
    <row r="1080">
      <c r="O1080" s="230"/>
      <c r="R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  <c r="AC1080" s="230"/>
      <c r="AD1080" s="230"/>
      <c r="AE1080" s="230"/>
    </row>
    <row r="1081">
      <c r="O1081" s="230"/>
      <c r="R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  <c r="AC1081" s="230"/>
      <c r="AD1081" s="230"/>
      <c r="AE1081" s="230"/>
    </row>
    <row r="1082">
      <c r="O1082" s="230"/>
      <c r="R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  <c r="AC1082" s="230"/>
      <c r="AD1082" s="230"/>
      <c r="AE1082" s="230"/>
    </row>
    <row r="1083">
      <c r="O1083" s="230"/>
      <c r="R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  <c r="AC1083" s="230"/>
      <c r="AD1083" s="230"/>
      <c r="AE1083" s="230"/>
    </row>
    <row r="1084">
      <c r="O1084" s="230"/>
      <c r="R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  <c r="AC1084" s="230"/>
      <c r="AD1084" s="230"/>
      <c r="AE1084" s="230"/>
    </row>
    <row r="1085">
      <c r="O1085" s="230"/>
      <c r="R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  <c r="AC1085" s="230"/>
      <c r="AD1085" s="230"/>
      <c r="AE1085" s="230"/>
    </row>
    <row r="1086">
      <c r="O1086" s="230"/>
      <c r="R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  <c r="AC1086" s="230"/>
      <c r="AD1086" s="230"/>
      <c r="AE1086" s="230"/>
    </row>
    <row r="1087">
      <c r="O1087" s="230"/>
      <c r="R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  <c r="AC1087" s="230"/>
      <c r="AD1087" s="230"/>
      <c r="AE1087" s="230"/>
    </row>
    <row r="1088">
      <c r="O1088" s="230"/>
      <c r="R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  <c r="AC1088" s="230"/>
      <c r="AD1088" s="230"/>
      <c r="AE1088" s="230"/>
    </row>
    <row r="1089">
      <c r="O1089" s="230"/>
      <c r="R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  <c r="AC1089" s="230"/>
      <c r="AD1089" s="230"/>
      <c r="AE1089" s="230"/>
    </row>
    <row r="1090">
      <c r="O1090" s="230"/>
      <c r="R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</row>
    <row r="1091">
      <c r="O1091" s="230"/>
      <c r="R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  <c r="AC1091" s="230"/>
      <c r="AD1091" s="230"/>
      <c r="AE1091" s="230"/>
    </row>
    <row r="1092">
      <c r="O1092" s="230"/>
      <c r="R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  <c r="AC1092" s="230"/>
      <c r="AD1092" s="230"/>
      <c r="AE1092" s="230"/>
    </row>
    <row r="1093">
      <c r="O1093" s="230"/>
      <c r="R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  <c r="AC1093" s="230"/>
      <c r="AD1093" s="230"/>
      <c r="AE1093" s="230"/>
    </row>
    <row r="1094">
      <c r="O1094" s="230"/>
      <c r="R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  <c r="AC1094" s="230"/>
      <c r="AD1094" s="230"/>
      <c r="AE1094" s="230"/>
    </row>
    <row r="1095">
      <c r="O1095" s="230"/>
      <c r="R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  <c r="AC1095" s="230"/>
      <c r="AD1095" s="230"/>
      <c r="AE1095" s="230"/>
    </row>
    <row r="1096">
      <c r="O1096" s="230"/>
      <c r="R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  <c r="AC1096" s="230"/>
      <c r="AD1096" s="230"/>
      <c r="AE1096" s="230"/>
    </row>
    <row r="1097">
      <c r="O1097" s="230"/>
      <c r="R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  <c r="AC1097" s="230"/>
      <c r="AD1097" s="230"/>
      <c r="AE1097" s="230"/>
    </row>
    <row r="1098">
      <c r="O1098" s="230"/>
      <c r="R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  <c r="AC1098" s="230"/>
      <c r="AD1098" s="230"/>
      <c r="AE1098" s="230"/>
    </row>
    <row r="1099">
      <c r="O1099" s="230"/>
      <c r="R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  <c r="AC1099" s="230"/>
      <c r="AD1099" s="230"/>
      <c r="AE1099" s="230"/>
    </row>
    <row r="1100">
      <c r="O1100" s="230"/>
      <c r="R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</row>
    <row r="1101">
      <c r="O1101" s="230"/>
      <c r="R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  <c r="AC1101" s="230"/>
      <c r="AD1101" s="230"/>
      <c r="AE1101" s="230"/>
    </row>
    <row r="1102">
      <c r="O1102" s="230"/>
      <c r="R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</row>
    <row r="1103">
      <c r="O1103" s="230"/>
      <c r="R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</row>
    <row r="1104">
      <c r="O1104" s="230"/>
      <c r="R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</row>
    <row r="1105">
      <c r="O1105" s="230"/>
      <c r="R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</row>
    <row r="1106">
      <c r="O1106" s="230"/>
      <c r="R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</row>
    <row r="1107">
      <c r="O1107" s="230"/>
      <c r="R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</row>
    <row r="1108">
      <c r="O1108" s="230"/>
      <c r="R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</row>
    <row r="1109">
      <c r="O1109" s="230"/>
      <c r="R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</row>
    <row r="1110">
      <c r="O1110" s="230"/>
      <c r="R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</row>
    <row r="1111">
      <c r="O1111" s="230"/>
      <c r="R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</row>
    <row r="1112">
      <c r="O1112" s="230"/>
      <c r="R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</row>
    <row r="1113">
      <c r="O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</row>
    <row r="1114">
      <c r="O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</row>
    <row r="1115">
      <c r="O1115" s="230"/>
      <c r="R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</row>
    <row r="1116">
      <c r="O1116" s="230"/>
      <c r="R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</row>
    <row r="1117">
      <c r="O1117" s="230"/>
      <c r="R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</row>
    <row r="1118">
      <c r="O1118" s="230"/>
      <c r="R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</row>
    <row r="1119">
      <c r="O1119" s="230"/>
      <c r="R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</row>
    <row r="1120">
      <c r="O1120" s="230"/>
      <c r="R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</row>
    <row r="1121">
      <c r="O1121" s="230"/>
      <c r="R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</row>
    <row r="1122">
      <c r="O1122" s="230"/>
      <c r="R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</row>
    <row r="1123">
      <c r="O1123" s="230"/>
      <c r="R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</row>
    <row r="1124">
      <c r="O1124" s="230"/>
      <c r="R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</row>
    <row r="1125">
      <c r="O1125" s="230"/>
      <c r="R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  <c r="AC1125" s="230"/>
      <c r="AD1125" s="230"/>
      <c r="AE1125" s="230"/>
    </row>
    <row r="1126">
      <c r="O1126" s="230"/>
      <c r="R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  <c r="AC1126" s="230"/>
      <c r="AD1126" s="230"/>
      <c r="AE1126" s="230"/>
    </row>
    <row r="1127">
      <c r="O1127" s="230"/>
      <c r="R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  <c r="AC1127" s="230"/>
      <c r="AD1127" s="230"/>
      <c r="AE1127" s="230"/>
    </row>
    <row r="1128">
      <c r="O1128" s="230"/>
      <c r="R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  <c r="AC1128" s="230"/>
      <c r="AD1128" s="230"/>
      <c r="AE1128" s="230"/>
    </row>
    <row r="1129">
      <c r="O1129" s="230"/>
      <c r="R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  <c r="AC1129" s="230"/>
      <c r="AD1129" s="230"/>
      <c r="AE1129" s="230"/>
    </row>
    <row r="1130">
      <c r="O1130" s="230"/>
      <c r="R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  <c r="AC1130" s="230"/>
      <c r="AD1130" s="230"/>
      <c r="AE1130" s="230"/>
    </row>
    <row r="1131">
      <c r="O1131" s="230"/>
      <c r="R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  <c r="AC1131" s="230"/>
      <c r="AD1131" s="230"/>
      <c r="AE1131" s="230"/>
    </row>
    <row r="1132">
      <c r="O1132" s="230"/>
      <c r="R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  <c r="AC1132" s="230"/>
      <c r="AD1132" s="230"/>
      <c r="AE1132" s="230"/>
    </row>
    <row r="1133">
      <c r="O1133" s="230"/>
      <c r="R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  <c r="AC1133" s="230"/>
      <c r="AD1133" s="230"/>
      <c r="AE1133" s="230"/>
    </row>
    <row r="1134">
      <c r="O1134" s="230"/>
      <c r="R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  <c r="AC1134" s="230"/>
      <c r="AD1134" s="230"/>
      <c r="AE1134" s="230"/>
    </row>
    <row r="1135">
      <c r="O1135" s="230"/>
      <c r="R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  <c r="AC1135" s="230"/>
      <c r="AD1135" s="230"/>
      <c r="AE1135" s="230"/>
    </row>
    <row r="1136">
      <c r="O1136" s="230"/>
      <c r="R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  <c r="AC1136" s="230"/>
      <c r="AD1136" s="230"/>
      <c r="AE1136" s="230"/>
    </row>
    <row r="1137">
      <c r="O1137" s="230"/>
      <c r="R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  <c r="AC1137" s="230"/>
      <c r="AD1137" s="230"/>
      <c r="AE1137" s="230"/>
    </row>
    <row r="1138">
      <c r="O1138" s="230"/>
      <c r="R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  <c r="AC1138" s="230"/>
      <c r="AD1138" s="230"/>
      <c r="AE1138" s="230"/>
    </row>
    <row r="1139">
      <c r="O1139" s="230"/>
      <c r="R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  <c r="AC1139" s="230"/>
      <c r="AD1139" s="230"/>
      <c r="AE1139" s="230"/>
    </row>
    <row r="1140">
      <c r="O1140" s="230"/>
      <c r="R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  <c r="AC1140" s="230"/>
      <c r="AD1140" s="230"/>
      <c r="AE1140" s="230"/>
    </row>
    <row r="1141">
      <c r="O1141" s="230"/>
      <c r="R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  <c r="AC1141" s="230"/>
      <c r="AD1141" s="230"/>
      <c r="AE1141" s="230"/>
    </row>
    <row r="1142">
      <c r="O1142" s="230"/>
      <c r="R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  <c r="AC1142" s="230"/>
      <c r="AD1142" s="230"/>
      <c r="AE1142" s="230"/>
    </row>
    <row r="1143">
      <c r="O1143" s="230"/>
      <c r="R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  <c r="AC1143" s="230"/>
      <c r="AD1143" s="230"/>
      <c r="AE1143" s="230"/>
    </row>
    <row r="1144">
      <c r="O1144" s="230"/>
      <c r="R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  <c r="AC1144" s="230"/>
      <c r="AD1144" s="230"/>
      <c r="AE1144" s="230"/>
    </row>
    <row r="1145">
      <c r="O1145" s="230"/>
      <c r="R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  <c r="AC1145" s="230"/>
      <c r="AD1145" s="230"/>
      <c r="AE1145" s="230"/>
    </row>
    <row r="1146">
      <c r="O1146" s="230"/>
      <c r="R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  <c r="AC1146" s="230"/>
      <c r="AD1146" s="230"/>
      <c r="AE1146" s="230"/>
    </row>
    <row r="1147">
      <c r="O1147" s="230"/>
      <c r="R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  <c r="AC1147" s="230"/>
      <c r="AD1147" s="230"/>
      <c r="AE1147" s="230"/>
    </row>
    <row r="1148">
      <c r="O1148" s="230"/>
      <c r="R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  <c r="AC1148" s="230"/>
      <c r="AD1148" s="230"/>
      <c r="AE1148" s="230"/>
    </row>
    <row r="1149">
      <c r="O1149" s="230"/>
      <c r="R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  <c r="AC1149" s="230"/>
      <c r="AD1149" s="230"/>
      <c r="AE1149" s="230"/>
    </row>
    <row r="1150">
      <c r="O1150" s="230"/>
      <c r="R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  <c r="AC1150" s="230"/>
      <c r="AD1150" s="230"/>
      <c r="AE1150" s="230"/>
    </row>
    <row r="1151">
      <c r="O1151" s="230"/>
      <c r="R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  <c r="AC1151" s="230"/>
      <c r="AD1151" s="230"/>
      <c r="AE1151" s="230"/>
    </row>
    <row r="1152">
      <c r="O1152" s="230"/>
      <c r="R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  <c r="AC1152" s="230"/>
      <c r="AD1152" s="230"/>
      <c r="AE1152" s="230"/>
    </row>
    <row r="1153">
      <c r="O1153" s="230"/>
      <c r="R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  <c r="AC1153" s="230"/>
      <c r="AD1153" s="230"/>
      <c r="AE1153" s="230"/>
    </row>
    <row r="1154">
      <c r="O1154" s="230"/>
      <c r="R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  <c r="AC1154" s="230"/>
      <c r="AD1154" s="230"/>
      <c r="AE1154" s="230"/>
    </row>
    <row r="1155">
      <c r="O1155" s="230"/>
      <c r="R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  <c r="AC1155" s="230"/>
      <c r="AD1155" s="230"/>
      <c r="AE1155" s="230"/>
    </row>
    <row r="1156">
      <c r="O1156" s="230"/>
      <c r="R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  <c r="AC1156" s="230"/>
      <c r="AD1156" s="230"/>
      <c r="AE1156" s="230"/>
    </row>
    <row r="1157">
      <c r="O1157" s="230"/>
      <c r="R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  <c r="AC1157" s="230"/>
      <c r="AD1157" s="230"/>
      <c r="AE1157" s="230"/>
    </row>
    <row r="1158">
      <c r="O1158" s="230"/>
      <c r="R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  <c r="AC1158" s="230"/>
      <c r="AD1158" s="230"/>
      <c r="AE1158" s="230"/>
    </row>
    <row r="1159">
      <c r="O1159" s="230"/>
      <c r="R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  <c r="AC1159" s="230"/>
      <c r="AD1159" s="230"/>
      <c r="AE1159" s="230"/>
    </row>
    <row r="1160">
      <c r="O1160" s="230"/>
      <c r="R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  <c r="AC1160" s="230"/>
      <c r="AD1160" s="230"/>
      <c r="AE1160" s="230"/>
    </row>
    <row r="1161">
      <c r="O1161" s="230"/>
      <c r="R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</row>
    <row r="1162">
      <c r="O1162" s="230"/>
      <c r="R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  <c r="AC1162" s="230"/>
      <c r="AD1162" s="230"/>
      <c r="AE1162" s="230"/>
    </row>
    <row r="1163">
      <c r="O1163" s="230"/>
      <c r="R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  <c r="AC1163" s="230"/>
      <c r="AD1163" s="230"/>
      <c r="AE1163" s="230"/>
    </row>
    <row r="1164">
      <c r="O1164" s="230"/>
      <c r="R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  <c r="AC1164" s="230"/>
      <c r="AD1164" s="230"/>
      <c r="AE1164" s="230"/>
    </row>
    <row r="1165">
      <c r="O1165" s="230"/>
      <c r="R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  <c r="AC1165" s="230"/>
      <c r="AD1165" s="230"/>
      <c r="AE1165" s="230"/>
    </row>
    <row r="1166">
      <c r="O1166" s="230"/>
      <c r="R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  <c r="AC1166" s="230"/>
      <c r="AD1166" s="230"/>
      <c r="AE1166" s="230"/>
    </row>
    <row r="1167">
      <c r="O1167" s="230"/>
      <c r="R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  <c r="AC1167" s="230"/>
      <c r="AD1167" s="230"/>
      <c r="AE1167" s="230"/>
    </row>
    <row r="1168">
      <c r="O1168" s="230"/>
      <c r="R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  <c r="AC1168" s="230"/>
      <c r="AD1168" s="230"/>
      <c r="AE1168" s="230"/>
    </row>
    <row r="1169">
      <c r="O1169" s="230"/>
      <c r="R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  <c r="AC1169" s="230"/>
      <c r="AD1169" s="230"/>
      <c r="AE1169" s="230"/>
    </row>
    <row r="1170">
      <c r="O1170" s="230"/>
      <c r="R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  <c r="AC1170" s="230"/>
      <c r="AD1170" s="230"/>
      <c r="AE1170" s="230"/>
    </row>
    <row r="1171">
      <c r="O1171" s="230"/>
      <c r="R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  <c r="AC1171" s="230"/>
      <c r="AD1171" s="230"/>
      <c r="AE1171" s="230"/>
    </row>
    <row r="1172">
      <c r="O1172" s="230"/>
      <c r="R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  <c r="AC1172" s="230"/>
      <c r="AD1172" s="230"/>
      <c r="AE1172" s="230"/>
    </row>
    <row r="1173">
      <c r="O1173" s="230"/>
      <c r="R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  <c r="AC1173" s="230"/>
      <c r="AD1173" s="230"/>
      <c r="AE1173" s="230"/>
    </row>
    <row r="1174">
      <c r="O1174" s="230"/>
      <c r="R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  <c r="AC1174" s="230"/>
      <c r="AD1174" s="230"/>
      <c r="AE1174" s="230"/>
    </row>
    <row r="1175">
      <c r="O1175" s="230"/>
      <c r="R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  <c r="AC1175" s="230"/>
      <c r="AD1175" s="230"/>
      <c r="AE1175" s="230"/>
    </row>
    <row r="1176">
      <c r="O1176" s="230"/>
      <c r="R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  <c r="AC1176" s="230"/>
      <c r="AD1176" s="230"/>
      <c r="AE1176" s="230"/>
    </row>
    <row r="1177">
      <c r="O1177" s="230"/>
      <c r="R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  <c r="AC1177" s="230"/>
      <c r="AD1177" s="230"/>
      <c r="AE1177" s="230"/>
    </row>
    <row r="1178">
      <c r="O1178" s="230"/>
      <c r="R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  <c r="AC1178" s="230"/>
      <c r="AD1178" s="230"/>
      <c r="AE1178" s="230"/>
    </row>
    <row r="1179">
      <c r="O1179" s="230"/>
      <c r="R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  <c r="AC1179" s="230"/>
      <c r="AD1179" s="230"/>
      <c r="AE1179" s="230"/>
    </row>
    <row r="1180">
      <c r="O1180" s="230"/>
      <c r="R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  <c r="AC1180" s="230"/>
      <c r="AD1180" s="230"/>
      <c r="AE1180" s="230"/>
    </row>
    <row r="1181">
      <c r="O1181" s="230"/>
      <c r="R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  <c r="AC1181" s="230"/>
      <c r="AD1181" s="230"/>
      <c r="AE1181" s="230"/>
    </row>
    <row r="1182">
      <c r="O1182" s="230"/>
      <c r="R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  <c r="AC1182" s="230"/>
      <c r="AD1182" s="230"/>
      <c r="AE1182" s="230"/>
    </row>
    <row r="1183">
      <c r="O1183" s="230"/>
      <c r="R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  <c r="AC1183" s="230"/>
      <c r="AD1183" s="230"/>
      <c r="AE1183" s="230"/>
    </row>
    <row r="1184">
      <c r="O1184" s="230"/>
      <c r="R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  <c r="AC1184" s="230"/>
      <c r="AD1184" s="230"/>
      <c r="AE1184" s="230"/>
    </row>
    <row r="1185">
      <c r="O1185" s="230"/>
      <c r="R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  <c r="AC1185" s="230"/>
      <c r="AD1185" s="230"/>
      <c r="AE1185" s="230"/>
    </row>
    <row r="1186">
      <c r="O1186" s="230"/>
      <c r="R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  <c r="AC1186" s="230"/>
      <c r="AD1186" s="230"/>
      <c r="AE1186" s="230"/>
    </row>
    <row r="1187">
      <c r="O1187" s="230"/>
      <c r="R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  <c r="AC1187" s="230"/>
      <c r="AD1187" s="230"/>
      <c r="AE1187" s="230"/>
    </row>
    <row r="1188">
      <c r="O1188" s="230"/>
      <c r="R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  <c r="AC1188" s="230"/>
      <c r="AD1188" s="230"/>
      <c r="AE1188" s="230"/>
    </row>
    <row r="1189">
      <c r="O1189" s="230"/>
      <c r="R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  <c r="AC1189" s="230"/>
      <c r="AD1189" s="230"/>
      <c r="AE1189" s="230"/>
    </row>
    <row r="1190">
      <c r="O1190" s="230"/>
      <c r="R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  <c r="AC1190" s="230"/>
      <c r="AD1190" s="230"/>
      <c r="AE1190" s="230"/>
    </row>
    <row r="1191">
      <c r="O1191" s="230"/>
      <c r="R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  <c r="AC1191" s="230"/>
      <c r="AD1191" s="230"/>
      <c r="AE1191" s="230"/>
    </row>
    <row r="1192">
      <c r="O1192" s="230"/>
      <c r="R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  <c r="AC1192" s="230"/>
      <c r="AD1192" s="230"/>
      <c r="AE1192" s="230"/>
    </row>
    <row r="1193">
      <c r="O1193" s="230"/>
      <c r="R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  <c r="AC1193" s="230"/>
      <c r="AD1193" s="230"/>
      <c r="AE1193" s="230"/>
    </row>
    <row r="1194">
      <c r="O1194" s="230"/>
      <c r="R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  <c r="AC1194" s="230"/>
      <c r="AD1194" s="230"/>
      <c r="AE1194" s="230"/>
    </row>
    <row r="1195">
      <c r="O1195" s="230"/>
      <c r="R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  <c r="AC1195" s="230"/>
      <c r="AD1195" s="230"/>
      <c r="AE1195" s="230"/>
    </row>
    <row r="1196">
      <c r="O1196" s="230"/>
      <c r="R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  <c r="AC1196" s="230"/>
      <c r="AD1196" s="230"/>
      <c r="AE1196" s="230"/>
    </row>
    <row r="1197">
      <c r="O1197" s="230"/>
      <c r="R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  <c r="AC1197" s="230"/>
      <c r="AD1197" s="230"/>
      <c r="AE1197" s="230"/>
    </row>
    <row r="1198">
      <c r="O1198" s="230"/>
      <c r="R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  <c r="AC1198" s="230"/>
      <c r="AD1198" s="230"/>
      <c r="AE1198" s="230"/>
    </row>
    <row r="1199">
      <c r="O1199" s="230"/>
      <c r="R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  <c r="AC1199" s="230"/>
      <c r="AD1199" s="230"/>
      <c r="AE1199" s="230"/>
    </row>
    <row r="1200">
      <c r="O1200" s="230"/>
      <c r="R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  <c r="AC1200" s="230"/>
      <c r="AD1200" s="230"/>
      <c r="AE1200" s="230"/>
    </row>
    <row r="1201">
      <c r="O1201" s="230"/>
      <c r="R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</row>
    <row r="1202">
      <c r="O1202" s="230"/>
      <c r="R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  <c r="AC1202" s="230"/>
      <c r="AD1202" s="230"/>
      <c r="AE1202" s="230"/>
    </row>
    <row r="1203">
      <c r="O1203" s="230"/>
      <c r="R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  <c r="AC1203" s="230"/>
      <c r="AD1203" s="230"/>
      <c r="AE1203" s="230"/>
    </row>
    <row r="1204">
      <c r="O1204" s="230"/>
      <c r="R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  <c r="AC1204" s="230"/>
      <c r="AD1204" s="230"/>
      <c r="AE1204" s="230"/>
    </row>
    <row r="1205">
      <c r="O1205" s="230"/>
      <c r="R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  <c r="AC1205" s="230"/>
      <c r="AD1205" s="230"/>
      <c r="AE1205" s="230"/>
    </row>
    <row r="1206">
      <c r="O1206" s="230"/>
      <c r="R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  <c r="AC1206" s="230"/>
      <c r="AD1206" s="230"/>
      <c r="AE1206" s="230"/>
    </row>
    <row r="1207">
      <c r="O1207" s="230"/>
      <c r="R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  <c r="AC1207" s="230"/>
      <c r="AD1207" s="230"/>
      <c r="AE1207" s="230"/>
    </row>
    <row r="1208">
      <c r="O1208" s="230"/>
      <c r="R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  <c r="AC1208" s="230"/>
      <c r="AD1208" s="230"/>
      <c r="AE1208" s="230"/>
    </row>
    <row r="1209">
      <c r="O1209" s="230"/>
      <c r="R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  <c r="AC1209" s="230"/>
      <c r="AD1209" s="230"/>
      <c r="AE1209" s="230"/>
    </row>
    <row r="1210">
      <c r="O1210" s="230"/>
      <c r="R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  <c r="AC1210" s="230"/>
      <c r="AD1210" s="230"/>
      <c r="AE1210" s="230"/>
    </row>
    <row r="1211">
      <c r="O1211" s="230"/>
      <c r="R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  <c r="AC1211" s="230"/>
      <c r="AD1211" s="230"/>
      <c r="AE1211" s="230"/>
    </row>
    <row r="1212">
      <c r="O1212" s="230"/>
      <c r="R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  <c r="AC1212" s="230"/>
      <c r="AD1212" s="230"/>
      <c r="AE1212" s="230"/>
    </row>
    <row r="1213">
      <c r="O1213" s="230"/>
      <c r="R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  <c r="AC1213" s="230"/>
      <c r="AD1213" s="230"/>
      <c r="AE1213" s="230"/>
    </row>
    <row r="1214">
      <c r="O1214" s="230"/>
      <c r="R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  <c r="AC1214" s="230"/>
      <c r="AD1214" s="230"/>
      <c r="AE1214" s="230"/>
    </row>
    <row r="1215">
      <c r="O1215" s="230"/>
      <c r="R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  <c r="AC1215" s="230"/>
      <c r="AD1215" s="230"/>
      <c r="AE1215" s="230"/>
    </row>
    <row r="1216">
      <c r="O1216" s="230"/>
      <c r="R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  <c r="AC1216" s="230"/>
      <c r="AD1216" s="230"/>
      <c r="AE1216" s="230"/>
    </row>
    <row r="1217">
      <c r="O1217" s="230"/>
      <c r="R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  <c r="AC1217" s="230"/>
      <c r="AD1217" s="230"/>
      <c r="AE1217" s="230"/>
    </row>
    <row r="1218">
      <c r="O1218" s="230"/>
      <c r="R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  <c r="AC1218" s="230"/>
      <c r="AD1218" s="230"/>
      <c r="AE1218" s="230"/>
    </row>
    <row r="1219">
      <c r="O1219" s="230"/>
      <c r="R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  <c r="AC1219" s="230"/>
      <c r="AD1219" s="230"/>
      <c r="AE1219" s="230"/>
    </row>
    <row r="1220">
      <c r="O1220" s="230"/>
      <c r="R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  <c r="AC1220" s="230"/>
      <c r="AD1220" s="230"/>
      <c r="AE1220" s="230"/>
    </row>
    <row r="1221">
      <c r="O1221" s="230"/>
      <c r="R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  <c r="AC1221" s="230"/>
      <c r="AD1221" s="230"/>
      <c r="AE1221" s="230"/>
    </row>
    <row r="1222">
      <c r="O1222" s="230"/>
      <c r="R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  <c r="AC1222" s="230"/>
      <c r="AD1222" s="230"/>
      <c r="AE1222" s="230"/>
    </row>
    <row r="1223">
      <c r="O1223" s="230"/>
      <c r="R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  <c r="AC1223" s="230"/>
      <c r="AD1223" s="230"/>
      <c r="AE1223" s="230"/>
    </row>
    <row r="1224">
      <c r="O1224" s="230"/>
      <c r="R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  <c r="AC1224" s="230"/>
      <c r="AD1224" s="230"/>
      <c r="AE1224" s="230"/>
    </row>
    <row r="1225">
      <c r="O1225" s="230"/>
      <c r="R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  <c r="AC1225" s="230"/>
      <c r="AD1225" s="230"/>
      <c r="AE1225" s="230"/>
    </row>
    <row r="1226">
      <c r="O1226" s="230"/>
      <c r="R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  <c r="AC1226" s="230"/>
      <c r="AD1226" s="230"/>
      <c r="AE1226" s="230"/>
    </row>
    <row r="1227">
      <c r="O1227" s="230"/>
      <c r="R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</row>
    <row r="1228">
      <c r="O1228" s="230"/>
      <c r="R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  <c r="AC1228" s="230"/>
      <c r="AD1228" s="230"/>
      <c r="AE1228" s="230"/>
    </row>
    <row r="1229">
      <c r="O1229" s="230"/>
      <c r="R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  <c r="AC1229" s="230"/>
      <c r="AD1229" s="230"/>
      <c r="AE1229" s="230"/>
    </row>
    <row r="1230">
      <c r="O1230" s="230"/>
      <c r="R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  <c r="AC1230" s="230"/>
      <c r="AD1230" s="230"/>
      <c r="AE1230" s="230"/>
    </row>
    <row r="1231">
      <c r="O1231" s="230"/>
      <c r="R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  <c r="AC1231" s="230"/>
      <c r="AD1231" s="230"/>
      <c r="AE1231" s="230"/>
    </row>
    <row r="1232">
      <c r="O1232" s="230"/>
      <c r="R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  <c r="AC1232" s="230"/>
      <c r="AD1232" s="230"/>
      <c r="AE1232" s="230"/>
    </row>
    <row r="1233">
      <c r="O1233" s="230"/>
      <c r="R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  <c r="AC1233" s="230"/>
      <c r="AD1233" s="230"/>
      <c r="AE1233" s="230"/>
    </row>
    <row r="1234">
      <c r="O1234" s="230"/>
      <c r="R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  <c r="AC1234" s="230"/>
      <c r="AD1234" s="230"/>
      <c r="AE1234" s="230"/>
    </row>
    <row r="1235">
      <c r="O1235" s="230"/>
      <c r="R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  <c r="AC1235" s="230"/>
      <c r="AD1235" s="230"/>
      <c r="AE1235" s="230"/>
    </row>
    <row r="1236">
      <c r="O1236" s="230"/>
      <c r="R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  <c r="AC1236" s="230"/>
      <c r="AD1236" s="230"/>
      <c r="AE1236" s="230"/>
    </row>
    <row r="1237">
      <c r="O1237" s="230"/>
      <c r="R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  <c r="AC1237" s="230"/>
      <c r="AD1237" s="230"/>
      <c r="AE1237" s="230"/>
    </row>
    <row r="1238">
      <c r="O1238" s="230"/>
      <c r="R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  <c r="AC1238" s="230"/>
      <c r="AD1238" s="230"/>
      <c r="AE1238" s="230"/>
    </row>
    <row r="1239">
      <c r="O1239" s="230"/>
      <c r="R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  <c r="AC1239" s="230"/>
      <c r="AD1239" s="230"/>
      <c r="AE1239" s="230"/>
    </row>
    <row r="1240">
      <c r="O1240" s="230"/>
      <c r="R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  <c r="AC1240" s="230"/>
      <c r="AD1240" s="230"/>
      <c r="AE1240" s="230"/>
    </row>
    <row r="1241">
      <c r="O1241" s="230"/>
      <c r="R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  <c r="AC1241" s="230"/>
      <c r="AD1241" s="230"/>
      <c r="AE1241" s="230"/>
    </row>
    <row r="1242">
      <c r="O1242" s="230"/>
      <c r="R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  <c r="AC1242" s="230"/>
      <c r="AD1242" s="230"/>
      <c r="AE1242" s="230"/>
    </row>
    <row r="1243">
      <c r="O1243" s="230"/>
      <c r="R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  <c r="AC1243" s="230"/>
      <c r="AD1243" s="230"/>
      <c r="AE1243" s="230"/>
    </row>
    <row r="1244">
      <c r="O1244" s="230"/>
      <c r="R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  <c r="AC1244" s="230"/>
      <c r="AD1244" s="230"/>
      <c r="AE1244" s="230"/>
    </row>
    <row r="1245">
      <c r="O1245" s="230"/>
      <c r="R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  <c r="AC1245" s="230"/>
      <c r="AD1245" s="230"/>
      <c r="AE1245" s="230"/>
    </row>
    <row r="1246">
      <c r="O1246" s="230"/>
      <c r="R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  <c r="AC1246" s="230"/>
      <c r="AD1246" s="230"/>
      <c r="AE1246" s="230"/>
    </row>
    <row r="1247">
      <c r="O1247" s="230"/>
      <c r="R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  <c r="AC1247" s="230"/>
      <c r="AD1247" s="230"/>
      <c r="AE1247" s="230"/>
    </row>
    <row r="1248">
      <c r="O1248" s="230"/>
      <c r="R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  <c r="AC1248" s="230"/>
      <c r="AD1248" s="230"/>
      <c r="AE1248" s="230"/>
    </row>
    <row r="1249">
      <c r="O1249" s="230"/>
      <c r="R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  <c r="AC1249" s="230"/>
      <c r="AD1249" s="230"/>
      <c r="AE1249" s="230"/>
    </row>
    <row r="1250">
      <c r="O1250" s="230"/>
      <c r="R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  <c r="AC1250" s="230"/>
      <c r="AD1250" s="230"/>
      <c r="AE1250" s="230"/>
    </row>
    <row r="1251">
      <c r="O1251" s="230"/>
      <c r="R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  <c r="AC1251" s="230"/>
      <c r="AD1251" s="230"/>
      <c r="AE1251" s="230"/>
    </row>
    <row r="1252">
      <c r="O1252" s="230"/>
      <c r="R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  <c r="AC1252" s="230"/>
      <c r="AD1252" s="230"/>
      <c r="AE1252" s="230"/>
    </row>
    <row r="1253">
      <c r="O1253" s="230"/>
      <c r="R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  <c r="AC1253" s="230"/>
      <c r="AD1253" s="230"/>
      <c r="AE1253" s="230"/>
    </row>
    <row r="1254">
      <c r="O1254" s="230"/>
      <c r="R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  <c r="AC1254" s="230"/>
      <c r="AD1254" s="230"/>
      <c r="AE1254" s="230"/>
    </row>
    <row r="1255">
      <c r="O1255" s="230"/>
      <c r="R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  <c r="AC1255" s="230"/>
      <c r="AD1255" s="230"/>
      <c r="AE1255" s="230"/>
    </row>
    <row r="1256">
      <c r="O1256" s="230"/>
      <c r="R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  <c r="AC1256" s="230"/>
      <c r="AD1256" s="230"/>
      <c r="AE1256" s="230"/>
    </row>
    <row r="1257">
      <c r="O1257" s="230"/>
      <c r="R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  <c r="AC1257" s="230"/>
      <c r="AD1257" s="230"/>
      <c r="AE1257" s="230"/>
    </row>
    <row r="1258">
      <c r="O1258" s="230"/>
      <c r="R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  <c r="AC1258" s="230"/>
      <c r="AD1258" s="230"/>
      <c r="AE1258" s="230"/>
    </row>
    <row r="1259">
      <c r="O1259" s="230"/>
      <c r="R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  <c r="AC1259" s="230"/>
      <c r="AD1259" s="230"/>
      <c r="AE1259" s="230"/>
    </row>
    <row r="1260">
      <c r="O1260" s="230"/>
      <c r="R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  <c r="AC1260" s="230"/>
      <c r="AD1260" s="230"/>
      <c r="AE1260" s="230"/>
    </row>
    <row r="1261">
      <c r="O1261" s="230"/>
      <c r="R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  <c r="AC1261" s="230"/>
      <c r="AD1261" s="230"/>
      <c r="AE1261" s="230"/>
    </row>
    <row r="1262">
      <c r="O1262" s="230"/>
      <c r="R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  <c r="AC1262" s="230"/>
      <c r="AD1262" s="230"/>
      <c r="AE1262" s="230"/>
    </row>
    <row r="1263">
      <c r="O1263" s="230"/>
      <c r="R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  <c r="AC1263" s="230"/>
      <c r="AD1263" s="230"/>
      <c r="AE1263" s="230"/>
    </row>
    <row r="1264">
      <c r="O1264" s="230"/>
      <c r="R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  <c r="AC1264" s="230"/>
      <c r="AD1264" s="230"/>
      <c r="AE1264" s="230"/>
    </row>
    <row r="1265">
      <c r="O1265" s="230"/>
      <c r="R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  <c r="AC1265" s="230"/>
      <c r="AD1265" s="230"/>
      <c r="AE1265" s="230"/>
    </row>
    <row r="1266">
      <c r="O1266" s="230"/>
      <c r="R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  <c r="AC1266" s="230"/>
      <c r="AD1266" s="230"/>
      <c r="AE1266" s="230"/>
    </row>
    <row r="1267">
      <c r="O1267" s="230"/>
      <c r="R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  <c r="AC1267" s="230"/>
      <c r="AD1267" s="230"/>
      <c r="AE1267" s="230"/>
    </row>
    <row r="1268">
      <c r="O1268" s="230"/>
      <c r="R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  <c r="AC1268" s="230"/>
      <c r="AD1268" s="230"/>
      <c r="AE1268" s="230"/>
    </row>
    <row r="1269">
      <c r="O1269" s="230"/>
      <c r="R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  <c r="AC1269" s="230"/>
      <c r="AD1269" s="230"/>
      <c r="AE1269" s="230"/>
    </row>
    <row r="1270">
      <c r="O1270" s="230"/>
      <c r="R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  <c r="AC1270" s="230"/>
      <c r="AD1270" s="230"/>
      <c r="AE1270" s="230"/>
    </row>
    <row r="1271">
      <c r="O1271" s="230"/>
      <c r="R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  <c r="AC1271" s="230"/>
      <c r="AD1271" s="230"/>
      <c r="AE1271" s="230"/>
    </row>
    <row r="1272">
      <c r="O1272" s="230"/>
      <c r="R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  <c r="AC1272" s="230"/>
      <c r="AD1272" s="230"/>
      <c r="AE1272" s="230"/>
    </row>
    <row r="1273">
      <c r="O1273" s="230"/>
      <c r="R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  <c r="AC1273" s="230"/>
      <c r="AD1273" s="230"/>
      <c r="AE1273" s="230"/>
    </row>
    <row r="1274">
      <c r="O1274" s="230"/>
      <c r="R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  <c r="AC1274" s="230"/>
      <c r="AD1274" s="230"/>
      <c r="AE1274" s="230"/>
    </row>
    <row r="1275">
      <c r="O1275" s="230"/>
      <c r="R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  <c r="AC1275" s="230"/>
      <c r="AD1275" s="230"/>
      <c r="AE1275" s="230"/>
    </row>
    <row r="1276">
      <c r="O1276" s="230"/>
      <c r="R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  <c r="AC1276" s="230"/>
      <c r="AD1276" s="230"/>
      <c r="AE1276" s="230"/>
    </row>
    <row r="1277">
      <c r="O1277" s="230"/>
      <c r="R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  <c r="AC1277" s="230"/>
      <c r="AD1277" s="230"/>
      <c r="AE1277" s="230"/>
    </row>
    <row r="1278">
      <c r="O1278" s="230"/>
      <c r="R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  <c r="AC1278" s="230"/>
      <c r="AD1278" s="230"/>
      <c r="AE1278" s="230"/>
    </row>
    <row r="1279">
      <c r="O1279" s="230"/>
      <c r="R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  <c r="AC1279" s="230"/>
      <c r="AD1279" s="230"/>
      <c r="AE1279" s="230"/>
    </row>
    <row r="1280">
      <c r="O1280" s="230"/>
      <c r="R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  <c r="AC1280" s="230"/>
      <c r="AD1280" s="230"/>
      <c r="AE1280" s="230"/>
    </row>
    <row r="1281">
      <c r="O1281" s="230"/>
      <c r="R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  <c r="AC1281" s="230"/>
      <c r="AD1281" s="230"/>
      <c r="AE1281" s="230"/>
    </row>
    <row r="1282">
      <c r="O1282" s="230"/>
      <c r="R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  <c r="AC1282" s="230"/>
      <c r="AD1282" s="230"/>
      <c r="AE1282" s="230"/>
    </row>
    <row r="1283">
      <c r="O1283" s="230"/>
      <c r="R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  <c r="AC1283" s="230"/>
      <c r="AD1283" s="230"/>
      <c r="AE1283" s="230"/>
    </row>
    <row r="1284">
      <c r="O1284" s="230"/>
      <c r="R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  <c r="AC1284" s="230"/>
      <c r="AD1284" s="230"/>
      <c r="AE1284" s="230"/>
    </row>
    <row r="1285">
      <c r="O1285" s="230"/>
      <c r="R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  <c r="AC1285" s="230"/>
      <c r="AD1285" s="230"/>
      <c r="AE1285" s="230"/>
    </row>
    <row r="1286">
      <c r="O1286" s="230"/>
      <c r="R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  <c r="AC1286" s="230"/>
      <c r="AD1286" s="230"/>
      <c r="AE1286" s="230"/>
    </row>
    <row r="1287">
      <c r="O1287" s="230"/>
      <c r="R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  <c r="AC1287" s="230"/>
      <c r="AD1287" s="230"/>
      <c r="AE1287" s="230"/>
    </row>
    <row r="1288">
      <c r="O1288" s="230"/>
      <c r="R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  <c r="AC1288" s="230"/>
      <c r="AD1288" s="230"/>
      <c r="AE1288" s="230"/>
    </row>
    <row r="1289">
      <c r="O1289" s="230"/>
      <c r="R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  <c r="AC1289" s="230"/>
      <c r="AD1289" s="230"/>
      <c r="AE1289" s="230"/>
    </row>
    <row r="1290">
      <c r="O1290" s="230"/>
      <c r="R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  <c r="AC1290" s="230"/>
      <c r="AD1290" s="230"/>
      <c r="AE1290" s="230"/>
    </row>
    <row r="1291">
      <c r="O1291" s="230"/>
      <c r="R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  <c r="AC1291" s="230"/>
      <c r="AD1291" s="230"/>
      <c r="AE1291" s="230"/>
    </row>
    <row r="1292">
      <c r="O1292" s="230"/>
      <c r="R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  <c r="AC1292" s="230"/>
      <c r="AD1292" s="230"/>
      <c r="AE1292" s="230"/>
    </row>
    <row r="1293">
      <c r="O1293" s="230"/>
      <c r="R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  <c r="AC1293" s="230"/>
      <c r="AD1293" s="230"/>
      <c r="AE1293" s="230"/>
    </row>
    <row r="1294">
      <c r="O1294" s="230"/>
      <c r="R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  <c r="AC1294" s="230"/>
      <c r="AD1294" s="230"/>
      <c r="AE1294" s="230"/>
    </row>
    <row r="1295">
      <c r="O1295" s="230"/>
      <c r="R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  <c r="AC1295" s="230"/>
      <c r="AD1295" s="230"/>
      <c r="AE1295" s="230"/>
    </row>
    <row r="1296">
      <c r="O1296" s="230"/>
      <c r="R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  <c r="AC1296" s="230"/>
      <c r="AD1296" s="230"/>
      <c r="AE1296" s="230"/>
    </row>
    <row r="1297">
      <c r="O1297" s="230"/>
      <c r="R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  <c r="AC1297" s="230"/>
      <c r="AD1297" s="230"/>
      <c r="AE1297" s="230"/>
    </row>
    <row r="1298">
      <c r="O1298" s="230"/>
      <c r="R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  <c r="AC1298" s="230"/>
      <c r="AD1298" s="230"/>
      <c r="AE1298" s="230"/>
    </row>
    <row r="1299">
      <c r="O1299" s="230"/>
      <c r="R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  <c r="AC1299" s="230"/>
      <c r="AD1299" s="230"/>
      <c r="AE1299" s="230"/>
    </row>
    <row r="1300">
      <c r="O1300" s="230"/>
      <c r="R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  <c r="AC1300" s="230"/>
      <c r="AD1300" s="230"/>
      <c r="AE1300" s="230"/>
    </row>
    <row r="1301">
      <c r="O1301" s="230"/>
      <c r="R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  <c r="AC1301" s="230"/>
      <c r="AD1301" s="230"/>
      <c r="AE1301" s="230"/>
    </row>
    <row r="1302">
      <c r="O1302" s="230"/>
      <c r="R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  <c r="AC1302" s="230"/>
      <c r="AD1302" s="230"/>
      <c r="AE1302" s="230"/>
    </row>
    <row r="1303">
      <c r="O1303" s="230"/>
      <c r="R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  <c r="AC1303" s="230"/>
      <c r="AD1303" s="230"/>
      <c r="AE1303" s="230"/>
    </row>
    <row r="1304">
      <c r="O1304" s="230"/>
      <c r="R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  <c r="AC1304" s="230"/>
      <c r="AD1304" s="230"/>
      <c r="AE1304" s="230"/>
    </row>
    <row r="1305">
      <c r="O1305" s="230"/>
      <c r="R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  <c r="AC1305" s="230"/>
      <c r="AD1305" s="230"/>
      <c r="AE1305" s="230"/>
    </row>
    <row r="1306">
      <c r="O1306" s="230"/>
      <c r="R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  <c r="AC1306" s="230"/>
      <c r="AD1306" s="230"/>
      <c r="AE1306" s="230"/>
    </row>
    <row r="1307">
      <c r="O1307" s="230"/>
      <c r="R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  <c r="AC1307" s="230"/>
      <c r="AD1307" s="230"/>
      <c r="AE1307" s="230"/>
    </row>
    <row r="1308">
      <c r="O1308" s="230"/>
      <c r="R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  <c r="AC1308" s="230"/>
      <c r="AD1308" s="230"/>
      <c r="AE1308" s="230"/>
    </row>
    <row r="1309">
      <c r="O1309" s="230"/>
      <c r="R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  <c r="AC1309" s="230"/>
      <c r="AD1309" s="230"/>
      <c r="AE1309" s="230"/>
    </row>
    <row r="1310">
      <c r="O1310" s="230"/>
      <c r="R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  <c r="AC1310" s="230"/>
      <c r="AD1310" s="230"/>
      <c r="AE1310" s="230"/>
    </row>
    <row r="1311">
      <c r="O1311" s="230"/>
      <c r="R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  <c r="AC1311" s="230"/>
      <c r="AD1311" s="230"/>
      <c r="AE1311" s="230"/>
    </row>
    <row r="1312">
      <c r="O1312" s="230"/>
      <c r="R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  <c r="AC1312" s="230"/>
      <c r="AD1312" s="230"/>
      <c r="AE1312" s="230"/>
    </row>
    <row r="1313">
      <c r="O1313" s="230"/>
      <c r="R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  <c r="AC1313" s="230"/>
      <c r="AD1313" s="230"/>
      <c r="AE1313" s="230"/>
    </row>
    <row r="1314">
      <c r="O1314" s="230"/>
      <c r="R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  <c r="AC1314" s="230"/>
      <c r="AD1314" s="230"/>
      <c r="AE1314" s="230"/>
    </row>
    <row r="1315">
      <c r="O1315" s="230"/>
      <c r="R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  <c r="AC1315" s="230"/>
      <c r="AD1315" s="230"/>
      <c r="AE1315" s="230"/>
    </row>
    <row r="1316">
      <c r="O1316" s="230"/>
      <c r="R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  <c r="AC1316" s="230"/>
      <c r="AD1316" s="230"/>
      <c r="AE1316" s="230"/>
    </row>
    <row r="1317">
      <c r="O1317" s="230"/>
      <c r="R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  <c r="AC1317" s="230"/>
      <c r="AD1317" s="230"/>
      <c r="AE1317" s="230"/>
    </row>
    <row r="1318">
      <c r="O1318" s="230"/>
      <c r="R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  <c r="AC1318" s="230"/>
      <c r="AD1318" s="230"/>
      <c r="AE1318" s="230"/>
    </row>
    <row r="1319">
      <c r="O1319" s="230"/>
      <c r="R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  <c r="AC1319" s="230"/>
      <c r="AD1319" s="230"/>
      <c r="AE1319" s="230"/>
    </row>
    <row r="1320">
      <c r="O1320" s="230"/>
      <c r="R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  <c r="AC1320" s="230"/>
      <c r="AD1320" s="230"/>
      <c r="AE1320" s="230"/>
    </row>
    <row r="1321">
      <c r="O1321" s="230"/>
      <c r="R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  <c r="AC1321" s="230"/>
      <c r="AD1321" s="230"/>
      <c r="AE1321" s="230"/>
    </row>
    <row r="1322">
      <c r="O1322" s="230"/>
      <c r="R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  <c r="AC1322" s="230"/>
      <c r="AD1322" s="230"/>
      <c r="AE1322" s="230"/>
    </row>
    <row r="1323">
      <c r="O1323" s="230"/>
      <c r="R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  <c r="AC1323" s="230"/>
      <c r="AD1323" s="230"/>
      <c r="AE1323" s="230"/>
    </row>
    <row r="1324">
      <c r="O1324" s="230"/>
      <c r="R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  <c r="AC1324" s="230"/>
      <c r="AD1324" s="230"/>
      <c r="AE1324" s="230"/>
    </row>
    <row r="1325">
      <c r="O1325" s="230"/>
      <c r="R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  <c r="AC1325" s="230"/>
      <c r="AD1325" s="230"/>
      <c r="AE1325" s="230"/>
    </row>
    <row r="1326">
      <c r="O1326" s="230"/>
      <c r="R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  <c r="AC1326" s="230"/>
      <c r="AD1326" s="230"/>
      <c r="AE1326" s="230"/>
    </row>
    <row r="1327">
      <c r="O1327" s="230"/>
      <c r="R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  <c r="AC1327" s="230"/>
      <c r="AD1327" s="230"/>
      <c r="AE1327" s="230"/>
    </row>
    <row r="1328">
      <c r="O1328" s="230"/>
      <c r="R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  <c r="AC1328" s="230"/>
      <c r="AD1328" s="230"/>
      <c r="AE1328" s="230"/>
    </row>
    <row r="1329">
      <c r="O1329" s="230"/>
      <c r="R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  <c r="AC1329" s="230"/>
      <c r="AD1329" s="230"/>
      <c r="AE1329" s="230"/>
    </row>
    <row r="1330">
      <c r="O1330" s="230"/>
      <c r="R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  <c r="AC1330" s="230"/>
      <c r="AD1330" s="230"/>
      <c r="AE1330" s="230"/>
    </row>
    <row r="1331">
      <c r="O1331" s="230"/>
      <c r="R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  <c r="AC1331" s="230"/>
      <c r="AD1331" s="230"/>
      <c r="AE1331" s="230"/>
    </row>
    <row r="1332">
      <c r="O1332" s="230"/>
      <c r="R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  <c r="AC1332" s="230"/>
      <c r="AD1332" s="230"/>
      <c r="AE1332" s="230"/>
    </row>
    <row r="1333">
      <c r="O1333" s="230"/>
      <c r="R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  <c r="AC1333" s="230"/>
      <c r="AD1333" s="230"/>
      <c r="AE1333" s="230"/>
    </row>
    <row r="1334">
      <c r="O1334" s="230"/>
      <c r="R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  <c r="AC1334" s="230"/>
      <c r="AD1334" s="230"/>
      <c r="AE1334" s="230"/>
    </row>
    <row r="1335">
      <c r="O1335" s="230"/>
      <c r="R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  <c r="AC1335" s="230"/>
      <c r="AD1335" s="230"/>
      <c r="AE1335" s="230"/>
    </row>
    <row r="1336">
      <c r="O1336" s="230"/>
      <c r="R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  <c r="AC1336" s="230"/>
      <c r="AD1336" s="230"/>
      <c r="AE1336" s="230"/>
    </row>
    <row r="1337">
      <c r="O1337" s="230"/>
      <c r="R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  <c r="AC1337" s="230"/>
      <c r="AD1337" s="230"/>
      <c r="AE1337" s="230"/>
    </row>
    <row r="1338">
      <c r="O1338" s="230"/>
      <c r="R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  <c r="AC1338" s="230"/>
      <c r="AD1338" s="230"/>
      <c r="AE1338" s="230"/>
    </row>
    <row r="1339">
      <c r="O1339" s="230"/>
      <c r="R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  <c r="AC1339" s="230"/>
      <c r="AD1339" s="230"/>
      <c r="AE1339" s="230"/>
    </row>
    <row r="1340">
      <c r="O1340" s="230"/>
      <c r="R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  <c r="AC1340" s="230"/>
      <c r="AD1340" s="230"/>
      <c r="AE1340" s="230"/>
    </row>
    <row r="1341">
      <c r="O1341" s="230"/>
      <c r="R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  <c r="AC1341" s="230"/>
      <c r="AD1341" s="230"/>
      <c r="AE1341" s="230"/>
    </row>
    <row r="1342">
      <c r="O1342" s="230"/>
      <c r="R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  <c r="AC1342" s="230"/>
      <c r="AD1342" s="230"/>
      <c r="AE1342" s="230"/>
    </row>
    <row r="1343">
      <c r="O1343" s="230"/>
      <c r="R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  <c r="AC1343" s="230"/>
      <c r="AD1343" s="230"/>
      <c r="AE1343" s="230"/>
    </row>
    <row r="1344">
      <c r="O1344" s="230"/>
      <c r="R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  <c r="AC1344" s="230"/>
      <c r="AD1344" s="230"/>
      <c r="AE1344" s="230"/>
    </row>
    <row r="1345">
      <c r="O1345" s="230"/>
      <c r="R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  <c r="AC1345" s="230"/>
      <c r="AD1345" s="230"/>
      <c r="AE1345" s="230"/>
    </row>
    <row r="1346">
      <c r="O1346" s="230"/>
      <c r="R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  <c r="AC1346" s="230"/>
      <c r="AD1346" s="230"/>
      <c r="AE1346" s="230"/>
    </row>
    <row r="1347">
      <c r="O1347" s="230"/>
      <c r="R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  <c r="AC1347" s="230"/>
      <c r="AD1347" s="230"/>
      <c r="AE1347" s="230"/>
    </row>
    <row r="1348">
      <c r="O1348" s="230"/>
      <c r="R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  <c r="AC1348" s="230"/>
      <c r="AD1348" s="230"/>
      <c r="AE1348" s="230"/>
    </row>
    <row r="1349">
      <c r="O1349" s="230"/>
      <c r="R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  <c r="AC1349" s="230"/>
      <c r="AD1349" s="230"/>
      <c r="AE1349" s="230"/>
    </row>
    <row r="1350">
      <c r="O1350" s="230"/>
      <c r="R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  <c r="AC1350" s="230"/>
      <c r="AD1350" s="230"/>
      <c r="AE1350" s="230"/>
    </row>
    <row r="1351">
      <c r="O1351" s="230"/>
      <c r="R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  <c r="AC1351" s="230"/>
      <c r="AD1351" s="230"/>
      <c r="AE1351" s="230"/>
    </row>
    <row r="1352">
      <c r="O1352" s="230"/>
      <c r="R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  <c r="AC1352" s="230"/>
      <c r="AD1352" s="230"/>
      <c r="AE1352" s="230"/>
    </row>
    <row r="1353">
      <c r="O1353" s="230"/>
      <c r="R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  <c r="AC1353" s="230"/>
      <c r="AD1353" s="230"/>
      <c r="AE1353" s="230"/>
    </row>
    <row r="1354">
      <c r="O1354" s="230"/>
      <c r="R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  <c r="AC1354" s="230"/>
      <c r="AD1354" s="230"/>
      <c r="AE1354" s="230"/>
    </row>
    <row r="1355">
      <c r="O1355" s="230"/>
      <c r="R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  <c r="AC1355" s="230"/>
      <c r="AD1355" s="230"/>
      <c r="AE1355" s="230"/>
    </row>
    <row r="1356">
      <c r="O1356" s="230"/>
      <c r="R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  <c r="AC1356" s="230"/>
      <c r="AD1356" s="230"/>
      <c r="AE1356" s="230"/>
    </row>
    <row r="1357">
      <c r="O1357" s="230"/>
      <c r="R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  <c r="AC1357" s="230"/>
      <c r="AD1357" s="230"/>
      <c r="AE1357" s="230"/>
    </row>
    <row r="1358">
      <c r="O1358" s="230"/>
      <c r="R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  <c r="AC1358" s="230"/>
      <c r="AD1358" s="230"/>
      <c r="AE1358" s="230"/>
    </row>
    <row r="1359">
      <c r="O1359" s="230"/>
      <c r="R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  <c r="AC1359" s="230"/>
      <c r="AD1359" s="230"/>
      <c r="AE1359" s="230"/>
    </row>
    <row r="1360">
      <c r="O1360" s="230"/>
      <c r="R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  <c r="AC1360" s="230"/>
      <c r="AD1360" s="230"/>
      <c r="AE1360" s="230"/>
    </row>
    <row r="1361">
      <c r="O1361" s="230"/>
      <c r="R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  <c r="AC1361" s="230"/>
      <c r="AD1361" s="230"/>
      <c r="AE1361" s="230"/>
    </row>
    <row r="1362">
      <c r="O1362" s="230"/>
      <c r="R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  <c r="AC1362" s="230"/>
      <c r="AD1362" s="230"/>
      <c r="AE1362" s="230"/>
    </row>
    <row r="1363">
      <c r="O1363" s="230"/>
      <c r="R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  <c r="AC1363" s="230"/>
      <c r="AD1363" s="230"/>
      <c r="AE1363" s="230"/>
    </row>
    <row r="1364">
      <c r="O1364" s="230"/>
      <c r="R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  <c r="AC1364" s="230"/>
      <c r="AD1364" s="230"/>
      <c r="AE1364" s="230"/>
    </row>
    <row r="1365">
      <c r="O1365" s="230"/>
      <c r="R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  <c r="AC1365" s="230"/>
      <c r="AD1365" s="230"/>
      <c r="AE1365" s="230"/>
    </row>
    <row r="1366">
      <c r="O1366" s="230"/>
      <c r="R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  <c r="AC1366" s="230"/>
      <c r="AD1366" s="230"/>
      <c r="AE1366" s="230"/>
    </row>
    <row r="1367">
      <c r="O1367" s="230"/>
      <c r="R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  <c r="AC1367" s="230"/>
      <c r="AD1367" s="230"/>
      <c r="AE1367" s="230"/>
    </row>
    <row r="1368">
      <c r="O1368" s="230"/>
      <c r="R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  <c r="AC1368" s="230"/>
      <c r="AD1368" s="230"/>
      <c r="AE1368" s="230"/>
    </row>
    <row r="1369">
      <c r="O1369" s="230"/>
      <c r="R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  <c r="AC1369" s="230"/>
      <c r="AD1369" s="230"/>
      <c r="AE1369" s="230"/>
    </row>
    <row r="1370">
      <c r="O1370" s="230"/>
      <c r="R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  <c r="AC1370" s="230"/>
      <c r="AD1370" s="230"/>
      <c r="AE1370" s="230"/>
    </row>
    <row r="1371">
      <c r="O1371" s="230"/>
      <c r="R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  <c r="AC1371" s="230"/>
      <c r="AD1371" s="230"/>
      <c r="AE1371" s="230"/>
    </row>
    <row r="1372">
      <c r="O1372" s="230"/>
      <c r="R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  <c r="AC1372" s="230"/>
      <c r="AD1372" s="230"/>
      <c r="AE1372" s="230"/>
    </row>
    <row r="1373">
      <c r="O1373" s="230"/>
      <c r="R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  <c r="AC1373" s="230"/>
      <c r="AD1373" s="230"/>
      <c r="AE1373" s="230"/>
    </row>
    <row r="1374">
      <c r="O1374" s="230"/>
      <c r="R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  <c r="AC1374" s="230"/>
      <c r="AD1374" s="230"/>
      <c r="AE1374" s="230"/>
    </row>
    <row r="1375">
      <c r="O1375" s="230"/>
      <c r="R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  <c r="AC1375" s="230"/>
      <c r="AD1375" s="230"/>
      <c r="AE1375" s="230"/>
    </row>
    <row r="1376">
      <c r="O1376" s="230"/>
      <c r="R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  <c r="AC1376" s="230"/>
      <c r="AD1376" s="230"/>
      <c r="AE1376" s="230"/>
    </row>
    <row r="1377">
      <c r="O1377" s="230"/>
      <c r="R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  <c r="AC1377" s="230"/>
      <c r="AD1377" s="230"/>
      <c r="AE1377" s="230"/>
    </row>
    <row r="1378">
      <c r="O1378" s="230"/>
      <c r="R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  <c r="AC1378" s="230"/>
      <c r="AD1378" s="230"/>
      <c r="AE1378" s="230"/>
    </row>
    <row r="1379">
      <c r="O1379" s="230"/>
      <c r="R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  <c r="AC1379" s="230"/>
      <c r="AD1379" s="230"/>
      <c r="AE1379" s="230"/>
    </row>
    <row r="1380">
      <c r="O1380" s="230"/>
      <c r="R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  <c r="AC1380" s="230"/>
      <c r="AD1380" s="230"/>
      <c r="AE1380" s="230"/>
    </row>
    <row r="1381">
      <c r="O1381" s="230"/>
      <c r="R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  <c r="AC1381" s="230"/>
      <c r="AD1381" s="230"/>
      <c r="AE1381" s="230"/>
    </row>
    <row r="1382">
      <c r="O1382" s="230"/>
      <c r="R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  <c r="AC1382" s="230"/>
      <c r="AD1382" s="230"/>
      <c r="AE1382" s="230"/>
    </row>
    <row r="1383">
      <c r="O1383" s="230"/>
      <c r="R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  <c r="AC1383" s="230"/>
      <c r="AD1383" s="230"/>
      <c r="AE1383" s="230"/>
    </row>
    <row r="1384">
      <c r="O1384" s="230"/>
      <c r="R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  <c r="AC1384" s="230"/>
      <c r="AD1384" s="230"/>
      <c r="AE1384" s="230"/>
    </row>
    <row r="1385">
      <c r="O1385" s="230"/>
      <c r="R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  <c r="AC1385" s="230"/>
      <c r="AD1385" s="230"/>
      <c r="AE1385" s="230"/>
    </row>
    <row r="1386">
      <c r="O1386" s="230"/>
      <c r="R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  <c r="AC1386" s="230"/>
      <c r="AD1386" s="230"/>
      <c r="AE1386" s="230"/>
    </row>
    <row r="1387">
      <c r="O1387" s="230"/>
      <c r="R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  <c r="AC1387" s="230"/>
      <c r="AD1387" s="230"/>
      <c r="AE1387" s="230"/>
    </row>
    <row r="1388">
      <c r="O1388" s="230"/>
      <c r="R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  <c r="AC1388" s="230"/>
      <c r="AD1388" s="230"/>
      <c r="AE1388" s="230"/>
    </row>
    <row r="1389">
      <c r="O1389" s="230"/>
      <c r="R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  <c r="AC1389" s="230"/>
      <c r="AD1389" s="230"/>
      <c r="AE1389" s="230"/>
    </row>
    <row r="1390">
      <c r="O1390" s="230"/>
      <c r="R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</row>
    <row r="1391">
      <c r="O1391" s="230"/>
      <c r="R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  <c r="AC1391" s="230"/>
      <c r="AD1391" s="230"/>
      <c r="AE1391" s="230"/>
    </row>
    <row r="1392">
      <c r="O1392" s="230"/>
      <c r="R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  <c r="AC1392" s="230"/>
      <c r="AD1392" s="230"/>
      <c r="AE1392" s="230"/>
    </row>
    <row r="1393">
      <c r="O1393" s="230"/>
      <c r="R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  <c r="AC1393" s="230"/>
      <c r="AD1393" s="230"/>
      <c r="AE1393" s="230"/>
    </row>
    <row r="1394">
      <c r="O1394" s="230"/>
      <c r="R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  <c r="AC1394" s="230"/>
      <c r="AD1394" s="230"/>
      <c r="AE1394" s="230"/>
    </row>
    <row r="1395">
      <c r="O1395" s="230"/>
      <c r="R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  <c r="AC1395" s="230"/>
      <c r="AD1395" s="230"/>
      <c r="AE1395" s="230"/>
    </row>
    <row r="1396">
      <c r="O1396" s="230"/>
      <c r="R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  <c r="AC1396" s="230"/>
      <c r="AD1396" s="230"/>
      <c r="AE1396" s="230"/>
    </row>
    <row r="1397">
      <c r="O1397" s="230"/>
      <c r="R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  <c r="AC1397" s="230"/>
      <c r="AD1397" s="230"/>
      <c r="AE1397" s="230"/>
    </row>
    <row r="1398">
      <c r="O1398" s="230"/>
      <c r="R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  <c r="AC1398" s="230"/>
      <c r="AD1398" s="230"/>
      <c r="AE1398" s="230"/>
    </row>
    <row r="1399">
      <c r="O1399" s="230"/>
      <c r="R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  <c r="AC1399" s="230"/>
      <c r="AD1399" s="230"/>
      <c r="AE1399" s="230"/>
    </row>
    <row r="1400">
      <c r="O1400" s="230"/>
      <c r="R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  <c r="AC1400" s="230"/>
      <c r="AD1400" s="230"/>
      <c r="AE1400" s="230"/>
    </row>
    <row r="1401">
      <c r="O1401" s="230"/>
      <c r="R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  <c r="AC1401" s="230"/>
      <c r="AD1401" s="230"/>
      <c r="AE1401" s="230"/>
    </row>
    <row r="1402">
      <c r="O1402" s="230"/>
      <c r="R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  <c r="AC1402" s="230"/>
      <c r="AD1402" s="230"/>
      <c r="AE1402" s="230"/>
    </row>
    <row r="1403">
      <c r="O1403" s="230"/>
      <c r="R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  <c r="AC1403" s="230"/>
      <c r="AD1403" s="230"/>
      <c r="AE1403" s="230"/>
    </row>
    <row r="1404">
      <c r="O1404" s="230"/>
      <c r="R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  <c r="AC1404" s="230"/>
      <c r="AD1404" s="230"/>
      <c r="AE1404" s="230"/>
    </row>
    <row r="1405">
      <c r="O1405" s="230"/>
      <c r="R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  <c r="AC1405" s="230"/>
      <c r="AD1405" s="230"/>
      <c r="AE1405" s="230"/>
    </row>
    <row r="1406">
      <c r="O1406" s="230"/>
      <c r="R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  <c r="AC1406" s="230"/>
      <c r="AD1406" s="230"/>
      <c r="AE1406" s="230"/>
    </row>
    <row r="1407">
      <c r="O1407" s="230"/>
      <c r="R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  <c r="AC1407" s="230"/>
      <c r="AD1407" s="230"/>
      <c r="AE1407" s="230"/>
    </row>
    <row r="1408">
      <c r="O1408" s="230"/>
      <c r="R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  <c r="AC1408" s="230"/>
      <c r="AD1408" s="230"/>
      <c r="AE1408" s="230"/>
    </row>
    <row r="1409">
      <c r="O1409" s="230"/>
      <c r="R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  <c r="AC1409" s="230"/>
      <c r="AD1409" s="230"/>
      <c r="AE1409" s="230"/>
    </row>
    <row r="1410">
      <c r="O1410" s="230"/>
      <c r="R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  <c r="AC1410" s="230"/>
      <c r="AD1410" s="230"/>
      <c r="AE1410" s="230"/>
    </row>
    <row r="1411">
      <c r="O1411" s="230"/>
      <c r="R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  <c r="AC1411" s="230"/>
      <c r="AD1411" s="230"/>
      <c r="AE1411" s="230"/>
    </row>
    <row r="1412">
      <c r="O1412" s="230"/>
      <c r="R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  <c r="AC1412" s="230"/>
      <c r="AD1412" s="230"/>
      <c r="AE1412" s="230"/>
    </row>
    <row r="1413">
      <c r="O1413" s="230"/>
      <c r="R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  <c r="AC1413" s="230"/>
      <c r="AD1413" s="230"/>
      <c r="AE1413" s="230"/>
    </row>
    <row r="1414">
      <c r="O1414" s="230"/>
      <c r="R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  <c r="AC1414" s="230"/>
      <c r="AD1414" s="230"/>
      <c r="AE1414" s="230"/>
    </row>
    <row r="1415">
      <c r="O1415" s="230"/>
      <c r="R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  <c r="AC1415" s="230"/>
      <c r="AD1415" s="230"/>
      <c r="AE1415" s="230"/>
    </row>
    <row r="1416">
      <c r="O1416" s="230"/>
      <c r="R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  <c r="AC1416" s="230"/>
      <c r="AD1416" s="230"/>
      <c r="AE1416" s="230"/>
    </row>
    <row r="1417">
      <c r="O1417" s="230"/>
      <c r="R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  <c r="AC1417" s="230"/>
      <c r="AD1417" s="230"/>
      <c r="AE1417" s="230"/>
    </row>
    <row r="1418">
      <c r="O1418" s="230"/>
      <c r="R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  <c r="AC1418" s="230"/>
      <c r="AD1418" s="230"/>
      <c r="AE1418" s="230"/>
    </row>
    <row r="1419">
      <c r="O1419" s="230"/>
      <c r="R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  <c r="AC1419" s="230"/>
      <c r="AD1419" s="230"/>
      <c r="AE1419" s="230"/>
    </row>
    <row r="1420">
      <c r="O1420" s="230"/>
      <c r="R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  <c r="AC1420" s="230"/>
      <c r="AD1420" s="230"/>
      <c r="AE1420" s="230"/>
    </row>
    <row r="1421">
      <c r="O1421" s="230"/>
      <c r="R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  <c r="AC1421" s="230"/>
      <c r="AD1421" s="230"/>
      <c r="AE1421" s="230"/>
    </row>
    <row r="1422">
      <c r="O1422" s="230"/>
      <c r="R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  <c r="AC1422" s="230"/>
      <c r="AD1422" s="230"/>
      <c r="AE1422" s="230"/>
    </row>
    <row r="1423">
      <c r="O1423" s="230"/>
      <c r="R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  <c r="AC1423" s="230"/>
      <c r="AD1423" s="230"/>
      <c r="AE1423" s="230"/>
    </row>
    <row r="1424">
      <c r="O1424" s="230"/>
      <c r="R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  <c r="AC1424" s="230"/>
      <c r="AD1424" s="230"/>
      <c r="AE1424" s="230"/>
    </row>
    <row r="1425">
      <c r="O1425" s="230"/>
      <c r="R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  <c r="AC1425" s="230"/>
      <c r="AD1425" s="230"/>
      <c r="AE1425" s="230"/>
    </row>
    <row r="1426">
      <c r="O1426" s="230"/>
      <c r="R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  <c r="AC1426" s="230"/>
      <c r="AD1426" s="230"/>
      <c r="AE1426" s="230"/>
    </row>
    <row r="1427">
      <c r="O1427" s="230"/>
      <c r="R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  <c r="AC1427" s="230"/>
      <c r="AD1427" s="230"/>
      <c r="AE1427" s="230"/>
    </row>
    <row r="1428">
      <c r="O1428" s="230"/>
      <c r="R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  <c r="AC1428" s="230"/>
      <c r="AD1428" s="230"/>
      <c r="AE1428" s="230"/>
    </row>
    <row r="1429">
      <c r="O1429" s="230"/>
      <c r="R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  <c r="AC1429" s="230"/>
      <c r="AD1429" s="230"/>
      <c r="AE1429" s="230"/>
    </row>
    <row r="1430">
      <c r="O1430" s="230"/>
      <c r="R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  <c r="AC1430" s="230"/>
      <c r="AD1430" s="230"/>
      <c r="AE1430" s="230"/>
    </row>
    <row r="1431">
      <c r="O1431" s="230"/>
      <c r="R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  <c r="AC1431" s="230"/>
      <c r="AD1431" s="230"/>
      <c r="AE1431" s="230"/>
    </row>
    <row r="1432">
      <c r="O1432" s="230"/>
      <c r="R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  <c r="AC1432" s="230"/>
      <c r="AD1432" s="230"/>
      <c r="AE1432" s="230"/>
    </row>
    <row r="1433">
      <c r="O1433" s="230"/>
      <c r="R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  <c r="AC1433" s="230"/>
      <c r="AD1433" s="230"/>
      <c r="AE1433" s="230"/>
    </row>
    <row r="1434">
      <c r="O1434" s="230"/>
      <c r="R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  <c r="AC1434" s="230"/>
      <c r="AD1434" s="230"/>
      <c r="AE1434" s="230"/>
    </row>
    <row r="1435">
      <c r="O1435" s="230"/>
      <c r="R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  <c r="AC1435" s="230"/>
      <c r="AD1435" s="230"/>
      <c r="AE1435" s="230"/>
    </row>
    <row r="1436">
      <c r="O1436" s="230"/>
      <c r="R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  <c r="AC1436" s="230"/>
      <c r="AD1436" s="230"/>
      <c r="AE1436" s="230"/>
    </row>
    <row r="1437">
      <c r="O1437" s="230"/>
      <c r="R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  <c r="AC1437" s="230"/>
      <c r="AD1437" s="230"/>
      <c r="AE1437" s="230"/>
    </row>
    <row r="1438">
      <c r="O1438" s="230"/>
      <c r="R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  <c r="AC1438" s="230"/>
      <c r="AD1438" s="230"/>
      <c r="AE1438" s="230"/>
    </row>
    <row r="1439">
      <c r="O1439" s="230"/>
      <c r="R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  <c r="AC1439" s="230"/>
      <c r="AD1439" s="230"/>
      <c r="AE1439" s="230"/>
    </row>
    <row r="1440">
      <c r="O1440" s="230"/>
      <c r="R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  <c r="AC1440" s="230"/>
      <c r="AD1440" s="230"/>
      <c r="AE1440" s="230"/>
    </row>
    <row r="1441">
      <c r="O1441" s="230"/>
      <c r="R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  <c r="AC1441" s="230"/>
      <c r="AD1441" s="230"/>
      <c r="AE1441" s="230"/>
    </row>
    <row r="1442">
      <c r="O1442" s="230"/>
      <c r="R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  <c r="AC1442" s="230"/>
      <c r="AD1442" s="230"/>
      <c r="AE1442" s="230"/>
    </row>
    <row r="1443">
      <c r="O1443" s="230"/>
      <c r="R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  <c r="AC1443" s="230"/>
      <c r="AD1443" s="230"/>
      <c r="AE1443" s="230"/>
    </row>
    <row r="1444">
      <c r="O1444" s="230"/>
      <c r="R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  <c r="AC1444" s="230"/>
      <c r="AD1444" s="230"/>
      <c r="AE1444" s="230"/>
    </row>
    <row r="1445">
      <c r="O1445" s="230"/>
      <c r="R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  <c r="AC1445" s="230"/>
      <c r="AD1445" s="230"/>
      <c r="AE1445" s="230"/>
    </row>
    <row r="1446">
      <c r="O1446" s="230"/>
      <c r="R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  <c r="AC1446" s="230"/>
      <c r="AD1446" s="230"/>
      <c r="AE1446" s="230"/>
    </row>
    <row r="1447">
      <c r="O1447" s="230"/>
      <c r="R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  <c r="AC1447" s="230"/>
      <c r="AD1447" s="230"/>
      <c r="AE1447" s="230"/>
    </row>
    <row r="1448">
      <c r="O1448" s="230"/>
      <c r="R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  <c r="AC1448" s="230"/>
      <c r="AD1448" s="230"/>
      <c r="AE1448" s="230"/>
    </row>
    <row r="1449">
      <c r="O1449" s="230"/>
      <c r="R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  <c r="AC1449" s="230"/>
      <c r="AD1449" s="230"/>
      <c r="AE1449" s="230"/>
    </row>
    <row r="1450">
      <c r="O1450" s="230"/>
      <c r="R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  <c r="AC1450" s="230"/>
      <c r="AD1450" s="230"/>
      <c r="AE1450" s="230"/>
    </row>
    <row r="1451">
      <c r="O1451" s="230"/>
      <c r="R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  <c r="AC1451" s="230"/>
      <c r="AD1451" s="230"/>
      <c r="AE1451" s="230"/>
    </row>
    <row r="1452">
      <c r="O1452" s="230"/>
      <c r="R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  <c r="AC1452" s="230"/>
      <c r="AD1452" s="230"/>
      <c r="AE1452" s="230"/>
    </row>
    <row r="1453">
      <c r="O1453" s="230"/>
      <c r="R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  <c r="AC1453" s="230"/>
      <c r="AD1453" s="230"/>
      <c r="AE1453" s="230"/>
    </row>
    <row r="1454">
      <c r="O1454" s="230"/>
      <c r="R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  <c r="AC1454" s="230"/>
      <c r="AD1454" s="230"/>
      <c r="AE1454" s="230"/>
    </row>
    <row r="1455">
      <c r="O1455" s="230"/>
      <c r="R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  <c r="AC1455" s="230"/>
      <c r="AD1455" s="230"/>
      <c r="AE1455" s="230"/>
    </row>
    <row r="1456">
      <c r="O1456" s="230"/>
      <c r="R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  <c r="AC1456" s="230"/>
      <c r="AD1456" s="230"/>
      <c r="AE1456" s="230"/>
    </row>
    <row r="1457">
      <c r="O1457" s="230"/>
      <c r="R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  <c r="AC1457" s="230"/>
      <c r="AD1457" s="230"/>
      <c r="AE1457" s="230"/>
    </row>
    <row r="1458">
      <c r="O1458" s="230"/>
      <c r="R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  <c r="AC1458" s="230"/>
      <c r="AD1458" s="230"/>
      <c r="AE1458" s="230"/>
    </row>
    <row r="1459">
      <c r="O1459" s="230"/>
      <c r="R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  <c r="AC1459" s="230"/>
      <c r="AD1459" s="230"/>
      <c r="AE1459" s="230"/>
    </row>
    <row r="1460">
      <c r="O1460" s="230"/>
      <c r="R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  <c r="AC1460" s="230"/>
      <c r="AD1460" s="230"/>
      <c r="AE1460" s="230"/>
    </row>
    <row r="1461">
      <c r="O1461" s="230"/>
      <c r="R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  <c r="AC1461" s="230"/>
      <c r="AD1461" s="230"/>
      <c r="AE1461" s="230"/>
    </row>
    <row r="1462">
      <c r="O1462" s="230"/>
      <c r="R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  <c r="AC1462" s="230"/>
      <c r="AD1462" s="230"/>
      <c r="AE1462" s="230"/>
    </row>
    <row r="1463">
      <c r="O1463" s="230"/>
      <c r="R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  <c r="AC1463" s="230"/>
      <c r="AD1463" s="230"/>
      <c r="AE1463" s="230"/>
    </row>
    <row r="1464">
      <c r="O1464" s="230"/>
      <c r="R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  <c r="AC1464" s="230"/>
      <c r="AD1464" s="230"/>
      <c r="AE1464" s="230"/>
    </row>
    <row r="1465">
      <c r="O1465" s="230"/>
      <c r="R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  <c r="AC1465" s="230"/>
      <c r="AD1465" s="230"/>
      <c r="AE1465" s="230"/>
    </row>
    <row r="1466">
      <c r="O1466" s="230"/>
      <c r="R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  <c r="AC1466" s="230"/>
      <c r="AD1466" s="230"/>
      <c r="AE1466" s="230"/>
    </row>
    <row r="1467">
      <c r="O1467" s="230"/>
      <c r="R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  <c r="AC1467" s="230"/>
      <c r="AD1467" s="230"/>
      <c r="AE1467" s="230"/>
    </row>
    <row r="1468">
      <c r="O1468" s="230"/>
      <c r="R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  <c r="AC1468" s="230"/>
      <c r="AD1468" s="230"/>
      <c r="AE1468" s="230"/>
    </row>
    <row r="1469">
      <c r="O1469" s="230"/>
      <c r="R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  <c r="AC1469" s="230"/>
      <c r="AD1469" s="230"/>
      <c r="AE1469" s="230"/>
    </row>
    <row r="1470">
      <c r="O1470" s="230"/>
      <c r="R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  <c r="AC1470" s="230"/>
      <c r="AD1470" s="230"/>
      <c r="AE1470" s="230"/>
    </row>
    <row r="1471">
      <c r="O1471" s="230"/>
      <c r="R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  <c r="AC1471" s="230"/>
      <c r="AD1471" s="230"/>
      <c r="AE1471" s="230"/>
    </row>
    <row r="1472">
      <c r="O1472" s="230"/>
      <c r="R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  <c r="AC1472" s="230"/>
      <c r="AD1472" s="230"/>
      <c r="AE1472" s="230"/>
    </row>
    <row r="1473">
      <c r="O1473" s="230"/>
      <c r="R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  <c r="AC1473" s="230"/>
      <c r="AD1473" s="230"/>
      <c r="AE1473" s="230"/>
    </row>
    <row r="1474">
      <c r="O1474" s="230"/>
      <c r="R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  <c r="AC1474" s="230"/>
      <c r="AD1474" s="230"/>
      <c r="AE1474" s="230"/>
    </row>
    <row r="1475">
      <c r="O1475" s="230"/>
      <c r="R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  <c r="AC1475" s="230"/>
      <c r="AD1475" s="230"/>
      <c r="AE1475" s="230"/>
    </row>
    <row r="1476">
      <c r="O1476" s="230"/>
      <c r="R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  <c r="AC1476" s="230"/>
      <c r="AD1476" s="230"/>
      <c r="AE1476" s="230"/>
    </row>
    <row r="1477">
      <c r="O1477" s="230"/>
      <c r="R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  <c r="AC1477" s="230"/>
      <c r="AD1477" s="230"/>
      <c r="AE1477" s="230"/>
    </row>
    <row r="1478">
      <c r="O1478" s="230"/>
      <c r="R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  <c r="AC1478" s="230"/>
      <c r="AD1478" s="230"/>
      <c r="AE1478" s="230"/>
    </row>
    <row r="1479">
      <c r="O1479" s="230"/>
      <c r="R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  <c r="AC1479" s="230"/>
      <c r="AD1479" s="230"/>
      <c r="AE1479" s="230"/>
    </row>
    <row r="1480">
      <c r="O1480" s="230"/>
      <c r="R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  <c r="AC1480" s="230"/>
      <c r="AD1480" s="230"/>
      <c r="AE1480" s="230"/>
    </row>
    <row r="1481">
      <c r="O1481" s="230"/>
      <c r="R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  <c r="AC1481" s="230"/>
      <c r="AD1481" s="230"/>
      <c r="AE1481" s="230"/>
    </row>
    <row r="1482">
      <c r="O1482" s="230"/>
      <c r="R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  <c r="AC1482" s="230"/>
      <c r="AD1482" s="230"/>
      <c r="AE1482" s="230"/>
    </row>
    <row r="1483">
      <c r="O1483" s="230"/>
      <c r="R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  <c r="AC1483" s="230"/>
      <c r="AD1483" s="230"/>
      <c r="AE1483" s="230"/>
    </row>
    <row r="1484">
      <c r="O1484" s="230"/>
      <c r="R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  <c r="AC1484" s="230"/>
      <c r="AD1484" s="230"/>
      <c r="AE1484" s="230"/>
    </row>
    <row r="1485">
      <c r="O1485" s="230"/>
      <c r="R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  <c r="AC1485" s="230"/>
      <c r="AD1485" s="230"/>
      <c r="AE1485" s="230"/>
    </row>
    <row r="1486">
      <c r="O1486" s="230"/>
      <c r="R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  <c r="AC1486" s="230"/>
      <c r="AD1486" s="230"/>
      <c r="AE1486" s="230"/>
    </row>
    <row r="1487">
      <c r="O1487" s="230"/>
      <c r="R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  <c r="AC1487" s="230"/>
      <c r="AD1487" s="230"/>
      <c r="AE1487" s="230"/>
    </row>
    <row r="1488">
      <c r="O1488" s="230"/>
      <c r="R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  <c r="AC1488" s="230"/>
      <c r="AD1488" s="230"/>
      <c r="AE1488" s="230"/>
    </row>
    <row r="1489">
      <c r="O1489" s="230"/>
      <c r="R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  <c r="AC1489" s="230"/>
      <c r="AD1489" s="230"/>
      <c r="AE1489" s="230"/>
    </row>
    <row r="1490">
      <c r="O1490" s="230"/>
      <c r="R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  <c r="AC1490" s="230"/>
      <c r="AD1490" s="230"/>
      <c r="AE1490" s="230"/>
    </row>
    <row r="1491">
      <c r="O1491" s="230"/>
      <c r="R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  <c r="AC1491" s="230"/>
      <c r="AD1491" s="230"/>
      <c r="AE1491" s="230"/>
    </row>
    <row r="1492">
      <c r="O1492" s="230"/>
      <c r="R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  <c r="AC1492" s="230"/>
      <c r="AD1492" s="230"/>
      <c r="AE1492" s="230"/>
    </row>
    <row r="1493">
      <c r="O1493" s="230"/>
      <c r="R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  <c r="AC1493" s="230"/>
      <c r="AD1493" s="230"/>
      <c r="AE1493" s="230"/>
    </row>
    <row r="1494">
      <c r="O1494" s="230"/>
      <c r="R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  <c r="AC1494" s="230"/>
      <c r="AD1494" s="230"/>
      <c r="AE1494" s="230"/>
    </row>
    <row r="1495">
      <c r="O1495" s="230"/>
      <c r="R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  <c r="AC1495" s="230"/>
      <c r="AD1495" s="230"/>
      <c r="AE1495" s="230"/>
    </row>
    <row r="1496">
      <c r="O1496" s="230"/>
      <c r="R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  <c r="AC1496" s="230"/>
      <c r="AD1496" s="230"/>
      <c r="AE1496" s="230"/>
    </row>
    <row r="1497">
      <c r="O1497" s="230"/>
      <c r="R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  <c r="AC1497" s="230"/>
      <c r="AD1497" s="230"/>
      <c r="AE1497" s="230"/>
    </row>
    <row r="1498">
      <c r="O1498" s="230"/>
      <c r="R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  <c r="AC1498" s="230"/>
      <c r="AD1498" s="230"/>
      <c r="AE1498" s="230"/>
    </row>
    <row r="1499">
      <c r="O1499" s="230"/>
      <c r="R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  <c r="AC1499" s="230"/>
      <c r="AD1499" s="230"/>
      <c r="AE1499" s="230"/>
    </row>
    <row r="1500">
      <c r="O1500" s="230"/>
      <c r="R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0"/>
    </row>
    <row r="1501">
      <c r="O1501" s="230"/>
      <c r="R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  <c r="AC1501" s="230"/>
      <c r="AD1501" s="230"/>
      <c r="AE1501" s="230"/>
    </row>
    <row r="1502">
      <c r="O1502" s="230"/>
      <c r="R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</row>
    <row r="1503">
      <c r="O1503" s="230"/>
      <c r="R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  <c r="AC1503" s="230"/>
      <c r="AD1503" s="230"/>
      <c r="AE1503" s="230"/>
    </row>
    <row r="1504">
      <c r="O1504" s="230"/>
      <c r="R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  <c r="AC1504" s="230"/>
      <c r="AD1504" s="230"/>
      <c r="AE1504" s="230"/>
    </row>
    <row r="1505">
      <c r="O1505" s="230"/>
      <c r="R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  <c r="AC1505" s="230"/>
      <c r="AD1505" s="230"/>
      <c r="AE1505" s="230"/>
    </row>
    <row r="1506">
      <c r="O1506" s="230"/>
      <c r="R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  <c r="AC1506" s="230"/>
      <c r="AD1506" s="230"/>
      <c r="AE1506" s="230"/>
    </row>
    <row r="1507">
      <c r="O1507" s="230"/>
      <c r="R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  <c r="AC1507" s="230"/>
      <c r="AD1507" s="230"/>
      <c r="AE1507" s="230"/>
    </row>
    <row r="1508">
      <c r="O1508" s="230"/>
      <c r="R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  <c r="AC1508" s="230"/>
      <c r="AD1508" s="230"/>
      <c r="AE1508" s="230"/>
    </row>
    <row r="1509">
      <c r="O1509" s="230"/>
      <c r="R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  <c r="AC1509" s="230"/>
      <c r="AD1509" s="230"/>
      <c r="AE1509" s="230"/>
    </row>
    <row r="1510">
      <c r="O1510" s="230"/>
      <c r="R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30"/>
    </row>
    <row r="1511">
      <c r="O1511" s="230"/>
      <c r="R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  <c r="AC1511" s="230"/>
      <c r="AD1511" s="230"/>
      <c r="AE1511" s="230"/>
    </row>
    <row r="1512">
      <c r="O1512" s="230"/>
      <c r="R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  <c r="AC1512" s="230"/>
      <c r="AD1512" s="230"/>
      <c r="AE1512" s="230"/>
    </row>
    <row r="1513">
      <c r="O1513" s="230"/>
      <c r="R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  <c r="AC1513" s="230"/>
      <c r="AD1513" s="230"/>
      <c r="AE1513" s="230"/>
    </row>
    <row r="1514">
      <c r="O1514" s="230"/>
      <c r="R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  <c r="AC1514" s="230"/>
      <c r="AD1514" s="230"/>
      <c r="AE1514" s="230"/>
    </row>
    <row r="1515">
      <c r="O1515" s="230"/>
      <c r="R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  <c r="AC1515" s="230"/>
      <c r="AD1515" s="230"/>
      <c r="AE1515" s="230"/>
    </row>
    <row r="1516">
      <c r="O1516" s="230"/>
      <c r="R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  <c r="AC1516" s="230"/>
      <c r="AD1516" s="230"/>
      <c r="AE1516" s="230"/>
    </row>
    <row r="1517">
      <c r="O1517" s="230"/>
      <c r="R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  <c r="AC1517" s="230"/>
      <c r="AD1517" s="230"/>
      <c r="AE1517" s="230"/>
    </row>
    <row r="1518">
      <c r="O1518" s="230"/>
      <c r="R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  <c r="AC1518" s="230"/>
      <c r="AD1518" s="230"/>
      <c r="AE1518" s="230"/>
    </row>
    <row r="1519">
      <c r="O1519" s="230"/>
      <c r="R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  <c r="AC1519" s="230"/>
      <c r="AD1519" s="230"/>
      <c r="AE1519" s="230"/>
    </row>
    <row r="1520">
      <c r="O1520" s="230"/>
      <c r="R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</row>
    <row r="1521">
      <c r="O1521" s="230"/>
      <c r="R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  <c r="AC1521" s="230"/>
      <c r="AD1521" s="230"/>
      <c r="AE1521" s="230"/>
    </row>
    <row r="1522">
      <c r="O1522" s="230"/>
      <c r="R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  <c r="AC1522" s="230"/>
      <c r="AD1522" s="230"/>
      <c r="AE1522" s="230"/>
    </row>
    <row r="1523">
      <c r="O1523" s="230"/>
      <c r="R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  <c r="AC1523" s="230"/>
      <c r="AD1523" s="230"/>
      <c r="AE1523" s="230"/>
    </row>
    <row r="1524">
      <c r="O1524" s="230"/>
      <c r="R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  <c r="AC1524" s="230"/>
      <c r="AD1524" s="230"/>
      <c r="AE1524" s="230"/>
    </row>
    <row r="1525">
      <c r="O1525" s="230"/>
      <c r="R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  <c r="AC1525" s="230"/>
      <c r="AD1525" s="230"/>
      <c r="AE1525" s="230"/>
    </row>
    <row r="1526">
      <c r="O1526" s="230"/>
      <c r="R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  <c r="AC1526" s="230"/>
      <c r="AD1526" s="230"/>
      <c r="AE1526" s="230"/>
    </row>
    <row r="1527">
      <c r="O1527" s="230"/>
      <c r="R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  <c r="AC1527" s="230"/>
      <c r="AD1527" s="230"/>
      <c r="AE1527" s="230"/>
    </row>
    <row r="1528">
      <c r="O1528" s="230"/>
      <c r="R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  <c r="AC1528" s="230"/>
      <c r="AD1528" s="230"/>
      <c r="AE1528" s="230"/>
    </row>
    <row r="1529">
      <c r="O1529" s="230"/>
      <c r="R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  <c r="AC1529" s="230"/>
      <c r="AD1529" s="230"/>
      <c r="AE1529" s="230"/>
    </row>
    <row r="1530">
      <c r="O1530" s="230"/>
      <c r="R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  <c r="AC1530" s="230"/>
      <c r="AD1530" s="230"/>
      <c r="AE1530" s="230"/>
    </row>
    <row r="1531">
      <c r="O1531" s="230"/>
      <c r="R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  <c r="AC1531" s="230"/>
      <c r="AD1531" s="230"/>
      <c r="AE1531" s="230"/>
    </row>
    <row r="1532">
      <c r="O1532" s="230"/>
      <c r="R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  <c r="AC1532" s="230"/>
      <c r="AD1532" s="230"/>
      <c r="AE1532" s="230"/>
    </row>
    <row r="1533">
      <c r="O1533" s="230"/>
      <c r="R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  <c r="AC1533" s="230"/>
      <c r="AD1533" s="230"/>
      <c r="AE1533" s="230"/>
    </row>
    <row r="1534">
      <c r="O1534" s="230"/>
      <c r="R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  <c r="AC1534" s="230"/>
      <c r="AD1534" s="230"/>
      <c r="AE1534" s="230"/>
    </row>
    <row r="1535">
      <c r="O1535" s="230"/>
      <c r="R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  <c r="AC1535" s="230"/>
      <c r="AD1535" s="230"/>
      <c r="AE1535" s="230"/>
    </row>
    <row r="1536">
      <c r="O1536" s="230"/>
      <c r="R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  <c r="AC1536" s="230"/>
      <c r="AD1536" s="230"/>
      <c r="AE1536" s="230"/>
    </row>
    <row r="1537">
      <c r="O1537" s="230"/>
      <c r="R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  <c r="AC1537" s="230"/>
      <c r="AD1537" s="230"/>
      <c r="AE1537" s="230"/>
    </row>
    <row r="1538">
      <c r="O1538" s="230"/>
      <c r="R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  <c r="AC1538" s="230"/>
      <c r="AD1538" s="230"/>
      <c r="AE1538" s="230"/>
    </row>
    <row r="1539">
      <c r="O1539" s="230"/>
      <c r="R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  <c r="AC1539" s="230"/>
      <c r="AD1539" s="230"/>
      <c r="AE1539" s="230"/>
    </row>
    <row r="1540">
      <c r="O1540" s="230"/>
      <c r="R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  <c r="AC1540" s="230"/>
      <c r="AD1540" s="230"/>
      <c r="AE1540" s="230"/>
    </row>
    <row r="1541">
      <c r="O1541" s="230"/>
      <c r="R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  <c r="AC1541" s="230"/>
      <c r="AD1541" s="230"/>
      <c r="AE1541" s="230"/>
    </row>
    <row r="1542">
      <c r="O1542" s="230"/>
      <c r="R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  <c r="AC1542" s="230"/>
      <c r="AD1542" s="230"/>
      <c r="AE1542" s="230"/>
    </row>
    <row r="1543">
      <c r="O1543" s="230"/>
      <c r="R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  <c r="AC1543" s="230"/>
      <c r="AD1543" s="230"/>
      <c r="AE1543" s="230"/>
    </row>
    <row r="1544">
      <c r="O1544" s="230"/>
      <c r="R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  <c r="AC1544" s="230"/>
      <c r="AD1544" s="230"/>
      <c r="AE1544" s="230"/>
    </row>
    <row r="1545">
      <c r="O1545" s="230"/>
      <c r="R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  <c r="AC1545" s="230"/>
      <c r="AD1545" s="230"/>
      <c r="AE1545" s="230"/>
    </row>
    <row r="1546">
      <c r="O1546" s="230"/>
      <c r="R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  <c r="AC1546" s="230"/>
      <c r="AD1546" s="230"/>
      <c r="AE1546" s="230"/>
    </row>
    <row r="1547">
      <c r="O1547" s="230"/>
      <c r="R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  <c r="AC1547" s="230"/>
      <c r="AD1547" s="230"/>
      <c r="AE1547" s="230"/>
    </row>
    <row r="1548">
      <c r="O1548" s="230"/>
      <c r="R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  <c r="AC1548" s="230"/>
      <c r="AD1548" s="230"/>
      <c r="AE1548" s="230"/>
    </row>
    <row r="1549">
      <c r="O1549" s="230"/>
      <c r="R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  <c r="AC1549" s="230"/>
      <c r="AD1549" s="230"/>
      <c r="AE1549" s="230"/>
    </row>
    <row r="1550">
      <c r="O1550" s="230"/>
      <c r="R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  <c r="AC1550" s="230"/>
      <c r="AD1550" s="230"/>
      <c r="AE1550" s="230"/>
    </row>
    <row r="1551">
      <c r="O1551" s="230"/>
      <c r="R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  <c r="AC1551" s="230"/>
      <c r="AD1551" s="230"/>
      <c r="AE1551" s="230"/>
    </row>
    <row r="1552">
      <c r="O1552" s="230"/>
      <c r="R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  <c r="AC1552" s="230"/>
      <c r="AD1552" s="230"/>
      <c r="AE1552" s="230"/>
    </row>
    <row r="1553">
      <c r="O1553" s="230"/>
      <c r="R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  <c r="AC1553" s="230"/>
      <c r="AD1553" s="230"/>
      <c r="AE1553" s="230"/>
    </row>
    <row r="1554">
      <c r="O1554" s="230"/>
      <c r="R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  <c r="AC1554" s="230"/>
      <c r="AD1554" s="230"/>
      <c r="AE1554" s="230"/>
    </row>
    <row r="1555">
      <c r="O1555" s="230"/>
      <c r="R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  <c r="AC1555" s="230"/>
      <c r="AD1555" s="230"/>
      <c r="AE1555" s="230"/>
    </row>
    <row r="1556">
      <c r="O1556" s="230"/>
      <c r="R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  <c r="AC1556" s="230"/>
      <c r="AD1556" s="230"/>
      <c r="AE1556" s="230"/>
    </row>
    <row r="1557">
      <c r="O1557" s="230"/>
      <c r="R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  <c r="AC1557" s="230"/>
      <c r="AD1557" s="230"/>
      <c r="AE1557" s="230"/>
    </row>
    <row r="1558">
      <c r="O1558" s="230"/>
      <c r="R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  <c r="AC1558" s="230"/>
      <c r="AD1558" s="230"/>
      <c r="AE1558" s="230"/>
    </row>
    <row r="1559">
      <c r="O1559" s="230"/>
      <c r="R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  <c r="AC1559" s="230"/>
      <c r="AD1559" s="230"/>
      <c r="AE1559" s="230"/>
    </row>
    <row r="1560">
      <c r="O1560" s="230"/>
      <c r="R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  <c r="AC1560" s="230"/>
      <c r="AD1560" s="230"/>
      <c r="AE1560" s="230"/>
    </row>
    <row r="1561">
      <c r="O1561" s="230"/>
      <c r="R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  <c r="AC1561" s="230"/>
      <c r="AD1561" s="230"/>
      <c r="AE1561" s="230"/>
    </row>
    <row r="1562">
      <c r="O1562" s="230"/>
      <c r="R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  <c r="AC1562" s="230"/>
      <c r="AD1562" s="230"/>
      <c r="AE1562" s="230"/>
    </row>
    <row r="1563">
      <c r="O1563" s="230"/>
      <c r="R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  <c r="AC1563" s="230"/>
      <c r="AD1563" s="230"/>
      <c r="AE1563" s="230"/>
    </row>
    <row r="1564">
      <c r="O1564" s="230"/>
      <c r="R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  <c r="AC1564" s="230"/>
      <c r="AD1564" s="230"/>
      <c r="AE1564" s="230"/>
    </row>
    <row r="1565">
      <c r="O1565" s="230"/>
      <c r="R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  <c r="AC1565" s="230"/>
      <c r="AD1565" s="230"/>
      <c r="AE1565" s="230"/>
    </row>
    <row r="1566">
      <c r="O1566" s="230"/>
      <c r="R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  <c r="AC1566" s="230"/>
      <c r="AD1566" s="230"/>
      <c r="AE1566" s="230"/>
    </row>
    <row r="1567">
      <c r="O1567" s="230"/>
      <c r="R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  <c r="AC1567" s="230"/>
      <c r="AD1567" s="230"/>
      <c r="AE1567" s="230"/>
    </row>
    <row r="1568">
      <c r="O1568" s="230"/>
      <c r="R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  <c r="AC1568" s="230"/>
      <c r="AD1568" s="230"/>
      <c r="AE1568" s="230"/>
    </row>
    <row r="1569">
      <c r="O1569" s="230"/>
      <c r="R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  <c r="AC1569" s="230"/>
      <c r="AD1569" s="230"/>
      <c r="AE1569" s="230"/>
    </row>
    <row r="1570">
      <c r="O1570" s="230"/>
      <c r="R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  <c r="AC1570" s="230"/>
      <c r="AD1570" s="230"/>
      <c r="AE1570" s="230"/>
    </row>
    <row r="1571">
      <c r="O1571" s="230"/>
      <c r="R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  <c r="AC1571" s="230"/>
      <c r="AD1571" s="230"/>
      <c r="AE1571" s="230"/>
    </row>
    <row r="1572">
      <c r="O1572" s="230"/>
      <c r="R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  <c r="AC1572" s="230"/>
      <c r="AD1572" s="230"/>
      <c r="AE1572" s="230"/>
    </row>
    <row r="1573">
      <c r="O1573" s="230"/>
      <c r="R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  <c r="AC1573" s="230"/>
      <c r="AD1573" s="230"/>
      <c r="AE1573" s="230"/>
    </row>
    <row r="1574">
      <c r="O1574" s="230"/>
      <c r="R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  <c r="AC1574" s="230"/>
      <c r="AD1574" s="230"/>
      <c r="AE1574" s="230"/>
    </row>
    <row r="1575">
      <c r="O1575" s="230"/>
      <c r="R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  <c r="AC1575" s="230"/>
      <c r="AD1575" s="230"/>
      <c r="AE1575" s="230"/>
    </row>
    <row r="1576">
      <c r="O1576" s="230"/>
      <c r="R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  <c r="AC1576" s="230"/>
      <c r="AD1576" s="230"/>
      <c r="AE1576" s="230"/>
    </row>
    <row r="1577">
      <c r="O1577" s="230"/>
      <c r="R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  <c r="AC1577" s="230"/>
      <c r="AD1577" s="230"/>
      <c r="AE1577" s="230"/>
    </row>
    <row r="1578">
      <c r="O1578" s="230"/>
      <c r="R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  <c r="AC1578" s="230"/>
      <c r="AD1578" s="230"/>
      <c r="AE1578" s="230"/>
    </row>
    <row r="1579">
      <c r="O1579" s="230"/>
      <c r="R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  <c r="AC1579" s="230"/>
      <c r="AD1579" s="230"/>
      <c r="AE1579" s="230"/>
    </row>
    <row r="1580">
      <c r="O1580" s="230"/>
      <c r="R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  <c r="AC1580" s="230"/>
      <c r="AD1580" s="230"/>
      <c r="AE1580" s="230"/>
    </row>
    <row r="1581">
      <c r="O1581" s="230"/>
      <c r="R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  <c r="AC1581" s="230"/>
      <c r="AD1581" s="230"/>
      <c r="AE1581" s="230"/>
    </row>
    <row r="1582">
      <c r="O1582" s="230"/>
      <c r="R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  <c r="AC1582" s="230"/>
      <c r="AD1582" s="230"/>
      <c r="AE1582" s="230"/>
    </row>
    <row r="1583">
      <c r="O1583" s="230"/>
      <c r="R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  <c r="AC1583" s="230"/>
      <c r="AD1583" s="230"/>
      <c r="AE1583" s="230"/>
    </row>
    <row r="1584">
      <c r="O1584" s="230"/>
      <c r="R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  <c r="AC1584" s="230"/>
      <c r="AD1584" s="230"/>
      <c r="AE1584" s="230"/>
    </row>
    <row r="1585">
      <c r="O1585" s="230"/>
      <c r="R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</row>
    <row r="1586">
      <c r="O1586" s="230"/>
      <c r="R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  <c r="AC1586" s="230"/>
      <c r="AD1586" s="230"/>
      <c r="AE1586" s="230"/>
    </row>
    <row r="1587">
      <c r="O1587" s="230"/>
      <c r="R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  <c r="AC1587" s="230"/>
      <c r="AD1587" s="230"/>
      <c r="AE1587" s="230"/>
    </row>
    <row r="1588">
      <c r="O1588" s="230"/>
      <c r="R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  <c r="AC1588" s="230"/>
      <c r="AD1588" s="230"/>
      <c r="AE1588" s="230"/>
    </row>
    <row r="1589">
      <c r="O1589" s="230"/>
      <c r="R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  <c r="AC1589" s="230"/>
      <c r="AD1589" s="230"/>
      <c r="AE1589" s="230"/>
    </row>
    <row r="1590">
      <c r="O1590" s="230"/>
      <c r="R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  <c r="AC1590" s="230"/>
      <c r="AD1590" s="230"/>
      <c r="AE1590" s="230"/>
    </row>
    <row r="1591">
      <c r="O1591" s="230"/>
      <c r="R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  <c r="AC1591" s="230"/>
      <c r="AD1591" s="230"/>
      <c r="AE1591" s="230"/>
    </row>
    <row r="1592">
      <c r="O1592" s="230"/>
      <c r="R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  <c r="AC1592" s="230"/>
      <c r="AD1592" s="230"/>
      <c r="AE1592" s="230"/>
    </row>
    <row r="1593">
      <c r="O1593" s="230"/>
      <c r="R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  <c r="AC1593" s="230"/>
      <c r="AD1593" s="230"/>
      <c r="AE1593" s="230"/>
    </row>
    <row r="1594">
      <c r="O1594" s="230"/>
      <c r="R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  <c r="AC1594" s="230"/>
      <c r="AD1594" s="230"/>
      <c r="AE1594" s="230"/>
    </row>
    <row r="1595">
      <c r="O1595" s="230"/>
      <c r="R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  <c r="AC1595" s="230"/>
      <c r="AD1595" s="230"/>
      <c r="AE1595" s="230"/>
    </row>
    <row r="1596">
      <c r="O1596" s="230"/>
      <c r="R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  <c r="AC1596" s="230"/>
      <c r="AD1596" s="230"/>
      <c r="AE1596" s="230"/>
    </row>
    <row r="1597">
      <c r="O1597" s="230"/>
      <c r="R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  <c r="AC1597" s="230"/>
      <c r="AD1597" s="230"/>
      <c r="AE1597" s="230"/>
    </row>
    <row r="1598">
      <c r="O1598" s="230"/>
      <c r="R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  <c r="AC1598" s="230"/>
      <c r="AD1598" s="230"/>
      <c r="AE1598" s="230"/>
    </row>
    <row r="1599">
      <c r="O1599" s="230"/>
      <c r="R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  <c r="AC1599" s="230"/>
      <c r="AD1599" s="230"/>
      <c r="AE1599" s="230"/>
    </row>
    <row r="1600">
      <c r="O1600" s="230"/>
      <c r="R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  <c r="AC1600" s="230"/>
      <c r="AD1600" s="230"/>
      <c r="AE1600" s="230"/>
    </row>
    <row r="1601">
      <c r="O1601" s="230"/>
      <c r="R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  <c r="AC1601" s="230"/>
      <c r="AD1601" s="230"/>
      <c r="AE1601" s="230"/>
    </row>
    <row r="1602">
      <c r="O1602" s="230"/>
      <c r="R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  <c r="AC1602" s="230"/>
      <c r="AD1602" s="230"/>
      <c r="AE1602" s="230"/>
    </row>
    <row r="1603">
      <c r="O1603" s="230"/>
      <c r="R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  <c r="AC1603" s="230"/>
      <c r="AD1603" s="230"/>
      <c r="AE1603" s="230"/>
    </row>
    <row r="1604">
      <c r="O1604" s="230"/>
      <c r="R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</row>
    <row r="1605">
      <c r="O1605" s="230"/>
      <c r="R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  <c r="AC1605" s="230"/>
      <c r="AD1605" s="230"/>
      <c r="AE1605" s="230"/>
    </row>
    <row r="1606">
      <c r="O1606" s="230"/>
      <c r="R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  <c r="AC1606" s="230"/>
      <c r="AD1606" s="230"/>
      <c r="AE1606" s="230"/>
    </row>
    <row r="1607">
      <c r="O1607" s="230"/>
      <c r="R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  <c r="AC1607" s="230"/>
      <c r="AD1607" s="230"/>
      <c r="AE1607" s="230"/>
    </row>
    <row r="1608">
      <c r="O1608" s="230"/>
      <c r="R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  <c r="AC1608" s="230"/>
      <c r="AD1608" s="230"/>
      <c r="AE1608" s="230"/>
    </row>
    <row r="1609">
      <c r="O1609" s="230"/>
      <c r="R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  <c r="AC1609" s="230"/>
      <c r="AD1609" s="230"/>
      <c r="AE1609" s="230"/>
    </row>
    <row r="1610">
      <c r="O1610" s="230"/>
      <c r="R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  <c r="AC1610" s="230"/>
      <c r="AD1610" s="230"/>
      <c r="AE1610" s="230"/>
    </row>
    <row r="1611">
      <c r="O1611" s="230"/>
      <c r="R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  <c r="AC1611" s="230"/>
      <c r="AD1611" s="230"/>
      <c r="AE1611" s="230"/>
    </row>
    <row r="1612">
      <c r="O1612" s="230"/>
      <c r="R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  <c r="AC1612" s="230"/>
      <c r="AD1612" s="230"/>
      <c r="AE1612" s="230"/>
    </row>
    <row r="1613">
      <c r="O1613" s="230"/>
      <c r="R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  <c r="AC1613" s="230"/>
      <c r="AD1613" s="230"/>
      <c r="AE1613" s="230"/>
    </row>
    <row r="1614">
      <c r="O1614" s="230"/>
      <c r="R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  <c r="AC1614" s="230"/>
      <c r="AD1614" s="230"/>
      <c r="AE1614" s="230"/>
    </row>
    <row r="1615">
      <c r="O1615" s="230"/>
      <c r="R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  <c r="AC1615" s="230"/>
      <c r="AD1615" s="230"/>
      <c r="AE1615" s="230"/>
    </row>
    <row r="1616">
      <c r="O1616" s="230"/>
      <c r="R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  <c r="AC1616" s="230"/>
      <c r="AD1616" s="230"/>
      <c r="AE1616" s="230"/>
    </row>
    <row r="1617">
      <c r="O1617" s="230"/>
      <c r="R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  <c r="AC1617" s="230"/>
      <c r="AD1617" s="230"/>
      <c r="AE1617" s="230"/>
    </row>
    <row r="1618">
      <c r="O1618" s="230"/>
      <c r="R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  <c r="AC1618" s="230"/>
      <c r="AD1618" s="230"/>
      <c r="AE1618" s="230"/>
    </row>
    <row r="1619">
      <c r="O1619" s="230"/>
      <c r="R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  <c r="AC1619" s="230"/>
      <c r="AD1619" s="230"/>
      <c r="AE1619" s="230"/>
    </row>
    <row r="1620">
      <c r="O1620" s="230"/>
      <c r="R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  <c r="AC1620" s="230"/>
      <c r="AD1620" s="230"/>
      <c r="AE1620" s="230"/>
    </row>
    <row r="1621">
      <c r="O1621" s="230"/>
      <c r="R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  <c r="AC1621" s="230"/>
      <c r="AD1621" s="230"/>
      <c r="AE1621" s="230"/>
    </row>
    <row r="1622">
      <c r="O1622" s="230"/>
      <c r="R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  <c r="AC1622" s="230"/>
      <c r="AD1622" s="230"/>
      <c r="AE1622" s="230"/>
    </row>
    <row r="1623">
      <c r="O1623" s="230"/>
      <c r="R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  <c r="AC1623" s="230"/>
      <c r="AD1623" s="230"/>
      <c r="AE1623" s="230"/>
    </row>
    <row r="1624">
      <c r="O1624" s="230"/>
      <c r="R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  <c r="AC1624" s="230"/>
      <c r="AD1624" s="230"/>
      <c r="AE1624" s="230"/>
    </row>
    <row r="1625">
      <c r="O1625" s="230"/>
      <c r="R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  <c r="AC1625" s="230"/>
      <c r="AD1625" s="230"/>
      <c r="AE1625" s="230"/>
    </row>
    <row r="1626">
      <c r="O1626" s="230"/>
      <c r="R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  <c r="AC1626" s="230"/>
      <c r="AD1626" s="230"/>
      <c r="AE1626" s="230"/>
    </row>
    <row r="1627">
      <c r="O1627" s="230"/>
      <c r="R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  <c r="AC1627" s="230"/>
      <c r="AD1627" s="230"/>
      <c r="AE1627" s="230"/>
    </row>
    <row r="1628">
      <c r="O1628" s="230"/>
      <c r="R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  <c r="AC1628" s="230"/>
      <c r="AD1628" s="230"/>
      <c r="AE1628" s="230"/>
    </row>
    <row r="1629">
      <c r="O1629" s="230"/>
      <c r="R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  <c r="AC1629" s="230"/>
      <c r="AD1629" s="230"/>
      <c r="AE1629" s="230"/>
    </row>
    <row r="1630">
      <c r="O1630" s="230"/>
      <c r="R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  <c r="AC1630" s="230"/>
      <c r="AD1630" s="230"/>
      <c r="AE1630" s="230"/>
    </row>
    <row r="1631">
      <c r="O1631" s="230"/>
      <c r="R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  <c r="AC1631" s="230"/>
      <c r="AD1631" s="230"/>
      <c r="AE1631" s="230"/>
    </row>
    <row r="1632">
      <c r="O1632" s="230"/>
      <c r="R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  <c r="AC1632" s="230"/>
      <c r="AD1632" s="230"/>
      <c r="AE1632" s="230"/>
    </row>
    <row r="1633">
      <c r="O1633" s="230"/>
      <c r="R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  <c r="AC1633" s="230"/>
      <c r="AD1633" s="230"/>
      <c r="AE1633" s="230"/>
    </row>
    <row r="1634">
      <c r="O1634" s="230"/>
      <c r="R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  <c r="AC1634" s="230"/>
      <c r="AD1634" s="230"/>
      <c r="AE1634" s="230"/>
    </row>
    <row r="1635">
      <c r="O1635" s="230"/>
      <c r="R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  <c r="AC1635" s="230"/>
      <c r="AD1635" s="230"/>
      <c r="AE1635" s="230"/>
    </row>
    <row r="1636">
      <c r="O1636" s="230"/>
      <c r="R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  <c r="AC1636" s="230"/>
      <c r="AD1636" s="230"/>
      <c r="AE1636" s="230"/>
    </row>
    <row r="1637">
      <c r="O1637" s="230"/>
      <c r="R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  <c r="AC1637" s="230"/>
      <c r="AD1637" s="230"/>
      <c r="AE1637" s="230"/>
    </row>
    <row r="1638">
      <c r="O1638" s="230"/>
      <c r="R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  <c r="AC1638" s="230"/>
      <c r="AD1638" s="230"/>
      <c r="AE1638" s="230"/>
    </row>
    <row r="1639">
      <c r="O1639" s="230"/>
      <c r="R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  <c r="AC1639" s="230"/>
      <c r="AD1639" s="230"/>
      <c r="AE1639" s="230"/>
    </row>
    <row r="1640">
      <c r="O1640" s="230"/>
      <c r="R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  <c r="AC1640" s="230"/>
      <c r="AD1640" s="230"/>
      <c r="AE1640" s="230"/>
    </row>
    <row r="1641">
      <c r="O1641" s="230"/>
      <c r="R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  <c r="AC1641" s="230"/>
      <c r="AD1641" s="230"/>
      <c r="AE1641" s="230"/>
    </row>
    <row r="1642">
      <c r="O1642" s="230"/>
      <c r="R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  <c r="AC1642" s="230"/>
      <c r="AD1642" s="230"/>
      <c r="AE1642" s="230"/>
    </row>
    <row r="1643">
      <c r="O1643" s="230"/>
      <c r="R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  <c r="AC1643" s="230"/>
      <c r="AD1643" s="230"/>
      <c r="AE1643" s="230"/>
    </row>
    <row r="1644">
      <c r="O1644" s="230"/>
      <c r="R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  <c r="AC1644" s="230"/>
      <c r="AD1644" s="230"/>
      <c r="AE1644" s="230"/>
    </row>
    <row r="1645">
      <c r="O1645" s="230"/>
      <c r="R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  <c r="AC1645" s="230"/>
      <c r="AD1645" s="230"/>
      <c r="AE1645" s="230"/>
    </row>
    <row r="1646">
      <c r="O1646" s="230"/>
      <c r="R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  <c r="AC1646" s="230"/>
      <c r="AD1646" s="230"/>
      <c r="AE1646" s="230"/>
    </row>
    <row r="1647">
      <c r="O1647" s="230"/>
      <c r="R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  <c r="AC1647" s="230"/>
      <c r="AD1647" s="230"/>
      <c r="AE1647" s="230"/>
    </row>
    <row r="1648">
      <c r="O1648" s="230"/>
      <c r="R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  <c r="AC1648" s="230"/>
      <c r="AD1648" s="230"/>
      <c r="AE1648" s="230"/>
    </row>
    <row r="1649">
      <c r="O1649" s="230"/>
      <c r="R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  <c r="AC1649" s="230"/>
      <c r="AD1649" s="230"/>
      <c r="AE1649" s="230"/>
    </row>
    <row r="1650">
      <c r="O1650" s="230"/>
      <c r="R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  <c r="AC1650" s="230"/>
      <c r="AD1650" s="230"/>
      <c r="AE1650" s="230"/>
    </row>
    <row r="1651">
      <c r="O1651" s="230"/>
      <c r="R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  <c r="AC1651" s="230"/>
      <c r="AD1651" s="230"/>
      <c r="AE1651" s="230"/>
    </row>
    <row r="1652">
      <c r="O1652" s="230"/>
      <c r="R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  <c r="AC1652" s="230"/>
      <c r="AD1652" s="230"/>
      <c r="AE1652" s="230"/>
    </row>
    <row r="1653">
      <c r="O1653" s="230"/>
      <c r="R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  <c r="AC1653" s="230"/>
      <c r="AD1653" s="230"/>
      <c r="AE1653" s="230"/>
    </row>
    <row r="1654">
      <c r="O1654" s="230"/>
      <c r="R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  <c r="AC1654" s="230"/>
      <c r="AD1654" s="230"/>
      <c r="AE1654" s="230"/>
    </row>
    <row r="1655">
      <c r="O1655" s="230"/>
      <c r="R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  <c r="AC1655" s="230"/>
      <c r="AD1655" s="230"/>
      <c r="AE1655" s="230"/>
    </row>
    <row r="1656">
      <c r="O1656" s="230"/>
      <c r="R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  <c r="AC1656" s="230"/>
      <c r="AD1656" s="230"/>
      <c r="AE1656" s="230"/>
    </row>
    <row r="1657">
      <c r="O1657" s="230"/>
      <c r="R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  <c r="AC1657" s="230"/>
      <c r="AD1657" s="230"/>
      <c r="AE1657" s="230"/>
    </row>
    <row r="1658">
      <c r="O1658" s="230"/>
      <c r="R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  <c r="AC1658" s="230"/>
      <c r="AD1658" s="230"/>
      <c r="AE1658" s="230"/>
    </row>
    <row r="1659">
      <c r="O1659" s="230"/>
      <c r="R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  <c r="AC1659" s="230"/>
      <c r="AD1659" s="230"/>
      <c r="AE1659" s="230"/>
    </row>
    <row r="1660">
      <c r="O1660" s="230"/>
      <c r="R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  <c r="AC1660" s="230"/>
      <c r="AD1660" s="230"/>
      <c r="AE1660" s="230"/>
    </row>
    <row r="1661">
      <c r="O1661" s="230"/>
      <c r="R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  <c r="AC1661" s="230"/>
      <c r="AD1661" s="230"/>
      <c r="AE1661" s="230"/>
    </row>
    <row r="1662">
      <c r="O1662" s="230"/>
      <c r="R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  <c r="AC1662" s="230"/>
      <c r="AD1662" s="230"/>
      <c r="AE1662" s="230"/>
    </row>
    <row r="1663">
      <c r="O1663" s="230"/>
      <c r="R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  <c r="AC1663" s="230"/>
      <c r="AD1663" s="230"/>
      <c r="AE1663" s="230"/>
    </row>
    <row r="1664">
      <c r="O1664" s="230"/>
      <c r="R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  <c r="AC1664" s="230"/>
      <c r="AD1664" s="230"/>
      <c r="AE1664" s="230"/>
    </row>
    <row r="1665">
      <c r="O1665" s="230"/>
      <c r="R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  <c r="AC1665" s="230"/>
      <c r="AD1665" s="230"/>
      <c r="AE1665" s="230"/>
    </row>
    <row r="1666">
      <c r="O1666" s="230"/>
      <c r="R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  <c r="AC1666" s="230"/>
      <c r="AD1666" s="230"/>
      <c r="AE1666" s="230"/>
    </row>
    <row r="1667">
      <c r="O1667" s="230"/>
      <c r="R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  <c r="AC1667" s="230"/>
      <c r="AD1667" s="230"/>
      <c r="AE1667" s="230"/>
    </row>
    <row r="1668">
      <c r="O1668" s="230"/>
      <c r="R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  <c r="AC1668" s="230"/>
      <c r="AD1668" s="230"/>
      <c r="AE1668" s="230"/>
    </row>
    <row r="1669">
      <c r="O1669" s="230"/>
      <c r="R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  <c r="AC1669" s="230"/>
      <c r="AD1669" s="230"/>
      <c r="AE1669" s="230"/>
    </row>
    <row r="1670">
      <c r="O1670" s="230"/>
      <c r="R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  <c r="AC1670" s="230"/>
      <c r="AD1670" s="230"/>
      <c r="AE1670" s="230"/>
    </row>
    <row r="1671">
      <c r="O1671" s="230"/>
      <c r="R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  <c r="AC1671" s="230"/>
      <c r="AD1671" s="230"/>
      <c r="AE1671" s="230"/>
    </row>
    <row r="1672">
      <c r="O1672" s="230"/>
      <c r="R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  <c r="AC1672" s="230"/>
      <c r="AD1672" s="230"/>
      <c r="AE1672" s="230"/>
    </row>
    <row r="1673">
      <c r="O1673" s="230"/>
      <c r="R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  <c r="AC1673" s="230"/>
      <c r="AD1673" s="230"/>
      <c r="AE1673" s="230"/>
    </row>
    <row r="1674">
      <c r="O1674" s="230"/>
      <c r="R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  <c r="AC1674" s="230"/>
      <c r="AD1674" s="230"/>
      <c r="AE1674" s="230"/>
    </row>
    <row r="1675">
      <c r="O1675" s="230"/>
      <c r="R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  <c r="AC1675" s="230"/>
      <c r="AD1675" s="230"/>
      <c r="AE1675" s="230"/>
    </row>
    <row r="1676">
      <c r="O1676" s="230"/>
      <c r="R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  <c r="AC1676" s="230"/>
      <c r="AD1676" s="230"/>
      <c r="AE1676" s="230"/>
    </row>
    <row r="1677">
      <c r="O1677" s="230"/>
      <c r="R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  <c r="AC1677" s="230"/>
      <c r="AD1677" s="230"/>
      <c r="AE1677" s="230"/>
    </row>
    <row r="1678">
      <c r="O1678" s="230"/>
      <c r="R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  <c r="AC1678" s="230"/>
      <c r="AD1678" s="230"/>
      <c r="AE1678" s="230"/>
    </row>
    <row r="1679">
      <c r="O1679" s="230"/>
      <c r="R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  <c r="AC1679" s="230"/>
      <c r="AD1679" s="230"/>
      <c r="AE1679" s="230"/>
    </row>
    <row r="1680">
      <c r="O1680" s="230"/>
      <c r="R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  <c r="AC1680" s="230"/>
      <c r="AD1680" s="230"/>
      <c r="AE1680" s="230"/>
    </row>
    <row r="1681">
      <c r="O1681" s="230"/>
      <c r="R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  <c r="AC1681" s="230"/>
      <c r="AD1681" s="230"/>
      <c r="AE1681" s="230"/>
    </row>
    <row r="1682">
      <c r="O1682" s="230"/>
      <c r="R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  <c r="AC1682" s="230"/>
      <c r="AD1682" s="230"/>
      <c r="AE1682" s="230"/>
    </row>
    <row r="1683">
      <c r="O1683" s="230"/>
      <c r="R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  <c r="AC1683" s="230"/>
      <c r="AD1683" s="230"/>
      <c r="AE1683" s="230"/>
    </row>
    <row r="1684">
      <c r="O1684" s="230"/>
      <c r="R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  <c r="AC1684" s="230"/>
      <c r="AD1684" s="230"/>
      <c r="AE1684" s="230"/>
    </row>
    <row r="1685">
      <c r="O1685" s="230"/>
      <c r="R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  <c r="AC1685" s="230"/>
      <c r="AD1685" s="230"/>
      <c r="AE1685" s="230"/>
    </row>
    <row r="1686">
      <c r="O1686" s="230"/>
      <c r="R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  <c r="AC1686" s="230"/>
      <c r="AD1686" s="230"/>
      <c r="AE1686" s="230"/>
    </row>
    <row r="1687">
      <c r="O1687" s="230"/>
      <c r="R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  <c r="AC1687" s="230"/>
      <c r="AD1687" s="230"/>
      <c r="AE1687" s="230"/>
    </row>
    <row r="1688">
      <c r="O1688" s="230"/>
      <c r="R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  <c r="AC1688" s="230"/>
      <c r="AD1688" s="230"/>
      <c r="AE1688" s="230"/>
    </row>
    <row r="1689">
      <c r="O1689" s="230"/>
      <c r="R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  <c r="AC1689" s="230"/>
      <c r="AD1689" s="230"/>
      <c r="AE1689" s="230"/>
    </row>
    <row r="1690">
      <c r="O1690" s="230"/>
      <c r="R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  <c r="AC1690" s="230"/>
      <c r="AD1690" s="230"/>
      <c r="AE1690" s="230"/>
    </row>
    <row r="1691">
      <c r="O1691" s="230"/>
      <c r="R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  <c r="AC1691" s="230"/>
      <c r="AD1691" s="230"/>
      <c r="AE1691" s="230"/>
    </row>
    <row r="1692">
      <c r="O1692" s="230"/>
      <c r="R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  <c r="AC1692" s="230"/>
      <c r="AD1692" s="230"/>
      <c r="AE1692" s="230"/>
    </row>
    <row r="1693">
      <c r="O1693" s="230"/>
      <c r="R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  <c r="AC1693" s="230"/>
      <c r="AD1693" s="230"/>
      <c r="AE1693" s="230"/>
    </row>
    <row r="1694">
      <c r="O1694" s="230"/>
      <c r="R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  <c r="AC1694" s="230"/>
      <c r="AD1694" s="230"/>
      <c r="AE1694" s="230"/>
    </row>
    <row r="1695">
      <c r="O1695" s="230"/>
      <c r="R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  <c r="AC1695" s="230"/>
      <c r="AD1695" s="230"/>
      <c r="AE1695" s="230"/>
    </row>
    <row r="1696">
      <c r="O1696" s="230"/>
      <c r="R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  <c r="AC1696" s="230"/>
      <c r="AD1696" s="230"/>
      <c r="AE1696" s="230"/>
    </row>
    <row r="1697">
      <c r="O1697" s="230"/>
      <c r="R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  <c r="AC1697" s="230"/>
      <c r="AD1697" s="230"/>
      <c r="AE1697" s="230"/>
    </row>
    <row r="1698">
      <c r="O1698" s="230"/>
      <c r="R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</row>
    <row r="1699">
      <c r="O1699" s="230"/>
      <c r="R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  <c r="AC1699" s="230"/>
      <c r="AD1699" s="230"/>
      <c r="AE1699" s="230"/>
    </row>
    <row r="1700">
      <c r="O1700" s="230"/>
      <c r="R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  <c r="AC1700" s="230"/>
      <c r="AD1700" s="230"/>
      <c r="AE1700" s="230"/>
    </row>
    <row r="1701">
      <c r="O1701" s="230"/>
      <c r="R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  <c r="AC1701" s="230"/>
      <c r="AD1701" s="230"/>
      <c r="AE1701" s="230"/>
    </row>
    <row r="1702">
      <c r="O1702" s="230"/>
      <c r="R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  <c r="AC1702" s="230"/>
      <c r="AD1702" s="230"/>
      <c r="AE1702" s="230"/>
    </row>
    <row r="1703">
      <c r="O1703" s="230"/>
      <c r="R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  <c r="AC1703" s="230"/>
      <c r="AD1703" s="230"/>
      <c r="AE1703" s="230"/>
    </row>
    <row r="1704">
      <c r="O1704" s="230"/>
      <c r="R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  <c r="AC1704" s="230"/>
      <c r="AD1704" s="230"/>
      <c r="AE1704" s="230"/>
    </row>
    <row r="1705">
      <c r="O1705" s="230"/>
      <c r="R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  <c r="AC1705" s="230"/>
      <c r="AD1705" s="230"/>
      <c r="AE1705" s="230"/>
    </row>
    <row r="1706">
      <c r="O1706" s="230"/>
      <c r="R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  <c r="AC1706" s="230"/>
      <c r="AD1706" s="230"/>
      <c r="AE1706" s="230"/>
    </row>
    <row r="1707">
      <c r="O1707" s="230"/>
      <c r="R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  <c r="AC1707" s="230"/>
      <c r="AD1707" s="230"/>
      <c r="AE1707" s="230"/>
    </row>
    <row r="1708">
      <c r="O1708" s="230"/>
      <c r="R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  <c r="AC1708" s="230"/>
      <c r="AD1708" s="230"/>
      <c r="AE1708" s="230"/>
    </row>
    <row r="1709">
      <c r="O1709" s="230"/>
      <c r="R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  <c r="AC1709" s="230"/>
      <c r="AD1709" s="230"/>
      <c r="AE1709" s="230"/>
    </row>
    <row r="1710">
      <c r="O1710" s="230"/>
      <c r="R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  <c r="AC1710" s="230"/>
      <c r="AD1710" s="230"/>
      <c r="AE1710" s="230"/>
    </row>
    <row r="1711">
      <c r="O1711" s="230"/>
      <c r="R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  <c r="AC1711" s="230"/>
      <c r="AD1711" s="230"/>
      <c r="AE1711" s="230"/>
    </row>
    <row r="1712">
      <c r="O1712" s="230"/>
      <c r="R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  <c r="AC1712" s="230"/>
      <c r="AD1712" s="230"/>
      <c r="AE1712" s="230"/>
    </row>
    <row r="1713">
      <c r="O1713" s="230"/>
      <c r="R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  <c r="AC1713" s="230"/>
      <c r="AD1713" s="230"/>
      <c r="AE1713" s="230"/>
    </row>
    <row r="1714">
      <c r="O1714" s="230"/>
      <c r="R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  <c r="AC1714" s="230"/>
      <c r="AD1714" s="230"/>
      <c r="AE1714" s="230"/>
    </row>
    <row r="1715">
      <c r="O1715" s="230"/>
      <c r="R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  <c r="AC1715" s="230"/>
      <c r="AD1715" s="230"/>
      <c r="AE1715" s="230"/>
    </row>
    <row r="1716">
      <c r="O1716" s="230"/>
      <c r="R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  <c r="AC1716" s="230"/>
      <c r="AD1716" s="230"/>
      <c r="AE1716" s="230"/>
    </row>
    <row r="1717">
      <c r="O1717" s="230"/>
      <c r="R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  <c r="AC1717" s="230"/>
      <c r="AD1717" s="230"/>
      <c r="AE1717" s="230"/>
    </row>
    <row r="1718">
      <c r="O1718" s="230"/>
      <c r="R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  <c r="AC1718" s="230"/>
      <c r="AD1718" s="230"/>
      <c r="AE1718" s="230"/>
    </row>
    <row r="1719">
      <c r="O1719" s="230"/>
      <c r="R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  <c r="AC1719" s="230"/>
      <c r="AD1719" s="230"/>
      <c r="AE1719" s="230"/>
    </row>
    <row r="1720">
      <c r="O1720" s="230"/>
      <c r="R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  <c r="AC1720" s="230"/>
      <c r="AD1720" s="230"/>
      <c r="AE1720" s="230"/>
    </row>
    <row r="1721">
      <c r="O1721" s="230"/>
      <c r="R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  <c r="AC1721" s="230"/>
      <c r="AD1721" s="230"/>
      <c r="AE1721" s="230"/>
    </row>
    <row r="1722">
      <c r="O1722" s="230"/>
      <c r="R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  <c r="AC1722" s="230"/>
      <c r="AD1722" s="230"/>
      <c r="AE1722" s="230"/>
    </row>
    <row r="1723">
      <c r="O1723" s="230"/>
      <c r="R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  <c r="AC1723" s="230"/>
      <c r="AD1723" s="230"/>
      <c r="AE1723" s="230"/>
    </row>
    <row r="1724">
      <c r="O1724" s="230"/>
      <c r="R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  <c r="AC1724" s="230"/>
      <c r="AD1724" s="230"/>
      <c r="AE1724" s="230"/>
    </row>
    <row r="1725">
      <c r="O1725" s="230"/>
      <c r="R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  <c r="AC1725" s="230"/>
      <c r="AD1725" s="230"/>
      <c r="AE1725" s="230"/>
    </row>
    <row r="1726">
      <c r="O1726" s="230"/>
      <c r="R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  <c r="AC1726" s="230"/>
      <c r="AD1726" s="230"/>
      <c r="AE1726" s="230"/>
    </row>
    <row r="1727">
      <c r="O1727" s="230"/>
      <c r="R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  <c r="AC1727" s="230"/>
      <c r="AD1727" s="230"/>
      <c r="AE1727" s="230"/>
    </row>
    <row r="1728">
      <c r="O1728" s="230"/>
      <c r="R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  <c r="AC1728" s="230"/>
      <c r="AD1728" s="230"/>
      <c r="AE1728" s="230"/>
    </row>
    <row r="1729">
      <c r="O1729" s="230"/>
      <c r="R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  <c r="AC1729" s="230"/>
      <c r="AD1729" s="230"/>
      <c r="AE1729" s="230"/>
    </row>
    <row r="1730">
      <c r="O1730" s="230"/>
      <c r="R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  <c r="AC1730" s="230"/>
      <c r="AD1730" s="230"/>
      <c r="AE1730" s="230"/>
    </row>
    <row r="1731">
      <c r="O1731" s="230"/>
      <c r="R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  <c r="AC1731" s="230"/>
      <c r="AD1731" s="230"/>
      <c r="AE1731" s="230"/>
    </row>
    <row r="1732">
      <c r="O1732" s="230"/>
      <c r="R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  <c r="AC1732" s="230"/>
      <c r="AD1732" s="230"/>
      <c r="AE1732" s="230"/>
    </row>
    <row r="1733">
      <c r="O1733" s="230"/>
      <c r="R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  <c r="AC1733" s="230"/>
      <c r="AD1733" s="230"/>
      <c r="AE1733" s="230"/>
    </row>
    <row r="1734">
      <c r="O1734" s="230"/>
      <c r="R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  <c r="AC1734" s="230"/>
      <c r="AD1734" s="230"/>
      <c r="AE1734" s="230"/>
    </row>
    <row r="1735">
      <c r="O1735" s="230"/>
      <c r="R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  <c r="AC1735" s="230"/>
      <c r="AD1735" s="230"/>
      <c r="AE1735" s="230"/>
    </row>
    <row r="1736">
      <c r="O1736" s="230"/>
      <c r="R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  <c r="AC1736" s="230"/>
      <c r="AD1736" s="230"/>
      <c r="AE1736" s="230"/>
    </row>
    <row r="1737">
      <c r="O1737" s="230"/>
      <c r="R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  <c r="AC1737" s="230"/>
      <c r="AD1737" s="230"/>
      <c r="AE1737" s="230"/>
    </row>
    <row r="1738">
      <c r="O1738" s="230"/>
      <c r="R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  <c r="AC1738" s="230"/>
      <c r="AD1738" s="230"/>
      <c r="AE1738" s="230"/>
    </row>
    <row r="1739">
      <c r="O1739" s="230"/>
      <c r="R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  <c r="AC1739" s="230"/>
      <c r="AD1739" s="230"/>
      <c r="AE1739" s="230"/>
    </row>
    <row r="1740">
      <c r="O1740" s="230"/>
      <c r="R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  <c r="AC1740" s="230"/>
      <c r="AD1740" s="230"/>
      <c r="AE1740" s="230"/>
    </row>
    <row r="1741">
      <c r="O1741" s="230"/>
      <c r="R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  <c r="AC1741" s="230"/>
      <c r="AD1741" s="230"/>
      <c r="AE1741" s="230"/>
    </row>
    <row r="1742">
      <c r="O1742" s="230"/>
      <c r="R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  <c r="AC1742" s="230"/>
      <c r="AD1742" s="230"/>
      <c r="AE1742" s="230"/>
    </row>
    <row r="1743">
      <c r="O1743" s="230"/>
      <c r="R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  <c r="AC1743" s="230"/>
      <c r="AD1743" s="230"/>
      <c r="AE1743" s="230"/>
    </row>
    <row r="1744">
      <c r="O1744" s="230"/>
      <c r="R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  <c r="AC1744" s="230"/>
      <c r="AD1744" s="230"/>
      <c r="AE1744" s="230"/>
    </row>
    <row r="1745">
      <c r="O1745" s="230"/>
      <c r="R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  <c r="AC1745" s="230"/>
      <c r="AD1745" s="230"/>
      <c r="AE1745" s="230"/>
    </row>
    <row r="1746">
      <c r="O1746" s="230"/>
      <c r="R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  <c r="AC1746" s="230"/>
      <c r="AD1746" s="230"/>
      <c r="AE1746" s="230"/>
    </row>
    <row r="1747">
      <c r="O1747" s="230"/>
      <c r="R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  <c r="AC1747" s="230"/>
      <c r="AD1747" s="230"/>
      <c r="AE1747" s="230"/>
    </row>
    <row r="1748">
      <c r="O1748" s="230"/>
      <c r="R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  <c r="AC1748" s="230"/>
      <c r="AD1748" s="230"/>
      <c r="AE1748" s="230"/>
    </row>
    <row r="1749">
      <c r="O1749" s="230"/>
      <c r="R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  <c r="AC1749" s="230"/>
      <c r="AD1749" s="230"/>
      <c r="AE1749" s="230"/>
    </row>
    <row r="1750">
      <c r="O1750" s="230"/>
      <c r="R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  <c r="AC1750" s="230"/>
      <c r="AD1750" s="230"/>
      <c r="AE1750" s="230"/>
    </row>
    <row r="1751">
      <c r="O1751" s="230"/>
      <c r="R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  <c r="AC1751" s="230"/>
      <c r="AD1751" s="230"/>
      <c r="AE1751" s="230"/>
    </row>
    <row r="1752">
      <c r="O1752" s="230"/>
      <c r="R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  <c r="AC1752" s="230"/>
      <c r="AD1752" s="230"/>
      <c r="AE1752" s="230"/>
    </row>
    <row r="1753">
      <c r="O1753" s="230"/>
      <c r="R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  <c r="AC1753" s="230"/>
      <c r="AD1753" s="230"/>
      <c r="AE1753" s="230"/>
    </row>
    <row r="1754">
      <c r="O1754" s="230"/>
      <c r="R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  <c r="AC1754" s="230"/>
      <c r="AD1754" s="230"/>
      <c r="AE1754" s="230"/>
    </row>
    <row r="1755">
      <c r="O1755" s="230"/>
      <c r="R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  <c r="AC1755" s="230"/>
      <c r="AD1755" s="230"/>
      <c r="AE1755" s="230"/>
    </row>
    <row r="1756">
      <c r="O1756" s="230"/>
      <c r="R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  <c r="AC1756" s="230"/>
      <c r="AD1756" s="230"/>
      <c r="AE1756" s="230"/>
    </row>
    <row r="1757">
      <c r="O1757" s="230"/>
      <c r="R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  <c r="AC1757" s="230"/>
      <c r="AD1757" s="230"/>
      <c r="AE1757" s="230"/>
    </row>
    <row r="1758">
      <c r="O1758" s="230"/>
      <c r="R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  <c r="AC1758" s="230"/>
      <c r="AD1758" s="230"/>
      <c r="AE1758" s="230"/>
    </row>
    <row r="1759">
      <c r="O1759" s="230"/>
      <c r="R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  <c r="AC1759" s="230"/>
      <c r="AD1759" s="230"/>
      <c r="AE1759" s="230"/>
    </row>
    <row r="1760">
      <c r="O1760" s="230"/>
      <c r="R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  <c r="AC1760" s="230"/>
      <c r="AD1760" s="230"/>
      <c r="AE1760" s="230"/>
    </row>
    <row r="1761">
      <c r="O1761" s="230"/>
      <c r="R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  <c r="AC1761" s="230"/>
      <c r="AD1761" s="230"/>
      <c r="AE1761" s="230"/>
    </row>
    <row r="1762">
      <c r="O1762" s="230"/>
      <c r="R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  <c r="AC1762" s="230"/>
      <c r="AD1762" s="230"/>
      <c r="AE1762" s="230"/>
    </row>
    <row r="1763">
      <c r="O1763" s="230"/>
      <c r="R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  <c r="AC1763" s="230"/>
      <c r="AD1763" s="230"/>
      <c r="AE1763" s="230"/>
    </row>
    <row r="1764">
      <c r="O1764" s="230"/>
      <c r="R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  <c r="AC1764" s="230"/>
      <c r="AD1764" s="230"/>
      <c r="AE1764" s="230"/>
    </row>
    <row r="1765">
      <c r="O1765" s="230"/>
      <c r="R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  <c r="AC1765" s="230"/>
      <c r="AD1765" s="230"/>
      <c r="AE1765" s="230"/>
    </row>
    <row r="1766">
      <c r="O1766" s="230"/>
      <c r="R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  <c r="AC1766" s="230"/>
      <c r="AD1766" s="230"/>
      <c r="AE1766" s="230"/>
    </row>
    <row r="1767">
      <c r="O1767" s="230"/>
      <c r="R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  <c r="AC1767" s="230"/>
      <c r="AD1767" s="230"/>
      <c r="AE1767" s="230"/>
    </row>
    <row r="1768">
      <c r="O1768" s="230"/>
      <c r="R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  <c r="AC1768" s="230"/>
      <c r="AD1768" s="230"/>
      <c r="AE1768" s="230"/>
    </row>
    <row r="1769">
      <c r="O1769" s="230"/>
      <c r="R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  <c r="AC1769" s="230"/>
      <c r="AD1769" s="230"/>
      <c r="AE1769" s="230"/>
    </row>
    <row r="1770">
      <c r="O1770" s="230"/>
      <c r="R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  <c r="AC1770" s="230"/>
      <c r="AD1770" s="230"/>
      <c r="AE1770" s="230"/>
    </row>
    <row r="1771">
      <c r="O1771" s="230"/>
      <c r="R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  <c r="AC1771" s="230"/>
      <c r="AD1771" s="230"/>
      <c r="AE1771" s="230"/>
    </row>
    <row r="1772">
      <c r="O1772" s="230"/>
      <c r="R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  <c r="AC1772" s="230"/>
      <c r="AD1772" s="230"/>
      <c r="AE1772" s="230"/>
    </row>
    <row r="1773">
      <c r="O1773" s="230"/>
      <c r="R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  <c r="AC1773" s="230"/>
      <c r="AD1773" s="230"/>
      <c r="AE1773" s="230"/>
    </row>
    <row r="1774">
      <c r="O1774" s="230"/>
      <c r="R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  <c r="AC1774" s="230"/>
      <c r="AD1774" s="230"/>
      <c r="AE1774" s="230"/>
    </row>
    <row r="1775">
      <c r="O1775" s="230"/>
      <c r="R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  <c r="AC1775" s="230"/>
      <c r="AD1775" s="230"/>
      <c r="AE1775" s="230"/>
    </row>
    <row r="1776">
      <c r="O1776" s="230"/>
      <c r="R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  <c r="AC1776" s="230"/>
      <c r="AD1776" s="230"/>
      <c r="AE1776" s="230"/>
    </row>
    <row r="1777">
      <c r="O1777" s="230"/>
      <c r="R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  <c r="AC1777" s="230"/>
      <c r="AD1777" s="230"/>
      <c r="AE1777" s="230"/>
    </row>
    <row r="1778">
      <c r="O1778" s="230"/>
      <c r="R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  <c r="AC1778" s="230"/>
      <c r="AD1778" s="230"/>
      <c r="AE1778" s="230"/>
    </row>
    <row r="1779">
      <c r="O1779" s="230"/>
      <c r="R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  <c r="AC1779" s="230"/>
      <c r="AD1779" s="230"/>
      <c r="AE1779" s="230"/>
    </row>
    <row r="1780">
      <c r="O1780" s="230"/>
      <c r="R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  <c r="AC1780" s="230"/>
      <c r="AD1780" s="230"/>
      <c r="AE1780" s="230"/>
    </row>
    <row r="1781">
      <c r="O1781" s="230"/>
      <c r="R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  <c r="AC1781" s="230"/>
      <c r="AD1781" s="230"/>
      <c r="AE1781" s="230"/>
    </row>
    <row r="1782">
      <c r="O1782" s="230"/>
      <c r="R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  <c r="AC1782" s="230"/>
      <c r="AD1782" s="230"/>
      <c r="AE1782" s="230"/>
    </row>
    <row r="1783">
      <c r="O1783" s="230"/>
      <c r="R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  <c r="AC1783" s="230"/>
      <c r="AD1783" s="230"/>
      <c r="AE1783" s="230"/>
    </row>
    <row r="1784">
      <c r="O1784" s="230"/>
      <c r="R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  <c r="AC1784" s="230"/>
      <c r="AD1784" s="230"/>
      <c r="AE1784" s="230"/>
    </row>
    <row r="1785">
      <c r="O1785" s="230"/>
      <c r="R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  <c r="AC1785" s="230"/>
      <c r="AD1785" s="230"/>
      <c r="AE1785" s="230"/>
    </row>
    <row r="1786">
      <c r="O1786" s="230"/>
      <c r="R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  <c r="AC1786" s="230"/>
      <c r="AD1786" s="230"/>
      <c r="AE1786" s="230"/>
    </row>
    <row r="1787">
      <c r="O1787" s="230"/>
      <c r="R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  <c r="AC1787" s="230"/>
      <c r="AD1787" s="230"/>
      <c r="AE1787" s="230"/>
    </row>
    <row r="1788">
      <c r="O1788" s="230"/>
      <c r="R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  <c r="AC1788" s="230"/>
      <c r="AD1788" s="230"/>
      <c r="AE1788" s="230"/>
    </row>
    <row r="1789">
      <c r="O1789" s="230"/>
      <c r="R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  <c r="AC1789" s="230"/>
      <c r="AD1789" s="230"/>
      <c r="AE1789" s="230"/>
    </row>
    <row r="1790">
      <c r="O1790" s="230"/>
      <c r="R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  <c r="AC1790" s="230"/>
      <c r="AD1790" s="230"/>
      <c r="AE1790" s="230"/>
    </row>
    <row r="1791">
      <c r="O1791" s="230"/>
      <c r="R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  <c r="AC1791" s="230"/>
      <c r="AD1791" s="230"/>
      <c r="AE1791" s="230"/>
    </row>
    <row r="1792">
      <c r="O1792" s="230"/>
      <c r="R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  <c r="AC1792" s="230"/>
      <c r="AD1792" s="230"/>
      <c r="AE1792" s="230"/>
    </row>
    <row r="1793">
      <c r="O1793" s="230"/>
      <c r="R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  <c r="AC1793" s="230"/>
      <c r="AD1793" s="230"/>
      <c r="AE1793" s="230"/>
    </row>
    <row r="1794">
      <c r="O1794" s="230"/>
      <c r="R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  <c r="AC1794" s="230"/>
      <c r="AD1794" s="230"/>
      <c r="AE1794" s="230"/>
    </row>
    <row r="1795">
      <c r="O1795" s="230"/>
      <c r="R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  <c r="AC1795" s="230"/>
      <c r="AD1795" s="230"/>
      <c r="AE1795" s="230"/>
    </row>
    <row r="1796">
      <c r="O1796" s="230"/>
      <c r="R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  <c r="AC1796" s="230"/>
      <c r="AD1796" s="230"/>
      <c r="AE1796" s="230"/>
    </row>
    <row r="1797">
      <c r="O1797" s="230"/>
      <c r="R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  <c r="AC1797" s="230"/>
      <c r="AD1797" s="230"/>
      <c r="AE1797" s="230"/>
    </row>
    <row r="1798">
      <c r="O1798" s="230"/>
      <c r="R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  <c r="AC1798" s="230"/>
      <c r="AD1798" s="230"/>
      <c r="AE1798" s="230"/>
    </row>
    <row r="1799">
      <c r="O1799" s="230"/>
      <c r="R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  <c r="AC1799" s="230"/>
      <c r="AD1799" s="230"/>
      <c r="AE1799" s="230"/>
    </row>
    <row r="1800">
      <c r="O1800" s="230"/>
      <c r="R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  <c r="AC1800" s="230"/>
      <c r="AD1800" s="230"/>
      <c r="AE1800" s="230"/>
    </row>
    <row r="1801">
      <c r="O1801" s="230"/>
      <c r="R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  <c r="AC1801" s="230"/>
      <c r="AD1801" s="230"/>
      <c r="AE1801" s="230"/>
    </row>
    <row r="1802">
      <c r="O1802" s="230"/>
      <c r="R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  <c r="AC1802" s="230"/>
      <c r="AD1802" s="230"/>
      <c r="AE1802" s="230"/>
    </row>
    <row r="1803">
      <c r="O1803" s="230"/>
      <c r="R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  <c r="AC1803" s="230"/>
      <c r="AD1803" s="230"/>
      <c r="AE1803" s="230"/>
    </row>
    <row r="1804">
      <c r="O1804" s="230"/>
      <c r="R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  <c r="AC1804" s="230"/>
      <c r="AD1804" s="230"/>
      <c r="AE1804" s="230"/>
    </row>
    <row r="1805">
      <c r="O1805" s="230"/>
      <c r="R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  <c r="AC1805" s="230"/>
      <c r="AD1805" s="230"/>
      <c r="AE1805" s="230"/>
    </row>
    <row r="1806">
      <c r="O1806" s="230"/>
      <c r="R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  <c r="AC1806" s="230"/>
      <c r="AD1806" s="230"/>
      <c r="AE1806" s="230"/>
    </row>
    <row r="1807">
      <c r="O1807" s="230"/>
      <c r="R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  <c r="AC1807" s="230"/>
      <c r="AD1807" s="230"/>
      <c r="AE1807" s="230"/>
    </row>
    <row r="1808">
      <c r="O1808" s="230"/>
      <c r="R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  <c r="AC1808" s="230"/>
      <c r="AD1808" s="230"/>
      <c r="AE1808" s="230"/>
    </row>
    <row r="1809">
      <c r="O1809" s="230"/>
      <c r="R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  <c r="AC1809" s="230"/>
      <c r="AD1809" s="230"/>
      <c r="AE1809" s="230"/>
    </row>
    <row r="1810">
      <c r="O1810" s="230"/>
      <c r="R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  <c r="AC1810" s="230"/>
      <c r="AD1810" s="230"/>
      <c r="AE1810" s="230"/>
    </row>
    <row r="1811">
      <c r="O1811" s="230"/>
      <c r="R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  <c r="AC1811" s="230"/>
      <c r="AD1811" s="230"/>
      <c r="AE1811" s="230"/>
    </row>
    <row r="1812">
      <c r="O1812" s="230"/>
      <c r="R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  <c r="AC1812" s="230"/>
      <c r="AD1812" s="230"/>
      <c r="AE1812" s="230"/>
    </row>
    <row r="1813">
      <c r="O1813" s="230"/>
      <c r="R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  <c r="AC1813" s="230"/>
      <c r="AD1813" s="230"/>
      <c r="AE1813" s="230"/>
    </row>
    <row r="1814">
      <c r="O1814" s="230"/>
      <c r="R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  <c r="AC1814" s="230"/>
      <c r="AD1814" s="230"/>
      <c r="AE1814" s="230"/>
    </row>
    <row r="1815">
      <c r="O1815" s="230"/>
      <c r="R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  <c r="AC1815" s="230"/>
      <c r="AD1815" s="230"/>
      <c r="AE1815" s="230"/>
    </row>
    <row r="1816">
      <c r="O1816" s="230"/>
      <c r="R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  <c r="AC1816" s="230"/>
      <c r="AD1816" s="230"/>
      <c r="AE1816" s="230"/>
    </row>
    <row r="1817">
      <c r="O1817" s="230"/>
      <c r="R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  <c r="AC1817" s="230"/>
      <c r="AD1817" s="230"/>
      <c r="AE1817" s="230"/>
    </row>
    <row r="1818">
      <c r="O1818" s="230"/>
      <c r="R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  <c r="AC1818" s="230"/>
      <c r="AD1818" s="230"/>
      <c r="AE1818" s="230"/>
    </row>
    <row r="1819">
      <c r="O1819" s="230"/>
      <c r="R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  <c r="AC1819" s="230"/>
      <c r="AD1819" s="230"/>
      <c r="AE1819" s="230"/>
    </row>
    <row r="1820">
      <c r="O1820" s="230"/>
      <c r="R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  <c r="AC1820" s="230"/>
      <c r="AD1820" s="230"/>
      <c r="AE1820" s="230"/>
    </row>
    <row r="1821">
      <c r="O1821" s="230"/>
      <c r="R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  <c r="AC1821" s="230"/>
      <c r="AD1821" s="230"/>
      <c r="AE1821" s="230"/>
    </row>
    <row r="1822">
      <c r="O1822" s="230"/>
      <c r="R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  <c r="AC1822" s="230"/>
      <c r="AD1822" s="230"/>
      <c r="AE1822" s="230"/>
    </row>
    <row r="1823">
      <c r="O1823" s="230"/>
      <c r="R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  <c r="AC1823" s="230"/>
      <c r="AD1823" s="230"/>
      <c r="AE1823" s="230"/>
    </row>
    <row r="1824">
      <c r="O1824" s="230"/>
      <c r="R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  <c r="AC1824" s="230"/>
      <c r="AD1824" s="230"/>
      <c r="AE1824" s="230"/>
    </row>
    <row r="1825">
      <c r="O1825" s="230"/>
      <c r="R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  <c r="AC1825" s="230"/>
      <c r="AD1825" s="230"/>
      <c r="AE1825" s="230"/>
    </row>
    <row r="1826">
      <c r="O1826" s="230"/>
      <c r="R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  <c r="AC1826" s="230"/>
      <c r="AD1826" s="230"/>
      <c r="AE1826" s="230"/>
    </row>
    <row r="1827">
      <c r="O1827" s="230"/>
      <c r="R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  <c r="AC1827" s="230"/>
      <c r="AD1827" s="230"/>
      <c r="AE1827" s="230"/>
    </row>
    <row r="1828">
      <c r="O1828" s="230"/>
      <c r="R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  <c r="AC1828" s="230"/>
      <c r="AD1828" s="230"/>
      <c r="AE1828" s="230"/>
    </row>
    <row r="1829">
      <c r="O1829" s="230"/>
      <c r="R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  <c r="AC1829" s="230"/>
      <c r="AD1829" s="230"/>
      <c r="AE1829" s="230"/>
    </row>
    <row r="1830">
      <c r="O1830" s="230"/>
      <c r="R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  <c r="AC1830" s="230"/>
      <c r="AD1830" s="230"/>
      <c r="AE1830" s="230"/>
    </row>
    <row r="1831">
      <c r="O1831" s="230"/>
      <c r="R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  <c r="AC1831" s="230"/>
      <c r="AD1831" s="230"/>
      <c r="AE1831" s="230"/>
    </row>
    <row r="1832">
      <c r="O1832" s="230"/>
      <c r="R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  <c r="AC1832" s="230"/>
      <c r="AD1832" s="230"/>
      <c r="AE1832" s="230"/>
    </row>
    <row r="1833">
      <c r="O1833" s="230"/>
      <c r="R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  <c r="AC1833" s="230"/>
      <c r="AD1833" s="230"/>
      <c r="AE1833" s="230"/>
    </row>
    <row r="1834">
      <c r="O1834" s="230"/>
      <c r="R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  <c r="AC1834" s="230"/>
      <c r="AD1834" s="230"/>
      <c r="AE1834" s="230"/>
    </row>
    <row r="1835">
      <c r="O1835" s="230"/>
      <c r="R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  <c r="AC1835" s="230"/>
      <c r="AD1835" s="230"/>
      <c r="AE1835" s="230"/>
    </row>
    <row r="1836">
      <c r="O1836" s="230"/>
      <c r="R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  <c r="AC1836" s="230"/>
      <c r="AD1836" s="230"/>
      <c r="AE1836" s="230"/>
    </row>
    <row r="1837">
      <c r="O1837" s="230"/>
      <c r="R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  <c r="AC1837" s="230"/>
      <c r="AD1837" s="230"/>
      <c r="AE1837" s="230"/>
    </row>
    <row r="1838">
      <c r="O1838" s="230"/>
      <c r="R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  <c r="AC1838" s="230"/>
      <c r="AD1838" s="230"/>
      <c r="AE1838" s="230"/>
    </row>
    <row r="1839">
      <c r="O1839" s="230"/>
      <c r="R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  <c r="AC1839" s="230"/>
      <c r="AD1839" s="230"/>
      <c r="AE1839" s="230"/>
    </row>
    <row r="1840">
      <c r="O1840" s="230"/>
      <c r="R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  <c r="AC1840" s="230"/>
      <c r="AD1840" s="230"/>
      <c r="AE1840" s="230"/>
    </row>
    <row r="1841">
      <c r="O1841" s="230"/>
      <c r="R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  <c r="AC1841" s="230"/>
      <c r="AD1841" s="230"/>
      <c r="AE1841" s="230"/>
    </row>
    <row r="1842">
      <c r="O1842" s="230"/>
      <c r="R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  <c r="AC1842" s="230"/>
      <c r="AD1842" s="230"/>
      <c r="AE1842" s="230"/>
    </row>
    <row r="1843">
      <c r="O1843" s="230"/>
      <c r="R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  <c r="AC1843" s="230"/>
      <c r="AD1843" s="230"/>
      <c r="AE1843" s="230"/>
    </row>
    <row r="1844">
      <c r="O1844" s="230"/>
      <c r="R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  <c r="AC1844" s="230"/>
      <c r="AD1844" s="230"/>
      <c r="AE1844" s="230"/>
    </row>
    <row r="1845">
      <c r="O1845" s="230"/>
      <c r="R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  <c r="AC1845" s="230"/>
      <c r="AD1845" s="230"/>
      <c r="AE1845" s="230"/>
    </row>
    <row r="1846">
      <c r="O1846" s="230"/>
      <c r="R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  <c r="AC1846" s="230"/>
      <c r="AD1846" s="230"/>
      <c r="AE1846" s="230"/>
    </row>
    <row r="1847">
      <c r="O1847" s="230"/>
      <c r="R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  <c r="AC1847" s="230"/>
      <c r="AD1847" s="230"/>
      <c r="AE1847" s="230"/>
    </row>
    <row r="1848">
      <c r="O1848" s="230"/>
      <c r="R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  <c r="AC1848" s="230"/>
      <c r="AD1848" s="230"/>
      <c r="AE1848" s="230"/>
    </row>
    <row r="1849">
      <c r="O1849" s="230"/>
      <c r="R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  <c r="AC1849" s="230"/>
      <c r="AD1849" s="230"/>
      <c r="AE1849" s="230"/>
    </row>
    <row r="1850">
      <c r="O1850" s="230"/>
      <c r="R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  <c r="AC1850" s="230"/>
      <c r="AD1850" s="230"/>
      <c r="AE1850" s="230"/>
    </row>
    <row r="1851">
      <c r="O1851" s="230"/>
      <c r="R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  <c r="AC1851" s="230"/>
      <c r="AD1851" s="230"/>
      <c r="AE1851" s="230"/>
    </row>
    <row r="1852">
      <c r="O1852" s="230"/>
      <c r="R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  <c r="AC1852" s="230"/>
      <c r="AD1852" s="230"/>
      <c r="AE1852" s="230"/>
    </row>
    <row r="1853">
      <c r="O1853" s="230"/>
      <c r="R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  <c r="AC1853" s="230"/>
      <c r="AD1853" s="230"/>
      <c r="AE1853" s="230"/>
    </row>
    <row r="1854">
      <c r="O1854" s="230"/>
      <c r="R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  <c r="AC1854" s="230"/>
      <c r="AD1854" s="230"/>
      <c r="AE1854" s="230"/>
    </row>
    <row r="1855">
      <c r="O1855" s="230"/>
      <c r="R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  <c r="AC1855" s="230"/>
      <c r="AD1855" s="230"/>
      <c r="AE1855" s="230"/>
    </row>
    <row r="1856">
      <c r="O1856" s="230"/>
      <c r="R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  <c r="AC1856" s="230"/>
      <c r="AD1856" s="230"/>
      <c r="AE1856" s="230"/>
    </row>
    <row r="1857">
      <c r="O1857" s="230"/>
      <c r="R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  <c r="AC1857" s="230"/>
      <c r="AD1857" s="230"/>
      <c r="AE1857" s="230"/>
    </row>
    <row r="1858">
      <c r="O1858" s="230"/>
      <c r="R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  <c r="AC1858" s="230"/>
      <c r="AD1858" s="230"/>
      <c r="AE1858" s="230"/>
    </row>
    <row r="1859">
      <c r="O1859" s="230"/>
      <c r="R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  <c r="AC1859" s="230"/>
      <c r="AD1859" s="230"/>
      <c r="AE1859" s="230"/>
    </row>
    <row r="1860">
      <c r="O1860" s="230"/>
      <c r="R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  <c r="AC1860" s="230"/>
      <c r="AD1860" s="230"/>
      <c r="AE1860" s="230"/>
    </row>
    <row r="1861">
      <c r="O1861" s="230"/>
      <c r="R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  <c r="AC1861" s="230"/>
      <c r="AD1861" s="230"/>
      <c r="AE1861" s="230"/>
    </row>
    <row r="1862">
      <c r="O1862" s="230"/>
      <c r="R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  <c r="AC1862" s="230"/>
      <c r="AD1862" s="230"/>
      <c r="AE1862" s="230"/>
    </row>
    <row r="1863">
      <c r="O1863" s="230"/>
      <c r="R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  <c r="AC1863" s="230"/>
      <c r="AD1863" s="230"/>
      <c r="AE1863" s="230"/>
    </row>
    <row r="1864">
      <c r="O1864" s="230"/>
      <c r="R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  <c r="AC1864" s="230"/>
      <c r="AD1864" s="230"/>
      <c r="AE1864" s="230"/>
    </row>
    <row r="1865">
      <c r="O1865" s="230"/>
      <c r="R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  <c r="AC1865" s="230"/>
      <c r="AD1865" s="230"/>
      <c r="AE1865" s="230"/>
    </row>
    <row r="1866">
      <c r="O1866" s="230"/>
      <c r="R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  <c r="AC1866" s="230"/>
      <c r="AD1866" s="230"/>
      <c r="AE1866" s="230"/>
    </row>
    <row r="1867">
      <c r="O1867" s="230"/>
      <c r="R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  <c r="AC1867" s="230"/>
      <c r="AD1867" s="230"/>
      <c r="AE1867" s="230"/>
    </row>
    <row r="1868">
      <c r="O1868" s="230"/>
      <c r="R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  <c r="AC1868" s="230"/>
      <c r="AD1868" s="230"/>
      <c r="AE1868" s="230"/>
    </row>
    <row r="1869">
      <c r="O1869" s="230"/>
      <c r="R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  <c r="AC1869" s="230"/>
      <c r="AD1869" s="230"/>
      <c r="AE1869" s="230"/>
    </row>
    <row r="1870">
      <c r="O1870" s="230"/>
      <c r="R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  <c r="AC1870" s="230"/>
      <c r="AD1870" s="230"/>
      <c r="AE1870" s="230"/>
    </row>
    <row r="1871">
      <c r="O1871" s="230"/>
      <c r="R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  <c r="AC1871" s="230"/>
      <c r="AD1871" s="230"/>
      <c r="AE1871" s="230"/>
    </row>
    <row r="1872">
      <c r="O1872" s="230"/>
      <c r="R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  <c r="AC1872" s="230"/>
      <c r="AD1872" s="230"/>
      <c r="AE1872" s="230"/>
    </row>
    <row r="1873">
      <c r="O1873" s="230"/>
      <c r="R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  <c r="AC1873" s="230"/>
      <c r="AD1873" s="230"/>
      <c r="AE1873" s="230"/>
    </row>
    <row r="1874">
      <c r="O1874" s="230"/>
      <c r="R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  <c r="AC1874" s="230"/>
      <c r="AD1874" s="230"/>
      <c r="AE1874" s="230"/>
    </row>
    <row r="1875">
      <c r="O1875" s="230"/>
      <c r="R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  <c r="AC1875" s="230"/>
      <c r="AD1875" s="230"/>
      <c r="AE1875" s="230"/>
    </row>
    <row r="1876">
      <c r="O1876" s="230"/>
      <c r="R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  <c r="AC1876" s="230"/>
      <c r="AD1876" s="230"/>
      <c r="AE1876" s="230"/>
    </row>
    <row r="1877">
      <c r="O1877" s="230"/>
      <c r="R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  <c r="AC1877" s="230"/>
      <c r="AD1877" s="230"/>
      <c r="AE1877" s="230"/>
    </row>
    <row r="1878">
      <c r="O1878" s="230"/>
      <c r="R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  <c r="AC1878" s="230"/>
      <c r="AD1878" s="230"/>
      <c r="AE1878" s="230"/>
    </row>
    <row r="1879">
      <c r="O1879" s="230"/>
      <c r="R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  <c r="AC1879" s="230"/>
      <c r="AD1879" s="230"/>
      <c r="AE1879" s="230"/>
    </row>
    <row r="1880">
      <c r="O1880" s="230"/>
      <c r="R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  <c r="AC1880" s="230"/>
      <c r="AD1880" s="230"/>
      <c r="AE1880" s="230"/>
    </row>
    <row r="1881">
      <c r="O1881" s="230"/>
      <c r="R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  <c r="AC1881" s="230"/>
      <c r="AD1881" s="230"/>
      <c r="AE1881" s="230"/>
    </row>
    <row r="1882">
      <c r="O1882" s="230"/>
      <c r="R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  <c r="AC1882" s="230"/>
      <c r="AD1882" s="230"/>
      <c r="AE1882" s="230"/>
    </row>
    <row r="1883">
      <c r="O1883" s="230"/>
      <c r="R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  <c r="AC1883" s="230"/>
      <c r="AD1883" s="230"/>
      <c r="AE1883" s="230"/>
    </row>
    <row r="1884">
      <c r="O1884" s="230"/>
      <c r="R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  <c r="AC1884" s="230"/>
      <c r="AD1884" s="230"/>
      <c r="AE1884" s="230"/>
    </row>
    <row r="1885">
      <c r="O1885" s="230"/>
      <c r="R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  <c r="AC1885" s="230"/>
      <c r="AD1885" s="230"/>
      <c r="AE1885" s="230"/>
    </row>
    <row r="1886">
      <c r="O1886" s="230"/>
      <c r="R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  <c r="AC1886" s="230"/>
      <c r="AD1886" s="230"/>
      <c r="AE1886" s="230"/>
    </row>
    <row r="1887">
      <c r="O1887" s="230"/>
      <c r="R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  <c r="AC1887" s="230"/>
      <c r="AD1887" s="230"/>
      <c r="AE1887" s="230"/>
    </row>
    <row r="1888">
      <c r="O1888" s="230"/>
      <c r="R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  <c r="AC1888" s="230"/>
      <c r="AD1888" s="230"/>
      <c r="AE1888" s="230"/>
    </row>
    <row r="1889">
      <c r="O1889" s="230"/>
      <c r="R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  <c r="AC1889" s="230"/>
      <c r="AD1889" s="230"/>
      <c r="AE1889" s="230"/>
    </row>
    <row r="1890">
      <c r="O1890" s="230"/>
      <c r="R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  <c r="AC1890" s="230"/>
      <c r="AD1890" s="230"/>
      <c r="AE1890" s="230"/>
    </row>
    <row r="1891">
      <c r="O1891" s="230"/>
      <c r="R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  <c r="AC1891" s="230"/>
      <c r="AD1891" s="230"/>
      <c r="AE1891" s="230"/>
    </row>
    <row r="1892">
      <c r="O1892" s="230"/>
      <c r="R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  <c r="AC1892" s="230"/>
      <c r="AD1892" s="230"/>
      <c r="AE1892" s="230"/>
    </row>
    <row r="1893">
      <c r="O1893" s="230"/>
      <c r="R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  <c r="AC1893" s="230"/>
      <c r="AD1893" s="230"/>
      <c r="AE1893" s="230"/>
    </row>
    <row r="1894">
      <c r="O1894" s="230"/>
      <c r="R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  <c r="AC1894" s="230"/>
      <c r="AD1894" s="230"/>
      <c r="AE1894" s="230"/>
    </row>
    <row r="1895">
      <c r="O1895" s="230"/>
      <c r="R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  <c r="AC1895" s="230"/>
      <c r="AD1895" s="230"/>
      <c r="AE1895" s="230"/>
    </row>
    <row r="1896">
      <c r="O1896" s="230"/>
      <c r="R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  <c r="AC1896" s="230"/>
      <c r="AD1896" s="230"/>
      <c r="AE1896" s="230"/>
    </row>
    <row r="1897">
      <c r="O1897" s="230"/>
      <c r="R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  <c r="AC1897" s="230"/>
      <c r="AD1897" s="230"/>
      <c r="AE1897" s="230"/>
    </row>
    <row r="1898">
      <c r="O1898" s="230"/>
      <c r="R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  <c r="AC1898" s="230"/>
      <c r="AD1898" s="230"/>
      <c r="AE1898" s="230"/>
    </row>
    <row r="1899">
      <c r="O1899" s="230"/>
      <c r="R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  <c r="AC1899" s="230"/>
      <c r="AD1899" s="230"/>
      <c r="AE1899" s="230"/>
    </row>
    <row r="1900">
      <c r="O1900" s="230"/>
      <c r="R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  <c r="AC1900" s="230"/>
      <c r="AD1900" s="230"/>
      <c r="AE1900" s="230"/>
    </row>
    <row r="1901">
      <c r="O1901" s="230"/>
      <c r="R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  <c r="AC1901" s="230"/>
      <c r="AD1901" s="230"/>
      <c r="AE1901" s="230"/>
    </row>
    <row r="1902">
      <c r="O1902" s="230"/>
      <c r="R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  <c r="AC1902" s="230"/>
      <c r="AD1902" s="230"/>
      <c r="AE1902" s="230"/>
    </row>
    <row r="1903">
      <c r="O1903" s="230"/>
      <c r="R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  <c r="AC1903" s="230"/>
      <c r="AD1903" s="230"/>
      <c r="AE1903" s="230"/>
    </row>
    <row r="1904">
      <c r="O1904" s="230"/>
      <c r="R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  <c r="AC1904" s="230"/>
      <c r="AD1904" s="230"/>
      <c r="AE1904" s="230"/>
    </row>
    <row r="1905">
      <c r="O1905" s="230"/>
      <c r="R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  <c r="AC1905" s="230"/>
      <c r="AD1905" s="230"/>
      <c r="AE1905" s="230"/>
    </row>
    <row r="1906">
      <c r="O1906" s="230"/>
      <c r="R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  <c r="AC1906" s="230"/>
      <c r="AD1906" s="230"/>
      <c r="AE1906" s="230"/>
    </row>
    <row r="1907">
      <c r="O1907" s="230"/>
      <c r="R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  <c r="AC1907" s="230"/>
      <c r="AD1907" s="230"/>
      <c r="AE1907" s="230"/>
    </row>
    <row r="1908">
      <c r="O1908" s="230"/>
      <c r="R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  <c r="AC1908" s="230"/>
      <c r="AD1908" s="230"/>
      <c r="AE1908" s="230"/>
    </row>
    <row r="1909">
      <c r="O1909" s="230"/>
      <c r="R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  <c r="AC1909" s="230"/>
      <c r="AD1909" s="230"/>
      <c r="AE1909" s="230"/>
    </row>
    <row r="1910">
      <c r="O1910" s="230"/>
      <c r="R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  <c r="AC1910" s="230"/>
      <c r="AD1910" s="230"/>
      <c r="AE1910" s="230"/>
    </row>
    <row r="1911">
      <c r="O1911" s="230"/>
      <c r="R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  <c r="AC1911" s="230"/>
      <c r="AD1911" s="230"/>
      <c r="AE1911" s="230"/>
    </row>
    <row r="1912">
      <c r="O1912" s="230"/>
      <c r="R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  <c r="AC1912" s="230"/>
      <c r="AD1912" s="230"/>
      <c r="AE1912" s="230"/>
    </row>
    <row r="1913">
      <c r="O1913" s="230"/>
      <c r="R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  <c r="AC1913" s="230"/>
      <c r="AD1913" s="230"/>
      <c r="AE1913" s="230"/>
    </row>
    <row r="1914">
      <c r="O1914" s="230"/>
      <c r="R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  <c r="AC1914" s="230"/>
      <c r="AD1914" s="230"/>
      <c r="AE1914" s="230"/>
    </row>
    <row r="1915">
      <c r="O1915" s="230"/>
      <c r="R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  <c r="AC1915" s="230"/>
      <c r="AD1915" s="230"/>
      <c r="AE1915" s="230"/>
    </row>
    <row r="1916">
      <c r="O1916" s="230"/>
      <c r="R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  <c r="AC1916" s="230"/>
      <c r="AD1916" s="230"/>
      <c r="AE1916" s="230"/>
    </row>
    <row r="1917">
      <c r="O1917" s="230"/>
      <c r="R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  <c r="AC1917" s="230"/>
      <c r="AD1917" s="230"/>
      <c r="AE1917" s="230"/>
    </row>
    <row r="1918">
      <c r="O1918" s="230"/>
      <c r="R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  <c r="AC1918" s="230"/>
      <c r="AD1918" s="230"/>
      <c r="AE1918" s="230"/>
    </row>
    <row r="1919">
      <c r="O1919" s="230"/>
      <c r="R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  <c r="AC1919" s="230"/>
      <c r="AD1919" s="230"/>
      <c r="AE1919" s="230"/>
    </row>
    <row r="1920">
      <c r="O1920" s="230"/>
      <c r="R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  <c r="AC1920" s="230"/>
      <c r="AD1920" s="230"/>
      <c r="AE1920" s="230"/>
    </row>
    <row r="1921">
      <c r="O1921" s="230"/>
      <c r="R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  <c r="AC1921" s="230"/>
      <c r="AD1921" s="230"/>
      <c r="AE1921" s="230"/>
    </row>
    <row r="1922">
      <c r="O1922" s="230"/>
      <c r="R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  <c r="AC1922" s="230"/>
      <c r="AD1922" s="230"/>
      <c r="AE1922" s="230"/>
    </row>
    <row r="1923">
      <c r="O1923" s="230"/>
      <c r="R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  <c r="AC1923" s="230"/>
      <c r="AD1923" s="230"/>
      <c r="AE1923" s="230"/>
    </row>
    <row r="1924">
      <c r="O1924" s="230"/>
      <c r="R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  <c r="AC1924" s="230"/>
      <c r="AD1924" s="230"/>
      <c r="AE1924" s="230"/>
    </row>
    <row r="1925">
      <c r="O1925" s="230"/>
      <c r="R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  <c r="AC1925" s="230"/>
      <c r="AD1925" s="230"/>
      <c r="AE1925" s="230"/>
    </row>
    <row r="1926">
      <c r="O1926" s="230"/>
      <c r="R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  <c r="AC1926" s="230"/>
      <c r="AD1926" s="230"/>
      <c r="AE1926" s="230"/>
    </row>
    <row r="1927">
      <c r="O1927" s="230"/>
      <c r="R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  <c r="AC1927" s="230"/>
      <c r="AD1927" s="230"/>
      <c r="AE1927" s="230"/>
    </row>
    <row r="1928">
      <c r="O1928" s="230"/>
      <c r="R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  <c r="AC1928" s="230"/>
      <c r="AD1928" s="230"/>
      <c r="AE1928" s="230"/>
    </row>
    <row r="1929">
      <c r="O1929" s="230"/>
      <c r="R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  <c r="AC1929" s="230"/>
      <c r="AD1929" s="230"/>
      <c r="AE1929" s="230"/>
    </row>
    <row r="1930">
      <c r="O1930" s="230"/>
      <c r="R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  <c r="AC1930" s="230"/>
      <c r="AD1930" s="230"/>
      <c r="AE1930" s="230"/>
    </row>
    <row r="1931">
      <c r="O1931" s="230"/>
      <c r="R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  <c r="AC1931" s="230"/>
      <c r="AD1931" s="230"/>
      <c r="AE1931" s="230"/>
    </row>
    <row r="1932">
      <c r="O1932" s="230"/>
      <c r="R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  <c r="AC1932" s="230"/>
      <c r="AD1932" s="230"/>
      <c r="AE1932" s="230"/>
    </row>
    <row r="1933">
      <c r="O1933" s="230"/>
      <c r="R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  <c r="AC1933" s="230"/>
      <c r="AD1933" s="230"/>
      <c r="AE1933" s="230"/>
    </row>
    <row r="1934">
      <c r="O1934" s="230"/>
      <c r="R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  <c r="AC1934" s="230"/>
      <c r="AD1934" s="230"/>
      <c r="AE1934" s="230"/>
    </row>
    <row r="1935">
      <c r="O1935" s="230"/>
      <c r="R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  <c r="AC1935" s="230"/>
      <c r="AD1935" s="230"/>
      <c r="AE1935" s="230"/>
    </row>
    <row r="1936">
      <c r="O1936" s="230"/>
      <c r="R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  <c r="AC1936" s="230"/>
      <c r="AD1936" s="230"/>
      <c r="AE1936" s="230"/>
    </row>
    <row r="1937">
      <c r="O1937" s="230"/>
      <c r="R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  <c r="AC1937" s="230"/>
      <c r="AD1937" s="230"/>
      <c r="AE1937" s="230"/>
    </row>
    <row r="1938">
      <c r="O1938" s="230"/>
      <c r="R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  <c r="AC1938" s="230"/>
      <c r="AD1938" s="230"/>
      <c r="AE1938" s="230"/>
    </row>
    <row r="1939">
      <c r="O1939" s="230"/>
      <c r="R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  <c r="AC1939" s="230"/>
      <c r="AD1939" s="230"/>
      <c r="AE1939" s="230"/>
    </row>
    <row r="1940">
      <c r="O1940" s="230"/>
      <c r="R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  <c r="AC1940" s="230"/>
      <c r="AD1940" s="230"/>
      <c r="AE1940" s="230"/>
    </row>
    <row r="1941">
      <c r="O1941" s="230"/>
      <c r="R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  <c r="AC1941" s="230"/>
      <c r="AD1941" s="230"/>
      <c r="AE1941" s="230"/>
    </row>
    <row r="1942">
      <c r="O1942" s="230"/>
      <c r="R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  <c r="AC1942" s="230"/>
      <c r="AD1942" s="230"/>
      <c r="AE1942" s="230"/>
    </row>
    <row r="1943">
      <c r="O1943" s="230"/>
      <c r="R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  <c r="AC1943" s="230"/>
      <c r="AD1943" s="230"/>
      <c r="AE1943" s="230"/>
    </row>
    <row r="1944">
      <c r="O1944" s="230"/>
      <c r="R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  <c r="AC1944" s="230"/>
      <c r="AD1944" s="230"/>
      <c r="AE1944" s="230"/>
    </row>
    <row r="1945">
      <c r="O1945" s="230"/>
      <c r="R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</row>
    <row r="1946">
      <c r="O1946" s="230"/>
      <c r="R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  <c r="AC1946" s="230"/>
      <c r="AD1946" s="230"/>
      <c r="AE1946" s="230"/>
    </row>
    <row r="1947">
      <c r="O1947" s="230"/>
      <c r="R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  <c r="AC1947" s="230"/>
      <c r="AD1947" s="230"/>
      <c r="AE1947" s="230"/>
    </row>
    <row r="1948">
      <c r="O1948" s="230"/>
      <c r="R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  <c r="AC1948" s="230"/>
      <c r="AD1948" s="230"/>
      <c r="AE1948" s="230"/>
    </row>
    <row r="1949">
      <c r="O1949" s="230"/>
      <c r="R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  <c r="AC1949" s="230"/>
      <c r="AD1949" s="230"/>
      <c r="AE1949" s="230"/>
    </row>
    <row r="1950">
      <c r="O1950" s="230"/>
      <c r="R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  <c r="AC1950" s="230"/>
      <c r="AD1950" s="230"/>
      <c r="AE1950" s="230"/>
    </row>
    <row r="1951">
      <c r="O1951" s="230"/>
      <c r="R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  <c r="AC1951" s="230"/>
      <c r="AD1951" s="230"/>
      <c r="AE1951" s="230"/>
    </row>
    <row r="1952">
      <c r="O1952" s="230"/>
      <c r="R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  <c r="AC1952" s="230"/>
      <c r="AD1952" s="230"/>
      <c r="AE1952" s="230"/>
    </row>
    <row r="1953">
      <c r="O1953" s="230"/>
      <c r="R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  <c r="AC1953" s="230"/>
      <c r="AD1953" s="230"/>
      <c r="AE1953" s="230"/>
    </row>
    <row r="1954">
      <c r="O1954" s="230"/>
      <c r="R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  <c r="AC1954" s="230"/>
      <c r="AD1954" s="230"/>
      <c r="AE1954" s="230"/>
    </row>
    <row r="1955">
      <c r="O1955" s="230"/>
      <c r="R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  <c r="AC1955" s="230"/>
      <c r="AD1955" s="230"/>
      <c r="AE1955" s="230"/>
    </row>
    <row r="1956">
      <c r="O1956" s="230"/>
      <c r="R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  <c r="AC1956" s="230"/>
      <c r="AD1956" s="230"/>
      <c r="AE1956" s="230"/>
    </row>
    <row r="1957">
      <c r="O1957" s="230"/>
      <c r="R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  <c r="AC1957" s="230"/>
      <c r="AD1957" s="230"/>
      <c r="AE1957" s="230"/>
    </row>
    <row r="1958">
      <c r="O1958" s="230"/>
      <c r="R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  <c r="AC1958" s="230"/>
      <c r="AD1958" s="230"/>
      <c r="AE1958" s="230"/>
    </row>
    <row r="1959">
      <c r="O1959" s="230"/>
      <c r="R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  <c r="AC1959" s="230"/>
      <c r="AD1959" s="230"/>
      <c r="AE1959" s="230"/>
    </row>
    <row r="1960">
      <c r="O1960" s="230"/>
      <c r="R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  <c r="AC1960" s="230"/>
      <c r="AD1960" s="230"/>
      <c r="AE1960" s="230"/>
    </row>
    <row r="1961">
      <c r="O1961" s="230"/>
      <c r="R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  <c r="AC1961" s="230"/>
      <c r="AD1961" s="230"/>
      <c r="AE1961" s="230"/>
    </row>
    <row r="1962">
      <c r="O1962" s="230"/>
      <c r="R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  <c r="AC1962" s="230"/>
      <c r="AD1962" s="230"/>
      <c r="AE1962" s="230"/>
    </row>
    <row r="1963">
      <c r="O1963" s="230"/>
      <c r="R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  <c r="AC1963" s="230"/>
      <c r="AD1963" s="230"/>
      <c r="AE1963" s="230"/>
    </row>
    <row r="1964">
      <c r="O1964" s="230"/>
      <c r="R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  <c r="AC1964" s="230"/>
      <c r="AD1964" s="230"/>
      <c r="AE1964" s="230"/>
    </row>
    <row r="1965">
      <c r="O1965" s="230"/>
      <c r="R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  <c r="AC1965" s="230"/>
      <c r="AD1965" s="230"/>
      <c r="AE1965" s="230"/>
    </row>
    <row r="1966">
      <c r="O1966" s="230"/>
      <c r="R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  <c r="AC1966" s="230"/>
      <c r="AD1966" s="230"/>
      <c r="AE1966" s="230"/>
    </row>
    <row r="1967">
      <c r="O1967" s="230"/>
      <c r="R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  <c r="AC1967" s="230"/>
      <c r="AD1967" s="230"/>
      <c r="AE1967" s="230"/>
    </row>
    <row r="1968">
      <c r="O1968" s="230"/>
      <c r="R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  <c r="AC1968" s="230"/>
      <c r="AD1968" s="230"/>
      <c r="AE1968" s="230"/>
    </row>
    <row r="1969">
      <c r="O1969" s="230"/>
      <c r="R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  <c r="AC1969" s="230"/>
      <c r="AD1969" s="230"/>
      <c r="AE1969" s="230"/>
    </row>
    <row r="1970">
      <c r="O1970" s="230"/>
      <c r="R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  <c r="AC1970" s="230"/>
      <c r="AD1970" s="230"/>
      <c r="AE1970" s="230"/>
    </row>
    <row r="1971">
      <c r="O1971" s="230"/>
      <c r="R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  <c r="AC1971" s="230"/>
      <c r="AD1971" s="230"/>
      <c r="AE1971" s="230"/>
    </row>
    <row r="1972">
      <c r="O1972" s="230"/>
      <c r="R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  <c r="AC1972" s="230"/>
      <c r="AD1972" s="230"/>
      <c r="AE1972" s="230"/>
    </row>
    <row r="1973">
      <c r="O1973" s="230"/>
      <c r="R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  <c r="AC1973" s="230"/>
      <c r="AD1973" s="230"/>
      <c r="AE1973" s="230"/>
    </row>
    <row r="1974">
      <c r="O1974" s="230"/>
      <c r="R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  <c r="AC1974" s="230"/>
      <c r="AD1974" s="230"/>
      <c r="AE1974" s="230"/>
    </row>
    <row r="1975">
      <c r="O1975" s="230"/>
      <c r="R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  <c r="AC1975" s="230"/>
      <c r="AD1975" s="230"/>
      <c r="AE1975" s="230"/>
    </row>
    <row r="1976">
      <c r="O1976" s="230"/>
      <c r="R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  <c r="AC1976" s="230"/>
      <c r="AD1976" s="230"/>
      <c r="AE1976" s="230"/>
    </row>
    <row r="1977">
      <c r="O1977" s="230"/>
      <c r="R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  <c r="AC1977" s="230"/>
      <c r="AD1977" s="230"/>
      <c r="AE1977" s="230"/>
    </row>
    <row r="1978">
      <c r="O1978" s="230"/>
      <c r="R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  <c r="AC1978" s="230"/>
      <c r="AD1978" s="230"/>
      <c r="AE1978" s="230"/>
    </row>
    <row r="1979">
      <c r="O1979" s="230"/>
      <c r="R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  <c r="AC1979" s="230"/>
      <c r="AD1979" s="230"/>
      <c r="AE1979" s="230"/>
    </row>
    <row r="1980">
      <c r="O1980" s="230"/>
      <c r="R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  <c r="AC1980" s="230"/>
      <c r="AD1980" s="230"/>
      <c r="AE1980" s="230"/>
    </row>
    <row r="1981">
      <c r="O1981" s="230"/>
      <c r="R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  <c r="AC1981" s="230"/>
      <c r="AD1981" s="230"/>
      <c r="AE1981" s="230"/>
    </row>
    <row r="1982">
      <c r="O1982" s="230"/>
      <c r="R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  <c r="AC1982" s="230"/>
      <c r="AD1982" s="230"/>
      <c r="AE1982" s="230"/>
    </row>
    <row r="1983">
      <c r="O1983" s="230"/>
      <c r="R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  <c r="AC1983" s="230"/>
      <c r="AD1983" s="230"/>
      <c r="AE1983" s="230"/>
    </row>
    <row r="1984">
      <c r="O1984" s="230"/>
      <c r="R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  <c r="AC1984" s="230"/>
      <c r="AD1984" s="230"/>
      <c r="AE1984" s="230"/>
    </row>
    <row r="1985">
      <c r="O1985" s="230"/>
      <c r="R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  <c r="AC1985" s="230"/>
      <c r="AD1985" s="230"/>
      <c r="AE1985" s="230"/>
    </row>
    <row r="1986">
      <c r="O1986" s="230"/>
      <c r="R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  <c r="AC1986" s="230"/>
      <c r="AD1986" s="230"/>
      <c r="AE1986" s="230"/>
    </row>
    <row r="1987">
      <c r="O1987" s="230"/>
      <c r="R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  <c r="AC1987" s="230"/>
      <c r="AD1987" s="230"/>
      <c r="AE1987" s="230"/>
    </row>
    <row r="1988">
      <c r="O1988" s="230"/>
      <c r="R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  <c r="AC1988" s="230"/>
      <c r="AD1988" s="230"/>
      <c r="AE1988" s="230"/>
    </row>
    <row r="1989">
      <c r="O1989" s="230"/>
      <c r="R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  <c r="AC1989" s="230"/>
      <c r="AD1989" s="230"/>
      <c r="AE1989" s="230"/>
    </row>
    <row r="1990">
      <c r="O1990" s="230"/>
      <c r="R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  <c r="AC1990" s="230"/>
      <c r="AD1990" s="230"/>
      <c r="AE1990" s="230"/>
    </row>
    <row r="1991">
      <c r="O1991" s="230"/>
      <c r="R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  <c r="AC1991" s="230"/>
      <c r="AD1991" s="230"/>
      <c r="AE1991" s="230"/>
    </row>
    <row r="1992">
      <c r="O1992" s="230"/>
      <c r="R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  <c r="AC1992" s="230"/>
      <c r="AD1992" s="230"/>
      <c r="AE1992" s="230"/>
    </row>
    <row r="1993">
      <c r="O1993" s="230"/>
      <c r="R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  <c r="AC1993" s="230"/>
      <c r="AD1993" s="230"/>
      <c r="AE1993" s="230"/>
    </row>
    <row r="1994">
      <c r="O1994" s="230"/>
      <c r="R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  <c r="AC1994" s="230"/>
      <c r="AD1994" s="230"/>
      <c r="AE1994" s="230"/>
    </row>
    <row r="1995">
      <c r="O1995" s="230"/>
      <c r="R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  <c r="AC1995" s="230"/>
      <c r="AD1995" s="230"/>
      <c r="AE1995" s="230"/>
    </row>
    <row r="1996">
      <c r="O1996" s="230"/>
      <c r="R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  <c r="AC1996" s="230"/>
      <c r="AD1996" s="230"/>
      <c r="AE1996" s="230"/>
    </row>
    <row r="1997">
      <c r="O1997" s="230"/>
      <c r="R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  <c r="AC1997" s="230"/>
      <c r="AD1997" s="230"/>
      <c r="AE1997" s="230"/>
    </row>
    <row r="1998">
      <c r="O1998" s="230"/>
      <c r="R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  <c r="AC1998" s="230"/>
      <c r="AD1998" s="230"/>
      <c r="AE1998" s="230"/>
    </row>
    <row r="1999">
      <c r="O1999" s="230"/>
      <c r="R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  <c r="AC1999" s="230"/>
      <c r="AD1999" s="230"/>
      <c r="AE1999" s="230"/>
    </row>
    <row r="2000">
      <c r="O2000" s="230"/>
      <c r="R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  <c r="AC2000" s="230"/>
      <c r="AD2000" s="230"/>
      <c r="AE2000" s="230"/>
    </row>
    <row r="2001">
      <c r="O2001" s="230"/>
      <c r="R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  <c r="AC2001" s="230"/>
      <c r="AD2001" s="230"/>
      <c r="AE2001" s="230"/>
    </row>
    <row r="2002">
      <c r="O2002" s="230"/>
      <c r="R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  <c r="AC2002" s="230"/>
      <c r="AD2002" s="230"/>
      <c r="AE2002" s="230"/>
    </row>
    <row r="2003">
      <c r="O2003" s="230"/>
      <c r="R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  <c r="AC2003" s="230"/>
      <c r="AD2003" s="230"/>
      <c r="AE2003" s="230"/>
    </row>
    <row r="2004">
      <c r="O2004" s="230"/>
      <c r="R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  <c r="AC2004" s="230"/>
      <c r="AD2004" s="230"/>
      <c r="AE2004" s="230"/>
    </row>
  </sheetData>
  <autoFilter ref="$A$1:$AO$2004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99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14.0</v>
      </c>
      <c r="C3" s="219">
        <v>435.5</v>
      </c>
      <c r="D3" s="216"/>
      <c r="E3" s="212"/>
      <c r="F3" s="217"/>
    </row>
    <row r="4" ht="22.5" customHeight="1">
      <c r="A4" s="218" t="s">
        <v>250</v>
      </c>
      <c r="B4" s="216"/>
      <c r="C4" s="212">
        <v>198.5</v>
      </c>
      <c r="D4" s="216"/>
      <c r="E4" s="212"/>
      <c r="F4" s="220" t="s">
        <v>251</v>
      </c>
    </row>
    <row r="5" ht="22.5" customHeight="1">
      <c r="A5" s="218" t="s">
        <v>252</v>
      </c>
      <c r="B5" s="216"/>
      <c r="C5" s="212">
        <v>7.5</v>
      </c>
      <c r="D5" s="216"/>
      <c r="E5" s="212"/>
      <c r="F5" s="220" t="s">
        <v>251</v>
      </c>
    </row>
    <row r="6" ht="22.5" customHeight="1">
      <c r="A6" s="218" t="s">
        <v>253</v>
      </c>
      <c r="B6" s="216"/>
      <c r="C6" s="212">
        <v>5.0</v>
      </c>
      <c r="D6" s="216"/>
      <c r="E6" s="212"/>
      <c r="F6" s="221" t="s">
        <v>8690</v>
      </c>
    </row>
    <row r="7" ht="22.5" customHeight="1">
      <c r="A7" s="218" t="s">
        <v>255</v>
      </c>
      <c r="B7" s="216">
        <f>SUM('Sprint 9'!O:O)</f>
        <v>394</v>
      </c>
      <c r="C7" s="212">
        <f>ROUND(SUM('Sprint 9'!S:S)/3600,2)</f>
        <v>260.67</v>
      </c>
      <c r="D7" s="216">
        <f>SUMIF('Sprint 9'!J:J, "Done", 'Sprint 9'!O:O)</f>
        <v>74</v>
      </c>
      <c r="E7" s="212">
        <f>ROUND(SUMIF('Sprint 9'!J:J, "Done", 'Sprint 9'!S:S)/3600,2)</f>
        <v>99.67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f>IFERROR(__xludf.DUMMYFUNCTION("IFERROR(SUM(FILTER('Sprint 9'!O:O, ('Sprint 9'!P:P = ""mid-sprint""))),0)"),10.0)</f>
        <v>10</v>
      </c>
      <c r="C9" s="212">
        <f>IFERROR(__xludf.DUMMYFUNCTION("ROUND(IFERROR(SUM(FILTER('Sprint 9'!S:S, ('Sprint 9'!P:P = ""mid-sprint"")))/3600,0),2)"),3.5)</f>
        <v>3.5</v>
      </c>
      <c r="D9" s="212">
        <f>IFERROR(__xludf.DUMMYFUNCTION("IFERROR(SUM(FILTER('Sprint 9'!O:O, (('Sprint 9'!J:J = ""Done"")) * ('Sprint 9'!P:P = ""mid-sprint""))),0)"),3.0)</f>
        <v>3</v>
      </c>
      <c r="E9" s="212">
        <f>IFERROR(__xludf.DUMMYFUNCTION("ROUND(IFERROR(SUM(FILTER('Sprint 9'!S:S, (('Sprint 9'!J:J = ""Done"")) * ('Sprint 9'!P:P = ""mid-sprint"")))/3600,0),2)"),3.5)</f>
        <v>3.5</v>
      </c>
      <c r="F9" s="225" t="s">
        <v>8691</v>
      </c>
    </row>
    <row r="10" ht="22.5" customHeight="1">
      <c r="A10" s="218" t="s">
        <v>258</v>
      </c>
      <c r="B10" s="212">
        <f>IFERROR(__xludf.DUMMYFUNCTION("IFERROR(SUM(FILTER('Sprint 9'!O:O, ('Sprint 9'!Q:Q = ""change-request""))),0)"),0.0)</f>
        <v>0</v>
      </c>
      <c r="C10" s="212">
        <f>IFERROR(__xludf.DUMMYFUNCTION("ROUND(IFERROR(SUM(FILTER('Sprint 9'!S:S, ('Sprint 9'!Q:Q = ""change-request"")))/3600,0),2)"),0.0)</f>
        <v>0</v>
      </c>
      <c r="D10" s="212">
        <f>IFERROR(__xludf.DUMMYFUNCTION("IFERROR(SUM(FILTER('Sprint 9'!O:O, (('Sprint 9'!J:J = ""Done"")) * ('Sprint 9'!Q:Q = ""change-request""))),0)"),0.0)</f>
        <v>0</v>
      </c>
      <c r="E10" s="212">
        <f>IFERROR(__xludf.DUMMYFUNCTION("ROUND(IFERROR(SUM(FILTER('Sprint 9'!S:S, (('Sprint 9'!J:J = ""Done"")) * ('Sprint 9'!Q:Q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9'!O:O, ('Sprint 9'!E:E = ""Aek:Atiphat Nanthachitvanich""))),0)"),32.0)</f>
        <v>32</v>
      </c>
      <c r="C12" s="223">
        <f>IFERROR(__xludf.DUMMYFUNCTION("ROUND(IFERROR(SUM(FILTER('Sprint 9'!S:S, ('Sprint 9'!E:E = ""Aek:Atiphat Nanthachitvanich"")))/3600,0),2)"),16.67)</f>
        <v>16.67</v>
      </c>
      <c r="D12" s="216">
        <f>IFERROR(__xludf.DUMMYFUNCTION("IFERROR(SUM(FILTER('Sprint 9'!O:O, (('Sprint 9'!J:J = ""Done"")) * ('Sprint 9'!E:E = ""Aek:Atiphat Nanthachitvanich""))),0)"),11.0)</f>
        <v>11</v>
      </c>
      <c r="E12" s="223">
        <f>IFERROR(__xludf.DUMMYFUNCTION("ROUND(IFERROR(SUM(FILTER('Sprint 9'!S:S, (('Sprint 9'!J:J = ""Done"")) * ('Sprint 9'!E:E = ""Aek:Atiphat Nanthachitvanich"")))/3600,0),2)"),2.67)</f>
        <v>2.67</v>
      </c>
      <c r="F12" s="224"/>
    </row>
    <row r="13" ht="22.5" customHeight="1">
      <c r="A13" s="218" t="s">
        <v>32</v>
      </c>
      <c r="B13" s="216">
        <f>IFERROR(__xludf.DUMMYFUNCTION("IFERROR(SUM(FILTER('Sprint 9'!O:O, ('Sprint 9'!E:E = ""A:Phongthorn""))),0)"),43.0)</f>
        <v>43</v>
      </c>
      <c r="C13" s="223">
        <f>IFERROR(__xludf.DUMMYFUNCTION("ROUND(IFERROR(SUM(FILTER('Sprint 9'!S:S, ('Sprint 9'!E:E = ""A:Phongthorn"")))/3600,0),2)"),46.0)</f>
        <v>46</v>
      </c>
      <c r="D13" s="216">
        <f>IFERROR(__xludf.DUMMYFUNCTION("IFERROR(SUM(FILTER('Sprint 9'!O:O, (('Sprint 9'!J:J = ""Done"")) * ('Sprint 9'!E:E = ""A:Phongthorn""))),0)"),12.0)</f>
        <v>12</v>
      </c>
      <c r="E13" s="223">
        <f>IFERROR(__xludf.DUMMYFUNCTION("ROUND(IFERROR(SUM(FILTER('Sprint 9'!S:S, (('Sprint 9'!J:J = ""Done"")) * ('Sprint 9'!E:E = ""A:Phongthorn"")))/3600,0),2)"),24.0)</f>
        <v>24</v>
      </c>
      <c r="F13" s="224"/>
    </row>
    <row r="14" ht="22.5" customHeight="1">
      <c r="A14" s="218" t="s">
        <v>72</v>
      </c>
      <c r="B14" s="216">
        <f>IFERROR(__xludf.DUMMYFUNCTION("IFERROR(SUM(FILTER('Sprint 9'!O:O, ('Sprint 9'!E:E = ""Aom: Pornsawan Polnyiem""))),0)"),40.0)</f>
        <v>40</v>
      </c>
      <c r="C14" s="223">
        <f>IFERROR(__xludf.DUMMYFUNCTION("ROUND(IFERROR(SUM(FILTER('Sprint 9'!S:S, ('Sprint 9'!E:E = ""Aom: Pornsawan Polnyiem"")))/3600,0),2)"),36.0)</f>
        <v>36</v>
      </c>
      <c r="D14" s="216">
        <f>IFERROR(__xludf.DUMMYFUNCTION("IFERROR(SUM(FILTER('Sprint 9'!O:O, (('Sprint 9'!J:J = ""Done"")) * ('Sprint 9'!E:E = ""Aom: Pornsawan Polnyiem""))),0)"),12.0)</f>
        <v>12</v>
      </c>
      <c r="E14" s="223">
        <f>IFERROR(__xludf.DUMMYFUNCTION("ROUND(IFERROR(SUM(FILTER('Sprint 9'!S:S, (('Sprint 9'!J:J = ""Done"")) * ('Sprint 9'!E:E = ""Aom: Pornsawan Polnyiem"")))/3600,0),2)"),8.0)</f>
        <v>8</v>
      </c>
      <c r="F14" s="224"/>
    </row>
    <row r="15" ht="22.5" customHeight="1">
      <c r="A15" s="218" t="s">
        <v>24</v>
      </c>
      <c r="B15" s="216">
        <f>IFERROR(__xludf.DUMMYFUNCTION("IFERROR(SUM(FILTER('Sprint 9'!O:O, ('Sprint 9'!E:E = ""Zan : Isarapong Bulan""))),0)"),18.0)</f>
        <v>18</v>
      </c>
      <c r="C15" s="223">
        <f>IFERROR(__xludf.DUMMYFUNCTION("ROUND(IFERROR(SUM(FILTER('Sprint 9'!S:S, ('Sprint 9'!E:E = ""Zan : Isarapong Bulan"")))/3600,0),2)"),33.0)</f>
        <v>33</v>
      </c>
      <c r="D15" s="216">
        <f>IFERROR(__xludf.DUMMYFUNCTION("IFERROR(SUM(FILTER('Sprint 9'!O:O, (('Sprint 9'!J:J = ""Done"")) * ('Sprint 9'!E:E = ""Zan : Isarapong Bulan""))),0)"),10.0)</f>
        <v>10</v>
      </c>
      <c r="E15" s="223">
        <f>IFERROR(__xludf.DUMMYFUNCTION("ROUND(IFERROR(SUM(FILTER('Sprint 9'!S:S, (('Sprint 9'!J:J = ""Done"")) * ('Sprint 9'!E:E = ""Zan : Isarapong Bulan"")))/3600,0),2)"),17.0)</f>
        <v>17</v>
      </c>
      <c r="F15" s="224"/>
    </row>
    <row r="16" ht="22.5" customHeight="1">
      <c r="A16" s="218" t="s">
        <v>73</v>
      </c>
      <c r="B16" s="216">
        <f>IFERROR(__xludf.DUMMYFUNCTION("IFERROR(SUM(FILTER('Sprint 9'!O:O, ('Sprint 9'!E:E = ""Mai:Sateta Abvanawong""))),0)"),45.0)</f>
        <v>45</v>
      </c>
      <c r="C16" s="223">
        <f>IFERROR(__xludf.DUMMYFUNCTION("ROUND(IFERROR(SUM(FILTER('Sprint 9'!S:S, ('Sprint 9'!E:E = ""Mai:Sateta Abvanawong"")))/3600,0),2)"),4.0)</f>
        <v>4</v>
      </c>
      <c r="D16" s="216">
        <f>IFERROR(__xludf.DUMMYFUNCTION("IFERROR(SUM(FILTER('Sprint 9'!O:O, (('Sprint 9'!J:J = ""Done"")) * ('Sprint 9'!E:E = ""Mai:Sateta Abvanawong""))),0)"),3.0)</f>
        <v>3</v>
      </c>
      <c r="E16" s="223">
        <f>IFERROR(__xludf.DUMMYFUNCTION("ROUND(IFERROR(SUM(FILTER('Sprint 9'!S:S, (('Sprint 9'!J:J = ""Done"")) * ('Sprint 9'!E:E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9'!O:O, ('Sprint 9'!E:E = ""Mac: Jarupong Pawichpongkul""))),0)"),44.0)</f>
        <v>44</v>
      </c>
      <c r="C17" s="223">
        <f>IFERROR(__xludf.DUMMYFUNCTION("ROUND(IFERROR(SUM(FILTER('Sprint 9'!S:S, ('Sprint 9'!E:E = ""Mac: Jarupong Pawichpongkul"")))/3600,0),2)"),21.0)</f>
        <v>21</v>
      </c>
      <c r="D17" s="216">
        <f>IFERROR(__xludf.DUMMYFUNCTION("IFERROR(SUM(FILTER('Sprint 9'!O:O, (('Sprint 9'!J:J = ""Done"")) * ('Sprint 9'!E:E = ""Mac: Jarupong Pawichpongkul""))),0)"),3.0)</f>
        <v>3</v>
      </c>
      <c r="E17" s="223">
        <f>IFERROR(__xludf.DUMMYFUNCTION("ROUND(IFERROR(SUM(FILTER('Sprint 9'!S:S, (('Sprint 9'!J:J = ""Done"")) * ('Sprint 9'!E:E = ""Mac: Jarupong Pawichpongkul"")))/3600,0),2)"),6.0)</f>
        <v>6</v>
      </c>
      <c r="F17" s="224"/>
    </row>
    <row r="18" ht="22.5" customHeight="1">
      <c r="A18" s="218" t="s">
        <v>75</v>
      </c>
      <c r="B18" s="216">
        <f>IFERROR(__xludf.DUMMYFUNCTION("IFERROR(SUM(FILTER('Sprint 9'!O:O, ('Sprint 9'!E:E = ""Moss : Kittapath Sangvikukit""))),0)"),48.0)</f>
        <v>48</v>
      </c>
      <c r="C18" s="223">
        <f>IFERROR(__xludf.DUMMYFUNCTION("ROUND(IFERROR(SUM(FILTER('Sprint 9'!S:S, ('Sprint 9'!E:E = ""Moss : Kittapath Sangvikukit"")))/3600,0),2)"),42.0)</f>
        <v>42</v>
      </c>
      <c r="D18" s="216">
        <f>IFERROR(__xludf.DUMMYFUNCTION("IFERROR(SUM(FILTER('Sprint 9'!O:O, (('Sprint 9'!J:J = ""Done"")) * ('Sprint 9'!E:E = ""Moss : Kittapath Sangvikukit""))),0)"),13.0)</f>
        <v>13</v>
      </c>
      <c r="E18" s="223">
        <f>IFERROR(__xludf.DUMMYFUNCTION("ROUND(IFERROR(SUM(FILTER('Sprint 9'!S:S, (('Sprint 9'!J:J = ""Done"")) * ('Sprint 9'!E:E = ""Moss : Kittapath Sangvikukit"")))/3600,0),2)"),34.0)</f>
        <v>34</v>
      </c>
      <c r="F18" s="224"/>
    </row>
    <row r="19" ht="22.5" customHeight="1">
      <c r="A19" s="218" t="s">
        <v>28</v>
      </c>
      <c r="B19" s="216">
        <f>IFERROR(__xludf.DUMMYFUNCTION("IFERROR(SUM(FILTER('Sprint 9'!O:O, ('Sprint 9'!E:E = ""Jack: Warin Kesorn""))),0)"),24.0)</f>
        <v>24</v>
      </c>
      <c r="C19" s="223">
        <f>IFERROR(__xludf.DUMMYFUNCTION("ROUND(IFERROR(SUM(FILTER('Sprint 9'!S:S, ('Sprint 9'!E:E = ""Jack: Warin Kesorn"")))/3600,0),2)"),10.0)</f>
        <v>10</v>
      </c>
      <c r="D19" s="216">
        <f>IFERROR(__xludf.DUMMYFUNCTION("IFERROR(SUM(FILTER('Sprint 9'!O:O, (('Sprint 9'!J:J = ""Done"")) * ('Sprint 9'!E:E = ""Jack: Warin Kesorn""))),0)"),7.0)</f>
        <v>7</v>
      </c>
      <c r="E19" s="223">
        <f>IFERROR(__xludf.DUMMYFUNCTION("ROUND(IFERROR(SUM(FILTER('Sprint 9'!S:S, (('Sprint 9'!J:J = ""Done"")) * ('Sprint 9'!E:E = ""Jack: Warin Kesorn"")))/3600,0),2)"),8.0)</f>
        <v>8</v>
      </c>
      <c r="F19" s="224"/>
    </row>
    <row r="20" ht="22.5" customHeight="1">
      <c r="A20" s="218" t="s">
        <v>3616</v>
      </c>
      <c r="B20" s="216">
        <f>IFERROR(__xludf.DUMMYFUNCTION("IFERROR(SUM(FILTER('Sprint 9'!O:O, ('Sprint 9'!E:E = ""Art_narupontp""))),0)"),0.0)</f>
        <v>0</v>
      </c>
      <c r="C20" s="223">
        <f>IFERROR(__xludf.DUMMYFUNCTION("ROUND(IFERROR(SUM(FILTER('Sprint 9'!S:S, ('Sprint 9'!E:E = ""Art_narupontp"")))/3600,0),2)"),0.0)</f>
        <v>0</v>
      </c>
      <c r="D20" s="216">
        <f>IFERROR(__xludf.DUMMYFUNCTION("IFERROR(SUM(FILTER('Sprint 9'!O:O, (('Sprint 9'!J:J = ""Done"")) * ('Sprint 9'!E:E = ""Art_narupontp""))),0)"),0.0)</f>
        <v>0</v>
      </c>
      <c r="E20" s="223">
        <f>IFERROR(__xludf.DUMMYFUNCTION("ROUND(IFERROR(SUM(FILTER('Sprint 9'!S:S, (('Sprint 9'!J:J = ""Done"")) * ('Sprint 9'!E:E = ""Art_narupontp"")))/3600,0),2)"),0.0)</f>
        <v>0</v>
      </c>
      <c r="F20" s="224"/>
    </row>
    <row r="21" ht="22.5" customHeight="1">
      <c r="A21" s="218" t="s">
        <v>3617</v>
      </c>
      <c r="B21" s="216">
        <f>IFERROR(__xludf.DUMMYFUNCTION("IFERROR(SUM(FILTER('Sprint 9'!O:O, ('Sprint 9'!E:E = ""Kae: Pimonrath Jaiyen""))),0)"),31.0)</f>
        <v>31</v>
      </c>
      <c r="C21" s="223">
        <f>IFERROR(__xludf.DUMMYFUNCTION("ROUND(IFERROR(SUM(FILTER('Sprint 9'!S:S, ('Sprint 9'!E:E = ""Kae: Pimonrath Jaiyen"")))/3600,0),2)"),24.0)</f>
        <v>24</v>
      </c>
      <c r="D21" s="216">
        <f>IFERROR(__xludf.DUMMYFUNCTION("IFERROR(SUM(FILTER('Sprint 9'!O:O, (('Sprint 9'!J:J = ""Done"")) * ('Sprint 9'!E:E = ""Kae: Pimonrath Jaiyen""))),0)"),0.0)</f>
        <v>0</v>
      </c>
      <c r="E21" s="223">
        <f>IFERROR(__xludf.DUMMYFUNCTION("ROUND(IFERROR(SUM(FILTER('Sprint 9'!S:S, (('Sprint 9'!J:J = ""Done"")) * ('Sprint 9'!E:E = ""Kae: Pimonrath Jaiyen"")))/3600,0),2)"),0.0)</f>
        <v>0</v>
      </c>
      <c r="F21" s="224"/>
    </row>
    <row r="22" ht="22.5" customHeight="1">
      <c r="A22" s="218" t="s">
        <v>76</v>
      </c>
      <c r="B22" s="216">
        <f>IFERROR(__xludf.DUMMYFUNCTION("IFERROR(SUM(FILTER('Sprint 9'!O:O, ('Sprint 9'!E:E = ""Nim : muthita munmueang""))),0)"),46.0)</f>
        <v>46</v>
      </c>
      <c r="C22" s="223">
        <f>IFERROR(__xludf.DUMMYFUNCTION("ROUND(IFERROR(SUM(FILTER('Sprint 9'!S:S, ('Sprint 9'!E:E = ""Nim : muthita munmueang"")))/3600,0),2)"),28.0)</f>
        <v>28</v>
      </c>
      <c r="D22" s="216">
        <f>IFERROR(__xludf.DUMMYFUNCTION("IFERROR(SUM(FILTER('Sprint 9'!O:O, (('Sprint 9'!J:J = ""Done"")) * ('Sprint 9'!E:E = ""Nim : muthita munmueang""))),0)"),0.0)</f>
        <v>0</v>
      </c>
      <c r="E22" s="223">
        <f>IFERROR(__xludf.DUMMYFUNCTION("ROUND(IFERROR(SUM(FILTER('Sprint 9'!S:S, (('Sprint 9'!J:J = ""Done"")) * ('Sprint 9'!E:E = ""Nim : muthita munmueang"")))/3600,0),2)"),0.0)</f>
        <v>0</v>
      </c>
      <c r="F22" s="224"/>
    </row>
    <row r="23">
      <c r="C23" s="125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42" t="s">
        <v>3615</v>
      </c>
      <c r="J25" s="234"/>
      <c r="K25" s="234"/>
      <c r="L25" s="235"/>
    </row>
    <row r="26" ht="20.25" customHeight="1">
      <c r="A26" s="239" t="s">
        <v>2214</v>
      </c>
      <c r="B26" s="243" t="s">
        <v>30</v>
      </c>
      <c r="C26" s="243" t="s">
        <v>24</v>
      </c>
      <c r="D26" s="243" t="s">
        <v>72</v>
      </c>
      <c r="E26" s="243" t="s">
        <v>28</v>
      </c>
      <c r="F26" s="243" t="s">
        <v>32</v>
      </c>
      <c r="G26" s="243" t="s">
        <v>3616</v>
      </c>
      <c r="H26" s="243" t="s">
        <v>73</v>
      </c>
      <c r="I26" s="243" t="s">
        <v>3617</v>
      </c>
      <c r="J26" s="243" t="s">
        <v>74</v>
      </c>
      <c r="K26" s="243" t="s">
        <v>76</v>
      </c>
      <c r="L26" s="243" t="s">
        <v>75</v>
      </c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101" t="s">
        <v>4665</v>
      </c>
      <c r="B27" s="99">
        <f>IFERROR(__xludf.DUMMYFUNCTION("IFERROR(
  SUM(
    FILTER(
      'Sprint 9'!O:O,
      ('Sprint 9'!E:E = ""Aek:Atiphat Nanthachitvanich"") *
      (LEFT('Sprint 9'!B:B,7) = ""RDTHANA"")
    )
  ),
0)"),4.0)</f>
        <v>4</v>
      </c>
      <c r="C27" s="99">
        <f>IFERROR(__xludf.DUMMYFUNCTION("IFERROR(
  SUM(
    FILTER(
      'Sprint 9'!O:O,
      ('Sprint 9'!E:E = ""Zan : Isarapong Bulan"") *
      (LEFT('Sprint 9'!B:B,7) = ""RDTHANA"")
    )
  ),
0)"),5.0)</f>
        <v>5</v>
      </c>
      <c r="D27" s="99">
        <f>IFERROR(__xludf.DUMMYFUNCTION("IFERROR(
  SUM(
    FILTER(
      'Sprint 9'!O:O,
      ('Sprint 9'!E:E = ""Aom: Pornsawan Polnyiem"") *
      (LEFT('Sprint 9'!B:B,7) = ""RDTHANA"")
    )
  ),
0)"),1.0)</f>
        <v>1</v>
      </c>
      <c r="E27" s="99">
        <f>IFERROR(__xludf.DUMMYFUNCTION("IFERROR(
  SUM(
    FILTER(
      'Sprint 9'!O:O,
      ('Sprint 9'!E:E = ""Jack: Warin Kesorn"") *
      (LEFT('Sprint 9'!B:B,7) = ""RDTHANA"")
    )
  ),
0)"),8.0)</f>
        <v>8</v>
      </c>
      <c r="F27" s="99">
        <f>IFERROR(__xludf.DUMMYFUNCTION("IFERROR(
  SUM(
    FILTER(
      'Sprint 9'!O:O,
      ('Sprint 9'!E:E = ""A:Phongthorn"") *
      (LEFT('Sprint 9'!B:B,7) = ""RDTHANA"")
    )
  ),
0)"),23.0)</f>
        <v>23</v>
      </c>
      <c r="G27" s="99">
        <f>IFERROR(__xludf.DUMMYFUNCTION("IFERROR(
  SUM(
    FILTER(
      'Sprint 9'!O:O,
      ('Sprint 9'!E:E = ""Art_narupontp"") *
      (LEFT('Sprint 9'!B:B,7) = ""RDTHANA"")
    )
  ),
0)"),0.0)</f>
        <v>0</v>
      </c>
      <c r="H27" s="99">
        <f>IFERROR(__xludf.DUMMYFUNCTION("IFERROR(
  SUM(
    FILTER(
      'Sprint 9'!O:O,
      ('Sprint 9'!E:E = ""Mai:Sateta Abvanawong"") *
      (LEFT('Sprint 9'!B:B,7) = ""RDTHANA"")
    )
  ),
0)"),36.0)</f>
        <v>36</v>
      </c>
      <c r="I27" s="99">
        <f>IFERROR(__xludf.DUMMYFUNCTION("IFERROR(
  SUM(
    FILTER(
      'Sprint 9'!O:O,
      ('Sprint 9'!E:E = ""Kae: Pimonrath Jaiyen"") *
      (LEFT('Sprint 9'!B:B,7) = ""RDTHANA"")
    )
  ),
0)"),23.0)</f>
        <v>23</v>
      </c>
      <c r="J27" s="99">
        <f>IFERROR(__xludf.DUMMYFUNCTION("IFERROR(
  SUM(
    FILTER(
      'Sprint 9'!O:O,
      ('Sprint 9'!E:E = ""Mac: Jarupong Pawichpongkul"") *
      (LEFT('Sprint 9'!B:B,7) = ""RDTHANA"")
    )
  ),
0)"),38.0)</f>
        <v>38</v>
      </c>
      <c r="K27" s="99">
        <f>IFERROR(__xludf.DUMMYFUNCTION("IFERROR(
  SUM(
    FILTER(
      'Sprint 9'!O:O,
      ('Sprint 9'!E:E = ""Nim : muthita munmueang"") *
      (LEFT('Sprint 9'!B:B,7) = ""RDTHANA"")
    )
  ),
0)"),30.0)</f>
        <v>30</v>
      </c>
      <c r="L27" s="99">
        <f>IFERROR(__xludf.DUMMYFUNCTION("IFERROR(
  SUM(
    FILTER(
      'Sprint 9'!O:O,
      ('Sprint 9'!E:E = ""Moss : Kittapath Sangvikukit"") *
      (LEFT('Sprint 9'!B:B,7) = ""RDTHANA"")
    )
  ),
0)"),26.0)</f>
        <v>26</v>
      </c>
    </row>
    <row r="28">
      <c r="A28" s="101" t="s">
        <v>4666</v>
      </c>
      <c r="B28" s="99">
        <f>IFERROR(__xludf.DUMMYFUNCTION("IFERROR(
  SUM(
    FILTER(
      'Sprint 9'!O:O,
      ('Sprint 9'!E:E = ""Aek:Atiphat Nanthachitvanich"") *
      (LEFT('Sprint 9'!B:B,9) = ""DEVRDECOM"")
    )
  ),
0)"),14.0)</f>
        <v>14</v>
      </c>
      <c r="C28" s="99">
        <f>IFERROR(__xludf.DUMMYFUNCTION("IFERROR(
  SUM(
    FILTER(
      'Sprint 9'!O:O,
      ('Sprint 9'!E:E = ""Zan : Isarapong Bulan"") *
      (LEFT('Sprint 9'!B:B,9) = ""DEVRDECOM"")
    )
  ),
0)"),1.0)</f>
        <v>1</v>
      </c>
      <c r="D28" s="99">
        <f>IFERROR(__xludf.DUMMYFUNCTION("IFERROR(
  SUM(
    FILTER(
      'Sprint 9'!O:O,
      ('Sprint 9'!E:E = ""Aom: Pornsawan Polnyiem"") *
      (LEFT('Sprint 9'!B:B,9) = ""DEVRDECOM"")
    )
  ),
0)"),2.0)</f>
        <v>2</v>
      </c>
      <c r="E28" s="99">
        <f>IFERROR(__xludf.DUMMYFUNCTION("IFERROR(
  SUM(
    FILTER(
      'Sprint 9'!O:O,
      ('Sprint 9'!E:E = ""Jack: Warin Kesorn"") *
      (LEFT('Sprint 9'!B:B,9) = ""DEVRDECOM"")
    )
  ),
0)"),8.0)</f>
        <v>8</v>
      </c>
      <c r="F28" s="99">
        <f>IFERROR(__xludf.DUMMYFUNCTION("IFERROR(
  SUM(
    FILTER(
      'Sprint 9'!O:O,
      ('Sprint 9'!E:E = ""A:Phongthorn"") *
      (LEFT('Sprint 9'!B:B,9) = ""DEVRDECOM"")
    )
  ),
0)"),10.0)</f>
        <v>10</v>
      </c>
      <c r="G28" s="99">
        <f>IFERROR(__xludf.DUMMYFUNCTION("IFERROR(
  SUM(
    FILTER(
      'Sprint 9'!O:O,
      ('Sprint 9'!E:E = ""Art_narupontp"") *
      (LEFT('Sprint 9'!B:B,9) = ""DEVRDECOM"")
    )
  ),
0)"),0.0)</f>
        <v>0</v>
      </c>
      <c r="H28" s="99">
        <f>IFERROR(__xludf.DUMMYFUNCTION("IFERROR(
  SUM(
    FILTER(
      'Sprint 9'!O:O,
      ('Sprint 9'!E:E = ""Mai:Sateta Abvanawong"") *
      (LEFT('Sprint 9'!B:B,9) = ""DEVRDECOM"")
    )
  ),
0)"),3.0)</f>
        <v>3</v>
      </c>
      <c r="I28" s="99">
        <f>IFERROR(__xludf.DUMMYFUNCTION("IFERROR(
  SUM(
    FILTER(
      'Sprint 9'!O:O,
      ('Sprint 9'!E:E = ""Kae: Pimonrath Jaiyen"") *
      (LEFT('Sprint 9'!B:B,9) = ""DEVRDECOM"")
    )
  ),
0)"),8.0)</f>
        <v>8</v>
      </c>
      <c r="J28" s="99">
        <f>IFERROR(__xludf.DUMMYFUNCTION("IFERROR(
  SUM(
    FILTER(
      'Sprint 9'!O:O,
      ('Sprint 9'!E:E = ""Mac: Jarupong Pawichpongkul"") *
      (LEFT('Sprint 9'!B:B,9) = ""DEVRDECOM"")
    )
  ),
0)"),3.0)</f>
        <v>3</v>
      </c>
      <c r="K28" s="99">
        <f>IFERROR(__xludf.DUMMYFUNCTION("IFERROR(
  SUM(
    FILTER(
      'Sprint 9'!O:O,
      ('Sprint 9'!E:E = ""Nim : muthita munmueang"") *
      (LEFT('Sprint 9'!B:B,9) = ""DEVRDECOM"")
    )
  ),
0)"),2.0)</f>
        <v>2</v>
      </c>
      <c r="L28" s="99">
        <f>IFERROR(__xludf.DUMMYFUNCTION("IFERROR(
  SUM(
    FILTER(
      'Sprint 9'!O:O,
      ('Sprint 9'!E:E = ""Moss : Kittapath Sangvikukit"") *
      (LEFT('Sprint 9'!B:B,9) = ""DEVRDECOM"")
    )
  ),
0)"),14.0)</f>
        <v>14</v>
      </c>
    </row>
    <row r="29" ht="32.25" customHeight="1">
      <c r="A29" s="101" t="s">
        <v>4667</v>
      </c>
      <c r="B29" s="99">
        <f>IFERROR(__xludf.DUMMYFUNCTION("IFERROR(
  SUM(
    FILTER(
      'Sprint 9'!O:O,
      ('Sprint 9'!E:E = ""Aek:Atiphat Nanthachitvanich"") *
      (LEFT('Sprint 9'!B:B,7) = ""DEVRDCT"")
    )
  ),
0)"),9.0)</f>
        <v>9</v>
      </c>
      <c r="C29" s="99">
        <f>IFERROR(__xludf.DUMMYFUNCTION("IFERROR(
  SUM(
    FILTER(
      'Sprint 9'!O:O,
      ('Sprint 9'!E:E = ""Zan : Isarapong Bulan"") *
      (LEFT('Sprint 9'!B:B,7) = ""DEVRDCT"")
    )
  ),
0)"),0.0)</f>
        <v>0</v>
      </c>
      <c r="D29" s="99">
        <f>IFERROR(__xludf.DUMMYFUNCTION("IFERROR(
  SUM(
    FILTER(
      'Sprint 9'!O:O,
      ('Sprint 9'!E:E = ""Aom: Pornsawan Polnyiem"") *
      (LEFT('Sprint 9'!B:B,7) = ""DEVRDCT"")
    )
  ),
0)"),2.0)</f>
        <v>2</v>
      </c>
      <c r="E29" s="99">
        <f>IFERROR(__xludf.DUMMYFUNCTION("IFERROR(
  SUM(
    FILTER(
      'Sprint 9'!O:O,
      ('Sprint 9'!E:E = ""Jack: Warin Kesorn"") *
      (LEFT('Sprint 9'!B:B,7) = ""DEVRDCT"")
    )
  ),
0)"),7.0)</f>
        <v>7</v>
      </c>
      <c r="F29" s="99">
        <f>IFERROR(__xludf.DUMMYFUNCTION("IFERROR(
  SUM(
    FILTER(
      'Sprint 9'!O:O,
      ('Sprint 9'!E:E = ""A:Phongthorn"") *
      (LEFT('Sprint 9'!B:B,7) = ""DEVRDCT"")
    )
  ),
0)"),0.0)</f>
        <v>0</v>
      </c>
      <c r="G29" s="99">
        <f>IFERROR(__xludf.DUMMYFUNCTION("IFERROR(
  SUM(
    FILTER(
      'Sprint 9'!O:O,
      ('Sprint 9'!E:E = ""Art_narupontp"") *
      (LEFT('Sprint 9'!B:B,7) = ""DEVRDCT"")
    )
  ),
0)"),0.0)</f>
        <v>0</v>
      </c>
      <c r="H29" s="99">
        <f>IFERROR(__xludf.DUMMYFUNCTION("IFERROR(
  SUM(
    FILTER(
      'Sprint 9'!O:O,
      ('Sprint 9'!E:E = ""Mai:Sateta Abvanawong"") *
      (LEFT('Sprint 9'!B:B,7) = ""DEVRDCT"")
    )
  ),
0)"),0.0)</f>
        <v>0</v>
      </c>
      <c r="I29" s="99">
        <f>IFERROR(__xludf.DUMMYFUNCTION("IFERROR(
  SUM(
    FILTER(
      'Sprint 9'!O:O,
      ('Sprint 9'!E:E = ""Moss : Kittapath Sangvikukit"") *
      (LEFT('Sprint 9'!B:B,7) = ""DEVRDCT"")
    )
  ),
0)"),4.0)</f>
        <v>4</v>
      </c>
      <c r="J29" s="99">
        <f>IFERROR(__xludf.DUMMYFUNCTION("IFERROR(
  SUM(
    FILTER(
      'Sprint 9'!O:O,
      ('Sprint 9'!E:E = ""Mac: Jarupong Pawichpongkul"") *
      (LEFT('Sprint 9'!B:B,7) = ""DEVRDCT"")
    )
  ),
0)"),0.0)</f>
        <v>0</v>
      </c>
      <c r="K29" s="99">
        <f>IFERROR(__xludf.DUMMYFUNCTION("IFERROR(
  SUM(
    FILTER(
      'Sprint 9'!O:O,
      ('Sprint 9'!E:E = ""Moss : Kittapath Sangvikukit"") *
      (LEFT('Sprint 9'!B:B,7) = ""DEVRDCT"")
    )
  ),
0)"),4.0)</f>
        <v>4</v>
      </c>
      <c r="L29" s="99">
        <f>IFERROR(__xludf.DUMMYFUNCTION("IFERROR(
  SUM(
    FILTER(
      'Sprint 9'!O:O,
      ('Sprint 9'!E:E = ""Moss : Kittapath Sangvikukit"") *
      (LEFT('Sprint 9'!B:B,7) = ""DEVRDCT"")
    )
  ),
0)"),4.0)</f>
        <v>4</v>
      </c>
    </row>
    <row r="30" ht="22.5" customHeight="1">
      <c r="A30" s="101" t="s">
        <v>4668</v>
      </c>
      <c r="B30" s="99">
        <f>IFERROR(__xludf.DUMMYFUNCTION("IFERROR(
  SUM(
    FILTER(
      'Sprint 9'!O:O,
      ('Sprint 9'!E:E = ""Aek:Atiphat Nanthachitvanich"") *
      (LEFT('Sprint 9'!B:B,8) = ""DEVRDADJ"")
    )
  ),
0)"),0.0)</f>
        <v>0</v>
      </c>
      <c r="C30" s="99">
        <f>IFERROR(__xludf.DUMMYFUNCTION("IFERROR(
  SUM(
    FILTER(
      'Sprint 9'!O:O,
      ('Sprint 9'!E:E = ""Zan : Isarapong Bulan"") *
      (LEFT('Sprint 9'!B:B,8) = ""DEVRDADJ"")
    )
  ),
0)"),0.0)</f>
        <v>0</v>
      </c>
      <c r="D30" s="99">
        <f>IFERROR(__xludf.DUMMYFUNCTION("IFERROR(
  SUM(
    FILTER(
      'Sprint 9'!O:O,
      ('Sprint 9'!E:E = ""Aom: Pornsawan Polnyiem"") *
      (LEFT('Sprint 9'!B:B,8) = ""DEVRDADJ"")
    )
  ),
0)"),0.0)</f>
        <v>0</v>
      </c>
      <c r="E30" s="99">
        <f>IFERROR(__xludf.DUMMYFUNCTION("IFERROR(
  SUM(
    FILTER(
      'Sprint 9'!O:O,
      ('Sprint 9'!E:E = ""Jack: Warin Kesorn"") *
      (LEFT('Sprint 9'!B:B,8) = ""DEVRDADJ"")
    )
  ),
0)"),0.0)</f>
        <v>0</v>
      </c>
      <c r="F30" s="99">
        <f>IFERROR(__xludf.DUMMYFUNCTION("IFERROR(
  SUM(
    FILTER(
      'Sprint 9'!O:O,
      ('Sprint 9'!E:E = ""A:Phongthorn"") *
      (LEFT('Sprint 9'!B:B,8) = ""DEVRDADJ"")
    )
  ),
0)"),0.0)</f>
        <v>0</v>
      </c>
      <c r="G30" s="99">
        <f>IFERROR(__xludf.DUMMYFUNCTION("IFERROR(
  SUM(
    FILTER(
      'Sprint 9'!O:O,
      ('Sprint 9'!E:E = ""Art_narupontp"") *
      (LEFT('Sprint 9'!B:B,8) = ""DEVRDADJ"")
    )
  ),
0)"),0.0)</f>
        <v>0</v>
      </c>
      <c r="H30" s="99">
        <f>IFERROR(__xludf.DUMMYFUNCTION("IFERROR(
  SUM(
    FILTER(
      'Sprint 9'!O:O,
      ('Sprint 9'!E:E = ""Mai:Sateta Abvanawong"") *
      (LEFT('Sprint 9'!B:B,8) = ""DEVRDADJ"")
    )
  ),
0)"),2.0)</f>
        <v>2</v>
      </c>
      <c r="I30" s="99">
        <f>IFERROR(__xludf.DUMMYFUNCTION("IFERROR(
  SUM(
    FILTER(
      'Sprint 9'!O:O,
      ('Sprint 9'!E:E = ""Kae: Pimonrath Jaiyen"") *
      (LEFT('Sprint 9'!B:B,8) = ""DEVRDADJ"")
    )
  ),
0)"),0.0)</f>
        <v>0</v>
      </c>
      <c r="J30" s="99">
        <f>IFERROR(__xludf.DUMMYFUNCTION("IFERROR(
  SUM(
    FILTER(
      'Sprint 9'!O:O,
      ('Sprint 9'!E:E = ""Mac: Jarupong Pawichpongkul"") *
      (LEFT('Sprint 9'!B:B,8) = ""DEVRDADJ"")
    )
  ),
0)"),0.0)</f>
        <v>0</v>
      </c>
      <c r="K30" s="99">
        <f>IFERROR(__xludf.DUMMYFUNCTION("IFERROR(
  SUM(
    FILTER(
      'Sprint 9'!O:O,
      ('Sprint 9'!E:E = ""Nim : muthita munmueang"") *
      (LEFT('Sprint 9'!B:B,8) = ""DEVRDADJ"")
    )
  ),
0)"),5.0)</f>
        <v>5</v>
      </c>
      <c r="L30" s="99">
        <f>IFERROR(__xludf.DUMMYFUNCTION("IFERROR(
  SUM(
    FILTER(
      'Sprint 9'!O:O,
      ('Sprint 9'!E:E = ""Moss : Kittapath Sangvikukit"") *
      (LEFT('Sprint 9'!B:B,8) = ""DEVRDADJ"")
    )
  ),
0)"),0.0)</f>
        <v>0</v>
      </c>
    </row>
    <row r="31">
      <c r="A31" s="101" t="s">
        <v>4669</v>
      </c>
      <c r="B31" s="101">
        <f>IFERROR(__xludf.DUMMYFUNCTION("IFERROR(
  SUM(
    FILTER(
      'Sprint 9'!O:O,
      ('Sprint 9'!E:E = ""Aek:Atiphat Nanthachitvanich"") *
      (LEFT('Sprint 9'!B:B,5) = ""RDAPS"")
    )
  ),
0)"),3.0)</f>
        <v>3</v>
      </c>
      <c r="C31" s="99">
        <f>IFERROR(__xludf.DUMMYFUNCTION("IFERROR(
  SUM(
    FILTER(
      'Sprint 9'!O:O,
      ('Sprint 9'!E:E = ""Zan : Isarapong Bulan"") *
      (LEFT('Sprint 9'!B:B,5) = ""RDAPS"")
    )
  ),
0)"),11.0)</f>
        <v>11</v>
      </c>
      <c r="D31" s="99">
        <f>IFERROR(__xludf.DUMMYFUNCTION("IFERROR(
  SUM(
    FILTER(
      'Sprint 9'!O:O,
      ('Sprint 9'!E:E = ""Aom: Pornsawan Polnyiem"") *
      (LEFT('Sprint 9'!B:B,5) = ""RDAPS"")
    )
  ),
0)"),20.0)</f>
        <v>20</v>
      </c>
      <c r="E31" s="99">
        <f>IFERROR(__xludf.DUMMYFUNCTION("IFERROR(
  SUM(
    FILTER(
      'Sprint 9'!O:O,
      ('Sprint 9'!E:E = ""Jack: Warin Kesorn"") *
      (LEFT('Sprint 9'!B:B,5) = ""RDAPS"")
    )
  ),
0)"),1.0)</f>
        <v>1</v>
      </c>
      <c r="F31" s="99">
        <f>IFERROR(__xludf.DUMMYFUNCTION("IFERROR(
  SUM(
    FILTER(
      'Sprint 9'!O:O,
      ('Sprint 9'!E:E = ""A:Phongthorn"") *
      (LEFT('Sprint 9'!B:B,5) = ""RDAPS"")
    )
  ),
0)"),10.0)</f>
        <v>10</v>
      </c>
      <c r="G31" s="99">
        <f>IFERROR(__xludf.DUMMYFUNCTION("IFERROR(
  SUM(
    FILTER(
      'Sprint 9'!O:O,
      ('Sprint 9'!E:E = ""Art_narupontp"") *
      (LEFT('Sprint 9'!B:B,5) = ""RDAPS"")
    )
  ),
0)"),0.0)</f>
        <v>0</v>
      </c>
      <c r="H31" s="99">
        <f>IFERROR(__xludf.DUMMYFUNCTION("IFERROR(
  SUM(
    FILTER(
      'Sprint 9'!O:O,
      ('Sprint 9'!E:E = ""Mai:Sateta Abvanawong"") *
      (LEFT('Sprint 9'!B:B,5) = ""RDAPS"")
    )
  ),
0)"),4.0)</f>
        <v>4</v>
      </c>
      <c r="I31" s="99">
        <f>IFERROR(__xludf.DUMMYFUNCTION("IFERROR(
  SUM(
    FILTER(
      'Sprint 9'!O:O,
      ('Sprint 9'!E:E = ""Kae: Pimonrath Jaiyen"") *
      (LEFT('Sprint 9'!B:B,5) = ""RDAPS"")
    )
  ),
0)"),0.0)</f>
        <v>0</v>
      </c>
      <c r="J31" s="99">
        <f>IFERROR(__xludf.DUMMYFUNCTION("IFERROR(
  SUM(
    FILTER(
      'Sprint 9'!O:O,
      ('Sprint 9'!E:E = ""Mac: Jarupong Pawichpongkul"") *
      (LEFT('Sprint 9'!B:B,5) = ""RDAPS"")
    )
  ),
0)"),3.0)</f>
        <v>3</v>
      </c>
      <c r="K31" s="99">
        <f>IFERROR(__xludf.DUMMYFUNCTION("IFERROR(
  SUM(
    FILTER(
      'Sprint 9'!O:O,
      ('Sprint 9'!E:E = ""Moss : Kittapath Sangvikukitฃ"") *
      (LEFT('Sprint 9'!B:B,5) = ""RDAPS"")
    )
  ),
0)"),0.0)</f>
        <v>0</v>
      </c>
      <c r="L31" s="99">
        <f>IFERROR(__xludf.DUMMYFUNCTION("IFERROR(
  SUM(
    FILTER(
      'Sprint 9'!O:O,
      ('Sprint 9'!E:E = ""Moss : Kittapath Sangvikukit"") *
      (LEFT('Sprint 9'!B:B,5) = ""RDAPS"")
    )
  ),
0)"),4.0)</f>
        <v>4</v>
      </c>
    </row>
    <row r="32" ht="21.0" customHeight="1">
      <c r="A32" s="101" t="s">
        <v>4670</v>
      </c>
      <c r="B32" s="101">
        <f>IFERROR(__xludf.DUMMYFUNCTION("IFERROR(
  SUM(
    FILTER(
      'Sprint 9'!O:O,
      ('Sprint 9'!E:E = ""Aek:Atiphat Nanthachitvanich"") *
      (LEFT('Sprint 9'!B:B,8) = ""DEVRDSUP"")
    )
  ),
0)"),2.0)</f>
        <v>2</v>
      </c>
      <c r="C32" s="99">
        <f>IFERROR(__xludf.DUMMYFUNCTION("IFERROR(
  SUM(
    FILTER(
      'Sprint 9'!O:O,
      ('Sprint 9'!E:E = ""Zan : Isarapong Bulan"") *
      (LEFT('Sprint 9'!B:B,8) = ""DEVRDSUP"")
    )
  ),
0)"),1.0)</f>
        <v>1</v>
      </c>
      <c r="D32" s="99">
        <f>IFERROR(__xludf.DUMMYFUNCTION("IFERROR(
  SUM(
    FILTER(
      'Sprint 9'!O:O,
      ('Sprint 9'!E:E = ""Aom: Pornsawan Polnyiem"") *
      (LEFT('Sprint 9'!B:B,8) = ""DEVRDSUP"")
    )
  ),
0)"),15.0)</f>
        <v>15</v>
      </c>
      <c r="E32" s="99">
        <f>IFERROR(__xludf.DUMMYFUNCTION("IFERROR(
  SUM(
    FILTER(
      'Sprint 9'!O:O,
      ('Sprint 9'!E:E = ""Jack: Warin Kesorn"") *
      (LEFT('Sprint 9'!B:B,8) = ""DEVRDSUP"")
    )
  ),
0)"),0.0)</f>
        <v>0</v>
      </c>
      <c r="F32" s="101">
        <f>IFERROR(__xludf.DUMMYFUNCTION("IFERROR(
  SUM(
    FILTER(
      'Sprint 9'!P:P,
      ('Sprint 9'!F:F = ""A:Phongthorn"") *
      (LEFT('Sprint 9'!C:C,8) = ""DEVRDSUP"")
    )
  ),
0)"),0.0)</f>
        <v>0</v>
      </c>
      <c r="G32" s="99">
        <f>IFERROR(__xludf.DUMMYFUNCTION("IFERROR(
  SUM(
    FILTER(
      'Sprint 9'!O:O,
      ('Sprint 9'!E:E = ""Art_narupontp"") *
      (LEFT('Sprint 9'!B:B,8) = ""DEVRDSUP"")
    )
  ),
0)"),0.0)</f>
        <v>0</v>
      </c>
      <c r="H32" s="99">
        <f>IFERROR(__xludf.DUMMYFUNCTION("IFERROR(
  SUM(
    FILTER(
      'Sprint 9'!O:O,
      ('Sprint 9'!E:E = ""Mai:Sateta Abvanawong"") *
      (LEFT('Sprint 9'!B:B,8) = ""DEVRDSUP"")
    )
  ),
0)"),0.0)</f>
        <v>0</v>
      </c>
      <c r="I32" s="99">
        <f>IFERROR(__xludf.DUMMYFUNCTION("IFERROR(
  SUM(
    FILTER(
      'Sprint 9'!O:O,
      ('Sprint 9'!E:E = ""Kae: Pimonrath Jaiyen"") *
      (LEFT('Sprint 9'!B:B,8) = ""DEVRDSUP"")
    )
  ),
0)"),0.0)</f>
        <v>0</v>
      </c>
      <c r="J32" s="99">
        <f>IFERROR(__xludf.DUMMYFUNCTION("IFERROR(
  SUM(
    FILTER(
      'Sprint 9'!O:O,
      ('Sprint 9'!E:E = ""Mac: Jarupong Pawichpongkul"") *
      (LEFT('Sprint 9'!B:B,8) = ""DEVRDSUP"")
    )
  ),
0)"),0.0)</f>
        <v>0</v>
      </c>
      <c r="K32" s="99">
        <f>IFERROR(__xludf.DUMMYFUNCTION("IFERROR(
  SUM(
    FILTER(
      'Sprint 9'!O:O,
      ('Sprint 9'!E:E = ""Nim : muthita munmueang"") *
      (LEFT('Sprint 9'!B:B,8) = ""DEVRDSUP"")
    )
  ),
0)"),0.0)</f>
        <v>0</v>
      </c>
      <c r="L32" s="99">
        <f>IFERROR(__xludf.DUMMYFUNCTION("IFERROR(
  SUM(
    FILTER(
      'Sprint 9'!O:O,
      ('Sprint 9'!E:E = ""Moss : Kittapath Sangvikukit"") *
      (LEFT('Sprint 9'!B:B,8) = ""DEVRDSUP"")
    )
  ),
0)"),0.0)</f>
        <v>0</v>
      </c>
    </row>
    <row r="33">
      <c r="C33" s="125"/>
    </row>
    <row r="34">
      <c r="C34" s="125"/>
    </row>
    <row r="35" ht="24.75" customHeight="1">
      <c r="A35" s="232"/>
      <c r="B35" s="233" t="s">
        <v>2210</v>
      </c>
      <c r="C35" s="234"/>
      <c r="D35" s="234"/>
      <c r="E35" s="235"/>
      <c r="F35" s="236" t="s">
        <v>2211</v>
      </c>
      <c r="G35" s="234"/>
      <c r="H35" s="235"/>
      <c r="I35" s="242" t="s">
        <v>3615</v>
      </c>
      <c r="J35" s="234"/>
      <c r="K35" s="234"/>
      <c r="L35" s="235"/>
    </row>
    <row r="36" ht="20.25" customHeight="1">
      <c r="A36" s="239" t="s">
        <v>3618</v>
      </c>
      <c r="B36" s="243" t="s">
        <v>30</v>
      </c>
      <c r="C36" s="243" t="s">
        <v>24</v>
      </c>
      <c r="D36" s="243" t="s">
        <v>72</v>
      </c>
      <c r="E36" s="243" t="s">
        <v>28</v>
      </c>
      <c r="F36" s="243" t="s">
        <v>32</v>
      </c>
      <c r="G36" s="243" t="s">
        <v>3616</v>
      </c>
      <c r="H36" s="243" t="s">
        <v>73</v>
      </c>
      <c r="I36" s="243" t="s">
        <v>3617</v>
      </c>
      <c r="J36" s="243" t="s">
        <v>74</v>
      </c>
      <c r="K36" s="243" t="s">
        <v>76</v>
      </c>
      <c r="L36" s="243" t="s">
        <v>75</v>
      </c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101" t="s">
        <v>4665</v>
      </c>
      <c r="B37" s="99">
        <f>IFERROR(__xludf.DUMMYFUNCTION("ROUND(
  IFERROR(
    SUM(
      FILTER(
        'Sprint 9'!S:S,
        ('Sprint 9'!E:E = ""Aek:Atiphat Nanthachitvanich"") *
        (LEFT('Sprint 9'!B:B,7) = ""RDTHANA"")
      )
    ) / 3600,
    0
  ),
  2
)"),0.0)</f>
        <v>0</v>
      </c>
      <c r="C37" s="99">
        <f>IFERROR(__xludf.DUMMYFUNCTION("ROUND(
  IFERROR(
    SUM(
      FILTER(
        'Sprint 9'!S:S,
        ('Sprint 9'!E:E = ""Zan : Isarapong Bulan"") *
        (LEFT('Sprint 9'!B:B,7) = ""RDTHANA"")
      )
    ) / 3600,
    0
  ),
  2
)"),16.0)</f>
        <v>16</v>
      </c>
      <c r="D37" s="99">
        <f>IFERROR(__xludf.DUMMYFUNCTION("ROUND(
  IFERROR(
    SUM(
      FILTER(
        'Sprint 9'!S:S,
        ('Sprint 9'!E:E = ""Aom: Pornsawan Polnyiem"") *
        (LEFT('Sprint 9'!B:B,7) = ""RDTHANA"")
      )
    ) / 3600,
    0
  ),
  2
)"),0.0)</f>
        <v>0</v>
      </c>
      <c r="E37" s="99">
        <f>IFERROR(__xludf.DUMMYFUNCTION("ROUND(
  IFERROR(
    SUM(
      FILTER(
        'Sprint 9'!S:S,
        ('Sprint 9'!E:E = ""Jack: Warin Kesorn"") *
        (LEFT('Sprint 9'!B:B,7) = ""RDTHANA"")
      )
    ) / 3600,
    0
  ),
  2
)"),0.0)</f>
        <v>0</v>
      </c>
      <c r="F37" s="99">
        <f>IFERROR(__xludf.DUMMYFUNCTION("ROUND(
  IFERROR(
    SUM(
      FILTER(
        'Sprint 9'!S:S,
        ('Sprint 9'!E:E = ""A:Phongthorn"") *
        (LEFT('Sprint 9'!B:B,7) = ""RDTHANA"")
      )
    ) / 3600,
    0
  ),
  2
)"),2.0)</f>
        <v>2</v>
      </c>
      <c r="G37" s="99">
        <f>IFERROR(__xludf.DUMMYFUNCTION("ROUND(
  IFERROR(
    SUM(
      FILTER(
        'Sprint 9'!S:S,
        ('Sprint 9'!E:E = ""Art_narupontp"") *
        (LEFT('Sprint 9'!B:B,7) = ""RDTHANA"")
      )
    ) / 3600,
    0
  ),
  2
)"),0.0)</f>
        <v>0</v>
      </c>
      <c r="H37" s="99">
        <f>IFERROR(__xludf.DUMMYFUNCTION("ROUND(
  IFERROR(
    SUM(
      FILTER(
        'Sprint 9'!S:S,
        ('Sprint 9'!E:E = ""Mai:Sateta Abvanawong"") *
        (LEFT('Sprint 9'!B:B,7) = ""RDTHANA"")
      )
    ) / 3600,
    0
  ),
  2
)"),2.0)</f>
        <v>2</v>
      </c>
      <c r="I37" s="99">
        <f>IFERROR(__xludf.DUMMYFUNCTION("ROUND(
  IFERROR(
    SUM(
      FILTER(
        'Sprint 9'!S:S,
        ('Sprint 9'!E:E = ""Kae: Pimonrath Jaiyen"") *
        (LEFT('Sprint 9'!B:B,7) = ""RDTHANA"")
      )
    ) / 3600,
    0
  ),
  2
)"),16.0)</f>
        <v>16</v>
      </c>
      <c r="J37" s="99">
        <f>IFERROR(__xludf.DUMMYFUNCTION("ROUND(
  IFERROR(
    SUM(
      FILTER(
        'Sprint 9'!S:S,
        ('Sprint 9'!E:E = ""Mac: Jarupong Pawichpongkul"") *
        (LEFT('Sprint 9'!B:B,7) = ""RDTHANA"")
      )
    ) / 3600,
    0
  ),
  2
)"),11.0)</f>
        <v>11</v>
      </c>
      <c r="K37" s="99">
        <f>IFERROR(__xludf.DUMMYFUNCTION("ROUND(
  IFERROR(
    SUM(
      FILTER(
        'Sprint 9'!S:S,
        ('Sprint 9'!E:E = ""Nim : muthita munmueang"") *
        (LEFT('Sprint 9'!B:B,7) = ""RDTHANA"")
      )
    ) / 3600,
    0
  ),
  2
)"),0.0)</f>
        <v>0</v>
      </c>
      <c r="L37" s="99">
        <f>IFERROR(__xludf.DUMMYFUNCTION("ROUND(
  IFERROR(
    SUM(
      FILTER(
        'Sprint 9'!S:S,
        ('Sprint 9'!E:E = ""Moss : Kittapath Sangvikukit"") *
        (LEFT('Sprint 9'!B:B,7) = ""RDTHANA"")
      )
    ) / 3600,
    0
  ),
  2
)"),0.0)</f>
        <v>0</v>
      </c>
    </row>
    <row r="38">
      <c r="A38" s="101" t="s">
        <v>4666</v>
      </c>
      <c r="B38" s="99">
        <f>IFERROR(__xludf.DUMMYFUNCTION("ROUND(
  IFERROR(
    SUM(
      FILTER(
        'Sprint 9'!S:S,
        ('Sprint 9'!E:E = ""Aek:Atiphat Nanthachitvanich"") *
        (LEFT('Sprint 9'!B:B,9) = ""DEVRDECOM"")
      )
    ) / 3600,
    0
  ),
  2
)"),3.5)</f>
        <v>3.5</v>
      </c>
      <c r="C38" s="99">
        <f>IFERROR(__xludf.DUMMYFUNCTION("ROUND(
  IFERROR(
    SUM(
      FILTER(
        'Sprint 9'!S:S,
        ('Sprint 9'!E:E = ""Zan : Isarapong Bulan"") *
        (LEFT('Sprint 9'!B:B,9) = ""DEVRDECOM"")
      )
    ) / 3600,
    0
  ),
  2
)"),0.0)</f>
        <v>0</v>
      </c>
      <c r="D38" s="99">
        <f>IFERROR(__xludf.DUMMYFUNCTION("ROUND(
  IFERROR(
    SUM(
      FILTER(
        'Sprint 9'!S:S,
        ('Sprint 9'!E:E = ""Aom: Pornsawan Polnyiem"") *
        (LEFT('Sprint 9'!B:B,9) = ""DEVRDECOM"")
      )
    ) / 3600,
    0
  ),
  2
)"),1.0)</f>
        <v>1</v>
      </c>
      <c r="E38" s="99">
        <f>IFERROR(__xludf.DUMMYFUNCTION("ROUND(
  IFERROR(
    SUM(
      FILTER(
        'Sprint 9'!S:S,
        ('Sprint 9'!E:E = ""Jack: Warin Kesorn"") *
        (LEFT('Sprint 9'!B:B,9) = ""DEVRDECOM"")
      )
    ) / 3600,
    0
  ),
  2
)"),0.0)</f>
        <v>0</v>
      </c>
      <c r="F38" s="99">
        <f>IFERROR(__xludf.DUMMYFUNCTION("ROUND(
  IFERROR(
    SUM(
      FILTER(
        'Sprint 9'!S:S,
        ('Sprint 9'!E:E = ""A:Phongthorn"") *
        (LEFT('Sprint 9'!B:B,9) = ""DEVRDECOM"")
      )
    ) / 3600,
    0
  ),
  2
)"),20.0)</f>
        <v>20</v>
      </c>
      <c r="G38" s="99">
        <f>IFERROR(__xludf.DUMMYFUNCTION("ROUND(
  IFERROR(
    SUM(
      FILTER(
        'Sprint 9'!S:S,
        ('Sprint 9'!E:E = ""Art_narupontp"") *
        (LEFT('Sprint 9'!B:B,9) = ""DEVRDECOM"")
      )
    ) / 3600,
    0
  ),
  2
)"),0.0)</f>
        <v>0</v>
      </c>
      <c r="H38" s="99">
        <f>IFERROR(__xludf.DUMMYFUNCTION("ROUND(
  IFERROR(
    SUM(
      FILTER(
        'Sprint 9'!S:S,
        ('Sprint 9'!E:E = ""Mai:Sateta Abvanawong"") *
        (LEFT('Sprint 9'!B:B,9) = ""DEVRDECOM"")
      )
    ) / 3600,
    0
  ),
  2
)"),0.0)</f>
        <v>0</v>
      </c>
      <c r="I38" s="99">
        <f>IFERROR(__xludf.DUMMYFUNCTION("ROUND(
  IFERROR(
    SUM(
      FILTER(
        'Sprint 9'!S:S,
        ('Sprint 9'!E:E = ""Kae: Pimonrath Jaiyen"") *
        (LEFT('Sprint 9'!B:B,9) = ""DEVRDECOM"")
      )
    ) / 3600,
    0
  ),
  2
)"),8.0)</f>
        <v>8</v>
      </c>
      <c r="J38" s="99">
        <f>IFERROR(__xludf.DUMMYFUNCTION("ROUND(
  IFERROR(
    SUM(
      FILTER(
        'Sprint 9'!S:S,
        ('Sprint 9'!E:E = ""Mac: Jarupong Pawichpongkul"") *
        (LEFT('Sprint 9'!B:B,9) = ""DEVRDECOM"")
      )
    ) / 3600,
    0
  ),
  2
)"),4.0)</f>
        <v>4</v>
      </c>
      <c r="K38" s="99">
        <f>IFERROR(__xludf.DUMMYFUNCTION("ROUND(
  IFERROR(
    SUM(
      FILTER(
        'Sprint 9'!S:S,
        ('Sprint 9'!E:E = ""Nim : muthita munmueang"") *
        (LEFT('Sprint 9'!B:B,9) = ""DEVRDECOM"")
      )
    ) / 3600,
    0
  ),
  2
)"),4.0)</f>
        <v>4</v>
      </c>
      <c r="L38" s="99">
        <f>IFERROR(__xludf.DUMMYFUNCTION("ROUND(
  IFERROR(
    SUM(
      FILTER(
        'Sprint 9'!S:S,
        ('Sprint 9'!E:E = ""Moss : Kittapath Sangvikukit"") *
        (LEFT('Sprint 9'!B:B,9) = ""DEVRDECOM"")
      )
    ) / 3600,
    0
  ),
  2
)"),24.0)</f>
        <v>24</v>
      </c>
    </row>
    <row r="39" ht="32.25" customHeight="1">
      <c r="A39" s="101" t="s">
        <v>4667</v>
      </c>
      <c r="B39" s="99">
        <f>IFERROR(__xludf.DUMMYFUNCTION("ROUND(
  IFERROR(
    SUM(
      FILTER(
        'Sprint 9'!S:S,
        ('Sprint 9'!E:E = ""Aek:Atiphat Nanthachitvanich"") *
        (LEFT('Sprint 9'!B:B,7) = ""DEVRDCT"")
      )
    ) / 3600,
    0
  ),
  2
)"),9.0)</f>
        <v>9</v>
      </c>
      <c r="C39" s="99">
        <f>IFERROR(__xludf.DUMMYFUNCTION("ROUND(
  IFERROR(
    SUM(
      FILTER(
        'Sprint 9'!S:S,
        ('Sprint 9'!E:E = ""Zan : Isarapong Bulan"") *
        (LEFT('Sprint 9'!B:B,7) = ""DEVRDCT"")
      )
    ) / 3600,
    0
  ),
  2
)"),0.0)</f>
        <v>0</v>
      </c>
      <c r="D39" s="99">
        <f>IFERROR(__xludf.DUMMYFUNCTION("ROUND(
  IFERROR(
    SUM(
      FILTER(
        'Sprint 9'!S:S,
        ('Sprint 9'!E:E = ""Aom: Pornsawan Polnyiem"") *
        (LEFT('Sprint 9'!B:B,7) = ""DEVRDCT"")
      )
    ) / 3600,
    0
  ),
  2
)"),0.0)</f>
        <v>0</v>
      </c>
      <c r="E39" s="99">
        <f>IFERROR(__xludf.DUMMYFUNCTION("ROUND(
  IFERROR(
    SUM(
      FILTER(
        'Sprint 9'!S:S,
        ('Sprint 9'!E:E = ""Jack: Warin Kesorn"") *
        (LEFT('Sprint 9'!B:B,7) = ""DEVRDCT"")
      )
    ) / 3600,
    0
  ),
  2
)"),10.0)</f>
        <v>10</v>
      </c>
      <c r="F39" s="99">
        <f>IFERROR(__xludf.DUMMYFUNCTION("ROUND(
  IFERROR(
    SUM(
      FILTER(
        'Sprint 9'!S:S,
        ('Sprint 9'!E:E = ""A:Phongthorn"") *
        (LEFT('Sprint 9'!B:B,7) = ""DEVRDCT"")
      )
    ) / 3600,
    0
  ),
  2
)"),4.0)</f>
        <v>4</v>
      </c>
      <c r="G39" s="99">
        <f>IFERROR(__xludf.DUMMYFUNCTION("ROUND(
  IFERROR(
    SUM(
      FILTER(
        'Sprint 9'!S:S,
        ('Sprint 9'!E:E = ""Art_narupontp"") *
        (LEFT('Sprint 9'!B:B,7) = ""DEVRDCT"")
      )
    ) / 3600,
    0
  ),
  2
)"),0.0)</f>
        <v>0</v>
      </c>
      <c r="H39" s="99">
        <f>IFERROR(__xludf.DUMMYFUNCTION("ROUND(
  IFERROR(
    SUM(
      FILTER(
        'Sprint 9'!S:S,
        ('Sprint 9'!E:E = ""Mai:Sateta Abvanawong"") *
        (LEFT('Sprint 9'!B:B,7) = ""DEVRDCT"")
      )
    ) / 3600,
    0
  ),
  2
)"),0.0)</f>
        <v>0</v>
      </c>
      <c r="I39" s="99">
        <f>IFERROR(__xludf.DUMMYFUNCTION("ROUND(
  IFERROR(
    SUM(
      FILTER(
        'Sprint 9'!S:S,
        ('Sprint 9'!E:E = ""Kae: Pimonrath Jaiyen"") *
        (LEFT('Sprint 9'!B:B,7) = ""DEVRDCT"")
      )
    ) / 3600,
    0
  ),
  2
)"),0.0)</f>
        <v>0</v>
      </c>
      <c r="J39" s="99">
        <f>IFERROR(__xludf.DUMMYFUNCTION("ROUND(
  IFERROR(
    SUM(
      FILTER(
        'Sprint 9'!S:S,
        ('Sprint 9'!E:E = ""Mac: Jarupong Pawichpongkul"") *
        (LEFT('Sprint 9'!B:B,7) = ""DEVRDCT"")
      )
    ) / 3600,
    0
  ),
  2
)"),0.0)</f>
        <v>0</v>
      </c>
      <c r="K39" s="99">
        <f>IFERROR(__xludf.DUMMYFUNCTION("ROUND(
  IFERROR(
    SUM(
      FILTER(
        'Sprint 9'!S:S,
        ('Sprint 9'!E:E = ""Nim : muthita munmueang"") *
        (LEFT('Sprint 9'!B:B,7) = ""DEVRDCT"")
      )
    ) / 3600,
    0
  ),
  2
)"),24.0)</f>
        <v>24</v>
      </c>
      <c r="L39" s="99">
        <f>IFERROR(__xludf.DUMMYFUNCTION("ROUND(
  IFERROR(
    SUM(
      FILTER(
        'Sprint 9'!S:S,
        ('Sprint 9'!E:E = ""Moss : Kittapath Sangvikukit"") *
        (LEFT('Sprint 9'!B:B,7) = ""DEVRDCT"")
      )
    ) / 3600,
    0
  ),
  2
)"),10.0)</f>
        <v>10</v>
      </c>
    </row>
    <row r="40" ht="22.5" customHeight="1">
      <c r="A40" s="101" t="s">
        <v>4668</v>
      </c>
      <c r="B40" s="99">
        <f>IFERROR(__xludf.DUMMYFUNCTION("ROUND(
  IFERROR(
    SUM(
      FILTER(
        'Sprint 9'!S:S,
        ('Sprint 9'!E:E = ""Aek:Atiphat Nanthachitvanich"") *
        (LEFT('Sprint 9'!B:B,8) = ""DEVRDADJ"")
      )
    ) / 3600,
    0
  ),
  2
)"),0.0)</f>
        <v>0</v>
      </c>
      <c r="C40" s="99">
        <f>IFERROR(__xludf.DUMMYFUNCTION("ROUND(
  IFERROR(
    SUM(
      FILTER(
        'Sprint 9'!S:S,
        ('Sprint 9'!E:E = ""Zan : Isarapong Bulan"") *
        (LEFT('Sprint 9'!B:B,8) = ""DEVRDADJ"")
      )
    ) / 3600,
    0
  ),
  2
)"),0.0)</f>
        <v>0</v>
      </c>
      <c r="D40" s="99">
        <f>IFERROR(__xludf.DUMMYFUNCTION("ROUND(
  IFERROR(
    SUM(
      FILTER(
        'Sprint 9'!S:S,
        ('Sprint 9'!E:E = ""Aom: Pornsawan Polnyiem"") *
        (LEFT('Sprint 9'!B:B,8) = ""DEVRDADJ"")
      )
    ) / 3600,
    0
  ),
  2
)"),0.0)</f>
        <v>0</v>
      </c>
      <c r="E40" s="99">
        <f>IFERROR(__xludf.DUMMYFUNCTION("ROUND(
  IFERROR(
    SUM(
      FILTER(
        'Sprint 9'!S:S,
        ('Sprint 9'!E:E = ""Jack: Warin Kesorn"") *
        (LEFT('Sprint 9'!B:B,8) = ""DEVRDADJ"")
      )
    ) / 3600,
    0
  ),
  2
)"),0.0)</f>
        <v>0</v>
      </c>
      <c r="F40" s="99">
        <f>IFERROR(__xludf.DUMMYFUNCTION("ROUND(
  IFERROR(
    SUM(
      FILTER(
        'Sprint 9'!S:S,
        ('Sprint 9'!E:E = ""A:Phongthorn"") *
        (LEFT('Sprint 9'!B:B,8) = ""DEVRDADJ"")
      )
    ) / 3600,
    0
  ),
  2
)"),0.0)</f>
        <v>0</v>
      </c>
      <c r="G40" s="99">
        <f>IFERROR(__xludf.DUMMYFUNCTION("ROUND(
  IFERROR(
    SUM(
      FILTER(
        'Sprint 9'!S:S,
        ('Sprint 9'!E:E = ""Aek:Atiphat Nanthachitvanich"") *
        (LEFT('Sprint 9'!B:B,8) = ""DEVRDADJ"")
      )
    ) / 3600,
    0
  ),
  2
)"),0.0)</f>
        <v>0</v>
      </c>
      <c r="H40" s="99">
        <f>IFERROR(__xludf.DUMMYFUNCTION("ROUND(
  IFERROR(
    SUM(
      FILTER(
        'Sprint 9'!S:S,
        ('Sprint 9'!E:E = ""Mai:Sateta Abvanawong"") *
        (LEFT('Sprint 9'!B:B,8) = ""DEVRDADJ"")
      )
    ) / 3600,
    0
  ),
  2
)"),0.0)</f>
        <v>0</v>
      </c>
      <c r="I40" s="99">
        <f>IFERROR(__xludf.DUMMYFUNCTION("ROUND(
  IFERROR(
    SUM(
      FILTER(
        'Sprint 9'!S:S,
        ('Sprint 9'!E:E = ""Kae: Pimonrath Jaiyen"") *
        (LEFT('Sprint 9'!B:B,8) = ""DEVRDADJ"")
      )
    ) / 3600,
    0
  ),
  2
)"),0.0)</f>
        <v>0</v>
      </c>
      <c r="J40" s="99">
        <f>IFERROR(__xludf.DUMMYFUNCTION("ROUND(
  IFERROR(
    SUM(
      FILTER(
        'Sprint 9'!S:S,
        ('Sprint 9'!E:E = ""Mac: Jarupong Pawichpongkul"") *
        (LEFT('Sprint 9'!B:B,8) = ""DEVRDADJ"")
      )
    ) / 3600,
    0
  ),
  2
)"),0.0)</f>
        <v>0</v>
      </c>
      <c r="K40" s="99">
        <f>IFERROR(__xludf.DUMMYFUNCTION("ROUND(
  IFERROR(
    SUM(
      FILTER(
        'Sprint 9'!S:S,
        ('Sprint 9'!E:E = ""Aek:Atiphat Nanthachitvanich"") *
        (LEFT('Sprint 9'!B:B,8) = ""DEVRDADJ"")
      )
    ) / 3600,
    0
  ),
  2
)"),0.0)</f>
        <v>0</v>
      </c>
      <c r="L40" s="99">
        <f>IFERROR(__xludf.DUMMYFUNCTION("ROUND(
  IFERROR(
    SUM(
      FILTER(
        'Sprint 9'!S:S,
        ('Sprint 9'!E:E = ""Moss : Kittapath Sangvikukit"") *
        (LEFT('Sprint 9'!B:B,8) = ""DEVRDADJ"")
      )
    ) / 3600,
    0
  ),
  2
)"),0.0)</f>
        <v>0</v>
      </c>
    </row>
    <row r="41">
      <c r="A41" s="101" t="s">
        <v>4669</v>
      </c>
      <c r="B41" s="101">
        <f>IFERROR(__xludf.DUMMYFUNCTION("ROUND(
  IFERROR(
    SUM(
      FILTER(
        'Sprint 9'!S:S,
        ('Sprint 9'!E:E = ""Aek:Atiphat Nanthachitvanich"") *
        (LEFT('Sprint 9'!B:B,5) = ""RDAPS"")
      )
    ) / 3600,
    0
  ),
  2
)"),2.0)</f>
        <v>2</v>
      </c>
      <c r="C41" s="99">
        <f>IFERROR(__xludf.DUMMYFUNCTION("ROUND(
  IFERROR(
    SUM(
      FILTER(
        'Sprint 9'!S:S,
        ('Sprint 9'!E:E = ""Zan : Isarapong Bulan"") *
        (LEFT('Sprint 9'!B:B,5) = ""RDAPS"")
      )
    ) / 3600,
    0
  ),
  2
)"),16.0)</f>
        <v>16</v>
      </c>
      <c r="D41" s="99">
        <f>IFERROR(__xludf.DUMMYFUNCTION("ROUND(
  IFERROR(
    SUM(
      FILTER(
        'Sprint 9'!S:S,
        ('Sprint 9'!E:E = ""Aom: Pornsawan Polnyiem"") *
        (LEFT('Sprint 9'!B:B,5) = ""RDAPS"")
      )
    ) / 3600,
    0
  ),
  2
)"),6.0)</f>
        <v>6</v>
      </c>
      <c r="E41" s="99">
        <f>IFERROR(__xludf.DUMMYFUNCTION("ROUND(
  IFERROR(
    SUM(
      FILTER(
        'Sprint 9'!S:S,
        ('Sprint 9'!E:E = ""Jack: Warin Kesorn"") *
        (LEFT('Sprint 9'!B:B,5) = ""RDAPS"")
      )
    ) / 3600,
    0
  ),
  2
)"),0.0)</f>
        <v>0</v>
      </c>
      <c r="F41" s="99">
        <f>IFERROR(__xludf.DUMMYFUNCTION("ROUND(
  IFERROR(
    SUM(
      FILTER(
        'Sprint 9'!S:S,
        ('Sprint 9'!E:E = ""A:Phongthorn"") *
        (LEFT('Sprint 9'!B:B,5) = ""RDAPS"")
      )
    ) / 3600,
    0
  ),
  2
)"),20.0)</f>
        <v>20</v>
      </c>
      <c r="G41" s="99">
        <f>IFERROR(__xludf.DUMMYFUNCTION("ROUND(
  IFERROR(
    SUM(
      FILTER(
        'Sprint 9'!S:S,
        ('Sprint 9'!E:E = ""Art_narupontp"") *
        (LEFT('Sprint 9'!B:B,5) = ""RDAPS"")
      )
    ) / 3600,
    0
  ),
  2
)"),0.0)</f>
        <v>0</v>
      </c>
      <c r="H41" s="99">
        <f>IFERROR(__xludf.DUMMYFUNCTION("ROUND(
  IFERROR(
    SUM(
      FILTER(
        'Sprint 9'!S:S,
        ('Sprint 9'!E:E = ""Mai:Sateta Abvanawong"") *
        (LEFT('Sprint 9'!B:B,5) = ""RDAPS"")
      )
    ) / 3600,
    0
  ),
  2
)"),2.0)</f>
        <v>2</v>
      </c>
      <c r="I41" s="99">
        <f>IFERROR(__xludf.DUMMYFUNCTION("ROUND(
  IFERROR(
    SUM(
      FILTER(
        'Sprint 9'!S:S,
        ('Sprint 9'!E:E = ""Kae: Pimonrath Jaiyen"") *
        (LEFT('Sprint 9'!B:B,5) = ""RDAPS"")
      )
    ) / 3600,
    0
  ),
  2
)"),0.0)</f>
        <v>0</v>
      </c>
      <c r="J41" s="99">
        <f>IFERROR(__xludf.DUMMYFUNCTION("ROUND(
  IFERROR(
    SUM(
      FILTER(
        'Sprint 9'!S:S,
        ('Sprint 9'!E:E = ""Mac: Jarupong Pawichpongkul"") *
        (LEFT('Sprint 9'!B:B,5) = ""RDAPS"")
      )
    ) / 3600,
    0
  ),
  2
)"),6.0)</f>
        <v>6</v>
      </c>
      <c r="K41" s="99">
        <f>IFERROR(__xludf.DUMMYFUNCTION("ROUND(
  IFERROR(
    SUM(
      FILTER(
        'Sprint 9'!S:S,
        ('Sprint 9'!E:E = ""Nim : muthita munmueang"") *
        (LEFT('Sprint 9'!B:B,5) = ""RDAPS"")
      )
    ) / 3600,
    0
  ),
  2
)"),0.0)</f>
        <v>0</v>
      </c>
      <c r="L41" s="99">
        <f>IFERROR(__xludf.DUMMYFUNCTION("ROUND(
  IFERROR(
    SUM(
      FILTER(
        'Sprint 9'!S:S,
        ('Sprint 9'!E:E = ""Moss : Kittapath Sangvikukit"") *
        (LEFT('Sprint 9'!B:B,5) = ""RDAPS"")
      )
    ) / 3600,
    0
  ),
  2
)"),8.0)</f>
        <v>8</v>
      </c>
    </row>
    <row r="42" ht="21.0" customHeight="1">
      <c r="A42" s="101" t="s">
        <v>4670</v>
      </c>
      <c r="B42" s="101">
        <f>IFERROR(__xludf.DUMMYFUNCTION("ROUND(
  IFERROR(
    SUM(
      FILTER(
        'Sprint 9'!S:S,
        ('Sprint 9'!E:E = ""Aek:Atiphat Nanthachitvanich"") *
        (LEFT('Sprint 9'!B:B,8) = ""DEVRDSUP"")
      )
    ) / 3600,
    0
  ),
  2
)"),2.17)</f>
        <v>2.17</v>
      </c>
      <c r="C42" s="99">
        <f>IFERROR(__xludf.DUMMYFUNCTION("ROUND(
  IFERROR(
    SUM(
      FILTER(
        'Sprint 9'!S:S,
        ('Sprint 9'!E:E = ""Zan : Isarapong Bulan"") *
        (LEFT('Sprint 9'!B:B,8) = ""DEVRDSUP"")
      )
    ) / 3600,
    0
  ),
  2
)"),1.0)</f>
        <v>1</v>
      </c>
      <c r="D42" s="99">
        <f>IFERROR(__xludf.DUMMYFUNCTION("ROUND(
  IFERROR(
    SUM(
      FILTER(
        'Sprint 9'!S:S,
        ('Sprint 9'!E:E = ""Aom: Pornsawan Polnyiem"") *
        (LEFT('Sprint 9'!B:B,8) = ""DEVRDSUP"")
      )
    ) / 3600,
    0
  ),
  2
)"),29.0)</f>
        <v>29</v>
      </c>
      <c r="E42" s="99">
        <f>IFERROR(__xludf.DUMMYFUNCTION("ROUND(
  IFERROR(
    SUM(
      FILTER(
        'Sprint 9'!S:S,
        ('Sprint 9'!E:E = ""Jack: Warin Kesorn"") *
        (LEFT('Sprint 9'!B:B,8) = ""DEVRDSUP"")
      )
    ) / 3600,
    0
  ),
  2
)"),0.0)</f>
        <v>0</v>
      </c>
      <c r="F42" s="101">
        <f>IFERROR(__xludf.DUMMYFUNCTION("ROUND(
  IFERROR(
    SUM(
      FILTER(
        'Sprint 9'!S:S,
        ('Sprint 9'!E:E = ""A:Phongthorn"") *
        (LEFT('Sprint 9'!B:B,8) = ""DEVRDSUP"")
      )
    ) / 3600,
    0
  ),
  2
)"),0.0)</f>
        <v>0</v>
      </c>
      <c r="G42" s="99">
        <f>IFERROR(__xludf.DUMMYFUNCTION("ROUND(
  IFERROR(
    SUM(
      FILTER(
        'Sprint 9'!S:S,
        ('Sprint 9'!E:E = ""Art_narupontp"") *
        (LEFT('Sprint 9'!B:B,8) = ""DEVRDSUP"")
      )
    ) / 3600,
    0
  ),
  2
)"),0.0)</f>
        <v>0</v>
      </c>
      <c r="H42" s="99">
        <f>IFERROR(__xludf.DUMMYFUNCTION("ROUND(
  IFERROR(
    SUM(
      FILTER(
        'Sprint 9'!S:S,
        ('Sprint 9'!E:E = ""Mai:Sateta Abvanawong"") *
        (LEFT('Sprint 9'!B:B,8) = ""DEVRDSUP"")
      )
    ) / 3600,
    0
  ),
  2
)"),0.0)</f>
        <v>0</v>
      </c>
      <c r="I42" s="99">
        <f>IFERROR(__xludf.DUMMYFUNCTION("ROUND(
  IFERROR(
    SUM(
      FILTER(
        'Sprint 9'!S:S,
        ('Sprint 9'!E:E = ""Kae: Pimonrath Jaiyen"") *
        (LEFT('Sprint 9'!B:B,8) = ""DEVRDSUP"")
      )
    ) / 3600,
    0
  ),
  2
)"),0.0)</f>
        <v>0</v>
      </c>
      <c r="J42" s="99">
        <f>IFERROR(__xludf.DUMMYFUNCTION("ROUND(
  IFERROR(
    SUM(
      FILTER(
        'Sprint 9'!S:S,
        ('Sprint 9'!E:E = ""Mac: Jarupong Pawichpongkul"") *
        (LEFT('Sprint 9'!B:B,8) = ""DEVRDSUP"")
      )
    ) / 3600,
    0
  ),
  2
)"),0.0)</f>
        <v>0</v>
      </c>
      <c r="K42" s="99">
        <f>IFERROR(__xludf.DUMMYFUNCTION("ROUND(
  IFERROR(
    SUM(
      FILTER(
        'Sprint 9'!S:S,
        ('Sprint 9'!E:E = ""Nim : muthita munmueang"") *
        (LEFT('Sprint 9'!B:B,8) = ""DEVRDSUP"")
      )
    ) / 3600,
    0
  ),
  2
)"),0.0)</f>
        <v>0</v>
      </c>
      <c r="L42" s="99">
        <f>IFERROR(__xludf.DUMMYFUNCTION("ROUND(
  IFERROR(
    SUM(
      FILTER(
        'Sprint 9'!S:S,
        ('Sprint 9'!E:E = ""Moss : Kittapath Sangvikukit"") *
        (LEFT('Sprint 9'!B:B,8) = ""DEVRDSUP"")
      )
    ) / 3600,
    0
  ),
  2
)"),0.0)</f>
        <v>0</v>
      </c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</sheetData>
  <mergeCells count="6">
    <mergeCell ref="B25:E25"/>
    <mergeCell ref="F25:H25"/>
    <mergeCell ref="I25:L25"/>
    <mergeCell ref="B35:E35"/>
    <mergeCell ref="F35:H35"/>
    <mergeCell ref="I35:L3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31.38"/>
    <col customWidth="1" min="15" max="15" width="18.13"/>
    <col customWidth="1" min="19" max="20" width="17.5"/>
    <col customWidth="1" min="21" max="21" width="21.25"/>
    <col customWidth="1" min="22" max="22" width="20.13"/>
    <col customWidth="1" min="23" max="23" width="21.25"/>
    <col customWidth="1" min="24" max="24" width="20.13"/>
    <col customWidth="1" min="26" max="26" width="17.5"/>
    <col customWidth="1" min="27" max="27" width="21.25"/>
    <col customWidth="1" min="28" max="28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49" t="s">
        <v>3245</v>
      </c>
      <c r="U1" s="115" t="s">
        <v>8692</v>
      </c>
      <c r="V1" s="115" t="s">
        <v>6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/>
      <c r="AD1" s="102"/>
      <c r="AE1" s="102"/>
      <c r="AF1" s="102"/>
      <c r="AG1" s="102"/>
      <c r="AH1" s="102"/>
      <c r="AI1" s="102"/>
      <c r="AJ1" s="102"/>
      <c r="AK1" s="88"/>
      <c r="AL1" s="88"/>
    </row>
    <row r="2">
      <c r="A2" s="102" t="s">
        <v>276</v>
      </c>
      <c r="B2" s="102" t="s">
        <v>8693</v>
      </c>
      <c r="C2" s="229" t="s">
        <v>8694</v>
      </c>
      <c r="D2" s="102" t="s">
        <v>8695</v>
      </c>
      <c r="E2" s="102" t="s">
        <v>513</v>
      </c>
      <c r="F2" s="102" t="s">
        <v>514</v>
      </c>
      <c r="G2" s="102" t="s">
        <v>513</v>
      </c>
      <c r="H2" s="102" t="s">
        <v>514</v>
      </c>
      <c r="I2" s="102" t="s">
        <v>284</v>
      </c>
      <c r="J2" s="102" t="s">
        <v>26</v>
      </c>
      <c r="L2" s="229" t="s">
        <v>8696</v>
      </c>
      <c r="M2" s="229" t="s">
        <v>8697</v>
      </c>
      <c r="N2" s="229" t="s">
        <v>8698</v>
      </c>
      <c r="O2" s="102"/>
      <c r="P2" s="102" t="s">
        <v>8699</v>
      </c>
      <c r="Q2" s="102"/>
      <c r="R2" s="230"/>
      <c r="S2" s="102">
        <v>14400.0</v>
      </c>
      <c r="T2" s="230" t="str">
        <f>IF(ISNUMBER(MATCH(B2, 'Sprint 8'!B:B, 0)), "มาจาก Sprint 8", "")</f>
        <v/>
      </c>
      <c r="U2" s="230" t="str">
        <f t="array" ref="U2">IF(ISNUMBER(MATCH(B2, 'Sprint 8'!B:B, 0)), INDEX('Sprint 8'!J:J, MATCH(B2, 'Sprint 8'!B:B, 0)), "")</f>
        <v/>
      </c>
      <c r="W2" s="102" t="s">
        <v>6448</v>
      </c>
      <c r="Y2" s="102"/>
      <c r="Z2" s="230"/>
      <c r="AA2" s="230"/>
      <c r="AB2" s="230"/>
      <c r="AC2" s="102"/>
      <c r="AD2" s="102"/>
      <c r="AE2" s="102"/>
    </row>
    <row r="3">
      <c r="A3" s="102" t="s">
        <v>310</v>
      </c>
      <c r="B3" s="102" t="s">
        <v>8700</v>
      </c>
      <c r="C3" s="229" t="s">
        <v>8701</v>
      </c>
      <c r="D3" s="102" t="s">
        <v>8702</v>
      </c>
      <c r="E3" s="102" t="s">
        <v>282</v>
      </c>
      <c r="F3" s="102" t="s">
        <v>283</v>
      </c>
      <c r="G3" s="102" t="s">
        <v>282</v>
      </c>
      <c r="H3" s="102" t="s">
        <v>283</v>
      </c>
      <c r="I3" s="102" t="s">
        <v>284</v>
      </c>
      <c r="J3" s="102" t="s">
        <v>26</v>
      </c>
      <c r="L3" s="229" t="s">
        <v>8703</v>
      </c>
      <c r="M3" s="229" t="s">
        <v>8704</v>
      </c>
      <c r="N3" s="102"/>
      <c r="O3" s="102">
        <v>2.0</v>
      </c>
      <c r="P3" s="102" t="s">
        <v>4656</v>
      </c>
      <c r="Q3" s="102" t="s">
        <v>593</v>
      </c>
      <c r="R3" s="230"/>
      <c r="S3" s="102">
        <v>10800.0</v>
      </c>
      <c r="T3" s="230" t="str">
        <f>IF(ISNUMBER(MATCH(B3, 'Sprint 8'!B:B, 0)), "มาจาก Sprint 8", "")</f>
        <v/>
      </c>
      <c r="U3" s="230" t="str">
        <f t="array" ref="U3">IF(ISNUMBER(MATCH(B3, 'Sprint 8'!B:B, 0)), INDEX('Sprint 8'!J:J, MATCH(B3, 'Sprint 8'!B:B, 0)), "")</f>
        <v/>
      </c>
      <c r="W3" s="102" t="s">
        <v>4960</v>
      </c>
      <c r="Y3" s="102"/>
      <c r="Z3" s="230"/>
      <c r="AA3" s="230"/>
      <c r="AB3" s="230"/>
      <c r="AC3" s="102"/>
      <c r="AD3" s="102"/>
      <c r="AE3" s="102"/>
    </row>
    <row r="4">
      <c r="A4" s="102" t="s">
        <v>276</v>
      </c>
      <c r="B4" s="102" t="s">
        <v>8325</v>
      </c>
      <c r="C4" s="229" t="s">
        <v>8326</v>
      </c>
      <c r="D4" s="102" t="s">
        <v>8327</v>
      </c>
      <c r="E4" s="102" t="s">
        <v>316</v>
      </c>
      <c r="F4" s="102" t="s">
        <v>317</v>
      </c>
      <c r="G4" s="102" t="s">
        <v>316</v>
      </c>
      <c r="H4" s="102" t="s">
        <v>317</v>
      </c>
      <c r="I4" s="102" t="s">
        <v>284</v>
      </c>
      <c r="J4" s="102" t="s">
        <v>26</v>
      </c>
      <c r="L4" s="229" t="s">
        <v>8328</v>
      </c>
      <c r="M4" s="229" t="s">
        <v>8329</v>
      </c>
      <c r="O4" s="102"/>
      <c r="P4" s="102"/>
      <c r="Q4" s="102"/>
      <c r="R4" s="102"/>
      <c r="S4" s="230"/>
      <c r="T4" s="230" t="str">
        <f>IF(ISNUMBER(MATCH(B4, 'Sprint 8'!B:B, 0)), "มาจาก Sprint 8", "")</f>
        <v/>
      </c>
      <c r="U4" s="230" t="str">
        <f t="array" ref="U4">IF(ISNUMBER(MATCH(B4, 'Sprint 8'!B:B, 0)), INDEX('Sprint 8'!J:J, MATCH(B4, 'Sprint 8'!B:B, 0)), "")</f>
        <v/>
      </c>
      <c r="W4" s="102" t="s">
        <v>4960</v>
      </c>
      <c r="X4" s="102"/>
      <c r="Y4" s="102"/>
      <c r="Z4" s="230"/>
      <c r="AA4" s="230"/>
      <c r="AB4" s="102"/>
      <c r="AC4" s="102"/>
      <c r="AD4" s="102"/>
      <c r="AE4" s="102"/>
    </row>
    <row r="5">
      <c r="A5" s="102" t="s">
        <v>310</v>
      </c>
      <c r="B5" s="102" t="s">
        <v>8705</v>
      </c>
      <c r="C5" s="229" t="s">
        <v>8706</v>
      </c>
      <c r="D5" s="102" t="s">
        <v>8707</v>
      </c>
      <c r="E5" s="102" t="s">
        <v>314</v>
      </c>
      <c r="F5" s="102" t="s">
        <v>315</v>
      </c>
      <c r="G5" s="102" t="s">
        <v>316</v>
      </c>
      <c r="H5" s="102" t="s">
        <v>317</v>
      </c>
      <c r="I5" s="102" t="s">
        <v>515</v>
      </c>
      <c r="J5" s="102" t="s">
        <v>26</v>
      </c>
      <c r="L5" s="229" t="s">
        <v>8708</v>
      </c>
      <c r="M5" s="229" t="s">
        <v>8709</v>
      </c>
      <c r="N5" s="229" t="s">
        <v>8698</v>
      </c>
      <c r="O5" s="102">
        <v>1.0</v>
      </c>
      <c r="P5" s="102" t="s">
        <v>368</v>
      </c>
      <c r="Q5" s="102"/>
      <c r="R5" s="102"/>
      <c r="S5" s="102">
        <v>600.0</v>
      </c>
      <c r="T5" s="230" t="str">
        <f>IF(ISNUMBER(MATCH(B5, 'Sprint 8'!B:B, 0)), "มาจาก Sprint 8", "")</f>
        <v/>
      </c>
      <c r="U5" s="230" t="str">
        <f t="array" ref="U5">IF(ISNUMBER(MATCH(B5, 'Sprint 8'!B:B, 0)), INDEX('Sprint 8'!J:J, MATCH(B5, 'Sprint 8'!B:B, 0)), "")</f>
        <v/>
      </c>
      <c r="W5" s="102" t="s">
        <v>4960</v>
      </c>
      <c r="X5" s="102"/>
      <c r="Y5" s="102"/>
      <c r="Z5" s="230"/>
      <c r="AA5" s="230"/>
      <c r="AB5" s="230"/>
      <c r="AC5" s="102"/>
      <c r="AD5" s="102"/>
      <c r="AE5" s="102"/>
    </row>
    <row r="6">
      <c r="A6" s="102" t="s">
        <v>310</v>
      </c>
      <c r="B6" s="102" t="s">
        <v>8330</v>
      </c>
      <c r="C6" s="229" t="s">
        <v>8331</v>
      </c>
      <c r="D6" s="102" t="s">
        <v>8332</v>
      </c>
      <c r="E6" s="102" t="s">
        <v>282</v>
      </c>
      <c r="F6" s="102" t="s">
        <v>283</v>
      </c>
      <c r="G6" s="102" t="s">
        <v>282</v>
      </c>
      <c r="H6" s="102" t="s">
        <v>283</v>
      </c>
      <c r="I6" s="102" t="s">
        <v>284</v>
      </c>
      <c r="J6" s="102" t="s">
        <v>34</v>
      </c>
      <c r="L6" s="229" t="s">
        <v>8333</v>
      </c>
      <c r="M6" s="229" t="s">
        <v>8710</v>
      </c>
      <c r="N6" s="102"/>
      <c r="O6" s="102">
        <v>3.0</v>
      </c>
      <c r="P6" s="102" t="s">
        <v>593</v>
      </c>
      <c r="R6" s="230"/>
      <c r="S6" s="102"/>
      <c r="T6" s="230" t="str">
        <f>IF(ISNUMBER(MATCH(B6, 'Sprint 8'!B:B, 0)), "มาจาก Sprint 8", "")</f>
        <v/>
      </c>
      <c r="U6" s="230" t="str">
        <f t="array" ref="U6">IF(ISNUMBER(MATCH(B6, 'Sprint 8'!B:B, 0)), INDEX('Sprint 8'!J:J, MATCH(B6, 'Sprint 8'!B:B, 0)), "")</f>
        <v/>
      </c>
      <c r="W6" s="102" t="s">
        <v>4960</v>
      </c>
      <c r="Y6" s="102"/>
      <c r="Z6" s="230"/>
      <c r="AA6" s="230"/>
      <c r="AB6" s="230"/>
      <c r="AC6" s="102"/>
      <c r="AD6" s="102"/>
      <c r="AE6" s="102"/>
    </row>
    <row r="7">
      <c r="A7" s="102" t="s">
        <v>310</v>
      </c>
      <c r="B7" s="102" t="s">
        <v>8335</v>
      </c>
      <c r="C7" s="229" t="s">
        <v>8336</v>
      </c>
      <c r="D7" s="102" t="s">
        <v>8332</v>
      </c>
      <c r="E7" s="102" t="s">
        <v>282</v>
      </c>
      <c r="F7" s="102" t="s">
        <v>283</v>
      </c>
      <c r="G7" s="102" t="s">
        <v>282</v>
      </c>
      <c r="H7" s="102" t="s">
        <v>283</v>
      </c>
      <c r="I7" s="102" t="s">
        <v>284</v>
      </c>
      <c r="J7" s="102" t="s">
        <v>34</v>
      </c>
      <c r="L7" s="229" t="s">
        <v>8337</v>
      </c>
      <c r="M7" s="229" t="s">
        <v>8711</v>
      </c>
      <c r="N7" s="102"/>
      <c r="O7" s="102">
        <v>2.0</v>
      </c>
      <c r="P7" s="102" t="s">
        <v>593</v>
      </c>
      <c r="Q7" s="102"/>
      <c r="R7" s="230"/>
      <c r="S7" s="230"/>
      <c r="T7" s="230" t="str">
        <f>IF(ISNUMBER(MATCH(B7, 'Sprint 8'!B:B, 0)), "มาจาก Sprint 8", "")</f>
        <v/>
      </c>
      <c r="U7" s="230" t="str">
        <f t="array" ref="U7">IF(ISNUMBER(MATCH(B7, 'Sprint 8'!B:B, 0)), INDEX('Sprint 8'!J:J, MATCH(B7, 'Sprint 8'!B:B, 0)), "")</f>
        <v/>
      </c>
      <c r="W7" s="102" t="s">
        <v>6448</v>
      </c>
      <c r="Y7" s="102"/>
      <c r="Z7" s="230"/>
      <c r="AA7" s="230"/>
      <c r="AB7" s="230"/>
      <c r="AC7" s="102"/>
      <c r="AD7" s="102"/>
    </row>
    <row r="8">
      <c r="A8" s="102" t="s">
        <v>332</v>
      </c>
      <c r="B8" s="102" t="s">
        <v>8712</v>
      </c>
      <c r="C8" s="229" t="s">
        <v>8713</v>
      </c>
      <c r="D8" s="102" t="s">
        <v>8714</v>
      </c>
      <c r="E8" s="102" t="s">
        <v>6315</v>
      </c>
      <c r="F8" s="102" t="s">
        <v>6316</v>
      </c>
      <c r="G8" s="102" t="s">
        <v>391</v>
      </c>
      <c r="H8" s="102" t="s">
        <v>392</v>
      </c>
      <c r="I8" s="102" t="s">
        <v>284</v>
      </c>
      <c r="J8" s="102" t="s">
        <v>336</v>
      </c>
      <c r="L8" s="229" t="s">
        <v>8715</v>
      </c>
      <c r="M8" s="229" t="s">
        <v>8716</v>
      </c>
      <c r="N8" s="102"/>
      <c r="O8" s="230"/>
      <c r="R8" s="230"/>
      <c r="S8" s="230"/>
      <c r="T8" s="230" t="str">
        <f>IF(ISNUMBER(MATCH(B8, 'Sprint 8'!B:B, 0)), "มาจาก Sprint 8", "")</f>
        <v/>
      </c>
      <c r="U8" s="230" t="str">
        <f t="array" ref="U8">IF(ISNUMBER(MATCH(B8, 'Sprint 8'!B:B, 0)), INDEX('Sprint 8'!J:J, MATCH(B8, 'Sprint 8'!B:B, 0)), "")</f>
        <v/>
      </c>
      <c r="W8" s="102" t="s">
        <v>5920</v>
      </c>
      <c r="X8" s="102"/>
      <c r="Y8" s="102"/>
      <c r="Z8" s="230"/>
      <c r="AA8" s="230"/>
      <c r="AB8" s="230"/>
      <c r="AC8" s="102"/>
      <c r="AD8" s="102"/>
      <c r="AE8" s="102"/>
    </row>
    <row r="9">
      <c r="A9" s="102" t="s">
        <v>332</v>
      </c>
      <c r="B9" s="102" t="s">
        <v>8345</v>
      </c>
      <c r="C9" s="229" t="s">
        <v>8346</v>
      </c>
      <c r="D9" s="102" t="s">
        <v>8347</v>
      </c>
      <c r="E9" s="102" t="s">
        <v>282</v>
      </c>
      <c r="F9" s="102" t="s">
        <v>283</v>
      </c>
      <c r="G9" s="102" t="s">
        <v>316</v>
      </c>
      <c r="H9" s="102" t="s">
        <v>317</v>
      </c>
      <c r="I9" s="102" t="s">
        <v>648</v>
      </c>
      <c r="J9" s="102" t="s">
        <v>478</v>
      </c>
      <c r="L9" s="229" t="s">
        <v>8348</v>
      </c>
      <c r="M9" s="229" t="s">
        <v>8717</v>
      </c>
      <c r="N9" s="229" t="s">
        <v>8350</v>
      </c>
      <c r="O9" s="102">
        <v>1.0</v>
      </c>
      <c r="P9" s="102" t="s">
        <v>367</v>
      </c>
      <c r="Q9" s="102" t="s">
        <v>783</v>
      </c>
      <c r="R9" s="102"/>
      <c r="S9" s="102">
        <v>7200.0</v>
      </c>
      <c r="T9" s="230" t="str">
        <f>IF(ISNUMBER(MATCH(B9, 'Sprint 8'!B:B, 0)), "มาจาก Sprint 8", "")</f>
        <v/>
      </c>
      <c r="U9" s="230" t="str">
        <f t="array" ref="U9">IF(ISNUMBER(MATCH(B9, 'Sprint 8'!B:B, 0)), INDEX('Sprint 8'!J:J, MATCH(B9, 'Sprint 8'!B:B, 0)), "")</f>
        <v/>
      </c>
      <c r="W9" s="102" t="s">
        <v>4960</v>
      </c>
      <c r="X9" s="102"/>
      <c r="Y9" s="102"/>
      <c r="Z9" s="230"/>
      <c r="AA9" s="230"/>
      <c r="AB9" s="230"/>
      <c r="AC9" s="102"/>
      <c r="AD9" s="102"/>
      <c r="AE9" s="102"/>
    </row>
    <row r="10">
      <c r="A10" s="102" t="s">
        <v>310</v>
      </c>
      <c r="B10" s="102" t="s">
        <v>8718</v>
      </c>
      <c r="C10" s="229" t="s">
        <v>8719</v>
      </c>
      <c r="D10" s="102" t="s">
        <v>8720</v>
      </c>
      <c r="E10" s="102" t="s">
        <v>495</v>
      </c>
      <c r="F10" s="102" t="s">
        <v>496</v>
      </c>
      <c r="G10" s="102" t="s">
        <v>314</v>
      </c>
      <c r="H10" s="102" t="s">
        <v>315</v>
      </c>
      <c r="I10" s="102" t="s">
        <v>284</v>
      </c>
      <c r="J10" s="102" t="s">
        <v>26</v>
      </c>
      <c r="L10" s="229" t="s">
        <v>8721</v>
      </c>
      <c r="M10" s="229" t="s">
        <v>8722</v>
      </c>
      <c r="O10" s="102">
        <v>5.0</v>
      </c>
      <c r="P10" s="102" t="s">
        <v>593</v>
      </c>
      <c r="Q10" s="102"/>
      <c r="R10" s="230"/>
      <c r="S10" s="102">
        <v>57600.0</v>
      </c>
      <c r="T10" s="230" t="str">
        <f>IF(ISNUMBER(MATCH(B10, 'Sprint 8'!B:B, 0)), "มาจาก Sprint 8", "")</f>
        <v/>
      </c>
      <c r="U10" s="230" t="str">
        <f t="array" ref="U10">IF(ISNUMBER(MATCH(B10, 'Sprint 8'!B:B, 0)), INDEX('Sprint 8'!J:J, MATCH(B10, 'Sprint 8'!B:B, 0)), "")</f>
        <v/>
      </c>
      <c r="W10" s="102" t="s">
        <v>1363</v>
      </c>
      <c r="Y10" s="102"/>
      <c r="Z10" s="230"/>
      <c r="AA10" s="230"/>
      <c r="AB10" s="230"/>
      <c r="AC10" s="102"/>
      <c r="AD10" s="102"/>
      <c r="AE10" s="102"/>
    </row>
    <row r="11">
      <c r="A11" s="102" t="s">
        <v>310</v>
      </c>
      <c r="B11" s="102" t="s">
        <v>8723</v>
      </c>
      <c r="C11" s="229" t="s">
        <v>8724</v>
      </c>
      <c r="D11" s="102" t="s">
        <v>8725</v>
      </c>
      <c r="E11" s="102" t="s">
        <v>513</v>
      </c>
      <c r="F11" s="102" t="s">
        <v>514</v>
      </c>
      <c r="G11" s="102" t="s">
        <v>314</v>
      </c>
      <c r="H11" s="102" t="s">
        <v>315</v>
      </c>
      <c r="I11" s="102" t="s">
        <v>284</v>
      </c>
      <c r="J11" s="102" t="s">
        <v>26</v>
      </c>
      <c r="L11" s="229" t="s">
        <v>8726</v>
      </c>
      <c r="M11" s="229" t="s">
        <v>8727</v>
      </c>
      <c r="N11" s="229" t="s">
        <v>8698</v>
      </c>
      <c r="O11" s="102">
        <v>5.0</v>
      </c>
      <c r="P11" s="102" t="s">
        <v>593</v>
      </c>
      <c r="Q11" s="102" t="s">
        <v>651</v>
      </c>
      <c r="R11" s="102"/>
      <c r="S11" s="102">
        <v>28800.0</v>
      </c>
      <c r="T11" s="230" t="str">
        <f>IF(ISNUMBER(MATCH(B11, 'Sprint 8'!B:B, 0)), "มาจาก Sprint 8", "")</f>
        <v/>
      </c>
      <c r="U11" s="230" t="str">
        <f t="array" ref="U11">IF(ISNUMBER(MATCH(B11, 'Sprint 8'!B:B, 0)), INDEX('Sprint 8'!J:J, MATCH(B11, 'Sprint 8'!B:B, 0)), "")</f>
        <v/>
      </c>
      <c r="W11" s="102" t="s">
        <v>1363</v>
      </c>
      <c r="X11" s="102"/>
      <c r="Y11" s="102"/>
      <c r="Z11" s="230"/>
      <c r="AA11" s="230"/>
      <c r="AB11" s="230"/>
      <c r="AC11" s="102"/>
      <c r="AD11" s="102"/>
      <c r="AE11" s="102"/>
    </row>
    <row r="12">
      <c r="A12" s="102" t="s">
        <v>310</v>
      </c>
      <c r="B12" s="102" t="s">
        <v>7928</v>
      </c>
      <c r="C12" s="229" t="s">
        <v>7929</v>
      </c>
      <c r="D12" s="102" t="s">
        <v>7930</v>
      </c>
      <c r="E12" s="102" t="s">
        <v>584</v>
      </c>
      <c r="F12" s="102" t="s">
        <v>585</v>
      </c>
      <c r="G12" s="102" t="s">
        <v>353</v>
      </c>
      <c r="H12" s="102" t="s">
        <v>354</v>
      </c>
      <c r="I12" s="102" t="s">
        <v>284</v>
      </c>
      <c r="J12" s="102" t="s">
        <v>454</v>
      </c>
      <c r="L12" s="229" t="s">
        <v>7931</v>
      </c>
      <c r="M12" s="229" t="s">
        <v>8728</v>
      </c>
      <c r="O12" s="102">
        <v>1.0</v>
      </c>
      <c r="P12" s="102" t="s">
        <v>435</v>
      </c>
      <c r="R12" s="230"/>
      <c r="S12" s="230"/>
      <c r="T12" s="230" t="str">
        <f>IF(ISNUMBER(MATCH(B12, 'Sprint 8'!B:B, 0)), "มาจาก Sprint 8", "")</f>
        <v/>
      </c>
      <c r="U12" s="230" t="str">
        <f t="array" ref="U12">IF(ISNUMBER(MATCH(B12, 'Sprint 8'!B:B, 0)), INDEX('Sprint 8'!J:J, MATCH(B12, 'Sprint 8'!B:B, 0)), "")</f>
        <v/>
      </c>
      <c r="W12" s="102" t="s">
        <v>6448</v>
      </c>
      <c r="X12" s="102"/>
      <c r="Y12" s="102"/>
      <c r="Z12" s="230"/>
      <c r="AA12" s="230"/>
      <c r="AB12" s="230"/>
      <c r="AC12" s="102"/>
      <c r="AD12" s="102"/>
      <c r="AE12" s="102"/>
      <c r="AF12" s="102"/>
    </row>
    <row r="13">
      <c r="A13" s="102" t="s">
        <v>276</v>
      </c>
      <c r="B13" s="102" t="s">
        <v>7932</v>
      </c>
      <c r="C13" s="229" t="s">
        <v>7933</v>
      </c>
      <c r="D13" s="102" t="s">
        <v>347</v>
      </c>
      <c r="E13" s="102" t="s">
        <v>521</v>
      </c>
      <c r="F13" s="102" t="s">
        <v>522</v>
      </c>
      <c r="G13" s="102" t="s">
        <v>521</v>
      </c>
      <c r="H13" s="102" t="s">
        <v>522</v>
      </c>
      <c r="I13" s="102" t="s">
        <v>284</v>
      </c>
      <c r="J13" s="102" t="s">
        <v>63</v>
      </c>
      <c r="L13" s="229" t="s">
        <v>7935</v>
      </c>
      <c r="M13" s="229" t="s">
        <v>8356</v>
      </c>
      <c r="N13" s="102"/>
      <c r="O13" s="102"/>
      <c r="R13" s="102"/>
      <c r="S13" s="230"/>
      <c r="T13" s="230" t="str">
        <f>IF(ISNUMBER(MATCH(B13, 'Sprint 8'!B:B, 0)), "มาจาก Sprint 8", "")</f>
        <v/>
      </c>
      <c r="U13" s="230" t="str">
        <f t="array" ref="U13">IF(ISNUMBER(MATCH(B13, 'Sprint 8'!B:B, 0)), INDEX('Sprint 8'!J:J, MATCH(B13, 'Sprint 8'!B:B, 0)), "")</f>
        <v/>
      </c>
      <c r="W13" s="102" t="s">
        <v>5944</v>
      </c>
      <c r="X13" s="102" t="s">
        <v>5919</v>
      </c>
      <c r="Y13" s="102" t="s">
        <v>5920</v>
      </c>
      <c r="Z13" s="102"/>
      <c r="AA13" s="230"/>
      <c r="AB13" s="230"/>
      <c r="AC13" s="102"/>
      <c r="AD13" s="102"/>
      <c r="AE13" s="102"/>
      <c r="AF13" s="102"/>
    </row>
    <row r="14">
      <c r="A14" s="102" t="s">
        <v>276</v>
      </c>
      <c r="B14" s="102" t="s">
        <v>7937</v>
      </c>
      <c r="C14" s="229" t="s">
        <v>7938</v>
      </c>
      <c r="D14" s="102" t="s">
        <v>347</v>
      </c>
      <c r="E14" s="102" t="s">
        <v>521</v>
      </c>
      <c r="F14" s="102" t="s">
        <v>522</v>
      </c>
      <c r="G14" s="102" t="s">
        <v>521</v>
      </c>
      <c r="H14" s="102" t="s">
        <v>522</v>
      </c>
      <c r="I14" s="102" t="s">
        <v>284</v>
      </c>
      <c r="J14" s="102" t="s">
        <v>63</v>
      </c>
      <c r="L14" s="229" t="s">
        <v>7940</v>
      </c>
      <c r="M14" s="229" t="s">
        <v>8027</v>
      </c>
      <c r="O14" s="102"/>
      <c r="R14" s="230"/>
      <c r="S14" s="230"/>
      <c r="T14" s="230" t="str">
        <f>IF(ISNUMBER(MATCH(B14, 'Sprint 8'!B:B, 0)), "มาจาก Sprint 8", "")</f>
        <v/>
      </c>
      <c r="U14" s="230" t="str">
        <f t="array" ref="U14">IF(ISNUMBER(MATCH(B14, 'Sprint 8'!B:B, 0)), INDEX('Sprint 8'!J:J, MATCH(B14, 'Sprint 8'!B:B, 0)), "")</f>
        <v/>
      </c>
      <c r="W14" s="102" t="s">
        <v>5944</v>
      </c>
      <c r="X14" s="102" t="s">
        <v>5919</v>
      </c>
      <c r="Y14" s="102" t="s">
        <v>5920</v>
      </c>
      <c r="Z14" s="230"/>
      <c r="AA14" s="230"/>
      <c r="AB14" s="230"/>
      <c r="AC14" s="102"/>
      <c r="AD14" s="102"/>
      <c r="AE14" s="102"/>
    </row>
    <row r="15">
      <c r="A15" s="102" t="s">
        <v>4410</v>
      </c>
      <c r="B15" s="102" t="s">
        <v>8729</v>
      </c>
      <c r="C15" s="229" t="s">
        <v>8730</v>
      </c>
      <c r="D15" s="102" t="s">
        <v>8731</v>
      </c>
      <c r="E15" s="102" t="s">
        <v>282</v>
      </c>
      <c r="F15" s="102" t="s">
        <v>283</v>
      </c>
      <c r="G15" s="102" t="s">
        <v>282</v>
      </c>
      <c r="H15" s="102" t="s">
        <v>283</v>
      </c>
      <c r="I15" s="102" t="s">
        <v>284</v>
      </c>
      <c r="J15" s="102" t="s">
        <v>26</v>
      </c>
      <c r="L15" s="229" t="s">
        <v>8732</v>
      </c>
      <c r="M15" s="229" t="s">
        <v>8733</v>
      </c>
      <c r="O15" s="102">
        <v>1.0</v>
      </c>
      <c r="P15" s="102" t="s">
        <v>4656</v>
      </c>
      <c r="Q15" s="102" t="s">
        <v>593</v>
      </c>
      <c r="R15" s="230"/>
      <c r="S15" s="102">
        <v>1800.0</v>
      </c>
      <c r="T15" s="230" t="str">
        <f>IF(ISNUMBER(MATCH(B15, 'Sprint 8'!B:B, 0)), "มาจาก Sprint 8", "")</f>
        <v/>
      </c>
      <c r="U15" s="230" t="str">
        <f t="array" ref="U15">IF(ISNUMBER(MATCH(B15, 'Sprint 8'!B:B, 0)), INDEX('Sprint 8'!J:J, MATCH(B15, 'Sprint 8'!B:B, 0)), "")</f>
        <v/>
      </c>
      <c r="W15" s="102" t="s">
        <v>4960</v>
      </c>
      <c r="X15" s="102"/>
      <c r="Y15" s="102"/>
      <c r="Z15" s="102"/>
      <c r="AA15" s="230"/>
      <c r="AB15" s="230"/>
      <c r="AC15" s="102"/>
      <c r="AD15" s="102"/>
      <c r="AE15" s="102"/>
    </row>
    <row r="16">
      <c r="A16" s="102" t="s">
        <v>276</v>
      </c>
      <c r="B16" s="102" t="s">
        <v>8362</v>
      </c>
      <c r="C16" s="229" t="s">
        <v>8363</v>
      </c>
      <c r="D16" s="102" t="s">
        <v>1567</v>
      </c>
      <c r="E16" s="102" t="s">
        <v>3288</v>
      </c>
      <c r="F16" s="102" t="s">
        <v>3289</v>
      </c>
      <c r="G16" s="102" t="s">
        <v>3288</v>
      </c>
      <c r="H16" s="102" t="s">
        <v>3289</v>
      </c>
      <c r="I16" s="102" t="s">
        <v>284</v>
      </c>
      <c r="J16" s="102" t="s">
        <v>34</v>
      </c>
      <c r="L16" s="229" t="s">
        <v>8364</v>
      </c>
      <c r="M16" s="229" t="s">
        <v>8364</v>
      </c>
      <c r="O16" s="102"/>
      <c r="R16" s="102"/>
      <c r="S16" s="230"/>
      <c r="T16" s="230" t="str">
        <f>IF(ISNUMBER(MATCH(B16, 'Sprint 8'!B:B, 0)), "มาจาก Sprint 8", "")</f>
        <v/>
      </c>
      <c r="U16" s="230" t="str">
        <f t="array" ref="U16">IF(ISNUMBER(MATCH(B16, 'Sprint 8'!B:B, 0)), INDEX('Sprint 8'!J:J, MATCH(B16, 'Sprint 8'!B:B, 0)), "")</f>
        <v/>
      </c>
      <c r="W16" s="102" t="s">
        <v>5919</v>
      </c>
      <c r="X16" s="102" t="s">
        <v>5920</v>
      </c>
      <c r="Y16" s="102"/>
      <c r="Z16" s="230"/>
      <c r="AA16" s="230"/>
      <c r="AB16" s="230"/>
      <c r="AC16" s="102"/>
      <c r="AD16" s="102"/>
      <c r="AE16" s="102"/>
    </row>
    <row r="17">
      <c r="A17" s="102" t="s">
        <v>276</v>
      </c>
      <c r="B17" s="102" t="s">
        <v>8366</v>
      </c>
      <c r="C17" s="229" t="s">
        <v>8367</v>
      </c>
      <c r="D17" s="102" t="s">
        <v>1567</v>
      </c>
      <c r="E17" s="102" t="s">
        <v>3288</v>
      </c>
      <c r="F17" s="102" t="s">
        <v>3289</v>
      </c>
      <c r="G17" s="102" t="s">
        <v>3288</v>
      </c>
      <c r="H17" s="102" t="s">
        <v>3289</v>
      </c>
      <c r="I17" s="102" t="s">
        <v>284</v>
      </c>
      <c r="J17" s="102" t="s">
        <v>34</v>
      </c>
      <c r="L17" s="229" t="s">
        <v>8364</v>
      </c>
      <c r="M17" s="229" t="s">
        <v>8364</v>
      </c>
      <c r="N17" s="102"/>
      <c r="O17" s="102"/>
      <c r="P17" s="102"/>
      <c r="Q17" s="102"/>
      <c r="R17" s="230"/>
      <c r="S17" s="230"/>
      <c r="T17" s="230" t="str">
        <f>IF(ISNUMBER(MATCH(B17, 'Sprint 8'!B:B, 0)), "มาจาก Sprint 8", "")</f>
        <v/>
      </c>
      <c r="U17" s="230" t="str">
        <f t="array" ref="U17">IF(ISNUMBER(MATCH(B17, 'Sprint 8'!B:B, 0)), INDEX('Sprint 8'!J:J, MATCH(B17, 'Sprint 8'!B:B, 0)), "")</f>
        <v/>
      </c>
      <c r="W17" s="102" t="s">
        <v>5919</v>
      </c>
      <c r="X17" s="102" t="s">
        <v>5920</v>
      </c>
      <c r="Y17" s="102"/>
      <c r="Z17" s="230"/>
      <c r="AA17" s="230"/>
      <c r="AB17" s="102"/>
      <c r="AC17" s="102"/>
    </row>
    <row r="18">
      <c r="A18" s="102" t="s">
        <v>276</v>
      </c>
      <c r="B18" s="102" t="s">
        <v>8734</v>
      </c>
      <c r="C18" s="229" t="s">
        <v>8735</v>
      </c>
      <c r="D18" s="102" t="s">
        <v>1567</v>
      </c>
      <c r="E18" s="102" t="s">
        <v>3288</v>
      </c>
      <c r="F18" s="102" t="s">
        <v>3289</v>
      </c>
      <c r="G18" s="102" t="s">
        <v>3288</v>
      </c>
      <c r="H18" s="102" t="s">
        <v>3289</v>
      </c>
      <c r="I18" s="102" t="s">
        <v>284</v>
      </c>
      <c r="J18" s="102" t="s">
        <v>26</v>
      </c>
      <c r="L18" s="229" t="s">
        <v>8364</v>
      </c>
      <c r="M18" s="229" t="s">
        <v>8736</v>
      </c>
      <c r="O18" s="102"/>
      <c r="R18" s="230"/>
      <c r="S18" s="230"/>
      <c r="T18" s="230" t="str">
        <f>IF(ISNUMBER(MATCH(B18, 'Sprint 8'!B:B, 0)), "มาจาก Sprint 8", "")</f>
        <v/>
      </c>
      <c r="U18" s="230" t="str">
        <f t="array" ref="U18">IF(ISNUMBER(MATCH(B18, 'Sprint 8'!B:B, 0)), INDEX('Sprint 8'!J:J, MATCH(B18, 'Sprint 8'!B:B, 0)), "")</f>
        <v/>
      </c>
      <c r="W18" s="102" t="s">
        <v>5919</v>
      </c>
      <c r="X18" s="102" t="s">
        <v>5920</v>
      </c>
      <c r="Y18" s="102"/>
      <c r="Z18" s="230"/>
      <c r="AA18" s="230"/>
      <c r="AB18" s="230"/>
      <c r="AC18" s="102"/>
      <c r="AD18" s="102"/>
      <c r="AE18" s="102"/>
      <c r="AF18" s="102"/>
    </row>
    <row r="19">
      <c r="A19" s="102" t="s">
        <v>276</v>
      </c>
      <c r="B19" s="102" t="s">
        <v>8368</v>
      </c>
      <c r="C19" s="229" t="s">
        <v>8369</v>
      </c>
      <c r="D19" s="102" t="s">
        <v>1567</v>
      </c>
      <c r="E19" s="102" t="s">
        <v>3288</v>
      </c>
      <c r="F19" s="102" t="s">
        <v>3289</v>
      </c>
      <c r="G19" s="102" t="s">
        <v>3288</v>
      </c>
      <c r="H19" s="102" t="s">
        <v>3289</v>
      </c>
      <c r="I19" s="102" t="s">
        <v>284</v>
      </c>
      <c r="J19" s="102" t="s">
        <v>34</v>
      </c>
      <c r="L19" s="229" t="s">
        <v>8364</v>
      </c>
      <c r="M19" s="229" t="s">
        <v>8364</v>
      </c>
      <c r="N19" s="102"/>
      <c r="O19" s="102"/>
      <c r="R19" s="102"/>
      <c r="S19" s="230"/>
      <c r="T19" s="230" t="str">
        <f>IF(ISNUMBER(MATCH(B19, 'Sprint 8'!B:B, 0)), "มาจาก Sprint 8", "")</f>
        <v/>
      </c>
      <c r="U19" s="230" t="str">
        <f t="array" ref="U19">IF(ISNUMBER(MATCH(B19, 'Sprint 8'!B:B, 0)), INDEX('Sprint 8'!J:J, MATCH(B19, 'Sprint 8'!B:B, 0)), "")</f>
        <v/>
      </c>
      <c r="W19" s="102" t="s">
        <v>5919</v>
      </c>
      <c r="X19" s="102" t="s">
        <v>5920</v>
      </c>
      <c r="Y19" s="102"/>
      <c r="Z19" s="230"/>
      <c r="AA19" s="230"/>
      <c r="AB19" s="230"/>
      <c r="AC19" s="102"/>
      <c r="AD19" s="102"/>
      <c r="AE19" s="102"/>
      <c r="AF19" s="102"/>
    </row>
    <row r="20">
      <c r="A20" s="102" t="s">
        <v>276</v>
      </c>
      <c r="B20" s="102" t="s">
        <v>8737</v>
      </c>
      <c r="C20" s="229" t="s">
        <v>8738</v>
      </c>
      <c r="D20" s="102" t="s">
        <v>1567</v>
      </c>
      <c r="E20" s="102" t="s">
        <v>3288</v>
      </c>
      <c r="F20" s="102" t="s">
        <v>3289</v>
      </c>
      <c r="G20" s="102" t="s">
        <v>3288</v>
      </c>
      <c r="H20" s="102" t="s">
        <v>3289</v>
      </c>
      <c r="I20" s="102" t="s">
        <v>284</v>
      </c>
      <c r="J20" s="102" t="s">
        <v>26</v>
      </c>
      <c r="L20" s="229" t="s">
        <v>8739</v>
      </c>
      <c r="M20" s="229" t="s">
        <v>8740</v>
      </c>
      <c r="O20" s="102"/>
      <c r="S20" s="230"/>
      <c r="T20" s="230" t="str">
        <f>IF(ISNUMBER(MATCH(B20, 'Sprint 8'!B:B, 0)), "มาจาก Sprint 8", "")</f>
        <v/>
      </c>
      <c r="U20" s="230" t="str">
        <f t="array" ref="U20">IF(ISNUMBER(MATCH(B20, 'Sprint 8'!B:B, 0)), INDEX('Sprint 8'!J:J, MATCH(B20, 'Sprint 8'!B:B, 0)), "")</f>
        <v/>
      </c>
      <c r="W20" s="102" t="s">
        <v>5919</v>
      </c>
      <c r="X20" s="102" t="s">
        <v>5920</v>
      </c>
      <c r="Y20" s="102"/>
      <c r="Z20" s="230"/>
      <c r="AA20" s="230"/>
      <c r="AB20" s="230"/>
      <c r="AC20" s="102"/>
      <c r="AD20" s="102"/>
      <c r="AE20" s="102"/>
    </row>
    <row r="21">
      <c r="A21" s="102" t="s">
        <v>1459</v>
      </c>
      <c r="B21" s="102" t="s">
        <v>8370</v>
      </c>
      <c r="C21" s="229" t="s">
        <v>8371</v>
      </c>
      <c r="D21" s="102" t="s">
        <v>8372</v>
      </c>
      <c r="E21" s="102"/>
      <c r="F21" s="102"/>
      <c r="G21" s="102" t="s">
        <v>3288</v>
      </c>
      <c r="H21" s="102" t="s">
        <v>3289</v>
      </c>
      <c r="I21" s="102" t="s">
        <v>284</v>
      </c>
      <c r="J21" s="102" t="s">
        <v>34</v>
      </c>
      <c r="L21" s="229" t="s">
        <v>8373</v>
      </c>
      <c r="M21" s="229" t="s">
        <v>8741</v>
      </c>
      <c r="N21" s="102"/>
      <c r="O21" s="102"/>
      <c r="P21" s="102"/>
      <c r="R21" s="102"/>
      <c r="S21" s="230"/>
      <c r="T21" s="230" t="str">
        <f>IF(ISNUMBER(MATCH(B21, 'Sprint 8'!B:B, 0)), "มาจาก Sprint 8", "")</f>
        <v/>
      </c>
      <c r="U21" s="230" t="str">
        <f t="array" ref="U21">IF(ISNUMBER(MATCH(B21, 'Sprint 8'!B:B, 0)), INDEX('Sprint 8'!J:J, MATCH(B21, 'Sprint 8'!B:B, 0)), "")</f>
        <v/>
      </c>
      <c r="W21" s="102" t="s">
        <v>5920</v>
      </c>
      <c r="X21" s="102"/>
      <c r="Y21" s="102"/>
      <c r="Z21" s="230"/>
      <c r="AA21" s="230"/>
      <c r="AB21" s="102"/>
      <c r="AC21" s="102"/>
    </row>
    <row r="22">
      <c r="A22" s="102" t="s">
        <v>1465</v>
      </c>
      <c r="B22" s="102" t="s">
        <v>8375</v>
      </c>
      <c r="C22" s="229" t="s">
        <v>8376</v>
      </c>
      <c r="D22" s="102" t="s">
        <v>8377</v>
      </c>
      <c r="E22" s="102"/>
      <c r="F22" s="102"/>
      <c r="G22" s="102" t="s">
        <v>3288</v>
      </c>
      <c r="H22" s="102" t="s">
        <v>3289</v>
      </c>
      <c r="I22" s="102" t="s">
        <v>284</v>
      </c>
      <c r="J22" s="102" t="s">
        <v>63</v>
      </c>
      <c r="L22" s="229" t="s">
        <v>8378</v>
      </c>
      <c r="M22" s="229" t="s">
        <v>8741</v>
      </c>
      <c r="O22" s="102"/>
      <c r="R22" s="102"/>
      <c r="S22" s="230"/>
      <c r="T22" s="230" t="str">
        <f>IF(ISNUMBER(MATCH(B22, 'Sprint 8'!B:B, 0)), "มาจาก Sprint 8", "")</f>
        <v/>
      </c>
      <c r="U22" s="230" t="str">
        <f t="array" ref="U22">IF(ISNUMBER(MATCH(B22, 'Sprint 8'!B:B, 0)), INDEX('Sprint 8'!J:J, MATCH(B22, 'Sprint 8'!B:B, 0)), "")</f>
        <v/>
      </c>
      <c r="W22" s="102" t="s">
        <v>5920</v>
      </c>
      <c r="Y22" s="102"/>
      <c r="Z22" s="230"/>
      <c r="AA22" s="230"/>
      <c r="AB22" s="230"/>
      <c r="AC22" s="102"/>
      <c r="AD22" s="102"/>
      <c r="AE22" s="102"/>
    </row>
    <row r="23">
      <c r="A23" s="102" t="s">
        <v>276</v>
      </c>
      <c r="B23" s="102" t="s">
        <v>8742</v>
      </c>
      <c r="C23" s="229" t="s">
        <v>8743</v>
      </c>
      <c r="D23" s="102" t="s">
        <v>8744</v>
      </c>
      <c r="E23" s="102" t="s">
        <v>521</v>
      </c>
      <c r="F23" s="102" t="s">
        <v>522</v>
      </c>
      <c r="G23" s="102" t="s">
        <v>521</v>
      </c>
      <c r="H23" s="102" t="s">
        <v>522</v>
      </c>
      <c r="I23" s="102" t="s">
        <v>284</v>
      </c>
      <c r="J23" s="102" t="s">
        <v>26</v>
      </c>
      <c r="L23" s="229" t="s">
        <v>8745</v>
      </c>
      <c r="M23" s="229" t="s">
        <v>8746</v>
      </c>
      <c r="O23" s="102"/>
      <c r="P23" s="102"/>
      <c r="R23" s="230"/>
      <c r="S23" s="102"/>
      <c r="T23" s="230" t="str">
        <f>IF(ISNUMBER(MATCH(B23, 'Sprint 8'!B:B, 0)), "มาจาก Sprint 8", "")</f>
        <v/>
      </c>
      <c r="U23" s="230" t="str">
        <f t="array" ref="U23">IF(ISNUMBER(MATCH(B23, 'Sprint 8'!B:B, 0)), INDEX('Sprint 8'!J:J, MATCH(B23, 'Sprint 8'!B:B, 0)), "")</f>
        <v/>
      </c>
      <c r="W23" s="102" t="s">
        <v>6448</v>
      </c>
      <c r="Y23" s="102"/>
      <c r="Z23" s="230"/>
      <c r="AA23" s="230"/>
      <c r="AB23" s="230"/>
      <c r="AC23" s="102"/>
      <c r="AD23" s="102"/>
      <c r="AE23" s="102"/>
    </row>
    <row r="24">
      <c r="A24" s="102" t="s">
        <v>276</v>
      </c>
      <c r="B24" s="102" t="s">
        <v>8747</v>
      </c>
      <c r="C24" s="229" t="s">
        <v>8748</v>
      </c>
      <c r="D24" s="102" t="s">
        <v>5650</v>
      </c>
      <c r="E24" s="102" t="s">
        <v>3288</v>
      </c>
      <c r="F24" s="102" t="s">
        <v>3289</v>
      </c>
      <c r="G24" s="102" t="s">
        <v>3288</v>
      </c>
      <c r="H24" s="102" t="s">
        <v>3289</v>
      </c>
      <c r="I24" s="102" t="s">
        <v>284</v>
      </c>
      <c r="J24" s="102" t="s">
        <v>26</v>
      </c>
      <c r="L24" s="229" t="s">
        <v>8749</v>
      </c>
      <c r="M24" s="229" t="s">
        <v>8749</v>
      </c>
      <c r="O24" s="102"/>
      <c r="P24" s="102"/>
      <c r="Q24" s="102"/>
      <c r="R24" s="230"/>
      <c r="S24" s="230"/>
      <c r="T24" s="230" t="str">
        <f>IF(ISNUMBER(MATCH(B24, 'Sprint 8'!B:B, 0)), "มาจาก Sprint 8", "")</f>
        <v/>
      </c>
      <c r="U24" s="230" t="str">
        <f t="array" ref="U24">IF(ISNUMBER(MATCH(B24, 'Sprint 8'!B:B, 0)), INDEX('Sprint 8'!J:J, MATCH(B24, 'Sprint 8'!B:B, 0)), "")</f>
        <v/>
      </c>
      <c r="W24" s="102" t="s">
        <v>4960</v>
      </c>
      <c r="Y24" s="102"/>
      <c r="Z24" s="230"/>
      <c r="AA24" s="230"/>
      <c r="AB24" s="230"/>
      <c r="AC24" s="102"/>
    </row>
    <row r="25">
      <c r="A25" s="102" t="s">
        <v>276</v>
      </c>
      <c r="B25" s="102" t="s">
        <v>8750</v>
      </c>
      <c r="C25" s="229" t="s">
        <v>8751</v>
      </c>
      <c r="D25" s="102" t="s">
        <v>347</v>
      </c>
      <c r="E25" s="102" t="s">
        <v>521</v>
      </c>
      <c r="F25" s="102" t="s">
        <v>522</v>
      </c>
      <c r="G25" s="102" t="s">
        <v>521</v>
      </c>
      <c r="H25" s="102" t="s">
        <v>522</v>
      </c>
      <c r="I25" s="102" t="s">
        <v>284</v>
      </c>
      <c r="J25" s="102" t="s">
        <v>26</v>
      </c>
      <c r="L25" s="229" t="s">
        <v>8752</v>
      </c>
      <c r="M25" s="229" t="s">
        <v>8753</v>
      </c>
      <c r="O25" s="102"/>
      <c r="P25" s="102"/>
      <c r="Q25" s="102"/>
      <c r="R25" s="230"/>
      <c r="S25" s="102"/>
      <c r="T25" s="230" t="str">
        <f>IF(ISNUMBER(MATCH(B25, 'Sprint 8'!B:B, 0)), "มาจาก Sprint 8", "")</f>
        <v/>
      </c>
      <c r="U25" s="230" t="str">
        <f t="array" ref="U25">IF(ISNUMBER(MATCH(B25, 'Sprint 8'!B:B, 0)), INDEX('Sprint 8'!J:J, MATCH(B25, 'Sprint 8'!B:B, 0)), "")</f>
        <v/>
      </c>
      <c r="W25" s="102" t="s">
        <v>8754</v>
      </c>
      <c r="X25" s="102" t="s">
        <v>8755</v>
      </c>
      <c r="Y25" s="102" t="s">
        <v>6448</v>
      </c>
      <c r="Z25" s="230"/>
      <c r="AA25" s="230"/>
      <c r="AB25" s="230"/>
      <c r="AC25" s="102"/>
      <c r="AD25" s="102"/>
      <c r="AE25" s="102"/>
    </row>
    <row r="26">
      <c r="A26" s="102" t="s">
        <v>276</v>
      </c>
      <c r="B26" s="102" t="s">
        <v>8756</v>
      </c>
      <c r="C26" s="229" t="s">
        <v>8757</v>
      </c>
      <c r="D26" s="102" t="s">
        <v>347</v>
      </c>
      <c r="E26" s="102" t="s">
        <v>521</v>
      </c>
      <c r="F26" s="102" t="s">
        <v>522</v>
      </c>
      <c r="G26" s="102" t="s">
        <v>521</v>
      </c>
      <c r="H26" s="102" t="s">
        <v>522</v>
      </c>
      <c r="I26" s="102" t="s">
        <v>284</v>
      </c>
      <c r="J26" s="102" t="s">
        <v>26</v>
      </c>
      <c r="L26" s="229" t="s">
        <v>8758</v>
      </c>
      <c r="M26" s="229" t="s">
        <v>8759</v>
      </c>
      <c r="O26" s="230"/>
      <c r="R26" s="230"/>
      <c r="S26" s="230"/>
      <c r="T26" s="230" t="str">
        <f>IF(ISNUMBER(MATCH(B26, 'Sprint 8'!B:B, 0)), "มาจาก Sprint 8", "")</f>
        <v/>
      </c>
      <c r="U26" s="230" t="str">
        <f t="array" ref="U26">IF(ISNUMBER(MATCH(B26, 'Sprint 8'!B:B, 0)), INDEX('Sprint 8'!J:J, MATCH(B26, 'Sprint 8'!B:B, 0)), "")</f>
        <v/>
      </c>
      <c r="W26" s="102" t="s">
        <v>8754</v>
      </c>
      <c r="X26" s="102" t="s">
        <v>8755</v>
      </c>
      <c r="Y26" s="102" t="s">
        <v>6448</v>
      </c>
      <c r="Z26" s="230"/>
      <c r="AA26" s="230"/>
      <c r="AB26" s="230"/>
      <c r="AC26" s="102"/>
      <c r="AD26" s="102"/>
      <c r="AE26" s="102"/>
    </row>
    <row r="27">
      <c r="A27" s="102" t="s">
        <v>276</v>
      </c>
      <c r="B27" s="102" t="s">
        <v>8760</v>
      </c>
      <c r="C27" s="229" t="s">
        <v>8761</v>
      </c>
      <c r="D27" s="102" t="s">
        <v>8762</v>
      </c>
      <c r="E27" s="102" t="s">
        <v>282</v>
      </c>
      <c r="F27" s="102" t="s">
        <v>283</v>
      </c>
      <c r="G27" s="102" t="s">
        <v>316</v>
      </c>
      <c r="H27" s="102" t="s">
        <v>317</v>
      </c>
      <c r="I27" s="102" t="s">
        <v>284</v>
      </c>
      <c r="J27" s="102" t="s">
        <v>26</v>
      </c>
      <c r="L27" s="229" t="s">
        <v>8763</v>
      </c>
      <c r="M27" s="229" t="s">
        <v>8764</v>
      </c>
      <c r="N27" s="102"/>
      <c r="O27" s="102"/>
      <c r="P27" s="102"/>
      <c r="Q27" s="102"/>
      <c r="R27" s="102"/>
      <c r="S27" s="102"/>
      <c r="T27" s="230" t="str">
        <f>IF(ISNUMBER(MATCH(B27, 'Sprint 8'!B:B, 0)), "มาจาก Sprint 8", "")</f>
        <v/>
      </c>
      <c r="U27" s="230" t="str">
        <f t="array" ref="U27">IF(ISNUMBER(MATCH(B27, 'Sprint 8'!B:B, 0)), INDEX('Sprint 8'!J:J, MATCH(B27, 'Sprint 8'!B:B, 0)), "")</f>
        <v/>
      </c>
      <c r="W27" s="102" t="s">
        <v>4960</v>
      </c>
      <c r="Y27" s="102"/>
      <c r="Z27" s="230"/>
      <c r="AA27" s="230"/>
      <c r="AB27" s="102"/>
      <c r="AC27" s="102"/>
    </row>
    <row r="28">
      <c r="A28" s="102" t="s">
        <v>276</v>
      </c>
      <c r="B28" s="102" t="s">
        <v>8765</v>
      </c>
      <c r="C28" s="229" t="s">
        <v>8766</v>
      </c>
      <c r="D28" s="102" t="s">
        <v>8767</v>
      </c>
      <c r="E28" s="102" t="s">
        <v>282</v>
      </c>
      <c r="F28" s="102" t="s">
        <v>283</v>
      </c>
      <c r="G28" s="102" t="s">
        <v>316</v>
      </c>
      <c r="H28" s="102" t="s">
        <v>317</v>
      </c>
      <c r="I28" s="102" t="s">
        <v>284</v>
      </c>
      <c r="J28" s="102" t="s">
        <v>26</v>
      </c>
      <c r="L28" s="229" t="s">
        <v>8768</v>
      </c>
      <c r="M28" s="229" t="s">
        <v>8769</v>
      </c>
      <c r="N28" s="102"/>
      <c r="O28" s="102"/>
      <c r="P28" s="102"/>
      <c r="R28" s="102"/>
      <c r="S28" s="230"/>
      <c r="T28" s="230" t="str">
        <f>IF(ISNUMBER(MATCH(B28, 'Sprint 8'!B:B, 0)), "มาจาก Sprint 8", "")</f>
        <v/>
      </c>
      <c r="U28" s="230" t="str">
        <f t="array" ref="U28">IF(ISNUMBER(MATCH(B28, 'Sprint 8'!B:B, 0)), INDEX('Sprint 8'!J:J, MATCH(B28, 'Sprint 8'!B:B, 0)), "")</f>
        <v/>
      </c>
      <c r="W28" s="102" t="s">
        <v>4960</v>
      </c>
      <c r="Y28" s="102"/>
      <c r="Z28" s="230"/>
      <c r="AA28" s="230"/>
      <c r="AB28" s="230"/>
      <c r="AC28" s="102"/>
      <c r="AD28" s="102"/>
      <c r="AE28" s="102"/>
    </row>
    <row r="29">
      <c r="A29" s="102" t="s">
        <v>332</v>
      </c>
      <c r="B29" s="102" t="s">
        <v>8770</v>
      </c>
      <c r="C29" s="229" t="s">
        <v>8771</v>
      </c>
      <c r="D29" s="102" t="s">
        <v>8772</v>
      </c>
      <c r="E29" s="102" t="s">
        <v>282</v>
      </c>
      <c r="F29" s="102" t="s">
        <v>283</v>
      </c>
      <c r="G29" s="102" t="s">
        <v>316</v>
      </c>
      <c r="H29" s="102" t="s">
        <v>317</v>
      </c>
      <c r="I29" s="102" t="s">
        <v>284</v>
      </c>
      <c r="J29" s="102" t="s">
        <v>336</v>
      </c>
      <c r="L29" s="229" t="s">
        <v>8773</v>
      </c>
      <c r="M29" s="229" t="s">
        <v>8774</v>
      </c>
      <c r="N29" s="229" t="s">
        <v>7544</v>
      </c>
      <c r="O29" s="102">
        <v>1.0</v>
      </c>
      <c r="P29" s="102" t="s">
        <v>367</v>
      </c>
      <c r="Q29" s="102" t="s">
        <v>368</v>
      </c>
      <c r="R29" s="102"/>
      <c r="S29" s="102">
        <v>7200.0</v>
      </c>
      <c r="T29" s="230" t="str">
        <f>IF(ISNUMBER(MATCH(B29, 'Sprint 8'!B:B, 0)), "มาจาก Sprint 8", "")</f>
        <v/>
      </c>
      <c r="U29" s="230" t="str">
        <f t="array" ref="U29">IF(ISNUMBER(MATCH(B29, 'Sprint 8'!B:B, 0)), INDEX('Sprint 8'!J:J, MATCH(B29, 'Sprint 8'!B:B, 0)), "")</f>
        <v/>
      </c>
      <c r="W29" s="102" t="s">
        <v>4960</v>
      </c>
      <c r="Y29" s="102"/>
      <c r="Z29" s="230"/>
      <c r="AA29" s="230"/>
      <c r="AB29" s="230"/>
      <c r="AC29" s="102"/>
      <c r="AD29" s="102"/>
      <c r="AE29" s="102"/>
    </row>
    <row r="30">
      <c r="A30" s="102" t="s">
        <v>310</v>
      </c>
      <c r="B30" s="102" t="s">
        <v>8391</v>
      </c>
      <c r="C30" s="229" t="s">
        <v>8392</v>
      </c>
      <c r="D30" s="102" t="s">
        <v>8393</v>
      </c>
      <c r="E30" s="102" t="s">
        <v>513</v>
      </c>
      <c r="F30" s="102" t="s">
        <v>514</v>
      </c>
      <c r="G30" s="102" t="s">
        <v>353</v>
      </c>
      <c r="H30" s="102" t="s">
        <v>354</v>
      </c>
      <c r="I30" s="102" t="s">
        <v>284</v>
      </c>
      <c r="J30" s="102" t="s">
        <v>678</v>
      </c>
      <c r="K30" s="102"/>
      <c r="L30" s="229" t="s">
        <v>8394</v>
      </c>
      <c r="M30" s="229" t="s">
        <v>8775</v>
      </c>
      <c r="O30" s="102">
        <v>1.0</v>
      </c>
      <c r="R30" s="230"/>
      <c r="S30" s="102">
        <v>7200.0</v>
      </c>
      <c r="T30" s="230" t="str">
        <f>IF(ISNUMBER(MATCH(B30, 'Sprint 8'!B:B, 0)), "มาจาก Sprint 8", "")</f>
        <v/>
      </c>
      <c r="U30" s="230" t="str">
        <f t="array" ref="U30">IF(ISNUMBER(MATCH(B30, 'Sprint 8'!B:B, 0)), INDEX('Sprint 8'!J:J, MATCH(B30, 'Sprint 8'!B:B, 0)), "")</f>
        <v/>
      </c>
      <c r="W30" s="102" t="s">
        <v>5920</v>
      </c>
      <c r="Y30" s="102"/>
      <c r="Z30" s="230"/>
      <c r="AA30" s="230"/>
      <c r="AB30" s="230"/>
      <c r="AC30" s="102"/>
      <c r="AD30" s="102"/>
      <c r="AE30" s="102"/>
    </row>
    <row r="31">
      <c r="A31" s="102" t="s">
        <v>310</v>
      </c>
      <c r="B31" s="102" t="s">
        <v>6964</v>
      </c>
      <c r="C31" s="229" t="s">
        <v>6965</v>
      </c>
      <c r="D31" s="102" t="s">
        <v>6966</v>
      </c>
      <c r="E31" s="102" t="s">
        <v>314</v>
      </c>
      <c r="F31" s="102" t="s">
        <v>315</v>
      </c>
      <c r="G31" s="102" t="s">
        <v>353</v>
      </c>
      <c r="H31" s="102" t="s">
        <v>354</v>
      </c>
      <c r="I31" s="102" t="s">
        <v>284</v>
      </c>
      <c r="J31" s="102" t="s">
        <v>355</v>
      </c>
      <c r="K31" s="102"/>
      <c r="L31" s="229" t="s">
        <v>6967</v>
      </c>
      <c r="M31" s="229" t="s">
        <v>8776</v>
      </c>
      <c r="O31" s="102">
        <v>2.0</v>
      </c>
      <c r="R31" s="230"/>
      <c r="S31" s="102">
        <v>10800.0</v>
      </c>
      <c r="T31" s="230" t="str">
        <f>IF(ISNUMBER(MATCH(B31, 'Sprint 8'!B:B, 0)), "มาจาก Sprint 8", "")</f>
        <v/>
      </c>
      <c r="U31" s="230" t="str">
        <f t="array" ref="U31">IF(ISNUMBER(MATCH(B31, 'Sprint 8'!B:B, 0)), INDEX('Sprint 8'!J:J, MATCH(B31, 'Sprint 8'!B:B, 0)), "")</f>
        <v/>
      </c>
      <c r="W31" s="102" t="s">
        <v>6448</v>
      </c>
      <c r="Y31" s="102"/>
      <c r="Z31" s="230"/>
      <c r="AA31" s="230"/>
      <c r="AB31" s="230"/>
      <c r="AC31" s="102"/>
    </row>
    <row r="32">
      <c r="A32" s="102" t="s">
        <v>310</v>
      </c>
      <c r="B32" s="102" t="s">
        <v>8397</v>
      </c>
      <c r="C32" s="229" t="s">
        <v>8398</v>
      </c>
      <c r="D32" s="102" t="s">
        <v>8399</v>
      </c>
      <c r="E32" s="102" t="s">
        <v>282</v>
      </c>
      <c r="F32" s="102" t="s">
        <v>283</v>
      </c>
      <c r="G32" s="102" t="s">
        <v>282</v>
      </c>
      <c r="H32" s="102" t="s">
        <v>283</v>
      </c>
      <c r="I32" s="102" t="s">
        <v>515</v>
      </c>
      <c r="J32" s="102" t="s">
        <v>454</v>
      </c>
      <c r="L32" s="229" t="s">
        <v>8400</v>
      </c>
      <c r="M32" s="229" t="s">
        <v>8777</v>
      </c>
      <c r="O32" s="102">
        <v>2.0</v>
      </c>
      <c r="P32" s="102" t="s">
        <v>4656</v>
      </c>
      <c r="Q32" s="102" t="s">
        <v>7229</v>
      </c>
      <c r="R32" s="102"/>
      <c r="S32" s="230"/>
      <c r="T32" s="230" t="str">
        <f>IF(ISNUMBER(MATCH(B32, 'Sprint 8'!B:B, 0)), "มาจาก Sprint 8", "")</f>
        <v/>
      </c>
      <c r="U32" s="230" t="str">
        <f t="array" ref="U32">IF(ISNUMBER(MATCH(B32, 'Sprint 8'!B:B, 0)), INDEX('Sprint 8'!J:J, MATCH(B32, 'Sprint 8'!B:B, 0)), "")</f>
        <v/>
      </c>
      <c r="W32" s="102" t="s">
        <v>4960</v>
      </c>
      <c r="Y32" s="102"/>
      <c r="Z32" s="102"/>
      <c r="AA32" s="102"/>
      <c r="AB32" s="102"/>
      <c r="AC32" s="102"/>
    </row>
    <row r="33">
      <c r="A33" s="102" t="s">
        <v>310</v>
      </c>
      <c r="B33" s="102" t="s">
        <v>8778</v>
      </c>
      <c r="C33" s="229" t="s">
        <v>8779</v>
      </c>
      <c r="D33" s="102" t="s">
        <v>8780</v>
      </c>
      <c r="E33" s="102" t="s">
        <v>282</v>
      </c>
      <c r="F33" s="102" t="s">
        <v>283</v>
      </c>
      <c r="G33" s="102" t="s">
        <v>316</v>
      </c>
      <c r="H33" s="102" t="s">
        <v>317</v>
      </c>
      <c r="I33" s="102" t="s">
        <v>284</v>
      </c>
      <c r="J33" s="102" t="s">
        <v>26</v>
      </c>
      <c r="L33" s="229" t="s">
        <v>8781</v>
      </c>
      <c r="M33" s="229" t="s">
        <v>8768</v>
      </c>
      <c r="N33" s="102"/>
      <c r="O33" s="102">
        <v>1.0</v>
      </c>
      <c r="P33" s="102" t="s">
        <v>4712</v>
      </c>
      <c r="Q33" s="102" t="s">
        <v>4656</v>
      </c>
      <c r="R33" s="230"/>
      <c r="S33" s="102">
        <v>1800.0</v>
      </c>
      <c r="T33" s="230" t="str">
        <f>IF(ISNUMBER(MATCH(B33, 'Sprint 8'!B:B, 0)), "มาจาก Sprint 8", "")</f>
        <v/>
      </c>
      <c r="U33" s="230" t="str">
        <f t="array" ref="U33">IF(ISNUMBER(MATCH(B33, 'Sprint 8'!B:B, 0)), INDEX('Sprint 8'!J:J, MATCH(B33, 'Sprint 8'!B:B, 0)), "")</f>
        <v/>
      </c>
      <c r="W33" s="102" t="s">
        <v>4960</v>
      </c>
      <c r="Y33" s="102"/>
      <c r="Z33" s="102"/>
      <c r="AA33" s="102"/>
      <c r="AB33" s="102"/>
      <c r="AC33" s="102"/>
      <c r="AD33" s="102"/>
      <c r="AE33" s="102"/>
    </row>
    <row r="34">
      <c r="A34" s="102" t="s">
        <v>332</v>
      </c>
      <c r="B34" s="102" t="s">
        <v>8401</v>
      </c>
      <c r="C34" s="229" t="s">
        <v>8402</v>
      </c>
      <c r="D34" s="102" t="s">
        <v>8403</v>
      </c>
      <c r="E34" s="102" t="s">
        <v>556</v>
      </c>
      <c r="F34" s="102" t="s">
        <v>557</v>
      </c>
      <c r="G34" s="102" t="s">
        <v>3288</v>
      </c>
      <c r="H34" s="102" t="s">
        <v>3289</v>
      </c>
      <c r="I34" s="102" t="s">
        <v>284</v>
      </c>
      <c r="J34" s="102" t="s">
        <v>922</v>
      </c>
      <c r="L34" s="229" t="s">
        <v>8404</v>
      </c>
      <c r="M34" s="229" t="s">
        <v>8782</v>
      </c>
      <c r="O34" s="102"/>
      <c r="R34" s="230"/>
      <c r="S34" s="230"/>
      <c r="T34" s="230" t="str">
        <f>IF(ISNUMBER(MATCH(B34, 'Sprint 8'!B:B, 0)), "มาจาก Sprint 8", "")</f>
        <v/>
      </c>
      <c r="U34" s="230" t="str">
        <f t="array" ref="U34">IF(ISNUMBER(MATCH(B34, 'Sprint 8'!B:B, 0)), INDEX('Sprint 8'!J:J, MATCH(B34, 'Sprint 8'!B:B, 0)), "")</f>
        <v/>
      </c>
      <c r="W34" s="102" t="s">
        <v>4960</v>
      </c>
      <c r="Y34" s="102"/>
      <c r="Z34" s="102"/>
      <c r="AA34" s="230"/>
      <c r="AB34" s="230"/>
      <c r="AC34" s="102"/>
      <c r="AD34" s="102"/>
      <c r="AE34" s="102"/>
    </row>
    <row r="35">
      <c r="A35" s="102" t="s">
        <v>310</v>
      </c>
      <c r="B35" s="102" t="s">
        <v>8783</v>
      </c>
      <c r="C35" s="229" t="s">
        <v>8784</v>
      </c>
      <c r="D35" s="102" t="s">
        <v>8785</v>
      </c>
      <c r="E35" s="102" t="s">
        <v>282</v>
      </c>
      <c r="F35" s="102" t="s">
        <v>283</v>
      </c>
      <c r="G35" s="102" t="s">
        <v>316</v>
      </c>
      <c r="H35" s="102" t="s">
        <v>317</v>
      </c>
      <c r="I35" s="102" t="s">
        <v>515</v>
      </c>
      <c r="J35" s="102" t="s">
        <v>26</v>
      </c>
      <c r="L35" s="229" t="s">
        <v>8786</v>
      </c>
      <c r="M35" s="229" t="s">
        <v>8787</v>
      </c>
      <c r="N35" s="229" t="s">
        <v>7979</v>
      </c>
      <c r="O35" s="102">
        <v>1.0</v>
      </c>
      <c r="P35" s="102" t="s">
        <v>4712</v>
      </c>
      <c r="Q35" s="102" t="s">
        <v>4656</v>
      </c>
      <c r="R35" s="102" t="s">
        <v>368</v>
      </c>
      <c r="S35" s="102">
        <v>1800.0</v>
      </c>
      <c r="T35" s="230" t="str">
        <f>IF(ISNUMBER(MATCH(B35, 'Sprint 8'!B:B, 0)), "มาจาก Sprint 8", "")</f>
        <v/>
      </c>
      <c r="U35" s="230" t="str">
        <f t="array" ref="U35">IF(ISNUMBER(MATCH(B35, 'Sprint 8'!B:B, 0)), INDEX('Sprint 8'!J:J, MATCH(B35, 'Sprint 8'!B:B, 0)), "")</f>
        <v/>
      </c>
      <c r="W35" s="102" t="s">
        <v>4960</v>
      </c>
      <c r="Y35" s="102"/>
      <c r="Z35" s="102"/>
      <c r="AA35" s="230"/>
      <c r="AB35" s="102"/>
      <c r="AC35" s="102"/>
      <c r="AD35" s="102"/>
      <c r="AE35" s="102"/>
    </row>
    <row r="36">
      <c r="A36" s="102" t="s">
        <v>276</v>
      </c>
      <c r="B36" s="102" t="s">
        <v>7943</v>
      </c>
      <c r="C36" s="229" t="s">
        <v>7944</v>
      </c>
      <c r="D36" s="102" t="s">
        <v>347</v>
      </c>
      <c r="E36" s="102" t="s">
        <v>280</v>
      </c>
      <c r="F36" s="102" t="s">
        <v>281</v>
      </c>
      <c r="G36" s="102" t="s">
        <v>280</v>
      </c>
      <c r="H36" s="102" t="s">
        <v>281</v>
      </c>
      <c r="I36" s="102" t="s">
        <v>284</v>
      </c>
      <c r="J36" s="102" t="s">
        <v>63</v>
      </c>
      <c r="L36" s="229" t="s">
        <v>7945</v>
      </c>
      <c r="M36" s="229" t="s">
        <v>7945</v>
      </c>
      <c r="O36" s="230"/>
      <c r="R36" s="230"/>
      <c r="S36" s="230"/>
      <c r="T36" s="230" t="str">
        <f>IF(ISNUMBER(MATCH(B36, 'Sprint 8'!B:B, 0)), "มาจาก Sprint 8", "")</f>
        <v/>
      </c>
      <c r="U36" s="230" t="str">
        <f t="array" ref="U36">IF(ISNUMBER(MATCH(B36, 'Sprint 8'!B:B, 0)), INDEX('Sprint 8'!J:J, MATCH(B36, 'Sprint 8'!B:B, 0)), "")</f>
        <v/>
      </c>
      <c r="W36" s="102" t="s">
        <v>1363</v>
      </c>
      <c r="Y36" s="102"/>
      <c r="Z36" s="102"/>
      <c r="AA36" s="230"/>
      <c r="AB36" s="230"/>
      <c r="AC36" s="102"/>
      <c r="AD36" s="102"/>
      <c r="AE36" s="102"/>
    </row>
    <row r="37">
      <c r="A37" s="102" t="s">
        <v>276</v>
      </c>
      <c r="B37" s="102" t="s">
        <v>7947</v>
      </c>
      <c r="C37" s="229" t="s">
        <v>7948</v>
      </c>
      <c r="D37" s="102" t="s">
        <v>2030</v>
      </c>
      <c r="E37" s="102" t="s">
        <v>280</v>
      </c>
      <c r="F37" s="102" t="s">
        <v>281</v>
      </c>
      <c r="G37" s="102" t="s">
        <v>280</v>
      </c>
      <c r="H37" s="102" t="s">
        <v>281</v>
      </c>
      <c r="I37" s="102" t="s">
        <v>284</v>
      </c>
      <c r="J37" s="102" t="s">
        <v>26</v>
      </c>
      <c r="L37" s="229" t="s">
        <v>7945</v>
      </c>
      <c r="M37" s="229" t="s">
        <v>7949</v>
      </c>
      <c r="O37" s="230"/>
      <c r="R37" s="230"/>
      <c r="S37" s="230"/>
      <c r="T37" s="230" t="str">
        <f>IF(ISNUMBER(MATCH(B37, 'Sprint 8'!B:B, 0)), "มาจาก Sprint 8", "")</f>
        <v/>
      </c>
      <c r="U37" s="230" t="str">
        <f t="array" ref="U37">IF(ISNUMBER(MATCH(B37, 'Sprint 8'!B:B, 0)), INDEX('Sprint 8'!J:J, MATCH(B37, 'Sprint 8'!B:B, 0)), "")</f>
        <v/>
      </c>
      <c r="W37" s="102" t="s">
        <v>1363</v>
      </c>
      <c r="Y37" s="102"/>
      <c r="Z37" s="102"/>
      <c r="AA37" s="230"/>
      <c r="AB37" s="230"/>
      <c r="AC37" s="102"/>
    </row>
    <row r="38">
      <c r="A38" s="102" t="s">
        <v>276</v>
      </c>
      <c r="B38" s="102" t="s">
        <v>7950</v>
      </c>
      <c r="C38" s="229" t="s">
        <v>7951</v>
      </c>
      <c r="D38" s="102" t="s">
        <v>347</v>
      </c>
      <c r="E38" s="102" t="s">
        <v>280</v>
      </c>
      <c r="F38" s="102" t="s">
        <v>281</v>
      </c>
      <c r="G38" s="102" t="s">
        <v>280</v>
      </c>
      <c r="H38" s="102" t="s">
        <v>281</v>
      </c>
      <c r="I38" s="102" t="s">
        <v>284</v>
      </c>
      <c r="J38" s="102" t="s">
        <v>63</v>
      </c>
      <c r="L38" s="229" t="s">
        <v>7952</v>
      </c>
      <c r="M38" s="229" t="s">
        <v>7945</v>
      </c>
      <c r="N38" s="102"/>
      <c r="O38" s="102"/>
      <c r="R38" s="230"/>
      <c r="S38" s="102"/>
      <c r="T38" s="230" t="str">
        <f>IF(ISNUMBER(MATCH(B38, 'Sprint 8'!B:B, 0)), "มาจาก Sprint 8", "")</f>
        <v/>
      </c>
      <c r="U38" s="230" t="str">
        <f t="array" ref="U38">IF(ISNUMBER(MATCH(B38, 'Sprint 8'!B:B, 0)), INDEX('Sprint 8'!J:J, MATCH(B38, 'Sprint 8'!B:B, 0)), "")</f>
        <v/>
      </c>
      <c r="W38" s="102" t="s">
        <v>1363</v>
      </c>
      <c r="Y38" s="102"/>
      <c r="Z38" s="230"/>
      <c r="AA38" s="230"/>
      <c r="AB38" s="230"/>
      <c r="AC38" s="102"/>
    </row>
    <row r="39">
      <c r="A39" s="102" t="s">
        <v>276</v>
      </c>
      <c r="B39" s="102" t="s">
        <v>7954</v>
      </c>
      <c r="C39" s="229" t="s">
        <v>7955</v>
      </c>
      <c r="D39" s="102" t="s">
        <v>2030</v>
      </c>
      <c r="E39" s="102" t="s">
        <v>280</v>
      </c>
      <c r="F39" s="102" t="s">
        <v>281</v>
      </c>
      <c r="G39" s="102" t="s">
        <v>280</v>
      </c>
      <c r="H39" s="102" t="s">
        <v>281</v>
      </c>
      <c r="I39" s="102" t="s">
        <v>284</v>
      </c>
      <c r="J39" s="102" t="s">
        <v>26</v>
      </c>
      <c r="L39" s="229" t="s">
        <v>7952</v>
      </c>
      <c r="M39" s="229" t="s">
        <v>7956</v>
      </c>
      <c r="O39" s="230"/>
      <c r="R39" s="230"/>
      <c r="S39" s="230"/>
      <c r="T39" s="230" t="str">
        <f>IF(ISNUMBER(MATCH(B39, 'Sprint 8'!B:B, 0)), "มาจาก Sprint 8", "")</f>
        <v/>
      </c>
      <c r="U39" s="230" t="str">
        <f t="array" ref="U39">IF(ISNUMBER(MATCH(B39, 'Sprint 8'!B:B, 0)), INDEX('Sprint 8'!J:J, MATCH(B39, 'Sprint 8'!B:B, 0)), "")</f>
        <v/>
      </c>
      <c r="W39" s="102" t="s">
        <v>1363</v>
      </c>
      <c r="X39" s="102"/>
      <c r="Y39" s="102"/>
      <c r="Z39" s="230"/>
      <c r="AA39" s="230"/>
      <c r="AB39" s="230"/>
      <c r="AC39" s="102"/>
      <c r="AD39" s="102"/>
      <c r="AE39" s="102"/>
    </row>
    <row r="40">
      <c r="A40" s="102" t="s">
        <v>276</v>
      </c>
      <c r="B40" s="102" t="s">
        <v>7957</v>
      </c>
      <c r="C40" s="229" t="s">
        <v>7958</v>
      </c>
      <c r="D40" s="102" t="s">
        <v>347</v>
      </c>
      <c r="E40" s="102" t="s">
        <v>280</v>
      </c>
      <c r="F40" s="102" t="s">
        <v>281</v>
      </c>
      <c r="G40" s="102" t="s">
        <v>280</v>
      </c>
      <c r="H40" s="102" t="s">
        <v>281</v>
      </c>
      <c r="I40" s="102" t="s">
        <v>284</v>
      </c>
      <c r="J40" s="102" t="s">
        <v>63</v>
      </c>
      <c r="L40" s="229" t="s">
        <v>7952</v>
      </c>
      <c r="M40" s="229" t="s">
        <v>7952</v>
      </c>
      <c r="O40" s="230"/>
      <c r="R40" s="230"/>
      <c r="S40" s="230"/>
      <c r="T40" s="230" t="str">
        <f>IF(ISNUMBER(MATCH(B40, 'Sprint 8'!B:B, 0)), "มาจาก Sprint 8", "")</f>
        <v/>
      </c>
      <c r="U40" s="230" t="str">
        <f t="array" ref="U40">IF(ISNUMBER(MATCH(B40, 'Sprint 8'!B:B, 0)), INDEX('Sprint 8'!J:J, MATCH(B40, 'Sprint 8'!B:B, 0)), "")</f>
        <v/>
      </c>
      <c r="W40" s="102" t="s">
        <v>1363</v>
      </c>
      <c r="Y40" s="102"/>
      <c r="Z40" s="230"/>
      <c r="AA40" s="230"/>
      <c r="AB40" s="230"/>
      <c r="AC40" s="102"/>
      <c r="AD40" s="102"/>
      <c r="AE40" s="102"/>
    </row>
    <row r="41">
      <c r="A41" s="102" t="s">
        <v>276</v>
      </c>
      <c r="B41" s="102" t="s">
        <v>7960</v>
      </c>
      <c r="C41" s="229" t="s">
        <v>7961</v>
      </c>
      <c r="D41" s="102" t="s">
        <v>2030</v>
      </c>
      <c r="E41" s="102" t="s">
        <v>280</v>
      </c>
      <c r="F41" s="102" t="s">
        <v>281</v>
      </c>
      <c r="G41" s="102" t="s">
        <v>280</v>
      </c>
      <c r="H41" s="102" t="s">
        <v>281</v>
      </c>
      <c r="I41" s="102" t="s">
        <v>284</v>
      </c>
      <c r="J41" s="102" t="s">
        <v>34</v>
      </c>
      <c r="L41" s="229" t="s">
        <v>7952</v>
      </c>
      <c r="M41" s="229" t="s">
        <v>8788</v>
      </c>
      <c r="N41" s="102"/>
      <c r="O41" s="230"/>
      <c r="R41" s="230"/>
      <c r="S41" s="230"/>
      <c r="T41" s="230" t="str">
        <f>IF(ISNUMBER(MATCH(B41, 'Sprint 8'!B:B, 0)), "มาจาก Sprint 8", "")</f>
        <v/>
      </c>
      <c r="U41" s="230" t="str">
        <f t="array" ref="U41">IF(ISNUMBER(MATCH(B41, 'Sprint 8'!B:B, 0)), INDEX('Sprint 8'!J:J, MATCH(B41, 'Sprint 8'!B:B, 0)), "")</f>
        <v/>
      </c>
      <c r="W41" s="102" t="s">
        <v>1363</v>
      </c>
      <c r="Y41" s="102"/>
      <c r="Z41" s="230"/>
      <c r="AA41" s="230"/>
      <c r="AB41" s="230"/>
      <c r="AC41" s="102"/>
      <c r="AD41" s="102"/>
      <c r="AE41" s="102"/>
    </row>
    <row r="42">
      <c r="A42" s="102" t="s">
        <v>276</v>
      </c>
      <c r="B42" s="102" t="s">
        <v>7963</v>
      </c>
      <c r="C42" s="229" t="s">
        <v>7964</v>
      </c>
      <c r="D42" s="102" t="s">
        <v>347</v>
      </c>
      <c r="E42" s="102" t="s">
        <v>280</v>
      </c>
      <c r="F42" s="102" t="s">
        <v>281</v>
      </c>
      <c r="G42" s="102" t="s">
        <v>280</v>
      </c>
      <c r="H42" s="102" t="s">
        <v>281</v>
      </c>
      <c r="I42" s="102" t="s">
        <v>284</v>
      </c>
      <c r="J42" s="102" t="s">
        <v>63</v>
      </c>
      <c r="L42" s="229" t="s">
        <v>7952</v>
      </c>
      <c r="M42" s="229" t="s">
        <v>7952</v>
      </c>
      <c r="O42" s="102"/>
      <c r="R42" s="230"/>
      <c r="S42" s="102"/>
      <c r="T42" s="230" t="str">
        <f>IF(ISNUMBER(MATCH(B42, 'Sprint 8'!B:B, 0)), "มาจาก Sprint 8", "")</f>
        <v/>
      </c>
      <c r="U42" s="230" t="str">
        <f t="array" ref="U42">IF(ISNUMBER(MATCH(B42, 'Sprint 8'!B:B, 0)), INDEX('Sprint 8'!J:J, MATCH(B42, 'Sprint 8'!B:B, 0)), "")</f>
        <v/>
      </c>
      <c r="W42" s="102" t="s">
        <v>1363</v>
      </c>
      <c r="Y42" s="102"/>
      <c r="Z42" s="102"/>
      <c r="AA42" s="230"/>
      <c r="AB42" s="230"/>
      <c r="AC42" s="102"/>
      <c r="AD42" s="102"/>
      <c r="AE42" s="102"/>
    </row>
    <row r="43">
      <c r="A43" s="102" t="s">
        <v>276</v>
      </c>
      <c r="B43" s="102" t="s">
        <v>7966</v>
      </c>
      <c r="C43" s="229" t="s">
        <v>7967</v>
      </c>
      <c r="D43" s="102" t="s">
        <v>2030</v>
      </c>
      <c r="E43" s="102" t="s">
        <v>280</v>
      </c>
      <c r="F43" s="102" t="s">
        <v>281</v>
      </c>
      <c r="G43" s="102" t="s">
        <v>280</v>
      </c>
      <c r="H43" s="102" t="s">
        <v>281</v>
      </c>
      <c r="I43" s="102" t="s">
        <v>284</v>
      </c>
      <c r="J43" s="102" t="s">
        <v>355</v>
      </c>
      <c r="L43" s="229" t="s">
        <v>7952</v>
      </c>
      <c r="M43" s="229" t="s">
        <v>8789</v>
      </c>
      <c r="N43" s="102"/>
      <c r="O43" s="102"/>
      <c r="P43" s="102"/>
      <c r="R43" s="230"/>
      <c r="S43" s="230"/>
      <c r="T43" s="230" t="str">
        <f>IF(ISNUMBER(MATCH(B43, 'Sprint 8'!B:B, 0)), "มาจาก Sprint 8", "")</f>
        <v/>
      </c>
      <c r="U43" s="230" t="str">
        <f t="array" ref="U43">IF(ISNUMBER(MATCH(B43, 'Sprint 8'!B:B, 0)), INDEX('Sprint 8'!J:J, MATCH(B43, 'Sprint 8'!B:B, 0)), "")</f>
        <v/>
      </c>
      <c r="W43" s="102" t="s">
        <v>1363</v>
      </c>
      <c r="Y43" s="102"/>
      <c r="Z43" s="102"/>
      <c r="AA43" s="230"/>
      <c r="AB43" s="102"/>
      <c r="AC43" s="102"/>
    </row>
    <row r="44">
      <c r="A44" s="102" t="s">
        <v>332</v>
      </c>
      <c r="B44" s="102" t="s">
        <v>8790</v>
      </c>
      <c r="C44" s="229" t="s">
        <v>8791</v>
      </c>
      <c r="D44" s="102" t="s">
        <v>8792</v>
      </c>
      <c r="E44" s="102" t="s">
        <v>282</v>
      </c>
      <c r="F44" s="102" t="s">
        <v>283</v>
      </c>
      <c r="G44" s="102" t="s">
        <v>280</v>
      </c>
      <c r="H44" s="102" t="s">
        <v>281</v>
      </c>
      <c r="I44" s="102" t="s">
        <v>284</v>
      </c>
      <c r="J44" s="102" t="s">
        <v>336</v>
      </c>
      <c r="L44" s="229" t="s">
        <v>8793</v>
      </c>
      <c r="M44" s="229" t="s">
        <v>8794</v>
      </c>
      <c r="N44" s="102"/>
      <c r="O44" s="102"/>
      <c r="P44" s="102"/>
      <c r="R44" s="230"/>
      <c r="S44" s="102"/>
      <c r="T44" s="230" t="str">
        <f>IF(ISNUMBER(MATCH(B44, 'Sprint 8'!B:B, 0)), "มาจาก Sprint 8", "")</f>
        <v/>
      </c>
      <c r="U44" s="230" t="str">
        <f t="array" ref="U44">IF(ISNUMBER(MATCH(B44, 'Sprint 8'!B:B, 0)), INDEX('Sprint 8'!J:J, MATCH(B44, 'Sprint 8'!B:B, 0)), "")</f>
        <v/>
      </c>
      <c r="W44" s="102" t="s">
        <v>4960</v>
      </c>
      <c r="Y44" s="102"/>
      <c r="Z44" s="102"/>
      <c r="AA44" s="230"/>
      <c r="AB44" s="230"/>
      <c r="AC44" s="102"/>
    </row>
    <row r="45">
      <c r="A45" s="102" t="s">
        <v>276</v>
      </c>
      <c r="B45" s="102" t="s">
        <v>8795</v>
      </c>
      <c r="C45" s="229" t="s">
        <v>8796</v>
      </c>
      <c r="D45" s="102" t="s">
        <v>8797</v>
      </c>
      <c r="E45" s="102" t="s">
        <v>391</v>
      </c>
      <c r="F45" s="102" t="s">
        <v>392</v>
      </c>
      <c r="G45" s="102" t="s">
        <v>391</v>
      </c>
      <c r="H45" s="102" t="s">
        <v>392</v>
      </c>
      <c r="I45" s="102" t="s">
        <v>284</v>
      </c>
      <c r="J45" s="102" t="s">
        <v>26</v>
      </c>
      <c r="L45" s="229" t="s">
        <v>8798</v>
      </c>
      <c r="M45" s="229" t="s">
        <v>8799</v>
      </c>
      <c r="O45" s="230"/>
      <c r="R45" s="230"/>
      <c r="S45" s="230"/>
      <c r="T45" s="230" t="str">
        <f>IF(ISNUMBER(MATCH(B45, 'Sprint 8'!B:B, 0)), "มาจาก Sprint 8", "")</f>
        <v/>
      </c>
      <c r="U45" s="230" t="str">
        <f t="array" ref="U45">IF(ISNUMBER(MATCH(B45, 'Sprint 8'!B:B, 0)), INDEX('Sprint 8'!J:J, MATCH(B45, 'Sprint 8'!B:B, 0)), "")</f>
        <v/>
      </c>
      <c r="W45" s="102" t="s">
        <v>4960</v>
      </c>
      <c r="Y45" s="102"/>
      <c r="Z45" s="102"/>
      <c r="AA45" s="230"/>
      <c r="AB45" s="230"/>
      <c r="AC45" s="102"/>
    </row>
    <row r="46">
      <c r="A46" s="102" t="s">
        <v>276</v>
      </c>
      <c r="B46" s="102" t="s">
        <v>8406</v>
      </c>
      <c r="C46" s="229" t="s">
        <v>8407</v>
      </c>
      <c r="D46" s="102" t="s">
        <v>8408</v>
      </c>
      <c r="E46" s="102" t="s">
        <v>513</v>
      </c>
      <c r="F46" s="102" t="s">
        <v>514</v>
      </c>
      <c r="G46" s="102" t="s">
        <v>513</v>
      </c>
      <c r="H46" s="102" t="s">
        <v>514</v>
      </c>
      <c r="I46" s="102" t="s">
        <v>284</v>
      </c>
      <c r="J46" s="102" t="s">
        <v>678</v>
      </c>
      <c r="L46" s="229" t="s">
        <v>8409</v>
      </c>
      <c r="M46" s="229" t="s">
        <v>8800</v>
      </c>
      <c r="N46" s="229" t="s">
        <v>7577</v>
      </c>
      <c r="O46" s="230"/>
      <c r="R46" s="230"/>
      <c r="S46" s="102">
        <v>14400.0</v>
      </c>
      <c r="T46" s="230" t="str">
        <f>IF(ISNUMBER(MATCH(B46, 'Sprint 8'!B:B, 0)), "มาจาก Sprint 8", "")</f>
        <v/>
      </c>
      <c r="U46" s="230" t="str">
        <f t="array" ref="U46">IF(ISNUMBER(MATCH(B46, 'Sprint 8'!B:B, 0)), INDEX('Sprint 8'!J:J, MATCH(B46, 'Sprint 8'!B:B, 0)), "")</f>
        <v/>
      </c>
      <c r="W46" s="102" t="s">
        <v>1363</v>
      </c>
      <c r="Y46" s="102"/>
      <c r="Z46" s="102"/>
      <c r="AA46" s="230"/>
      <c r="AB46" s="230"/>
      <c r="AC46" s="102"/>
      <c r="AD46" s="102"/>
    </row>
    <row r="47">
      <c r="A47" s="102" t="s">
        <v>276</v>
      </c>
      <c r="B47" s="102" t="s">
        <v>8801</v>
      </c>
      <c r="C47" s="229" t="s">
        <v>8802</v>
      </c>
      <c r="D47" s="102" t="s">
        <v>8803</v>
      </c>
      <c r="E47" s="102" t="s">
        <v>3288</v>
      </c>
      <c r="F47" s="102" t="s">
        <v>3289</v>
      </c>
      <c r="G47" s="102" t="s">
        <v>3288</v>
      </c>
      <c r="H47" s="102" t="s">
        <v>3289</v>
      </c>
      <c r="I47" s="102" t="s">
        <v>284</v>
      </c>
      <c r="J47" s="102" t="s">
        <v>26</v>
      </c>
      <c r="L47" s="229" t="s">
        <v>8804</v>
      </c>
      <c r="M47" s="229" t="s">
        <v>8805</v>
      </c>
      <c r="N47" s="102"/>
      <c r="O47" s="230"/>
      <c r="R47" s="230"/>
      <c r="S47" s="230"/>
      <c r="T47" s="230" t="str">
        <f>IF(ISNUMBER(MATCH(B47, 'Sprint 8'!B:B, 0)), "มาจาก Sprint 8", "")</f>
        <v/>
      </c>
      <c r="U47" s="230" t="str">
        <f t="array" ref="U47">IF(ISNUMBER(MATCH(B47, 'Sprint 8'!B:B, 0)), INDEX('Sprint 8'!J:J, MATCH(B47, 'Sprint 8'!B:B, 0)), "")</f>
        <v/>
      </c>
      <c r="W47" s="102" t="s">
        <v>8806</v>
      </c>
      <c r="X47" s="102" t="s">
        <v>4960</v>
      </c>
      <c r="Y47" s="102"/>
      <c r="Z47" s="102"/>
      <c r="AA47" s="230"/>
      <c r="AB47" s="230"/>
      <c r="AC47" s="102"/>
    </row>
    <row r="48">
      <c r="A48" s="102" t="s">
        <v>276</v>
      </c>
      <c r="B48" s="102" t="s">
        <v>8411</v>
      </c>
      <c r="C48" s="229" t="s">
        <v>8412</v>
      </c>
      <c r="D48" s="102" t="s">
        <v>8413</v>
      </c>
      <c r="E48" s="102" t="s">
        <v>3288</v>
      </c>
      <c r="F48" s="102" t="s">
        <v>3289</v>
      </c>
      <c r="G48" s="102" t="s">
        <v>3288</v>
      </c>
      <c r="H48" s="102" t="s">
        <v>3289</v>
      </c>
      <c r="I48" s="102" t="s">
        <v>284</v>
      </c>
      <c r="J48" s="102" t="s">
        <v>34</v>
      </c>
      <c r="L48" s="229" t="s">
        <v>8414</v>
      </c>
      <c r="M48" s="229" t="s">
        <v>8807</v>
      </c>
      <c r="O48" s="230"/>
      <c r="R48" s="230"/>
      <c r="S48" s="230"/>
      <c r="T48" s="230" t="str">
        <f>IF(ISNUMBER(MATCH(B48, 'Sprint 8'!B:B, 0)), "มาจาก Sprint 8", "")</f>
        <v/>
      </c>
      <c r="U48" s="230" t="str">
        <f t="array" ref="U48">IF(ISNUMBER(MATCH(B48, 'Sprint 8'!B:B, 0)), INDEX('Sprint 8'!J:J, MATCH(B48, 'Sprint 8'!B:B, 0)), "")</f>
        <v/>
      </c>
      <c r="W48" s="102" t="s">
        <v>5920</v>
      </c>
      <c r="Y48" s="102"/>
      <c r="Z48" s="102"/>
      <c r="AA48" s="230"/>
      <c r="AB48" s="230"/>
      <c r="AC48" s="102"/>
      <c r="AD48" s="102"/>
      <c r="AE48" s="102"/>
    </row>
    <row r="49">
      <c r="A49" s="102" t="s">
        <v>276</v>
      </c>
      <c r="B49" s="102" t="s">
        <v>7568</v>
      </c>
      <c r="C49" s="229" t="s">
        <v>7569</v>
      </c>
      <c r="D49" s="102" t="s">
        <v>7570</v>
      </c>
      <c r="E49" s="102" t="s">
        <v>3288</v>
      </c>
      <c r="F49" s="102" t="s">
        <v>3289</v>
      </c>
      <c r="G49" s="102" t="s">
        <v>3288</v>
      </c>
      <c r="H49" s="102" t="s">
        <v>3289</v>
      </c>
      <c r="I49" s="102" t="s">
        <v>284</v>
      </c>
      <c r="J49" s="102" t="s">
        <v>34</v>
      </c>
      <c r="L49" s="229" t="s">
        <v>7571</v>
      </c>
      <c r="M49" s="229" t="s">
        <v>8807</v>
      </c>
      <c r="N49" s="102"/>
      <c r="O49" s="102"/>
      <c r="R49" s="230"/>
      <c r="S49" s="230"/>
      <c r="T49" s="230" t="str">
        <f>IF(ISNUMBER(MATCH(B49, 'Sprint 8'!B:B, 0)), "มาจาก Sprint 8", "")</f>
        <v/>
      </c>
      <c r="U49" s="230" t="str">
        <f t="array" ref="U49">IF(ISNUMBER(MATCH(B49, 'Sprint 8'!B:B, 0)), INDEX('Sprint 8'!J:J, MATCH(B49, 'Sprint 8'!B:B, 0)), "")</f>
        <v/>
      </c>
      <c r="W49" s="102" t="s">
        <v>5920</v>
      </c>
      <c r="Y49" s="102"/>
      <c r="Z49" s="230"/>
      <c r="AA49" s="230"/>
      <c r="AB49" s="102"/>
      <c r="AC49" s="102"/>
    </row>
    <row r="50">
      <c r="A50" s="102" t="s">
        <v>310</v>
      </c>
      <c r="B50" s="102" t="s">
        <v>8808</v>
      </c>
      <c r="C50" s="229" t="s">
        <v>8809</v>
      </c>
      <c r="D50" s="102" t="s">
        <v>8810</v>
      </c>
      <c r="E50" s="102" t="s">
        <v>314</v>
      </c>
      <c r="F50" s="102" t="s">
        <v>315</v>
      </c>
      <c r="G50" s="102" t="s">
        <v>314</v>
      </c>
      <c r="H50" s="102" t="s">
        <v>315</v>
      </c>
      <c r="I50" s="102" t="s">
        <v>284</v>
      </c>
      <c r="J50" s="102" t="s">
        <v>26</v>
      </c>
      <c r="L50" s="229" t="s">
        <v>8811</v>
      </c>
      <c r="M50" s="229" t="s">
        <v>8812</v>
      </c>
      <c r="O50" s="102">
        <v>1.0</v>
      </c>
      <c r="R50" s="230"/>
      <c r="S50" s="102">
        <v>1800.0</v>
      </c>
      <c r="T50" s="230" t="str">
        <f>IF(ISNUMBER(MATCH(B50, 'Sprint 8'!B:B, 0)), "มาจาก Sprint 8", "")</f>
        <v/>
      </c>
      <c r="U50" s="230" t="str">
        <f t="array" ref="U50">IF(ISNUMBER(MATCH(B50, 'Sprint 8'!B:B, 0)), INDEX('Sprint 8'!J:J, MATCH(B50, 'Sprint 8'!B:B, 0)), "")</f>
        <v/>
      </c>
      <c r="W50" s="102" t="s">
        <v>1363</v>
      </c>
      <c r="Y50" s="102"/>
      <c r="Z50" s="230"/>
      <c r="AA50" s="230"/>
      <c r="AB50" s="230"/>
      <c r="AC50" s="102"/>
    </row>
    <row r="51">
      <c r="A51" s="102" t="s">
        <v>310</v>
      </c>
      <c r="B51" s="102" t="s">
        <v>8813</v>
      </c>
      <c r="C51" s="229" t="s">
        <v>8814</v>
      </c>
      <c r="D51" s="102" t="s">
        <v>8815</v>
      </c>
      <c r="E51" s="102" t="s">
        <v>304</v>
      </c>
      <c r="F51" s="102" t="s">
        <v>305</v>
      </c>
      <c r="G51" s="102" t="s">
        <v>304</v>
      </c>
      <c r="H51" s="102" t="s">
        <v>305</v>
      </c>
      <c r="I51" s="102" t="s">
        <v>284</v>
      </c>
      <c r="J51" s="102" t="s">
        <v>26</v>
      </c>
      <c r="L51" s="229" t="s">
        <v>8816</v>
      </c>
      <c r="M51" s="229" t="s">
        <v>8799</v>
      </c>
      <c r="N51" s="229" t="s">
        <v>6810</v>
      </c>
      <c r="O51" s="102">
        <v>1.0</v>
      </c>
      <c r="P51" s="102" t="s">
        <v>27</v>
      </c>
      <c r="R51" s="230"/>
      <c r="S51" s="230"/>
      <c r="T51" s="230" t="str">
        <f>IF(ISNUMBER(MATCH(B51, 'Sprint 8'!B:B, 0)), "มาจาก Sprint 8", "")</f>
        <v/>
      </c>
      <c r="U51" s="230" t="str">
        <f t="array" ref="U51">IF(ISNUMBER(MATCH(B51, 'Sprint 8'!B:B, 0)), INDEX('Sprint 8'!J:J, MATCH(B51, 'Sprint 8'!B:B, 0)), "")</f>
        <v/>
      </c>
      <c r="W51" s="102" t="s">
        <v>4960</v>
      </c>
      <c r="Y51" s="102"/>
      <c r="Z51" s="230"/>
      <c r="AA51" s="230"/>
      <c r="AB51" s="230"/>
      <c r="AC51" s="102"/>
    </row>
    <row r="52">
      <c r="A52" s="102" t="s">
        <v>310</v>
      </c>
      <c r="B52" s="102" t="s">
        <v>7573</v>
      </c>
      <c r="C52" s="229" t="s">
        <v>7574</v>
      </c>
      <c r="D52" s="102" t="s">
        <v>7575</v>
      </c>
      <c r="E52" s="102" t="s">
        <v>6315</v>
      </c>
      <c r="F52" s="102" t="s">
        <v>6316</v>
      </c>
      <c r="G52" s="102" t="s">
        <v>282</v>
      </c>
      <c r="H52" s="102" t="s">
        <v>283</v>
      </c>
      <c r="I52" s="102" t="s">
        <v>284</v>
      </c>
      <c r="J52" s="102" t="s">
        <v>454</v>
      </c>
      <c r="L52" s="229" t="s">
        <v>7576</v>
      </c>
      <c r="M52" s="229" t="s">
        <v>8817</v>
      </c>
      <c r="N52" s="229" t="s">
        <v>7577</v>
      </c>
      <c r="O52" s="102">
        <v>5.0</v>
      </c>
      <c r="P52" s="102" t="s">
        <v>504</v>
      </c>
      <c r="R52" s="230"/>
      <c r="S52" s="102">
        <v>57600.0</v>
      </c>
      <c r="T52" s="230" t="str">
        <f>IF(ISNUMBER(MATCH(B52, 'Sprint 8'!B:B, 0)), "มาจาก Sprint 8", "")</f>
        <v/>
      </c>
      <c r="U52" s="230" t="str">
        <f t="array" ref="U52">IF(ISNUMBER(MATCH(B52, 'Sprint 8'!B:B, 0)), INDEX('Sprint 8'!J:J, MATCH(B52, 'Sprint 8'!B:B, 0)), "")</f>
        <v/>
      </c>
      <c r="W52" s="102" t="s">
        <v>5920</v>
      </c>
      <c r="Y52" s="102"/>
      <c r="Z52" s="230"/>
      <c r="AA52" s="230"/>
      <c r="AB52" s="230"/>
      <c r="AC52" s="102"/>
    </row>
    <row r="53">
      <c r="A53" s="102" t="s">
        <v>310</v>
      </c>
      <c r="B53" s="102" t="s">
        <v>6969</v>
      </c>
      <c r="C53" s="229" t="s">
        <v>6970</v>
      </c>
      <c r="D53" s="102" t="s">
        <v>6971</v>
      </c>
      <c r="E53" s="102" t="s">
        <v>6860</v>
      </c>
      <c r="F53" s="102" t="s">
        <v>6861</v>
      </c>
      <c r="G53" s="102" t="s">
        <v>353</v>
      </c>
      <c r="H53" s="102" t="s">
        <v>354</v>
      </c>
      <c r="I53" s="102" t="s">
        <v>284</v>
      </c>
      <c r="J53" s="102" t="s">
        <v>355</v>
      </c>
      <c r="L53" s="229" t="s">
        <v>6972</v>
      </c>
      <c r="M53" s="229" t="s">
        <v>8818</v>
      </c>
      <c r="N53" s="102"/>
      <c r="O53" s="102"/>
      <c r="P53" s="102"/>
      <c r="R53" s="230"/>
      <c r="S53" s="102"/>
      <c r="T53" s="230" t="str">
        <f>IF(ISNUMBER(MATCH(B53, 'Sprint 8'!B:B, 0)), "มาจาก Sprint 8", "")</f>
        <v/>
      </c>
      <c r="U53" s="230" t="str">
        <f t="array" ref="U53">IF(ISNUMBER(MATCH(B53, 'Sprint 8'!B:B, 0)), INDEX('Sprint 8'!J:J, MATCH(B53, 'Sprint 8'!B:B, 0)), "")</f>
        <v/>
      </c>
      <c r="W53" s="102" t="s">
        <v>6448</v>
      </c>
      <c r="Y53" s="102"/>
      <c r="Z53" s="230"/>
      <c r="AA53" s="230"/>
      <c r="AB53" s="230"/>
      <c r="AC53" s="102"/>
    </row>
    <row r="54">
      <c r="A54" s="102" t="s">
        <v>276</v>
      </c>
      <c r="B54" s="102" t="s">
        <v>7968</v>
      </c>
      <c r="C54" s="229" t="s">
        <v>7969</v>
      </c>
      <c r="D54" s="102" t="s">
        <v>8418</v>
      </c>
      <c r="E54" s="102" t="s">
        <v>521</v>
      </c>
      <c r="F54" s="102" t="s">
        <v>522</v>
      </c>
      <c r="G54" s="102" t="s">
        <v>521</v>
      </c>
      <c r="H54" s="102" t="s">
        <v>522</v>
      </c>
      <c r="I54" s="102" t="s">
        <v>284</v>
      </c>
      <c r="J54" s="102" t="s">
        <v>63</v>
      </c>
      <c r="L54" s="229" t="s">
        <v>7971</v>
      </c>
      <c r="M54" s="229" t="s">
        <v>7971</v>
      </c>
      <c r="N54" s="102"/>
      <c r="O54" s="102"/>
      <c r="P54" s="102"/>
      <c r="R54" s="102"/>
      <c r="S54" s="102"/>
      <c r="T54" s="230" t="str">
        <f>IF(ISNUMBER(MATCH(B54, 'Sprint 8'!B:B, 0)), "มาจาก Sprint 8", "")</f>
        <v/>
      </c>
      <c r="U54" s="230" t="str">
        <f t="array" ref="U54">IF(ISNUMBER(MATCH(B54, 'Sprint 8'!B:B, 0)), INDEX('Sprint 8'!J:J, MATCH(B54, 'Sprint 8'!B:B, 0)), "")</f>
        <v/>
      </c>
      <c r="W54" s="102" t="s">
        <v>6448</v>
      </c>
      <c r="Y54" s="102"/>
      <c r="Z54" s="230"/>
      <c r="AA54" s="230"/>
      <c r="AB54" s="230"/>
      <c r="AC54" s="102"/>
    </row>
    <row r="55">
      <c r="A55" s="102" t="s">
        <v>276</v>
      </c>
      <c r="B55" s="102" t="s">
        <v>8819</v>
      </c>
      <c r="C55" s="229" t="s">
        <v>8820</v>
      </c>
      <c r="D55" s="102" t="s">
        <v>8744</v>
      </c>
      <c r="E55" s="102" t="s">
        <v>521</v>
      </c>
      <c r="F55" s="102" t="s">
        <v>522</v>
      </c>
      <c r="G55" s="102" t="s">
        <v>521</v>
      </c>
      <c r="H55" s="102" t="s">
        <v>522</v>
      </c>
      <c r="I55" s="102" t="s">
        <v>284</v>
      </c>
      <c r="J55" s="102" t="s">
        <v>26</v>
      </c>
      <c r="L55" s="229" t="s">
        <v>8821</v>
      </c>
      <c r="M55" s="229" t="s">
        <v>8746</v>
      </c>
      <c r="N55" s="102"/>
      <c r="O55" s="102"/>
      <c r="P55" s="102"/>
      <c r="R55" s="102"/>
      <c r="S55" s="230"/>
      <c r="T55" s="230" t="str">
        <f>IF(ISNUMBER(MATCH(B55, 'Sprint 8'!B:B, 0)), "มาจาก Sprint 8", "")</f>
        <v/>
      </c>
      <c r="U55" s="230" t="str">
        <f t="array" ref="U55">IF(ISNUMBER(MATCH(B55, 'Sprint 8'!B:B, 0)), INDEX('Sprint 8'!J:J, MATCH(B55, 'Sprint 8'!B:B, 0)), "")</f>
        <v/>
      </c>
      <c r="W55" s="102" t="s">
        <v>6448</v>
      </c>
      <c r="Y55" s="102"/>
      <c r="Z55" s="230"/>
      <c r="AA55" s="230"/>
      <c r="AB55" s="230"/>
      <c r="AC55" s="102"/>
    </row>
    <row r="56">
      <c r="A56" s="102" t="s">
        <v>276</v>
      </c>
      <c r="B56" s="102" t="s">
        <v>8822</v>
      </c>
      <c r="C56" s="229" t="s">
        <v>8823</v>
      </c>
      <c r="D56" s="102" t="s">
        <v>8824</v>
      </c>
      <c r="E56" s="102" t="s">
        <v>521</v>
      </c>
      <c r="F56" s="102" t="s">
        <v>522</v>
      </c>
      <c r="G56" s="102" t="s">
        <v>521</v>
      </c>
      <c r="H56" s="102" t="s">
        <v>522</v>
      </c>
      <c r="I56" s="102" t="s">
        <v>284</v>
      </c>
      <c r="J56" s="102" t="s">
        <v>26</v>
      </c>
      <c r="L56" s="229" t="s">
        <v>8825</v>
      </c>
      <c r="M56" s="229" t="s">
        <v>8826</v>
      </c>
      <c r="N56" s="102"/>
      <c r="O56" s="102"/>
      <c r="S56" s="102"/>
      <c r="T56" s="230" t="str">
        <f>IF(ISNUMBER(MATCH(B56, 'Sprint 8'!B:B, 0)), "มาจาก Sprint 8", "")</f>
        <v/>
      </c>
      <c r="U56" s="230" t="str">
        <f t="array" ref="U56">IF(ISNUMBER(MATCH(B56, 'Sprint 8'!B:B, 0)), INDEX('Sprint 8'!J:J, MATCH(B56, 'Sprint 8'!B:B, 0)), "")</f>
        <v/>
      </c>
      <c r="W56" s="102" t="s">
        <v>6448</v>
      </c>
      <c r="Y56" s="102"/>
      <c r="Z56" s="230"/>
      <c r="AA56" s="230"/>
      <c r="AB56" s="230"/>
      <c r="AC56" s="102"/>
    </row>
    <row r="57">
      <c r="A57" s="102" t="s">
        <v>276</v>
      </c>
      <c r="B57" s="102" t="s">
        <v>6973</v>
      </c>
      <c r="C57" s="229" t="s">
        <v>6974</v>
      </c>
      <c r="D57" s="102" t="s">
        <v>8419</v>
      </c>
      <c r="E57" s="102" t="s">
        <v>521</v>
      </c>
      <c r="F57" s="102" t="s">
        <v>522</v>
      </c>
      <c r="G57" s="102" t="s">
        <v>521</v>
      </c>
      <c r="H57" s="102" t="s">
        <v>522</v>
      </c>
      <c r="I57" s="102" t="s">
        <v>284</v>
      </c>
      <c r="J57" s="102" t="s">
        <v>63</v>
      </c>
      <c r="L57" s="229" t="s">
        <v>6976</v>
      </c>
      <c r="M57" s="229" t="s">
        <v>8420</v>
      </c>
      <c r="N57" s="102"/>
      <c r="O57" s="102"/>
      <c r="P57" s="102"/>
      <c r="R57" s="102"/>
      <c r="S57" s="230"/>
      <c r="T57" s="230" t="str">
        <f>IF(ISNUMBER(MATCH(B57, 'Sprint 8'!B:B, 0)), "มาจาก Sprint 8", "")</f>
        <v/>
      </c>
      <c r="U57" s="230" t="str">
        <f t="array" ref="U57">IF(ISNUMBER(MATCH(B57, 'Sprint 8'!B:B, 0)), INDEX('Sprint 8'!J:J, MATCH(B57, 'Sprint 8'!B:B, 0)), "")</f>
        <v/>
      </c>
      <c r="W57" s="102" t="s">
        <v>6448</v>
      </c>
      <c r="Y57" s="102"/>
      <c r="Z57" s="230"/>
      <c r="AA57" s="230"/>
      <c r="AB57" s="230"/>
      <c r="AC57" s="102"/>
    </row>
    <row r="58">
      <c r="A58" s="102" t="s">
        <v>276</v>
      </c>
      <c r="B58" s="102" t="s">
        <v>6977</v>
      </c>
      <c r="C58" s="229" t="s">
        <v>6978</v>
      </c>
      <c r="D58" s="102" t="s">
        <v>8419</v>
      </c>
      <c r="E58" s="102" t="s">
        <v>521</v>
      </c>
      <c r="F58" s="102" t="s">
        <v>522</v>
      </c>
      <c r="G58" s="102" t="s">
        <v>521</v>
      </c>
      <c r="H58" s="102" t="s">
        <v>522</v>
      </c>
      <c r="I58" s="102" t="s">
        <v>284</v>
      </c>
      <c r="J58" s="102" t="s">
        <v>63</v>
      </c>
      <c r="L58" s="229" t="s">
        <v>6980</v>
      </c>
      <c r="M58" s="229" t="s">
        <v>8420</v>
      </c>
      <c r="N58" s="102"/>
      <c r="O58" s="102"/>
      <c r="P58" s="102"/>
      <c r="R58" s="102"/>
      <c r="S58" s="102"/>
      <c r="T58" s="230" t="str">
        <f>IF(ISNUMBER(MATCH(B58, 'Sprint 8'!B:B, 0)), "มาจาก Sprint 8", "")</f>
        <v/>
      </c>
      <c r="U58" s="230" t="str">
        <f t="array" ref="U58">IF(ISNUMBER(MATCH(B58, 'Sprint 8'!B:B, 0)), INDEX('Sprint 8'!J:J, MATCH(B58, 'Sprint 8'!B:B, 0)), "")</f>
        <v/>
      </c>
      <c r="W58" s="102" t="s">
        <v>6448</v>
      </c>
      <c r="X58" s="102"/>
      <c r="Y58" s="102"/>
      <c r="Z58" s="230"/>
      <c r="AA58" s="230"/>
      <c r="AB58" s="230"/>
      <c r="AC58" s="102"/>
    </row>
    <row r="59">
      <c r="A59" s="102" t="s">
        <v>276</v>
      </c>
      <c r="B59" s="102" t="s">
        <v>6981</v>
      </c>
      <c r="C59" s="229" t="s">
        <v>6982</v>
      </c>
      <c r="D59" s="102" t="s">
        <v>2030</v>
      </c>
      <c r="E59" s="102" t="s">
        <v>521</v>
      </c>
      <c r="F59" s="102" t="s">
        <v>522</v>
      </c>
      <c r="G59" s="102" t="s">
        <v>521</v>
      </c>
      <c r="H59" s="102" t="s">
        <v>522</v>
      </c>
      <c r="I59" s="102" t="s">
        <v>284</v>
      </c>
      <c r="J59" s="102" t="s">
        <v>63</v>
      </c>
      <c r="L59" s="229" t="s">
        <v>6984</v>
      </c>
      <c r="M59" s="229" t="s">
        <v>6984</v>
      </c>
      <c r="N59" s="102"/>
      <c r="O59" s="102"/>
      <c r="P59" s="102"/>
      <c r="R59" s="102"/>
      <c r="S59" s="102"/>
      <c r="T59" s="230" t="str">
        <f>IF(ISNUMBER(MATCH(B59, 'Sprint 8'!B:B, 0)), "มาจาก Sprint 8", "")</f>
        <v/>
      </c>
      <c r="U59" s="230" t="str">
        <f t="array" ref="U59">IF(ISNUMBER(MATCH(B59, 'Sprint 8'!B:B, 0)), INDEX('Sprint 8'!J:J, MATCH(B59, 'Sprint 8'!B:B, 0)), "")</f>
        <v/>
      </c>
      <c r="W59" s="102" t="s">
        <v>6448</v>
      </c>
      <c r="Y59" s="102"/>
      <c r="Z59" s="230"/>
      <c r="AA59" s="230"/>
      <c r="AB59" s="230"/>
      <c r="AC59" s="102"/>
    </row>
    <row r="60">
      <c r="A60" s="102" t="s">
        <v>332</v>
      </c>
      <c r="B60" s="102" t="s">
        <v>8827</v>
      </c>
      <c r="C60" s="229" t="s">
        <v>8828</v>
      </c>
      <c r="D60" s="102" t="s">
        <v>8829</v>
      </c>
      <c r="E60" s="102" t="s">
        <v>6860</v>
      </c>
      <c r="F60" s="102" t="s">
        <v>6861</v>
      </c>
      <c r="G60" s="102" t="s">
        <v>3288</v>
      </c>
      <c r="H60" s="102" t="s">
        <v>3289</v>
      </c>
      <c r="I60" s="102" t="s">
        <v>515</v>
      </c>
      <c r="J60" s="102" t="s">
        <v>336</v>
      </c>
      <c r="L60" s="229" t="s">
        <v>8830</v>
      </c>
      <c r="M60" s="229" t="s">
        <v>8831</v>
      </c>
      <c r="N60" s="102"/>
      <c r="O60" s="102"/>
      <c r="P60" s="102"/>
      <c r="R60" s="102"/>
      <c r="S60" s="102"/>
      <c r="T60" s="230" t="str">
        <f>IF(ISNUMBER(MATCH(B60, 'Sprint 8'!B:B, 0)), "มาจาก Sprint 8", "")</f>
        <v/>
      </c>
      <c r="U60" s="230" t="str">
        <f t="array" ref="U60">IF(ISNUMBER(MATCH(B60, 'Sprint 8'!B:B, 0)), INDEX('Sprint 8'!J:J, MATCH(B60, 'Sprint 8'!B:B, 0)), "")</f>
        <v/>
      </c>
      <c r="W60" s="102" t="s">
        <v>5920</v>
      </c>
      <c r="Y60" s="102"/>
      <c r="Z60" s="230"/>
      <c r="AA60" s="230"/>
      <c r="AB60" s="230"/>
      <c r="AC60" s="102"/>
    </row>
    <row r="61">
      <c r="A61" s="102" t="s">
        <v>310</v>
      </c>
      <c r="B61" s="102" t="s">
        <v>7580</v>
      </c>
      <c r="C61" s="229" t="s">
        <v>7581</v>
      </c>
      <c r="D61" s="102" t="s">
        <v>7582</v>
      </c>
      <c r="E61" s="102" t="s">
        <v>564</v>
      </c>
      <c r="F61" s="102" t="s">
        <v>565</v>
      </c>
      <c r="G61" s="102" t="s">
        <v>353</v>
      </c>
      <c r="H61" s="102" t="s">
        <v>354</v>
      </c>
      <c r="I61" s="102" t="s">
        <v>284</v>
      </c>
      <c r="J61" s="102" t="s">
        <v>454</v>
      </c>
      <c r="L61" s="229" t="s">
        <v>7583</v>
      </c>
      <c r="M61" s="229" t="s">
        <v>8832</v>
      </c>
      <c r="N61" s="229" t="s">
        <v>6990</v>
      </c>
      <c r="O61" s="102">
        <v>2.0</v>
      </c>
      <c r="P61" s="102" t="s">
        <v>777</v>
      </c>
      <c r="R61" s="102"/>
      <c r="S61" s="102">
        <v>10800.0</v>
      </c>
      <c r="T61" s="230" t="str">
        <f>IF(ISNUMBER(MATCH(B61, 'Sprint 8'!B:B, 0)), "มาจาก Sprint 8", "")</f>
        <v/>
      </c>
      <c r="U61" s="230" t="str">
        <f t="array" ref="U61">IF(ISNUMBER(MATCH(B61, 'Sprint 8'!B:B, 0)), INDEX('Sprint 8'!J:J, MATCH(B61, 'Sprint 8'!B:B, 0)), "")</f>
        <v/>
      </c>
      <c r="W61" s="102" t="s">
        <v>5920</v>
      </c>
      <c r="Y61" s="102"/>
      <c r="Z61" s="230"/>
      <c r="AA61" s="230"/>
      <c r="AB61" s="230"/>
      <c r="AC61" s="102"/>
    </row>
    <row r="62">
      <c r="A62" s="102" t="s">
        <v>310</v>
      </c>
      <c r="B62" s="102" t="s">
        <v>7585</v>
      </c>
      <c r="C62" s="229" t="s">
        <v>7586</v>
      </c>
      <c r="D62" s="102" t="s">
        <v>7587</v>
      </c>
      <c r="E62" s="102" t="s">
        <v>564</v>
      </c>
      <c r="F62" s="102" t="s">
        <v>565</v>
      </c>
      <c r="G62" s="102" t="s">
        <v>353</v>
      </c>
      <c r="H62" s="102" t="s">
        <v>354</v>
      </c>
      <c r="I62" s="102" t="s">
        <v>284</v>
      </c>
      <c r="J62" s="102" t="s">
        <v>454</v>
      </c>
      <c r="L62" s="229" t="s">
        <v>7583</v>
      </c>
      <c r="M62" s="229" t="s">
        <v>8833</v>
      </c>
      <c r="N62" s="229" t="s">
        <v>6990</v>
      </c>
      <c r="O62" s="102">
        <v>3.0</v>
      </c>
      <c r="P62" s="102" t="s">
        <v>7525</v>
      </c>
      <c r="Q62" s="102"/>
      <c r="R62" s="102"/>
      <c r="S62" s="102">
        <v>28800.0</v>
      </c>
      <c r="T62" s="230" t="str">
        <f>IF(ISNUMBER(MATCH(B62, 'Sprint 8'!B:B, 0)), "มาจาก Sprint 8", "")</f>
        <v/>
      </c>
      <c r="U62" s="230" t="str">
        <f t="array" ref="U62">IF(ISNUMBER(MATCH(B62, 'Sprint 8'!B:B, 0)), INDEX('Sprint 8'!J:J, MATCH(B62, 'Sprint 8'!B:B, 0)), "")</f>
        <v/>
      </c>
      <c r="W62" s="102" t="s">
        <v>5920</v>
      </c>
      <c r="Y62" s="102"/>
      <c r="Z62" s="230"/>
      <c r="AA62" s="230"/>
      <c r="AB62" s="230"/>
      <c r="AC62" s="102"/>
    </row>
    <row r="63">
      <c r="A63" s="102" t="s">
        <v>4410</v>
      </c>
      <c r="B63" s="102" t="s">
        <v>8834</v>
      </c>
      <c r="C63" s="229" t="s">
        <v>8835</v>
      </c>
      <c r="D63" s="102" t="s">
        <v>8836</v>
      </c>
      <c r="E63" s="102" t="s">
        <v>282</v>
      </c>
      <c r="F63" s="102" t="s">
        <v>283</v>
      </c>
      <c r="G63" s="102" t="s">
        <v>282</v>
      </c>
      <c r="H63" s="102" t="s">
        <v>283</v>
      </c>
      <c r="I63" s="102" t="s">
        <v>284</v>
      </c>
      <c r="J63" s="102" t="s">
        <v>26</v>
      </c>
      <c r="L63" s="229" t="s">
        <v>8837</v>
      </c>
      <c r="M63" s="229" t="s">
        <v>8838</v>
      </c>
      <c r="N63" s="102"/>
      <c r="O63" s="102">
        <v>1.0</v>
      </c>
      <c r="P63" s="102" t="s">
        <v>593</v>
      </c>
      <c r="Q63" s="102"/>
      <c r="R63" s="102"/>
      <c r="S63" s="102">
        <v>1800.0</v>
      </c>
      <c r="T63" s="230" t="str">
        <f>IF(ISNUMBER(MATCH(B63, 'Sprint 8'!B:B, 0)), "มาจาก Sprint 8", "")</f>
        <v/>
      </c>
      <c r="U63" s="230" t="str">
        <f t="array" ref="U63">IF(ISNUMBER(MATCH(B63, 'Sprint 8'!B:B, 0)), INDEX('Sprint 8'!J:J, MATCH(B63, 'Sprint 8'!B:B, 0)), "")</f>
        <v/>
      </c>
      <c r="W63" s="102" t="s">
        <v>4960</v>
      </c>
      <c r="X63" s="102"/>
      <c r="Y63" s="102"/>
      <c r="Z63" s="230"/>
      <c r="AA63" s="230"/>
      <c r="AB63" s="230"/>
      <c r="AC63" s="102"/>
      <c r="AD63" s="102"/>
      <c r="AE63" s="102"/>
    </row>
    <row r="64">
      <c r="A64" s="102" t="s">
        <v>310</v>
      </c>
      <c r="B64" s="102" t="s">
        <v>6986</v>
      </c>
      <c r="C64" s="229" t="s">
        <v>6987</v>
      </c>
      <c r="D64" s="102" t="s">
        <v>6988</v>
      </c>
      <c r="E64" s="102" t="s">
        <v>6860</v>
      </c>
      <c r="F64" s="102" t="s">
        <v>6861</v>
      </c>
      <c r="G64" s="102" t="s">
        <v>353</v>
      </c>
      <c r="H64" s="102" t="s">
        <v>354</v>
      </c>
      <c r="I64" s="102" t="s">
        <v>284</v>
      </c>
      <c r="J64" s="102" t="s">
        <v>355</v>
      </c>
      <c r="L64" s="229" t="s">
        <v>6989</v>
      </c>
      <c r="M64" s="229" t="s">
        <v>8839</v>
      </c>
      <c r="N64" s="229" t="s">
        <v>6990</v>
      </c>
      <c r="O64" s="102">
        <v>5.0</v>
      </c>
      <c r="P64" s="102" t="s">
        <v>6991</v>
      </c>
      <c r="R64" s="102"/>
      <c r="S64" s="102"/>
      <c r="T64" s="230" t="str">
        <f>IF(ISNUMBER(MATCH(B64, 'Sprint 8'!B:B, 0)), "มาจาก Sprint 8", "")</f>
        <v/>
      </c>
      <c r="U64" s="230" t="str">
        <f t="array" ref="U64">IF(ISNUMBER(MATCH(B64, 'Sprint 8'!B:B, 0)), INDEX('Sprint 8'!J:J, MATCH(B64, 'Sprint 8'!B:B, 0)), "")</f>
        <v/>
      </c>
      <c r="W64" s="102" t="s">
        <v>6448</v>
      </c>
      <c r="X64" s="102"/>
      <c r="Y64" s="102"/>
      <c r="Z64" s="102"/>
      <c r="AA64" s="230"/>
      <c r="AB64" s="230"/>
      <c r="AC64" s="102"/>
    </row>
    <row r="65">
      <c r="A65" s="102" t="s">
        <v>310</v>
      </c>
      <c r="B65" s="102" t="s">
        <v>8428</v>
      </c>
      <c r="C65" s="229" t="s">
        <v>8429</v>
      </c>
      <c r="D65" s="102" t="s">
        <v>8430</v>
      </c>
      <c r="E65" s="102" t="s">
        <v>314</v>
      </c>
      <c r="F65" s="102" t="s">
        <v>315</v>
      </c>
      <c r="G65" s="102" t="s">
        <v>314</v>
      </c>
      <c r="H65" s="102" t="s">
        <v>315</v>
      </c>
      <c r="I65" s="102" t="s">
        <v>284</v>
      </c>
      <c r="J65" s="102" t="s">
        <v>454</v>
      </c>
      <c r="L65" s="229" t="s">
        <v>8431</v>
      </c>
      <c r="M65" s="229" t="s">
        <v>8840</v>
      </c>
      <c r="O65" s="102">
        <v>2.0</v>
      </c>
      <c r="R65" s="102"/>
      <c r="S65" s="102">
        <v>10800.0</v>
      </c>
      <c r="T65" s="230" t="str">
        <f>IF(ISNUMBER(MATCH(B65, 'Sprint 8'!B:B, 0)), "มาจาก Sprint 8", "")</f>
        <v/>
      </c>
      <c r="U65" s="230" t="str">
        <f t="array" ref="U65">IF(ISNUMBER(MATCH(B65, 'Sprint 8'!B:B, 0)), INDEX('Sprint 8'!J:J, MATCH(B65, 'Sprint 8'!B:B, 0)), "")</f>
        <v/>
      </c>
      <c r="W65" s="102" t="s">
        <v>1363</v>
      </c>
      <c r="Y65" s="102"/>
      <c r="Z65" s="102"/>
      <c r="AA65" s="230"/>
      <c r="AB65" s="230"/>
      <c r="AC65" s="102"/>
    </row>
    <row r="66">
      <c r="A66" s="102" t="s">
        <v>310</v>
      </c>
      <c r="B66" s="102" t="s">
        <v>7975</v>
      </c>
      <c r="C66" s="229" t="s">
        <v>7976</v>
      </c>
      <c r="D66" s="102" t="s">
        <v>7977</v>
      </c>
      <c r="E66" s="102" t="s">
        <v>556</v>
      </c>
      <c r="F66" s="102" t="s">
        <v>557</v>
      </c>
      <c r="G66" s="102" t="s">
        <v>353</v>
      </c>
      <c r="H66" s="102" t="s">
        <v>354</v>
      </c>
      <c r="I66" s="102" t="s">
        <v>284</v>
      </c>
      <c r="J66" s="102" t="s">
        <v>454</v>
      </c>
      <c r="L66" s="229" t="s">
        <v>7978</v>
      </c>
      <c r="M66" s="229" t="s">
        <v>8841</v>
      </c>
      <c r="N66" s="229" t="s">
        <v>7979</v>
      </c>
      <c r="O66" s="102">
        <v>3.0</v>
      </c>
      <c r="P66" s="102" t="s">
        <v>504</v>
      </c>
      <c r="Q66" s="102"/>
      <c r="R66" s="102"/>
      <c r="S66" s="102"/>
      <c r="T66" s="230" t="str">
        <f>IF(ISNUMBER(MATCH(B66, 'Sprint 8'!B:B, 0)), "มาจาก Sprint 8", "")</f>
        <v/>
      </c>
      <c r="U66" s="230" t="str">
        <f t="array" ref="U66">IF(ISNUMBER(MATCH(B66, 'Sprint 8'!B:B, 0)), INDEX('Sprint 8'!J:J, MATCH(B66, 'Sprint 8'!B:B, 0)), "")</f>
        <v/>
      </c>
      <c r="W66" s="102" t="s">
        <v>1363</v>
      </c>
      <c r="Y66" s="102"/>
      <c r="Z66" s="230"/>
      <c r="AA66" s="230"/>
      <c r="AB66" s="230"/>
      <c r="AC66" s="102"/>
    </row>
    <row r="67">
      <c r="A67" s="102" t="s">
        <v>310</v>
      </c>
      <c r="B67" s="102" t="s">
        <v>7980</v>
      </c>
      <c r="C67" s="229" t="s">
        <v>7981</v>
      </c>
      <c r="D67" s="102" t="s">
        <v>7982</v>
      </c>
      <c r="E67" s="102" t="s">
        <v>584</v>
      </c>
      <c r="F67" s="102" t="s">
        <v>585</v>
      </c>
      <c r="G67" s="102" t="s">
        <v>353</v>
      </c>
      <c r="H67" s="102" t="s">
        <v>354</v>
      </c>
      <c r="I67" s="102" t="s">
        <v>284</v>
      </c>
      <c r="J67" s="102" t="s">
        <v>454</v>
      </c>
      <c r="L67" s="229" t="s">
        <v>7983</v>
      </c>
      <c r="M67" s="229" t="s">
        <v>8842</v>
      </c>
      <c r="N67" s="229" t="s">
        <v>6810</v>
      </c>
      <c r="O67" s="102">
        <v>2.0</v>
      </c>
      <c r="P67" s="102" t="s">
        <v>504</v>
      </c>
      <c r="Q67" s="102"/>
      <c r="R67" s="102"/>
      <c r="S67" s="102">
        <v>14400.0</v>
      </c>
      <c r="T67" s="230" t="str">
        <f>IF(ISNUMBER(MATCH(B67, 'Sprint 8'!B:B, 0)), "มาจาก Sprint 8", "")</f>
        <v/>
      </c>
      <c r="U67" s="230" t="str">
        <f t="array" ref="U67">IF(ISNUMBER(MATCH(B67, 'Sprint 8'!B:B, 0)), INDEX('Sprint 8'!J:J, MATCH(B67, 'Sprint 8'!B:B, 0)), "")</f>
        <v/>
      </c>
      <c r="W67" s="102" t="s">
        <v>1363</v>
      </c>
      <c r="X67" s="102"/>
      <c r="Y67" s="102"/>
      <c r="Z67" s="102"/>
      <c r="AA67" s="230"/>
      <c r="AB67" s="230"/>
      <c r="AC67" s="102"/>
    </row>
    <row r="68">
      <c r="A68" s="102" t="s">
        <v>310</v>
      </c>
      <c r="B68" s="102" t="s">
        <v>7984</v>
      </c>
      <c r="C68" s="229" t="s">
        <v>7985</v>
      </c>
      <c r="D68" s="102" t="s">
        <v>7986</v>
      </c>
      <c r="E68" s="102" t="s">
        <v>564</v>
      </c>
      <c r="F68" s="102" t="s">
        <v>565</v>
      </c>
      <c r="G68" s="102" t="s">
        <v>353</v>
      </c>
      <c r="H68" s="102" t="s">
        <v>354</v>
      </c>
      <c r="I68" s="102" t="s">
        <v>284</v>
      </c>
      <c r="J68" s="102" t="s">
        <v>454</v>
      </c>
      <c r="L68" s="229" t="s">
        <v>7987</v>
      </c>
      <c r="M68" s="229" t="s">
        <v>8843</v>
      </c>
      <c r="N68" s="229" t="s">
        <v>7989</v>
      </c>
      <c r="O68" s="102">
        <v>1.0</v>
      </c>
      <c r="P68" s="102" t="s">
        <v>7556</v>
      </c>
      <c r="R68" s="102"/>
      <c r="S68" s="102">
        <v>3600.0</v>
      </c>
      <c r="T68" s="230" t="str">
        <f>IF(ISNUMBER(MATCH(B68, 'Sprint 8'!B:B, 0)), "มาจาก Sprint 8", "")</f>
        <v/>
      </c>
      <c r="U68" s="230" t="str">
        <f t="array" ref="U68">IF(ISNUMBER(MATCH(B68, 'Sprint 8'!B:B, 0)), INDEX('Sprint 8'!J:J, MATCH(B68, 'Sprint 8'!B:B, 0)), "")</f>
        <v/>
      </c>
      <c r="W68" s="102" t="s">
        <v>1363</v>
      </c>
      <c r="Y68" s="102"/>
      <c r="Z68" s="102"/>
      <c r="AA68" s="230"/>
      <c r="AB68" s="230"/>
      <c r="AC68" s="102"/>
    </row>
    <row r="69">
      <c r="A69" s="102" t="s">
        <v>310</v>
      </c>
      <c r="B69" s="102" t="s">
        <v>6992</v>
      </c>
      <c r="C69" s="229" t="s">
        <v>6993</v>
      </c>
      <c r="D69" s="102" t="s">
        <v>6994</v>
      </c>
      <c r="E69" s="102" t="s">
        <v>314</v>
      </c>
      <c r="F69" s="102" t="s">
        <v>315</v>
      </c>
      <c r="G69" s="102" t="s">
        <v>353</v>
      </c>
      <c r="H69" s="102" t="s">
        <v>354</v>
      </c>
      <c r="I69" s="102" t="s">
        <v>284</v>
      </c>
      <c r="J69" s="102" t="s">
        <v>678</v>
      </c>
      <c r="L69" s="229" t="s">
        <v>6995</v>
      </c>
      <c r="M69" s="229" t="s">
        <v>8844</v>
      </c>
      <c r="N69" s="102"/>
      <c r="O69" s="102">
        <v>3.0</v>
      </c>
      <c r="P69" s="102"/>
      <c r="R69" s="102"/>
      <c r="S69" s="102">
        <v>10800.0</v>
      </c>
      <c r="T69" s="230" t="str">
        <f>IF(ISNUMBER(MATCH(B69, 'Sprint 8'!B:B, 0)), "มาจาก Sprint 8", "")</f>
        <v/>
      </c>
      <c r="U69" s="230" t="str">
        <f t="array" ref="U69">IF(ISNUMBER(MATCH(B69, 'Sprint 8'!B:B, 0)), INDEX('Sprint 8'!J:J, MATCH(B69, 'Sprint 8'!B:B, 0)), "")</f>
        <v/>
      </c>
      <c r="W69" s="102" t="s">
        <v>6448</v>
      </c>
      <c r="Y69" s="102"/>
      <c r="Z69" s="230"/>
      <c r="AA69" s="230"/>
      <c r="AB69" s="230"/>
      <c r="AC69" s="102"/>
      <c r="AD69" s="102"/>
      <c r="AE69" s="102"/>
    </row>
    <row r="70">
      <c r="A70" s="102" t="s">
        <v>310</v>
      </c>
      <c r="B70" s="102" t="s">
        <v>6996</v>
      </c>
      <c r="C70" s="229" t="s">
        <v>6997</v>
      </c>
      <c r="D70" s="102" t="s">
        <v>6998</v>
      </c>
      <c r="E70" s="102" t="s">
        <v>314</v>
      </c>
      <c r="F70" s="102" t="s">
        <v>315</v>
      </c>
      <c r="G70" s="102" t="s">
        <v>353</v>
      </c>
      <c r="H70" s="102" t="s">
        <v>354</v>
      </c>
      <c r="I70" s="102" t="s">
        <v>284</v>
      </c>
      <c r="J70" s="102" t="s">
        <v>678</v>
      </c>
      <c r="L70" s="229" t="s">
        <v>6995</v>
      </c>
      <c r="M70" s="229" t="s">
        <v>8844</v>
      </c>
      <c r="N70" s="102"/>
      <c r="O70" s="102">
        <v>3.0</v>
      </c>
      <c r="P70" s="102" t="s">
        <v>6991</v>
      </c>
      <c r="R70" s="102"/>
      <c r="S70" s="102">
        <v>10800.0</v>
      </c>
      <c r="T70" s="230" t="str">
        <f>IF(ISNUMBER(MATCH(B70, 'Sprint 8'!B:B, 0)), "มาจาก Sprint 8", "")</f>
        <v/>
      </c>
      <c r="U70" s="230" t="str">
        <f t="array" ref="U70">IF(ISNUMBER(MATCH(B70, 'Sprint 8'!B:B, 0)), INDEX('Sprint 8'!J:J, MATCH(B70, 'Sprint 8'!B:B, 0)), "")</f>
        <v/>
      </c>
      <c r="W70" s="102" t="s">
        <v>6448</v>
      </c>
      <c r="Y70" s="102"/>
      <c r="Z70" s="230"/>
      <c r="AA70" s="230"/>
      <c r="AB70" s="230"/>
      <c r="AC70" s="102"/>
    </row>
    <row r="71">
      <c r="A71" s="102" t="s">
        <v>310</v>
      </c>
      <c r="B71" s="102" t="s">
        <v>8845</v>
      </c>
      <c r="C71" s="229" t="s">
        <v>8846</v>
      </c>
      <c r="D71" s="102" t="s">
        <v>8847</v>
      </c>
      <c r="E71" s="102" t="s">
        <v>495</v>
      </c>
      <c r="F71" s="102" t="s">
        <v>496</v>
      </c>
      <c r="G71" s="102" t="s">
        <v>304</v>
      </c>
      <c r="H71" s="102" t="s">
        <v>305</v>
      </c>
      <c r="I71" s="102" t="s">
        <v>284</v>
      </c>
      <c r="J71" s="102" t="s">
        <v>26</v>
      </c>
      <c r="L71" s="229" t="s">
        <v>8848</v>
      </c>
      <c r="M71" s="229" t="s">
        <v>8842</v>
      </c>
      <c r="N71" s="102"/>
      <c r="O71" s="102">
        <v>1.0</v>
      </c>
      <c r="P71" s="102" t="s">
        <v>435</v>
      </c>
      <c r="Q71" s="102"/>
      <c r="R71" s="102"/>
      <c r="S71" s="102">
        <v>7200.0</v>
      </c>
      <c r="T71" s="230" t="str">
        <f>IF(ISNUMBER(MATCH(B71, 'Sprint 8'!B:B, 0)), "มาจาก Sprint 8", "")</f>
        <v/>
      </c>
      <c r="U71" s="230" t="str">
        <f t="array" ref="U71">IF(ISNUMBER(MATCH(B71, 'Sprint 8'!B:B, 0)), INDEX('Sprint 8'!J:J, MATCH(B71, 'Sprint 8'!B:B, 0)), "")</f>
        <v/>
      </c>
      <c r="W71" s="102" t="s">
        <v>6448</v>
      </c>
      <c r="Y71" s="102"/>
      <c r="Z71" s="230"/>
      <c r="AA71" s="230"/>
      <c r="AB71" s="230"/>
      <c r="AC71" s="102"/>
    </row>
    <row r="72">
      <c r="A72" s="102" t="s">
        <v>310</v>
      </c>
      <c r="B72" s="102" t="s">
        <v>8849</v>
      </c>
      <c r="C72" s="229" t="s">
        <v>8850</v>
      </c>
      <c r="D72" s="102" t="s">
        <v>8851</v>
      </c>
      <c r="E72" s="102" t="s">
        <v>495</v>
      </c>
      <c r="F72" s="102" t="s">
        <v>496</v>
      </c>
      <c r="G72" s="102" t="s">
        <v>304</v>
      </c>
      <c r="H72" s="102" t="s">
        <v>305</v>
      </c>
      <c r="I72" s="102" t="s">
        <v>284</v>
      </c>
      <c r="J72" s="102" t="s">
        <v>26</v>
      </c>
      <c r="L72" s="229" t="s">
        <v>8852</v>
      </c>
      <c r="M72" s="229" t="s">
        <v>8842</v>
      </c>
      <c r="N72" s="102"/>
      <c r="O72" s="102">
        <v>3.0</v>
      </c>
      <c r="P72" s="102" t="s">
        <v>593</v>
      </c>
      <c r="R72" s="102"/>
      <c r="S72" s="102">
        <v>28800.0</v>
      </c>
      <c r="T72" s="230" t="str">
        <f>IF(ISNUMBER(MATCH(B72, 'Sprint 8'!B:B, 0)), "มาจาก Sprint 8", "")</f>
        <v/>
      </c>
      <c r="U72" s="230" t="str">
        <f t="array" ref="U72">IF(ISNUMBER(MATCH(B72, 'Sprint 8'!B:B, 0)), INDEX('Sprint 8'!J:J, MATCH(B72, 'Sprint 8'!B:B, 0)), "")</f>
        <v/>
      </c>
      <c r="W72" s="102" t="s">
        <v>6448</v>
      </c>
      <c r="X72" s="102"/>
      <c r="Y72" s="102"/>
      <c r="Z72" s="230"/>
      <c r="AA72" s="230"/>
      <c r="AB72" s="230"/>
      <c r="AC72" s="102"/>
    </row>
    <row r="73">
      <c r="A73" s="102" t="s">
        <v>310</v>
      </c>
      <c r="B73" s="102" t="s">
        <v>8853</v>
      </c>
      <c r="C73" s="229" t="s">
        <v>8854</v>
      </c>
      <c r="D73" s="102" t="s">
        <v>8855</v>
      </c>
      <c r="E73" s="102" t="s">
        <v>304</v>
      </c>
      <c r="F73" s="102" t="s">
        <v>305</v>
      </c>
      <c r="G73" s="102" t="s">
        <v>304</v>
      </c>
      <c r="H73" s="102" t="s">
        <v>305</v>
      </c>
      <c r="I73" s="102" t="s">
        <v>284</v>
      </c>
      <c r="J73" s="102" t="s">
        <v>26</v>
      </c>
      <c r="L73" s="229" t="s">
        <v>8856</v>
      </c>
      <c r="M73" s="229" t="s">
        <v>8857</v>
      </c>
      <c r="N73" s="229" t="s">
        <v>8447</v>
      </c>
      <c r="O73" s="102">
        <v>3.0</v>
      </c>
      <c r="P73" s="102" t="s">
        <v>593</v>
      </c>
      <c r="R73" s="102"/>
      <c r="S73" s="102">
        <v>28800.0</v>
      </c>
      <c r="T73" s="230" t="str">
        <f>IF(ISNUMBER(MATCH(B73, 'Sprint 8'!B:B, 0)), "มาจาก Sprint 8", "")</f>
        <v/>
      </c>
      <c r="U73" s="230" t="str">
        <f t="array" ref="U73">IF(ISNUMBER(MATCH(B73, 'Sprint 8'!B:B, 0)), INDEX('Sprint 8'!J:J, MATCH(B73, 'Sprint 8'!B:B, 0)), "")</f>
        <v/>
      </c>
      <c r="W73" s="102" t="s">
        <v>6448</v>
      </c>
      <c r="Y73" s="102"/>
      <c r="Z73" s="230"/>
      <c r="AA73" s="230"/>
      <c r="AB73" s="230"/>
      <c r="AC73" s="102"/>
    </row>
    <row r="74">
      <c r="A74" s="102" t="s">
        <v>4410</v>
      </c>
      <c r="B74" s="102" t="s">
        <v>8434</v>
      </c>
      <c r="C74" s="229" t="s">
        <v>8435</v>
      </c>
      <c r="D74" s="102" t="s">
        <v>8858</v>
      </c>
      <c r="E74" s="102" t="s">
        <v>304</v>
      </c>
      <c r="F74" s="102" t="s">
        <v>305</v>
      </c>
      <c r="G74" s="102" t="s">
        <v>304</v>
      </c>
      <c r="H74" s="102" t="s">
        <v>305</v>
      </c>
      <c r="I74" s="102" t="s">
        <v>284</v>
      </c>
      <c r="J74" s="102" t="s">
        <v>63</v>
      </c>
      <c r="L74" s="229" t="s">
        <v>8437</v>
      </c>
      <c r="M74" s="229" t="s">
        <v>8859</v>
      </c>
      <c r="N74" s="102"/>
      <c r="O74" s="102"/>
      <c r="P74" s="102"/>
      <c r="Q74" s="102"/>
      <c r="R74" s="102"/>
      <c r="S74" s="230"/>
      <c r="T74" s="230" t="str">
        <f>IF(ISNUMBER(MATCH(B74, 'Sprint 8'!B:B, 0)), "มาจาก Sprint 8", "")</f>
        <v/>
      </c>
      <c r="U74" s="230" t="str">
        <f t="array" ref="U74">IF(ISNUMBER(MATCH(B74, 'Sprint 8'!B:B, 0)), INDEX('Sprint 8'!J:J, MATCH(B74, 'Sprint 8'!B:B, 0)), "")</f>
        <v/>
      </c>
      <c r="W74" s="102" t="s">
        <v>4960</v>
      </c>
      <c r="Y74" s="102"/>
      <c r="Z74" s="230"/>
      <c r="AA74" s="230"/>
      <c r="AB74" s="230"/>
      <c r="AC74" s="102"/>
    </row>
    <row r="75">
      <c r="A75" s="102" t="s">
        <v>310</v>
      </c>
      <c r="B75" s="102" t="s">
        <v>8860</v>
      </c>
      <c r="C75" s="229" t="s">
        <v>8861</v>
      </c>
      <c r="D75" s="102" t="s">
        <v>8862</v>
      </c>
      <c r="E75" s="102" t="s">
        <v>314</v>
      </c>
      <c r="F75" s="102" t="s">
        <v>315</v>
      </c>
      <c r="G75" s="102" t="s">
        <v>314</v>
      </c>
      <c r="H75" s="102" t="s">
        <v>315</v>
      </c>
      <c r="I75" s="102" t="s">
        <v>284</v>
      </c>
      <c r="J75" s="102" t="s">
        <v>26</v>
      </c>
      <c r="L75" s="229" t="s">
        <v>8863</v>
      </c>
      <c r="M75" s="229" t="s">
        <v>8864</v>
      </c>
      <c r="N75" s="102"/>
      <c r="O75" s="102">
        <v>2.0</v>
      </c>
      <c r="P75" s="102"/>
      <c r="Q75" s="102"/>
      <c r="R75" s="102"/>
      <c r="S75" s="102">
        <v>7200.0</v>
      </c>
      <c r="T75" s="230" t="str">
        <f>IF(ISNUMBER(MATCH(B75, 'Sprint 8'!B:B, 0)), "มาจาก Sprint 8", "")</f>
        <v/>
      </c>
      <c r="U75" s="230" t="str">
        <f t="array" ref="U75">IF(ISNUMBER(MATCH(B75, 'Sprint 8'!B:B, 0)), INDEX('Sprint 8'!J:J, MATCH(B75, 'Sprint 8'!B:B, 0)), "")</f>
        <v/>
      </c>
      <c r="W75" s="102" t="s">
        <v>4960</v>
      </c>
      <c r="Y75" s="102"/>
      <c r="Z75" s="102"/>
      <c r="AA75" s="230"/>
      <c r="AB75" s="102"/>
      <c r="AC75" s="102"/>
    </row>
    <row r="76">
      <c r="A76" s="102" t="s">
        <v>310</v>
      </c>
      <c r="B76" s="102" t="s">
        <v>8439</v>
      </c>
      <c r="C76" s="229" t="s">
        <v>8440</v>
      </c>
      <c r="D76" s="102" t="s">
        <v>8441</v>
      </c>
      <c r="E76" s="102" t="s">
        <v>314</v>
      </c>
      <c r="F76" s="102" t="s">
        <v>315</v>
      </c>
      <c r="G76" s="102" t="s">
        <v>314</v>
      </c>
      <c r="H76" s="102" t="s">
        <v>315</v>
      </c>
      <c r="I76" s="102" t="s">
        <v>284</v>
      </c>
      <c r="J76" s="102" t="s">
        <v>34</v>
      </c>
      <c r="L76" s="229" t="s">
        <v>8442</v>
      </c>
      <c r="M76" s="229" t="s">
        <v>8865</v>
      </c>
      <c r="N76" s="102"/>
      <c r="O76" s="102">
        <v>1.0</v>
      </c>
      <c r="P76" s="102"/>
      <c r="Q76" s="102"/>
      <c r="R76" s="102"/>
      <c r="S76" s="230"/>
      <c r="T76" s="230" t="str">
        <f>IF(ISNUMBER(MATCH(B76, 'Sprint 8'!B:B, 0)), "มาจาก Sprint 8", "")</f>
        <v/>
      </c>
      <c r="U76" s="230" t="str">
        <f t="array" ref="U76">IF(ISNUMBER(MATCH(B76, 'Sprint 8'!B:B, 0)), INDEX('Sprint 8'!J:J, MATCH(B76, 'Sprint 8'!B:B, 0)), "")</f>
        <v/>
      </c>
      <c r="W76" s="102" t="s">
        <v>6448</v>
      </c>
      <c r="Y76" s="102"/>
      <c r="Z76" s="230"/>
      <c r="AA76" s="230"/>
      <c r="AB76" s="230"/>
      <c r="AC76" s="102"/>
    </row>
    <row r="77">
      <c r="A77" s="102" t="s">
        <v>310</v>
      </c>
      <c r="B77" s="102" t="s">
        <v>8866</v>
      </c>
      <c r="C77" s="229" t="s">
        <v>8867</v>
      </c>
      <c r="D77" s="102" t="s">
        <v>8868</v>
      </c>
      <c r="E77" s="102" t="s">
        <v>314</v>
      </c>
      <c r="F77" s="102" t="s">
        <v>315</v>
      </c>
      <c r="G77" s="102" t="s">
        <v>314</v>
      </c>
      <c r="H77" s="102" t="s">
        <v>315</v>
      </c>
      <c r="I77" s="102" t="s">
        <v>284</v>
      </c>
      <c r="J77" s="102" t="s">
        <v>26</v>
      </c>
      <c r="L77" s="229" t="s">
        <v>8869</v>
      </c>
      <c r="M77" s="229" t="s">
        <v>8870</v>
      </c>
      <c r="O77" s="102">
        <v>1.0</v>
      </c>
      <c r="P77" s="102"/>
      <c r="R77" s="230"/>
      <c r="S77" s="230"/>
      <c r="T77" s="230" t="str">
        <f>IF(ISNUMBER(MATCH(B77, 'Sprint 8'!B:B, 0)), "มาจาก Sprint 8", "")</f>
        <v/>
      </c>
      <c r="U77" s="230" t="str">
        <f t="array" ref="U77">IF(ISNUMBER(MATCH(B77, 'Sprint 8'!B:B, 0)), INDEX('Sprint 8'!J:J, MATCH(B77, 'Sprint 8'!B:B, 0)), "")</f>
        <v/>
      </c>
      <c r="W77" s="102" t="s">
        <v>4960</v>
      </c>
      <c r="Y77" s="102"/>
      <c r="Z77" s="102"/>
      <c r="AA77" s="230"/>
      <c r="AB77" s="230"/>
      <c r="AC77" s="102"/>
    </row>
    <row r="78">
      <c r="A78" s="102" t="s">
        <v>310</v>
      </c>
      <c r="B78" s="102" t="s">
        <v>7588</v>
      </c>
      <c r="C78" s="229" t="s">
        <v>7589</v>
      </c>
      <c r="D78" s="102" t="s">
        <v>7590</v>
      </c>
      <c r="E78" s="102" t="s">
        <v>513</v>
      </c>
      <c r="F78" s="102" t="s">
        <v>514</v>
      </c>
      <c r="G78" s="102" t="s">
        <v>314</v>
      </c>
      <c r="H78" s="102" t="s">
        <v>315</v>
      </c>
      <c r="I78" s="102" t="s">
        <v>284</v>
      </c>
      <c r="J78" s="102" t="s">
        <v>454</v>
      </c>
      <c r="L78" s="229" t="s">
        <v>7591</v>
      </c>
      <c r="M78" s="229" t="s">
        <v>8871</v>
      </c>
      <c r="N78" s="102"/>
      <c r="O78" s="102">
        <v>5.0</v>
      </c>
      <c r="P78" s="102" t="s">
        <v>7593</v>
      </c>
      <c r="R78" s="230"/>
      <c r="S78" s="102">
        <v>28800.0</v>
      </c>
      <c r="T78" s="230" t="str">
        <f>IF(ISNUMBER(MATCH(B78, 'Sprint 8'!B:B, 0)), "มาจาก Sprint 8", "")</f>
        <v/>
      </c>
      <c r="U78" s="230" t="str">
        <f t="array" ref="U78">IF(ISNUMBER(MATCH(B78, 'Sprint 8'!B:B, 0)), INDEX('Sprint 8'!J:J, MATCH(B78, 'Sprint 8'!B:B, 0)), "")</f>
        <v/>
      </c>
      <c r="W78" s="102" t="s">
        <v>4960</v>
      </c>
      <c r="Y78" s="102"/>
      <c r="Z78" s="102"/>
      <c r="AA78" s="230"/>
      <c r="AB78" s="102"/>
      <c r="AC78" s="102"/>
    </row>
    <row r="79">
      <c r="A79" s="102" t="s">
        <v>310</v>
      </c>
      <c r="B79" s="102" t="s">
        <v>8443</v>
      </c>
      <c r="C79" s="229" t="s">
        <v>8444</v>
      </c>
      <c r="D79" s="102" t="s">
        <v>8445</v>
      </c>
      <c r="E79" s="102" t="s">
        <v>513</v>
      </c>
      <c r="F79" s="102" t="s">
        <v>514</v>
      </c>
      <c r="G79" s="102" t="s">
        <v>314</v>
      </c>
      <c r="H79" s="102" t="s">
        <v>315</v>
      </c>
      <c r="I79" s="102" t="s">
        <v>284</v>
      </c>
      <c r="J79" s="102" t="s">
        <v>678</v>
      </c>
      <c r="L79" s="229" t="s">
        <v>8446</v>
      </c>
      <c r="M79" s="229" t="s">
        <v>8872</v>
      </c>
      <c r="N79" s="229" t="s">
        <v>8447</v>
      </c>
      <c r="O79" s="102">
        <v>3.0</v>
      </c>
      <c r="P79" s="102"/>
      <c r="Q79" s="102"/>
      <c r="R79" s="102"/>
      <c r="S79" s="102">
        <v>28800.0</v>
      </c>
      <c r="T79" s="230" t="str">
        <f>IF(ISNUMBER(MATCH(B79, 'Sprint 8'!B:B, 0)), "มาจาก Sprint 8", "")</f>
        <v/>
      </c>
      <c r="U79" s="230" t="str">
        <f t="array" ref="U79">IF(ISNUMBER(MATCH(B79, 'Sprint 8'!B:B, 0)), INDEX('Sprint 8'!J:J, MATCH(B79, 'Sprint 8'!B:B, 0)), "")</f>
        <v/>
      </c>
      <c r="W79" s="102" t="s">
        <v>1363</v>
      </c>
      <c r="X79" s="102"/>
      <c r="Y79" s="102"/>
      <c r="Z79" s="230"/>
      <c r="AA79" s="230"/>
      <c r="AB79" s="102"/>
      <c r="AC79" s="102"/>
      <c r="AD79" s="102"/>
    </row>
    <row r="80">
      <c r="A80" s="102" t="s">
        <v>332</v>
      </c>
      <c r="B80" s="102" t="s">
        <v>8873</v>
      </c>
      <c r="C80" s="229" t="s">
        <v>8874</v>
      </c>
      <c r="D80" s="102" t="s">
        <v>8875</v>
      </c>
      <c r="E80" s="102" t="s">
        <v>282</v>
      </c>
      <c r="F80" s="102" t="s">
        <v>283</v>
      </c>
      <c r="G80" s="102" t="s">
        <v>316</v>
      </c>
      <c r="H80" s="102" t="s">
        <v>317</v>
      </c>
      <c r="I80" s="102" t="s">
        <v>284</v>
      </c>
      <c r="J80" s="102" t="s">
        <v>336</v>
      </c>
      <c r="L80" s="229" t="s">
        <v>8876</v>
      </c>
      <c r="M80" s="229" t="s">
        <v>8877</v>
      </c>
      <c r="N80" s="229" t="s">
        <v>8878</v>
      </c>
      <c r="O80" s="102">
        <v>1.0</v>
      </c>
      <c r="P80" s="102" t="s">
        <v>367</v>
      </c>
      <c r="Q80" s="102" t="s">
        <v>783</v>
      </c>
      <c r="R80" s="102"/>
      <c r="S80" s="102">
        <v>7200.0</v>
      </c>
      <c r="T80" s="230" t="str">
        <f>IF(ISNUMBER(MATCH(B80, 'Sprint 8'!B:B, 0)), "มาจาก Sprint 8", "")</f>
        <v/>
      </c>
      <c r="U80" s="230" t="str">
        <f t="array" ref="U80">IF(ISNUMBER(MATCH(B80, 'Sprint 8'!B:B, 0)), INDEX('Sprint 8'!J:J, MATCH(B80, 'Sprint 8'!B:B, 0)), "")</f>
        <v/>
      </c>
      <c r="W80" s="102" t="s">
        <v>4960</v>
      </c>
      <c r="Y80" s="102"/>
      <c r="Z80" s="230"/>
      <c r="AA80" s="230"/>
      <c r="AB80" s="102"/>
      <c r="AC80" s="102"/>
    </row>
    <row r="81">
      <c r="A81" s="102" t="s">
        <v>310</v>
      </c>
      <c r="B81" s="102" t="s">
        <v>8879</v>
      </c>
      <c r="C81" s="229" t="s">
        <v>8880</v>
      </c>
      <c r="D81" s="102" t="s">
        <v>8881</v>
      </c>
      <c r="E81" s="102" t="s">
        <v>353</v>
      </c>
      <c r="F81" s="102" t="s">
        <v>354</v>
      </c>
      <c r="G81" s="102" t="s">
        <v>353</v>
      </c>
      <c r="H81" s="102" t="s">
        <v>354</v>
      </c>
      <c r="I81" s="102" t="s">
        <v>284</v>
      </c>
      <c r="J81" s="102" t="s">
        <v>26</v>
      </c>
      <c r="L81" s="229" t="s">
        <v>8882</v>
      </c>
      <c r="M81" s="229" t="s">
        <v>8883</v>
      </c>
      <c r="N81" s="102"/>
      <c r="O81" s="102"/>
      <c r="P81" s="102"/>
      <c r="R81" s="102"/>
      <c r="S81" s="102"/>
      <c r="T81" s="230" t="str">
        <f>IF(ISNUMBER(MATCH(B81, 'Sprint 8'!B:B, 0)), "มาจาก Sprint 8", "")</f>
        <v/>
      </c>
      <c r="U81" s="230" t="str">
        <f t="array" ref="U81">IF(ISNUMBER(MATCH(B81, 'Sprint 8'!B:B, 0)), INDEX('Sprint 8'!J:J, MATCH(B81, 'Sprint 8'!B:B, 0)), "")</f>
        <v/>
      </c>
      <c r="W81" s="102" t="s">
        <v>4960</v>
      </c>
      <c r="Y81" s="102"/>
      <c r="Z81" s="102"/>
      <c r="AA81" s="230"/>
      <c r="AB81" s="102"/>
      <c r="AC81" s="102"/>
    </row>
    <row r="82">
      <c r="A82" s="102" t="s">
        <v>310</v>
      </c>
      <c r="B82" s="102" t="s">
        <v>8884</v>
      </c>
      <c r="C82" s="229" t="s">
        <v>8885</v>
      </c>
      <c r="D82" s="102" t="s">
        <v>8886</v>
      </c>
      <c r="E82" s="102" t="s">
        <v>353</v>
      </c>
      <c r="F82" s="102" t="s">
        <v>354</v>
      </c>
      <c r="G82" s="102" t="s">
        <v>353</v>
      </c>
      <c r="H82" s="102" t="s">
        <v>354</v>
      </c>
      <c r="I82" s="102" t="s">
        <v>284</v>
      </c>
      <c r="J82" s="102" t="s">
        <v>26</v>
      </c>
      <c r="L82" s="229" t="s">
        <v>8887</v>
      </c>
      <c r="M82" s="229" t="s">
        <v>8883</v>
      </c>
      <c r="O82" s="102"/>
      <c r="P82" s="102"/>
      <c r="R82" s="102"/>
      <c r="S82" s="230"/>
      <c r="T82" s="230" t="str">
        <f>IF(ISNUMBER(MATCH(B82, 'Sprint 8'!B:B, 0)), "มาจาก Sprint 8", "")</f>
        <v/>
      </c>
      <c r="U82" s="230" t="str">
        <f t="array" ref="U82">IF(ISNUMBER(MATCH(B82, 'Sprint 8'!B:B, 0)), INDEX('Sprint 8'!J:J, MATCH(B82, 'Sprint 8'!B:B, 0)), "")</f>
        <v/>
      </c>
      <c r="W82" s="102" t="s">
        <v>4960</v>
      </c>
      <c r="X82" s="102"/>
      <c r="Y82" s="102"/>
      <c r="Z82" s="102"/>
      <c r="AA82" s="230"/>
      <c r="AB82" s="102"/>
      <c r="AC82" s="102"/>
    </row>
    <row r="83">
      <c r="A83" s="102" t="s">
        <v>310</v>
      </c>
      <c r="B83" s="102" t="s">
        <v>7594</v>
      </c>
      <c r="C83" s="229" t="s">
        <v>7595</v>
      </c>
      <c r="D83" s="102" t="s">
        <v>7596</v>
      </c>
      <c r="E83" s="102" t="s">
        <v>556</v>
      </c>
      <c r="F83" s="102" t="s">
        <v>557</v>
      </c>
      <c r="G83" s="102" t="s">
        <v>353</v>
      </c>
      <c r="H83" s="102" t="s">
        <v>354</v>
      </c>
      <c r="I83" s="102" t="s">
        <v>284</v>
      </c>
      <c r="J83" s="102" t="s">
        <v>454</v>
      </c>
      <c r="L83" s="229" t="s">
        <v>7597</v>
      </c>
      <c r="M83" s="229" t="s">
        <v>8888</v>
      </c>
      <c r="N83" s="229" t="s">
        <v>6810</v>
      </c>
      <c r="O83" s="102">
        <v>3.0</v>
      </c>
      <c r="P83" s="102" t="s">
        <v>5912</v>
      </c>
      <c r="Q83" s="102"/>
      <c r="R83" s="102"/>
      <c r="S83" s="230"/>
      <c r="T83" s="230" t="str">
        <f>IF(ISNUMBER(MATCH(B83, 'Sprint 8'!B:B, 0)), "มาจาก Sprint 8", "")</f>
        <v/>
      </c>
      <c r="U83" s="230" t="str">
        <f t="array" ref="U83">IF(ISNUMBER(MATCH(B83, 'Sprint 8'!B:B, 0)), INDEX('Sprint 8'!J:J, MATCH(B83, 'Sprint 8'!B:B, 0)), "")</f>
        <v/>
      </c>
      <c r="W83" s="102" t="s">
        <v>5920</v>
      </c>
      <c r="X83" s="102"/>
      <c r="Y83" s="102"/>
      <c r="Z83" s="102"/>
      <c r="AA83" s="230"/>
      <c r="AB83" s="102"/>
      <c r="AC83" s="102"/>
    </row>
    <row r="84">
      <c r="A84" s="102" t="s">
        <v>310</v>
      </c>
      <c r="B84" s="102" t="s">
        <v>8448</v>
      </c>
      <c r="C84" s="229" t="s">
        <v>8449</v>
      </c>
      <c r="D84" s="102" t="s">
        <v>8450</v>
      </c>
      <c r="E84" s="102" t="s">
        <v>556</v>
      </c>
      <c r="F84" s="102" t="s">
        <v>557</v>
      </c>
      <c r="G84" s="102" t="s">
        <v>353</v>
      </c>
      <c r="H84" s="102" t="s">
        <v>354</v>
      </c>
      <c r="I84" s="102" t="s">
        <v>284</v>
      </c>
      <c r="J84" s="102" t="s">
        <v>454</v>
      </c>
      <c r="L84" s="229" t="s">
        <v>8451</v>
      </c>
      <c r="M84" s="229" t="s">
        <v>8889</v>
      </c>
      <c r="N84" s="229" t="s">
        <v>7989</v>
      </c>
      <c r="O84" s="102">
        <v>1.0</v>
      </c>
      <c r="P84" s="102" t="s">
        <v>6872</v>
      </c>
      <c r="Q84" s="102"/>
      <c r="R84" s="102"/>
      <c r="S84" s="102">
        <v>7200.0</v>
      </c>
      <c r="T84" s="230" t="str">
        <f>IF(ISNUMBER(MATCH(B84, 'Sprint 8'!B:B, 0)), "มาจาก Sprint 8", "")</f>
        <v/>
      </c>
      <c r="U84" s="230" t="str">
        <f t="array" ref="U84">IF(ISNUMBER(MATCH(B84, 'Sprint 8'!B:B, 0)), INDEX('Sprint 8'!J:J, MATCH(B84, 'Sprint 8'!B:B, 0)), "")</f>
        <v/>
      </c>
      <c r="W84" s="102" t="s">
        <v>5920</v>
      </c>
      <c r="X84" s="102"/>
      <c r="Y84" s="102"/>
      <c r="Z84" s="230"/>
      <c r="AA84" s="230"/>
      <c r="AB84" s="102"/>
      <c r="AC84" s="102"/>
    </row>
    <row r="85">
      <c r="A85" s="102" t="s">
        <v>4410</v>
      </c>
      <c r="B85" s="102" t="s">
        <v>8890</v>
      </c>
      <c r="C85" s="229" t="s">
        <v>8891</v>
      </c>
      <c r="D85" s="102" t="s">
        <v>8892</v>
      </c>
      <c r="E85" s="102" t="s">
        <v>282</v>
      </c>
      <c r="F85" s="102" t="s">
        <v>283</v>
      </c>
      <c r="G85" s="102" t="s">
        <v>282</v>
      </c>
      <c r="H85" s="102" t="s">
        <v>283</v>
      </c>
      <c r="I85" s="102" t="s">
        <v>284</v>
      </c>
      <c r="J85" s="102" t="s">
        <v>26</v>
      </c>
      <c r="L85" s="229" t="s">
        <v>8893</v>
      </c>
      <c r="M85" s="229" t="s">
        <v>8894</v>
      </c>
      <c r="N85" s="102"/>
      <c r="O85" s="102">
        <v>1.0</v>
      </c>
      <c r="P85" s="102" t="s">
        <v>593</v>
      </c>
      <c r="R85" s="102"/>
      <c r="S85" s="102">
        <v>7200.0</v>
      </c>
      <c r="T85" s="230" t="str">
        <f>IF(ISNUMBER(MATCH(B85, 'Sprint 8'!B:B, 0)), "มาจาก Sprint 8", "")</f>
        <v/>
      </c>
      <c r="U85" s="230" t="str">
        <f t="array" ref="U85">IF(ISNUMBER(MATCH(B85, 'Sprint 8'!B:B, 0)), INDEX('Sprint 8'!J:J, MATCH(B85, 'Sprint 8'!B:B, 0)), "")</f>
        <v/>
      </c>
      <c r="W85" s="102" t="s">
        <v>4960</v>
      </c>
      <c r="Y85" s="102"/>
      <c r="Z85" s="230"/>
      <c r="AA85" s="230"/>
      <c r="AB85" s="230"/>
      <c r="AC85" s="102"/>
      <c r="AD85" s="102"/>
    </row>
    <row r="86">
      <c r="A86" s="102" t="s">
        <v>332</v>
      </c>
      <c r="B86" s="102" t="s">
        <v>8895</v>
      </c>
      <c r="C86" s="229" t="s">
        <v>8896</v>
      </c>
      <c r="D86" s="102" t="s">
        <v>8897</v>
      </c>
      <c r="E86" s="102" t="s">
        <v>282</v>
      </c>
      <c r="F86" s="102" t="s">
        <v>283</v>
      </c>
      <c r="G86" s="102" t="s">
        <v>316</v>
      </c>
      <c r="H86" s="102" t="s">
        <v>317</v>
      </c>
      <c r="I86" s="102" t="s">
        <v>515</v>
      </c>
      <c r="J86" s="102" t="s">
        <v>759</v>
      </c>
      <c r="L86" s="229" t="s">
        <v>8898</v>
      </c>
      <c r="M86" s="229" t="s">
        <v>8877</v>
      </c>
      <c r="N86" s="229" t="s">
        <v>8899</v>
      </c>
      <c r="O86" s="102">
        <v>1.0</v>
      </c>
      <c r="P86" s="102" t="s">
        <v>367</v>
      </c>
      <c r="Q86" s="102" t="s">
        <v>368</v>
      </c>
      <c r="R86" s="102"/>
      <c r="S86" s="102">
        <v>7200.0</v>
      </c>
      <c r="T86" s="230" t="str">
        <f>IF(ISNUMBER(MATCH(B86, 'Sprint 8'!B:B, 0)), "มาจาก Sprint 8", "")</f>
        <v/>
      </c>
      <c r="U86" s="230" t="str">
        <f t="array" ref="U86">IF(ISNUMBER(MATCH(B86, 'Sprint 8'!B:B, 0)), INDEX('Sprint 8'!J:J, MATCH(B86, 'Sprint 8'!B:B, 0)), "")</f>
        <v/>
      </c>
      <c r="W86" s="102" t="s">
        <v>4960</v>
      </c>
      <c r="X86" s="102"/>
      <c r="Y86" s="102"/>
      <c r="Z86" s="230"/>
      <c r="AA86" s="230"/>
      <c r="AB86" s="230"/>
      <c r="AC86" s="102"/>
      <c r="AD86" s="102"/>
      <c r="AE86" s="102"/>
    </row>
    <row r="87">
      <c r="A87" s="102" t="s">
        <v>310</v>
      </c>
      <c r="B87" s="102" t="s">
        <v>8900</v>
      </c>
      <c r="C87" s="229" t="s">
        <v>8901</v>
      </c>
      <c r="D87" s="102" t="s">
        <v>8902</v>
      </c>
      <c r="E87" s="102" t="s">
        <v>282</v>
      </c>
      <c r="F87" s="102" t="s">
        <v>283</v>
      </c>
      <c r="G87" s="102" t="s">
        <v>282</v>
      </c>
      <c r="H87" s="102" t="s">
        <v>283</v>
      </c>
      <c r="I87" s="102" t="s">
        <v>318</v>
      </c>
      <c r="J87" s="102" t="s">
        <v>26</v>
      </c>
      <c r="L87" s="229" t="s">
        <v>8903</v>
      </c>
      <c r="M87" s="229" t="s">
        <v>8904</v>
      </c>
      <c r="N87" s="102"/>
      <c r="O87" s="102">
        <v>2.0</v>
      </c>
      <c r="P87" s="102" t="s">
        <v>777</v>
      </c>
      <c r="Q87" s="102"/>
      <c r="R87" s="102"/>
      <c r="S87" s="230"/>
      <c r="T87" s="230" t="str">
        <f>IF(ISNUMBER(MATCH(B87, 'Sprint 8'!B:B, 0)), "มาจาก Sprint 8", "")</f>
        <v/>
      </c>
      <c r="U87" s="230" t="str">
        <f t="array" ref="U87">IF(ISNUMBER(MATCH(B87, 'Sprint 8'!B:B, 0)), INDEX('Sprint 8'!J:J, MATCH(B87, 'Sprint 8'!B:B, 0)), "")</f>
        <v/>
      </c>
      <c r="W87" s="102" t="s">
        <v>4960</v>
      </c>
      <c r="X87" s="102"/>
      <c r="Y87" s="102"/>
      <c r="Z87" s="230"/>
      <c r="AA87" s="230"/>
      <c r="AB87" s="102"/>
      <c r="AC87" s="102"/>
      <c r="AD87" s="102"/>
      <c r="AE87" s="102"/>
    </row>
    <row r="88">
      <c r="A88" s="102" t="s">
        <v>310</v>
      </c>
      <c r="B88" s="102" t="s">
        <v>8905</v>
      </c>
      <c r="C88" s="229" t="s">
        <v>8906</v>
      </c>
      <c r="D88" s="102" t="s">
        <v>8907</v>
      </c>
      <c r="E88" s="102" t="s">
        <v>564</v>
      </c>
      <c r="F88" s="102" t="s">
        <v>565</v>
      </c>
      <c r="G88" s="102" t="s">
        <v>282</v>
      </c>
      <c r="H88" s="102" t="s">
        <v>283</v>
      </c>
      <c r="I88" s="102" t="s">
        <v>318</v>
      </c>
      <c r="J88" s="102" t="s">
        <v>26</v>
      </c>
      <c r="L88" s="229" t="s">
        <v>8908</v>
      </c>
      <c r="M88" s="229" t="s">
        <v>8909</v>
      </c>
      <c r="N88" s="229" t="s">
        <v>6810</v>
      </c>
      <c r="O88" s="102">
        <v>3.0</v>
      </c>
      <c r="P88" s="102" t="s">
        <v>1808</v>
      </c>
      <c r="Q88" s="102"/>
      <c r="R88" s="102"/>
      <c r="S88" s="102">
        <v>21600.0</v>
      </c>
      <c r="T88" s="230" t="str">
        <f>IF(ISNUMBER(MATCH(B88, 'Sprint 8'!B:B, 0)), "มาจาก Sprint 8", "")</f>
        <v/>
      </c>
      <c r="U88" s="230" t="str">
        <f t="array" ref="U88">IF(ISNUMBER(MATCH(B88, 'Sprint 8'!B:B, 0)), INDEX('Sprint 8'!J:J, MATCH(B88, 'Sprint 8'!B:B, 0)), "")</f>
        <v/>
      </c>
      <c r="W88" s="102" t="s">
        <v>4960</v>
      </c>
      <c r="X88" s="102"/>
      <c r="Y88" s="102"/>
      <c r="Z88" s="230"/>
      <c r="AA88" s="230"/>
      <c r="AB88" s="102"/>
      <c r="AC88" s="102"/>
      <c r="AD88" s="102"/>
      <c r="AE88" s="102"/>
    </row>
    <row r="89">
      <c r="A89" s="102" t="s">
        <v>310</v>
      </c>
      <c r="B89" s="102" t="s">
        <v>7991</v>
      </c>
      <c r="C89" s="229" t="s">
        <v>7992</v>
      </c>
      <c r="D89" s="102" t="s">
        <v>7993</v>
      </c>
      <c r="E89" s="102" t="s">
        <v>6315</v>
      </c>
      <c r="F89" s="102" t="s">
        <v>6316</v>
      </c>
      <c r="G89" s="102" t="s">
        <v>282</v>
      </c>
      <c r="H89" s="102" t="s">
        <v>283</v>
      </c>
      <c r="I89" s="102" t="s">
        <v>284</v>
      </c>
      <c r="J89" s="102" t="s">
        <v>454</v>
      </c>
      <c r="L89" s="229" t="s">
        <v>7994</v>
      </c>
      <c r="M89" s="229" t="s">
        <v>8841</v>
      </c>
      <c r="N89" s="229" t="s">
        <v>6810</v>
      </c>
      <c r="O89" s="102">
        <v>3.0</v>
      </c>
      <c r="P89" s="102" t="s">
        <v>504</v>
      </c>
      <c r="Q89" s="102"/>
      <c r="R89" s="102"/>
      <c r="S89" s="102">
        <v>28800.0</v>
      </c>
      <c r="T89" s="230" t="str">
        <f>IF(ISNUMBER(MATCH(B89, 'Sprint 8'!B:B, 0)), "มาจาก Sprint 8", "")</f>
        <v/>
      </c>
      <c r="U89" s="230" t="str">
        <f t="array" ref="U89">IF(ISNUMBER(MATCH(B89, 'Sprint 8'!B:B, 0)), INDEX('Sprint 8'!J:J, MATCH(B89, 'Sprint 8'!B:B, 0)), "")</f>
        <v/>
      </c>
      <c r="W89" s="102" t="s">
        <v>1363</v>
      </c>
      <c r="X89" s="102"/>
      <c r="Y89" s="102"/>
      <c r="Z89" s="230"/>
      <c r="AA89" s="230"/>
      <c r="AB89" s="230"/>
      <c r="AC89" s="102"/>
      <c r="AD89" s="102"/>
      <c r="AE89" s="102"/>
    </row>
    <row r="90">
      <c r="A90" s="102" t="s">
        <v>310</v>
      </c>
      <c r="B90" s="102" t="s">
        <v>8910</v>
      </c>
      <c r="C90" s="229" t="s">
        <v>8911</v>
      </c>
      <c r="D90" s="102" t="s">
        <v>8912</v>
      </c>
      <c r="E90" s="102" t="s">
        <v>282</v>
      </c>
      <c r="F90" s="102" t="s">
        <v>283</v>
      </c>
      <c r="G90" s="102" t="s">
        <v>282</v>
      </c>
      <c r="H90" s="102" t="s">
        <v>283</v>
      </c>
      <c r="I90" s="102" t="s">
        <v>284</v>
      </c>
      <c r="J90" s="102" t="s">
        <v>26</v>
      </c>
      <c r="L90" s="229" t="s">
        <v>8913</v>
      </c>
      <c r="M90" s="229" t="s">
        <v>8914</v>
      </c>
      <c r="O90" s="102">
        <v>2.0</v>
      </c>
      <c r="P90" s="102" t="s">
        <v>593</v>
      </c>
      <c r="R90" s="102"/>
      <c r="S90" s="102">
        <v>3600.0</v>
      </c>
      <c r="T90" s="230" t="str">
        <f>IF(ISNUMBER(MATCH(B90, 'Sprint 8'!B:B, 0)), "มาจาก Sprint 8", "")</f>
        <v/>
      </c>
      <c r="U90" s="230" t="str">
        <f t="array" ref="U90">IF(ISNUMBER(MATCH(B90, 'Sprint 8'!B:B, 0)), INDEX('Sprint 8'!J:J, MATCH(B90, 'Sprint 8'!B:B, 0)), "")</f>
        <v/>
      </c>
      <c r="W90" s="102" t="s">
        <v>1363</v>
      </c>
      <c r="X90" s="102"/>
      <c r="Y90" s="102"/>
      <c r="Z90" s="230"/>
      <c r="AA90" s="230"/>
      <c r="AB90" s="230"/>
      <c r="AC90" s="102"/>
      <c r="AD90" s="102"/>
      <c r="AE90" s="102"/>
    </row>
    <row r="91">
      <c r="A91" s="102" t="s">
        <v>310</v>
      </c>
      <c r="B91" s="102" t="s">
        <v>7995</v>
      </c>
      <c r="C91" s="229" t="s">
        <v>7996</v>
      </c>
      <c r="D91" s="102" t="s">
        <v>7997</v>
      </c>
      <c r="E91" s="102" t="s">
        <v>564</v>
      </c>
      <c r="F91" s="102" t="s">
        <v>565</v>
      </c>
      <c r="G91" s="102" t="s">
        <v>282</v>
      </c>
      <c r="H91" s="102" t="s">
        <v>283</v>
      </c>
      <c r="I91" s="102" t="s">
        <v>284</v>
      </c>
      <c r="J91" s="102" t="s">
        <v>454</v>
      </c>
      <c r="L91" s="229" t="s">
        <v>7998</v>
      </c>
      <c r="M91" s="229" t="s">
        <v>8915</v>
      </c>
      <c r="N91" s="229" t="s">
        <v>7979</v>
      </c>
      <c r="O91" s="102">
        <v>2.0</v>
      </c>
      <c r="P91" s="102" t="s">
        <v>777</v>
      </c>
      <c r="Q91" s="102"/>
      <c r="R91" s="102"/>
      <c r="S91" s="102">
        <v>10800.0</v>
      </c>
      <c r="T91" s="230" t="str">
        <f>IF(ISNUMBER(MATCH(B91, 'Sprint 8'!B:B, 0)), "มาจาก Sprint 8", "")</f>
        <v/>
      </c>
      <c r="U91" s="230" t="str">
        <f t="array" ref="U91">IF(ISNUMBER(MATCH(B91, 'Sprint 8'!B:B, 0)), INDEX('Sprint 8'!J:J, MATCH(B91, 'Sprint 8'!B:B, 0)), "")</f>
        <v/>
      </c>
      <c r="W91" s="102" t="s">
        <v>1363</v>
      </c>
      <c r="X91" s="102"/>
      <c r="Y91" s="102"/>
      <c r="Z91" s="230"/>
      <c r="AA91" s="230"/>
      <c r="AB91" s="230"/>
      <c r="AC91" s="102"/>
      <c r="AD91" s="102"/>
      <c r="AE91" s="102"/>
    </row>
    <row r="92">
      <c r="A92" s="102" t="s">
        <v>332</v>
      </c>
      <c r="B92" s="102" t="s">
        <v>8916</v>
      </c>
      <c r="C92" s="229" t="s">
        <v>8917</v>
      </c>
      <c r="D92" s="102" t="s">
        <v>8918</v>
      </c>
      <c r="E92" s="102" t="s">
        <v>282</v>
      </c>
      <c r="F92" s="102" t="s">
        <v>283</v>
      </c>
      <c r="G92" s="102" t="s">
        <v>282</v>
      </c>
      <c r="H92" s="102" t="s">
        <v>283</v>
      </c>
      <c r="I92" s="102" t="s">
        <v>515</v>
      </c>
      <c r="J92" s="102" t="s">
        <v>336</v>
      </c>
      <c r="L92" s="229" t="s">
        <v>8919</v>
      </c>
      <c r="M92" s="229" t="s">
        <v>8904</v>
      </c>
      <c r="N92" s="102"/>
      <c r="O92" s="102"/>
      <c r="P92" s="102"/>
      <c r="Q92" s="102"/>
      <c r="R92" s="102"/>
      <c r="S92" s="230"/>
      <c r="T92" s="230" t="str">
        <f>IF(ISNUMBER(MATCH(B92, 'Sprint 8'!B:B, 0)), "มาจาก Sprint 8", "")</f>
        <v>มาจาก Sprint 8</v>
      </c>
      <c r="U92" s="230" t="str">
        <f t="array" ref="U92">IF(ISNUMBER(MATCH(B92, 'Sprint 8'!B:B, 0)), INDEX('Sprint 8'!J:J, MATCH(B92, 'Sprint 8'!B:B, 0)), "")</f>
        <v>Fixing</v>
      </c>
      <c r="W92" s="102" t="s">
        <v>8806</v>
      </c>
      <c r="X92" s="102" t="s">
        <v>4960</v>
      </c>
      <c r="Y92" s="102"/>
      <c r="Z92" s="230"/>
      <c r="AA92" s="230"/>
      <c r="AB92" s="230"/>
      <c r="AC92" s="102"/>
      <c r="AD92" s="102"/>
      <c r="AE92" s="102"/>
    </row>
    <row r="93">
      <c r="A93" s="102" t="s">
        <v>332</v>
      </c>
      <c r="B93" s="102" t="s">
        <v>8920</v>
      </c>
      <c r="C93" s="229" t="s">
        <v>8921</v>
      </c>
      <c r="D93" s="102" t="s">
        <v>8922</v>
      </c>
      <c r="E93" s="102" t="s">
        <v>353</v>
      </c>
      <c r="F93" s="102" t="s">
        <v>354</v>
      </c>
      <c r="G93" s="102" t="s">
        <v>316</v>
      </c>
      <c r="H93" s="102" t="s">
        <v>317</v>
      </c>
      <c r="I93" s="102" t="s">
        <v>515</v>
      </c>
      <c r="J93" s="102" t="s">
        <v>336</v>
      </c>
      <c r="L93" s="229" t="s">
        <v>8923</v>
      </c>
      <c r="M93" s="229" t="s">
        <v>8924</v>
      </c>
      <c r="N93" s="229" t="s">
        <v>7989</v>
      </c>
      <c r="O93" s="102"/>
      <c r="P93" s="102" t="s">
        <v>322</v>
      </c>
      <c r="Q93" s="102" t="s">
        <v>538</v>
      </c>
      <c r="R93" s="102"/>
      <c r="S93" s="230"/>
      <c r="T93" s="230" t="str">
        <f>IF(ISNUMBER(MATCH(B93, 'Sprint 8'!B:B, 0)), "มาจาก Sprint 8", "")</f>
        <v>มาจาก Sprint 8</v>
      </c>
      <c r="U93" s="230" t="str">
        <f t="array" ref="U93">IF(ISNUMBER(MATCH(B93, 'Sprint 8'!B:B, 0)), INDEX('Sprint 8'!J:J, MATCH(B93, 'Sprint 8'!B:B, 0)), "")</f>
        <v>UNDER VALIDATION</v>
      </c>
      <c r="W93" s="102" t="s">
        <v>8806</v>
      </c>
      <c r="X93" s="102" t="s">
        <v>4960</v>
      </c>
      <c r="Y93" s="102"/>
      <c r="Z93" s="230"/>
      <c r="AA93" s="230"/>
      <c r="AB93" s="102"/>
      <c r="AC93" s="102"/>
    </row>
    <row r="94">
      <c r="A94" s="102" t="s">
        <v>332</v>
      </c>
      <c r="B94" s="102" t="s">
        <v>8454</v>
      </c>
      <c r="C94" s="229" t="s">
        <v>8455</v>
      </c>
      <c r="D94" s="102" t="s">
        <v>8456</v>
      </c>
      <c r="E94" s="102" t="s">
        <v>934</v>
      </c>
      <c r="F94" s="102" t="s">
        <v>935</v>
      </c>
      <c r="G94" s="102" t="s">
        <v>316</v>
      </c>
      <c r="H94" s="102" t="s">
        <v>317</v>
      </c>
      <c r="I94" s="102" t="s">
        <v>284</v>
      </c>
      <c r="J94" s="102" t="s">
        <v>2231</v>
      </c>
      <c r="L94" s="229" t="s">
        <v>8457</v>
      </c>
      <c r="M94" s="229" t="s">
        <v>8925</v>
      </c>
      <c r="N94" s="229" t="s">
        <v>8459</v>
      </c>
      <c r="O94" s="102"/>
      <c r="P94" s="102" t="s">
        <v>322</v>
      </c>
      <c r="Q94" s="102" t="s">
        <v>538</v>
      </c>
      <c r="R94" s="102"/>
      <c r="S94" s="230"/>
      <c r="T94" s="230" t="str">
        <f>IF(ISNUMBER(MATCH(B94, 'Sprint 8'!B:B, 0)), "มาจาก Sprint 8", "")</f>
        <v/>
      </c>
      <c r="U94" s="230" t="str">
        <f t="array" ref="U94">IF(ISNUMBER(MATCH(B94, 'Sprint 8'!B:B, 0)), INDEX('Sprint 8'!J:J, MATCH(B94, 'Sprint 8'!B:B, 0)), "")</f>
        <v/>
      </c>
      <c r="W94" s="102" t="s">
        <v>4960</v>
      </c>
      <c r="Y94" s="102"/>
      <c r="Z94" s="230"/>
      <c r="AA94" s="230"/>
      <c r="AB94" s="230"/>
      <c r="AC94" s="102"/>
      <c r="AD94" s="102"/>
    </row>
    <row r="95">
      <c r="A95" s="102" t="s">
        <v>310</v>
      </c>
      <c r="B95" s="102" t="s">
        <v>8000</v>
      </c>
      <c r="C95" s="229" t="s">
        <v>8001</v>
      </c>
      <c r="D95" s="102" t="s">
        <v>8002</v>
      </c>
      <c r="E95" s="102" t="s">
        <v>584</v>
      </c>
      <c r="F95" s="102" t="s">
        <v>585</v>
      </c>
      <c r="G95" s="102" t="s">
        <v>353</v>
      </c>
      <c r="H95" s="102" t="s">
        <v>354</v>
      </c>
      <c r="I95" s="102" t="s">
        <v>284</v>
      </c>
      <c r="J95" s="102" t="s">
        <v>454</v>
      </c>
      <c r="L95" s="229" t="s">
        <v>8003</v>
      </c>
      <c r="M95" s="229" t="s">
        <v>8775</v>
      </c>
      <c r="N95" s="229" t="s">
        <v>7979</v>
      </c>
      <c r="O95" s="102">
        <v>8.0</v>
      </c>
      <c r="P95" s="102" t="s">
        <v>435</v>
      </c>
      <c r="R95" s="102"/>
      <c r="S95" s="102">
        <v>86400.0</v>
      </c>
      <c r="T95" s="230" t="str">
        <f>IF(ISNUMBER(MATCH(B95, 'Sprint 8'!B:B, 0)), "มาจาก Sprint 8", "")</f>
        <v/>
      </c>
      <c r="U95" s="230" t="str">
        <f t="array" ref="U95">IF(ISNUMBER(MATCH(B95, 'Sprint 8'!B:B, 0)), INDEX('Sprint 8'!J:J, MATCH(B95, 'Sprint 8'!B:B, 0)), "")</f>
        <v/>
      </c>
      <c r="W95" s="102" t="s">
        <v>6448</v>
      </c>
      <c r="Y95" s="102"/>
      <c r="Z95" s="230"/>
      <c r="AA95" s="230"/>
      <c r="AB95" s="230"/>
      <c r="AC95" s="102"/>
      <c r="AD95" s="102"/>
    </row>
    <row r="96">
      <c r="A96" s="102" t="s">
        <v>310</v>
      </c>
      <c r="B96" s="102" t="s">
        <v>8926</v>
      </c>
      <c r="C96" s="229" t="s">
        <v>8927</v>
      </c>
      <c r="D96" s="102" t="s">
        <v>8928</v>
      </c>
      <c r="E96" s="102" t="s">
        <v>282</v>
      </c>
      <c r="F96" s="102" t="s">
        <v>283</v>
      </c>
      <c r="G96" s="102" t="s">
        <v>316</v>
      </c>
      <c r="H96" s="102" t="s">
        <v>317</v>
      </c>
      <c r="I96" s="102" t="s">
        <v>284</v>
      </c>
      <c r="J96" s="102" t="s">
        <v>26</v>
      </c>
      <c r="L96" s="229" t="s">
        <v>8929</v>
      </c>
      <c r="M96" s="229" t="s">
        <v>8930</v>
      </c>
      <c r="N96" s="229" t="s">
        <v>8878</v>
      </c>
      <c r="O96" s="102">
        <v>1.0</v>
      </c>
      <c r="P96" s="102" t="s">
        <v>366</v>
      </c>
      <c r="R96" s="102"/>
      <c r="S96" s="230"/>
      <c r="T96" s="230" t="str">
        <f>IF(ISNUMBER(MATCH(B96, 'Sprint 8'!B:B, 0)), "มาจาก Sprint 8", "")</f>
        <v/>
      </c>
      <c r="U96" s="230" t="str">
        <f t="array" ref="U96">IF(ISNUMBER(MATCH(B96, 'Sprint 8'!B:B, 0)), INDEX('Sprint 8'!J:J, MATCH(B96, 'Sprint 8'!B:B, 0)), "")</f>
        <v/>
      </c>
      <c r="W96" s="102" t="s">
        <v>4960</v>
      </c>
      <c r="Y96" s="102"/>
      <c r="Z96" s="102"/>
      <c r="AA96" s="102"/>
      <c r="AB96" s="102"/>
      <c r="AC96" s="102"/>
    </row>
    <row r="97">
      <c r="A97" s="102" t="s">
        <v>310</v>
      </c>
      <c r="B97" s="102" t="s">
        <v>8931</v>
      </c>
      <c r="C97" s="229" t="s">
        <v>8932</v>
      </c>
      <c r="D97" s="102" t="s">
        <v>8933</v>
      </c>
      <c r="E97" s="102" t="s">
        <v>353</v>
      </c>
      <c r="F97" s="102" t="s">
        <v>354</v>
      </c>
      <c r="G97" s="102" t="s">
        <v>353</v>
      </c>
      <c r="H97" s="102" t="s">
        <v>354</v>
      </c>
      <c r="I97" s="102" t="s">
        <v>284</v>
      </c>
      <c r="J97" s="102" t="s">
        <v>26</v>
      </c>
      <c r="L97" s="229" t="s">
        <v>8934</v>
      </c>
      <c r="M97" s="229" t="s">
        <v>8935</v>
      </c>
      <c r="N97" s="102"/>
      <c r="O97" s="102">
        <v>1.0</v>
      </c>
      <c r="P97" s="102"/>
      <c r="R97" s="230"/>
      <c r="S97" s="102"/>
      <c r="T97" s="230" t="str">
        <f>IF(ISNUMBER(MATCH(B97, 'Sprint 8'!B:B, 0)), "มาจาก Sprint 8", "")</f>
        <v/>
      </c>
      <c r="U97" s="230" t="str">
        <f t="array" ref="U97">IF(ISNUMBER(MATCH(B97, 'Sprint 8'!B:B, 0)), INDEX('Sprint 8'!J:J, MATCH(B97, 'Sprint 8'!B:B, 0)), "")</f>
        <v/>
      </c>
      <c r="W97" s="102" t="s">
        <v>1363</v>
      </c>
      <c r="X97" s="102"/>
      <c r="Y97" s="102"/>
      <c r="Z97" s="102"/>
      <c r="AA97" s="102"/>
      <c r="AB97" s="102"/>
      <c r="AC97" s="102"/>
    </row>
    <row r="98">
      <c r="A98" s="102" t="s">
        <v>310</v>
      </c>
      <c r="B98" s="102" t="s">
        <v>8460</v>
      </c>
      <c r="C98" s="229" t="s">
        <v>8461</v>
      </c>
      <c r="D98" s="102" t="s">
        <v>8462</v>
      </c>
      <c r="E98" s="102" t="s">
        <v>282</v>
      </c>
      <c r="F98" s="102" t="s">
        <v>283</v>
      </c>
      <c r="G98" s="102" t="s">
        <v>282</v>
      </c>
      <c r="H98" s="102" t="s">
        <v>283</v>
      </c>
      <c r="I98" s="102" t="s">
        <v>318</v>
      </c>
      <c r="J98" s="102" t="s">
        <v>454</v>
      </c>
      <c r="L98" s="229" t="s">
        <v>8463</v>
      </c>
      <c r="M98" s="229" t="s">
        <v>8936</v>
      </c>
      <c r="N98" s="102"/>
      <c r="O98" s="102">
        <v>3.0</v>
      </c>
      <c r="P98" s="102" t="s">
        <v>4656</v>
      </c>
      <c r="Q98" s="102" t="s">
        <v>1808</v>
      </c>
      <c r="R98" s="230"/>
      <c r="S98" s="102">
        <v>0.0</v>
      </c>
      <c r="T98" s="230" t="str">
        <f>IF(ISNUMBER(MATCH(B98, 'Sprint 8'!B:B, 0)), "มาจาก Sprint 8", "")</f>
        <v>มาจาก Sprint 8</v>
      </c>
      <c r="U98" s="230" t="str">
        <f t="array" ref="U98">IF(ISNUMBER(MATCH(B98, 'Sprint 8'!B:B, 0)), INDEX('Sprint 8'!J:J, MATCH(B98, 'Sprint 8'!B:B, 0)), "")</f>
        <v>Ready to Staging</v>
      </c>
      <c r="V98" s="102">
        <v>21600.0</v>
      </c>
      <c r="W98" s="102" t="s">
        <v>8806</v>
      </c>
      <c r="X98" s="102" t="s">
        <v>4960</v>
      </c>
      <c r="Y98" s="102"/>
      <c r="Z98" s="102"/>
      <c r="AA98" s="102"/>
      <c r="AB98" s="102"/>
      <c r="AC98" s="102"/>
    </row>
    <row r="99">
      <c r="A99" s="102" t="s">
        <v>310</v>
      </c>
      <c r="B99" s="102" t="s">
        <v>8465</v>
      </c>
      <c r="C99" s="229" t="s">
        <v>8466</v>
      </c>
      <c r="D99" s="102" t="s">
        <v>8467</v>
      </c>
      <c r="E99" s="102" t="s">
        <v>282</v>
      </c>
      <c r="F99" s="102" t="s">
        <v>283</v>
      </c>
      <c r="G99" s="102" t="s">
        <v>282</v>
      </c>
      <c r="H99" s="102" t="s">
        <v>283</v>
      </c>
      <c r="I99" s="102" t="s">
        <v>318</v>
      </c>
      <c r="J99" s="102" t="s">
        <v>454</v>
      </c>
      <c r="L99" s="229" t="s">
        <v>8468</v>
      </c>
      <c r="M99" s="229" t="s">
        <v>8936</v>
      </c>
      <c r="N99" s="102"/>
      <c r="O99" s="102">
        <v>2.0</v>
      </c>
      <c r="P99" s="102" t="s">
        <v>4656</v>
      </c>
      <c r="Q99" s="102" t="s">
        <v>504</v>
      </c>
      <c r="R99" s="230"/>
      <c r="S99" s="102">
        <v>0.0</v>
      </c>
      <c r="T99" s="230" t="str">
        <f>IF(ISNUMBER(MATCH(B99, 'Sprint 8'!B:B, 0)), "มาจาก Sprint 8", "")</f>
        <v>มาจาก Sprint 8</v>
      </c>
      <c r="U99" s="230" t="str">
        <f t="array" ref="U99">IF(ISNUMBER(MATCH(B99, 'Sprint 8'!B:B, 0)), INDEX('Sprint 8'!J:J, MATCH(B99, 'Sprint 8'!B:B, 0)), "")</f>
        <v>Ready to Staging</v>
      </c>
      <c r="V99" s="102">
        <v>14400.0</v>
      </c>
      <c r="W99" s="102" t="s">
        <v>8806</v>
      </c>
      <c r="X99" s="102" t="s">
        <v>4960</v>
      </c>
      <c r="Y99" s="102"/>
      <c r="Z99" s="102"/>
      <c r="AA99" s="102"/>
      <c r="AB99" s="102"/>
      <c r="AC99" s="102"/>
    </row>
    <row r="100">
      <c r="A100" s="102" t="s">
        <v>332</v>
      </c>
      <c r="B100" s="102" t="s">
        <v>8937</v>
      </c>
      <c r="C100" s="229" t="s">
        <v>8938</v>
      </c>
      <c r="D100" s="102" t="s">
        <v>8939</v>
      </c>
      <c r="E100" s="102" t="s">
        <v>556</v>
      </c>
      <c r="F100" s="102" t="s">
        <v>557</v>
      </c>
      <c r="G100" s="102" t="s">
        <v>521</v>
      </c>
      <c r="H100" s="102" t="s">
        <v>522</v>
      </c>
      <c r="I100" s="102" t="s">
        <v>648</v>
      </c>
      <c r="J100" s="102" t="s">
        <v>336</v>
      </c>
      <c r="L100" s="229" t="s">
        <v>8940</v>
      </c>
      <c r="M100" s="229" t="s">
        <v>8941</v>
      </c>
      <c r="N100" s="102"/>
      <c r="O100" s="102"/>
      <c r="P100" s="102"/>
      <c r="R100" s="230"/>
      <c r="S100" s="102"/>
      <c r="T100" s="230" t="str">
        <f>IF(ISNUMBER(MATCH(B100, 'Sprint 8'!B:B, 0)), "มาจาก Sprint 8", "")</f>
        <v>มาจาก Sprint 8</v>
      </c>
      <c r="U100" s="230" t="str">
        <f t="array" ref="U100">IF(ISNUMBER(MATCH(B100, 'Sprint 8'!B:B, 0)), INDEX('Sprint 8'!J:J, MATCH(B100, 'Sprint 8'!B:B, 0)), "")</f>
        <v>Resolved</v>
      </c>
      <c r="W100" s="102" t="s">
        <v>5919</v>
      </c>
      <c r="X100" s="102" t="s">
        <v>5920</v>
      </c>
      <c r="Y100" s="102"/>
      <c r="Z100" s="102"/>
      <c r="AA100" s="102"/>
      <c r="AB100" s="102"/>
      <c r="AC100" s="102"/>
    </row>
    <row r="101">
      <c r="A101" s="102" t="s">
        <v>310</v>
      </c>
      <c r="B101" s="102" t="s">
        <v>8469</v>
      </c>
      <c r="C101" s="229" t="s">
        <v>8470</v>
      </c>
      <c r="D101" s="102" t="s">
        <v>8471</v>
      </c>
      <c r="E101" s="102" t="s">
        <v>282</v>
      </c>
      <c r="F101" s="102" t="s">
        <v>283</v>
      </c>
      <c r="G101" s="102" t="s">
        <v>353</v>
      </c>
      <c r="H101" s="102" t="s">
        <v>354</v>
      </c>
      <c r="I101" s="102" t="s">
        <v>318</v>
      </c>
      <c r="J101" s="102" t="s">
        <v>454</v>
      </c>
      <c r="L101" s="229" t="s">
        <v>8472</v>
      </c>
      <c r="M101" s="229" t="s">
        <v>8942</v>
      </c>
      <c r="N101" s="102"/>
      <c r="O101" s="102">
        <v>3.0</v>
      </c>
      <c r="P101" s="102" t="s">
        <v>777</v>
      </c>
      <c r="Q101" s="102" t="s">
        <v>4656</v>
      </c>
      <c r="R101" s="230"/>
      <c r="S101" s="102">
        <v>0.0</v>
      </c>
      <c r="T101" s="230" t="str">
        <f>IF(ISNUMBER(MATCH(B101, 'Sprint 8'!B:B, 0)), "มาจาก Sprint 8", "")</f>
        <v>มาจาก Sprint 8</v>
      </c>
      <c r="U101" s="230" t="str">
        <f t="array" ref="U101">IF(ISNUMBER(MATCH(B101, 'Sprint 8'!B:B, 0)), INDEX('Sprint 8'!J:J, MATCH(B101, 'Sprint 8'!B:B, 0)), "")</f>
        <v>Ready to Staging</v>
      </c>
      <c r="V101" s="102">
        <v>14400.0</v>
      </c>
      <c r="W101" s="102" t="s">
        <v>8806</v>
      </c>
      <c r="X101" s="102" t="s">
        <v>4960</v>
      </c>
      <c r="Y101" s="102"/>
      <c r="Z101" s="102"/>
      <c r="AA101" s="102"/>
      <c r="AB101" s="102"/>
      <c r="AC101" s="102"/>
    </row>
    <row r="102">
      <c r="A102" s="102" t="s">
        <v>310</v>
      </c>
      <c r="B102" s="102" t="s">
        <v>8943</v>
      </c>
      <c r="C102" s="229" t="s">
        <v>8944</v>
      </c>
      <c r="D102" s="102" t="s">
        <v>8945</v>
      </c>
      <c r="E102" s="102" t="s">
        <v>353</v>
      </c>
      <c r="F102" s="102" t="s">
        <v>354</v>
      </c>
      <c r="G102" s="102" t="s">
        <v>353</v>
      </c>
      <c r="H102" s="102" t="s">
        <v>354</v>
      </c>
      <c r="I102" s="102" t="s">
        <v>284</v>
      </c>
      <c r="J102" s="102" t="s">
        <v>26</v>
      </c>
      <c r="L102" s="229" t="s">
        <v>8946</v>
      </c>
      <c r="M102" s="229" t="s">
        <v>8883</v>
      </c>
      <c r="N102" s="102"/>
      <c r="O102" s="102"/>
      <c r="P102" s="102"/>
      <c r="R102" s="230"/>
      <c r="S102" s="230"/>
      <c r="T102" s="230" t="str">
        <f>IF(ISNUMBER(MATCH(B102, 'Sprint 8'!B:B, 0)), "มาจาก Sprint 8", "")</f>
        <v>มาจาก Sprint 8</v>
      </c>
      <c r="U102" s="230" t="str">
        <f t="array" ref="U102">IF(ISNUMBER(MATCH(B102, 'Sprint 8'!B:B, 0)), INDEX('Sprint 8'!J:J, MATCH(B102, 'Sprint 8'!B:B, 0)), "")</f>
        <v>In Progress</v>
      </c>
      <c r="W102" s="102" t="s">
        <v>8806</v>
      </c>
      <c r="X102" s="102" t="s">
        <v>4960</v>
      </c>
      <c r="Y102" s="102"/>
      <c r="Z102" s="102"/>
      <c r="AA102" s="102"/>
      <c r="AB102" s="102"/>
      <c r="AC102" s="102"/>
    </row>
    <row r="103">
      <c r="A103" s="102" t="s">
        <v>332</v>
      </c>
      <c r="B103" s="102" t="s">
        <v>8473</v>
      </c>
      <c r="C103" s="229" t="s">
        <v>8474</v>
      </c>
      <c r="D103" s="102" t="s">
        <v>8475</v>
      </c>
      <c r="E103" s="102" t="s">
        <v>314</v>
      </c>
      <c r="F103" s="102" t="s">
        <v>315</v>
      </c>
      <c r="G103" s="102" t="s">
        <v>316</v>
      </c>
      <c r="H103" s="102" t="s">
        <v>317</v>
      </c>
      <c r="I103" s="102" t="s">
        <v>284</v>
      </c>
      <c r="J103" s="102" t="s">
        <v>2231</v>
      </c>
      <c r="L103" s="229" t="s">
        <v>8476</v>
      </c>
      <c r="M103" s="229" t="s">
        <v>8947</v>
      </c>
      <c r="N103" s="229" t="s">
        <v>7544</v>
      </c>
      <c r="O103" s="102"/>
      <c r="P103" s="102" t="s">
        <v>367</v>
      </c>
      <c r="R103" s="230"/>
      <c r="S103" s="230"/>
      <c r="T103" s="230" t="str">
        <f>IF(ISNUMBER(MATCH(B103, 'Sprint 8'!B:B, 0)), "มาจาก Sprint 8", "")</f>
        <v/>
      </c>
      <c r="U103" s="230" t="str">
        <f t="array" ref="U103">IF(ISNUMBER(MATCH(B103, 'Sprint 8'!B:B, 0)), INDEX('Sprint 8'!J:J, MATCH(B103, 'Sprint 8'!B:B, 0)), "")</f>
        <v/>
      </c>
      <c r="W103" s="102" t="s">
        <v>4960</v>
      </c>
      <c r="X103" s="102"/>
      <c r="Y103" s="102"/>
      <c r="Z103" s="102"/>
      <c r="AA103" s="102"/>
      <c r="AB103" s="102"/>
      <c r="AC103" s="102"/>
    </row>
    <row r="104">
      <c r="A104" s="102" t="s">
        <v>332</v>
      </c>
      <c r="B104" s="102" t="s">
        <v>6443</v>
      </c>
      <c r="C104" s="229" t="s">
        <v>6444</v>
      </c>
      <c r="D104" s="102" t="s">
        <v>6445</v>
      </c>
      <c r="E104" s="102" t="s">
        <v>353</v>
      </c>
      <c r="F104" s="102" t="s">
        <v>354</v>
      </c>
      <c r="G104" s="102" t="s">
        <v>521</v>
      </c>
      <c r="H104" s="102" t="s">
        <v>522</v>
      </c>
      <c r="I104" s="102" t="s">
        <v>284</v>
      </c>
      <c r="J104" s="102" t="s">
        <v>1075</v>
      </c>
      <c r="L104" s="229" t="s">
        <v>6446</v>
      </c>
      <c r="M104" s="229" t="s">
        <v>8948</v>
      </c>
      <c r="N104" s="102"/>
      <c r="O104" s="102"/>
      <c r="P104" s="102"/>
      <c r="R104" s="230"/>
      <c r="S104" s="102"/>
      <c r="T104" s="230" t="str">
        <f>IF(ISNUMBER(MATCH(B104, 'Sprint 8'!B:B, 0)), "มาจาก Sprint 8", "")</f>
        <v/>
      </c>
      <c r="U104" s="230" t="str">
        <f t="array" ref="U104">IF(ISNUMBER(MATCH(B104, 'Sprint 8'!B:B, 0)), INDEX('Sprint 8'!J:J, MATCH(B104, 'Sprint 8'!B:B, 0)), "")</f>
        <v/>
      </c>
      <c r="W104" s="102" t="s">
        <v>6448</v>
      </c>
      <c r="X104" s="102"/>
      <c r="Y104" s="102"/>
      <c r="Z104" s="102"/>
      <c r="AA104" s="102"/>
      <c r="AB104" s="102"/>
      <c r="AC104" s="102"/>
    </row>
    <row r="105">
      <c r="A105" s="102" t="s">
        <v>4410</v>
      </c>
      <c r="B105" s="102" t="s">
        <v>4955</v>
      </c>
      <c r="C105" s="229" t="s">
        <v>4956</v>
      </c>
      <c r="D105" s="102" t="s">
        <v>4957</v>
      </c>
      <c r="E105" s="102" t="s">
        <v>282</v>
      </c>
      <c r="F105" s="102" t="s">
        <v>283</v>
      </c>
      <c r="G105" s="102" t="s">
        <v>316</v>
      </c>
      <c r="H105" s="102" t="s">
        <v>317</v>
      </c>
      <c r="I105" s="102" t="s">
        <v>284</v>
      </c>
      <c r="J105" s="102" t="s">
        <v>63</v>
      </c>
      <c r="L105" s="229" t="s">
        <v>4958</v>
      </c>
      <c r="M105" s="229" t="s">
        <v>8942</v>
      </c>
      <c r="N105" s="102"/>
      <c r="O105" s="102">
        <v>5.0</v>
      </c>
      <c r="P105" s="102"/>
      <c r="R105" s="230"/>
      <c r="S105" s="102">
        <v>57600.0</v>
      </c>
      <c r="T105" s="230" t="str">
        <f>IF(ISNUMBER(MATCH(B105, 'Sprint 8'!B:B, 0)), "มาจาก Sprint 8", "")</f>
        <v/>
      </c>
      <c r="U105" s="230" t="str">
        <f t="array" ref="U105">IF(ISNUMBER(MATCH(B105, 'Sprint 8'!B:B, 0)), INDEX('Sprint 8'!J:J, MATCH(B105, 'Sprint 8'!B:B, 0)), "")</f>
        <v/>
      </c>
      <c r="W105" s="102" t="s">
        <v>4960</v>
      </c>
      <c r="X105" s="102"/>
      <c r="Y105" s="102"/>
      <c r="Z105" s="102"/>
      <c r="AA105" s="102"/>
      <c r="AB105" s="102"/>
      <c r="AC105" s="102"/>
    </row>
    <row r="106">
      <c r="A106" s="102" t="s">
        <v>332</v>
      </c>
      <c r="B106" s="102" t="s">
        <v>8949</v>
      </c>
      <c r="C106" s="229" t="s">
        <v>8950</v>
      </c>
      <c r="D106" s="102" t="s">
        <v>8951</v>
      </c>
      <c r="E106" s="102" t="s">
        <v>314</v>
      </c>
      <c r="F106" s="102" t="s">
        <v>315</v>
      </c>
      <c r="G106" s="102" t="s">
        <v>316</v>
      </c>
      <c r="H106" s="102" t="s">
        <v>317</v>
      </c>
      <c r="I106" s="102" t="s">
        <v>284</v>
      </c>
      <c r="J106" s="102" t="s">
        <v>2318</v>
      </c>
      <c r="L106" s="229" t="s">
        <v>8952</v>
      </c>
      <c r="M106" s="229" t="s">
        <v>8953</v>
      </c>
      <c r="N106" s="229" t="s">
        <v>6990</v>
      </c>
      <c r="O106" s="102">
        <v>1.0</v>
      </c>
      <c r="R106" s="230"/>
      <c r="S106" s="102">
        <v>7200.0</v>
      </c>
      <c r="T106" s="230" t="str">
        <f>IF(ISNUMBER(MATCH(B106, 'Sprint 8'!B:B, 0)), "มาจาก Sprint 8", "")</f>
        <v/>
      </c>
      <c r="U106" s="230" t="str">
        <f t="array" ref="U106">IF(ISNUMBER(MATCH(B106, 'Sprint 8'!B:B, 0)), INDEX('Sprint 8'!J:J, MATCH(B106, 'Sprint 8'!B:B, 0)), "")</f>
        <v/>
      </c>
      <c r="W106" s="102" t="s">
        <v>4960</v>
      </c>
      <c r="X106" s="102"/>
      <c r="Y106" s="102"/>
      <c r="Z106" s="102"/>
      <c r="AA106" s="102"/>
      <c r="AB106" s="102"/>
      <c r="AC106" s="102"/>
    </row>
    <row r="107">
      <c r="A107" s="102" t="s">
        <v>310</v>
      </c>
      <c r="B107" s="102" t="s">
        <v>7601</v>
      </c>
      <c r="C107" s="229" t="s">
        <v>7602</v>
      </c>
      <c r="D107" s="102" t="s">
        <v>7603</v>
      </c>
      <c r="E107" s="102" t="s">
        <v>564</v>
      </c>
      <c r="F107" s="102" t="s">
        <v>565</v>
      </c>
      <c r="G107" s="102" t="s">
        <v>282</v>
      </c>
      <c r="H107" s="102" t="s">
        <v>283</v>
      </c>
      <c r="I107" s="102" t="s">
        <v>515</v>
      </c>
      <c r="J107" s="102" t="s">
        <v>454</v>
      </c>
      <c r="L107" s="229" t="s">
        <v>7604</v>
      </c>
      <c r="M107" s="229" t="s">
        <v>8954</v>
      </c>
      <c r="N107" s="229" t="s">
        <v>7606</v>
      </c>
      <c r="O107" s="102">
        <v>2.0</v>
      </c>
      <c r="P107" s="102"/>
      <c r="R107" s="230"/>
      <c r="S107" s="102">
        <v>0.0</v>
      </c>
      <c r="T107" s="230" t="str">
        <f>IF(ISNUMBER(MATCH(B107, 'Sprint 8'!B:B, 0)), "มาจาก Sprint 8", "")</f>
        <v>มาจาก Sprint 8</v>
      </c>
      <c r="U107" s="230" t="str">
        <f t="array" ref="U107">IF(ISNUMBER(MATCH(B107, 'Sprint 8'!B:B, 0)), INDEX('Sprint 8'!J:J, MATCH(B107, 'Sprint 8'!B:B, 0)), "")</f>
        <v>Ready To Test</v>
      </c>
      <c r="V107" s="102">
        <v>14400.0</v>
      </c>
      <c r="W107" s="102" t="s">
        <v>5919</v>
      </c>
      <c r="X107" s="102" t="s">
        <v>5920</v>
      </c>
      <c r="Y107" s="102"/>
      <c r="Z107" s="102"/>
      <c r="AA107" s="102"/>
      <c r="AB107" s="102"/>
      <c r="AC107" s="102"/>
    </row>
    <row r="108">
      <c r="A108" s="102" t="s">
        <v>332</v>
      </c>
      <c r="B108" s="102" t="s">
        <v>8479</v>
      </c>
      <c r="C108" s="229" t="s">
        <v>8480</v>
      </c>
      <c r="D108" s="102" t="s">
        <v>8481</v>
      </c>
      <c r="E108" s="102" t="s">
        <v>353</v>
      </c>
      <c r="F108" s="102" t="s">
        <v>354</v>
      </c>
      <c r="G108" s="102" t="s">
        <v>353</v>
      </c>
      <c r="H108" s="102" t="s">
        <v>354</v>
      </c>
      <c r="I108" s="102" t="s">
        <v>284</v>
      </c>
      <c r="J108" s="102" t="s">
        <v>922</v>
      </c>
      <c r="L108" s="229" t="s">
        <v>8482</v>
      </c>
      <c r="M108" s="229" t="s">
        <v>8955</v>
      </c>
      <c r="N108" s="102"/>
      <c r="O108" s="102"/>
      <c r="P108" s="102"/>
      <c r="R108" s="230"/>
      <c r="S108" s="230"/>
      <c r="T108" s="230" t="str">
        <f>IF(ISNUMBER(MATCH(B108, 'Sprint 8'!B:B, 0)), "มาจาก Sprint 8", "")</f>
        <v>มาจาก Sprint 8</v>
      </c>
      <c r="U108" s="230" t="str">
        <f t="array" ref="U108">IF(ISNUMBER(MATCH(B108, 'Sprint 8'!B:B, 0)), INDEX('Sprint 8'!J:J, MATCH(B108, 'Sprint 8'!B:B, 0)), "")</f>
        <v>ACCEPTED</v>
      </c>
      <c r="W108" s="102" t="s">
        <v>8806</v>
      </c>
      <c r="X108" s="102" t="s">
        <v>4960</v>
      </c>
      <c r="Y108" s="102"/>
      <c r="Z108" s="102"/>
      <c r="AA108" s="102"/>
      <c r="AB108" s="102"/>
      <c r="AC108" s="102"/>
    </row>
    <row r="109">
      <c r="A109" s="102" t="s">
        <v>310</v>
      </c>
      <c r="B109" s="102" t="s">
        <v>8484</v>
      </c>
      <c r="C109" s="229" t="s">
        <v>8485</v>
      </c>
      <c r="D109" s="102" t="s">
        <v>8486</v>
      </c>
      <c r="E109" s="102" t="s">
        <v>282</v>
      </c>
      <c r="F109" s="102" t="s">
        <v>283</v>
      </c>
      <c r="G109" s="102" t="s">
        <v>316</v>
      </c>
      <c r="H109" s="102" t="s">
        <v>317</v>
      </c>
      <c r="I109" s="102" t="s">
        <v>284</v>
      </c>
      <c r="J109" s="102" t="s">
        <v>34</v>
      </c>
      <c r="L109" s="229" t="s">
        <v>8487</v>
      </c>
      <c r="M109" s="229" t="s">
        <v>8956</v>
      </c>
      <c r="N109" s="102"/>
      <c r="O109" s="102">
        <v>1.0</v>
      </c>
      <c r="P109" s="102"/>
      <c r="R109" s="230"/>
      <c r="S109" s="230"/>
      <c r="T109" s="230" t="str">
        <f>IF(ISNUMBER(MATCH(B109, 'Sprint 8'!B:B, 0)), "มาจาก Sprint 8", "")</f>
        <v/>
      </c>
      <c r="U109" s="230" t="str">
        <f t="array" ref="U109">IF(ISNUMBER(MATCH(B109, 'Sprint 8'!B:B, 0)), INDEX('Sprint 8'!J:J, MATCH(B109, 'Sprint 8'!B:B, 0)), "")</f>
        <v/>
      </c>
      <c r="W109" s="102" t="s">
        <v>4960</v>
      </c>
      <c r="X109" s="102"/>
      <c r="Y109" s="102"/>
      <c r="Z109" s="102"/>
      <c r="AA109" s="102"/>
      <c r="AB109" s="102"/>
      <c r="AC109" s="102"/>
    </row>
    <row r="110">
      <c r="A110" s="102" t="s">
        <v>310</v>
      </c>
      <c r="B110" s="102" t="s">
        <v>5914</v>
      </c>
      <c r="C110" s="229" t="s">
        <v>5915</v>
      </c>
      <c r="D110" s="102" t="s">
        <v>5916</v>
      </c>
      <c r="E110" s="102" t="s">
        <v>584</v>
      </c>
      <c r="F110" s="102" t="s">
        <v>585</v>
      </c>
      <c r="G110" s="102" t="s">
        <v>353</v>
      </c>
      <c r="H110" s="102" t="s">
        <v>354</v>
      </c>
      <c r="I110" s="102" t="s">
        <v>284</v>
      </c>
      <c r="J110" s="102" t="s">
        <v>454</v>
      </c>
      <c r="L110" s="229" t="s">
        <v>5917</v>
      </c>
      <c r="M110" s="229" t="s">
        <v>8957</v>
      </c>
      <c r="N110" s="229" t="s">
        <v>5918</v>
      </c>
      <c r="O110" s="102">
        <v>3.0</v>
      </c>
      <c r="P110" s="102"/>
      <c r="R110" s="230"/>
      <c r="S110" s="102">
        <v>0.0</v>
      </c>
      <c r="T110" s="230" t="str">
        <f>IF(ISNUMBER(MATCH(B110, 'Sprint 8'!B:B, 0)), "มาจาก Sprint 8", "")</f>
        <v>มาจาก Sprint 8</v>
      </c>
      <c r="U110" s="230" t="str">
        <f t="array" ref="U110">IF(ISNUMBER(MATCH(B110, 'Sprint 8'!B:B, 0)), INDEX('Sprint 8'!J:J, MATCH(B110, 'Sprint 8'!B:B, 0)), "")</f>
        <v>Ready To Test</v>
      </c>
      <c r="V110" s="102">
        <v>21600.0</v>
      </c>
      <c r="W110" s="102" t="s">
        <v>5919</v>
      </c>
      <c r="X110" s="102" t="s">
        <v>5920</v>
      </c>
      <c r="Y110" s="102"/>
      <c r="Z110" s="102"/>
      <c r="AA110" s="230"/>
      <c r="AB110" s="102"/>
      <c r="AC110" s="102"/>
    </row>
    <row r="111">
      <c r="A111" s="102" t="s">
        <v>310</v>
      </c>
      <c r="B111" s="102" t="s">
        <v>8958</v>
      </c>
      <c r="C111" s="229" t="s">
        <v>8959</v>
      </c>
      <c r="D111" s="102" t="s">
        <v>8960</v>
      </c>
      <c r="E111" s="102" t="s">
        <v>353</v>
      </c>
      <c r="F111" s="102" t="s">
        <v>354</v>
      </c>
      <c r="G111" s="102" t="s">
        <v>353</v>
      </c>
      <c r="H111" s="102" t="s">
        <v>354</v>
      </c>
      <c r="I111" s="102" t="s">
        <v>284</v>
      </c>
      <c r="J111" s="102" t="s">
        <v>26</v>
      </c>
      <c r="L111" s="229" t="s">
        <v>8961</v>
      </c>
      <c r="M111" s="229" t="s">
        <v>8962</v>
      </c>
      <c r="N111" s="102"/>
      <c r="O111" s="102">
        <v>3.0</v>
      </c>
      <c r="P111" s="102"/>
      <c r="R111" s="230"/>
      <c r="S111" s="230"/>
      <c r="T111" s="230" t="str">
        <f>IF(ISNUMBER(MATCH(B111, 'Sprint 8'!B:B, 0)), "มาจาก Sprint 8", "")</f>
        <v>มาจาก Sprint 8</v>
      </c>
      <c r="U111" s="230" t="str">
        <f t="array" ref="U111">IF(ISNUMBER(MATCH(B111, 'Sprint 8'!B:B, 0)), INDEX('Sprint 8'!J:J, MATCH(B111, 'Sprint 8'!B:B, 0)), "")</f>
        <v>To Do</v>
      </c>
      <c r="W111" s="102" t="s">
        <v>8806</v>
      </c>
      <c r="X111" s="102" t="s">
        <v>4960</v>
      </c>
      <c r="Y111" s="102"/>
      <c r="Z111" s="102"/>
      <c r="AA111" s="230"/>
      <c r="AB111" s="230"/>
      <c r="AC111" s="102"/>
    </row>
    <row r="112">
      <c r="A112" s="102" t="s">
        <v>630</v>
      </c>
      <c r="B112" s="102" t="s">
        <v>8489</v>
      </c>
      <c r="C112" s="229" t="s">
        <v>8490</v>
      </c>
      <c r="D112" s="102" t="s">
        <v>8491</v>
      </c>
      <c r="E112" s="102" t="s">
        <v>353</v>
      </c>
      <c r="F112" s="102" t="s">
        <v>354</v>
      </c>
      <c r="G112" s="102" t="s">
        <v>353</v>
      </c>
      <c r="H112" s="102" t="s">
        <v>354</v>
      </c>
      <c r="I112" s="102" t="s">
        <v>284</v>
      </c>
      <c r="J112" s="102" t="s">
        <v>63</v>
      </c>
      <c r="L112" s="229" t="s">
        <v>8492</v>
      </c>
      <c r="M112" s="229" t="s">
        <v>8963</v>
      </c>
      <c r="O112" s="102">
        <v>3.0</v>
      </c>
      <c r="P112" s="102"/>
      <c r="R112" s="230"/>
      <c r="S112" s="230"/>
      <c r="T112" s="230" t="str">
        <f>IF(ISNUMBER(MATCH(B112, 'Sprint 8'!B:B, 0)), "มาจาก Sprint 8", "")</f>
        <v>มาจาก Sprint 8</v>
      </c>
      <c r="U112" s="230" t="str">
        <f t="array" ref="U112">IF(ISNUMBER(MATCH(B112, 'Sprint 8'!B:B, 0)), INDEX('Sprint 8'!J:J, MATCH(B112, 'Sprint 8'!B:B, 0)), "")</f>
        <v>To Do</v>
      </c>
      <c r="W112" s="102" t="s">
        <v>8806</v>
      </c>
      <c r="X112" s="102" t="s">
        <v>4960</v>
      </c>
      <c r="Y112" s="102"/>
      <c r="Z112" s="102"/>
      <c r="AA112" s="102"/>
      <c r="AB112" s="102"/>
      <c r="AC112" s="102"/>
    </row>
    <row r="113">
      <c r="A113" s="102" t="s">
        <v>332</v>
      </c>
      <c r="B113" s="102" t="s">
        <v>8493</v>
      </c>
      <c r="C113" s="229" t="s">
        <v>8494</v>
      </c>
      <c r="D113" s="102" t="s">
        <v>8495</v>
      </c>
      <c r="E113" s="102" t="s">
        <v>556</v>
      </c>
      <c r="F113" s="102" t="s">
        <v>557</v>
      </c>
      <c r="G113" s="102" t="s">
        <v>521</v>
      </c>
      <c r="H113" s="102" t="s">
        <v>522</v>
      </c>
      <c r="I113" s="102" t="s">
        <v>284</v>
      </c>
      <c r="J113" s="102" t="s">
        <v>2231</v>
      </c>
      <c r="L113" s="229" t="s">
        <v>8496</v>
      </c>
      <c r="M113" s="229" t="s">
        <v>8964</v>
      </c>
      <c r="O113" s="102"/>
      <c r="P113" s="102"/>
      <c r="R113" s="230"/>
      <c r="S113" s="230"/>
      <c r="T113" s="230" t="str">
        <f>IF(ISNUMBER(MATCH(B113, 'Sprint 8'!B:B, 0)), "มาจาก Sprint 8", "")</f>
        <v>มาจาก Sprint 8</v>
      </c>
      <c r="U113" s="230" t="str">
        <f t="array" ref="U113">IF(ISNUMBER(MATCH(B113, 'Sprint 8'!B:B, 0)), INDEX('Sprint 8'!J:J, MATCH(B113, 'Sprint 8'!B:B, 0)), "")</f>
        <v>Reopened</v>
      </c>
      <c r="W113" s="102" t="s">
        <v>5919</v>
      </c>
      <c r="X113" s="102" t="s">
        <v>5920</v>
      </c>
      <c r="Y113" s="102"/>
      <c r="Z113" s="102"/>
      <c r="AA113" s="102"/>
      <c r="AB113" s="102"/>
      <c r="AC113" s="102"/>
    </row>
    <row r="114">
      <c r="A114" s="102" t="s">
        <v>310</v>
      </c>
      <c r="B114" s="102" t="s">
        <v>7608</v>
      </c>
      <c r="C114" s="229" t="s">
        <v>7609</v>
      </c>
      <c r="D114" s="102" t="s">
        <v>7610</v>
      </c>
      <c r="E114" s="102" t="s">
        <v>564</v>
      </c>
      <c r="F114" s="102" t="s">
        <v>565</v>
      </c>
      <c r="G114" s="102" t="s">
        <v>282</v>
      </c>
      <c r="H114" s="102" t="s">
        <v>283</v>
      </c>
      <c r="I114" s="102" t="s">
        <v>284</v>
      </c>
      <c r="J114" s="102" t="s">
        <v>454</v>
      </c>
      <c r="L114" s="229" t="s">
        <v>7611</v>
      </c>
      <c r="M114" s="229" t="s">
        <v>8954</v>
      </c>
      <c r="N114" s="229" t="s">
        <v>5918</v>
      </c>
      <c r="O114" s="102">
        <v>1.0</v>
      </c>
      <c r="P114" s="102" t="s">
        <v>504</v>
      </c>
      <c r="R114" s="230"/>
      <c r="S114" s="102">
        <v>0.0</v>
      </c>
      <c r="T114" s="230" t="str">
        <f>IF(ISNUMBER(MATCH(B114, 'Sprint 8'!B:B, 0)), "มาจาก Sprint 8", "")</f>
        <v>มาจาก Sprint 8</v>
      </c>
      <c r="U114" s="230" t="str">
        <f t="array" ref="U114">IF(ISNUMBER(MATCH(B114, 'Sprint 8'!B:B, 0)), INDEX('Sprint 8'!J:J, MATCH(B114, 'Sprint 8'!B:B, 0)), "")</f>
        <v>Ready To Test</v>
      </c>
      <c r="V114" s="102">
        <v>3600.0</v>
      </c>
      <c r="W114" s="102" t="s">
        <v>5919</v>
      </c>
      <c r="X114" s="102" t="s">
        <v>5920</v>
      </c>
      <c r="Y114" s="102"/>
      <c r="Z114" s="102"/>
      <c r="AA114" s="230"/>
      <c r="AB114" s="230"/>
      <c r="AC114" s="102"/>
    </row>
    <row r="115">
      <c r="A115" s="102" t="s">
        <v>1465</v>
      </c>
      <c r="B115" s="102" t="s">
        <v>8498</v>
      </c>
      <c r="C115" s="229" t="s">
        <v>8499</v>
      </c>
      <c r="D115" s="102" t="s">
        <v>8965</v>
      </c>
      <c r="E115" s="102"/>
      <c r="F115" s="102"/>
      <c r="G115" s="102" t="s">
        <v>521</v>
      </c>
      <c r="H115" s="102" t="s">
        <v>522</v>
      </c>
      <c r="I115" s="102" t="s">
        <v>284</v>
      </c>
      <c r="J115" s="102" t="s">
        <v>63</v>
      </c>
      <c r="L115" s="229" t="s">
        <v>8501</v>
      </c>
      <c r="M115" s="229" t="s">
        <v>8954</v>
      </c>
      <c r="O115" s="102"/>
      <c r="R115" s="230"/>
      <c r="S115" s="230"/>
      <c r="T115" s="230" t="str">
        <f>IF(ISNUMBER(MATCH(B115, 'Sprint 8'!B:B, 0)), "มาจาก Sprint 8", "")</f>
        <v>มาจาก Sprint 8</v>
      </c>
      <c r="U115" s="230" t="str">
        <f t="array" ref="U115">IF(ISNUMBER(MATCH(B115, 'Sprint 8'!B:B, 0)), INDEX('Sprint 8'!J:J, MATCH(B115, 'Sprint 8'!B:B, 0)), "")</f>
        <v>To Do</v>
      </c>
      <c r="W115" s="102" t="s">
        <v>5919</v>
      </c>
      <c r="X115" s="102" t="s">
        <v>5920</v>
      </c>
      <c r="Y115" s="102"/>
      <c r="Z115" s="102"/>
      <c r="AA115" s="230"/>
      <c r="AB115" s="230"/>
      <c r="AC115" s="102"/>
    </row>
    <row r="116">
      <c r="A116" s="102" t="s">
        <v>630</v>
      </c>
      <c r="B116" s="102" t="s">
        <v>1357</v>
      </c>
      <c r="C116" s="229" t="s">
        <v>1358</v>
      </c>
      <c r="D116" s="102" t="s">
        <v>1359</v>
      </c>
      <c r="E116" s="102"/>
      <c r="F116" s="102"/>
      <c r="G116" s="102" t="s">
        <v>314</v>
      </c>
      <c r="H116" s="102" t="s">
        <v>315</v>
      </c>
      <c r="I116" s="102" t="s">
        <v>284</v>
      </c>
      <c r="J116" s="102" t="s">
        <v>63</v>
      </c>
      <c r="L116" s="229" t="s">
        <v>1360</v>
      </c>
      <c r="M116" s="229" t="s">
        <v>8966</v>
      </c>
      <c r="O116" s="102"/>
      <c r="P116" s="102"/>
      <c r="R116" s="230"/>
      <c r="S116" s="230"/>
      <c r="T116" s="230" t="str">
        <f>IF(ISNUMBER(MATCH(B116, 'Sprint 8'!B:B, 0)), "มาจาก Sprint 8", "")</f>
        <v>มาจาก Sprint 8</v>
      </c>
      <c r="U116" s="230" t="str">
        <f t="array" ref="U116">IF(ISNUMBER(MATCH(B116, 'Sprint 8'!B:B, 0)), INDEX('Sprint 8'!J:J, MATCH(B116, 'Sprint 8'!B:B, 0)), "")</f>
        <v>To Do</v>
      </c>
      <c r="W116" s="102" t="s">
        <v>1362</v>
      </c>
      <c r="X116" s="102" t="s">
        <v>1363</v>
      </c>
      <c r="Y116" s="102"/>
      <c r="Z116" s="102"/>
      <c r="AA116" s="230"/>
      <c r="AB116" s="230"/>
      <c r="AC116" s="102"/>
      <c r="AD116" s="102"/>
      <c r="AE116" s="102"/>
    </row>
    <row r="117">
      <c r="A117" s="102" t="s">
        <v>276</v>
      </c>
      <c r="B117" s="102" t="s">
        <v>8967</v>
      </c>
      <c r="C117" s="229" t="s">
        <v>8968</v>
      </c>
      <c r="D117" s="102" t="s">
        <v>347</v>
      </c>
      <c r="E117" s="102" t="s">
        <v>280</v>
      </c>
      <c r="F117" s="102" t="s">
        <v>281</v>
      </c>
      <c r="G117" s="102" t="s">
        <v>391</v>
      </c>
      <c r="H117" s="102" t="s">
        <v>392</v>
      </c>
      <c r="I117" s="102" t="s">
        <v>284</v>
      </c>
      <c r="J117" s="102" t="s">
        <v>26</v>
      </c>
      <c r="L117" s="229" t="s">
        <v>8969</v>
      </c>
      <c r="M117" s="229" t="s">
        <v>8970</v>
      </c>
      <c r="O117" s="102"/>
      <c r="R117" s="230"/>
      <c r="S117" s="230"/>
      <c r="T117" s="230" t="str">
        <f>IF(ISNUMBER(MATCH(B117, 'Sprint 8'!B:B, 0)), "มาจาก Sprint 8", "")</f>
        <v>มาจาก Sprint 8</v>
      </c>
      <c r="U117" s="230" t="str">
        <f t="array" ref="U117">IF(ISNUMBER(MATCH(B117, 'Sprint 8'!B:B, 0)), INDEX('Sprint 8'!J:J, MATCH(B117, 'Sprint 8'!B:B, 0)), "")</f>
        <v>To Do</v>
      </c>
      <c r="W117" s="102" t="s">
        <v>1362</v>
      </c>
      <c r="X117" s="102" t="s">
        <v>1363</v>
      </c>
      <c r="Y117" s="102"/>
      <c r="Z117" s="102"/>
      <c r="AA117" s="230"/>
      <c r="AB117" s="230"/>
      <c r="AC117" s="102"/>
    </row>
    <row r="118">
      <c r="A118" s="102" t="s">
        <v>276</v>
      </c>
      <c r="B118" s="102" t="s">
        <v>8971</v>
      </c>
      <c r="C118" s="229" t="s">
        <v>8972</v>
      </c>
      <c r="D118" s="102" t="s">
        <v>347</v>
      </c>
      <c r="E118" s="102" t="s">
        <v>280</v>
      </c>
      <c r="F118" s="102" t="s">
        <v>281</v>
      </c>
      <c r="G118" s="102" t="s">
        <v>391</v>
      </c>
      <c r="H118" s="102" t="s">
        <v>392</v>
      </c>
      <c r="I118" s="102" t="s">
        <v>284</v>
      </c>
      <c r="J118" s="102" t="s">
        <v>26</v>
      </c>
      <c r="L118" s="229" t="s">
        <v>8969</v>
      </c>
      <c r="M118" s="229" t="s">
        <v>8970</v>
      </c>
      <c r="O118" s="102"/>
      <c r="P118" s="102"/>
      <c r="R118" s="230"/>
      <c r="S118" s="230"/>
      <c r="T118" s="230" t="str">
        <f>IF(ISNUMBER(MATCH(B118, 'Sprint 8'!B:B, 0)), "มาจาก Sprint 8", "")</f>
        <v>มาจาก Sprint 8</v>
      </c>
      <c r="U118" s="230" t="str">
        <f t="array" ref="U118">IF(ISNUMBER(MATCH(B118, 'Sprint 8'!B:B, 0)), INDEX('Sprint 8'!J:J, MATCH(B118, 'Sprint 8'!B:B, 0)), "")</f>
        <v>To Do</v>
      </c>
      <c r="W118" s="102" t="s">
        <v>1362</v>
      </c>
      <c r="X118" s="102" t="s">
        <v>1363</v>
      </c>
      <c r="Y118" s="102"/>
      <c r="Z118" s="102"/>
      <c r="AA118" s="230"/>
      <c r="AB118" s="102"/>
      <c r="AC118" s="102"/>
    </row>
    <row r="119">
      <c r="A119" s="102" t="s">
        <v>276</v>
      </c>
      <c r="B119" s="102" t="s">
        <v>8973</v>
      </c>
      <c r="C119" s="229" t="s">
        <v>8974</v>
      </c>
      <c r="D119" s="102" t="s">
        <v>347</v>
      </c>
      <c r="E119" s="102" t="s">
        <v>280</v>
      </c>
      <c r="F119" s="102" t="s">
        <v>281</v>
      </c>
      <c r="G119" s="102" t="s">
        <v>391</v>
      </c>
      <c r="H119" s="102" t="s">
        <v>392</v>
      </c>
      <c r="I119" s="102" t="s">
        <v>284</v>
      </c>
      <c r="J119" s="102" t="s">
        <v>26</v>
      </c>
      <c r="L119" s="229" t="s">
        <v>8969</v>
      </c>
      <c r="M119" s="229" t="s">
        <v>8970</v>
      </c>
      <c r="N119" s="102"/>
      <c r="O119" s="102"/>
      <c r="P119" s="102"/>
      <c r="R119" s="230"/>
      <c r="S119" s="230"/>
      <c r="T119" s="230" t="str">
        <f>IF(ISNUMBER(MATCH(B119, 'Sprint 8'!B:B, 0)), "มาจาก Sprint 8", "")</f>
        <v>มาจาก Sprint 8</v>
      </c>
      <c r="U119" s="230" t="str">
        <f t="array" ref="U119">IF(ISNUMBER(MATCH(B119, 'Sprint 8'!B:B, 0)), INDEX('Sprint 8'!J:J, MATCH(B119, 'Sprint 8'!B:B, 0)), "")</f>
        <v>To Do</v>
      </c>
      <c r="W119" s="102" t="s">
        <v>1362</v>
      </c>
      <c r="X119" s="102" t="s">
        <v>1363</v>
      </c>
      <c r="Y119" s="102"/>
      <c r="Z119" s="102"/>
      <c r="AA119" s="230"/>
      <c r="AB119" s="102"/>
      <c r="AC119" s="102"/>
      <c r="AD119" s="102"/>
      <c r="AE119" s="102"/>
    </row>
    <row r="120">
      <c r="A120" s="102" t="s">
        <v>276</v>
      </c>
      <c r="B120" s="102" t="s">
        <v>8502</v>
      </c>
      <c r="C120" s="229" t="s">
        <v>8503</v>
      </c>
      <c r="D120" s="102" t="s">
        <v>4345</v>
      </c>
      <c r="E120" s="102" t="s">
        <v>3288</v>
      </c>
      <c r="F120" s="102" t="s">
        <v>3289</v>
      </c>
      <c r="G120" s="102" t="s">
        <v>391</v>
      </c>
      <c r="H120" s="102" t="s">
        <v>392</v>
      </c>
      <c r="I120" s="102" t="s">
        <v>284</v>
      </c>
      <c r="J120" s="102" t="s">
        <v>26</v>
      </c>
      <c r="L120" s="229" t="s">
        <v>8504</v>
      </c>
      <c r="M120" s="229" t="s">
        <v>8505</v>
      </c>
      <c r="N120" s="102"/>
      <c r="O120" s="102"/>
      <c r="P120" s="102"/>
      <c r="R120" s="230"/>
      <c r="S120" s="230"/>
      <c r="T120" s="230" t="str">
        <f>IF(ISNUMBER(MATCH(B120, 'Sprint 8'!B:B, 0)), "มาจาก Sprint 8", "")</f>
        <v>มาจาก Sprint 8</v>
      </c>
      <c r="U120" s="230" t="str">
        <f t="array" ref="U120">IF(ISNUMBER(MATCH(B120, 'Sprint 8'!B:B, 0)), INDEX('Sprint 8'!J:J, MATCH(B120, 'Sprint 8'!B:B, 0)), "")</f>
        <v>In Progress</v>
      </c>
      <c r="W120" s="102" t="s">
        <v>5919</v>
      </c>
      <c r="X120" s="102" t="s">
        <v>5920</v>
      </c>
      <c r="Y120" s="102"/>
      <c r="Z120" s="102"/>
      <c r="AA120" s="230"/>
      <c r="AB120" s="102"/>
      <c r="AC120" s="102"/>
    </row>
    <row r="121">
      <c r="A121" s="102" t="s">
        <v>276</v>
      </c>
      <c r="B121" s="102" t="s">
        <v>8506</v>
      </c>
      <c r="C121" s="229" t="s">
        <v>8507</v>
      </c>
      <c r="D121" s="102" t="s">
        <v>8508</v>
      </c>
      <c r="E121" s="102" t="s">
        <v>3288</v>
      </c>
      <c r="F121" s="102" t="s">
        <v>3289</v>
      </c>
      <c r="G121" s="102" t="s">
        <v>391</v>
      </c>
      <c r="H121" s="102" t="s">
        <v>392</v>
      </c>
      <c r="I121" s="102" t="s">
        <v>284</v>
      </c>
      <c r="J121" s="102" t="s">
        <v>26</v>
      </c>
      <c r="L121" s="229" t="s">
        <v>8504</v>
      </c>
      <c r="M121" s="229" t="s">
        <v>8509</v>
      </c>
      <c r="N121" s="102"/>
      <c r="O121" s="102"/>
      <c r="P121" s="102"/>
      <c r="R121" s="230"/>
      <c r="S121" s="230"/>
      <c r="T121" s="230" t="str">
        <f>IF(ISNUMBER(MATCH(B121, 'Sprint 8'!B:B, 0)), "มาจาก Sprint 8", "")</f>
        <v>มาจาก Sprint 8</v>
      </c>
      <c r="U121" s="230" t="str">
        <f t="array" ref="U121">IF(ISNUMBER(MATCH(B121, 'Sprint 8'!B:B, 0)), INDEX('Sprint 8'!J:J, MATCH(B121, 'Sprint 8'!B:B, 0)), "")</f>
        <v>In Progress</v>
      </c>
      <c r="W121" s="102" t="s">
        <v>5919</v>
      </c>
      <c r="X121" s="102" t="s">
        <v>5920</v>
      </c>
      <c r="Y121" s="102"/>
      <c r="Z121" s="102"/>
      <c r="AA121" s="230"/>
      <c r="AB121" s="102"/>
      <c r="AC121" s="102"/>
    </row>
    <row r="122">
      <c r="A122" s="102" t="s">
        <v>276</v>
      </c>
      <c r="B122" s="102" t="s">
        <v>8975</v>
      </c>
      <c r="C122" s="229" t="s">
        <v>8976</v>
      </c>
      <c r="D122" s="102" t="s">
        <v>4345</v>
      </c>
      <c r="E122" s="102" t="s">
        <v>3288</v>
      </c>
      <c r="F122" s="102" t="s">
        <v>3289</v>
      </c>
      <c r="G122" s="102" t="s">
        <v>391</v>
      </c>
      <c r="H122" s="102" t="s">
        <v>392</v>
      </c>
      <c r="I122" s="102" t="s">
        <v>284</v>
      </c>
      <c r="J122" s="102" t="s">
        <v>26</v>
      </c>
      <c r="L122" s="229" t="s">
        <v>8504</v>
      </c>
      <c r="M122" s="229" t="s">
        <v>8977</v>
      </c>
      <c r="N122" s="102"/>
      <c r="O122" s="102"/>
      <c r="P122" s="102"/>
      <c r="R122" s="230"/>
      <c r="S122" s="230"/>
      <c r="T122" s="230" t="str">
        <f>IF(ISNUMBER(MATCH(B122, 'Sprint 8'!B:B, 0)), "มาจาก Sprint 8", "")</f>
        <v>มาจาก Sprint 8</v>
      </c>
      <c r="U122" s="230" t="str">
        <f t="array" ref="U122">IF(ISNUMBER(MATCH(B122, 'Sprint 8'!B:B, 0)), INDEX('Sprint 8'!J:J, MATCH(B122, 'Sprint 8'!B:B, 0)), "")</f>
        <v>Done</v>
      </c>
      <c r="W122" s="102" t="s">
        <v>5919</v>
      </c>
      <c r="X122" s="102" t="s">
        <v>5920</v>
      </c>
      <c r="Y122" s="102"/>
      <c r="Z122" s="102"/>
      <c r="AA122" s="230"/>
      <c r="AB122" s="102"/>
      <c r="AC122" s="102"/>
    </row>
    <row r="123">
      <c r="A123" s="102" t="s">
        <v>276</v>
      </c>
      <c r="B123" s="102" t="s">
        <v>8510</v>
      </c>
      <c r="C123" s="229" t="s">
        <v>8511</v>
      </c>
      <c r="D123" s="102" t="s">
        <v>4345</v>
      </c>
      <c r="E123" s="102" t="s">
        <v>3288</v>
      </c>
      <c r="F123" s="102" t="s">
        <v>3289</v>
      </c>
      <c r="G123" s="102" t="s">
        <v>391</v>
      </c>
      <c r="H123" s="102" t="s">
        <v>392</v>
      </c>
      <c r="I123" s="102" t="s">
        <v>284</v>
      </c>
      <c r="J123" s="102" t="s">
        <v>26</v>
      </c>
      <c r="L123" s="229" t="s">
        <v>8512</v>
      </c>
      <c r="M123" s="229" t="s">
        <v>8513</v>
      </c>
      <c r="N123" s="102"/>
      <c r="O123" s="102"/>
      <c r="P123" s="102"/>
      <c r="R123" s="230"/>
      <c r="S123" s="230"/>
      <c r="T123" s="230" t="str">
        <f>IF(ISNUMBER(MATCH(B123, 'Sprint 8'!B:B, 0)), "มาจาก Sprint 8", "")</f>
        <v>มาจาก Sprint 8</v>
      </c>
      <c r="U123" s="230" t="str">
        <f t="array" ref="U123">IF(ISNUMBER(MATCH(B123, 'Sprint 8'!B:B, 0)), INDEX('Sprint 8'!J:J, MATCH(B123, 'Sprint 8'!B:B, 0)), "")</f>
        <v>In Progress</v>
      </c>
      <c r="W123" s="102" t="s">
        <v>5919</v>
      </c>
      <c r="X123" s="102" t="s">
        <v>5920</v>
      </c>
      <c r="Y123" s="102"/>
      <c r="Z123" s="102"/>
      <c r="AA123" s="230"/>
      <c r="AB123" s="102"/>
      <c r="AC123" s="102"/>
    </row>
    <row r="124">
      <c r="A124" s="102" t="s">
        <v>276</v>
      </c>
      <c r="B124" s="102" t="s">
        <v>8978</v>
      </c>
      <c r="C124" s="229" t="s">
        <v>8979</v>
      </c>
      <c r="D124" s="102" t="s">
        <v>4345</v>
      </c>
      <c r="E124" s="102" t="s">
        <v>3288</v>
      </c>
      <c r="F124" s="102" t="s">
        <v>3289</v>
      </c>
      <c r="G124" s="102" t="s">
        <v>391</v>
      </c>
      <c r="H124" s="102" t="s">
        <v>392</v>
      </c>
      <c r="I124" s="102" t="s">
        <v>284</v>
      </c>
      <c r="J124" s="102" t="s">
        <v>26</v>
      </c>
      <c r="L124" s="229" t="s">
        <v>8512</v>
      </c>
      <c r="M124" s="229" t="s">
        <v>8980</v>
      </c>
      <c r="N124" s="102"/>
      <c r="O124" s="102"/>
      <c r="P124" s="102"/>
      <c r="R124" s="230"/>
      <c r="S124" s="102"/>
      <c r="T124" s="230" t="str">
        <f>IF(ISNUMBER(MATCH(B124, 'Sprint 8'!B:B, 0)), "มาจาก Sprint 8", "")</f>
        <v>มาจาก Sprint 8</v>
      </c>
      <c r="U124" s="230" t="str">
        <f t="array" ref="U124">IF(ISNUMBER(MATCH(B124, 'Sprint 8'!B:B, 0)), INDEX('Sprint 8'!J:J, MATCH(B124, 'Sprint 8'!B:B, 0)), "")</f>
        <v>Done</v>
      </c>
      <c r="W124" s="102" t="s">
        <v>5919</v>
      </c>
      <c r="X124" s="102" t="s">
        <v>5920</v>
      </c>
      <c r="Y124" s="102"/>
      <c r="Z124" s="102"/>
      <c r="AA124" s="230"/>
      <c r="AB124" s="102"/>
      <c r="AC124" s="102"/>
    </row>
    <row r="125">
      <c r="A125" s="102" t="s">
        <v>276</v>
      </c>
      <c r="B125" s="102" t="s">
        <v>8514</v>
      </c>
      <c r="C125" s="229" t="s">
        <v>8515</v>
      </c>
      <c r="D125" s="102" t="s">
        <v>4345</v>
      </c>
      <c r="E125" s="102" t="s">
        <v>3288</v>
      </c>
      <c r="F125" s="102" t="s">
        <v>3289</v>
      </c>
      <c r="G125" s="102" t="s">
        <v>391</v>
      </c>
      <c r="H125" s="102" t="s">
        <v>392</v>
      </c>
      <c r="I125" s="102" t="s">
        <v>284</v>
      </c>
      <c r="J125" s="102" t="s">
        <v>26</v>
      </c>
      <c r="L125" s="229" t="s">
        <v>8516</v>
      </c>
      <c r="M125" s="229" t="s">
        <v>8517</v>
      </c>
      <c r="N125" s="102"/>
      <c r="O125" s="102"/>
      <c r="P125" s="102"/>
      <c r="R125" s="230"/>
      <c r="S125" s="102"/>
      <c r="T125" s="230" t="str">
        <f>IF(ISNUMBER(MATCH(B125, 'Sprint 8'!B:B, 0)), "มาจาก Sprint 8", "")</f>
        <v>มาจาก Sprint 8</v>
      </c>
      <c r="U125" s="230" t="str">
        <f t="array" ref="U125">IF(ISNUMBER(MATCH(B125, 'Sprint 8'!B:B, 0)), INDEX('Sprint 8'!J:J, MATCH(B125, 'Sprint 8'!B:B, 0)), "")</f>
        <v>To Do</v>
      </c>
      <c r="W125" s="102" t="s">
        <v>5944</v>
      </c>
      <c r="X125" s="102" t="s">
        <v>5919</v>
      </c>
      <c r="Y125" s="102" t="s">
        <v>5920</v>
      </c>
      <c r="Z125" s="102"/>
      <c r="AA125" s="230"/>
      <c r="AB125" s="102"/>
      <c r="AC125" s="102"/>
      <c r="AD125" s="102"/>
      <c r="AE125" s="102"/>
    </row>
    <row r="126">
      <c r="A126" s="102" t="s">
        <v>276</v>
      </c>
      <c r="B126" s="102" t="s">
        <v>8518</v>
      </c>
      <c r="C126" s="229" t="s">
        <v>8519</v>
      </c>
      <c r="D126" s="102" t="s">
        <v>4345</v>
      </c>
      <c r="E126" s="102" t="s">
        <v>3288</v>
      </c>
      <c r="F126" s="102" t="s">
        <v>3289</v>
      </c>
      <c r="G126" s="102" t="s">
        <v>391</v>
      </c>
      <c r="H126" s="102" t="s">
        <v>392</v>
      </c>
      <c r="I126" s="102" t="s">
        <v>284</v>
      </c>
      <c r="J126" s="102" t="s">
        <v>26</v>
      </c>
      <c r="L126" s="229" t="s">
        <v>8520</v>
      </c>
      <c r="M126" s="229" t="s">
        <v>8521</v>
      </c>
      <c r="N126" s="102"/>
      <c r="O126" s="102"/>
      <c r="P126" s="102"/>
      <c r="Q126" s="102"/>
      <c r="R126" s="230"/>
      <c r="S126" s="102"/>
      <c r="T126" s="230" t="str">
        <f>IF(ISNUMBER(MATCH(B126, 'Sprint 8'!B:B, 0)), "มาจาก Sprint 8", "")</f>
        <v>มาจาก Sprint 8</v>
      </c>
      <c r="U126" s="230" t="str">
        <f t="array" ref="U126">IF(ISNUMBER(MATCH(B126, 'Sprint 8'!B:B, 0)), INDEX('Sprint 8'!J:J, MATCH(B126, 'Sprint 8'!B:B, 0)), "")</f>
        <v>Done</v>
      </c>
      <c r="W126" s="102" t="s">
        <v>5944</v>
      </c>
      <c r="X126" s="102" t="s">
        <v>5919</v>
      </c>
      <c r="Y126" s="102" t="s">
        <v>5920</v>
      </c>
      <c r="Z126" s="102"/>
      <c r="AA126" s="230"/>
      <c r="AB126" s="102"/>
      <c r="AC126" s="102"/>
      <c r="AD126" s="102"/>
      <c r="AE126" s="102"/>
    </row>
    <row r="127">
      <c r="A127" s="102" t="s">
        <v>276</v>
      </c>
      <c r="B127" s="102" t="s">
        <v>8522</v>
      </c>
      <c r="C127" s="229" t="s">
        <v>8523</v>
      </c>
      <c r="D127" s="102" t="s">
        <v>4345</v>
      </c>
      <c r="E127" s="102" t="s">
        <v>3288</v>
      </c>
      <c r="F127" s="102" t="s">
        <v>3289</v>
      </c>
      <c r="G127" s="102" t="s">
        <v>391</v>
      </c>
      <c r="H127" s="102" t="s">
        <v>392</v>
      </c>
      <c r="I127" s="102" t="s">
        <v>284</v>
      </c>
      <c r="J127" s="102" t="s">
        <v>26</v>
      </c>
      <c r="L127" s="229" t="s">
        <v>8520</v>
      </c>
      <c r="M127" s="229" t="s">
        <v>8524</v>
      </c>
      <c r="N127" s="102"/>
      <c r="O127" s="102"/>
      <c r="P127" s="102"/>
      <c r="R127" s="230"/>
      <c r="S127" s="102"/>
      <c r="T127" s="230" t="str">
        <f>IF(ISNUMBER(MATCH(B127, 'Sprint 8'!B:B, 0)), "มาจาก Sprint 8", "")</f>
        <v>มาจาก Sprint 8</v>
      </c>
      <c r="U127" s="230" t="str">
        <f t="array" ref="U127">IF(ISNUMBER(MATCH(B127, 'Sprint 8'!B:B, 0)), INDEX('Sprint 8'!J:J, MATCH(B127, 'Sprint 8'!B:B, 0)), "")</f>
        <v>Done</v>
      </c>
      <c r="W127" s="102" t="s">
        <v>5944</v>
      </c>
      <c r="X127" s="102" t="s">
        <v>5919</v>
      </c>
      <c r="Y127" s="102" t="s">
        <v>5920</v>
      </c>
      <c r="Z127" s="102"/>
      <c r="AA127" s="230"/>
      <c r="AB127" s="102"/>
      <c r="AC127" s="102"/>
    </row>
    <row r="128">
      <c r="A128" s="102" t="s">
        <v>276</v>
      </c>
      <c r="B128" s="102" t="s">
        <v>8525</v>
      </c>
      <c r="C128" s="229" t="s">
        <v>8526</v>
      </c>
      <c r="D128" s="102" t="s">
        <v>4345</v>
      </c>
      <c r="E128" s="102" t="s">
        <v>3288</v>
      </c>
      <c r="F128" s="102" t="s">
        <v>3289</v>
      </c>
      <c r="G128" s="102" t="s">
        <v>391</v>
      </c>
      <c r="H128" s="102" t="s">
        <v>392</v>
      </c>
      <c r="I128" s="102" t="s">
        <v>284</v>
      </c>
      <c r="J128" s="102" t="s">
        <v>26</v>
      </c>
      <c r="L128" s="229" t="s">
        <v>8520</v>
      </c>
      <c r="M128" s="229" t="s">
        <v>8527</v>
      </c>
      <c r="N128" s="102"/>
      <c r="O128" s="102"/>
      <c r="P128" s="102"/>
      <c r="R128" s="230"/>
      <c r="S128" s="102"/>
      <c r="T128" s="230" t="str">
        <f>IF(ISNUMBER(MATCH(B128, 'Sprint 8'!B:B, 0)), "มาจาก Sprint 8", "")</f>
        <v>มาจาก Sprint 8</v>
      </c>
      <c r="U128" s="230" t="str">
        <f t="array" ref="U128">IF(ISNUMBER(MATCH(B128, 'Sprint 8'!B:B, 0)), INDEX('Sprint 8'!J:J, MATCH(B128, 'Sprint 8'!B:B, 0)), "")</f>
        <v>Done</v>
      </c>
      <c r="W128" s="102" t="s">
        <v>5944</v>
      </c>
      <c r="X128" s="102" t="s">
        <v>5919</v>
      </c>
      <c r="Y128" s="102" t="s">
        <v>5920</v>
      </c>
      <c r="Z128" s="102"/>
      <c r="AA128" s="230"/>
      <c r="AB128" s="230"/>
      <c r="AC128" s="102"/>
      <c r="AD128" s="102"/>
      <c r="AE128" s="102"/>
    </row>
    <row r="129">
      <c r="A129" s="102" t="s">
        <v>276</v>
      </c>
      <c r="B129" s="102" t="s">
        <v>8528</v>
      </c>
      <c r="C129" s="229" t="s">
        <v>8529</v>
      </c>
      <c r="D129" s="102" t="s">
        <v>4345</v>
      </c>
      <c r="E129" s="102" t="s">
        <v>3288</v>
      </c>
      <c r="F129" s="102" t="s">
        <v>3289</v>
      </c>
      <c r="G129" s="102" t="s">
        <v>391</v>
      </c>
      <c r="H129" s="102" t="s">
        <v>392</v>
      </c>
      <c r="I129" s="102" t="s">
        <v>284</v>
      </c>
      <c r="J129" s="102" t="s">
        <v>26</v>
      </c>
      <c r="L129" s="229" t="s">
        <v>8520</v>
      </c>
      <c r="M129" s="229" t="s">
        <v>8530</v>
      </c>
      <c r="N129" s="102"/>
      <c r="O129" s="102"/>
      <c r="P129" s="102"/>
      <c r="Q129" s="102"/>
      <c r="R129" s="230"/>
      <c r="S129" s="230"/>
      <c r="T129" s="230" t="str">
        <f>IF(ISNUMBER(MATCH(B129, 'Sprint 8'!B:B, 0)), "มาจาก Sprint 8", "")</f>
        <v>มาจาก Sprint 8</v>
      </c>
      <c r="U129" s="230" t="str">
        <f t="array" ref="U129">IF(ISNUMBER(MATCH(B129, 'Sprint 8'!B:B, 0)), INDEX('Sprint 8'!J:J, MATCH(B129, 'Sprint 8'!B:B, 0)), "")</f>
        <v>Done</v>
      </c>
      <c r="W129" s="102" t="s">
        <v>5944</v>
      </c>
      <c r="X129" s="102" t="s">
        <v>5919</v>
      </c>
      <c r="Y129" s="102" t="s">
        <v>5920</v>
      </c>
      <c r="Z129" s="102"/>
      <c r="AA129" s="230"/>
      <c r="AB129" s="102"/>
      <c r="AC129" s="102"/>
      <c r="AD129" s="102"/>
      <c r="AE129" s="102"/>
    </row>
    <row r="130">
      <c r="A130" s="102" t="s">
        <v>276</v>
      </c>
      <c r="B130" s="102" t="s">
        <v>7614</v>
      </c>
      <c r="C130" s="229" t="s">
        <v>7615</v>
      </c>
      <c r="D130" s="102" t="s">
        <v>7616</v>
      </c>
      <c r="E130" s="102" t="s">
        <v>391</v>
      </c>
      <c r="F130" s="102" t="s">
        <v>392</v>
      </c>
      <c r="G130" s="102" t="s">
        <v>391</v>
      </c>
      <c r="H130" s="102" t="s">
        <v>392</v>
      </c>
      <c r="I130" s="102" t="s">
        <v>284</v>
      </c>
      <c r="J130" s="102" t="s">
        <v>34</v>
      </c>
      <c r="L130" s="229" t="s">
        <v>7617</v>
      </c>
      <c r="M130" s="229" t="s">
        <v>8006</v>
      </c>
      <c r="N130" s="102"/>
      <c r="O130" s="102"/>
      <c r="P130" s="102"/>
      <c r="R130" s="230"/>
      <c r="S130" s="230"/>
      <c r="T130" s="230" t="str">
        <f>IF(ISNUMBER(MATCH(B130, 'Sprint 8'!B:B, 0)), "มาจาก Sprint 8", "")</f>
        <v>มาจาก Sprint 8</v>
      </c>
      <c r="U130" s="230" t="str">
        <f t="array" ref="U130">IF(ISNUMBER(MATCH(B130, 'Sprint 8'!B:B, 0)), INDEX('Sprint 8'!J:J, MATCH(B130, 'Sprint 8'!B:B, 0)), "")</f>
        <v>In Progress</v>
      </c>
      <c r="W130" s="102" t="s">
        <v>5944</v>
      </c>
      <c r="X130" s="102" t="s">
        <v>5919</v>
      </c>
      <c r="Y130" s="102" t="s">
        <v>5920</v>
      </c>
      <c r="Z130" s="102"/>
      <c r="AA130" s="230"/>
      <c r="AB130" s="102"/>
      <c r="AC130" s="102"/>
      <c r="AD130" s="102"/>
    </row>
    <row r="131">
      <c r="A131" s="102" t="s">
        <v>276</v>
      </c>
      <c r="B131" s="102" t="s">
        <v>8531</v>
      </c>
      <c r="C131" s="229" t="s">
        <v>8532</v>
      </c>
      <c r="D131" s="102" t="s">
        <v>4345</v>
      </c>
      <c r="E131" s="102" t="s">
        <v>3288</v>
      </c>
      <c r="F131" s="102" t="s">
        <v>3289</v>
      </c>
      <c r="G131" s="102" t="s">
        <v>391</v>
      </c>
      <c r="H131" s="102" t="s">
        <v>392</v>
      </c>
      <c r="I131" s="102" t="s">
        <v>284</v>
      </c>
      <c r="J131" s="102" t="s">
        <v>26</v>
      </c>
      <c r="L131" s="229" t="s">
        <v>8533</v>
      </c>
      <c r="M131" s="229" t="s">
        <v>8534</v>
      </c>
      <c r="O131" s="102"/>
      <c r="P131" s="102"/>
      <c r="R131" s="230"/>
      <c r="S131" s="102"/>
      <c r="T131" s="230" t="str">
        <f>IF(ISNUMBER(MATCH(B131, 'Sprint 8'!B:B, 0)), "มาจาก Sprint 8", "")</f>
        <v>มาจาก Sprint 8</v>
      </c>
      <c r="U131" s="230" t="str">
        <f t="array" ref="U131">IF(ISNUMBER(MATCH(B131, 'Sprint 8'!B:B, 0)), INDEX('Sprint 8'!J:J, MATCH(B131, 'Sprint 8'!B:B, 0)), "")</f>
        <v>To Do</v>
      </c>
      <c r="W131" s="102" t="s">
        <v>8981</v>
      </c>
      <c r="X131" s="102" t="s">
        <v>8237</v>
      </c>
      <c r="Y131" s="102"/>
      <c r="Z131" s="102"/>
      <c r="AA131" s="230"/>
      <c r="AB131" s="230"/>
      <c r="AC131" s="102"/>
      <c r="AD131" s="102"/>
      <c r="AE131" s="102"/>
    </row>
    <row r="132">
      <c r="A132" s="102" t="s">
        <v>276</v>
      </c>
      <c r="B132" s="102" t="s">
        <v>8535</v>
      </c>
      <c r="C132" s="229" t="s">
        <v>8536</v>
      </c>
      <c r="D132" s="102" t="s">
        <v>5650</v>
      </c>
      <c r="E132" s="102" t="s">
        <v>3288</v>
      </c>
      <c r="F132" s="102" t="s">
        <v>3289</v>
      </c>
      <c r="G132" s="102" t="s">
        <v>391</v>
      </c>
      <c r="H132" s="102" t="s">
        <v>392</v>
      </c>
      <c r="I132" s="102" t="s">
        <v>284</v>
      </c>
      <c r="J132" s="102" t="s">
        <v>26</v>
      </c>
      <c r="L132" s="229" t="s">
        <v>8537</v>
      </c>
      <c r="M132" s="229" t="s">
        <v>8534</v>
      </c>
      <c r="N132" s="102"/>
      <c r="O132" s="102"/>
      <c r="P132" s="102"/>
      <c r="Q132" s="102"/>
      <c r="R132" s="230"/>
      <c r="S132" s="102"/>
      <c r="T132" s="230" t="str">
        <f>IF(ISNUMBER(MATCH(B132, 'Sprint 8'!B:B, 0)), "มาจาก Sprint 8", "")</f>
        <v>มาจาก Sprint 8</v>
      </c>
      <c r="U132" s="230" t="str">
        <f t="array" ref="U132">IF(ISNUMBER(MATCH(B132, 'Sprint 8'!B:B, 0)), INDEX('Sprint 8'!J:J, MATCH(B132, 'Sprint 8'!B:B, 0)), "")</f>
        <v>Done</v>
      </c>
      <c r="W132" s="102" t="s">
        <v>8981</v>
      </c>
      <c r="X132" s="102" t="s">
        <v>8237</v>
      </c>
      <c r="Y132" s="102"/>
      <c r="Z132" s="102"/>
      <c r="AA132" s="230"/>
      <c r="AB132" s="102"/>
      <c r="AC132" s="102"/>
      <c r="AD132" s="102"/>
      <c r="AE132" s="102"/>
    </row>
    <row r="133">
      <c r="A133" s="102" t="s">
        <v>310</v>
      </c>
      <c r="B133" s="102" t="s">
        <v>5921</v>
      </c>
      <c r="C133" s="229" t="s">
        <v>5922</v>
      </c>
      <c r="D133" s="102" t="s">
        <v>5923</v>
      </c>
      <c r="E133" s="102" t="s">
        <v>556</v>
      </c>
      <c r="F133" s="102" t="s">
        <v>557</v>
      </c>
      <c r="G133" s="102" t="s">
        <v>353</v>
      </c>
      <c r="H133" s="102" t="s">
        <v>354</v>
      </c>
      <c r="I133" s="102" t="s">
        <v>284</v>
      </c>
      <c r="J133" s="102" t="s">
        <v>2509</v>
      </c>
      <c r="L133" s="229" t="s">
        <v>5924</v>
      </c>
      <c r="M133" s="229" t="s">
        <v>8954</v>
      </c>
      <c r="N133" s="229" t="s">
        <v>5925</v>
      </c>
      <c r="O133" s="102">
        <v>1.0</v>
      </c>
      <c r="P133" s="102"/>
      <c r="R133" s="230"/>
      <c r="S133" s="102"/>
      <c r="T133" s="230" t="str">
        <f>IF(ISNUMBER(MATCH(B133, 'Sprint 8'!B:B, 0)), "มาจาก Sprint 8", "")</f>
        <v>มาจาก Sprint 8</v>
      </c>
      <c r="U133" s="230" t="str">
        <f t="array" ref="U133">IF(ISNUMBER(MATCH(B133, 'Sprint 8'!B:B, 0)), INDEX('Sprint 8'!J:J, MATCH(B133, 'Sprint 8'!B:B, 0)), "")</f>
        <v>Blocked</v>
      </c>
      <c r="W133" s="102" t="s">
        <v>5919</v>
      </c>
      <c r="X133" s="102" t="s">
        <v>5920</v>
      </c>
      <c r="Y133" s="102"/>
      <c r="Z133" s="102"/>
      <c r="AA133" s="102"/>
      <c r="AB133" s="102"/>
      <c r="AC133" s="102"/>
      <c r="AD133" s="102"/>
    </row>
    <row r="134">
      <c r="A134" s="102" t="s">
        <v>310</v>
      </c>
      <c r="B134" s="102" t="s">
        <v>5926</v>
      </c>
      <c r="C134" s="229" t="s">
        <v>5927</v>
      </c>
      <c r="D134" s="102" t="s">
        <v>5928</v>
      </c>
      <c r="E134" s="102" t="s">
        <v>564</v>
      </c>
      <c r="F134" s="102" t="s">
        <v>565</v>
      </c>
      <c r="G134" s="102" t="s">
        <v>353</v>
      </c>
      <c r="H134" s="102" t="s">
        <v>354</v>
      </c>
      <c r="I134" s="102" t="s">
        <v>515</v>
      </c>
      <c r="J134" s="102" t="s">
        <v>454</v>
      </c>
      <c r="L134" s="229" t="s">
        <v>5929</v>
      </c>
      <c r="M134" s="229" t="s">
        <v>8954</v>
      </c>
      <c r="N134" s="229" t="s">
        <v>5925</v>
      </c>
      <c r="O134" s="102">
        <v>3.0</v>
      </c>
      <c r="P134" s="102"/>
      <c r="R134" s="230"/>
      <c r="S134" s="102">
        <v>0.0</v>
      </c>
      <c r="T134" s="230" t="str">
        <f>IF(ISNUMBER(MATCH(B134, 'Sprint 8'!B:B, 0)), "มาจาก Sprint 8", "")</f>
        <v>มาจาก Sprint 8</v>
      </c>
      <c r="U134" s="230" t="str">
        <f t="array" ref="U134">IF(ISNUMBER(MATCH(B134, 'Sprint 8'!B:B, 0)), INDEX('Sprint 8'!J:J, MATCH(B134, 'Sprint 8'!B:B, 0)), "")</f>
        <v>Ready To Test</v>
      </c>
      <c r="V134" s="102">
        <v>28800.0</v>
      </c>
      <c r="W134" s="102" t="s">
        <v>5919</v>
      </c>
      <c r="X134" s="102" t="s">
        <v>5920</v>
      </c>
      <c r="Y134" s="102"/>
      <c r="Z134" s="102"/>
      <c r="AA134" s="102"/>
      <c r="AB134" s="102"/>
      <c r="AC134" s="102"/>
    </row>
    <row r="135">
      <c r="A135" s="102" t="s">
        <v>310</v>
      </c>
      <c r="B135" s="102" t="s">
        <v>7618</v>
      </c>
      <c r="C135" s="229" t="s">
        <v>7619</v>
      </c>
      <c r="D135" s="102" t="s">
        <v>7620</v>
      </c>
      <c r="E135" s="102" t="s">
        <v>513</v>
      </c>
      <c r="F135" s="102" t="s">
        <v>514</v>
      </c>
      <c r="G135" s="102" t="s">
        <v>353</v>
      </c>
      <c r="H135" s="102" t="s">
        <v>354</v>
      </c>
      <c r="I135" s="102" t="s">
        <v>515</v>
      </c>
      <c r="J135" s="102" t="s">
        <v>454</v>
      </c>
      <c r="L135" s="229" t="s">
        <v>5929</v>
      </c>
      <c r="M135" s="229" t="s">
        <v>8954</v>
      </c>
      <c r="N135" s="229" t="s">
        <v>6456</v>
      </c>
      <c r="O135" s="102">
        <v>5.0</v>
      </c>
      <c r="P135" s="102"/>
      <c r="R135" s="230"/>
      <c r="S135" s="102">
        <v>0.0</v>
      </c>
      <c r="T135" s="230" t="str">
        <f>IF(ISNUMBER(MATCH(B135, 'Sprint 8'!B:B, 0)), "มาจาก Sprint 8", "")</f>
        <v>มาจาก Sprint 8</v>
      </c>
      <c r="U135" s="230" t="str">
        <f t="array" ref="U135">IF(ISNUMBER(MATCH(B135, 'Sprint 8'!B:B, 0)), INDEX('Sprint 8'!J:J, MATCH(B135, 'Sprint 8'!B:B, 0)), "")</f>
        <v>Ready To Test</v>
      </c>
      <c r="V135" s="102">
        <v>57600.0</v>
      </c>
      <c r="W135" s="102" t="s">
        <v>5919</v>
      </c>
      <c r="X135" s="102" t="s">
        <v>5920</v>
      </c>
      <c r="Y135" s="102"/>
      <c r="Z135" s="102"/>
      <c r="AA135" s="230"/>
      <c r="AB135" s="102"/>
      <c r="AC135" s="102"/>
    </row>
    <row r="136">
      <c r="A136" s="102" t="s">
        <v>310</v>
      </c>
      <c r="B136" s="102" t="s">
        <v>7622</v>
      </c>
      <c r="C136" s="229" t="s">
        <v>7623</v>
      </c>
      <c r="D136" s="102" t="s">
        <v>7624</v>
      </c>
      <c r="E136" s="102" t="s">
        <v>584</v>
      </c>
      <c r="F136" s="102" t="s">
        <v>585</v>
      </c>
      <c r="G136" s="102" t="s">
        <v>353</v>
      </c>
      <c r="H136" s="102" t="s">
        <v>354</v>
      </c>
      <c r="I136" s="102" t="s">
        <v>515</v>
      </c>
      <c r="J136" s="102" t="s">
        <v>454</v>
      </c>
      <c r="L136" s="229" t="s">
        <v>5929</v>
      </c>
      <c r="M136" s="229" t="s">
        <v>8954</v>
      </c>
      <c r="N136" s="229" t="s">
        <v>6456</v>
      </c>
      <c r="O136" s="102">
        <v>8.0</v>
      </c>
      <c r="P136" s="102"/>
      <c r="Q136" s="102"/>
      <c r="R136" s="230"/>
      <c r="S136" s="102">
        <v>0.0</v>
      </c>
      <c r="T136" s="230" t="str">
        <f>IF(ISNUMBER(MATCH(B136, 'Sprint 8'!B:B, 0)), "มาจาก Sprint 8", "")</f>
        <v>มาจาก Sprint 8</v>
      </c>
      <c r="U136" s="230" t="str">
        <f t="array" ref="U136">IF(ISNUMBER(MATCH(B136, 'Sprint 8'!B:B, 0)), INDEX('Sprint 8'!J:J, MATCH(B136, 'Sprint 8'!B:B, 0)), "")</f>
        <v>Ready To Test</v>
      </c>
      <c r="V136" s="102">
        <v>57600.0</v>
      </c>
      <c r="W136" s="102" t="s">
        <v>5919</v>
      </c>
      <c r="X136" s="102" t="s">
        <v>5920</v>
      </c>
      <c r="Y136" s="102"/>
      <c r="Z136" s="102"/>
      <c r="AA136" s="230"/>
      <c r="AB136" s="102"/>
      <c r="AC136" s="102"/>
    </row>
    <row r="137">
      <c r="A137" s="102" t="s">
        <v>310</v>
      </c>
      <c r="B137" s="102" t="s">
        <v>5930</v>
      </c>
      <c r="C137" s="229" t="s">
        <v>5931</v>
      </c>
      <c r="D137" s="102" t="s">
        <v>5932</v>
      </c>
      <c r="E137" s="102" t="s">
        <v>556</v>
      </c>
      <c r="F137" s="102" t="s">
        <v>557</v>
      </c>
      <c r="G137" s="102" t="s">
        <v>353</v>
      </c>
      <c r="H137" s="102" t="s">
        <v>354</v>
      </c>
      <c r="I137" s="102" t="s">
        <v>318</v>
      </c>
      <c r="J137" s="102" t="s">
        <v>454</v>
      </c>
      <c r="L137" s="229" t="s">
        <v>5933</v>
      </c>
      <c r="M137" s="229" t="s">
        <v>8954</v>
      </c>
      <c r="N137" s="229" t="s">
        <v>5934</v>
      </c>
      <c r="O137" s="102">
        <v>3.0</v>
      </c>
      <c r="P137" s="102" t="s">
        <v>5912</v>
      </c>
      <c r="R137" s="230"/>
      <c r="S137" s="102">
        <v>0.0</v>
      </c>
      <c r="T137" s="230" t="str">
        <f>IF(ISNUMBER(MATCH(B137, 'Sprint 8'!B:B, 0)), "มาจาก Sprint 8", "")</f>
        <v>มาจาก Sprint 8</v>
      </c>
      <c r="U137" s="230" t="str">
        <f t="array" ref="U137">IF(ISNUMBER(MATCH(B137, 'Sprint 8'!B:B, 0)), INDEX('Sprint 8'!J:J, MATCH(B137, 'Sprint 8'!B:B, 0)), "")</f>
        <v>Ready To Test</v>
      </c>
      <c r="V137" s="102">
        <v>28800.0</v>
      </c>
      <c r="W137" s="102" t="s">
        <v>5919</v>
      </c>
      <c r="X137" s="102" t="s">
        <v>5920</v>
      </c>
      <c r="Y137" s="102"/>
      <c r="Z137" s="102"/>
      <c r="AA137" s="230"/>
      <c r="AB137" s="102"/>
      <c r="AC137" s="102"/>
    </row>
    <row r="138">
      <c r="A138" s="102" t="s">
        <v>310</v>
      </c>
      <c r="B138" s="102" t="s">
        <v>8982</v>
      </c>
      <c r="C138" s="229" t="s">
        <v>8983</v>
      </c>
      <c r="D138" s="102" t="s">
        <v>8984</v>
      </c>
      <c r="E138" s="102" t="s">
        <v>556</v>
      </c>
      <c r="F138" s="102" t="s">
        <v>557</v>
      </c>
      <c r="G138" s="102" t="s">
        <v>282</v>
      </c>
      <c r="H138" s="102" t="s">
        <v>283</v>
      </c>
      <c r="I138" s="102" t="s">
        <v>284</v>
      </c>
      <c r="J138" s="102" t="s">
        <v>26</v>
      </c>
      <c r="L138" s="229" t="s">
        <v>8985</v>
      </c>
      <c r="M138" s="229" t="s">
        <v>8986</v>
      </c>
      <c r="N138" s="229" t="s">
        <v>8987</v>
      </c>
      <c r="O138" s="102">
        <v>3.0</v>
      </c>
      <c r="P138" s="102" t="s">
        <v>5547</v>
      </c>
      <c r="R138" s="230"/>
      <c r="S138" s="102">
        <v>0.0</v>
      </c>
      <c r="T138" s="230" t="str">
        <f>IF(ISNUMBER(MATCH(B138, 'Sprint 8'!B:B, 0)), "มาจาก Sprint 8", "")</f>
        <v>มาจาก Sprint 8</v>
      </c>
      <c r="U138" s="230" t="str">
        <f t="array" ref="U138">IF(ISNUMBER(MATCH(B138, 'Sprint 8'!B:B, 0)), INDEX('Sprint 8'!J:J, MATCH(B138, 'Sprint 8'!B:B, 0)), "")</f>
        <v>Ready To Test</v>
      </c>
      <c r="V138" s="102">
        <v>28800.0</v>
      </c>
      <c r="W138" s="102" t="s">
        <v>8806</v>
      </c>
      <c r="X138" s="102" t="s">
        <v>4960</v>
      </c>
      <c r="Y138" s="102"/>
      <c r="Z138" s="102"/>
      <c r="AA138" s="230"/>
      <c r="AB138" s="102"/>
      <c r="AC138" s="102"/>
    </row>
    <row r="139">
      <c r="A139" s="102" t="s">
        <v>310</v>
      </c>
      <c r="B139" s="102" t="s">
        <v>8008</v>
      </c>
      <c r="C139" s="229" t="s">
        <v>8009</v>
      </c>
      <c r="D139" s="102" t="s">
        <v>8010</v>
      </c>
      <c r="E139" s="102" t="s">
        <v>556</v>
      </c>
      <c r="F139" s="102" t="s">
        <v>557</v>
      </c>
      <c r="G139" s="102" t="s">
        <v>282</v>
      </c>
      <c r="H139" s="102" t="s">
        <v>283</v>
      </c>
      <c r="I139" s="102" t="s">
        <v>284</v>
      </c>
      <c r="J139" s="102" t="s">
        <v>454</v>
      </c>
      <c r="L139" s="229" t="s">
        <v>8011</v>
      </c>
      <c r="M139" s="229" t="s">
        <v>8954</v>
      </c>
      <c r="N139" s="229" t="s">
        <v>7606</v>
      </c>
      <c r="O139" s="102">
        <v>2.0</v>
      </c>
      <c r="P139" s="102" t="s">
        <v>504</v>
      </c>
      <c r="Q139" s="102" t="s">
        <v>5547</v>
      </c>
      <c r="R139" s="230"/>
      <c r="S139" s="102"/>
      <c r="T139" s="230" t="str">
        <f>IF(ISNUMBER(MATCH(B139, 'Sprint 8'!B:B, 0)), "มาจาก Sprint 8", "")</f>
        <v>มาจาก Sprint 8</v>
      </c>
      <c r="U139" s="230" t="str">
        <f t="array" ref="U139">IF(ISNUMBER(MATCH(B139, 'Sprint 8'!B:B, 0)), INDEX('Sprint 8'!J:J, MATCH(B139, 'Sprint 8'!B:B, 0)), "")</f>
        <v>Ready To Test</v>
      </c>
      <c r="W139" s="102" t="s">
        <v>5919</v>
      </c>
      <c r="X139" s="102" t="s">
        <v>5920</v>
      </c>
      <c r="Y139" s="102"/>
      <c r="Z139" s="102"/>
      <c r="AA139" s="230"/>
      <c r="AB139" s="102"/>
      <c r="AC139" s="102"/>
    </row>
    <row r="140">
      <c r="A140" s="102" t="s">
        <v>310</v>
      </c>
      <c r="B140" s="102" t="s">
        <v>8544</v>
      </c>
      <c r="C140" s="229" t="s">
        <v>8545</v>
      </c>
      <c r="D140" s="102" t="s">
        <v>8546</v>
      </c>
      <c r="E140" s="102" t="s">
        <v>304</v>
      </c>
      <c r="F140" s="102" t="s">
        <v>305</v>
      </c>
      <c r="G140" s="102" t="s">
        <v>314</v>
      </c>
      <c r="H140" s="102" t="s">
        <v>315</v>
      </c>
      <c r="I140" s="102" t="s">
        <v>284</v>
      </c>
      <c r="J140" s="102" t="s">
        <v>454</v>
      </c>
      <c r="L140" s="229" t="s">
        <v>8547</v>
      </c>
      <c r="M140" s="229" t="s">
        <v>8988</v>
      </c>
      <c r="N140" s="229" t="s">
        <v>7606</v>
      </c>
      <c r="O140" s="102">
        <v>3.0</v>
      </c>
      <c r="P140" s="102"/>
      <c r="R140" s="230"/>
      <c r="S140" s="102"/>
      <c r="T140" s="230" t="str">
        <f>IF(ISNUMBER(MATCH(B140, 'Sprint 8'!B:B, 0)), "มาจาก Sprint 8", "")</f>
        <v>มาจาก Sprint 8</v>
      </c>
      <c r="U140" s="230" t="str">
        <f t="array" ref="U140">IF(ISNUMBER(MATCH(B140, 'Sprint 8'!B:B, 0)), INDEX('Sprint 8'!J:J, MATCH(B140, 'Sprint 8'!B:B, 0)), "")</f>
        <v>In Review</v>
      </c>
      <c r="W140" s="102" t="s">
        <v>1362</v>
      </c>
      <c r="X140" s="102" t="s">
        <v>1363</v>
      </c>
      <c r="Y140" s="102"/>
      <c r="Z140" s="102"/>
      <c r="AA140" s="230"/>
      <c r="AB140" s="102"/>
      <c r="AC140" s="102"/>
    </row>
    <row r="141">
      <c r="A141" s="102" t="s">
        <v>310</v>
      </c>
      <c r="B141" s="102" t="s">
        <v>8553</v>
      </c>
      <c r="C141" s="229" t="s">
        <v>8554</v>
      </c>
      <c r="D141" s="102" t="s">
        <v>8555</v>
      </c>
      <c r="E141" s="102" t="s">
        <v>495</v>
      </c>
      <c r="F141" s="102" t="s">
        <v>496</v>
      </c>
      <c r="G141" s="102" t="s">
        <v>314</v>
      </c>
      <c r="H141" s="102" t="s">
        <v>315</v>
      </c>
      <c r="I141" s="102" t="s">
        <v>284</v>
      </c>
      <c r="J141" s="102" t="s">
        <v>454</v>
      </c>
      <c r="L141" s="229" t="s">
        <v>8556</v>
      </c>
      <c r="M141" s="229" t="s">
        <v>8989</v>
      </c>
      <c r="O141" s="102">
        <v>1.0</v>
      </c>
      <c r="P141" s="102"/>
      <c r="R141" s="230"/>
      <c r="S141" s="102">
        <v>0.0</v>
      </c>
      <c r="T141" s="230" t="str">
        <f>IF(ISNUMBER(MATCH(B141, 'Sprint 8'!B:B, 0)), "มาจาก Sprint 8", "")</f>
        <v>มาจาก Sprint 8</v>
      </c>
      <c r="U141" s="230" t="str">
        <f t="array" ref="U141">IF(ISNUMBER(MATCH(B141, 'Sprint 8'!B:B, 0)), INDEX('Sprint 8'!J:J, MATCH(B141, 'Sprint 8'!B:B, 0)), "")</f>
        <v>Ready to Staging</v>
      </c>
      <c r="V141" s="102">
        <v>7200.0</v>
      </c>
      <c r="W141" s="102" t="s">
        <v>1362</v>
      </c>
      <c r="X141" s="102" t="s">
        <v>1363</v>
      </c>
      <c r="Y141" s="102"/>
      <c r="Z141" s="102"/>
      <c r="AA141" s="230"/>
      <c r="AB141" s="102"/>
      <c r="AC141" s="102"/>
      <c r="AD141" s="102"/>
    </row>
    <row r="142">
      <c r="A142" s="102" t="s">
        <v>310</v>
      </c>
      <c r="B142" s="102" t="s">
        <v>8558</v>
      </c>
      <c r="C142" s="229" t="s">
        <v>8559</v>
      </c>
      <c r="D142" s="102" t="s">
        <v>8560</v>
      </c>
      <c r="E142" s="102" t="s">
        <v>513</v>
      </c>
      <c r="F142" s="102" t="s">
        <v>514</v>
      </c>
      <c r="G142" s="102" t="s">
        <v>314</v>
      </c>
      <c r="H142" s="102" t="s">
        <v>315</v>
      </c>
      <c r="I142" s="102" t="s">
        <v>284</v>
      </c>
      <c r="J142" s="102" t="s">
        <v>454</v>
      </c>
      <c r="L142" s="229" t="s">
        <v>8561</v>
      </c>
      <c r="M142" s="229" t="s">
        <v>8954</v>
      </c>
      <c r="N142" s="229" t="s">
        <v>8563</v>
      </c>
      <c r="O142" s="102">
        <v>3.0</v>
      </c>
      <c r="P142" s="102"/>
      <c r="R142" s="102"/>
      <c r="S142" s="102">
        <v>0.0</v>
      </c>
      <c r="T142" s="230" t="str">
        <f>IF(ISNUMBER(MATCH(B142, 'Sprint 8'!B:B, 0)), "มาจาก Sprint 8", "")</f>
        <v>มาจาก Sprint 8</v>
      </c>
      <c r="U142" s="230" t="str">
        <f t="array" ref="U142">IF(ISNUMBER(MATCH(B142, 'Sprint 8'!B:B, 0)), INDEX('Sprint 8'!J:J, MATCH(B142, 'Sprint 8'!B:B, 0)), "")</f>
        <v>Ready To Test</v>
      </c>
      <c r="V142" s="102">
        <v>57600.0</v>
      </c>
      <c r="W142" s="102" t="s">
        <v>5919</v>
      </c>
      <c r="X142" s="102" t="s">
        <v>5920</v>
      </c>
      <c r="Y142" s="102"/>
      <c r="Z142" s="102"/>
      <c r="AA142" s="230"/>
      <c r="AB142" s="102"/>
      <c r="AC142" s="102"/>
    </row>
    <row r="143">
      <c r="A143" s="102" t="s">
        <v>310</v>
      </c>
      <c r="B143" s="102" t="s">
        <v>7630</v>
      </c>
      <c r="C143" s="229" t="s">
        <v>7631</v>
      </c>
      <c r="D143" s="102" t="s">
        <v>7632</v>
      </c>
      <c r="E143" s="102" t="s">
        <v>513</v>
      </c>
      <c r="F143" s="102" t="s">
        <v>514</v>
      </c>
      <c r="G143" s="102" t="s">
        <v>353</v>
      </c>
      <c r="H143" s="102" t="s">
        <v>354</v>
      </c>
      <c r="I143" s="102" t="s">
        <v>318</v>
      </c>
      <c r="J143" s="102" t="s">
        <v>454</v>
      </c>
      <c r="L143" s="229" t="s">
        <v>7633</v>
      </c>
      <c r="M143" s="229" t="s">
        <v>8954</v>
      </c>
      <c r="N143" s="102"/>
      <c r="O143" s="102">
        <v>1.0</v>
      </c>
      <c r="P143" s="102"/>
      <c r="R143" s="102"/>
      <c r="S143" s="102">
        <v>0.0</v>
      </c>
      <c r="T143" s="230" t="str">
        <f>IF(ISNUMBER(MATCH(B143, 'Sprint 8'!B:B, 0)), "มาจาก Sprint 8", "")</f>
        <v>มาจาก Sprint 8</v>
      </c>
      <c r="U143" s="230" t="str">
        <f t="array" ref="U143">IF(ISNUMBER(MATCH(B143, 'Sprint 8'!B:B, 0)), INDEX('Sprint 8'!J:J, MATCH(B143, 'Sprint 8'!B:B, 0)), "")</f>
        <v>Ready To Test</v>
      </c>
      <c r="V143" s="102">
        <v>7200.0</v>
      </c>
      <c r="W143" s="102" t="s">
        <v>5919</v>
      </c>
      <c r="X143" s="102" t="s">
        <v>5920</v>
      </c>
      <c r="Y143" s="102"/>
      <c r="Z143" s="102"/>
      <c r="AA143" s="230"/>
      <c r="AB143" s="102"/>
      <c r="AC143" s="102"/>
      <c r="AD143" s="102"/>
    </row>
    <row r="144">
      <c r="A144" s="102" t="s">
        <v>310</v>
      </c>
      <c r="B144" s="102" t="s">
        <v>6451</v>
      </c>
      <c r="C144" s="229" t="s">
        <v>6452</v>
      </c>
      <c r="D144" s="102" t="s">
        <v>6453</v>
      </c>
      <c r="E144" s="102" t="s">
        <v>556</v>
      </c>
      <c r="F144" s="102" t="s">
        <v>557</v>
      </c>
      <c r="G144" s="102" t="s">
        <v>353</v>
      </c>
      <c r="H144" s="102" t="s">
        <v>354</v>
      </c>
      <c r="I144" s="102" t="s">
        <v>515</v>
      </c>
      <c r="J144" s="102" t="s">
        <v>454</v>
      </c>
      <c r="L144" s="229" t="s">
        <v>6454</v>
      </c>
      <c r="M144" s="229" t="s">
        <v>8954</v>
      </c>
      <c r="N144" s="229" t="s">
        <v>6456</v>
      </c>
      <c r="O144" s="102">
        <v>5.0</v>
      </c>
      <c r="P144" s="102"/>
      <c r="R144" s="230"/>
      <c r="S144" s="102">
        <v>0.0</v>
      </c>
      <c r="T144" s="230" t="str">
        <f>IF(ISNUMBER(MATCH(B144, 'Sprint 8'!B:B, 0)), "มาจาก Sprint 8", "")</f>
        <v>มาจาก Sprint 8</v>
      </c>
      <c r="U144" s="230" t="str">
        <f t="array" ref="U144">IF(ISNUMBER(MATCH(B144, 'Sprint 8'!B:B, 0)), INDEX('Sprint 8'!J:J, MATCH(B144, 'Sprint 8'!B:B, 0)), "")</f>
        <v>Ready To Test</v>
      </c>
      <c r="V144" s="102">
        <v>57600.0</v>
      </c>
      <c r="W144" s="102" t="s">
        <v>5919</v>
      </c>
      <c r="X144" s="102" t="s">
        <v>5920</v>
      </c>
      <c r="Y144" s="102"/>
      <c r="Z144" s="230"/>
      <c r="AA144" s="230"/>
      <c r="AB144" s="230"/>
      <c r="AC144" s="102"/>
      <c r="AD144" s="102"/>
    </row>
    <row r="145">
      <c r="A145" s="102" t="s">
        <v>310</v>
      </c>
      <c r="B145" s="102" t="s">
        <v>6457</v>
      </c>
      <c r="C145" s="229" t="s">
        <v>6458</v>
      </c>
      <c r="D145" s="102" t="s">
        <v>6459</v>
      </c>
      <c r="E145" s="102" t="s">
        <v>564</v>
      </c>
      <c r="F145" s="102" t="s">
        <v>565</v>
      </c>
      <c r="G145" s="102" t="s">
        <v>353</v>
      </c>
      <c r="H145" s="102" t="s">
        <v>354</v>
      </c>
      <c r="I145" s="102" t="s">
        <v>515</v>
      </c>
      <c r="J145" s="102" t="s">
        <v>454</v>
      </c>
      <c r="L145" s="229" t="s">
        <v>6460</v>
      </c>
      <c r="M145" s="229" t="s">
        <v>8954</v>
      </c>
      <c r="N145" s="229" t="s">
        <v>6456</v>
      </c>
      <c r="O145" s="102">
        <v>2.0</v>
      </c>
      <c r="P145" s="102"/>
      <c r="Q145" s="102"/>
      <c r="R145" s="102"/>
      <c r="S145" s="102">
        <v>0.0</v>
      </c>
      <c r="T145" s="230" t="str">
        <f>IF(ISNUMBER(MATCH(B145, 'Sprint 8'!B:B, 0)), "มาจาก Sprint 8", "")</f>
        <v>มาจาก Sprint 8</v>
      </c>
      <c r="U145" s="230" t="str">
        <f t="array" ref="U145">IF(ISNUMBER(MATCH(B145, 'Sprint 8'!B:B, 0)), INDEX('Sprint 8'!J:J, MATCH(B145, 'Sprint 8'!B:B, 0)), "")</f>
        <v>Ready To Test</v>
      </c>
      <c r="V145" s="102">
        <v>7200.0</v>
      </c>
      <c r="W145" s="102" t="s">
        <v>5919</v>
      </c>
      <c r="X145" s="102" t="s">
        <v>5920</v>
      </c>
      <c r="Y145" s="102"/>
      <c r="Z145" s="102"/>
      <c r="AA145" s="230"/>
      <c r="AB145" s="230"/>
      <c r="AC145" s="102"/>
      <c r="AD145" s="102"/>
      <c r="AE145" s="102"/>
    </row>
    <row r="146">
      <c r="A146" s="102" t="s">
        <v>310</v>
      </c>
      <c r="B146" s="102" t="s">
        <v>8990</v>
      </c>
      <c r="C146" s="229" t="s">
        <v>8991</v>
      </c>
      <c r="D146" s="102" t="s">
        <v>8992</v>
      </c>
      <c r="E146" s="102" t="s">
        <v>513</v>
      </c>
      <c r="F146" s="102" t="s">
        <v>514</v>
      </c>
      <c r="G146" s="102" t="s">
        <v>314</v>
      </c>
      <c r="H146" s="102" t="s">
        <v>315</v>
      </c>
      <c r="I146" s="102" t="s">
        <v>284</v>
      </c>
      <c r="J146" s="102" t="s">
        <v>26</v>
      </c>
      <c r="L146" s="229" t="s">
        <v>8993</v>
      </c>
      <c r="M146" s="229" t="s">
        <v>8994</v>
      </c>
      <c r="N146" s="102"/>
      <c r="O146" s="102">
        <v>2.0</v>
      </c>
      <c r="P146" s="102" t="s">
        <v>593</v>
      </c>
      <c r="Q146" s="102" t="s">
        <v>8995</v>
      </c>
      <c r="R146" s="102"/>
      <c r="S146" s="102">
        <v>0.0</v>
      </c>
      <c r="T146" s="230" t="str">
        <f>IF(ISNUMBER(MATCH(B146, 'Sprint 8'!B:B, 0)), "มาจาก Sprint 8", "")</f>
        <v>มาจาก Sprint 8</v>
      </c>
      <c r="U146" s="230" t="str">
        <f t="array" ref="U146">IF(ISNUMBER(MATCH(B146, 'Sprint 8'!B:B, 0)), INDEX('Sprint 8'!J:J, MATCH(B146, 'Sprint 8'!B:B, 0)), "")</f>
        <v>Ready to Staging</v>
      </c>
      <c r="V146" s="102">
        <v>14400.0</v>
      </c>
      <c r="W146" s="102" t="s">
        <v>1362</v>
      </c>
      <c r="X146" s="102" t="s">
        <v>1363</v>
      </c>
      <c r="Y146" s="102"/>
      <c r="Z146" s="102"/>
      <c r="AA146" s="230"/>
      <c r="AB146" s="230"/>
      <c r="AC146" s="102"/>
      <c r="AD146" s="102"/>
    </row>
    <row r="147">
      <c r="A147" s="102" t="s">
        <v>310</v>
      </c>
      <c r="B147" s="102" t="s">
        <v>8564</v>
      </c>
      <c r="C147" s="229" t="s">
        <v>8565</v>
      </c>
      <c r="D147" s="102" t="s">
        <v>8566</v>
      </c>
      <c r="E147" s="102" t="s">
        <v>6860</v>
      </c>
      <c r="F147" s="102" t="s">
        <v>6861</v>
      </c>
      <c r="G147" s="102" t="s">
        <v>314</v>
      </c>
      <c r="H147" s="102" t="s">
        <v>315</v>
      </c>
      <c r="I147" s="102" t="s">
        <v>284</v>
      </c>
      <c r="J147" s="102" t="s">
        <v>454</v>
      </c>
      <c r="L147" s="229" t="s">
        <v>8567</v>
      </c>
      <c r="M147" s="229" t="s">
        <v>8996</v>
      </c>
      <c r="N147" s="102"/>
      <c r="O147" s="102">
        <v>5.0</v>
      </c>
      <c r="P147" s="102" t="s">
        <v>1305</v>
      </c>
      <c r="R147" s="102"/>
      <c r="S147" s="230"/>
      <c r="T147" s="230" t="str">
        <f>IF(ISNUMBER(MATCH(B147, 'Sprint 8'!B:B, 0)), "มาจาก Sprint 8", "")</f>
        <v>มาจาก Sprint 8</v>
      </c>
      <c r="U147" s="230" t="str">
        <f t="array" ref="U147">IF(ISNUMBER(MATCH(B147, 'Sprint 8'!B:B, 0)), INDEX('Sprint 8'!J:J, MATCH(B147, 'Sprint 8'!B:B, 0)), "")</f>
        <v>In Progress</v>
      </c>
      <c r="W147" s="102" t="s">
        <v>1362</v>
      </c>
      <c r="X147" s="102" t="s">
        <v>1363</v>
      </c>
      <c r="Y147" s="102"/>
      <c r="Z147" s="102"/>
      <c r="AA147" s="102"/>
      <c r="AB147" s="102"/>
      <c r="AC147" s="102"/>
      <c r="AD147" s="102"/>
    </row>
    <row r="148">
      <c r="A148" s="102" t="s">
        <v>310</v>
      </c>
      <c r="B148" s="102" t="s">
        <v>8997</v>
      </c>
      <c r="C148" s="229" t="s">
        <v>8998</v>
      </c>
      <c r="D148" s="102" t="s">
        <v>8999</v>
      </c>
      <c r="E148" s="102" t="s">
        <v>314</v>
      </c>
      <c r="F148" s="102" t="s">
        <v>315</v>
      </c>
      <c r="G148" s="102" t="s">
        <v>314</v>
      </c>
      <c r="H148" s="102" t="s">
        <v>315</v>
      </c>
      <c r="I148" s="102" t="s">
        <v>284</v>
      </c>
      <c r="J148" s="102" t="s">
        <v>34</v>
      </c>
      <c r="L148" s="229" t="s">
        <v>9000</v>
      </c>
      <c r="M148" s="229" t="s">
        <v>9001</v>
      </c>
      <c r="O148" s="102">
        <v>5.0</v>
      </c>
      <c r="P148" s="102" t="s">
        <v>651</v>
      </c>
      <c r="R148" s="230"/>
      <c r="S148" s="230"/>
      <c r="T148" s="230" t="str">
        <f>IF(ISNUMBER(MATCH(B148, 'Sprint 8'!B:B, 0)), "มาจาก Sprint 8", "")</f>
        <v>มาจาก Sprint 8</v>
      </c>
      <c r="U148" s="230" t="str">
        <f t="array" ref="U148">IF(ISNUMBER(MATCH(B148, 'Sprint 8'!B:B, 0)), INDEX('Sprint 8'!J:J, MATCH(B148, 'Sprint 8'!B:B, 0)), "")</f>
        <v>In Progress</v>
      </c>
      <c r="W148" s="102" t="s">
        <v>1362</v>
      </c>
      <c r="X148" s="102" t="s">
        <v>1363</v>
      </c>
      <c r="Y148" s="102"/>
      <c r="Z148" s="102"/>
      <c r="AA148" s="102"/>
      <c r="AB148" s="102"/>
      <c r="AC148" s="102"/>
      <c r="AD148" s="102"/>
      <c r="AE148" s="102"/>
    </row>
    <row r="149">
      <c r="A149" s="102" t="s">
        <v>310</v>
      </c>
      <c r="B149" s="102" t="s">
        <v>9002</v>
      </c>
      <c r="C149" s="229" t="s">
        <v>9003</v>
      </c>
      <c r="D149" s="102" t="s">
        <v>9004</v>
      </c>
      <c r="E149" s="102" t="s">
        <v>314</v>
      </c>
      <c r="F149" s="102" t="s">
        <v>315</v>
      </c>
      <c r="G149" s="102" t="s">
        <v>314</v>
      </c>
      <c r="H149" s="102" t="s">
        <v>315</v>
      </c>
      <c r="I149" s="102" t="s">
        <v>284</v>
      </c>
      <c r="J149" s="102" t="s">
        <v>26</v>
      </c>
      <c r="L149" s="229" t="s">
        <v>9005</v>
      </c>
      <c r="M149" s="229" t="s">
        <v>9006</v>
      </c>
      <c r="O149" s="102">
        <v>2.0</v>
      </c>
      <c r="P149" s="102" t="s">
        <v>651</v>
      </c>
      <c r="R149" s="230"/>
      <c r="S149" s="102">
        <v>0.0</v>
      </c>
      <c r="T149" s="230" t="str">
        <f>IF(ISNUMBER(MATCH(B149, 'Sprint 8'!B:B, 0)), "มาจาก Sprint 8", "")</f>
        <v>มาจาก Sprint 8</v>
      </c>
      <c r="U149" s="230" t="str">
        <f t="array" ref="U149">IF(ISNUMBER(MATCH(B149, 'Sprint 8'!B:B, 0)), INDEX('Sprint 8'!J:J, MATCH(B149, 'Sprint 8'!B:B, 0)), "")</f>
        <v>Ready To Test</v>
      </c>
      <c r="V149" s="102">
        <v>10800.0</v>
      </c>
      <c r="W149" s="102" t="s">
        <v>1362</v>
      </c>
      <c r="X149" s="102" t="s">
        <v>1363</v>
      </c>
      <c r="Y149" s="102"/>
      <c r="Z149" s="102"/>
      <c r="AA149" s="102"/>
      <c r="AB149" s="102"/>
      <c r="AC149" s="102"/>
      <c r="AD149" s="102"/>
      <c r="AE149" s="102"/>
    </row>
    <row r="150">
      <c r="A150" s="102" t="s">
        <v>310</v>
      </c>
      <c r="B150" s="102" t="s">
        <v>9007</v>
      </c>
      <c r="C150" s="229" t="s">
        <v>9008</v>
      </c>
      <c r="D150" s="102" t="s">
        <v>9009</v>
      </c>
      <c r="E150" s="102" t="s">
        <v>314</v>
      </c>
      <c r="F150" s="102" t="s">
        <v>315</v>
      </c>
      <c r="G150" s="102" t="s">
        <v>314</v>
      </c>
      <c r="H150" s="102" t="s">
        <v>315</v>
      </c>
      <c r="I150" s="102" t="s">
        <v>284</v>
      </c>
      <c r="J150" s="102" t="s">
        <v>26</v>
      </c>
      <c r="L150" s="229" t="s">
        <v>9010</v>
      </c>
      <c r="M150" s="229" t="s">
        <v>9006</v>
      </c>
      <c r="O150" s="102">
        <v>2.0</v>
      </c>
      <c r="P150" s="102" t="s">
        <v>651</v>
      </c>
      <c r="R150" s="230"/>
      <c r="S150" s="102">
        <v>0.0</v>
      </c>
      <c r="T150" s="230" t="str">
        <f>IF(ISNUMBER(MATCH(B150, 'Sprint 8'!B:B, 0)), "มาจาก Sprint 8", "")</f>
        <v>มาจาก Sprint 8</v>
      </c>
      <c r="U150" s="230" t="str">
        <f t="array" ref="U150">IF(ISNUMBER(MATCH(B150, 'Sprint 8'!B:B, 0)), INDEX('Sprint 8'!J:J, MATCH(B150, 'Sprint 8'!B:B, 0)), "")</f>
        <v>Ready To Test</v>
      </c>
      <c r="V150" s="102">
        <v>10800.0</v>
      </c>
      <c r="W150" s="102" t="s">
        <v>1362</v>
      </c>
      <c r="X150" s="102" t="s">
        <v>1363</v>
      </c>
      <c r="Y150" s="102"/>
      <c r="Z150" s="102"/>
      <c r="AA150" s="102"/>
      <c r="AB150" s="102"/>
      <c r="AC150" s="102"/>
      <c r="AD150" s="102"/>
      <c r="AE150" s="102"/>
    </row>
    <row r="151">
      <c r="A151" s="102" t="s">
        <v>310</v>
      </c>
      <c r="B151" s="102" t="s">
        <v>9011</v>
      </c>
      <c r="C151" s="229" t="s">
        <v>9012</v>
      </c>
      <c r="D151" s="102" t="s">
        <v>9013</v>
      </c>
      <c r="E151" s="102" t="s">
        <v>314</v>
      </c>
      <c r="F151" s="102" t="s">
        <v>315</v>
      </c>
      <c r="G151" s="102" t="s">
        <v>314</v>
      </c>
      <c r="H151" s="102" t="s">
        <v>315</v>
      </c>
      <c r="I151" s="102" t="s">
        <v>284</v>
      </c>
      <c r="J151" s="102" t="s">
        <v>26</v>
      </c>
      <c r="L151" s="229" t="s">
        <v>9014</v>
      </c>
      <c r="M151" s="229" t="s">
        <v>9006</v>
      </c>
      <c r="N151" s="102"/>
      <c r="O151" s="102">
        <v>2.0</v>
      </c>
      <c r="P151" s="102" t="s">
        <v>651</v>
      </c>
      <c r="R151" s="230"/>
      <c r="S151" s="102">
        <v>0.0</v>
      </c>
      <c r="T151" s="230" t="str">
        <f>IF(ISNUMBER(MATCH(B151, 'Sprint 8'!B:B, 0)), "มาจาก Sprint 8", "")</f>
        <v>มาจาก Sprint 8</v>
      </c>
      <c r="U151" s="230" t="str">
        <f t="array" ref="U151">IF(ISNUMBER(MATCH(B151, 'Sprint 8'!B:B, 0)), INDEX('Sprint 8'!J:J, MATCH(B151, 'Sprint 8'!B:B, 0)), "")</f>
        <v>Ready To Test</v>
      </c>
      <c r="V151" s="102">
        <v>10800.0</v>
      </c>
      <c r="W151" s="102" t="s">
        <v>1362</v>
      </c>
      <c r="X151" s="102" t="s">
        <v>1363</v>
      </c>
      <c r="Y151" s="102"/>
      <c r="Z151" s="102"/>
      <c r="AA151" s="102"/>
      <c r="AB151" s="102"/>
      <c r="AC151" s="102"/>
      <c r="AD151" s="102"/>
      <c r="AE151" s="102"/>
    </row>
    <row r="152">
      <c r="A152" s="102" t="s">
        <v>310</v>
      </c>
      <c r="B152" s="102" t="s">
        <v>8568</v>
      </c>
      <c r="C152" s="229" t="s">
        <v>8569</v>
      </c>
      <c r="D152" s="102" t="s">
        <v>8570</v>
      </c>
      <c r="E152" s="102" t="s">
        <v>513</v>
      </c>
      <c r="F152" s="102" t="s">
        <v>514</v>
      </c>
      <c r="G152" s="102" t="s">
        <v>314</v>
      </c>
      <c r="H152" s="102" t="s">
        <v>315</v>
      </c>
      <c r="I152" s="102" t="s">
        <v>284</v>
      </c>
      <c r="J152" s="102" t="s">
        <v>454</v>
      </c>
      <c r="L152" s="229" t="s">
        <v>8571</v>
      </c>
      <c r="M152" s="229" t="s">
        <v>8954</v>
      </c>
      <c r="N152" s="102"/>
      <c r="O152" s="102">
        <v>5.0</v>
      </c>
      <c r="P152" s="102" t="s">
        <v>1305</v>
      </c>
      <c r="Q152" s="102"/>
      <c r="R152" s="102"/>
      <c r="S152" s="102">
        <v>0.0</v>
      </c>
      <c r="T152" s="230" t="str">
        <f>IF(ISNUMBER(MATCH(B152, 'Sprint 8'!B:B, 0)), "มาจาก Sprint 8", "")</f>
        <v>มาจาก Sprint 8</v>
      </c>
      <c r="U152" s="230" t="str">
        <f t="array" ref="U152">IF(ISNUMBER(MATCH(B152, 'Sprint 8'!B:B, 0)), INDEX('Sprint 8'!J:J, MATCH(B152, 'Sprint 8'!B:B, 0)), "")</f>
        <v>Ready To Test</v>
      </c>
      <c r="V152" s="102">
        <v>57600.0</v>
      </c>
      <c r="W152" s="102" t="s">
        <v>5919</v>
      </c>
      <c r="X152" s="102" t="s">
        <v>5920</v>
      </c>
      <c r="Y152" s="102"/>
      <c r="Z152" s="102"/>
      <c r="AA152" s="230"/>
      <c r="AB152" s="230"/>
      <c r="AC152" s="102"/>
      <c r="AD152" s="102"/>
      <c r="AE152" s="102"/>
    </row>
    <row r="153">
      <c r="A153" s="102" t="s">
        <v>310</v>
      </c>
      <c r="B153" s="102" t="s">
        <v>7636</v>
      </c>
      <c r="C153" s="229" t="s">
        <v>7637</v>
      </c>
      <c r="D153" s="102" t="s">
        <v>7638</v>
      </c>
      <c r="E153" s="102" t="s">
        <v>564</v>
      </c>
      <c r="F153" s="102" t="s">
        <v>565</v>
      </c>
      <c r="G153" s="102" t="s">
        <v>353</v>
      </c>
      <c r="H153" s="102" t="s">
        <v>354</v>
      </c>
      <c r="I153" s="102" t="s">
        <v>515</v>
      </c>
      <c r="J153" s="102" t="s">
        <v>454</v>
      </c>
      <c r="L153" s="229" t="s">
        <v>7639</v>
      </c>
      <c r="M153" s="229" t="s">
        <v>8954</v>
      </c>
      <c r="N153" s="229" t="s">
        <v>6456</v>
      </c>
      <c r="O153" s="102">
        <v>5.0</v>
      </c>
      <c r="P153" s="102"/>
      <c r="Q153" s="102"/>
      <c r="R153" s="102"/>
      <c r="S153" s="102">
        <v>0.0</v>
      </c>
      <c r="T153" s="230" t="str">
        <f>IF(ISNUMBER(MATCH(B153, 'Sprint 8'!B:B, 0)), "มาจาก Sprint 8", "")</f>
        <v>มาจาก Sprint 8</v>
      </c>
      <c r="U153" s="230" t="str">
        <f t="array" ref="U153">IF(ISNUMBER(MATCH(B153, 'Sprint 8'!B:B, 0)), INDEX('Sprint 8'!J:J, MATCH(B153, 'Sprint 8'!B:B, 0)), "")</f>
        <v>Ready To Test</v>
      </c>
      <c r="V153" s="102">
        <v>57600.0</v>
      </c>
      <c r="W153" s="102" t="s">
        <v>5919</v>
      </c>
      <c r="X153" s="102" t="s">
        <v>5920</v>
      </c>
      <c r="Y153" s="102"/>
      <c r="Z153" s="102"/>
      <c r="AA153" s="230"/>
      <c r="AB153" s="230"/>
      <c r="AC153" s="102"/>
      <c r="AD153" s="102"/>
      <c r="AE153" s="102"/>
    </row>
    <row r="154">
      <c r="A154" s="102" t="s">
        <v>310</v>
      </c>
      <c r="B154" s="102" t="s">
        <v>8577</v>
      </c>
      <c r="C154" s="229" t="s">
        <v>8578</v>
      </c>
      <c r="D154" s="102" t="s">
        <v>8579</v>
      </c>
      <c r="E154" s="102" t="s">
        <v>6315</v>
      </c>
      <c r="F154" s="102" t="s">
        <v>6316</v>
      </c>
      <c r="G154" s="102" t="s">
        <v>353</v>
      </c>
      <c r="H154" s="102" t="s">
        <v>354</v>
      </c>
      <c r="I154" s="102" t="s">
        <v>515</v>
      </c>
      <c r="J154" s="102" t="s">
        <v>454</v>
      </c>
      <c r="L154" s="229" t="s">
        <v>8580</v>
      </c>
      <c r="M154" s="229" t="s">
        <v>8745</v>
      </c>
      <c r="O154" s="102">
        <v>2.0</v>
      </c>
      <c r="P154" s="102"/>
      <c r="R154" s="102"/>
      <c r="S154" s="230"/>
      <c r="T154" s="230" t="str">
        <f>IF(ISNUMBER(MATCH(B154, 'Sprint 8'!B:B, 0)), "มาจาก Sprint 8", "")</f>
        <v>มาจาก Sprint 8</v>
      </c>
      <c r="U154" s="230" t="str">
        <f t="array" ref="U154">IF(ISNUMBER(MATCH(B154, 'Sprint 8'!B:B, 0)), INDEX('Sprint 8'!J:J, MATCH(B154, 'Sprint 8'!B:B, 0)), "")</f>
        <v>Ready To Test</v>
      </c>
      <c r="W154" s="102" t="s">
        <v>5919</v>
      </c>
      <c r="X154" s="102" t="s">
        <v>5920</v>
      </c>
      <c r="Y154" s="102"/>
      <c r="Z154" s="102"/>
      <c r="AA154" s="230"/>
      <c r="AB154" s="230"/>
      <c r="AC154" s="102"/>
      <c r="AD154" s="102"/>
      <c r="AE154" s="102"/>
    </row>
    <row r="155">
      <c r="A155" s="102" t="s">
        <v>310</v>
      </c>
      <c r="B155" s="102" t="s">
        <v>8582</v>
      </c>
      <c r="C155" s="229" t="s">
        <v>8583</v>
      </c>
      <c r="D155" s="102" t="s">
        <v>8584</v>
      </c>
      <c r="E155" s="102" t="s">
        <v>6315</v>
      </c>
      <c r="F155" s="102" t="s">
        <v>6316</v>
      </c>
      <c r="G155" s="102" t="s">
        <v>353</v>
      </c>
      <c r="H155" s="102" t="s">
        <v>354</v>
      </c>
      <c r="I155" s="102" t="s">
        <v>515</v>
      </c>
      <c r="J155" s="102" t="s">
        <v>454</v>
      </c>
      <c r="L155" s="229" t="s">
        <v>8585</v>
      </c>
      <c r="M155" s="229" t="s">
        <v>8745</v>
      </c>
      <c r="N155" s="102"/>
      <c r="O155" s="102">
        <v>3.0</v>
      </c>
      <c r="P155" s="102"/>
      <c r="R155" s="102"/>
      <c r="S155" s="230"/>
      <c r="T155" s="230" t="str">
        <f>IF(ISNUMBER(MATCH(B155, 'Sprint 8'!B:B, 0)), "มาจาก Sprint 8", "")</f>
        <v>มาจาก Sprint 8</v>
      </c>
      <c r="U155" s="230" t="str">
        <f t="array" ref="U155">IF(ISNUMBER(MATCH(B155, 'Sprint 8'!B:B, 0)), INDEX('Sprint 8'!J:J, MATCH(B155, 'Sprint 8'!B:B, 0)), "")</f>
        <v>Ready To Test</v>
      </c>
      <c r="W155" s="102" t="s">
        <v>5919</v>
      </c>
      <c r="X155" s="102" t="s">
        <v>5920</v>
      </c>
      <c r="Y155" s="102"/>
      <c r="Z155" s="102"/>
      <c r="AA155" s="230"/>
      <c r="AB155" s="230"/>
      <c r="AC155" s="102"/>
      <c r="AD155" s="102"/>
      <c r="AE155" s="102"/>
    </row>
    <row r="156">
      <c r="A156" s="102" t="s">
        <v>310</v>
      </c>
      <c r="B156" s="102" t="s">
        <v>9015</v>
      </c>
      <c r="C156" s="229" t="s">
        <v>9016</v>
      </c>
      <c r="D156" s="102" t="s">
        <v>9017</v>
      </c>
      <c r="E156" s="102" t="s">
        <v>6860</v>
      </c>
      <c r="F156" s="102" t="s">
        <v>6861</v>
      </c>
      <c r="G156" s="102" t="s">
        <v>353</v>
      </c>
      <c r="H156" s="102" t="s">
        <v>354</v>
      </c>
      <c r="I156" s="102" t="s">
        <v>515</v>
      </c>
      <c r="J156" s="102" t="s">
        <v>26</v>
      </c>
      <c r="L156" s="229" t="s">
        <v>9018</v>
      </c>
      <c r="M156" s="229" t="s">
        <v>9019</v>
      </c>
      <c r="N156" s="229" t="s">
        <v>5925</v>
      </c>
      <c r="O156" s="102">
        <v>1.0</v>
      </c>
      <c r="P156" s="102"/>
      <c r="R156" s="102"/>
      <c r="S156" s="230"/>
      <c r="T156" s="230" t="str">
        <f>IF(ISNUMBER(MATCH(B156, 'Sprint 8'!B:B, 0)), "มาจาก Sprint 8", "")</f>
        <v>มาจาก Sprint 8</v>
      </c>
      <c r="U156" s="230" t="str">
        <f t="array" ref="U156">IF(ISNUMBER(MATCH(B156, 'Sprint 8'!B:B, 0)), INDEX('Sprint 8'!J:J, MATCH(B156, 'Sprint 8'!B:B, 0)), "")</f>
        <v>Ready To Test</v>
      </c>
      <c r="W156" s="102" t="s">
        <v>5919</v>
      </c>
      <c r="X156" s="102" t="s">
        <v>5920</v>
      </c>
      <c r="Y156" s="102"/>
      <c r="Z156" s="102"/>
      <c r="AA156" s="230"/>
      <c r="AB156" s="230"/>
      <c r="AC156" s="102"/>
      <c r="AD156" s="102"/>
      <c r="AE156" s="102"/>
    </row>
    <row r="157">
      <c r="A157" s="102" t="s">
        <v>310</v>
      </c>
      <c r="B157" s="102" t="s">
        <v>8586</v>
      </c>
      <c r="C157" s="229" t="s">
        <v>8587</v>
      </c>
      <c r="D157" s="102" t="s">
        <v>8588</v>
      </c>
      <c r="E157" s="102" t="s">
        <v>6860</v>
      </c>
      <c r="F157" s="102" t="s">
        <v>6861</v>
      </c>
      <c r="G157" s="102" t="s">
        <v>353</v>
      </c>
      <c r="H157" s="102" t="s">
        <v>354</v>
      </c>
      <c r="I157" s="102" t="s">
        <v>515</v>
      </c>
      <c r="J157" s="102" t="s">
        <v>454</v>
      </c>
      <c r="L157" s="229" t="s">
        <v>8589</v>
      </c>
      <c r="M157" s="229" t="s">
        <v>8745</v>
      </c>
      <c r="N157" s="229" t="s">
        <v>5925</v>
      </c>
      <c r="O157" s="102">
        <v>5.0</v>
      </c>
      <c r="P157" s="102"/>
      <c r="R157" s="102"/>
      <c r="S157" s="230"/>
      <c r="T157" s="230" t="str">
        <f>IF(ISNUMBER(MATCH(B157, 'Sprint 8'!B:B, 0)), "มาจาก Sprint 8", "")</f>
        <v>มาจาก Sprint 8</v>
      </c>
      <c r="U157" s="230" t="str">
        <f t="array" ref="U157">IF(ISNUMBER(MATCH(B157, 'Sprint 8'!B:B, 0)), INDEX('Sprint 8'!J:J, MATCH(B157, 'Sprint 8'!B:B, 0)), "")</f>
        <v>Ready To Test</v>
      </c>
      <c r="W157" s="102" t="s">
        <v>5919</v>
      </c>
      <c r="X157" s="102" t="s">
        <v>5920</v>
      </c>
      <c r="Y157" s="102"/>
      <c r="Z157" s="102"/>
      <c r="AA157" s="230"/>
      <c r="AB157" s="230"/>
      <c r="AC157" s="102"/>
      <c r="AD157" s="102"/>
      <c r="AE157" s="102"/>
    </row>
    <row r="158">
      <c r="A158" s="102" t="s">
        <v>310</v>
      </c>
      <c r="B158" s="102" t="s">
        <v>9020</v>
      </c>
      <c r="C158" s="229" t="s">
        <v>9021</v>
      </c>
      <c r="D158" s="102" t="s">
        <v>9022</v>
      </c>
      <c r="E158" s="102" t="s">
        <v>6860</v>
      </c>
      <c r="F158" s="102" t="s">
        <v>6861</v>
      </c>
      <c r="G158" s="102" t="s">
        <v>353</v>
      </c>
      <c r="H158" s="102" t="s">
        <v>354</v>
      </c>
      <c r="I158" s="102" t="s">
        <v>515</v>
      </c>
      <c r="J158" s="102" t="s">
        <v>26</v>
      </c>
      <c r="L158" s="229" t="s">
        <v>9023</v>
      </c>
      <c r="M158" s="229" t="s">
        <v>8027</v>
      </c>
      <c r="N158" s="102"/>
      <c r="O158" s="102">
        <v>2.0</v>
      </c>
      <c r="P158" s="102"/>
      <c r="R158" s="102"/>
      <c r="S158" s="230"/>
      <c r="T158" s="230" t="str">
        <f>IF(ISNUMBER(MATCH(B158, 'Sprint 8'!B:B, 0)), "มาจาก Sprint 8", "")</f>
        <v>มาจาก Sprint 8</v>
      </c>
      <c r="U158" s="230" t="str">
        <f t="array" ref="U158">IF(ISNUMBER(MATCH(B158, 'Sprint 8'!B:B, 0)), INDEX('Sprint 8'!J:J, MATCH(B158, 'Sprint 8'!B:B, 0)), "")</f>
        <v>Ready To Test</v>
      </c>
      <c r="W158" s="102" t="s">
        <v>5919</v>
      </c>
      <c r="X158" s="102" t="s">
        <v>5920</v>
      </c>
      <c r="Y158" s="102"/>
      <c r="Z158" s="102"/>
      <c r="AA158" s="230"/>
      <c r="AB158" s="230"/>
      <c r="AC158" s="102"/>
      <c r="AD158" s="102"/>
      <c r="AE158" s="102"/>
    </row>
    <row r="159">
      <c r="A159" s="102" t="s">
        <v>310</v>
      </c>
      <c r="B159" s="102" t="s">
        <v>8590</v>
      </c>
      <c r="C159" s="229" t="s">
        <v>8591</v>
      </c>
      <c r="D159" s="102" t="s">
        <v>8592</v>
      </c>
      <c r="E159" s="102" t="s">
        <v>314</v>
      </c>
      <c r="F159" s="102" t="s">
        <v>315</v>
      </c>
      <c r="G159" s="102" t="s">
        <v>314</v>
      </c>
      <c r="H159" s="102" t="s">
        <v>315</v>
      </c>
      <c r="I159" s="102" t="s">
        <v>284</v>
      </c>
      <c r="J159" s="102" t="s">
        <v>454</v>
      </c>
      <c r="L159" s="229" t="s">
        <v>8593</v>
      </c>
      <c r="M159" s="229" t="s">
        <v>8954</v>
      </c>
      <c r="N159" s="102"/>
      <c r="O159" s="102">
        <v>2.0</v>
      </c>
      <c r="P159" s="102" t="s">
        <v>1305</v>
      </c>
      <c r="R159" s="230"/>
      <c r="S159" s="102">
        <v>0.0</v>
      </c>
      <c r="T159" s="230" t="str">
        <f>IF(ISNUMBER(MATCH(B159, 'Sprint 8'!B:B, 0)), "มาจาก Sprint 8", "")</f>
        <v>มาจาก Sprint 8</v>
      </c>
      <c r="U159" s="230" t="str">
        <f t="array" ref="U159">IF(ISNUMBER(MATCH(B159, 'Sprint 8'!B:B, 0)), INDEX('Sprint 8'!J:J, MATCH(B159, 'Sprint 8'!B:B, 0)), "")</f>
        <v>Ready To Test</v>
      </c>
      <c r="V159" s="102">
        <v>10800.0</v>
      </c>
      <c r="W159" s="102" t="s">
        <v>5919</v>
      </c>
      <c r="X159" s="102" t="s">
        <v>5920</v>
      </c>
      <c r="Y159" s="102"/>
      <c r="Z159" s="102"/>
      <c r="AA159" s="230"/>
      <c r="AB159" s="230"/>
      <c r="AC159" s="102"/>
      <c r="AD159" s="102"/>
      <c r="AE159" s="102"/>
    </row>
    <row r="160">
      <c r="A160" s="102" t="s">
        <v>310</v>
      </c>
      <c r="B160" s="102" t="s">
        <v>8594</v>
      </c>
      <c r="C160" s="229" t="s">
        <v>8595</v>
      </c>
      <c r="D160" s="102" t="s">
        <v>8596</v>
      </c>
      <c r="E160" s="102" t="s">
        <v>584</v>
      </c>
      <c r="F160" s="102" t="s">
        <v>585</v>
      </c>
      <c r="G160" s="102" t="s">
        <v>353</v>
      </c>
      <c r="H160" s="102" t="s">
        <v>354</v>
      </c>
      <c r="I160" s="102" t="s">
        <v>284</v>
      </c>
      <c r="J160" s="102" t="s">
        <v>454</v>
      </c>
      <c r="L160" s="229" t="s">
        <v>8597</v>
      </c>
      <c r="M160" s="229" t="s">
        <v>8842</v>
      </c>
      <c r="N160" s="102"/>
      <c r="O160" s="102">
        <v>5.0</v>
      </c>
      <c r="P160" s="102"/>
      <c r="R160" s="230"/>
      <c r="S160" s="102">
        <v>0.0</v>
      </c>
      <c r="T160" s="230" t="str">
        <f>IF(ISNUMBER(MATCH(B160, 'Sprint 8'!B:B, 0)), "มาจาก Sprint 8", "")</f>
        <v>มาจาก Sprint 8</v>
      </c>
      <c r="U160" s="230" t="str">
        <f t="array" ref="U160">IF(ISNUMBER(MATCH(B160, 'Sprint 8'!B:B, 0)), INDEX('Sprint 8'!J:J, MATCH(B160, 'Sprint 8'!B:B, 0)), "")</f>
        <v>Ready to Staging</v>
      </c>
      <c r="V160" s="102">
        <v>57600.0</v>
      </c>
      <c r="W160" s="102" t="s">
        <v>8981</v>
      </c>
      <c r="X160" s="102" t="s">
        <v>8237</v>
      </c>
      <c r="Y160" s="102"/>
      <c r="Z160" s="102"/>
      <c r="AA160" s="230"/>
      <c r="AB160" s="230"/>
      <c r="AC160" s="102"/>
      <c r="AD160" s="102"/>
      <c r="AE160" s="102"/>
    </row>
    <row r="161">
      <c r="A161" s="102" t="s">
        <v>310</v>
      </c>
      <c r="B161" s="102" t="s">
        <v>8598</v>
      </c>
      <c r="C161" s="229" t="s">
        <v>8599</v>
      </c>
      <c r="D161" s="102" t="s">
        <v>8600</v>
      </c>
      <c r="E161" s="102" t="s">
        <v>556</v>
      </c>
      <c r="F161" s="102" t="s">
        <v>557</v>
      </c>
      <c r="G161" s="102" t="s">
        <v>353</v>
      </c>
      <c r="H161" s="102" t="s">
        <v>354</v>
      </c>
      <c r="I161" s="102" t="s">
        <v>284</v>
      </c>
      <c r="J161" s="102" t="s">
        <v>454</v>
      </c>
      <c r="L161" s="229" t="s">
        <v>8601</v>
      </c>
      <c r="M161" s="229" t="s">
        <v>8842</v>
      </c>
      <c r="N161" s="229" t="s">
        <v>8602</v>
      </c>
      <c r="O161" s="102">
        <v>2.0</v>
      </c>
      <c r="P161" s="102"/>
      <c r="R161" s="230"/>
      <c r="S161" s="102">
        <v>0.0</v>
      </c>
      <c r="T161" s="230" t="str">
        <f>IF(ISNUMBER(MATCH(B161, 'Sprint 8'!B:B, 0)), "มาจาก Sprint 8", "")</f>
        <v>มาจาก Sprint 8</v>
      </c>
      <c r="U161" s="230" t="str">
        <f t="array" ref="U161">IF(ISNUMBER(MATCH(B161, 'Sprint 8'!B:B, 0)), INDEX('Sprint 8'!J:J, MATCH(B161, 'Sprint 8'!B:B, 0)), "")</f>
        <v>Ready To Test</v>
      </c>
      <c r="V161" s="102">
        <v>14400.0</v>
      </c>
      <c r="W161" s="102" t="s">
        <v>8981</v>
      </c>
      <c r="X161" s="102" t="s">
        <v>8237</v>
      </c>
      <c r="Y161" s="102"/>
      <c r="Z161" s="102"/>
      <c r="AA161" s="230"/>
      <c r="AB161" s="230"/>
      <c r="AC161" s="102"/>
      <c r="AD161" s="102"/>
      <c r="AE161" s="102"/>
    </row>
    <row r="162">
      <c r="A162" s="102" t="s">
        <v>276</v>
      </c>
      <c r="B162" s="102" t="s">
        <v>7640</v>
      </c>
      <c r="C162" s="229" t="s">
        <v>7641</v>
      </c>
      <c r="D162" s="102" t="s">
        <v>7642</v>
      </c>
      <c r="E162" s="102" t="s">
        <v>391</v>
      </c>
      <c r="F162" s="102" t="s">
        <v>392</v>
      </c>
      <c r="G162" s="102" t="s">
        <v>391</v>
      </c>
      <c r="H162" s="102" t="s">
        <v>392</v>
      </c>
      <c r="I162" s="102" t="s">
        <v>284</v>
      </c>
      <c r="J162" s="102" t="s">
        <v>34</v>
      </c>
      <c r="L162" s="229" t="s">
        <v>7643</v>
      </c>
      <c r="M162" s="229" t="s">
        <v>8013</v>
      </c>
      <c r="N162" s="102"/>
      <c r="O162" s="102"/>
      <c r="P162" s="102"/>
      <c r="R162" s="230"/>
      <c r="S162" s="230"/>
      <c r="T162" s="230" t="str">
        <f>IF(ISNUMBER(MATCH(B162, 'Sprint 8'!B:B, 0)), "มาจาก Sprint 8", "")</f>
        <v>มาจาก Sprint 8</v>
      </c>
      <c r="U162" s="230" t="str">
        <f t="array" ref="U162">IF(ISNUMBER(MATCH(B162, 'Sprint 8'!B:B, 0)), INDEX('Sprint 8'!J:J, MATCH(B162, 'Sprint 8'!B:B, 0)), "")</f>
        <v>In Progress</v>
      </c>
      <c r="W162" s="102" t="s">
        <v>5944</v>
      </c>
      <c r="X162" s="102" t="s">
        <v>5919</v>
      </c>
      <c r="Y162" s="102" t="s">
        <v>5920</v>
      </c>
      <c r="Z162" s="102"/>
      <c r="AA162" s="230"/>
      <c r="AB162" s="230"/>
      <c r="AC162" s="102"/>
      <c r="AD162" s="102"/>
      <c r="AE162" s="102"/>
    </row>
    <row r="163">
      <c r="A163" s="102" t="s">
        <v>276</v>
      </c>
      <c r="B163" s="102" t="s">
        <v>7644</v>
      </c>
      <c r="C163" s="229" t="s">
        <v>7645</v>
      </c>
      <c r="D163" s="102" t="s">
        <v>7646</v>
      </c>
      <c r="E163" s="102" t="s">
        <v>391</v>
      </c>
      <c r="F163" s="102" t="s">
        <v>392</v>
      </c>
      <c r="G163" s="102" t="s">
        <v>391</v>
      </c>
      <c r="H163" s="102" t="s">
        <v>392</v>
      </c>
      <c r="I163" s="102" t="s">
        <v>284</v>
      </c>
      <c r="J163" s="102" t="s">
        <v>34</v>
      </c>
      <c r="L163" s="229" t="s">
        <v>7643</v>
      </c>
      <c r="M163" s="229" t="s">
        <v>7647</v>
      </c>
      <c r="N163" s="102"/>
      <c r="O163" s="102"/>
      <c r="R163" s="102"/>
      <c r="S163" s="230"/>
      <c r="T163" s="230" t="str">
        <f>IF(ISNUMBER(MATCH(B163, 'Sprint 8'!B:B, 0)), "มาจาก Sprint 8", "")</f>
        <v>มาจาก Sprint 8</v>
      </c>
      <c r="U163" s="230" t="str">
        <f t="array" ref="U163">IF(ISNUMBER(MATCH(B163, 'Sprint 8'!B:B, 0)), INDEX('Sprint 8'!J:J, MATCH(B163, 'Sprint 8'!B:B, 0)), "")</f>
        <v>In Progress</v>
      </c>
      <c r="W163" s="102" t="s">
        <v>5944</v>
      </c>
      <c r="X163" s="102" t="s">
        <v>5919</v>
      </c>
      <c r="Y163" s="102" t="s">
        <v>5920</v>
      </c>
      <c r="Z163" s="102"/>
      <c r="AA163" s="230"/>
      <c r="AB163" s="230"/>
      <c r="AC163" s="102"/>
      <c r="AD163" s="102"/>
      <c r="AE163" s="102"/>
    </row>
    <row r="164">
      <c r="A164" s="102" t="s">
        <v>276</v>
      </c>
      <c r="B164" s="102" t="s">
        <v>7648</v>
      </c>
      <c r="C164" s="229" t="s">
        <v>7649</v>
      </c>
      <c r="D164" s="102" t="s">
        <v>7650</v>
      </c>
      <c r="E164" s="102" t="s">
        <v>391</v>
      </c>
      <c r="F164" s="102" t="s">
        <v>392</v>
      </c>
      <c r="G164" s="102" t="s">
        <v>391</v>
      </c>
      <c r="H164" s="102" t="s">
        <v>392</v>
      </c>
      <c r="I164" s="102" t="s">
        <v>284</v>
      </c>
      <c r="J164" s="102" t="s">
        <v>34</v>
      </c>
      <c r="L164" s="229" t="s">
        <v>7643</v>
      </c>
      <c r="M164" s="229" t="s">
        <v>8014</v>
      </c>
      <c r="N164" s="102"/>
      <c r="O164" s="102"/>
      <c r="R164" s="102"/>
      <c r="S164" s="230"/>
      <c r="T164" s="230" t="str">
        <f>IF(ISNUMBER(MATCH(B164, 'Sprint 8'!B:B, 0)), "มาจาก Sprint 8", "")</f>
        <v>มาจาก Sprint 8</v>
      </c>
      <c r="U164" s="230" t="str">
        <f t="array" ref="U164">IF(ISNUMBER(MATCH(B164, 'Sprint 8'!B:B, 0)), INDEX('Sprint 8'!J:J, MATCH(B164, 'Sprint 8'!B:B, 0)), "")</f>
        <v>In Progress</v>
      </c>
      <c r="W164" s="102" t="s">
        <v>5944</v>
      </c>
      <c r="X164" s="102" t="s">
        <v>5919</v>
      </c>
      <c r="Y164" s="102" t="s">
        <v>5920</v>
      </c>
      <c r="Z164" s="102"/>
      <c r="AA164" s="230"/>
      <c r="AB164" s="102"/>
      <c r="AC164" s="102"/>
      <c r="AD164" s="102"/>
      <c r="AE164" s="102"/>
    </row>
    <row r="165">
      <c r="A165" s="102" t="s">
        <v>276</v>
      </c>
      <c r="B165" s="102" t="s">
        <v>7651</v>
      </c>
      <c r="C165" s="229" t="s">
        <v>7652</v>
      </c>
      <c r="D165" s="102" t="s">
        <v>8015</v>
      </c>
      <c r="E165" s="102"/>
      <c r="F165" s="102"/>
      <c r="G165" s="102" t="s">
        <v>391</v>
      </c>
      <c r="H165" s="102" t="s">
        <v>392</v>
      </c>
      <c r="I165" s="102" t="s">
        <v>284</v>
      </c>
      <c r="J165" s="102" t="s">
        <v>63</v>
      </c>
      <c r="L165" s="229" t="s">
        <v>7654</v>
      </c>
      <c r="M165" s="229" t="s">
        <v>8016</v>
      </c>
      <c r="N165" s="102"/>
      <c r="O165" s="102"/>
      <c r="P165" s="102"/>
      <c r="R165" s="102"/>
      <c r="S165" s="230"/>
      <c r="T165" s="230" t="str">
        <f>IF(ISNUMBER(MATCH(B165, 'Sprint 8'!B:B, 0)), "มาจาก Sprint 8", "")</f>
        <v>มาจาก Sprint 8</v>
      </c>
      <c r="U165" s="230" t="str">
        <f t="array" ref="U165">IF(ISNUMBER(MATCH(B165, 'Sprint 8'!B:B, 0)), INDEX('Sprint 8'!J:J, MATCH(B165, 'Sprint 8'!B:B, 0)), "")</f>
        <v>To Do</v>
      </c>
      <c r="W165" s="102" t="s">
        <v>5944</v>
      </c>
      <c r="X165" s="102" t="s">
        <v>5919</v>
      </c>
      <c r="Y165" s="102" t="s">
        <v>5920</v>
      </c>
      <c r="Z165" s="102"/>
      <c r="AA165" s="230"/>
      <c r="AB165" s="102"/>
      <c r="AC165" s="102"/>
      <c r="AD165" s="102"/>
      <c r="AE165" s="102"/>
    </row>
    <row r="166">
      <c r="A166" s="102" t="s">
        <v>276</v>
      </c>
      <c r="B166" s="102" t="s">
        <v>7656</v>
      </c>
      <c r="C166" s="229" t="s">
        <v>7657</v>
      </c>
      <c r="D166" s="102" t="s">
        <v>7658</v>
      </c>
      <c r="E166" s="102" t="s">
        <v>391</v>
      </c>
      <c r="F166" s="102" t="s">
        <v>392</v>
      </c>
      <c r="G166" s="102" t="s">
        <v>391</v>
      </c>
      <c r="H166" s="102" t="s">
        <v>392</v>
      </c>
      <c r="I166" s="102" t="s">
        <v>284</v>
      </c>
      <c r="J166" s="102" t="s">
        <v>34</v>
      </c>
      <c r="L166" s="229" t="s">
        <v>7654</v>
      </c>
      <c r="M166" s="229" t="s">
        <v>8017</v>
      </c>
      <c r="N166" s="102"/>
      <c r="O166" s="102"/>
      <c r="P166" s="102"/>
      <c r="R166" s="102"/>
      <c r="S166" s="230"/>
      <c r="T166" s="230" t="str">
        <f>IF(ISNUMBER(MATCH(B166, 'Sprint 8'!B:B, 0)), "มาจาก Sprint 8", "")</f>
        <v>มาจาก Sprint 8</v>
      </c>
      <c r="U166" s="230" t="str">
        <f t="array" ref="U166">IF(ISNUMBER(MATCH(B166, 'Sprint 8'!B:B, 0)), INDEX('Sprint 8'!J:J, MATCH(B166, 'Sprint 8'!B:B, 0)), "")</f>
        <v>In Progress</v>
      </c>
      <c r="W166" s="102" t="s">
        <v>5944</v>
      </c>
      <c r="X166" s="102" t="s">
        <v>5919</v>
      </c>
      <c r="Y166" s="102" t="s">
        <v>5920</v>
      </c>
      <c r="Z166" s="102"/>
      <c r="AA166" s="230"/>
      <c r="AB166" s="230"/>
      <c r="AC166" s="102"/>
      <c r="AD166" s="102"/>
      <c r="AE166" s="102"/>
    </row>
    <row r="167">
      <c r="A167" s="102" t="s">
        <v>276</v>
      </c>
      <c r="B167" s="102" t="s">
        <v>7659</v>
      </c>
      <c r="C167" s="229" t="s">
        <v>7660</v>
      </c>
      <c r="D167" s="102" t="s">
        <v>7661</v>
      </c>
      <c r="E167" s="102" t="s">
        <v>391</v>
      </c>
      <c r="F167" s="102" t="s">
        <v>392</v>
      </c>
      <c r="G167" s="102" t="s">
        <v>391</v>
      </c>
      <c r="H167" s="102" t="s">
        <v>392</v>
      </c>
      <c r="I167" s="102" t="s">
        <v>284</v>
      </c>
      <c r="J167" s="102" t="s">
        <v>34</v>
      </c>
      <c r="L167" s="229" t="s">
        <v>7654</v>
      </c>
      <c r="M167" s="229" t="s">
        <v>8018</v>
      </c>
      <c r="N167" s="102"/>
      <c r="O167" s="102"/>
      <c r="P167" s="102"/>
      <c r="R167" s="230"/>
      <c r="S167" s="230"/>
      <c r="T167" s="230" t="str">
        <f>IF(ISNUMBER(MATCH(B167, 'Sprint 8'!B:B, 0)), "มาจาก Sprint 8", "")</f>
        <v>มาจาก Sprint 8</v>
      </c>
      <c r="U167" s="230" t="str">
        <f t="array" ref="U167">IF(ISNUMBER(MATCH(B167, 'Sprint 8'!B:B, 0)), INDEX('Sprint 8'!J:J, MATCH(B167, 'Sprint 8'!B:B, 0)), "")</f>
        <v>In Progress</v>
      </c>
      <c r="W167" s="102" t="s">
        <v>5944</v>
      </c>
      <c r="X167" s="102" t="s">
        <v>5919</v>
      </c>
      <c r="Y167" s="102" t="s">
        <v>5920</v>
      </c>
      <c r="Z167" s="102"/>
      <c r="AA167" s="102"/>
      <c r="AB167" s="102"/>
      <c r="AC167" s="102"/>
      <c r="AD167" s="102"/>
    </row>
    <row r="168">
      <c r="A168" s="102" t="s">
        <v>276</v>
      </c>
      <c r="B168" s="102" t="s">
        <v>7662</v>
      </c>
      <c r="C168" s="229" t="s">
        <v>7663</v>
      </c>
      <c r="D168" s="102" t="s">
        <v>7664</v>
      </c>
      <c r="E168" s="102" t="s">
        <v>391</v>
      </c>
      <c r="F168" s="102" t="s">
        <v>392</v>
      </c>
      <c r="G168" s="102" t="s">
        <v>391</v>
      </c>
      <c r="H168" s="102" t="s">
        <v>392</v>
      </c>
      <c r="I168" s="102" t="s">
        <v>284</v>
      </c>
      <c r="J168" s="102" t="s">
        <v>34</v>
      </c>
      <c r="L168" s="229" t="s">
        <v>7654</v>
      </c>
      <c r="M168" s="229" t="s">
        <v>8019</v>
      </c>
      <c r="O168" s="102"/>
      <c r="P168" s="102"/>
      <c r="R168" s="230"/>
      <c r="S168" s="230"/>
      <c r="T168" s="230" t="str">
        <f>IF(ISNUMBER(MATCH(B168, 'Sprint 8'!B:B, 0)), "มาจาก Sprint 8", "")</f>
        <v>มาจาก Sprint 8</v>
      </c>
      <c r="U168" s="230" t="str">
        <f t="array" ref="U168">IF(ISNUMBER(MATCH(B168, 'Sprint 8'!B:B, 0)), INDEX('Sprint 8'!J:J, MATCH(B168, 'Sprint 8'!B:B, 0)), "")</f>
        <v>In Progress</v>
      </c>
      <c r="W168" s="102" t="s">
        <v>5944</v>
      </c>
      <c r="X168" s="102" t="s">
        <v>5919</v>
      </c>
      <c r="Y168" s="102" t="s">
        <v>5920</v>
      </c>
      <c r="Z168" s="230"/>
      <c r="AA168" s="230"/>
      <c r="AB168" s="102"/>
      <c r="AC168" s="102"/>
      <c r="AD168" s="102"/>
      <c r="AE168" s="102"/>
    </row>
    <row r="169">
      <c r="A169" s="102" t="s">
        <v>276</v>
      </c>
      <c r="B169" s="102" t="s">
        <v>7666</v>
      </c>
      <c r="C169" s="229" t="s">
        <v>7667</v>
      </c>
      <c r="D169" s="102" t="s">
        <v>7668</v>
      </c>
      <c r="E169" s="102" t="s">
        <v>391</v>
      </c>
      <c r="F169" s="102" t="s">
        <v>392</v>
      </c>
      <c r="G169" s="102" t="s">
        <v>391</v>
      </c>
      <c r="H169" s="102" t="s">
        <v>392</v>
      </c>
      <c r="I169" s="102" t="s">
        <v>284</v>
      </c>
      <c r="J169" s="102" t="s">
        <v>34</v>
      </c>
      <c r="L169" s="229" t="s">
        <v>7669</v>
      </c>
      <c r="M169" s="229" t="s">
        <v>8020</v>
      </c>
      <c r="O169" s="102"/>
      <c r="P169" s="102"/>
      <c r="R169" s="230"/>
      <c r="S169" s="230"/>
      <c r="T169" s="230" t="str">
        <f>IF(ISNUMBER(MATCH(B169, 'Sprint 8'!B:B, 0)), "มาจาก Sprint 8", "")</f>
        <v>มาจาก Sprint 8</v>
      </c>
      <c r="U169" s="230" t="str">
        <f t="array" ref="U169">IF(ISNUMBER(MATCH(B169, 'Sprint 8'!B:B, 0)), INDEX('Sprint 8'!J:J, MATCH(B169, 'Sprint 8'!B:B, 0)), "")</f>
        <v>In Progress</v>
      </c>
      <c r="W169" s="102" t="s">
        <v>5944</v>
      </c>
      <c r="X169" s="102" t="s">
        <v>5919</v>
      </c>
      <c r="Y169" s="102" t="s">
        <v>5920</v>
      </c>
      <c r="Z169" s="102"/>
      <c r="AA169" s="230"/>
      <c r="AB169" s="230"/>
      <c r="AC169" s="102"/>
      <c r="AD169" s="102"/>
      <c r="AE169" s="102"/>
    </row>
    <row r="170">
      <c r="A170" s="102" t="s">
        <v>276</v>
      </c>
      <c r="B170" s="102" t="s">
        <v>8021</v>
      </c>
      <c r="C170" s="229" t="s">
        <v>8022</v>
      </c>
      <c r="D170" s="102" t="s">
        <v>4345</v>
      </c>
      <c r="E170" s="102" t="s">
        <v>391</v>
      </c>
      <c r="F170" s="102" t="s">
        <v>392</v>
      </c>
      <c r="G170" s="102" t="s">
        <v>391</v>
      </c>
      <c r="H170" s="102" t="s">
        <v>392</v>
      </c>
      <c r="I170" s="102" t="s">
        <v>284</v>
      </c>
      <c r="J170" s="102" t="s">
        <v>26</v>
      </c>
      <c r="L170" s="229" t="s">
        <v>7669</v>
      </c>
      <c r="M170" s="229" t="s">
        <v>7949</v>
      </c>
      <c r="O170" s="102"/>
      <c r="P170" s="102"/>
      <c r="R170" s="230"/>
      <c r="S170" s="230"/>
      <c r="T170" s="230" t="str">
        <f>IF(ISNUMBER(MATCH(B170, 'Sprint 8'!B:B, 0)), "มาจาก Sprint 8", "")</f>
        <v>มาจาก Sprint 8</v>
      </c>
      <c r="U170" s="230" t="str">
        <f t="array" ref="U170">IF(ISNUMBER(MATCH(B170, 'Sprint 8'!B:B, 0)), INDEX('Sprint 8'!J:J, MATCH(B170, 'Sprint 8'!B:B, 0)), "")</f>
        <v>To Do</v>
      </c>
      <c r="W170" s="102" t="s">
        <v>5919</v>
      </c>
      <c r="X170" s="102" t="s">
        <v>5920</v>
      </c>
      <c r="Y170" s="102"/>
      <c r="Z170" s="102"/>
      <c r="AA170" s="230"/>
      <c r="AB170" s="102"/>
      <c r="AC170" s="102"/>
      <c r="AD170" s="102"/>
    </row>
    <row r="171">
      <c r="A171" s="102" t="s">
        <v>276</v>
      </c>
      <c r="B171" s="102" t="s">
        <v>7670</v>
      </c>
      <c r="C171" s="229" t="s">
        <v>7671</v>
      </c>
      <c r="D171" s="102" t="s">
        <v>7672</v>
      </c>
      <c r="E171" s="102" t="s">
        <v>391</v>
      </c>
      <c r="F171" s="102" t="s">
        <v>392</v>
      </c>
      <c r="G171" s="102" t="s">
        <v>391</v>
      </c>
      <c r="H171" s="102" t="s">
        <v>392</v>
      </c>
      <c r="I171" s="102" t="s">
        <v>284</v>
      </c>
      <c r="J171" s="102" t="s">
        <v>34</v>
      </c>
      <c r="L171" s="229" t="s">
        <v>7669</v>
      </c>
      <c r="M171" s="229" t="s">
        <v>8020</v>
      </c>
      <c r="N171" s="102"/>
      <c r="O171" s="102"/>
      <c r="P171" s="102"/>
      <c r="R171" s="102"/>
      <c r="S171" s="230"/>
      <c r="T171" s="230" t="str">
        <f>IF(ISNUMBER(MATCH(B171, 'Sprint 8'!B:B, 0)), "มาจาก Sprint 8", "")</f>
        <v>มาจาก Sprint 8</v>
      </c>
      <c r="U171" s="230" t="str">
        <f t="array" ref="U171">IF(ISNUMBER(MATCH(B171, 'Sprint 8'!B:B, 0)), INDEX('Sprint 8'!J:J, MATCH(B171, 'Sprint 8'!B:B, 0)), "")</f>
        <v>In Progress</v>
      </c>
      <c r="W171" s="102" t="s">
        <v>5944</v>
      </c>
      <c r="X171" s="102" t="s">
        <v>5919</v>
      </c>
      <c r="Y171" s="102" t="s">
        <v>5920</v>
      </c>
      <c r="Z171" s="102"/>
      <c r="AA171" s="230"/>
      <c r="AB171" s="102"/>
      <c r="AC171" s="102"/>
      <c r="AD171" s="102"/>
      <c r="AE171" s="102"/>
    </row>
    <row r="172">
      <c r="A172" s="102" t="s">
        <v>276</v>
      </c>
      <c r="B172" s="102" t="s">
        <v>7673</v>
      </c>
      <c r="C172" s="229" t="s">
        <v>7674</v>
      </c>
      <c r="D172" s="102" t="s">
        <v>7675</v>
      </c>
      <c r="E172" s="102" t="s">
        <v>391</v>
      </c>
      <c r="F172" s="102" t="s">
        <v>392</v>
      </c>
      <c r="G172" s="102" t="s">
        <v>391</v>
      </c>
      <c r="H172" s="102" t="s">
        <v>392</v>
      </c>
      <c r="I172" s="102" t="s">
        <v>284</v>
      </c>
      <c r="J172" s="102" t="s">
        <v>34</v>
      </c>
      <c r="L172" s="229" t="s">
        <v>7676</v>
      </c>
      <c r="M172" s="229" t="s">
        <v>8020</v>
      </c>
      <c r="N172" s="102"/>
      <c r="O172" s="102"/>
      <c r="P172" s="102"/>
      <c r="R172" s="102"/>
      <c r="S172" s="230"/>
      <c r="T172" s="230" t="str">
        <f>IF(ISNUMBER(MATCH(B172, 'Sprint 8'!B:B, 0)), "มาจาก Sprint 8", "")</f>
        <v>มาจาก Sprint 8</v>
      </c>
      <c r="U172" s="230" t="str">
        <f t="array" ref="U172">IF(ISNUMBER(MATCH(B172, 'Sprint 8'!B:B, 0)), INDEX('Sprint 8'!J:J, MATCH(B172, 'Sprint 8'!B:B, 0)), "")</f>
        <v>In Progress</v>
      </c>
      <c r="W172" s="102" t="s">
        <v>5944</v>
      </c>
      <c r="X172" s="102" t="s">
        <v>5919</v>
      </c>
      <c r="Y172" s="102" t="s">
        <v>5920</v>
      </c>
      <c r="Z172" s="102"/>
      <c r="AA172" s="230"/>
      <c r="AB172" s="102"/>
      <c r="AC172" s="102"/>
      <c r="AD172" s="102"/>
    </row>
    <row r="173">
      <c r="A173" s="102" t="s">
        <v>276</v>
      </c>
      <c r="B173" s="102" t="s">
        <v>7677</v>
      </c>
      <c r="C173" s="229" t="s">
        <v>7678</v>
      </c>
      <c r="D173" s="102" t="s">
        <v>7679</v>
      </c>
      <c r="E173" s="102" t="s">
        <v>391</v>
      </c>
      <c r="F173" s="102" t="s">
        <v>392</v>
      </c>
      <c r="G173" s="102" t="s">
        <v>391</v>
      </c>
      <c r="H173" s="102" t="s">
        <v>392</v>
      </c>
      <c r="I173" s="102" t="s">
        <v>284</v>
      </c>
      <c r="J173" s="102" t="s">
        <v>34</v>
      </c>
      <c r="L173" s="229" t="s">
        <v>7676</v>
      </c>
      <c r="M173" s="229" t="s">
        <v>8020</v>
      </c>
      <c r="N173" s="102"/>
      <c r="O173" s="102"/>
      <c r="P173" s="102"/>
      <c r="R173" s="102"/>
      <c r="S173" s="230"/>
      <c r="T173" s="230" t="str">
        <f>IF(ISNUMBER(MATCH(B173, 'Sprint 8'!B:B, 0)), "มาจาก Sprint 8", "")</f>
        <v>มาจาก Sprint 8</v>
      </c>
      <c r="U173" s="230" t="str">
        <f t="array" ref="U173">IF(ISNUMBER(MATCH(B173, 'Sprint 8'!B:B, 0)), INDEX('Sprint 8'!J:J, MATCH(B173, 'Sprint 8'!B:B, 0)), "")</f>
        <v>In Progress</v>
      </c>
      <c r="W173" s="102" t="s">
        <v>5944</v>
      </c>
      <c r="X173" s="102" t="s">
        <v>5919</v>
      </c>
      <c r="Y173" s="102" t="s">
        <v>5920</v>
      </c>
      <c r="Z173" s="102"/>
      <c r="AA173" s="230"/>
      <c r="AB173" s="102"/>
      <c r="AC173" s="102"/>
      <c r="AD173" s="102"/>
    </row>
    <row r="174">
      <c r="A174" s="102" t="s">
        <v>276</v>
      </c>
      <c r="B174" s="102" t="s">
        <v>7680</v>
      </c>
      <c r="C174" s="229" t="s">
        <v>7681</v>
      </c>
      <c r="D174" s="102" t="s">
        <v>7682</v>
      </c>
      <c r="E174" s="102" t="s">
        <v>391</v>
      </c>
      <c r="F174" s="102" t="s">
        <v>392</v>
      </c>
      <c r="G174" s="102" t="s">
        <v>391</v>
      </c>
      <c r="H174" s="102" t="s">
        <v>392</v>
      </c>
      <c r="I174" s="102" t="s">
        <v>284</v>
      </c>
      <c r="J174" s="102" t="s">
        <v>34</v>
      </c>
      <c r="L174" s="229" t="s">
        <v>7683</v>
      </c>
      <c r="M174" s="229" t="s">
        <v>8023</v>
      </c>
      <c r="N174" s="102"/>
      <c r="O174" s="102"/>
      <c r="P174" s="102"/>
      <c r="R174" s="102"/>
      <c r="S174" s="230"/>
      <c r="T174" s="230" t="str">
        <f>IF(ISNUMBER(MATCH(B174, 'Sprint 8'!B:B, 0)), "มาจาก Sprint 8", "")</f>
        <v>มาจาก Sprint 8</v>
      </c>
      <c r="U174" s="230" t="str">
        <f t="array" ref="U174">IF(ISNUMBER(MATCH(B174, 'Sprint 8'!B:B, 0)), INDEX('Sprint 8'!J:J, MATCH(B174, 'Sprint 8'!B:B, 0)), "")</f>
        <v>In Progress</v>
      </c>
      <c r="W174" s="102" t="s">
        <v>5944</v>
      </c>
      <c r="X174" s="102" t="s">
        <v>5919</v>
      </c>
      <c r="Y174" s="102" t="s">
        <v>5920</v>
      </c>
      <c r="Z174" s="102"/>
      <c r="AA174" s="230"/>
      <c r="AB174" s="102"/>
      <c r="AC174" s="102"/>
      <c r="AD174" s="102"/>
    </row>
    <row r="175">
      <c r="A175" s="102" t="s">
        <v>276</v>
      </c>
      <c r="B175" s="102" t="s">
        <v>7684</v>
      </c>
      <c r="C175" s="229" t="s">
        <v>7685</v>
      </c>
      <c r="D175" s="102" t="s">
        <v>7686</v>
      </c>
      <c r="E175" s="102" t="s">
        <v>391</v>
      </c>
      <c r="F175" s="102" t="s">
        <v>392</v>
      </c>
      <c r="G175" s="102" t="s">
        <v>391</v>
      </c>
      <c r="H175" s="102" t="s">
        <v>392</v>
      </c>
      <c r="I175" s="102" t="s">
        <v>284</v>
      </c>
      <c r="J175" s="102" t="s">
        <v>34</v>
      </c>
      <c r="L175" s="229" t="s">
        <v>7683</v>
      </c>
      <c r="M175" s="229" t="s">
        <v>8023</v>
      </c>
      <c r="N175" s="102"/>
      <c r="O175" s="102"/>
      <c r="P175" s="102"/>
      <c r="R175" s="102"/>
      <c r="S175" s="102"/>
      <c r="T175" s="230" t="str">
        <f>IF(ISNUMBER(MATCH(B175, 'Sprint 8'!B:B, 0)), "มาจาก Sprint 8", "")</f>
        <v>มาจาก Sprint 8</v>
      </c>
      <c r="U175" s="230" t="str">
        <f t="array" ref="U175">IF(ISNUMBER(MATCH(B175, 'Sprint 8'!B:B, 0)), INDEX('Sprint 8'!J:J, MATCH(B175, 'Sprint 8'!B:B, 0)), "")</f>
        <v>In Progress</v>
      </c>
      <c r="W175" s="102" t="s">
        <v>5944</v>
      </c>
      <c r="X175" s="102" t="s">
        <v>5919</v>
      </c>
      <c r="Y175" s="102" t="s">
        <v>5920</v>
      </c>
      <c r="Z175" s="102"/>
      <c r="AA175" s="230"/>
      <c r="AB175" s="102"/>
      <c r="AC175" s="102"/>
      <c r="AD175" s="102"/>
      <c r="AE175" s="102"/>
    </row>
    <row r="176">
      <c r="A176" s="102" t="s">
        <v>276</v>
      </c>
      <c r="B176" s="102" t="s">
        <v>7687</v>
      </c>
      <c r="C176" s="229" t="s">
        <v>7688</v>
      </c>
      <c r="D176" s="102" t="s">
        <v>7689</v>
      </c>
      <c r="E176" s="102" t="s">
        <v>391</v>
      </c>
      <c r="F176" s="102" t="s">
        <v>392</v>
      </c>
      <c r="G176" s="102" t="s">
        <v>391</v>
      </c>
      <c r="H176" s="102" t="s">
        <v>392</v>
      </c>
      <c r="I176" s="102" t="s">
        <v>284</v>
      </c>
      <c r="J176" s="102" t="s">
        <v>34</v>
      </c>
      <c r="L176" s="229" t="s">
        <v>7690</v>
      </c>
      <c r="M176" s="229" t="s">
        <v>8023</v>
      </c>
      <c r="N176" s="102"/>
      <c r="O176" s="102"/>
      <c r="P176" s="102"/>
      <c r="R176" s="102"/>
      <c r="S176" s="102"/>
      <c r="T176" s="230" t="str">
        <f>IF(ISNUMBER(MATCH(B176, 'Sprint 8'!B:B, 0)), "มาจาก Sprint 8", "")</f>
        <v>มาจาก Sprint 8</v>
      </c>
      <c r="U176" s="230" t="str">
        <f t="array" ref="U176">IF(ISNUMBER(MATCH(B176, 'Sprint 8'!B:B, 0)), INDEX('Sprint 8'!J:J, MATCH(B176, 'Sprint 8'!B:B, 0)), "")</f>
        <v>In Progress</v>
      </c>
      <c r="W176" s="102" t="s">
        <v>5944</v>
      </c>
      <c r="X176" s="102" t="s">
        <v>5919</v>
      </c>
      <c r="Y176" s="102" t="s">
        <v>5920</v>
      </c>
      <c r="Z176" s="102"/>
      <c r="AA176" s="230"/>
      <c r="AB176" s="102"/>
      <c r="AC176" s="102"/>
      <c r="AD176" s="102"/>
      <c r="AE176" s="102"/>
    </row>
    <row r="177">
      <c r="A177" s="102" t="s">
        <v>276</v>
      </c>
      <c r="B177" s="102" t="s">
        <v>7691</v>
      </c>
      <c r="C177" s="229" t="s">
        <v>7692</v>
      </c>
      <c r="D177" s="102" t="s">
        <v>4345</v>
      </c>
      <c r="E177" s="102" t="s">
        <v>391</v>
      </c>
      <c r="F177" s="102" t="s">
        <v>392</v>
      </c>
      <c r="G177" s="102" t="s">
        <v>391</v>
      </c>
      <c r="H177" s="102" t="s">
        <v>392</v>
      </c>
      <c r="I177" s="102" t="s">
        <v>284</v>
      </c>
      <c r="J177" s="102" t="s">
        <v>63</v>
      </c>
      <c r="L177" s="229" t="s">
        <v>7693</v>
      </c>
      <c r="M177" s="229" t="s">
        <v>7693</v>
      </c>
      <c r="N177" s="102"/>
      <c r="O177" s="102"/>
      <c r="P177" s="102"/>
      <c r="S177" s="230"/>
      <c r="T177" s="230" t="str">
        <f>IF(ISNUMBER(MATCH(B177, 'Sprint 8'!B:B, 0)), "มาจาก Sprint 8", "")</f>
        <v>มาจาก Sprint 8</v>
      </c>
      <c r="U177" s="230" t="str">
        <f t="array" ref="U177">IF(ISNUMBER(MATCH(B177, 'Sprint 8'!B:B, 0)), INDEX('Sprint 8'!J:J, MATCH(B177, 'Sprint 8'!B:B, 0)), "")</f>
        <v>To Do</v>
      </c>
      <c r="W177" s="102" t="s">
        <v>7695</v>
      </c>
      <c r="X177" s="102" t="s">
        <v>7696</v>
      </c>
      <c r="Y177" s="102" t="s">
        <v>5944</v>
      </c>
      <c r="Z177" s="102" t="s">
        <v>5919</v>
      </c>
      <c r="AA177" s="102" t="s">
        <v>5920</v>
      </c>
      <c r="AB177" s="102"/>
      <c r="AC177" s="102"/>
      <c r="AD177" s="102"/>
      <c r="AE177" s="102"/>
    </row>
    <row r="178">
      <c r="A178" s="102" t="s">
        <v>276</v>
      </c>
      <c r="B178" s="102" t="s">
        <v>6462</v>
      </c>
      <c r="C178" s="229" t="s">
        <v>6463</v>
      </c>
      <c r="D178" s="102" t="s">
        <v>4345</v>
      </c>
      <c r="E178" s="102" t="s">
        <v>280</v>
      </c>
      <c r="F178" s="102" t="s">
        <v>281</v>
      </c>
      <c r="G178" s="102" t="s">
        <v>391</v>
      </c>
      <c r="H178" s="102" t="s">
        <v>392</v>
      </c>
      <c r="I178" s="102" t="s">
        <v>284</v>
      </c>
      <c r="J178" s="102" t="s">
        <v>63</v>
      </c>
      <c r="L178" s="229" t="s">
        <v>6464</v>
      </c>
      <c r="M178" s="229" t="s">
        <v>6464</v>
      </c>
      <c r="N178" s="102"/>
      <c r="O178" s="102"/>
      <c r="P178" s="102"/>
      <c r="Q178" s="102"/>
      <c r="R178" s="230"/>
      <c r="S178" s="102"/>
      <c r="T178" s="230" t="str">
        <f>IF(ISNUMBER(MATCH(B178, 'Sprint 8'!B:B, 0)), "มาจาก Sprint 8", "")</f>
        <v>มาจาก Sprint 8</v>
      </c>
      <c r="U178" s="230" t="str">
        <f t="array" ref="U178">IF(ISNUMBER(MATCH(B178, 'Sprint 8'!B:B, 0)), INDEX('Sprint 8'!J:J, MATCH(B178, 'Sprint 8'!B:B, 0)), "")</f>
        <v>To Do</v>
      </c>
      <c r="W178" s="102" t="s">
        <v>5944</v>
      </c>
      <c r="X178" s="102" t="s">
        <v>5919</v>
      </c>
      <c r="Y178" s="102" t="s">
        <v>5920</v>
      </c>
      <c r="Z178" s="102"/>
      <c r="AA178" s="102"/>
      <c r="AB178" s="102"/>
      <c r="AC178" s="102"/>
      <c r="AD178" s="102"/>
      <c r="AE178" s="102"/>
    </row>
    <row r="179">
      <c r="A179" s="102" t="s">
        <v>276</v>
      </c>
      <c r="B179" s="102" t="s">
        <v>8603</v>
      </c>
      <c r="C179" s="229" t="s">
        <v>8604</v>
      </c>
      <c r="D179" s="102" t="s">
        <v>4345</v>
      </c>
      <c r="E179" s="102" t="s">
        <v>521</v>
      </c>
      <c r="F179" s="102" t="s">
        <v>522</v>
      </c>
      <c r="G179" s="102" t="s">
        <v>391</v>
      </c>
      <c r="H179" s="102" t="s">
        <v>392</v>
      </c>
      <c r="I179" s="102" t="s">
        <v>284</v>
      </c>
      <c r="J179" s="102" t="s">
        <v>63</v>
      </c>
      <c r="L179" s="229" t="s">
        <v>6464</v>
      </c>
      <c r="M179" s="229" t="s">
        <v>6464</v>
      </c>
      <c r="N179" s="102"/>
      <c r="O179" s="102"/>
      <c r="P179" s="102"/>
      <c r="R179" s="230"/>
      <c r="S179" s="102"/>
      <c r="T179" s="230" t="str">
        <f>IF(ISNUMBER(MATCH(B179, 'Sprint 8'!B:B, 0)), "มาจาก Sprint 8", "")</f>
        <v>มาจาก Sprint 8</v>
      </c>
      <c r="U179" s="230" t="str">
        <f t="array" ref="U179">IF(ISNUMBER(MATCH(B179, 'Sprint 8'!B:B, 0)), INDEX('Sprint 8'!J:J, MATCH(B179, 'Sprint 8'!B:B, 0)), "")</f>
        <v>To Do</v>
      </c>
      <c r="W179" s="102" t="s">
        <v>5919</v>
      </c>
      <c r="X179" s="102" t="s">
        <v>5920</v>
      </c>
      <c r="Y179" s="102"/>
      <c r="Z179" s="102"/>
      <c r="AA179" s="102"/>
      <c r="AB179" s="102"/>
      <c r="AC179" s="102"/>
      <c r="AD179" s="102"/>
      <c r="AE179" s="102"/>
    </row>
    <row r="180">
      <c r="A180" s="102" t="s">
        <v>276</v>
      </c>
      <c r="B180" s="102" t="s">
        <v>8024</v>
      </c>
      <c r="C180" s="229" t="s">
        <v>8025</v>
      </c>
      <c r="D180" s="102" t="s">
        <v>8026</v>
      </c>
      <c r="E180" s="102" t="s">
        <v>521</v>
      </c>
      <c r="F180" s="102" t="s">
        <v>522</v>
      </c>
      <c r="G180" s="102" t="s">
        <v>391</v>
      </c>
      <c r="H180" s="102" t="s">
        <v>392</v>
      </c>
      <c r="I180" s="102" t="s">
        <v>284</v>
      </c>
      <c r="J180" s="102" t="s">
        <v>26</v>
      </c>
      <c r="L180" s="229" t="s">
        <v>7700</v>
      </c>
      <c r="M180" s="229" t="s">
        <v>8027</v>
      </c>
      <c r="N180" s="102"/>
      <c r="O180" s="102"/>
      <c r="P180" s="102"/>
      <c r="Q180" s="102"/>
      <c r="R180" s="102"/>
      <c r="S180" s="230"/>
      <c r="T180" s="230" t="str">
        <f>IF(ISNUMBER(MATCH(B180, 'Sprint 8'!B:B, 0)), "มาจาก Sprint 8", "")</f>
        <v>มาจาก Sprint 8</v>
      </c>
      <c r="U180" s="230" t="str">
        <f t="array" ref="U180">IF(ISNUMBER(MATCH(B180, 'Sprint 8'!B:B, 0)), INDEX('Sprint 8'!J:J, MATCH(B180, 'Sprint 8'!B:B, 0)), "")</f>
        <v>Done</v>
      </c>
      <c r="W180" s="102" t="s">
        <v>5944</v>
      </c>
      <c r="X180" s="102" t="s">
        <v>5919</v>
      </c>
      <c r="Y180" s="102" t="s">
        <v>5920</v>
      </c>
      <c r="Z180" s="102"/>
      <c r="AA180" s="102"/>
      <c r="AB180" s="102"/>
      <c r="AC180" s="102"/>
      <c r="AD180" s="102"/>
      <c r="AE180" s="102"/>
    </row>
    <row r="181">
      <c r="A181" s="102" t="s">
        <v>276</v>
      </c>
      <c r="B181" s="102" t="s">
        <v>7697</v>
      </c>
      <c r="C181" s="229" t="s">
        <v>7698</v>
      </c>
      <c r="D181" s="102" t="s">
        <v>4345</v>
      </c>
      <c r="E181" s="102" t="s">
        <v>391</v>
      </c>
      <c r="F181" s="102" t="s">
        <v>392</v>
      </c>
      <c r="G181" s="102" t="s">
        <v>391</v>
      </c>
      <c r="H181" s="102" t="s">
        <v>392</v>
      </c>
      <c r="I181" s="102" t="s">
        <v>284</v>
      </c>
      <c r="J181" s="102" t="s">
        <v>63</v>
      </c>
      <c r="L181" s="229" t="s">
        <v>7700</v>
      </c>
      <c r="M181" s="229" t="s">
        <v>7700</v>
      </c>
      <c r="N181" s="102"/>
      <c r="O181" s="102"/>
      <c r="P181" s="102"/>
      <c r="Q181" s="102"/>
      <c r="R181" s="102"/>
      <c r="S181" s="230"/>
      <c r="T181" s="230" t="str">
        <f>IF(ISNUMBER(MATCH(B181, 'Sprint 8'!B:B, 0)), "มาจาก Sprint 8", "")</f>
        <v>มาจาก Sprint 8</v>
      </c>
      <c r="U181" s="230" t="str">
        <f t="array" ref="U181">IF(ISNUMBER(MATCH(B181, 'Sprint 8'!B:B, 0)), INDEX('Sprint 8'!J:J, MATCH(B181, 'Sprint 8'!B:B, 0)), "")</f>
        <v>To Do</v>
      </c>
      <c r="W181" s="102" t="s">
        <v>5944</v>
      </c>
      <c r="X181" s="102" t="s">
        <v>5919</v>
      </c>
      <c r="Y181" s="102" t="s">
        <v>5920</v>
      </c>
      <c r="Z181" s="102"/>
      <c r="AA181" s="102"/>
      <c r="AB181" s="102"/>
      <c r="AC181" s="102"/>
      <c r="AD181" s="102"/>
      <c r="AE181" s="102"/>
    </row>
    <row r="182">
      <c r="A182" s="102" t="s">
        <v>276</v>
      </c>
      <c r="B182" s="102" t="s">
        <v>8028</v>
      </c>
      <c r="C182" s="229" t="s">
        <v>8029</v>
      </c>
      <c r="D182" s="102" t="s">
        <v>8030</v>
      </c>
      <c r="E182" s="102" t="s">
        <v>521</v>
      </c>
      <c r="F182" s="102" t="s">
        <v>522</v>
      </c>
      <c r="G182" s="102" t="s">
        <v>391</v>
      </c>
      <c r="H182" s="102" t="s">
        <v>392</v>
      </c>
      <c r="I182" s="102" t="s">
        <v>284</v>
      </c>
      <c r="J182" s="102" t="s">
        <v>26</v>
      </c>
      <c r="L182" s="229" t="s">
        <v>8031</v>
      </c>
      <c r="M182" s="229" t="s">
        <v>8032</v>
      </c>
      <c r="N182" s="102"/>
      <c r="O182" s="102"/>
      <c r="P182" s="102"/>
      <c r="R182" s="102"/>
      <c r="S182" s="230"/>
      <c r="T182" s="230" t="str">
        <f>IF(ISNUMBER(MATCH(B182, 'Sprint 8'!B:B, 0)), "มาจาก Sprint 8", "")</f>
        <v>มาจาก Sprint 8</v>
      </c>
      <c r="U182" s="230" t="str">
        <f t="array" ref="U182">IF(ISNUMBER(MATCH(B182, 'Sprint 8'!B:B, 0)), INDEX('Sprint 8'!J:J, MATCH(B182, 'Sprint 8'!B:B, 0)), "")</f>
        <v>Done</v>
      </c>
      <c r="W182" s="102" t="s">
        <v>5944</v>
      </c>
      <c r="X182" s="102" t="s">
        <v>5919</v>
      </c>
      <c r="Y182" s="102" t="s">
        <v>5920</v>
      </c>
      <c r="Z182" s="102"/>
      <c r="AA182" s="230"/>
      <c r="AB182" s="102"/>
      <c r="AC182" s="102"/>
      <c r="AD182" s="102"/>
      <c r="AE182" s="102"/>
    </row>
    <row r="183">
      <c r="A183" s="102" t="s">
        <v>276</v>
      </c>
      <c r="B183" s="102" t="s">
        <v>9024</v>
      </c>
      <c r="C183" s="229" t="s">
        <v>9025</v>
      </c>
      <c r="D183" s="102" t="s">
        <v>9026</v>
      </c>
      <c r="E183" s="102" t="s">
        <v>521</v>
      </c>
      <c r="F183" s="102" t="s">
        <v>522</v>
      </c>
      <c r="G183" s="102" t="s">
        <v>391</v>
      </c>
      <c r="H183" s="102" t="s">
        <v>392</v>
      </c>
      <c r="I183" s="102" t="s">
        <v>284</v>
      </c>
      <c r="J183" s="102" t="s">
        <v>26</v>
      </c>
      <c r="L183" s="229" t="s">
        <v>9027</v>
      </c>
      <c r="M183" s="229" t="s">
        <v>8758</v>
      </c>
      <c r="N183" s="102"/>
      <c r="O183" s="102"/>
      <c r="P183" s="102"/>
      <c r="R183" s="102"/>
      <c r="S183" s="102"/>
      <c r="T183" s="230" t="str">
        <f>IF(ISNUMBER(MATCH(B183, 'Sprint 8'!B:B, 0)), "มาจาก Sprint 8", "")</f>
        <v>มาจาก Sprint 8</v>
      </c>
      <c r="U183" s="230" t="str">
        <f t="array" ref="U183">IF(ISNUMBER(MATCH(B183, 'Sprint 8'!B:B, 0)), INDEX('Sprint 8'!J:J, MATCH(B183, 'Sprint 8'!B:B, 0)), "")</f>
        <v>To Do</v>
      </c>
      <c r="W183" s="102" t="s">
        <v>8754</v>
      </c>
      <c r="X183" s="102" t="s">
        <v>8755</v>
      </c>
      <c r="Y183" s="102" t="s">
        <v>6448</v>
      </c>
      <c r="Z183" s="102"/>
      <c r="AA183" s="230"/>
      <c r="AB183" s="102"/>
      <c r="AC183" s="102"/>
      <c r="AD183" s="102"/>
      <c r="AE183" s="102"/>
    </row>
    <row r="184">
      <c r="A184" s="102" t="s">
        <v>276</v>
      </c>
      <c r="B184" s="102" t="s">
        <v>9028</v>
      </c>
      <c r="C184" s="229" t="s">
        <v>9029</v>
      </c>
      <c r="D184" s="102" t="s">
        <v>9026</v>
      </c>
      <c r="E184" s="102" t="s">
        <v>521</v>
      </c>
      <c r="F184" s="102" t="s">
        <v>522</v>
      </c>
      <c r="G184" s="102" t="s">
        <v>391</v>
      </c>
      <c r="H184" s="102" t="s">
        <v>392</v>
      </c>
      <c r="I184" s="102" t="s">
        <v>284</v>
      </c>
      <c r="J184" s="102" t="s">
        <v>26</v>
      </c>
      <c r="L184" s="229" t="s">
        <v>9027</v>
      </c>
      <c r="M184" s="229" t="s">
        <v>9030</v>
      </c>
      <c r="N184" s="102"/>
      <c r="O184" s="102"/>
      <c r="P184" s="102"/>
      <c r="R184" s="102"/>
      <c r="S184" s="102"/>
      <c r="T184" s="230" t="str">
        <f>IF(ISNUMBER(MATCH(B184, 'Sprint 8'!B:B, 0)), "มาจาก Sprint 8", "")</f>
        <v>มาจาก Sprint 8</v>
      </c>
      <c r="U184" s="230" t="str">
        <f t="array" ref="U184">IF(ISNUMBER(MATCH(B184, 'Sprint 8'!B:B, 0)), INDEX('Sprint 8'!J:J, MATCH(B184, 'Sprint 8'!B:B, 0)), "")</f>
        <v>To Do</v>
      </c>
      <c r="W184" s="102" t="s">
        <v>8754</v>
      </c>
      <c r="X184" s="102" t="s">
        <v>8755</v>
      </c>
      <c r="Y184" s="102" t="s">
        <v>6448</v>
      </c>
      <c r="Z184" s="102"/>
      <c r="AA184" s="230"/>
      <c r="AB184" s="102"/>
      <c r="AC184" s="102"/>
      <c r="AD184" s="102"/>
      <c r="AE184" s="102"/>
    </row>
    <row r="185">
      <c r="A185" s="102" t="s">
        <v>310</v>
      </c>
      <c r="B185" s="102" t="s">
        <v>8605</v>
      </c>
      <c r="C185" s="229" t="s">
        <v>8606</v>
      </c>
      <c r="D185" s="102" t="s">
        <v>8607</v>
      </c>
      <c r="E185" s="102" t="s">
        <v>513</v>
      </c>
      <c r="F185" s="102" t="s">
        <v>514</v>
      </c>
      <c r="G185" s="102" t="s">
        <v>353</v>
      </c>
      <c r="H185" s="102" t="s">
        <v>354</v>
      </c>
      <c r="I185" s="102" t="s">
        <v>284</v>
      </c>
      <c r="J185" s="102" t="s">
        <v>454</v>
      </c>
      <c r="L185" s="229" t="s">
        <v>8608</v>
      </c>
      <c r="M185" s="229" t="s">
        <v>8954</v>
      </c>
      <c r="N185" s="229" t="s">
        <v>6481</v>
      </c>
      <c r="O185" s="102">
        <v>5.0</v>
      </c>
      <c r="P185" s="102"/>
      <c r="Q185" s="102"/>
      <c r="R185" s="102"/>
      <c r="S185" s="102">
        <v>0.0</v>
      </c>
      <c r="T185" s="230" t="str">
        <f>IF(ISNUMBER(MATCH(B185, 'Sprint 8'!B:B, 0)), "มาจาก Sprint 8", "")</f>
        <v>มาจาก Sprint 8</v>
      </c>
      <c r="U185" s="230" t="str">
        <f t="array" ref="U185">IF(ISNUMBER(MATCH(B185, 'Sprint 8'!B:B, 0)), INDEX('Sprint 8'!J:J, MATCH(B185, 'Sprint 8'!B:B, 0)), "")</f>
        <v>Ready To Test</v>
      </c>
      <c r="V185" s="102">
        <v>57600.0</v>
      </c>
      <c r="W185" s="102" t="s">
        <v>5944</v>
      </c>
      <c r="X185" s="102" t="s">
        <v>5919</v>
      </c>
      <c r="Y185" s="102" t="s">
        <v>5920</v>
      </c>
      <c r="Z185" s="102"/>
      <c r="AA185" s="230"/>
      <c r="AB185" s="102"/>
      <c r="AC185" s="102"/>
      <c r="AD185" s="102"/>
      <c r="AE185" s="102"/>
    </row>
    <row r="186">
      <c r="A186" s="102" t="s">
        <v>310</v>
      </c>
      <c r="B186" s="102" t="s">
        <v>7702</v>
      </c>
      <c r="C186" s="229" t="s">
        <v>7703</v>
      </c>
      <c r="D186" s="102" t="s">
        <v>7704</v>
      </c>
      <c r="E186" s="102" t="s">
        <v>584</v>
      </c>
      <c r="F186" s="102" t="s">
        <v>585</v>
      </c>
      <c r="G186" s="102" t="s">
        <v>282</v>
      </c>
      <c r="H186" s="102" t="s">
        <v>283</v>
      </c>
      <c r="I186" s="102" t="s">
        <v>284</v>
      </c>
      <c r="J186" s="102" t="s">
        <v>454</v>
      </c>
      <c r="L186" s="229" t="s">
        <v>7705</v>
      </c>
      <c r="M186" s="229" t="s">
        <v>8954</v>
      </c>
      <c r="N186" s="229" t="s">
        <v>6456</v>
      </c>
      <c r="O186" s="102">
        <v>3.0</v>
      </c>
      <c r="P186" s="102" t="s">
        <v>5912</v>
      </c>
      <c r="R186" s="102"/>
      <c r="S186" s="102">
        <v>0.0</v>
      </c>
      <c r="T186" s="230" t="str">
        <f>IF(ISNUMBER(MATCH(B186, 'Sprint 8'!B:B, 0)), "มาจาก Sprint 8", "")</f>
        <v>มาจาก Sprint 8</v>
      </c>
      <c r="U186" s="230" t="str">
        <f t="array" ref="U186">IF(ISNUMBER(MATCH(B186, 'Sprint 8'!B:B, 0)), INDEX('Sprint 8'!J:J, MATCH(B186, 'Sprint 8'!B:B, 0)), "")</f>
        <v>Ready To Test</v>
      </c>
      <c r="V186" s="102">
        <v>21600.0</v>
      </c>
      <c r="W186" s="102" t="s">
        <v>5919</v>
      </c>
      <c r="X186" s="102" t="s">
        <v>5920</v>
      </c>
      <c r="Y186" s="102"/>
      <c r="Z186" s="102"/>
      <c r="AA186" s="230"/>
      <c r="AB186" s="102"/>
      <c r="AC186" s="102"/>
      <c r="AD186" s="102"/>
      <c r="AE186" s="102"/>
    </row>
    <row r="187">
      <c r="A187" s="102" t="s">
        <v>310</v>
      </c>
      <c r="B187" s="102" t="s">
        <v>9031</v>
      </c>
      <c r="C187" s="229" t="s">
        <v>9032</v>
      </c>
      <c r="D187" s="102" t="s">
        <v>9033</v>
      </c>
      <c r="E187" s="102" t="s">
        <v>353</v>
      </c>
      <c r="F187" s="102" t="s">
        <v>354</v>
      </c>
      <c r="G187" s="102" t="s">
        <v>316</v>
      </c>
      <c r="H187" s="102" t="s">
        <v>317</v>
      </c>
      <c r="I187" s="102" t="s">
        <v>284</v>
      </c>
      <c r="J187" s="102" t="s">
        <v>26</v>
      </c>
      <c r="L187" s="229" t="s">
        <v>9034</v>
      </c>
      <c r="M187" s="229" t="s">
        <v>9035</v>
      </c>
      <c r="N187" s="102"/>
      <c r="O187" s="102">
        <v>1.0</v>
      </c>
      <c r="P187" s="102"/>
      <c r="R187" s="102"/>
      <c r="S187" s="102">
        <v>3600.0</v>
      </c>
      <c r="T187" s="230" t="str">
        <f>IF(ISNUMBER(MATCH(B187, 'Sprint 8'!B:B, 0)), "มาจาก Sprint 8", "")</f>
        <v/>
      </c>
      <c r="U187" s="230" t="str">
        <f t="array" ref="U187">IF(ISNUMBER(MATCH(B187, 'Sprint 8'!B:B, 0)), INDEX('Sprint 8'!J:J, MATCH(B187, 'Sprint 8'!B:B, 0)), "")</f>
        <v/>
      </c>
      <c r="W187" s="102" t="s">
        <v>4960</v>
      </c>
      <c r="X187" s="102"/>
      <c r="Y187" s="102"/>
      <c r="Z187" s="102"/>
      <c r="AA187" s="230"/>
      <c r="AB187" s="102"/>
      <c r="AC187" s="102"/>
      <c r="AD187" s="102"/>
      <c r="AE187" s="102"/>
    </row>
    <row r="188">
      <c r="A188" s="102" t="s">
        <v>310</v>
      </c>
      <c r="B188" s="102" t="s">
        <v>6466</v>
      </c>
      <c r="C188" s="229" t="s">
        <v>6467</v>
      </c>
      <c r="D188" s="102" t="s">
        <v>6468</v>
      </c>
      <c r="E188" s="102" t="s">
        <v>304</v>
      </c>
      <c r="F188" s="102" t="s">
        <v>305</v>
      </c>
      <c r="G188" s="102" t="s">
        <v>353</v>
      </c>
      <c r="H188" s="102" t="s">
        <v>354</v>
      </c>
      <c r="I188" s="102" t="s">
        <v>284</v>
      </c>
      <c r="J188" s="102" t="s">
        <v>454</v>
      </c>
      <c r="L188" s="229" t="s">
        <v>6469</v>
      </c>
      <c r="M188" s="229" t="s">
        <v>8954</v>
      </c>
      <c r="N188" s="229" t="s">
        <v>6471</v>
      </c>
      <c r="O188" s="102">
        <v>3.0</v>
      </c>
      <c r="P188" s="102" t="s">
        <v>3197</v>
      </c>
      <c r="Q188" s="102" t="s">
        <v>593</v>
      </c>
      <c r="R188" s="102"/>
      <c r="S188" s="102">
        <v>0.0</v>
      </c>
      <c r="T188" s="230" t="str">
        <f>IF(ISNUMBER(MATCH(B188, 'Sprint 8'!B:B, 0)), "มาจาก Sprint 8", "")</f>
        <v>มาจาก Sprint 8</v>
      </c>
      <c r="U188" s="230" t="str">
        <f t="array" ref="U188">IF(ISNUMBER(MATCH(B188, 'Sprint 8'!B:B, 0)), INDEX('Sprint 8'!J:J, MATCH(B188, 'Sprint 8'!B:B, 0)), "")</f>
        <v>Ready To Test</v>
      </c>
      <c r="V188" s="102">
        <v>18000.0</v>
      </c>
      <c r="W188" s="102" t="s">
        <v>5944</v>
      </c>
      <c r="X188" s="102" t="s">
        <v>5919</v>
      </c>
      <c r="Y188" s="102" t="s">
        <v>5920</v>
      </c>
      <c r="Z188" s="102"/>
      <c r="AA188" s="230"/>
      <c r="AB188" s="102"/>
      <c r="AC188" s="102"/>
      <c r="AD188" s="102"/>
      <c r="AE188" s="102"/>
    </row>
    <row r="189">
      <c r="A189" s="102" t="s">
        <v>310</v>
      </c>
      <c r="B189" s="102" t="s">
        <v>7706</v>
      </c>
      <c r="C189" s="229" t="s">
        <v>7707</v>
      </c>
      <c r="D189" s="102" t="s">
        <v>8610</v>
      </c>
      <c r="E189" s="102" t="s">
        <v>353</v>
      </c>
      <c r="F189" s="102" t="s">
        <v>354</v>
      </c>
      <c r="G189" s="102" t="s">
        <v>353</v>
      </c>
      <c r="H189" s="102" t="s">
        <v>354</v>
      </c>
      <c r="I189" s="102" t="s">
        <v>515</v>
      </c>
      <c r="J189" s="102" t="s">
        <v>34</v>
      </c>
      <c r="L189" s="229" t="s">
        <v>7709</v>
      </c>
      <c r="M189" s="229" t="s">
        <v>8954</v>
      </c>
      <c r="N189" s="102"/>
      <c r="O189" s="102">
        <v>5.0</v>
      </c>
      <c r="P189" s="102"/>
      <c r="R189" s="102"/>
      <c r="S189" s="102">
        <v>57600.0</v>
      </c>
      <c r="T189" s="230" t="str">
        <f>IF(ISNUMBER(MATCH(B189, 'Sprint 8'!B:B, 0)), "มาจาก Sprint 8", "")</f>
        <v>มาจาก Sprint 8</v>
      </c>
      <c r="U189" s="230" t="str">
        <f t="array" ref="U189">IF(ISNUMBER(MATCH(B189, 'Sprint 8'!B:B, 0)), INDEX('Sprint 8'!J:J, MATCH(B189, 'Sprint 8'!B:B, 0)), "")</f>
        <v>In Progress</v>
      </c>
      <c r="W189" s="102" t="s">
        <v>5919</v>
      </c>
      <c r="X189" s="102" t="s">
        <v>5920</v>
      </c>
      <c r="Y189" s="102"/>
      <c r="Z189" s="102"/>
      <c r="AA189" s="230"/>
      <c r="AB189" s="102"/>
      <c r="AC189" s="102"/>
      <c r="AD189" s="102"/>
      <c r="AE189" s="102"/>
    </row>
    <row r="190">
      <c r="A190" s="102" t="s">
        <v>310</v>
      </c>
      <c r="B190" s="102" t="s">
        <v>8612</v>
      </c>
      <c r="C190" s="229" t="s">
        <v>8613</v>
      </c>
      <c r="D190" s="102" t="s">
        <v>8614</v>
      </c>
      <c r="E190" s="102" t="s">
        <v>304</v>
      </c>
      <c r="F190" s="102" t="s">
        <v>305</v>
      </c>
      <c r="G190" s="102" t="s">
        <v>314</v>
      </c>
      <c r="H190" s="102" t="s">
        <v>315</v>
      </c>
      <c r="I190" s="102" t="s">
        <v>284</v>
      </c>
      <c r="J190" s="102" t="s">
        <v>454</v>
      </c>
      <c r="L190" s="229" t="s">
        <v>8615</v>
      </c>
      <c r="M190" s="229" t="s">
        <v>9036</v>
      </c>
      <c r="N190" s="229" t="s">
        <v>8602</v>
      </c>
      <c r="O190" s="102">
        <v>5.0</v>
      </c>
      <c r="P190" s="102" t="s">
        <v>1305</v>
      </c>
      <c r="Q190" s="102" t="s">
        <v>593</v>
      </c>
      <c r="R190" s="102"/>
      <c r="S190" s="102"/>
      <c r="T190" s="230" t="str">
        <f>IF(ISNUMBER(MATCH(B190, 'Sprint 8'!B:B, 0)), "มาจาก Sprint 8", "")</f>
        <v>มาจาก Sprint 8</v>
      </c>
      <c r="U190" s="230" t="str">
        <f t="array" ref="U190">IF(ISNUMBER(MATCH(B190, 'Sprint 8'!B:B, 0)), INDEX('Sprint 8'!J:J, MATCH(B190, 'Sprint 8'!B:B, 0)), "")</f>
        <v>Ready to Staging</v>
      </c>
      <c r="W190" s="102" t="s">
        <v>1362</v>
      </c>
      <c r="X190" s="102" t="s">
        <v>1363</v>
      </c>
      <c r="Y190" s="102"/>
      <c r="Z190" s="102"/>
      <c r="AA190" s="230"/>
      <c r="AB190" s="102"/>
      <c r="AC190" s="102"/>
      <c r="AD190" s="102"/>
      <c r="AE190" s="102"/>
    </row>
    <row r="191">
      <c r="A191" s="102" t="s">
        <v>332</v>
      </c>
      <c r="B191" s="102" t="s">
        <v>8622</v>
      </c>
      <c r="C191" s="229" t="s">
        <v>8623</v>
      </c>
      <c r="D191" s="102" t="s">
        <v>8624</v>
      </c>
      <c r="E191" s="102" t="s">
        <v>304</v>
      </c>
      <c r="F191" s="102" t="s">
        <v>305</v>
      </c>
      <c r="G191" s="102" t="s">
        <v>316</v>
      </c>
      <c r="H191" s="102" t="s">
        <v>317</v>
      </c>
      <c r="I191" s="102" t="s">
        <v>284</v>
      </c>
      <c r="J191" s="102" t="s">
        <v>2231</v>
      </c>
      <c r="L191" s="229" t="s">
        <v>8625</v>
      </c>
      <c r="M191" s="229" t="s">
        <v>9037</v>
      </c>
      <c r="N191" s="102"/>
      <c r="O191" s="102"/>
      <c r="P191" s="102"/>
      <c r="R191" s="102"/>
      <c r="S191" s="102"/>
      <c r="T191" s="230" t="str">
        <f>IF(ISNUMBER(MATCH(B191, 'Sprint 8'!B:B, 0)), "มาจาก Sprint 8", "")</f>
        <v/>
      </c>
      <c r="U191" s="230" t="str">
        <f t="array" ref="U191">IF(ISNUMBER(MATCH(B191, 'Sprint 8'!B:B, 0)), INDEX('Sprint 8'!J:J, MATCH(B191, 'Sprint 8'!B:B, 0)), "")</f>
        <v/>
      </c>
      <c r="W191" s="102" t="s">
        <v>4960</v>
      </c>
      <c r="X191" s="102"/>
      <c r="Y191" s="102"/>
      <c r="Z191" s="102"/>
      <c r="AA191" s="230"/>
      <c r="AB191" s="102"/>
      <c r="AC191" s="102"/>
      <c r="AD191" s="102"/>
      <c r="AE191" s="102"/>
    </row>
    <row r="192">
      <c r="A192" s="102" t="s">
        <v>332</v>
      </c>
      <c r="B192" s="102" t="s">
        <v>9038</v>
      </c>
      <c r="C192" s="229" t="s">
        <v>9039</v>
      </c>
      <c r="D192" s="102" t="s">
        <v>9040</v>
      </c>
      <c r="E192" s="102" t="s">
        <v>304</v>
      </c>
      <c r="F192" s="102" t="s">
        <v>305</v>
      </c>
      <c r="G192" s="102" t="s">
        <v>304</v>
      </c>
      <c r="H192" s="102" t="s">
        <v>305</v>
      </c>
      <c r="I192" s="102" t="s">
        <v>284</v>
      </c>
      <c r="J192" s="102" t="s">
        <v>336</v>
      </c>
      <c r="L192" s="229" t="s">
        <v>9041</v>
      </c>
      <c r="M192" s="229" t="s">
        <v>9042</v>
      </c>
      <c r="N192" s="229" t="s">
        <v>8047</v>
      </c>
      <c r="O192" s="102">
        <v>1.0</v>
      </c>
      <c r="P192" s="102" t="s">
        <v>1808</v>
      </c>
      <c r="R192" s="230"/>
      <c r="S192" s="102">
        <v>7200.0</v>
      </c>
      <c r="T192" s="230" t="str">
        <f>IF(ISNUMBER(MATCH(B192, 'Sprint 8'!B:B, 0)), "มาจาก Sprint 8", "")</f>
        <v>มาจาก Sprint 8</v>
      </c>
      <c r="U192" s="230" t="str">
        <f t="array" ref="U192">IF(ISNUMBER(MATCH(B192, 'Sprint 8'!B:B, 0)), INDEX('Sprint 8'!J:J, MATCH(B192, 'Sprint 8'!B:B, 0)), "")</f>
        <v>Resolved</v>
      </c>
      <c r="W192" s="102" t="s">
        <v>8754</v>
      </c>
      <c r="X192" s="102" t="s">
        <v>8755</v>
      </c>
      <c r="Y192" s="102" t="s">
        <v>6448</v>
      </c>
      <c r="Z192" s="102"/>
      <c r="AA192" s="102"/>
      <c r="AB192" s="102"/>
      <c r="AC192" s="102"/>
      <c r="AD192" s="102"/>
      <c r="AE192" s="102"/>
    </row>
    <row r="193">
      <c r="A193" s="102" t="s">
        <v>310</v>
      </c>
      <c r="B193" s="102" t="s">
        <v>9043</v>
      </c>
      <c r="C193" s="229" t="s">
        <v>9044</v>
      </c>
      <c r="D193" s="102" t="s">
        <v>9045</v>
      </c>
      <c r="E193" s="102" t="s">
        <v>304</v>
      </c>
      <c r="F193" s="102" t="s">
        <v>305</v>
      </c>
      <c r="G193" s="102" t="s">
        <v>304</v>
      </c>
      <c r="H193" s="102" t="s">
        <v>305</v>
      </c>
      <c r="I193" s="102" t="s">
        <v>284</v>
      </c>
      <c r="J193" s="102" t="s">
        <v>26</v>
      </c>
      <c r="L193" s="229" t="s">
        <v>9046</v>
      </c>
      <c r="M193" s="229" t="s">
        <v>8842</v>
      </c>
      <c r="N193" s="229" t="s">
        <v>8047</v>
      </c>
      <c r="O193" s="102">
        <v>1.0</v>
      </c>
      <c r="P193" s="102" t="s">
        <v>1808</v>
      </c>
      <c r="R193" s="230"/>
      <c r="S193" s="102">
        <v>0.0</v>
      </c>
      <c r="T193" s="230" t="str">
        <f>IF(ISNUMBER(MATCH(B193, 'Sprint 8'!B:B, 0)), "มาจาก Sprint 8", "")</f>
        <v>มาจาก Sprint 8</v>
      </c>
      <c r="U193" s="230" t="str">
        <f t="array" ref="U193">IF(ISNUMBER(MATCH(B193, 'Sprint 8'!B:B, 0)), INDEX('Sprint 8'!J:J, MATCH(B193, 'Sprint 8'!B:B, 0)), "")</f>
        <v>Ready to Staging</v>
      </c>
      <c r="V193" s="102">
        <v>3600.0</v>
      </c>
      <c r="W193" s="102" t="s">
        <v>8754</v>
      </c>
      <c r="X193" s="102" t="s">
        <v>8755</v>
      </c>
      <c r="Y193" s="102" t="s">
        <v>6448</v>
      </c>
      <c r="Z193" s="102"/>
      <c r="AA193" s="102"/>
      <c r="AB193" s="102"/>
      <c r="AC193" s="102"/>
      <c r="AD193" s="102"/>
    </row>
    <row r="194">
      <c r="A194" s="102" t="s">
        <v>310</v>
      </c>
      <c r="B194" s="102" t="s">
        <v>9047</v>
      </c>
      <c r="C194" s="229" t="s">
        <v>9048</v>
      </c>
      <c r="D194" s="102" t="s">
        <v>9049</v>
      </c>
      <c r="E194" s="102" t="s">
        <v>304</v>
      </c>
      <c r="F194" s="102" t="s">
        <v>305</v>
      </c>
      <c r="G194" s="102" t="s">
        <v>304</v>
      </c>
      <c r="H194" s="102" t="s">
        <v>305</v>
      </c>
      <c r="I194" s="102" t="s">
        <v>284</v>
      </c>
      <c r="J194" s="102" t="s">
        <v>26</v>
      </c>
      <c r="L194" s="229" t="s">
        <v>9050</v>
      </c>
      <c r="M194" s="229" t="s">
        <v>8842</v>
      </c>
      <c r="N194" s="229" t="s">
        <v>8047</v>
      </c>
      <c r="O194" s="102">
        <v>2.0</v>
      </c>
      <c r="P194" s="102" t="s">
        <v>1808</v>
      </c>
      <c r="Q194" s="102"/>
      <c r="R194" s="230"/>
      <c r="S194" s="102">
        <v>0.0</v>
      </c>
      <c r="T194" s="230" t="str">
        <f>IF(ISNUMBER(MATCH(B194, 'Sprint 8'!B:B, 0)), "มาจาก Sprint 8", "")</f>
        <v>มาจาก Sprint 8</v>
      </c>
      <c r="U194" s="230" t="str">
        <f t="array" ref="U194">IF(ISNUMBER(MATCH(B194, 'Sprint 8'!B:B, 0)), INDEX('Sprint 8'!J:J, MATCH(B194, 'Sprint 8'!B:B, 0)), "")</f>
        <v>Ready to Staging</v>
      </c>
      <c r="V194" s="102">
        <v>7200.0</v>
      </c>
      <c r="W194" s="102" t="s">
        <v>8754</v>
      </c>
      <c r="X194" s="102" t="s">
        <v>8755</v>
      </c>
      <c r="Y194" s="102" t="s">
        <v>6448</v>
      </c>
      <c r="Z194" s="102"/>
      <c r="AA194" s="102"/>
      <c r="AB194" s="102"/>
      <c r="AC194" s="102"/>
      <c r="AD194" s="102"/>
      <c r="AE194" s="102"/>
    </row>
    <row r="195">
      <c r="A195" s="102" t="s">
        <v>310</v>
      </c>
      <c r="B195" s="102" t="s">
        <v>9051</v>
      </c>
      <c r="C195" s="229" t="s">
        <v>9052</v>
      </c>
      <c r="D195" s="102" t="s">
        <v>9053</v>
      </c>
      <c r="E195" s="102" t="s">
        <v>513</v>
      </c>
      <c r="F195" s="102" t="s">
        <v>514</v>
      </c>
      <c r="G195" s="102" t="s">
        <v>314</v>
      </c>
      <c r="H195" s="102" t="s">
        <v>315</v>
      </c>
      <c r="I195" s="102" t="s">
        <v>284</v>
      </c>
      <c r="J195" s="102" t="s">
        <v>26</v>
      </c>
      <c r="L195" s="229" t="s">
        <v>9054</v>
      </c>
      <c r="M195" s="229" t="s">
        <v>8831</v>
      </c>
      <c r="N195" s="229" t="s">
        <v>7979</v>
      </c>
      <c r="O195" s="102">
        <v>1.0</v>
      </c>
      <c r="P195" s="102" t="s">
        <v>593</v>
      </c>
      <c r="R195" s="230"/>
      <c r="S195" s="102">
        <v>7200.0</v>
      </c>
      <c r="T195" s="230" t="str">
        <f>IF(ISNUMBER(MATCH(B195, 'Sprint 8'!B:B, 0)), "มาจาก Sprint 8", "")</f>
        <v>มาจาก Sprint 8</v>
      </c>
      <c r="U195" s="230" t="str">
        <f t="array" ref="U195">IF(ISNUMBER(MATCH(B195, 'Sprint 8'!B:B, 0)), INDEX('Sprint 8'!J:J, MATCH(B195, 'Sprint 8'!B:B, 0)), "")</f>
        <v>To Do</v>
      </c>
      <c r="W195" s="102" t="s">
        <v>4968</v>
      </c>
      <c r="X195" s="102" t="s">
        <v>8806</v>
      </c>
      <c r="Y195" s="102" t="s">
        <v>4960</v>
      </c>
      <c r="Z195" s="102"/>
      <c r="AA195" s="102"/>
      <c r="AB195" s="102"/>
      <c r="AC195" s="102"/>
      <c r="AD195" s="102"/>
    </row>
    <row r="196">
      <c r="A196" s="102" t="s">
        <v>310</v>
      </c>
      <c r="B196" s="102" t="s">
        <v>9055</v>
      </c>
      <c r="C196" s="229" t="s">
        <v>9056</v>
      </c>
      <c r="D196" s="102" t="s">
        <v>9057</v>
      </c>
      <c r="E196" s="102" t="s">
        <v>513</v>
      </c>
      <c r="F196" s="102" t="s">
        <v>514</v>
      </c>
      <c r="G196" s="102" t="s">
        <v>314</v>
      </c>
      <c r="H196" s="102" t="s">
        <v>315</v>
      </c>
      <c r="I196" s="102" t="s">
        <v>284</v>
      </c>
      <c r="J196" s="102" t="s">
        <v>26</v>
      </c>
      <c r="L196" s="229" t="s">
        <v>9058</v>
      </c>
      <c r="M196" s="229" t="s">
        <v>9059</v>
      </c>
      <c r="N196" s="229" t="s">
        <v>6990</v>
      </c>
      <c r="O196" s="102">
        <v>3.0</v>
      </c>
      <c r="P196" s="102" t="s">
        <v>593</v>
      </c>
      <c r="R196" s="230"/>
      <c r="S196" s="102">
        <v>28800.0</v>
      </c>
      <c r="T196" s="230" t="str">
        <f>IF(ISNUMBER(MATCH(B196, 'Sprint 8'!B:B, 0)), "มาจาก Sprint 8", "")</f>
        <v>มาจาก Sprint 8</v>
      </c>
      <c r="U196" s="230" t="str">
        <f t="array" ref="U196">IF(ISNUMBER(MATCH(B196, 'Sprint 8'!B:B, 0)), INDEX('Sprint 8'!J:J, MATCH(B196, 'Sprint 8'!B:B, 0)), "")</f>
        <v>To Do</v>
      </c>
      <c r="W196" s="102" t="s">
        <v>4968</v>
      </c>
      <c r="X196" s="102" t="s">
        <v>8806</v>
      </c>
      <c r="Y196" s="102" t="s">
        <v>4960</v>
      </c>
      <c r="Z196" s="102"/>
      <c r="AA196" s="102"/>
      <c r="AB196" s="102"/>
      <c r="AC196" s="102"/>
    </row>
    <row r="197">
      <c r="A197" s="102" t="s">
        <v>310</v>
      </c>
      <c r="B197" s="102" t="s">
        <v>9060</v>
      </c>
      <c r="C197" s="229" t="s">
        <v>9061</v>
      </c>
      <c r="D197" s="102" t="s">
        <v>9062</v>
      </c>
      <c r="E197" s="102" t="s">
        <v>513</v>
      </c>
      <c r="F197" s="102" t="s">
        <v>514</v>
      </c>
      <c r="G197" s="102" t="s">
        <v>314</v>
      </c>
      <c r="H197" s="102" t="s">
        <v>315</v>
      </c>
      <c r="I197" s="102" t="s">
        <v>284</v>
      </c>
      <c r="J197" s="102" t="s">
        <v>26</v>
      </c>
      <c r="L197" s="229" t="s">
        <v>9063</v>
      </c>
      <c r="M197" s="229" t="s">
        <v>8831</v>
      </c>
      <c r="N197" s="229" t="s">
        <v>8698</v>
      </c>
      <c r="O197" s="102">
        <v>1.0</v>
      </c>
      <c r="P197" s="102" t="s">
        <v>593</v>
      </c>
      <c r="Q197" s="102"/>
      <c r="R197" s="230"/>
      <c r="S197" s="102">
        <v>7200.0</v>
      </c>
      <c r="T197" s="230" t="str">
        <f>IF(ISNUMBER(MATCH(B197, 'Sprint 8'!B:B, 0)), "มาจาก Sprint 8", "")</f>
        <v>มาจาก Sprint 8</v>
      </c>
      <c r="U197" s="230" t="str">
        <f t="array" ref="U197">IF(ISNUMBER(MATCH(B197, 'Sprint 8'!B:B, 0)), INDEX('Sprint 8'!J:J, MATCH(B197, 'Sprint 8'!B:B, 0)), "")</f>
        <v>To Do</v>
      </c>
      <c r="W197" s="102" t="s">
        <v>4968</v>
      </c>
      <c r="X197" s="102" t="s">
        <v>8806</v>
      </c>
      <c r="Y197" s="102" t="s">
        <v>4960</v>
      </c>
      <c r="Z197" s="102"/>
      <c r="AA197" s="102"/>
      <c r="AB197" s="102"/>
      <c r="AC197" s="102"/>
    </row>
    <row r="198">
      <c r="A198" s="102" t="s">
        <v>310</v>
      </c>
      <c r="B198" s="102" t="s">
        <v>8626</v>
      </c>
      <c r="C198" s="229" t="s">
        <v>8627</v>
      </c>
      <c r="D198" s="102" t="s">
        <v>8628</v>
      </c>
      <c r="E198" s="102" t="s">
        <v>584</v>
      </c>
      <c r="F198" s="102" t="s">
        <v>585</v>
      </c>
      <c r="G198" s="102" t="s">
        <v>353</v>
      </c>
      <c r="H198" s="102" t="s">
        <v>354</v>
      </c>
      <c r="I198" s="102" t="s">
        <v>284</v>
      </c>
      <c r="J198" s="102" t="s">
        <v>454</v>
      </c>
      <c r="L198" s="229" t="s">
        <v>8629</v>
      </c>
      <c r="M198" s="229" t="s">
        <v>8954</v>
      </c>
      <c r="N198" s="229" t="s">
        <v>7761</v>
      </c>
      <c r="O198" s="102">
        <v>8.0</v>
      </c>
      <c r="P198" s="102"/>
      <c r="Q198" s="102"/>
      <c r="R198" s="230"/>
      <c r="S198" s="102">
        <v>0.0</v>
      </c>
      <c r="T198" s="230" t="str">
        <f>IF(ISNUMBER(MATCH(B198, 'Sprint 8'!B:B, 0)), "มาจาก Sprint 8", "")</f>
        <v>มาจาก Sprint 8</v>
      </c>
      <c r="U198" s="230" t="str">
        <f t="array" ref="U198">IF(ISNUMBER(MATCH(B198, 'Sprint 8'!B:B, 0)), INDEX('Sprint 8'!J:J, MATCH(B198, 'Sprint 8'!B:B, 0)), "")</f>
        <v>Ready To Test</v>
      </c>
      <c r="V198" s="102">
        <v>86400.0</v>
      </c>
      <c r="W198" s="102" t="s">
        <v>5944</v>
      </c>
      <c r="X198" s="102" t="s">
        <v>5919</v>
      </c>
      <c r="Y198" s="102" t="s">
        <v>5920</v>
      </c>
      <c r="Z198" s="102"/>
      <c r="AA198" s="102"/>
      <c r="AB198" s="102"/>
      <c r="AC198" s="102"/>
    </row>
    <row r="199">
      <c r="A199" s="102" t="s">
        <v>310</v>
      </c>
      <c r="B199" s="102" t="s">
        <v>8630</v>
      </c>
      <c r="C199" s="229" t="s">
        <v>8631</v>
      </c>
      <c r="D199" s="102" t="s">
        <v>8632</v>
      </c>
      <c r="E199" s="102" t="s">
        <v>6315</v>
      </c>
      <c r="F199" s="102" t="s">
        <v>6316</v>
      </c>
      <c r="G199" s="102" t="s">
        <v>353</v>
      </c>
      <c r="H199" s="102" t="s">
        <v>354</v>
      </c>
      <c r="I199" s="102" t="s">
        <v>284</v>
      </c>
      <c r="J199" s="102" t="s">
        <v>454</v>
      </c>
      <c r="L199" s="229" t="s">
        <v>8633</v>
      </c>
      <c r="M199" s="229" t="s">
        <v>9064</v>
      </c>
      <c r="N199" s="229" t="s">
        <v>6481</v>
      </c>
      <c r="O199" s="102">
        <v>5.0</v>
      </c>
      <c r="P199" s="102"/>
      <c r="R199" s="230"/>
      <c r="S199" s="102"/>
      <c r="T199" s="230" t="str">
        <f>IF(ISNUMBER(MATCH(B199, 'Sprint 8'!B:B, 0)), "มาจาก Sprint 8", "")</f>
        <v>มาจาก Sprint 8</v>
      </c>
      <c r="U199" s="230" t="str">
        <f t="array" ref="U199">IF(ISNUMBER(MATCH(B199, 'Sprint 8'!B:B, 0)), INDEX('Sprint 8'!J:J, MATCH(B199, 'Sprint 8'!B:B, 0)), "")</f>
        <v>Ready To Test</v>
      </c>
      <c r="W199" s="102" t="s">
        <v>5944</v>
      </c>
      <c r="X199" s="102" t="s">
        <v>5919</v>
      </c>
      <c r="Y199" s="102" t="s">
        <v>5920</v>
      </c>
      <c r="Z199" s="102"/>
      <c r="AA199" s="102"/>
      <c r="AB199" s="102"/>
      <c r="AC199" s="102"/>
      <c r="AD199" s="102"/>
    </row>
    <row r="200">
      <c r="A200" s="102" t="s">
        <v>310</v>
      </c>
      <c r="B200" s="102" t="s">
        <v>8634</v>
      </c>
      <c r="C200" s="229" t="s">
        <v>8635</v>
      </c>
      <c r="D200" s="102" t="s">
        <v>8636</v>
      </c>
      <c r="E200" s="102" t="s">
        <v>6315</v>
      </c>
      <c r="F200" s="102" t="s">
        <v>6316</v>
      </c>
      <c r="G200" s="102" t="s">
        <v>353</v>
      </c>
      <c r="H200" s="102" t="s">
        <v>354</v>
      </c>
      <c r="I200" s="102" t="s">
        <v>284</v>
      </c>
      <c r="J200" s="102" t="s">
        <v>454</v>
      </c>
      <c r="L200" s="229" t="s">
        <v>8637</v>
      </c>
      <c r="M200" s="229" t="s">
        <v>8954</v>
      </c>
      <c r="N200" s="229" t="s">
        <v>7735</v>
      </c>
      <c r="O200" s="102">
        <v>8.0</v>
      </c>
      <c r="P200" s="102"/>
      <c r="Q200" s="102"/>
      <c r="R200" s="230"/>
      <c r="S200" s="102">
        <v>0.0</v>
      </c>
      <c r="T200" s="230" t="str">
        <f>IF(ISNUMBER(MATCH(B200, 'Sprint 8'!B:B, 0)), "มาจาก Sprint 8", "")</f>
        <v>มาจาก Sprint 8</v>
      </c>
      <c r="U200" s="230" t="str">
        <f t="array" ref="U200">IF(ISNUMBER(MATCH(B200, 'Sprint 8'!B:B, 0)), INDEX('Sprint 8'!J:J, MATCH(B200, 'Sprint 8'!B:B, 0)), "")</f>
        <v>Ready To Test</v>
      </c>
      <c r="W200" s="102" t="s">
        <v>5944</v>
      </c>
      <c r="X200" s="102" t="s">
        <v>5919</v>
      </c>
      <c r="Y200" s="102" t="s">
        <v>5920</v>
      </c>
      <c r="Z200" s="102"/>
      <c r="AA200" s="102"/>
      <c r="AB200" s="102"/>
      <c r="AC200" s="102"/>
      <c r="AD200" s="102"/>
    </row>
    <row r="201">
      <c r="A201" s="102" t="s">
        <v>310</v>
      </c>
      <c r="B201" s="102" t="s">
        <v>8638</v>
      </c>
      <c r="C201" s="229" t="s">
        <v>8639</v>
      </c>
      <c r="D201" s="102" t="s">
        <v>8640</v>
      </c>
      <c r="E201" s="102" t="s">
        <v>584</v>
      </c>
      <c r="F201" s="102" t="s">
        <v>585</v>
      </c>
      <c r="G201" s="102" t="s">
        <v>353</v>
      </c>
      <c r="H201" s="102" t="s">
        <v>354</v>
      </c>
      <c r="I201" s="102" t="s">
        <v>284</v>
      </c>
      <c r="J201" s="102" t="s">
        <v>454</v>
      </c>
      <c r="L201" s="229" t="s">
        <v>8641</v>
      </c>
      <c r="M201" s="229" t="s">
        <v>8954</v>
      </c>
      <c r="N201" s="229" t="s">
        <v>7735</v>
      </c>
      <c r="O201" s="102">
        <v>8.0</v>
      </c>
      <c r="P201" s="102"/>
      <c r="Q201" s="102"/>
      <c r="R201" s="230"/>
      <c r="S201" s="102">
        <v>0.0</v>
      </c>
      <c r="T201" s="230" t="str">
        <f>IF(ISNUMBER(MATCH(B201, 'Sprint 8'!B:B, 0)), "มาจาก Sprint 8", "")</f>
        <v>มาจาก Sprint 8</v>
      </c>
      <c r="U201" s="230" t="str">
        <f t="array" ref="U201">IF(ISNUMBER(MATCH(B201, 'Sprint 8'!B:B, 0)), INDEX('Sprint 8'!J:J, MATCH(B201, 'Sprint 8'!B:B, 0)), "")</f>
        <v>Ready To Test</v>
      </c>
      <c r="V201" s="102">
        <v>57600.0</v>
      </c>
      <c r="W201" s="102" t="s">
        <v>5944</v>
      </c>
      <c r="X201" s="102" t="s">
        <v>5919</v>
      </c>
      <c r="Y201" s="102" t="s">
        <v>5920</v>
      </c>
      <c r="Z201" s="102"/>
      <c r="AA201" s="102"/>
      <c r="AB201" s="102"/>
      <c r="AC201" s="102"/>
      <c r="AD201" s="102"/>
    </row>
    <row r="202">
      <c r="A202" s="102" t="s">
        <v>630</v>
      </c>
      <c r="B202" s="102" t="s">
        <v>8034</v>
      </c>
      <c r="C202" s="229" t="s">
        <v>8035</v>
      </c>
      <c r="D202" s="102" t="s">
        <v>8036</v>
      </c>
      <c r="E202" s="102"/>
      <c r="F202" s="102"/>
      <c r="G202" s="102" t="s">
        <v>353</v>
      </c>
      <c r="H202" s="102" t="s">
        <v>354</v>
      </c>
      <c r="I202" s="102" t="s">
        <v>284</v>
      </c>
      <c r="J202" s="102" t="s">
        <v>63</v>
      </c>
      <c r="L202" s="229" t="s">
        <v>8037</v>
      </c>
      <c r="M202" s="229" t="s">
        <v>9065</v>
      </c>
      <c r="N202" s="102"/>
      <c r="O202" s="102"/>
      <c r="P202" s="102"/>
      <c r="Q202" s="102"/>
      <c r="R202" s="230"/>
      <c r="S202" s="102"/>
      <c r="T202" s="230" t="str">
        <f>IF(ISNUMBER(MATCH(B202, 'Sprint 8'!B:B, 0)), "มาจาก Sprint 8", "")</f>
        <v>มาจาก Sprint 8</v>
      </c>
      <c r="U202" s="230" t="str">
        <f t="array" ref="U202">IF(ISNUMBER(MATCH(B202, 'Sprint 8'!B:B, 0)), INDEX('Sprint 8'!J:J, MATCH(B202, 'Sprint 8'!B:B, 0)), "")</f>
        <v>To Do</v>
      </c>
      <c r="W202" s="102" t="s">
        <v>8981</v>
      </c>
      <c r="X202" s="102" t="s">
        <v>8237</v>
      </c>
      <c r="Y202" s="102"/>
      <c r="Z202" s="102"/>
      <c r="AA202" s="102"/>
      <c r="AB202" s="102"/>
      <c r="AC202" s="102"/>
      <c r="AD202" s="102"/>
    </row>
    <row r="203">
      <c r="A203" s="102" t="s">
        <v>310</v>
      </c>
      <c r="B203" s="102" t="s">
        <v>6472</v>
      </c>
      <c r="C203" s="229" t="s">
        <v>6473</v>
      </c>
      <c r="D203" s="102" t="s">
        <v>6474</v>
      </c>
      <c r="E203" s="102" t="s">
        <v>282</v>
      </c>
      <c r="F203" s="102" t="s">
        <v>283</v>
      </c>
      <c r="G203" s="102" t="s">
        <v>282</v>
      </c>
      <c r="H203" s="102" t="s">
        <v>283</v>
      </c>
      <c r="I203" s="102" t="s">
        <v>284</v>
      </c>
      <c r="J203" s="102" t="s">
        <v>454</v>
      </c>
      <c r="L203" s="229" t="s">
        <v>6475</v>
      </c>
      <c r="M203" s="229" t="s">
        <v>8954</v>
      </c>
      <c r="N203" s="102"/>
      <c r="O203" s="102">
        <v>0.0</v>
      </c>
      <c r="P203" s="102"/>
      <c r="Q203" s="102"/>
      <c r="R203" s="230"/>
      <c r="S203" s="102"/>
      <c r="T203" s="230" t="str">
        <f>IF(ISNUMBER(MATCH(B203, 'Sprint 8'!B:B, 0)), "มาจาก Sprint 8", "")</f>
        <v>มาจาก Sprint 8</v>
      </c>
      <c r="U203" s="230" t="str">
        <f t="array" ref="U203">IF(ISNUMBER(MATCH(B203, 'Sprint 8'!B:B, 0)), INDEX('Sprint 8'!J:J, MATCH(B203, 'Sprint 8'!B:B, 0)), "")</f>
        <v>Ready To Test</v>
      </c>
      <c r="W203" s="102" t="s">
        <v>5944</v>
      </c>
      <c r="X203" s="102" t="s">
        <v>5919</v>
      </c>
      <c r="Y203" s="102" t="s">
        <v>5920</v>
      </c>
      <c r="Z203" s="102"/>
      <c r="AA203" s="102"/>
      <c r="AB203" s="102"/>
      <c r="AC203" s="102"/>
      <c r="AD203" s="102"/>
    </row>
    <row r="204">
      <c r="A204" s="102" t="s">
        <v>310</v>
      </c>
      <c r="B204" s="102" t="s">
        <v>8040</v>
      </c>
      <c r="C204" s="229" t="s">
        <v>8041</v>
      </c>
      <c r="D204" s="102" t="s">
        <v>8042</v>
      </c>
      <c r="E204" s="102" t="s">
        <v>6860</v>
      </c>
      <c r="F204" s="102" t="s">
        <v>6861</v>
      </c>
      <c r="G204" s="102" t="s">
        <v>282</v>
      </c>
      <c r="H204" s="102" t="s">
        <v>283</v>
      </c>
      <c r="I204" s="102" t="s">
        <v>284</v>
      </c>
      <c r="J204" s="102" t="s">
        <v>454</v>
      </c>
      <c r="L204" s="229" t="s">
        <v>7714</v>
      </c>
      <c r="M204" s="229" t="s">
        <v>9066</v>
      </c>
      <c r="N204" s="102"/>
      <c r="O204" s="102">
        <v>5.0</v>
      </c>
      <c r="P204" s="102" t="s">
        <v>504</v>
      </c>
      <c r="Q204" s="102"/>
      <c r="R204" s="230"/>
      <c r="S204" s="102"/>
      <c r="T204" s="230" t="str">
        <f>IF(ISNUMBER(MATCH(B204, 'Sprint 8'!B:B, 0)), "มาจาก Sprint 8", "")</f>
        <v>มาจาก Sprint 8</v>
      </c>
      <c r="U204" s="230" t="str">
        <f t="array" ref="U204">IF(ISNUMBER(MATCH(B204, 'Sprint 8'!B:B, 0)), INDEX('Sprint 8'!J:J, MATCH(B204, 'Sprint 8'!B:B, 0)), "")</f>
        <v>Ready To Test</v>
      </c>
      <c r="W204" s="102" t="s">
        <v>5944</v>
      </c>
      <c r="X204" s="102" t="s">
        <v>5919</v>
      </c>
      <c r="Y204" s="102" t="s">
        <v>5920</v>
      </c>
      <c r="Z204" s="102"/>
      <c r="AA204" s="102"/>
      <c r="AB204" s="102"/>
      <c r="AC204" s="102"/>
      <c r="AD204" s="102"/>
    </row>
    <row r="205">
      <c r="A205" s="102" t="s">
        <v>310</v>
      </c>
      <c r="B205" s="102" t="s">
        <v>7711</v>
      </c>
      <c r="C205" s="229" t="s">
        <v>7712</v>
      </c>
      <c r="D205" s="102" t="s">
        <v>7713</v>
      </c>
      <c r="E205" s="102" t="s">
        <v>556</v>
      </c>
      <c r="F205" s="102" t="s">
        <v>557</v>
      </c>
      <c r="G205" s="102" t="s">
        <v>282</v>
      </c>
      <c r="H205" s="102" t="s">
        <v>283</v>
      </c>
      <c r="I205" s="102" t="s">
        <v>284</v>
      </c>
      <c r="J205" s="102" t="s">
        <v>454</v>
      </c>
      <c r="L205" s="229" t="s">
        <v>7714</v>
      </c>
      <c r="M205" s="229" t="s">
        <v>9067</v>
      </c>
      <c r="N205" s="229" t="s">
        <v>6471</v>
      </c>
      <c r="O205" s="102">
        <v>5.0</v>
      </c>
      <c r="P205" s="102" t="s">
        <v>504</v>
      </c>
      <c r="Q205" s="102"/>
      <c r="R205" s="102"/>
      <c r="S205" s="102">
        <v>0.0</v>
      </c>
      <c r="T205" s="230" t="str">
        <f>IF(ISNUMBER(MATCH(B205, 'Sprint 8'!B:B, 0)), "มาจาก Sprint 8", "")</f>
        <v>มาจาก Sprint 8</v>
      </c>
      <c r="U205" s="230" t="str">
        <f t="array" ref="U205">IF(ISNUMBER(MATCH(B205, 'Sprint 8'!B:B, 0)), INDEX('Sprint 8'!J:J, MATCH(B205, 'Sprint 8'!B:B, 0)), "")</f>
        <v>Ready To Test</v>
      </c>
      <c r="V205" s="102">
        <v>57600.0</v>
      </c>
      <c r="W205" s="102" t="s">
        <v>5944</v>
      </c>
      <c r="X205" s="102" t="s">
        <v>5919</v>
      </c>
      <c r="Y205" s="102" t="s">
        <v>5920</v>
      </c>
      <c r="Z205" s="102"/>
      <c r="AA205" s="102"/>
      <c r="AB205" s="102"/>
      <c r="AC205" s="102"/>
      <c r="AD205" s="102"/>
    </row>
    <row r="206">
      <c r="A206" s="102" t="s">
        <v>310</v>
      </c>
      <c r="B206" s="102" t="s">
        <v>8044</v>
      </c>
      <c r="C206" s="229" t="s">
        <v>8045</v>
      </c>
      <c r="D206" s="102" t="s">
        <v>8046</v>
      </c>
      <c r="E206" s="102" t="s">
        <v>556</v>
      </c>
      <c r="F206" s="102" t="s">
        <v>557</v>
      </c>
      <c r="G206" s="102" t="s">
        <v>282</v>
      </c>
      <c r="H206" s="102" t="s">
        <v>283</v>
      </c>
      <c r="I206" s="102" t="s">
        <v>284</v>
      </c>
      <c r="J206" s="102" t="s">
        <v>454</v>
      </c>
      <c r="L206" s="229" t="s">
        <v>7714</v>
      </c>
      <c r="M206" s="229" t="s">
        <v>8954</v>
      </c>
      <c r="N206" s="229" t="s">
        <v>8047</v>
      </c>
      <c r="O206" s="102">
        <v>5.0</v>
      </c>
      <c r="P206" s="102" t="s">
        <v>504</v>
      </c>
      <c r="Q206" s="102"/>
      <c r="R206" s="102"/>
      <c r="S206" s="102">
        <v>0.0</v>
      </c>
      <c r="T206" s="230" t="str">
        <f>IF(ISNUMBER(MATCH(B206, 'Sprint 8'!B:B, 0)), "มาจาก Sprint 8", "")</f>
        <v>มาจาก Sprint 8</v>
      </c>
      <c r="U206" s="230" t="str">
        <f t="array" ref="U206">IF(ISNUMBER(MATCH(B206, 'Sprint 8'!B:B, 0)), INDEX('Sprint 8'!J:J, MATCH(B206, 'Sprint 8'!B:B, 0)), "")</f>
        <v>Ready To Test</v>
      </c>
      <c r="V206" s="102">
        <v>57600.0</v>
      </c>
      <c r="W206" s="102" t="s">
        <v>5944</v>
      </c>
      <c r="X206" s="102" t="s">
        <v>5919</v>
      </c>
      <c r="Y206" s="102" t="s">
        <v>5920</v>
      </c>
      <c r="Z206" s="102"/>
      <c r="AA206" s="102"/>
      <c r="AB206" s="102"/>
      <c r="AC206" s="102"/>
      <c r="AD206" s="102"/>
    </row>
    <row r="207">
      <c r="A207" s="102" t="s">
        <v>310</v>
      </c>
      <c r="B207" s="102" t="s">
        <v>7716</v>
      </c>
      <c r="C207" s="229" t="s">
        <v>7717</v>
      </c>
      <c r="D207" s="102" t="s">
        <v>7718</v>
      </c>
      <c r="E207" s="102" t="s">
        <v>564</v>
      </c>
      <c r="F207" s="102" t="s">
        <v>565</v>
      </c>
      <c r="G207" s="102" t="s">
        <v>282</v>
      </c>
      <c r="H207" s="102" t="s">
        <v>283</v>
      </c>
      <c r="I207" s="102" t="s">
        <v>284</v>
      </c>
      <c r="J207" s="102" t="s">
        <v>454</v>
      </c>
      <c r="L207" s="229" t="s">
        <v>7719</v>
      </c>
      <c r="M207" s="229" t="s">
        <v>8954</v>
      </c>
      <c r="N207" s="229" t="s">
        <v>7720</v>
      </c>
      <c r="O207" s="102">
        <v>2.0</v>
      </c>
      <c r="P207" s="102" t="s">
        <v>504</v>
      </c>
      <c r="Q207" s="102"/>
      <c r="R207" s="230"/>
      <c r="S207" s="102">
        <v>0.0</v>
      </c>
      <c r="T207" s="230" t="str">
        <f>IF(ISNUMBER(MATCH(B207, 'Sprint 8'!B:B, 0)), "มาจาก Sprint 8", "")</f>
        <v>มาจาก Sprint 8</v>
      </c>
      <c r="U207" s="230" t="str">
        <f t="array" ref="U207">IF(ISNUMBER(MATCH(B207, 'Sprint 8'!B:B, 0)), INDEX('Sprint 8'!J:J, MATCH(B207, 'Sprint 8'!B:B, 0)), "")</f>
        <v>Ready To Test</v>
      </c>
      <c r="V207" s="102">
        <v>10800.0</v>
      </c>
      <c r="W207" s="102" t="s">
        <v>5944</v>
      </c>
      <c r="X207" s="102" t="s">
        <v>5919</v>
      </c>
      <c r="Y207" s="102" t="s">
        <v>5920</v>
      </c>
      <c r="Z207" s="102"/>
      <c r="AA207" s="102"/>
      <c r="AB207" s="102"/>
      <c r="AC207" s="102"/>
      <c r="AD207" s="102"/>
      <c r="AE207" s="102"/>
      <c r="AF207" s="102"/>
    </row>
    <row r="208">
      <c r="A208" s="102" t="s">
        <v>310</v>
      </c>
      <c r="B208" s="102" t="s">
        <v>7721</v>
      </c>
      <c r="C208" s="229" t="s">
        <v>7722</v>
      </c>
      <c r="D208" s="102" t="s">
        <v>7723</v>
      </c>
      <c r="E208" s="102" t="s">
        <v>564</v>
      </c>
      <c r="F208" s="102" t="s">
        <v>565</v>
      </c>
      <c r="G208" s="102" t="s">
        <v>282</v>
      </c>
      <c r="H208" s="102" t="s">
        <v>283</v>
      </c>
      <c r="I208" s="102" t="s">
        <v>284</v>
      </c>
      <c r="J208" s="102" t="s">
        <v>454</v>
      </c>
      <c r="L208" s="229" t="s">
        <v>7724</v>
      </c>
      <c r="M208" s="229" t="s">
        <v>8954</v>
      </c>
      <c r="N208" s="229" t="s">
        <v>7726</v>
      </c>
      <c r="O208" s="102">
        <v>3.0</v>
      </c>
      <c r="P208" s="102" t="s">
        <v>504</v>
      </c>
      <c r="R208" s="102"/>
      <c r="S208" s="102">
        <v>0.0</v>
      </c>
      <c r="T208" s="230" t="str">
        <f>IF(ISNUMBER(MATCH(B208, 'Sprint 8'!B:B, 0)), "มาจาก Sprint 8", "")</f>
        <v>มาจาก Sprint 8</v>
      </c>
      <c r="U208" s="230" t="str">
        <f t="array" ref="U208">IF(ISNUMBER(MATCH(B208, 'Sprint 8'!B:B, 0)), INDEX('Sprint 8'!J:J, MATCH(B208, 'Sprint 8'!B:B, 0)), "")</f>
        <v>Ready To Test</v>
      </c>
      <c r="V208" s="102">
        <v>28800.0</v>
      </c>
      <c r="W208" s="102" t="s">
        <v>5944</v>
      </c>
      <c r="X208" s="102" t="s">
        <v>5919</v>
      </c>
      <c r="Y208" s="102" t="s">
        <v>5920</v>
      </c>
      <c r="Z208" s="102"/>
      <c r="AA208" s="102"/>
      <c r="AB208" s="102"/>
      <c r="AC208" s="102"/>
      <c r="AD208" s="102"/>
      <c r="AE208" s="102"/>
      <c r="AF208" s="102"/>
    </row>
    <row r="209">
      <c r="A209" s="102" t="s">
        <v>310</v>
      </c>
      <c r="B209" s="102" t="s">
        <v>7727</v>
      </c>
      <c r="C209" s="229" t="s">
        <v>7728</v>
      </c>
      <c r="D209" s="102" t="s">
        <v>7729</v>
      </c>
      <c r="E209" s="102" t="s">
        <v>564</v>
      </c>
      <c r="F209" s="102" t="s">
        <v>565</v>
      </c>
      <c r="G209" s="102" t="s">
        <v>282</v>
      </c>
      <c r="H209" s="102" t="s">
        <v>283</v>
      </c>
      <c r="I209" s="102" t="s">
        <v>284</v>
      </c>
      <c r="J209" s="102" t="s">
        <v>454</v>
      </c>
      <c r="L209" s="229" t="s">
        <v>7730</v>
      </c>
      <c r="M209" s="229" t="s">
        <v>8954</v>
      </c>
      <c r="N209" s="229" t="s">
        <v>7720</v>
      </c>
      <c r="O209" s="102">
        <v>2.0</v>
      </c>
      <c r="P209" s="102" t="s">
        <v>504</v>
      </c>
      <c r="Q209" s="102"/>
      <c r="R209" s="102"/>
      <c r="S209" s="102">
        <v>0.0</v>
      </c>
      <c r="T209" s="230" t="str">
        <f>IF(ISNUMBER(MATCH(B209, 'Sprint 8'!B:B, 0)), "มาจาก Sprint 8", "")</f>
        <v>มาจาก Sprint 8</v>
      </c>
      <c r="U209" s="230" t="str">
        <f t="array" ref="U209">IF(ISNUMBER(MATCH(B209, 'Sprint 8'!B:B, 0)), INDEX('Sprint 8'!J:J, MATCH(B209, 'Sprint 8'!B:B, 0)), "")</f>
        <v>Ready To Test</v>
      </c>
      <c r="V209" s="102">
        <v>10800.0</v>
      </c>
      <c r="W209" s="102" t="s">
        <v>5944</v>
      </c>
      <c r="X209" s="102" t="s">
        <v>5919</v>
      </c>
      <c r="Y209" s="102" t="s">
        <v>5920</v>
      </c>
      <c r="Z209" s="102"/>
      <c r="AA209" s="102"/>
      <c r="AB209" s="102"/>
      <c r="AC209" s="102"/>
      <c r="AD209" s="102"/>
    </row>
    <row r="210">
      <c r="A210" s="102" t="s">
        <v>310</v>
      </c>
      <c r="B210" s="102" t="s">
        <v>7731</v>
      </c>
      <c r="C210" s="229" t="s">
        <v>7732</v>
      </c>
      <c r="D210" s="102" t="s">
        <v>7733</v>
      </c>
      <c r="E210" s="102" t="s">
        <v>564</v>
      </c>
      <c r="F210" s="102" t="s">
        <v>565</v>
      </c>
      <c r="G210" s="102" t="s">
        <v>282</v>
      </c>
      <c r="H210" s="102" t="s">
        <v>283</v>
      </c>
      <c r="I210" s="102" t="s">
        <v>284</v>
      </c>
      <c r="J210" s="102" t="s">
        <v>454</v>
      </c>
      <c r="L210" s="229" t="s">
        <v>7734</v>
      </c>
      <c r="M210" s="229" t="s">
        <v>8954</v>
      </c>
      <c r="N210" s="229" t="s">
        <v>7735</v>
      </c>
      <c r="O210" s="102">
        <v>2.0</v>
      </c>
      <c r="P210" s="102" t="s">
        <v>504</v>
      </c>
      <c r="R210" s="102"/>
      <c r="S210" s="102">
        <v>0.0</v>
      </c>
      <c r="T210" s="230" t="str">
        <f>IF(ISNUMBER(MATCH(B210, 'Sprint 8'!B:B, 0)), "มาจาก Sprint 8", "")</f>
        <v>มาจาก Sprint 8</v>
      </c>
      <c r="U210" s="230" t="str">
        <f t="array" ref="U210">IF(ISNUMBER(MATCH(B210, 'Sprint 8'!B:B, 0)), INDEX('Sprint 8'!J:J, MATCH(B210, 'Sprint 8'!B:B, 0)), "")</f>
        <v>Ready To Test</v>
      </c>
      <c r="V210" s="102">
        <v>10800.0</v>
      </c>
      <c r="W210" s="102" t="s">
        <v>5944</v>
      </c>
      <c r="X210" s="102" t="s">
        <v>5919</v>
      </c>
      <c r="Y210" s="102" t="s">
        <v>5920</v>
      </c>
      <c r="Z210" s="102"/>
      <c r="AA210" s="102"/>
      <c r="AB210" s="102"/>
      <c r="AC210" s="102"/>
      <c r="AD210" s="102"/>
      <c r="AE210" s="102"/>
      <c r="AF210" s="102"/>
    </row>
    <row r="211">
      <c r="A211" s="102" t="s">
        <v>310</v>
      </c>
      <c r="B211" s="102" t="s">
        <v>8645</v>
      </c>
      <c r="C211" s="229" t="s">
        <v>8646</v>
      </c>
      <c r="D211" s="102" t="s">
        <v>8647</v>
      </c>
      <c r="E211" s="102" t="s">
        <v>353</v>
      </c>
      <c r="F211" s="102" t="s">
        <v>354</v>
      </c>
      <c r="G211" s="102" t="s">
        <v>316</v>
      </c>
      <c r="H211" s="102" t="s">
        <v>317</v>
      </c>
      <c r="I211" s="102" t="s">
        <v>284</v>
      </c>
      <c r="J211" s="102" t="s">
        <v>63</v>
      </c>
      <c r="L211" s="229" t="s">
        <v>8648</v>
      </c>
      <c r="M211" s="229" t="s">
        <v>9068</v>
      </c>
      <c r="N211" s="229" t="s">
        <v>7979</v>
      </c>
      <c r="O211" s="102"/>
      <c r="P211" s="102"/>
      <c r="Q211" s="102"/>
      <c r="R211" s="102"/>
      <c r="S211" s="102"/>
      <c r="T211" s="230" t="str">
        <f>IF(ISNUMBER(MATCH(B211, 'Sprint 8'!B:B, 0)), "มาจาก Sprint 8", "")</f>
        <v/>
      </c>
      <c r="U211" s="230" t="str">
        <f t="array" ref="U211">IF(ISNUMBER(MATCH(B211, 'Sprint 8'!B:B, 0)), INDEX('Sprint 8'!J:J, MATCH(B211, 'Sprint 8'!B:B, 0)), "")</f>
        <v/>
      </c>
      <c r="W211" s="102" t="s">
        <v>4960</v>
      </c>
      <c r="X211" s="102"/>
      <c r="Y211" s="102"/>
      <c r="Z211" s="102"/>
      <c r="AA211" s="102"/>
      <c r="AB211" s="102"/>
      <c r="AC211" s="102"/>
      <c r="AD211" s="102"/>
      <c r="AE211" s="102"/>
      <c r="AF211" s="102"/>
    </row>
    <row r="212">
      <c r="A212" s="102" t="s">
        <v>310</v>
      </c>
      <c r="B212" s="102" t="s">
        <v>7736</v>
      </c>
      <c r="C212" s="229" t="s">
        <v>7737</v>
      </c>
      <c r="D212" s="102" t="s">
        <v>7738</v>
      </c>
      <c r="E212" s="102" t="s">
        <v>495</v>
      </c>
      <c r="F212" s="102" t="s">
        <v>496</v>
      </c>
      <c r="G212" s="102" t="s">
        <v>282</v>
      </c>
      <c r="H212" s="102" t="s">
        <v>283</v>
      </c>
      <c r="I212" s="102" t="s">
        <v>284</v>
      </c>
      <c r="J212" s="102" t="s">
        <v>454</v>
      </c>
      <c r="L212" s="229" t="s">
        <v>7739</v>
      </c>
      <c r="M212" s="229" t="s">
        <v>8954</v>
      </c>
      <c r="N212" s="102"/>
      <c r="O212" s="102">
        <v>2.0</v>
      </c>
      <c r="P212" s="102" t="s">
        <v>504</v>
      </c>
      <c r="R212" s="102"/>
      <c r="S212" s="102">
        <v>0.0</v>
      </c>
      <c r="T212" s="230" t="str">
        <f>IF(ISNUMBER(MATCH(B212, 'Sprint 8'!B:B, 0)), "มาจาก Sprint 8", "")</f>
        <v>มาจาก Sprint 8</v>
      </c>
      <c r="U212" s="230" t="str">
        <f t="array" ref="U212">IF(ISNUMBER(MATCH(B212, 'Sprint 8'!B:B, 0)), INDEX('Sprint 8'!J:J, MATCH(B212, 'Sprint 8'!B:B, 0)), "")</f>
        <v>Ready To Test</v>
      </c>
      <c r="V212" s="102">
        <v>28800.0</v>
      </c>
      <c r="W212" s="102" t="s">
        <v>5944</v>
      </c>
      <c r="X212" s="102" t="s">
        <v>5919</v>
      </c>
      <c r="Y212" s="102" t="s">
        <v>5920</v>
      </c>
      <c r="Z212" s="102"/>
      <c r="AA212" s="102"/>
      <c r="AB212" s="102"/>
      <c r="AC212" s="102"/>
      <c r="AD212" s="102"/>
      <c r="AE212" s="102"/>
      <c r="AF212" s="102"/>
    </row>
    <row r="213">
      <c r="A213" s="102" t="s">
        <v>310</v>
      </c>
      <c r="B213" s="102" t="s">
        <v>7740</v>
      </c>
      <c r="C213" s="229" t="s">
        <v>7741</v>
      </c>
      <c r="D213" s="102" t="s">
        <v>7742</v>
      </c>
      <c r="E213" s="102" t="s">
        <v>556</v>
      </c>
      <c r="F213" s="102" t="s">
        <v>557</v>
      </c>
      <c r="G213" s="102" t="s">
        <v>282</v>
      </c>
      <c r="H213" s="102" t="s">
        <v>283</v>
      </c>
      <c r="I213" s="102" t="s">
        <v>284</v>
      </c>
      <c r="J213" s="102" t="s">
        <v>454</v>
      </c>
      <c r="L213" s="229" t="s">
        <v>7739</v>
      </c>
      <c r="M213" s="229" t="s">
        <v>8954</v>
      </c>
      <c r="N213" s="229" t="s">
        <v>7743</v>
      </c>
      <c r="O213" s="102">
        <v>5.0</v>
      </c>
      <c r="P213" s="102" t="s">
        <v>504</v>
      </c>
      <c r="R213" s="102"/>
      <c r="S213" s="102">
        <v>0.0</v>
      </c>
      <c r="T213" s="230" t="str">
        <f>IF(ISNUMBER(MATCH(B213, 'Sprint 8'!B:B, 0)), "มาจาก Sprint 8", "")</f>
        <v>มาจาก Sprint 8</v>
      </c>
      <c r="U213" s="230" t="str">
        <f t="array" ref="U213">IF(ISNUMBER(MATCH(B213, 'Sprint 8'!B:B, 0)), INDEX('Sprint 8'!J:J, MATCH(B213, 'Sprint 8'!B:B, 0)), "")</f>
        <v>Ready To Test</v>
      </c>
      <c r="V213" s="102">
        <v>57600.0</v>
      </c>
      <c r="W213" s="102" t="s">
        <v>5944</v>
      </c>
      <c r="X213" s="102" t="s">
        <v>5919</v>
      </c>
      <c r="Y213" s="102" t="s">
        <v>5920</v>
      </c>
      <c r="Z213" s="102"/>
      <c r="AA213" s="102"/>
      <c r="AB213" s="102"/>
      <c r="AC213" s="102"/>
      <c r="AD213" s="102"/>
      <c r="AE213" s="102"/>
      <c r="AF213" s="102"/>
    </row>
    <row r="214">
      <c r="A214" s="102" t="s">
        <v>310</v>
      </c>
      <c r="B214" s="102" t="s">
        <v>7744</v>
      </c>
      <c r="C214" s="229" t="s">
        <v>7745</v>
      </c>
      <c r="D214" s="102" t="s">
        <v>7746</v>
      </c>
      <c r="E214" s="102" t="s">
        <v>564</v>
      </c>
      <c r="F214" s="102" t="s">
        <v>565</v>
      </c>
      <c r="G214" s="102" t="s">
        <v>282</v>
      </c>
      <c r="H214" s="102" t="s">
        <v>283</v>
      </c>
      <c r="I214" s="102" t="s">
        <v>284</v>
      </c>
      <c r="J214" s="102" t="s">
        <v>454</v>
      </c>
      <c r="L214" s="229" t="s">
        <v>7739</v>
      </c>
      <c r="M214" s="229" t="s">
        <v>8954</v>
      </c>
      <c r="N214" s="229" t="s">
        <v>7735</v>
      </c>
      <c r="O214" s="102">
        <v>3.0</v>
      </c>
      <c r="P214" s="102" t="s">
        <v>504</v>
      </c>
      <c r="Q214" s="102"/>
      <c r="R214" s="102"/>
      <c r="S214" s="102">
        <v>0.0</v>
      </c>
      <c r="T214" s="230" t="str">
        <f>IF(ISNUMBER(MATCH(B214, 'Sprint 8'!B:B, 0)), "มาจาก Sprint 8", "")</f>
        <v>มาจาก Sprint 8</v>
      </c>
      <c r="U214" s="230" t="str">
        <f t="array" ref="U214">IF(ISNUMBER(MATCH(B214, 'Sprint 8'!B:B, 0)), INDEX('Sprint 8'!J:J, MATCH(B214, 'Sprint 8'!B:B, 0)), "")</f>
        <v>Ready To Test</v>
      </c>
      <c r="V214" s="102">
        <v>28800.0</v>
      </c>
      <c r="W214" s="102" t="s">
        <v>5944</v>
      </c>
      <c r="X214" s="102" t="s">
        <v>5919</v>
      </c>
      <c r="Y214" s="102" t="s">
        <v>5920</v>
      </c>
      <c r="Z214" s="102"/>
      <c r="AA214" s="102"/>
      <c r="AB214" s="102"/>
      <c r="AC214" s="102"/>
      <c r="AD214" s="102"/>
      <c r="AE214" s="102"/>
      <c r="AF214" s="102"/>
    </row>
    <row r="215">
      <c r="A215" s="102" t="s">
        <v>310</v>
      </c>
      <c r="B215" s="102" t="s">
        <v>7747</v>
      </c>
      <c r="C215" s="229" t="s">
        <v>7748</v>
      </c>
      <c r="D215" s="102" t="s">
        <v>7749</v>
      </c>
      <c r="E215" s="102" t="s">
        <v>495</v>
      </c>
      <c r="F215" s="102" t="s">
        <v>496</v>
      </c>
      <c r="G215" s="102" t="s">
        <v>282</v>
      </c>
      <c r="H215" s="102" t="s">
        <v>283</v>
      </c>
      <c r="I215" s="102" t="s">
        <v>284</v>
      </c>
      <c r="J215" s="102" t="s">
        <v>454</v>
      </c>
      <c r="L215" s="229" t="s">
        <v>7739</v>
      </c>
      <c r="M215" s="229" t="s">
        <v>8954</v>
      </c>
      <c r="N215" s="102"/>
      <c r="O215" s="102">
        <v>8.0</v>
      </c>
      <c r="P215" s="102" t="s">
        <v>504</v>
      </c>
      <c r="Q215" s="102"/>
      <c r="R215" s="102"/>
      <c r="S215" s="102">
        <v>0.0</v>
      </c>
      <c r="T215" s="230" t="str">
        <f>IF(ISNUMBER(MATCH(B215, 'Sprint 8'!B:B, 0)), "มาจาก Sprint 8", "")</f>
        <v>มาจาก Sprint 8</v>
      </c>
      <c r="U215" s="230" t="str">
        <f t="array" ref="U215">IF(ISNUMBER(MATCH(B215, 'Sprint 8'!B:B, 0)), INDEX('Sprint 8'!J:J, MATCH(B215, 'Sprint 8'!B:B, 0)), "")</f>
        <v>Ready To Test</v>
      </c>
      <c r="V215" s="102">
        <v>86400.0</v>
      </c>
      <c r="W215" s="102" t="s">
        <v>5944</v>
      </c>
      <c r="X215" s="102" t="s">
        <v>5919</v>
      </c>
      <c r="Y215" s="102" t="s">
        <v>5920</v>
      </c>
      <c r="Z215" s="102"/>
      <c r="AA215" s="102"/>
      <c r="AB215" s="102"/>
      <c r="AC215" s="102"/>
      <c r="AD215" s="102"/>
      <c r="AE215" s="102"/>
      <c r="AF215" s="102"/>
    </row>
    <row r="216">
      <c r="A216" s="102" t="s">
        <v>310</v>
      </c>
      <c r="B216" s="102" t="s">
        <v>7750</v>
      </c>
      <c r="C216" s="229" t="s">
        <v>7751</v>
      </c>
      <c r="D216" s="102" t="s">
        <v>7752</v>
      </c>
      <c r="E216" s="102" t="s">
        <v>495</v>
      </c>
      <c r="F216" s="102" t="s">
        <v>496</v>
      </c>
      <c r="G216" s="102" t="s">
        <v>282</v>
      </c>
      <c r="H216" s="102" t="s">
        <v>283</v>
      </c>
      <c r="I216" s="102" t="s">
        <v>284</v>
      </c>
      <c r="J216" s="102" t="s">
        <v>454</v>
      </c>
      <c r="L216" s="229" t="s">
        <v>7753</v>
      </c>
      <c r="M216" s="229" t="s">
        <v>8954</v>
      </c>
      <c r="O216" s="102">
        <v>5.0</v>
      </c>
      <c r="P216" s="102" t="s">
        <v>504</v>
      </c>
      <c r="Q216" s="102"/>
      <c r="R216" s="102"/>
      <c r="S216" s="102">
        <v>0.0</v>
      </c>
      <c r="T216" s="230" t="str">
        <f>IF(ISNUMBER(MATCH(B216, 'Sprint 8'!B:B, 0)), "มาจาก Sprint 8", "")</f>
        <v>มาจาก Sprint 8</v>
      </c>
      <c r="U216" s="230" t="str">
        <f t="array" ref="U216">IF(ISNUMBER(MATCH(B216, 'Sprint 8'!B:B, 0)), INDEX('Sprint 8'!J:J, MATCH(B216, 'Sprint 8'!B:B, 0)), "")</f>
        <v>Ready To Test</v>
      </c>
      <c r="V216" s="102">
        <v>28800.0</v>
      </c>
      <c r="W216" s="102" t="s">
        <v>5944</v>
      </c>
      <c r="X216" s="102" t="s">
        <v>5919</v>
      </c>
      <c r="Y216" s="102" t="s">
        <v>5920</v>
      </c>
      <c r="Z216" s="102"/>
      <c r="AA216" s="102"/>
      <c r="AB216" s="102"/>
      <c r="AC216" s="102"/>
      <c r="AD216" s="102"/>
      <c r="AE216" s="102"/>
      <c r="AF216" s="102"/>
    </row>
    <row r="217">
      <c r="A217" s="102" t="s">
        <v>310</v>
      </c>
      <c r="B217" s="102" t="s">
        <v>7754</v>
      </c>
      <c r="C217" s="229" t="s">
        <v>7755</v>
      </c>
      <c r="D217" s="102" t="s">
        <v>7756</v>
      </c>
      <c r="E217" s="102" t="s">
        <v>556</v>
      </c>
      <c r="F217" s="102" t="s">
        <v>557</v>
      </c>
      <c r="G217" s="102" t="s">
        <v>282</v>
      </c>
      <c r="H217" s="102" t="s">
        <v>283</v>
      </c>
      <c r="I217" s="102" t="s">
        <v>284</v>
      </c>
      <c r="J217" s="102" t="s">
        <v>454</v>
      </c>
      <c r="L217" s="229" t="s">
        <v>7757</v>
      </c>
      <c r="M217" s="229" t="s">
        <v>8954</v>
      </c>
      <c r="N217" s="229" t="s">
        <v>7726</v>
      </c>
      <c r="O217" s="102">
        <v>3.0</v>
      </c>
      <c r="P217" s="102" t="s">
        <v>504</v>
      </c>
      <c r="R217" s="102"/>
      <c r="S217" s="102">
        <v>0.0</v>
      </c>
      <c r="T217" s="230" t="str">
        <f>IF(ISNUMBER(MATCH(B217, 'Sprint 8'!B:B, 0)), "มาจาก Sprint 8", "")</f>
        <v>มาจาก Sprint 8</v>
      </c>
      <c r="U217" s="230" t="str">
        <f t="array" ref="U217">IF(ISNUMBER(MATCH(B217, 'Sprint 8'!B:B, 0)), INDEX('Sprint 8'!J:J, MATCH(B217, 'Sprint 8'!B:B, 0)), "")</f>
        <v>Ready To Test</v>
      </c>
      <c r="V217" s="102">
        <v>28800.0</v>
      </c>
      <c r="W217" s="102" t="s">
        <v>5944</v>
      </c>
      <c r="X217" s="102" t="s">
        <v>5919</v>
      </c>
      <c r="Y217" s="102" t="s">
        <v>5920</v>
      </c>
      <c r="Z217" s="102"/>
      <c r="AA217" s="102"/>
      <c r="AB217" s="102"/>
      <c r="AC217" s="102"/>
      <c r="AD217" s="102"/>
      <c r="AE217" s="102"/>
      <c r="AF217" s="102"/>
      <c r="AG217" s="102"/>
    </row>
    <row r="218">
      <c r="A218" s="102" t="s">
        <v>310</v>
      </c>
      <c r="B218" s="102" t="s">
        <v>7758</v>
      </c>
      <c r="C218" s="229" t="s">
        <v>7759</v>
      </c>
      <c r="D218" s="102" t="s">
        <v>7760</v>
      </c>
      <c r="E218" s="102" t="s">
        <v>564</v>
      </c>
      <c r="F218" s="102" t="s">
        <v>565</v>
      </c>
      <c r="G218" s="102" t="s">
        <v>282</v>
      </c>
      <c r="H218" s="102" t="s">
        <v>283</v>
      </c>
      <c r="I218" s="102" t="s">
        <v>284</v>
      </c>
      <c r="J218" s="102" t="s">
        <v>454</v>
      </c>
      <c r="L218" s="229" t="s">
        <v>7757</v>
      </c>
      <c r="M218" s="229" t="s">
        <v>8954</v>
      </c>
      <c r="N218" s="229" t="s">
        <v>7761</v>
      </c>
      <c r="O218" s="102">
        <v>3.0</v>
      </c>
      <c r="P218" s="102" t="s">
        <v>504</v>
      </c>
      <c r="Q218" s="102"/>
      <c r="R218" s="102"/>
      <c r="S218" s="102">
        <v>0.0</v>
      </c>
      <c r="T218" s="230" t="str">
        <f>IF(ISNUMBER(MATCH(B218, 'Sprint 8'!B:B, 0)), "มาจาก Sprint 8", "")</f>
        <v>มาจาก Sprint 8</v>
      </c>
      <c r="U218" s="230" t="str">
        <f t="array" ref="U218">IF(ISNUMBER(MATCH(B218, 'Sprint 8'!B:B, 0)), INDEX('Sprint 8'!J:J, MATCH(B218, 'Sprint 8'!B:B, 0)), "")</f>
        <v>Ready To Test</v>
      </c>
      <c r="V218" s="102">
        <v>28800.0</v>
      </c>
      <c r="W218" s="102" t="s">
        <v>5944</v>
      </c>
      <c r="X218" s="102" t="s">
        <v>5919</v>
      </c>
      <c r="Y218" s="102" t="s">
        <v>5920</v>
      </c>
      <c r="Z218" s="102"/>
      <c r="AA218" s="102"/>
      <c r="AB218" s="102"/>
      <c r="AC218" s="102"/>
      <c r="AD218" s="102"/>
      <c r="AE218" s="102"/>
      <c r="AF218" s="102"/>
      <c r="AG218" s="102"/>
    </row>
    <row r="219">
      <c r="A219" s="102" t="s">
        <v>310</v>
      </c>
      <c r="B219" s="102" t="s">
        <v>7762</v>
      </c>
      <c r="C219" s="229" t="s">
        <v>7763</v>
      </c>
      <c r="D219" s="102" t="s">
        <v>7764</v>
      </c>
      <c r="E219" s="102" t="s">
        <v>304</v>
      </c>
      <c r="F219" s="102" t="s">
        <v>305</v>
      </c>
      <c r="G219" s="102" t="s">
        <v>282</v>
      </c>
      <c r="H219" s="102" t="s">
        <v>283</v>
      </c>
      <c r="I219" s="102" t="s">
        <v>284</v>
      </c>
      <c r="J219" s="102" t="s">
        <v>454</v>
      </c>
      <c r="L219" s="229" t="s">
        <v>7757</v>
      </c>
      <c r="M219" s="229" t="s">
        <v>8954</v>
      </c>
      <c r="N219" s="102"/>
      <c r="O219" s="102">
        <v>5.0</v>
      </c>
      <c r="P219" s="102" t="s">
        <v>504</v>
      </c>
      <c r="Q219" s="102"/>
      <c r="S219" s="102">
        <v>0.0</v>
      </c>
      <c r="T219" s="230" t="str">
        <f>IF(ISNUMBER(MATCH(B219, 'Sprint 8'!B:B, 0)), "มาจาก Sprint 8", "")</f>
        <v>มาจาก Sprint 8</v>
      </c>
      <c r="U219" s="230" t="str">
        <f t="array" ref="U219">IF(ISNUMBER(MATCH(B219, 'Sprint 8'!B:B, 0)), INDEX('Sprint 8'!J:J, MATCH(B219, 'Sprint 8'!B:B, 0)), "")</f>
        <v>Ready To Test</v>
      </c>
      <c r="V219" s="102">
        <v>86400.0</v>
      </c>
      <c r="W219" s="102" t="s">
        <v>5944</v>
      </c>
      <c r="X219" s="102" t="s">
        <v>5919</v>
      </c>
      <c r="Y219" s="102" t="s">
        <v>5920</v>
      </c>
      <c r="Z219" s="102"/>
      <c r="AA219" s="102"/>
      <c r="AB219" s="102"/>
      <c r="AC219" s="102"/>
      <c r="AD219" s="102"/>
      <c r="AE219" s="102"/>
      <c r="AF219" s="102"/>
    </row>
    <row r="220">
      <c r="A220" s="102" t="s">
        <v>310</v>
      </c>
      <c r="B220" s="102" t="s">
        <v>7765</v>
      </c>
      <c r="C220" s="229" t="s">
        <v>7766</v>
      </c>
      <c r="D220" s="102" t="s">
        <v>7767</v>
      </c>
      <c r="E220" s="102" t="s">
        <v>556</v>
      </c>
      <c r="F220" s="102" t="s">
        <v>557</v>
      </c>
      <c r="G220" s="102" t="s">
        <v>282</v>
      </c>
      <c r="H220" s="102" t="s">
        <v>283</v>
      </c>
      <c r="I220" s="102" t="s">
        <v>284</v>
      </c>
      <c r="J220" s="102" t="s">
        <v>454</v>
      </c>
      <c r="L220" s="229" t="s">
        <v>7757</v>
      </c>
      <c r="M220" s="229" t="s">
        <v>8954</v>
      </c>
      <c r="N220" s="229" t="s">
        <v>7720</v>
      </c>
      <c r="O220" s="102">
        <v>3.0</v>
      </c>
      <c r="P220" s="102" t="s">
        <v>504</v>
      </c>
      <c r="R220" s="102"/>
      <c r="S220" s="102">
        <v>0.0</v>
      </c>
      <c r="T220" s="230" t="str">
        <f>IF(ISNUMBER(MATCH(B220, 'Sprint 8'!B:B, 0)), "มาจาก Sprint 8", "")</f>
        <v>มาจาก Sprint 8</v>
      </c>
      <c r="U220" s="230" t="str">
        <f t="array" ref="U220">IF(ISNUMBER(MATCH(B220, 'Sprint 8'!B:B, 0)), INDEX('Sprint 8'!J:J, MATCH(B220, 'Sprint 8'!B:B, 0)), "")</f>
        <v>Ready To Test</v>
      </c>
      <c r="V220" s="102">
        <v>28800.0</v>
      </c>
      <c r="W220" s="102" t="s">
        <v>5944</v>
      </c>
      <c r="X220" s="102" t="s">
        <v>5919</v>
      </c>
      <c r="Y220" s="102" t="s">
        <v>5920</v>
      </c>
      <c r="Z220" s="102"/>
      <c r="AA220" s="102"/>
      <c r="AB220" s="102"/>
      <c r="AC220" s="102"/>
      <c r="AD220" s="102"/>
      <c r="AE220" s="102"/>
      <c r="AF220" s="102"/>
      <c r="AG220" s="102"/>
    </row>
    <row r="221">
      <c r="A221" s="102" t="s">
        <v>310</v>
      </c>
      <c r="B221" s="102" t="s">
        <v>7768</v>
      </c>
      <c r="C221" s="229" t="s">
        <v>7769</v>
      </c>
      <c r="D221" s="102" t="s">
        <v>7770</v>
      </c>
      <c r="E221" s="102" t="s">
        <v>564</v>
      </c>
      <c r="F221" s="102" t="s">
        <v>565</v>
      </c>
      <c r="G221" s="102" t="s">
        <v>282</v>
      </c>
      <c r="H221" s="102" t="s">
        <v>283</v>
      </c>
      <c r="I221" s="102" t="s">
        <v>284</v>
      </c>
      <c r="J221" s="102" t="s">
        <v>454</v>
      </c>
      <c r="L221" s="229" t="s">
        <v>7771</v>
      </c>
      <c r="M221" s="229" t="s">
        <v>8954</v>
      </c>
      <c r="N221" s="229" t="s">
        <v>6471</v>
      </c>
      <c r="O221" s="102">
        <v>5.0</v>
      </c>
      <c r="P221" s="102" t="s">
        <v>504</v>
      </c>
      <c r="Q221" s="102"/>
      <c r="R221" s="102"/>
      <c r="S221" s="102">
        <v>0.0</v>
      </c>
      <c r="T221" s="230" t="str">
        <f>IF(ISNUMBER(MATCH(B221, 'Sprint 8'!B:B, 0)), "มาจาก Sprint 8", "")</f>
        <v>มาจาก Sprint 8</v>
      </c>
      <c r="U221" s="230" t="str">
        <f t="array" ref="U221">IF(ISNUMBER(MATCH(B221, 'Sprint 8'!B:B, 0)), INDEX('Sprint 8'!J:J, MATCH(B221, 'Sprint 8'!B:B, 0)), "")</f>
        <v>Ready To Test</v>
      </c>
      <c r="V221" s="102">
        <v>43200.0</v>
      </c>
      <c r="W221" s="102" t="s">
        <v>5944</v>
      </c>
      <c r="X221" s="102" t="s">
        <v>5919</v>
      </c>
      <c r="Y221" s="102" t="s">
        <v>5920</v>
      </c>
      <c r="Z221" s="230"/>
      <c r="AA221" s="230"/>
      <c r="AB221" s="230"/>
      <c r="AC221" s="102"/>
      <c r="AD221" s="102"/>
      <c r="AE221" s="102"/>
      <c r="AF221" s="102"/>
      <c r="AG221" s="102"/>
    </row>
    <row r="222">
      <c r="A222" s="102" t="s">
        <v>332</v>
      </c>
      <c r="B222" s="102" t="s">
        <v>8048</v>
      </c>
      <c r="C222" s="229" t="s">
        <v>8049</v>
      </c>
      <c r="D222" s="102" t="s">
        <v>8050</v>
      </c>
      <c r="E222" s="102" t="s">
        <v>353</v>
      </c>
      <c r="F222" s="102" t="s">
        <v>354</v>
      </c>
      <c r="G222" s="102" t="s">
        <v>3288</v>
      </c>
      <c r="H222" s="102" t="s">
        <v>3289</v>
      </c>
      <c r="I222" s="102" t="s">
        <v>284</v>
      </c>
      <c r="J222" s="102" t="s">
        <v>2231</v>
      </c>
      <c r="L222" s="229" t="s">
        <v>8051</v>
      </c>
      <c r="M222" s="229" t="s">
        <v>9069</v>
      </c>
      <c r="N222" s="102"/>
      <c r="O222" s="102"/>
      <c r="P222" s="102"/>
      <c r="R222" s="102"/>
      <c r="S222" s="230"/>
      <c r="T222" s="230" t="str">
        <f>IF(ISNUMBER(MATCH(B222, 'Sprint 8'!B:B, 0)), "มาจาก Sprint 8", "")</f>
        <v/>
      </c>
      <c r="U222" s="230" t="str">
        <f t="array" ref="U222">IF(ISNUMBER(MATCH(B222, 'Sprint 8'!B:B, 0)), INDEX('Sprint 8'!J:J, MATCH(B222, 'Sprint 8'!B:B, 0)), "")</f>
        <v/>
      </c>
      <c r="W222" s="102" t="s">
        <v>8237</v>
      </c>
      <c r="X222" s="102"/>
      <c r="Y222" s="102"/>
      <c r="Z222" s="102"/>
      <c r="AA222" s="230"/>
      <c r="AB222" s="102"/>
      <c r="AC222" s="102"/>
      <c r="AD222" s="102"/>
      <c r="AE222" s="102"/>
      <c r="AF222" s="102"/>
    </row>
    <row r="223">
      <c r="A223" s="102" t="s">
        <v>310</v>
      </c>
      <c r="B223" s="102" t="s">
        <v>7772</v>
      </c>
      <c r="C223" s="229" t="s">
        <v>7773</v>
      </c>
      <c r="D223" s="102" t="s">
        <v>7774</v>
      </c>
      <c r="E223" s="102" t="s">
        <v>282</v>
      </c>
      <c r="F223" s="102" t="s">
        <v>283</v>
      </c>
      <c r="G223" s="102" t="s">
        <v>282</v>
      </c>
      <c r="H223" s="102" t="s">
        <v>283</v>
      </c>
      <c r="I223" s="102" t="s">
        <v>284</v>
      </c>
      <c r="J223" s="102" t="s">
        <v>454</v>
      </c>
      <c r="L223" s="229" t="s">
        <v>7775</v>
      </c>
      <c r="M223" s="229" t="s">
        <v>9070</v>
      </c>
      <c r="N223" s="102"/>
      <c r="O223" s="102">
        <v>1.0</v>
      </c>
      <c r="P223" s="102" t="s">
        <v>777</v>
      </c>
      <c r="Q223" s="102"/>
      <c r="R223" s="102"/>
      <c r="S223" s="102"/>
      <c r="T223" s="230" t="str">
        <f>IF(ISNUMBER(MATCH(B223, 'Sprint 8'!B:B, 0)), "มาจาก Sprint 8", "")</f>
        <v>มาจาก Sprint 8</v>
      </c>
      <c r="U223" s="230" t="str">
        <f t="array" ref="U223">IF(ISNUMBER(MATCH(B223, 'Sprint 8'!B:B, 0)), INDEX('Sprint 8'!J:J, MATCH(B223, 'Sprint 8'!B:B, 0)), "")</f>
        <v>Done</v>
      </c>
      <c r="W223" s="102" t="s">
        <v>7695</v>
      </c>
      <c r="X223" s="102" t="s">
        <v>7696</v>
      </c>
      <c r="Y223" s="102" t="s">
        <v>5944</v>
      </c>
      <c r="Z223" s="102" t="s">
        <v>5919</v>
      </c>
      <c r="AA223" s="102" t="s">
        <v>5920</v>
      </c>
      <c r="AB223" s="102"/>
      <c r="AC223" s="102"/>
      <c r="AD223" s="102"/>
      <c r="AE223" s="102"/>
      <c r="AF223" s="102"/>
    </row>
    <row r="224">
      <c r="A224" s="102" t="s">
        <v>332</v>
      </c>
      <c r="B224" s="102" t="s">
        <v>8650</v>
      </c>
      <c r="C224" s="229" t="s">
        <v>8651</v>
      </c>
      <c r="D224" s="102" t="s">
        <v>8652</v>
      </c>
      <c r="E224" s="102" t="s">
        <v>564</v>
      </c>
      <c r="F224" s="102" t="s">
        <v>565</v>
      </c>
      <c r="G224" s="102" t="s">
        <v>3288</v>
      </c>
      <c r="H224" s="102" t="s">
        <v>3289</v>
      </c>
      <c r="I224" s="102" t="s">
        <v>284</v>
      </c>
      <c r="J224" s="102" t="s">
        <v>2231</v>
      </c>
      <c r="L224" s="229" t="s">
        <v>8653</v>
      </c>
      <c r="M224" s="229" t="s">
        <v>9071</v>
      </c>
      <c r="N224" s="102"/>
      <c r="O224" s="102"/>
      <c r="P224" s="102"/>
      <c r="Q224" s="102"/>
      <c r="R224" s="102"/>
      <c r="S224" s="230"/>
      <c r="T224" s="230" t="str">
        <f>IF(ISNUMBER(MATCH(B224, 'Sprint 8'!B:B, 0)), "มาจาก Sprint 8", "")</f>
        <v/>
      </c>
      <c r="U224" s="230" t="str">
        <f t="array" ref="U224">IF(ISNUMBER(MATCH(B224, 'Sprint 8'!B:B, 0)), INDEX('Sprint 8'!J:J, MATCH(B224, 'Sprint 8'!B:B, 0)), "")</f>
        <v/>
      </c>
      <c r="W224" s="102" t="s">
        <v>8237</v>
      </c>
      <c r="X224" s="102"/>
      <c r="Y224" s="102"/>
      <c r="Z224" s="102"/>
      <c r="AA224" s="230"/>
      <c r="AB224" s="102"/>
      <c r="AC224" s="102"/>
      <c r="AD224" s="102"/>
      <c r="AE224" s="102"/>
      <c r="AF224" s="102"/>
    </row>
    <row r="225">
      <c r="A225" s="102" t="s">
        <v>310</v>
      </c>
      <c r="B225" s="102" t="s">
        <v>4962</v>
      </c>
      <c r="C225" s="229" t="s">
        <v>4963</v>
      </c>
      <c r="D225" s="102" t="s">
        <v>4964</v>
      </c>
      <c r="E225" s="102" t="s">
        <v>556</v>
      </c>
      <c r="F225" s="102" t="s">
        <v>557</v>
      </c>
      <c r="G225" s="102" t="s">
        <v>353</v>
      </c>
      <c r="H225" s="102" t="s">
        <v>354</v>
      </c>
      <c r="I225" s="102" t="s">
        <v>284</v>
      </c>
      <c r="J225" s="102" t="s">
        <v>454</v>
      </c>
      <c r="L225" s="229" t="s">
        <v>4965</v>
      </c>
      <c r="M225" s="229" t="s">
        <v>9072</v>
      </c>
      <c r="N225" s="229" t="s">
        <v>4966</v>
      </c>
      <c r="O225" s="102">
        <v>1.0</v>
      </c>
      <c r="P225" s="102"/>
      <c r="Q225" s="102"/>
      <c r="R225" s="102"/>
      <c r="S225" s="102">
        <v>7200.0</v>
      </c>
      <c r="T225" s="230" t="str">
        <f>IF(ISNUMBER(MATCH(B225, 'Sprint 8'!B:B, 0)), "มาจาก Sprint 8", "")</f>
        <v/>
      </c>
      <c r="U225" s="230" t="str">
        <f t="array" ref="U225">IF(ISNUMBER(MATCH(B225, 'Sprint 8'!B:B, 0)), INDEX('Sprint 8'!J:J, MATCH(B225, 'Sprint 8'!B:B, 0)), "")</f>
        <v/>
      </c>
      <c r="W225" s="102" t="s">
        <v>4967</v>
      </c>
      <c r="X225" s="102" t="s">
        <v>4968</v>
      </c>
      <c r="Y225" s="102" t="s">
        <v>4960</v>
      </c>
      <c r="Z225" s="102"/>
      <c r="AA225" s="102"/>
      <c r="AB225" s="102"/>
      <c r="AC225" s="102"/>
      <c r="AD225" s="102"/>
    </row>
    <row r="226">
      <c r="A226" s="102" t="s">
        <v>310</v>
      </c>
      <c r="B226" s="102" t="s">
        <v>5940</v>
      </c>
      <c r="C226" s="229" t="s">
        <v>5941</v>
      </c>
      <c r="D226" s="102" t="s">
        <v>5942</v>
      </c>
      <c r="E226" s="102" t="s">
        <v>513</v>
      </c>
      <c r="F226" s="102" t="s">
        <v>514</v>
      </c>
      <c r="G226" s="102" t="s">
        <v>282</v>
      </c>
      <c r="H226" s="102" t="s">
        <v>283</v>
      </c>
      <c r="I226" s="102" t="s">
        <v>284</v>
      </c>
      <c r="J226" s="102" t="s">
        <v>454</v>
      </c>
      <c r="L226" s="229" t="s">
        <v>5943</v>
      </c>
      <c r="M226" s="229" t="s">
        <v>8954</v>
      </c>
      <c r="O226" s="102">
        <v>3.0</v>
      </c>
      <c r="P226" s="102"/>
      <c r="Q226" s="102"/>
      <c r="R226" s="102"/>
      <c r="S226" s="102">
        <v>0.0</v>
      </c>
      <c r="T226" s="230" t="str">
        <f>IF(ISNUMBER(MATCH(B226, 'Sprint 8'!B:B, 0)), "มาจาก Sprint 8", "")</f>
        <v>มาจาก Sprint 8</v>
      </c>
      <c r="U226" s="230" t="str">
        <f t="array" ref="U226">IF(ISNUMBER(MATCH(B226, 'Sprint 8'!B:B, 0)), INDEX('Sprint 8'!J:J, MATCH(B226, 'Sprint 8'!B:B, 0)), "")</f>
        <v>Ready To Test</v>
      </c>
      <c r="V226" s="102">
        <v>28800.0</v>
      </c>
      <c r="W226" s="102" t="s">
        <v>5944</v>
      </c>
      <c r="X226" s="102" t="s">
        <v>5919</v>
      </c>
      <c r="Y226" s="102" t="s">
        <v>5920</v>
      </c>
      <c r="Z226" s="102"/>
      <c r="AA226" s="102"/>
      <c r="AB226" s="102"/>
      <c r="AC226" s="102"/>
      <c r="AD226" s="102"/>
      <c r="AE226" s="102"/>
      <c r="AF226" s="102"/>
    </row>
    <row r="227">
      <c r="A227" s="102" t="s">
        <v>310</v>
      </c>
      <c r="B227" s="102" t="s">
        <v>8656</v>
      </c>
      <c r="C227" s="229" t="s">
        <v>8657</v>
      </c>
      <c r="D227" s="102" t="s">
        <v>8658</v>
      </c>
      <c r="E227" s="102" t="s">
        <v>495</v>
      </c>
      <c r="F227" s="102" t="s">
        <v>496</v>
      </c>
      <c r="G227" s="102" t="s">
        <v>282</v>
      </c>
      <c r="H227" s="102" t="s">
        <v>283</v>
      </c>
      <c r="I227" s="102" t="s">
        <v>284</v>
      </c>
      <c r="J227" s="102" t="s">
        <v>454</v>
      </c>
      <c r="L227" s="229" t="s">
        <v>8659</v>
      </c>
      <c r="M227" s="229" t="s">
        <v>8954</v>
      </c>
      <c r="N227" s="102"/>
      <c r="O227" s="102">
        <v>2.0</v>
      </c>
      <c r="P227" s="102"/>
      <c r="R227" s="230"/>
      <c r="S227" s="102">
        <v>0.0</v>
      </c>
      <c r="T227" s="230" t="str">
        <f>IF(ISNUMBER(MATCH(B227, 'Sprint 8'!B:B, 0)), "มาจาก Sprint 8", "")</f>
        <v>มาจาก Sprint 8</v>
      </c>
      <c r="U227" s="230" t="str">
        <f t="array" ref="U227">IF(ISNUMBER(MATCH(B227, 'Sprint 8'!B:B, 0)), INDEX('Sprint 8'!J:J, MATCH(B227, 'Sprint 8'!B:B, 0)), "")</f>
        <v>Ready To Test</v>
      </c>
      <c r="V227" s="102">
        <v>7200.0</v>
      </c>
      <c r="W227" s="102" t="s">
        <v>5919</v>
      </c>
      <c r="X227" s="102" t="s">
        <v>5920</v>
      </c>
      <c r="Y227" s="102"/>
      <c r="Z227" s="102"/>
      <c r="AA227" s="102"/>
      <c r="AB227" s="102"/>
      <c r="AC227" s="102"/>
      <c r="AD227" s="102"/>
      <c r="AE227" s="102"/>
      <c r="AF227" s="102"/>
    </row>
    <row r="228">
      <c r="A228" s="102" t="s">
        <v>310</v>
      </c>
      <c r="B228" s="102" t="s">
        <v>8053</v>
      </c>
      <c r="C228" s="229" t="s">
        <v>8054</v>
      </c>
      <c r="D228" s="102" t="s">
        <v>8055</v>
      </c>
      <c r="E228" s="102" t="s">
        <v>495</v>
      </c>
      <c r="F228" s="102" t="s">
        <v>496</v>
      </c>
      <c r="G228" s="102" t="s">
        <v>282</v>
      </c>
      <c r="H228" s="102" t="s">
        <v>283</v>
      </c>
      <c r="I228" s="102" t="s">
        <v>284</v>
      </c>
      <c r="J228" s="102" t="s">
        <v>454</v>
      </c>
      <c r="L228" s="229" t="s">
        <v>8056</v>
      </c>
      <c r="M228" s="229" t="s">
        <v>8915</v>
      </c>
      <c r="N228" s="102"/>
      <c r="O228" s="102">
        <v>5.0</v>
      </c>
      <c r="P228" s="102" t="s">
        <v>777</v>
      </c>
      <c r="R228" s="102"/>
      <c r="S228" s="102">
        <v>0.0</v>
      </c>
      <c r="T228" s="230" t="str">
        <f>IF(ISNUMBER(MATCH(B228, 'Sprint 8'!B:B, 0)), "มาจาก Sprint 8", "")</f>
        <v>มาจาก Sprint 8</v>
      </c>
      <c r="U228" s="230" t="str">
        <f t="array" ref="U228">IF(ISNUMBER(MATCH(B228, 'Sprint 8'!B:B, 0)), INDEX('Sprint 8'!J:J, MATCH(B228, 'Sprint 8'!B:B, 0)), "")</f>
        <v>Ready To Test</v>
      </c>
      <c r="V228" s="102">
        <v>57600.0</v>
      </c>
      <c r="W228" s="102" t="s">
        <v>5919</v>
      </c>
      <c r="X228" s="102" t="s">
        <v>5920</v>
      </c>
      <c r="Y228" s="102"/>
      <c r="Z228" s="102"/>
      <c r="AA228" s="102"/>
      <c r="AB228" s="102"/>
      <c r="AC228" s="102"/>
      <c r="AD228" s="102"/>
      <c r="AE228" s="102"/>
      <c r="AF228" s="102"/>
    </row>
    <row r="229">
      <c r="A229" s="102" t="s">
        <v>310</v>
      </c>
      <c r="B229" s="102" t="s">
        <v>8058</v>
      </c>
      <c r="C229" s="229" t="s">
        <v>8059</v>
      </c>
      <c r="D229" s="102" t="s">
        <v>8060</v>
      </c>
      <c r="E229" s="102" t="s">
        <v>495</v>
      </c>
      <c r="F229" s="102" t="s">
        <v>496</v>
      </c>
      <c r="G229" s="102" t="s">
        <v>282</v>
      </c>
      <c r="H229" s="102" t="s">
        <v>283</v>
      </c>
      <c r="I229" s="102" t="s">
        <v>284</v>
      </c>
      <c r="J229" s="102" t="s">
        <v>454</v>
      </c>
      <c r="L229" s="229" t="s">
        <v>8061</v>
      </c>
      <c r="M229" s="229" t="s">
        <v>8954</v>
      </c>
      <c r="N229" s="102"/>
      <c r="O229" s="102">
        <v>2.0</v>
      </c>
      <c r="P229" s="102" t="s">
        <v>3197</v>
      </c>
      <c r="R229" s="102"/>
      <c r="S229" s="102">
        <v>0.0</v>
      </c>
      <c r="T229" s="230" t="str">
        <f>IF(ISNUMBER(MATCH(B229, 'Sprint 8'!B:B, 0)), "มาจาก Sprint 8", "")</f>
        <v>มาจาก Sprint 8</v>
      </c>
      <c r="U229" s="230" t="str">
        <f t="array" ref="U229">IF(ISNUMBER(MATCH(B229, 'Sprint 8'!B:B, 0)), INDEX('Sprint 8'!J:J, MATCH(B229, 'Sprint 8'!B:B, 0)), "")</f>
        <v>Ready To Test</v>
      </c>
      <c r="V229" s="102">
        <v>3600.0</v>
      </c>
      <c r="W229" s="102" t="s">
        <v>5944</v>
      </c>
      <c r="X229" s="102" t="s">
        <v>5919</v>
      </c>
      <c r="Y229" s="102" t="s">
        <v>5920</v>
      </c>
      <c r="Z229" s="102"/>
      <c r="AA229" s="102"/>
      <c r="AB229" s="102"/>
      <c r="AC229" s="102"/>
      <c r="AD229" s="102"/>
      <c r="AE229" s="102"/>
      <c r="AF229" s="102"/>
    </row>
    <row r="230">
      <c r="A230" s="102" t="s">
        <v>310</v>
      </c>
      <c r="B230" s="102" t="s">
        <v>8062</v>
      </c>
      <c r="C230" s="229" t="s">
        <v>8063</v>
      </c>
      <c r="D230" s="102" t="s">
        <v>8064</v>
      </c>
      <c r="E230" s="102" t="s">
        <v>495</v>
      </c>
      <c r="F230" s="102" t="s">
        <v>496</v>
      </c>
      <c r="G230" s="102" t="s">
        <v>282</v>
      </c>
      <c r="H230" s="102" t="s">
        <v>283</v>
      </c>
      <c r="I230" s="102" t="s">
        <v>284</v>
      </c>
      <c r="J230" s="102" t="s">
        <v>454</v>
      </c>
      <c r="L230" s="229" t="s">
        <v>8065</v>
      </c>
      <c r="M230" s="229" t="s">
        <v>8954</v>
      </c>
      <c r="N230" s="102"/>
      <c r="O230" s="102">
        <v>2.0</v>
      </c>
      <c r="P230" s="102" t="s">
        <v>3197</v>
      </c>
      <c r="R230" s="102"/>
      <c r="S230" s="102">
        <v>0.0</v>
      </c>
      <c r="T230" s="230" t="str">
        <f>IF(ISNUMBER(MATCH(B230, 'Sprint 8'!B:B, 0)), "มาจาก Sprint 8", "")</f>
        <v>มาจาก Sprint 8</v>
      </c>
      <c r="U230" s="230" t="str">
        <f t="array" ref="U230">IF(ISNUMBER(MATCH(B230, 'Sprint 8'!B:B, 0)), INDEX('Sprint 8'!J:J, MATCH(B230, 'Sprint 8'!B:B, 0)), "")</f>
        <v>Ready To Test</v>
      </c>
      <c r="V230" s="102">
        <v>14400.0</v>
      </c>
      <c r="W230" s="102" t="s">
        <v>5944</v>
      </c>
      <c r="X230" s="102" t="s">
        <v>5919</v>
      </c>
      <c r="Y230" s="102" t="s">
        <v>5920</v>
      </c>
      <c r="Z230" s="230"/>
      <c r="AA230" s="102"/>
      <c r="AB230" s="102"/>
      <c r="AC230" s="102"/>
      <c r="AD230" s="102"/>
      <c r="AE230" s="102"/>
      <c r="AF230" s="102"/>
    </row>
    <row r="231">
      <c r="A231" s="102" t="s">
        <v>332</v>
      </c>
      <c r="B231" s="102" t="s">
        <v>8661</v>
      </c>
      <c r="C231" s="229" t="s">
        <v>8662</v>
      </c>
      <c r="D231" s="102" t="s">
        <v>8663</v>
      </c>
      <c r="E231" s="102" t="s">
        <v>282</v>
      </c>
      <c r="F231" s="102" t="s">
        <v>283</v>
      </c>
      <c r="G231" s="102" t="s">
        <v>316</v>
      </c>
      <c r="H231" s="102" t="s">
        <v>317</v>
      </c>
      <c r="I231" s="102" t="s">
        <v>284</v>
      </c>
      <c r="J231" s="102" t="s">
        <v>2231</v>
      </c>
      <c r="L231" s="229" t="s">
        <v>8664</v>
      </c>
      <c r="M231" s="229" t="s">
        <v>9073</v>
      </c>
      <c r="N231" s="229" t="s">
        <v>8666</v>
      </c>
      <c r="O231" s="102">
        <v>2.0</v>
      </c>
      <c r="P231" s="102" t="s">
        <v>7229</v>
      </c>
      <c r="R231" s="230"/>
      <c r="S231" s="102">
        <v>14400.0</v>
      </c>
      <c r="T231" s="230" t="str">
        <f>IF(ISNUMBER(MATCH(B231, 'Sprint 8'!B:B, 0)), "มาจาก Sprint 8", "")</f>
        <v>มาจาก Sprint 8</v>
      </c>
      <c r="U231" s="230" t="str">
        <f t="array" ref="U231">IF(ISNUMBER(MATCH(B231, 'Sprint 8'!B:B, 0)), INDEX('Sprint 8'!J:J, MATCH(B231, 'Sprint 8'!B:B, 0)), "")</f>
        <v>UNDER VALIDATION</v>
      </c>
      <c r="W231" s="102" t="s">
        <v>8806</v>
      </c>
      <c r="X231" s="102" t="s">
        <v>4960</v>
      </c>
      <c r="Y231" s="102"/>
      <c r="Z231" s="230"/>
      <c r="AA231" s="102"/>
      <c r="AB231" s="102"/>
      <c r="AC231" s="102"/>
      <c r="AD231" s="102"/>
      <c r="AE231" s="102"/>
      <c r="AF231" s="102"/>
    </row>
    <row r="232">
      <c r="A232" s="102" t="s">
        <v>310</v>
      </c>
      <c r="B232" s="102" t="s">
        <v>8673</v>
      </c>
      <c r="C232" s="229" t="s">
        <v>8674</v>
      </c>
      <c r="D232" s="102" t="s">
        <v>8675</v>
      </c>
      <c r="E232" s="102" t="s">
        <v>495</v>
      </c>
      <c r="F232" s="102" t="s">
        <v>496</v>
      </c>
      <c r="G232" s="102" t="s">
        <v>314</v>
      </c>
      <c r="H232" s="102" t="s">
        <v>315</v>
      </c>
      <c r="I232" s="102" t="s">
        <v>284</v>
      </c>
      <c r="J232" s="102" t="s">
        <v>454</v>
      </c>
      <c r="L232" s="229" t="s">
        <v>8676</v>
      </c>
      <c r="M232" s="229" t="s">
        <v>9074</v>
      </c>
      <c r="N232" s="102"/>
      <c r="O232" s="102">
        <v>3.0</v>
      </c>
      <c r="P232" s="102" t="s">
        <v>1305</v>
      </c>
      <c r="Q232" s="102"/>
      <c r="R232" s="102"/>
      <c r="S232" s="102">
        <v>28800.0</v>
      </c>
      <c r="T232" s="230" t="str">
        <f>IF(ISNUMBER(MATCH(B232, 'Sprint 8'!B:B, 0)), "มาจาก Sprint 8", "")</f>
        <v/>
      </c>
      <c r="U232" s="230" t="str">
        <f t="array" ref="U232">IF(ISNUMBER(MATCH(B232, 'Sprint 8'!B:B, 0)), INDEX('Sprint 8'!J:J, MATCH(B232, 'Sprint 8'!B:B, 0)), "")</f>
        <v/>
      </c>
      <c r="W232" s="102" t="s">
        <v>1363</v>
      </c>
      <c r="Y232" s="102"/>
      <c r="Z232" s="102"/>
      <c r="AA232" s="230"/>
      <c r="AB232" s="102"/>
      <c r="AC232" s="102"/>
      <c r="AD232" s="102"/>
      <c r="AE232" s="102"/>
      <c r="AF232" s="102"/>
    </row>
    <row r="233">
      <c r="A233" s="102" t="s">
        <v>4410</v>
      </c>
      <c r="B233" s="102" t="s">
        <v>9075</v>
      </c>
      <c r="C233" s="229" t="s">
        <v>9076</v>
      </c>
      <c r="D233" s="102" t="s">
        <v>9077</v>
      </c>
      <c r="E233" s="102" t="s">
        <v>353</v>
      </c>
      <c r="F233" s="102" t="s">
        <v>354</v>
      </c>
      <c r="G233" s="102" t="s">
        <v>353</v>
      </c>
      <c r="H233" s="102" t="s">
        <v>354</v>
      </c>
      <c r="I233" s="102" t="s">
        <v>284</v>
      </c>
      <c r="J233" s="102" t="s">
        <v>26</v>
      </c>
      <c r="L233" s="229" t="s">
        <v>9078</v>
      </c>
      <c r="M233" s="229" t="s">
        <v>8962</v>
      </c>
      <c r="N233" s="102"/>
      <c r="O233" s="102">
        <v>5.0</v>
      </c>
      <c r="P233" s="102"/>
      <c r="R233" s="102"/>
      <c r="S233" s="102">
        <v>57600.0</v>
      </c>
      <c r="T233" s="230" t="str">
        <f>IF(ISNUMBER(MATCH(B233, 'Sprint 8'!B:B, 0)), "มาจาก Sprint 8", "")</f>
        <v>มาจาก Sprint 8</v>
      </c>
      <c r="U233" s="230" t="str">
        <f t="array" ref="U233">IF(ISNUMBER(MATCH(B233, 'Sprint 8'!B:B, 0)), INDEX('Sprint 8'!J:J, MATCH(B233, 'Sprint 8'!B:B, 0)), "")</f>
        <v>In Progress</v>
      </c>
      <c r="W233" s="102" t="s">
        <v>9079</v>
      </c>
      <c r="X233" s="102" t="s">
        <v>9080</v>
      </c>
      <c r="Y233" s="102" t="s">
        <v>4967</v>
      </c>
      <c r="Z233" s="102" t="s">
        <v>4968</v>
      </c>
      <c r="AA233" s="102" t="s">
        <v>8806</v>
      </c>
      <c r="AB233" s="102" t="s">
        <v>4960</v>
      </c>
      <c r="AC233" s="102"/>
      <c r="AD233" s="102"/>
      <c r="AE233" s="102"/>
      <c r="AF233" s="102"/>
    </row>
    <row r="234">
      <c r="A234" s="102" t="s">
        <v>310</v>
      </c>
      <c r="B234" s="102" t="s">
        <v>9081</v>
      </c>
      <c r="C234" s="229" t="s">
        <v>9082</v>
      </c>
      <c r="D234" s="102" t="s">
        <v>9083</v>
      </c>
      <c r="E234" s="102" t="s">
        <v>495</v>
      </c>
      <c r="F234" s="102" t="s">
        <v>496</v>
      </c>
      <c r="G234" s="102" t="s">
        <v>282</v>
      </c>
      <c r="H234" s="102" t="s">
        <v>283</v>
      </c>
      <c r="I234" s="102" t="s">
        <v>284</v>
      </c>
      <c r="J234" s="102" t="s">
        <v>26</v>
      </c>
      <c r="L234" s="229" t="s">
        <v>9084</v>
      </c>
      <c r="M234" s="229" t="s">
        <v>9085</v>
      </c>
      <c r="N234" s="102"/>
      <c r="O234" s="102">
        <v>2.0</v>
      </c>
      <c r="P234" s="102" t="s">
        <v>593</v>
      </c>
      <c r="Q234" s="102" t="s">
        <v>1946</v>
      </c>
      <c r="R234" s="102"/>
      <c r="S234" s="102">
        <v>14400.0</v>
      </c>
      <c r="T234" s="230" t="str">
        <f>IF(ISNUMBER(MATCH(B234, 'Sprint 8'!B:B, 0)), "มาจาก Sprint 8", "")</f>
        <v/>
      </c>
      <c r="U234" s="230" t="str">
        <f t="array" ref="U234">IF(ISNUMBER(MATCH(B234, 'Sprint 8'!B:B, 0)), INDEX('Sprint 8'!J:J, MATCH(B234, 'Sprint 8'!B:B, 0)), "")</f>
        <v/>
      </c>
      <c r="W234" s="102" t="s">
        <v>4967</v>
      </c>
      <c r="X234" s="102" t="s">
        <v>4968</v>
      </c>
      <c r="Y234" s="102" t="s">
        <v>4960</v>
      </c>
      <c r="Z234" s="230"/>
      <c r="AA234" s="230"/>
      <c r="AB234" s="230"/>
      <c r="AC234" s="102"/>
    </row>
    <row r="235">
      <c r="A235" s="102" t="s">
        <v>310</v>
      </c>
      <c r="B235" s="102" t="s">
        <v>8677</v>
      </c>
      <c r="C235" s="229" t="s">
        <v>8678</v>
      </c>
      <c r="D235" s="102" t="s">
        <v>8679</v>
      </c>
      <c r="E235" s="102" t="s">
        <v>495</v>
      </c>
      <c r="F235" s="102" t="s">
        <v>496</v>
      </c>
      <c r="G235" s="102" t="s">
        <v>314</v>
      </c>
      <c r="H235" s="102" t="s">
        <v>315</v>
      </c>
      <c r="I235" s="102" t="s">
        <v>284</v>
      </c>
      <c r="J235" s="102" t="s">
        <v>454</v>
      </c>
      <c r="L235" s="229" t="s">
        <v>8680</v>
      </c>
      <c r="M235" s="229" t="s">
        <v>9086</v>
      </c>
      <c r="N235" s="229" t="s">
        <v>7606</v>
      </c>
      <c r="O235" s="102">
        <v>5.0</v>
      </c>
      <c r="P235" s="102" t="s">
        <v>1305</v>
      </c>
      <c r="R235" s="230"/>
      <c r="S235" s="102">
        <v>0.0</v>
      </c>
      <c r="T235" s="230" t="str">
        <f>IF(ISNUMBER(MATCH(B235, 'Sprint 8'!B:B, 0)), "มาจาก Sprint 8", "")</f>
        <v>มาจาก Sprint 8</v>
      </c>
      <c r="U235" s="230" t="str">
        <f t="array" ref="U235">IF(ISNUMBER(MATCH(B235, 'Sprint 8'!B:B, 0)), INDEX('Sprint 8'!J:J, MATCH(B235, 'Sprint 8'!B:B, 0)), "")</f>
        <v>Ready to Staging</v>
      </c>
      <c r="V235" s="102">
        <v>72000.0</v>
      </c>
      <c r="W235" s="102" t="s">
        <v>1362</v>
      </c>
      <c r="X235" s="102" t="s">
        <v>1363</v>
      </c>
      <c r="Y235" s="102"/>
      <c r="Z235" s="230"/>
      <c r="AA235" s="230"/>
      <c r="AB235" s="102"/>
      <c r="AC235" s="102"/>
      <c r="AD235" s="102"/>
      <c r="AE235" s="102"/>
      <c r="AF235" s="102"/>
      <c r="AG235" s="102"/>
    </row>
    <row r="236">
      <c r="A236" s="102" t="s">
        <v>310</v>
      </c>
      <c r="B236" s="102" t="s">
        <v>8681</v>
      </c>
      <c r="C236" s="229" t="s">
        <v>8682</v>
      </c>
      <c r="D236" s="102" t="s">
        <v>8683</v>
      </c>
      <c r="E236" s="102" t="s">
        <v>6315</v>
      </c>
      <c r="F236" s="102" t="s">
        <v>6316</v>
      </c>
      <c r="G236" s="102" t="s">
        <v>314</v>
      </c>
      <c r="H236" s="102" t="s">
        <v>315</v>
      </c>
      <c r="I236" s="102" t="s">
        <v>284</v>
      </c>
      <c r="J236" s="102" t="s">
        <v>454</v>
      </c>
      <c r="L236" s="229" t="s">
        <v>8684</v>
      </c>
      <c r="M236" s="229" t="s">
        <v>9087</v>
      </c>
      <c r="N236" s="229" t="s">
        <v>8685</v>
      </c>
      <c r="O236" s="102">
        <v>5.0</v>
      </c>
      <c r="P236" s="102" t="s">
        <v>1305</v>
      </c>
      <c r="R236" s="230"/>
      <c r="S236" s="230"/>
      <c r="T236" s="230" t="str">
        <f>IF(ISNUMBER(MATCH(B236, 'Sprint 8'!B:B, 0)), "มาจาก Sprint 8", "")</f>
        <v>มาจาก Sprint 8</v>
      </c>
      <c r="U236" s="230" t="str">
        <f t="array" ref="U236">IF(ISNUMBER(MATCH(B236, 'Sprint 8'!B:B, 0)), INDEX('Sprint 8'!J:J, MATCH(B236, 'Sprint 8'!B:B, 0)), "")</f>
        <v>Ready to Staging</v>
      </c>
      <c r="W236" s="102" t="s">
        <v>1362</v>
      </c>
      <c r="X236" s="102" t="s">
        <v>1363</v>
      </c>
      <c r="Y236" s="230"/>
      <c r="Z236" s="230"/>
      <c r="AA236" s="230"/>
      <c r="AB236" s="230"/>
      <c r="AC236" s="102"/>
      <c r="AD236" s="102"/>
      <c r="AE236" s="102"/>
      <c r="AF236" s="102"/>
    </row>
    <row r="237">
      <c r="A237" s="102" t="s">
        <v>310</v>
      </c>
      <c r="B237" s="102" t="s">
        <v>8686</v>
      </c>
      <c r="C237" s="229" t="s">
        <v>8687</v>
      </c>
      <c r="D237" s="102" t="s">
        <v>8688</v>
      </c>
      <c r="E237" s="102" t="s">
        <v>314</v>
      </c>
      <c r="F237" s="102" t="s">
        <v>315</v>
      </c>
      <c r="G237" s="102" t="s">
        <v>314</v>
      </c>
      <c r="H237" s="102" t="s">
        <v>315</v>
      </c>
      <c r="I237" s="102" t="s">
        <v>284</v>
      </c>
      <c r="J237" s="102" t="s">
        <v>454</v>
      </c>
      <c r="L237" s="229" t="s">
        <v>8689</v>
      </c>
      <c r="M237" s="229" t="s">
        <v>8954</v>
      </c>
      <c r="O237" s="102">
        <v>2.0</v>
      </c>
      <c r="P237" s="102" t="s">
        <v>1305</v>
      </c>
      <c r="R237" s="230"/>
      <c r="S237" s="102">
        <v>0.0</v>
      </c>
      <c r="T237" s="230" t="str">
        <f>IF(ISNUMBER(MATCH(B237, 'Sprint 8'!B:B, 0)), "มาจาก Sprint 8", "")</f>
        <v>มาจาก Sprint 8</v>
      </c>
      <c r="U237" s="230" t="str">
        <f t="array" ref="U237">IF(ISNUMBER(MATCH(B237, 'Sprint 8'!B:B, 0)), INDEX('Sprint 8'!J:J, MATCH(B237, 'Sprint 8'!B:B, 0)), "")</f>
        <v>Ready To Test</v>
      </c>
      <c r="V237" s="102">
        <v>7200.0</v>
      </c>
      <c r="W237" s="102" t="s">
        <v>5919</v>
      </c>
      <c r="X237" s="102" t="s">
        <v>5920</v>
      </c>
      <c r="Y237" s="102"/>
      <c r="Z237" s="230"/>
      <c r="AA237" s="230"/>
      <c r="AB237" s="102"/>
      <c r="AC237" s="102"/>
      <c r="AD237" s="102"/>
      <c r="AE237" s="102"/>
      <c r="AF237" s="102"/>
      <c r="AG237" s="102"/>
    </row>
    <row r="238">
      <c r="A238" s="102" t="s">
        <v>310</v>
      </c>
      <c r="B238" s="102" t="s">
        <v>9088</v>
      </c>
      <c r="C238" s="229" t="s">
        <v>9089</v>
      </c>
      <c r="D238" s="102" t="s">
        <v>9090</v>
      </c>
      <c r="E238" s="102" t="s">
        <v>495</v>
      </c>
      <c r="F238" s="102" t="s">
        <v>496</v>
      </c>
      <c r="G238" s="102" t="s">
        <v>282</v>
      </c>
      <c r="H238" s="102" t="s">
        <v>283</v>
      </c>
      <c r="I238" s="102" t="s">
        <v>284</v>
      </c>
      <c r="J238" s="102" t="s">
        <v>26</v>
      </c>
      <c r="L238" s="229" t="s">
        <v>9091</v>
      </c>
      <c r="M238" s="229" t="s">
        <v>9085</v>
      </c>
      <c r="N238" s="102"/>
      <c r="O238" s="102">
        <v>2.0</v>
      </c>
      <c r="P238" s="102" t="s">
        <v>593</v>
      </c>
      <c r="Q238" s="102" t="s">
        <v>7229</v>
      </c>
      <c r="R238" s="230"/>
      <c r="S238" s="102">
        <v>14400.0</v>
      </c>
      <c r="T238" s="230" t="str">
        <f>IF(ISNUMBER(MATCH(B238, 'Sprint 8'!B:B, 0)), "มาจาก Sprint 8", "")</f>
        <v/>
      </c>
      <c r="U238" s="230" t="str">
        <f t="array" ref="U238">IF(ISNUMBER(MATCH(B238, 'Sprint 8'!B:B, 0)), INDEX('Sprint 8'!J:J, MATCH(B238, 'Sprint 8'!B:B, 0)), "")</f>
        <v/>
      </c>
      <c r="W238" s="102" t="s">
        <v>9079</v>
      </c>
      <c r="X238" s="102" t="s">
        <v>9080</v>
      </c>
      <c r="Y238" s="102" t="s">
        <v>4967</v>
      </c>
      <c r="Z238" s="102" t="s">
        <v>4968</v>
      </c>
      <c r="AA238" s="102" t="s">
        <v>4960</v>
      </c>
      <c r="AB238" s="230"/>
      <c r="AC238" s="102"/>
      <c r="AD238" s="102"/>
      <c r="AE238" s="102"/>
      <c r="AF238" s="102"/>
      <c r="AG238" s="102"/>
      <c r="AH238" s="102"/>
      <c r="AI238" s="102"/>
      <c r="AJ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L239" s="102"/>
      <c r="M239" s="102"/>
      <c r="N239" s="102"/>
      <c r="O239" s="102"/>
      <c r="R239" s="230"/>
      <c r="S239" s="230"/>
      <c r="T239" s="230"/>
      <c r="U239" s="230"/>
      <c r="V239" s="230"/>
      <c r="W239" s="230"/>
      <c r="X239" s="230"/>
      <c r="Y239" s="230"/>
      <c r="Z239" s="230"/>
      <c r="AA239" s="230"/>
      <c r="AB239" s="230"/>
      <c r="AC239" s="102"/>
      <c r="AD239" s="102"/>
      <c r="AE239" s="102"/>
      <c r="AF239" s="102"/>
      <c r="AG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L240" s="102"/>
      <c r="M240" s="102"/>
      <c r="N240" s="102"/>
      <c r="O240" s="230"/>
      <c r="R240" s="230"/>
      <c r="S240" s="230"/>
      <c r="T240" s="230"/>
      <c r="U240" s="230"/>
      <c r="V240" s="230"/>
      <c r="W240" s="230"/>
      <c r="X240" s="230"/>
      <c r="Y240" s="230"/>
      <c r="Z240" s="230"/>
      <c r="AA240" s="230"/>
      <c r="AB240" s="230"/>
      <c r="AC240" s="102"/>
      <c r="AD240" s="102"/>
      <c r="AE240" s="102"/>
      <c r="AF240" s="102"/>
      <c r="AG240" s="102"/>
      <c r="AH240" s="102"/>
      <c r="AI240" s="102"/>
      <c r="AJ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L241" s="102"/>
      <c r="M241" s="102"/>
      <c r="N241" s="102"/>
      <c r="O241" s="102"/>
      <c r="P241" s="102"/>
      <c r="R241" s="230"/>
      <c r="S241" s="230"/>
      <c r="T241" s="230"/>
      <c r="U241" s="230"/>
      <c r="V241" s="230"/>
      <c r="W241" s="230"/>
      <c r="X241" s="230"/>
      <c r="Y241" s="230"/>
      <c r="Z241" s="230"/>
      <c r="AA241" s="230"/>
      <c r="AB241" s="230"/>
      <c r="AC241" s="102"/>
      <c r="AD241" s="102"/>
      <c r="AE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L242" s="102"/>
      <c r="M242" s="102"/>
      <c r="N242" s="102"/>
      <c r="O242" s="230"/>
      <c r="R242" s="230"/>
      <c r="S242" s="230"/>
      <c r="T242" s="230"/>
      <c r="U242" s="230"/>
      <c r="V242" s="230"/>
      <c r="W242" s="230"/>
      <c r="X242" s="230"/>
      <c r="Y242" s="230"/>
      <c r="Z242" s="230"/>
      <c r="AA242" s="230"/>
      <c r="AB242" s="230"/>
      <c r="AC242" s="102"/>
      <c r="AD242" s="102"/>
      <c r="AE242" s="102"/>
      <c r="AF242" s="102"/>
    </row>
    <row r="243">
      <c r="O243" s="230"/>
      <c r="R243" s="230"/>
      <c r="S243" s="230"/>
      <c r="T243" s="230"/>
      <c r="U243" s="230"/>
      <c r="V243" s="230"/>
      <c r="W243" s="230"/>
      <c r="X243" s="230"/>
      <c r="Y243" s="230"/>
      <c r="Z243" s="230"/>
      <c r="AA243" s="230"/>
      <c r="AB243" s="230"/>
    </row>
    <row r="244">
      <c r="O244" s="230"/>
      <c r="R244" s="230"/>
      <c r="S244" s="230"/>
      <c r="T244" s="230"/>
      <c r="U244" s="230"/>
      <c r="V244" s="230"/>
      <c r="W244" s="230"/>
      <c r="X244" s="230"/>
      <c r="Y244" s="230"/>
      <c r="Z244" s="230"/>
      <c r="AA244" s="230"/>
      <c r="AB244" s="230"/>
    </row>
    <row r="245">
      <c r="O245" s="230"/>
      <c r="R245" s="230"/>
      <c r="S245" s="230"/>
      <c r="T245" s="230"/>
      <c r="U245" s="230"/>
      <c r="V245" s="230"/>
      <c r="W245" s="230"/>
      <c r="X245" s="230"/>
      <c r="Y245" s="230"/>
      <c r="Z245" s="230"/>
      <c r="AA245" s="230"/>
      <c r="AB245" s="230"/>
    </row>
    <row r="246">
      <c r="O246" s="230"/>
      <c r="R246" s="230"/>
      <c r="S246" s="230"/>
      <c r="T246" s="230"/>
      <c r="U246" s="230"/>
      <c r="V246" s="230"/>
      <c r="W246" s="230"/>
      <c r="X246" s="230"/>
      <c r="Y246" s="230"/>
      <c r="Z246" s="230"/>
      <c r="AA246" s="230"/>
      <c r="AB246" s="230"/>
    </row>
    <row r="247">
      <c r="O247" s="230"/>
      <c r="R247" s="230"/>
      <c r="S247" s="230"/>
      <c r="T247" s="230"/>
      <c r="U247" s="230"/>
      <c r="V247" s="230"/>
      <c r="W247" s="230"/>
      <c r="X247" s="230"/>
      <c r="Y247" s="230"/>
      <c r="Z247" s="230"/>
      <c r="AA247" s="230"/>
      <c r="AB247" s="230"/>
    </row>
    <row r="248">
      <c r="O248" s="230"/>
      <c r="R248" s="230"/>
      <c r="S248" s="230"/>
      <c r="T248" s="230"/>
      <c r="U248" s="230"/>
      <c r="V248" s="230"/>
      <c r="W248" s="230"/>
      <c r="X248" s="230"/>
      <c r="Y248" s="230"/>
      <c r="Z248" s="230"/>
      <c r="AA248" s="230"/>
      <c r="AB248" s="230"/>
    </row>
    <row r="249">
      <c r="O249" s="230"/>
      <c r="R249" s="230"/>
      <c r="S249" s="230"/>
      <c r="T249" s="230"/>
      <c r="U249" s="230"/>
      <c r="V249" s="230"/>
      <c r="W249" s="230"/>
      <c r="X249" s="230"/>
      <c r="Y249" s="230"/>
      <c r="Z249" s="230"/>
      <c r="AA249" s="230"/>
      <c r="AB249" s="230"/>
    </row>
    <row r="250">
      <c r="O250" s="230"/>
      <c r="R250" s="230"/>
      <c r="S250" s="230"/>
      <c r="T250" s="230"/>
      <c r="U250" s="230"/>
      <c r="V250" s="230"/>
      <c r="W250" s="230"/>
      <c r="X250" s="230"/>
      <c r="Y250" s="230"/>
      <c r="Z250" s="230"/>
      <c r="AA250" s="230"/>
      <c r="AB250" s="230"/>
    </row>
    <row r="251">
      <c r="O251" s="230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</row>
    <row r="252">
      <c r="O252" s="230"/>
      <c r="R252" s="230"/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</row>
    <row r="253">
      <c r="O253" s="230"/>
      <c r="R253" s="230"/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</row>
    <row r="254">
      <c r="O254" s="230"/>
      <c r="R254" s="230"/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</row>
    <row r="255">
      <c r="O255" s="230"/>
      <c r="R255" s="230"/>
      <c r="S255" s="230"/>
      <c r="T255" s="230"/>
      <c r="U255" s="230"/>
      <c r="V255" s="230"/>
      <c r="W255" s="230"/>
      <c r="X255" s="230"/>
      <c r="Y255" s="230"/>
      <c r="Z255" s="230"/>
      <c r="AA255" s="230"/>
      <c r="AB255" s="230"/>
    </row>
    <row r="256">
      <c r="O256" s="230"/>
      <c r="R256" s="230"/>
      <c r="S256" s="230"/>
      <c r="T256" s="230"/>
      <c r="U256" s="230"/>
      <c r="V256" s="230"/>
      <c r="W256" s="230"/>
      <c r="X256" s="230"/>
      <c r="Y256" s="230"/>
      <c r="Z256" s="230"/>
      <c r="AA256" s="230"/>
      <c r="AB256" s="230"/>
    </row>
    <row r="257">
      <c r="O257" s="230"/>
      <c r="R257" s="230"/>
      <c r="S257" s="230"/>
      <c r="T257" s="230"/>
      <c r="U257" s="230"/>
      <c r="V257" s="230"/>
      <c r="W257" s="230"/>
      <c r="X257" s="230"/>
      <c r="Y257" s="230"/>
      <c r="Z257" s="230"/>
      <c r="AA257" s="230"/>
      <c r="AB257" s="230"/>
    </row>
    <row r="258">
      <c r="O258" s="230"/>
      <c r="R258" s="230"/>
      <c r="S258" s="230"/>
      <c r="T258" s="230"/>
      <c r="U258" s="230"/>
      <c r="V258" s="230"/>
      <c r="W258" s="230"/>
      <c r="X258" s="230"/>
      <c r="Y258" s="230"/>
      <c r="Z258" s="230"/>
      <c r="AA258" s="230"/>
      <c r="AB258" s="230"/>
    </row>
    <row r="259">
      <c r="O259" s="230"/>
      <c r="R259" s="230"/>
      <c r="S259" s="230"/>
      <c r="T259" s="230"/>
      <c r="U259" s="230"/>
      <c r="V259" s="230"/>
      <c r="W259" s="230"/>
      <c r="X259" s="230"/>
      <c r="Y259" s="230"/>
      <c r="Z259" s="230"/>
      <c r="AA259" s="230"/>
      <c r="AB259" s="230"/>
    </row>
    <row r="260">
      <c r="O260" s="230"/>
      <c r="R260" s="230"/>
      <c r="S260" s="230"/>
      <c r="T260" s="230"/>
      <c r="U260" s="230"/>
      <c r="V260" s="230"/>
      <c r="W260" s="230"/>
      <c r="X260" s="230"/>
      <c r="Y260" s="230"/>
      <c r="Z260" s="230"/>
      <c r="AA260" s="230"/>
      <c r="AB260" s="230"/>
    </row>
    <row r="261">
      <c r="O261" s="230"/>
      <c r="R261" s="230"/>
      <c r="S261" s="230"/>
      <c r="T261" s="230"/>
      <c r="U261" s="230"/>
      <c r="V261" s="230"/>
      <c r="W261" s="230"/>
      <c r="X261" s="230"/>
      <c r="Y261" s="230"/>
      <c r="Z261" s="230"/>
      <c r="AA261" s="230"/>
      <c r="AB261" s="230"/>
    </row>
    <row r="262">
      <c r="O262" s="230"/>
      <c r="R262" s="230"/>
      <c r="S262" s="230"/>
      <c r="T262" s="230"/>
      <c r="U262" s="230"/>
      <c r="V262" s="230"/>
      <c r="W262" s="230"/>
      <c r="X262" s="230"/>
      <c r="Y262" s="230"/>
      <c r="Z262" s="230"/>
      <c r="AA262" s="230"/>
      <c r="AB262" s="230"/>
    </row>
    <row r="263">
      <c r="O263" s="230"/>
      <c r="R263" s="230"/>
      <c r="S263" s="230"/>
      <c r="T263" s="230"/>
      <c r="U263" s="230"/>
      <c r="V263" s="230"/>
      <c r="W263" s="230"/>
      <c r="X263" s="230"/>
      <c r="Y263" s="230"/>
      <c r="Z263" s="230"/>
      <c r="AA263" s="230"/>
      <c r="AB263" s="230"/>
    </row>
    <row r="264">
      <c r="O264" s="230"/>
      <c r="R264" s="230"/>
      <c r="S264" s="230"/>
      <c r="T264" s="230"/>
      <c r="U264" s="230"/>
      <c r="V264" s="230"/>
      <c r="W264" s="230"/>
      <c r="X264" s="230"/>
      <c r="Y264" s="230"/>
      <c r="Z264" s="230"/>
      <c r="AA264" s="230"/>
      <c r="AB264" s="230"/>
    </row>
    <row r="265">
      <c r="O265" s="230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</row>
    <row r="266">
      <c r="O266" s="230"/>
      <c r="R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</row>
    <row r="267">
      <c r="O267" s="230"/>
      <c r="R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</row>
    <row r="268">
      <c r="O268" s="230"/>
      <c r="R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</row>
    <row r="269">
      <c r="O269" s="230"/>
      <c r="R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</row>
    <row r="270">
      <c r="O270" s="230"/>
      <c r="R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</row>
    <row r="271">
      <c r="O271" s="230"/>
      <c r="R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</row>
    <row r="272">
      <c r="O272" s="230"/>
      <c r="R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</row>
    <row r="273">
      <c r="O273" s="230"/>
      <c r="R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</row>
    <row r="274">
      <c r="O274" s="230"/>
      <c r="R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</row>
    <row r="275">
      <c r="O275" s="230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</row>
    <row r="276">
      <c r="O276" s="230"/>
      <c r="R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</row>
    <row r="277">
      <c r="O277" s="230"/>
      <c r="R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</row>
    <row r="278">
      <c r="O278" s="230"/>
      <c r="R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</row>
    <row r="279">
      <c r="O279" s="230"/>
      <c r="R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</row>
    <row r="280">
      <c r="O280" s="230"/>
      <c r="R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</row>
    <row r="281">
      <c r="O281" s="230"/>
      <c r="R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</row>
    <row r="282">
      <c r="O282" s="230"/>
      <c r="R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</row>
    <row r="283">
      <c r="O283" s="230"/>
      <c r="R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</row>
    <row r="284">
      <c r="O284" s="230"/>
      <c r="R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</row>
    <row r="285">
      <c r="O285" s="230"/>
      <c r="R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</row>
    <row r="286">
      <c r="O286" s="230"/>
      <c r="R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</row>
    <row r="287">
      <c r="O287" s="230"/>
      <c r="R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</row>
    <row r="288">
      <c r="O288" s="230"/>
      <c r="R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</row>
    <row r="289">
      <c r="O289" s="230"/>
      <c r="R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</row>
    <row r="290">
      <c r="O290" s="230"/>
      <c r="R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</row>
    <row r="291">
      <c r="O291" s="230"/>
      <c r="R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</row>
    <row r="292">
      <c r="O292" s="230"/>
      <c r="R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</row>
    <row r="293">
      <c r="O293" s="230"/>
      <c r="R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</row>
    <row r="294">
      <c r="O294" s="230"/>
      <c r="R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</row>
    <row r="295">
      <c r="O295" s="230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</row>
    <row r="296">
      <c r="O296" s="230"/>
      <c r="R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</row>
    <row r="297">
      <c r="O297" s="230"/>
      <c r="R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</row>
    <row r="298">
      <c r="O298" s="230"/>
      <c r="R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</row>
    <row r="299">
      <c r="O299" s="230"/>
      <c r="R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</row>
    <row r="300">
      <c r="O300" s="230"/>
      <c r="R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</row>
    <row r="301">
      <c r="O301" s="230"/>
      <c r="R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</row>
    <row r="302">
      <c r="O302" s="230"/>
      <c r="R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</row>
    <row r="303">
      <c r="O303" s="230"/>
      <c r="R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</row>
    <row r="304">
      <c r="O304" s="230"/>
      <c r="R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</row>
    <row r="305">
      <c r="O305" s="230"/>
      <c r="R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</row>
    <row r="306">
      <c r="O306" s="230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</row>
    <row r="307">
      <c r="O307" s="230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</row>
    <row r="308">
      <c r="O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</row>
    <row r="309">
      <c r="O309" s="230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</row>
    <row r="310">
      <c r="O310" s="230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</row>
    <row r="311">
      <c r="O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</row>
    <row r="312">
      <c r="O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</row>
    <row r="313">
      <c r="O313" s="230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</row>
    <row r="314">
      <c r="O314" s="230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</row>
    <row r="315">
      <c r="O315" s="230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</row>
    <row r="316">
      <c r="O316" s="230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</row>
    <row r="317">
      <c r="O317" s="230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</row>
    <row r="318">
      <c r="O318" s="230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</row>
    <row r="319">
      <c r="O319" s="230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</row>
    <row r="320">
      <c r="O320" s="230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</row>
    <row r="321">
      <c r="O321" s="230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</row>
    <row r="322">
      <c r="O322" s="230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</row>
    <row r="323">
      <c r="O323" s="230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</row>
    <row r="324">
      <c r="O324" s="230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</row>
    <row r="325">
      <c r="O325" s="230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</row>
    <row r="326">
      <c r="O326" s="230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</row>
    <row r="327">
      <c r="O327" s="230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</row>
    <row r="328">
      <c r="O328" s="230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</row>
    <row r="329">
      <c r="O329" s="230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</row>
    <row r="330">
      <c r="O330" s="230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</row>
    <row r="331">
      <c r="O331" s="230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</row>
    <row r="332">
      <c r="O332" s="230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</row>
    <row r="333">
      <c r="O333" s="230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</row>
    <row r="334">
      <c r="O334" s="230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</row>
    <row r="335">
      <c r="O335" s="230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</row>
    <row r="336">
      <c r="O336" s="230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</row>
    <row r="337">
      <c r="O337" s="230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</row>
    <row r="338">
      <c r="O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</row>
    <row r="339">
      <c r="O339" s="230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</row>
    <row r="340">
      <c r="O340" s="230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</row>
    <row r="341">
      <c r="O341" s="230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</row>
    <row r="342">
      <c r="O342" s="230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</row>
    <row r="343">
      <c r="O343" s="230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</row>
    <row r="344">
      <c r="O344" s="230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</row>
    <row r="345">
      <c r="O345" s="230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</row>
    <row r="346">
      <c r="O346" s="230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</row>
    <row r="347">
      <c r="O347" s="230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</row>
    <row r="348">
      <c r="O348" s="230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</row>
    <row r="349">
      <c r="O349" s="230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</row>
    <row r="350">
      <c r="O350" s="230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</row>
    <row r="351">
      <c r="O351" s="230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</row>
    <row r="352">
      <c r="O352" s="230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</row>
    <row r="353">
      <c r="O353" s="230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</row>
    <row r="354">
      <c r="O354" s="230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</row>
    <row r="355">
      <c r="O355" s="230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</row>
    <row r="356">
      <c r="O356" s="230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</row>
    <row r="357">
      <c r="O357" s="230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</row>
    <row r="358">
      <c r="O358" s="230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</row>
    <row r="359">
      <c r="O359" s="230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</row>
    <row r="360">
      <c r="O360" s="230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</row>
    <row r="361">
      <c r="O361" s="230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</row>
    <row r="362">
      <c r="O362" s="230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</row>
    <row r="363">
      <c r="O363" s="230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</row>
    <row r="364">
      <c r="O364" s="230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</row>
    <row r="365">
      <c r="O365" s="230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</row>
    <row r="366">
      <c r="O366" s="230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</row>
    <row r="367">
      <c r="O367" s="230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</row>
    <row r="368">
      <c r="O368" s="230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</row>
    <row r="369">
      <c r="O369" s="230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</row>
    <row r="370">
      <c r="O370" s="230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</row>
    <row r="371">
      <c r="O371" s="230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</row>
    <row r="372">
      <c r="O372" s="230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</row>
    <row r="373">
      <c r="O373" s="230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</row>
    <row r="374">
      <c r="O374" s="230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</row>
    <row r="375">
      <c r="O375" s="230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</row>
    <row r="376">
      <c r="O376" s="230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</row>
    <row r="377">
      <c r="O377" s="230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</row>
    <row r="378">
      <c r="O378" s="230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</row>
    <row r="379">
      <c r="O379" s="230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</row>
    <row r="380">
      <c r="O380" s="230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</row>
    <row r="381">
      <c r="O381" s="230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</row>
    <row r="382">
      <c r="O382" s="230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</row>
    <row r="383">
      <c r="O383" s="230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</row>
    <row r="384">
      <c r="O384" s="230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</row>
    <row r="385">
      <c r="O385" s="230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</row>
    <row r="386">
      <c r="O386" s="230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</row>
    <row r="387">
      <c r="O387" s="230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</row>
    <row r="388">
      <c r="O388" s="230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</row>
    <row r="389">
      <c r="O389" s="230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</row>
    <row r="390">
      <c r="O390" s="230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</row>
    <row r="391">
      <c r="O391" s="230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</row>
    <row r="392">
      <c r="O392" s="230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</row>
    <row r="393">
      <c r="O393" s="230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</row>
    <row r="394">
      <c r="O394" s="230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</row>
    <row r="395">
      <c r="O395" s="230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</row>
    <row r="396">
      <c r="O396" s="230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</row>
    <row r="397">
      <c r="O397" s="230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</row>
    <row r="398">
      <c r="O398" s="230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</row>
    <row r="399">
      <c r="O399" s="230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</row>
    <row r="400">
      <c r="O400" s="230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</row>
    <row r="401">
      <c r="O401" s="230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</row>
    <row r="402">
      <c r="O402" s="230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</row>
    <row r="403">
      <c r="O403" s="230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</row>
    <row r="404">
      <c r="O404" s="230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</row>
    <row r="405">
      <c r="O405" s="230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</row>
    <row r="406">
      <c r="O406" s="230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</row>
    <row r="407">
      <c r="O407" s="230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</row>
    <row r="408">
      <c r="O408" s="230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</row>
    <row r="409">
      <c r="O409" s="230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</row>
    <row r="410">
      <c r="O410" s="230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</row>
    <row r="411">
      <c r="O411" s="230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</row>
    <row r="412">
      <c r="O412" s="230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</row>
    <row r="413">
      <c r="O413" s="230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</row>
    <row r="414">
      <c r="O414" s="230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</row>
    <row r="415">
      <c r="O415" s="230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</row>
    <row r="416">
      <c r="O416" s="230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</row>
    <row r="417">
      <c r="O417" s="230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</row>
    <row r="418">
      <c r="O418" s="230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</row>
    <row r="419">
      <c r="O419" s="230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</row>
    <row r="420">
      <c r="O420" s="230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</row>
    <row r="421">
      <c r="O421" s="230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</row>
    <row r="422">
      <c r="O422" s="230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</row>
    <row r="423">
      <c r="O423" s="230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</row>
    <row r="424">
      <c r="O424" s="230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</row>
    <row r="425">
      <c r="O425" s="230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</row>
    <row r="426">
      <c r="O426" s="230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</row>
    <row r="427">
      <c r="O427" s="230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</row>
    <row r="428">
      <c r="O428" s="230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</row>
    <row r="429">
      <c r="O429" s="230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</row>
    <row r="430">
      <c r="O430" s="230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</row>
    <row r="431">
      <c r="O431" s="230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</row>
    <row r="432">
      <c r="O432" s="230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</row>
    <row r="433">
      <c r="O433" s="230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</row>
    <row r="434">
      <c r="O434" s="230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</row>
    <row r="435">
      <c r="O435" s="230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</row>
    <row r="436">
      <c r="O436" s="230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</row>
    <row r="437">
      <c r="O437" s="230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</row>
    <row r="438">
      <c r="O438" s="230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</row>
    <row r="439">
      <c r="O439" s="230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</row>
    <row r="440">
      <c r="O440" s="230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</row>
    <row r="441">
      <c r="O441" s="230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</row>
    <row r="442">
      <c r="O442" s="230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</row>
    <row r="443">
      <c r="O443" s="230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</row>
    <row r="444">
      <c r="O444" s="230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</row>
    <row r="445">
      <c r="O445" s="230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</row>
    <row r="446">
      <c r="O446" s="230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</row>
    <row r="447">
      <c r="O447" s="230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</row>
    <row r="448">
      <c r="O448" s="230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</row>
    <row r="449">
      <c r="O449" s="230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</row>
    <row r="450">
      <c r="O450" s="230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</row>
    <row r="451">
      <c r="O451" s="230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</row>
    <row r="452">
      <c r="O452" s="230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</row>
    <row r="453">
      <c r="O453" s="230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</row>
    <row r="454">
      <c r="O454" s="230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</row>
    <row r="455">
      <c r="O455" s="230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</row>
    <row r="456">
      <c r="O456" s="230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</row>
    <row r="457">
      <c r="O457" s="230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</row>
    <row r="458">
      <c r="O458" s="230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</row>
    <row r="459">
      <c r="O459" s="230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</row>
    <row r="460">
      <c r="O460" s="230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</row>
    <row r="461">
      <c r="O461" s="230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</row>
    <row r="462">
      <c r="O462" s="230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</row>
    <row r="463">
      <c r="O463" s="230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</row>
    <row r="464">
      <c r="O464" s="230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</row>
    <row r="465">
      <c r="O465" s="230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</row>
    <row r="466">
      <c r="O466" s="230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</row>
    <row r="467">
      <c r="O467" s="230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</row>
    <row r="468">
      <c r="O468" s="230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</row>
    <row r="469">
      <c r="O469" s="230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</row>
    <row r="470">
      <c r="O470" s="230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</row>
    <row r="471">
      <c r="O471" s="230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</row>
    <row r="472">
      <c r="O472" s="230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</row>
    <row r="473">
      <c r="O473" s="230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</row>
    <row r="474">
      <c r="O474" s="230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</row>
    <row r="475">
      <c r="O475" s="230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</row>
    <row r="476">
      <c r="O476" s="230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</row>
    <row r="477">
      <c r="O477" s="230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</row>
    <row r="478">
      <c r="O478" s="230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</row>
    <row r="479">
      <c r="O479" s="230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</row>
    <row r="480">
      <c r="O480" s="230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</row>
    <row r="481">
      <c r="O481" s="230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</row>
    <row r="482">
      <c r="O482" s="230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</row>
    <row r="483">
      <c r="O483" s="230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</row>
    <row r="484">
      <c r="O484" s="230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</row>
    <row r="485">
      <c r="O485" s="230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</row>
    <row r="486">
      <c r="O486" s="230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</row>
    <row r="487">
      <c r="O487" s="230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</row>
    <row r="488">
      <c r="O488" s="230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</row>
    <row r="489">
      <c r="O489" s="230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</row>
    <row r="490">
      <c r="O490" s="230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</row>
    <row r="491">
      <c r="O491" s="230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</row>
    <row r="492">
      <c r="O492" s="230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</row>
    <row r="493">
      <c r="O493" s="230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</row>
    <row r="494">
      <c r="O494" s="230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</row>
    <row r="495">
      <c r="O495" s="230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</row>
    <row r="496">
      <c r="O496" s="230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</row>
    <row r="497">
      <c r="O497" s="230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</row>
    <row r="498">
      <c r="O498" s="230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</row>
    <row r="499">
      <c r="O499" s="230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</row>
    <row r="500">
      <c r="O500" s="230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</row>
    <row r="501">
      <c r="O501" s="230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</row>
    <row r="502">
      <c r="O502" s="230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</row>
    <row r="503">
      <c r="O503" s="230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</row>
    <row r="504">
      <c r="O504" s="230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</row>
    <row r="505">
      <c r="O505" s="230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</row>
    <row r="506">
      <c r="O506" s="230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</row>
    <row r="507">
      <c r="O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</row>
    <row r="508">
      <c r="O508" s="230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</row>
    <row r="509">
      <c r="O509" s="230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</row>
    <row r="510">
      <c r="O510" s="230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</row>
    <row r="511">
      <c r="O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</row>
    <row r="512">
      <c r="O512" s="230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</row>
    <row r="513">
      <c r="O513" s="230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</row>
    <row r="514">
      <c r="O514" s="230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</row>
    <row r="515">
      <c r="O515" s="230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</row>
    <row r="516">
      <c r="O516" s="230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</row>
    <row r="517">
      <c r="O517" s="230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</row>
    <row r="518">
      <c r="O518" s="230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</row>
    <row r="519">
      <c r="O519" s="230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</row>
    <row r="520">
      <c r="O520" s="230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</row>
    <row r="521">
      <c r="O521" s="230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</row>
    <row r="522">
      <c r="O522" s="230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</row>
    <row r="523">
      <c r="O523" s="230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</row>
    <row r="524">
      <c r="O524" s="230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</row>
    <row r="525">
      <c r="O525" s="230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</row>
    <row r="526">
      <c r="O526" s="230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</row>
    <row r="527">
      <c r="O527" s="230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</row>
    <row r="528">
      <c r="O528" s="230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</row>
    <row r="529">
      <c r="O529" s="230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</row>
    <row r="530">
      <c r="O530" s="230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</row>
    <row r="531">
      <c r="O531" s="230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</row>
    <row r="532">
      <c r="O532" s="230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</row>
    <row r="533">
      <c r="O533" s="230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</row>
    <row r="534">
      <c r="O534" s="230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</row>
    <row r="535">
      <c r="O535" s="230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</row>
    <row r="536">
      <c r="O536" s="230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</row>
    <row r="537">
      <c r="O537" s="230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</row>
    <row r="538">
      <c r="O538" s="230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</row>
    <row r="539">
      <c r="O539" s="230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</row>
    <row r="540">
      <c r="O540" s="230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</row>
    <row r="541">
      <c r="O541" s="230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</row>
    <row r="542">
      <c r="O542" s="230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</row>
    <row r="543">
      <c r="O543" s="230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</row>
    <row r="544">
      <c r="O544" s="230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</row>
    <row r="545">
      <c r="O545" s="230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</row>
    <row r="546">
      <c r="O546" s="230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</row>
    <row r="547">
      <c r="O547" s="230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</row>
    <row r="548">
      <c r="O548" s="230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</row>
    <row r="549">
      <c r="O549" s="230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</row>
    <row r="550">
      <c r="O550" s="230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</row>
    <row r="551">
      <c r="O551" s="230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</row>
    <row r="552">
      <c r="O552" s="230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</row>
    <row r="553">
      <c r="O553" s="230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</row>
    <row r="554">
      <c r="O554" s="230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</row>
    <row r="555">
      <c r="O555" s="230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</row>
    <row r="556">
      <c r="O556" s="230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</row>
    <row r="557">
      <c r="O557" s="230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</row>
    <row r="558">
      <c r="O558" s="230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</row>
    <row r="559">
      <c r="O559" s="230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</row>
    <row r="560">
      <c r="O560" s="230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</row>
    <row r="561">
      <c r="O561" s="230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</row>
    <row r="562">
      <c r="O562" s="230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</row>
    <row r="563">
      <c r="O563" s="230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</row>
    <row r="564">
      <c r="O564" s="230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</row>
    <row r="565">
      <c r="O565" s="230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</row>
    <row r="566">
      <c r="O566" s="230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</row>
    <row r="567">
      <c r="O567" s="230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</row>
    <row r="568">
      <c r="O568" s="230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</row>
    <row r="569">
      <c r="O569" s="230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</row>
    <row r="570">
      <c r="O570" s="230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</row>
    <row r="571">
      <c r="O571" s="230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</row>
    <row r="572">
      <c r="O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</row>
    <row r="573">
      <c r="O573" s="230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</row>
    <row r="574">
      <c r="O574" s="230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</row>
    <row r="575">
      <c r="O575" s="230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</row>
    <row r="576">
      <c r="O576" s="230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</row>
    <row r="577">
      <c r="O577" s="230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</row>
    <row r="578">
      <c r="O578" s="230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</row>
    <row r="579">
      <c r="O579" s="230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</row>
    <row r="580">
      <c r="O580" s="230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</row>
    <row r="581">
      <c r="O581" s="230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</row>
    <row r="582">
      <c r="O582" s="230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</row>
    <row r="583">
      <c r="O583" s="230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</row>
    <row r="584">
      <c r="O584" s="230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</row>
    <row r="585">
      <c r="O585" s="230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</row>
    <row r="586">
      <c r="O586" s="230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</row>
    <row r="587">
      <c r="O587" s="230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</row>
    <row r="588">
      <c r="O588" s="230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</row>
    <row r="589">
      <c r="O589" s="230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</row>
    <row r="590">
      <c r="O590" s="230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</row>
    <row r="591">
      <c r="O591" s="230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</row>
    <row r="592">
      <c r="O592" s="230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</row>
    <row r="593">
      <c r="O593" s="230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</row>
    <row r="594">
      <c r="O594" s="230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</row>
    <row r="595">
      <c r="O595" s="230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</row>
    <row r="596">
      <c r="O596" s="230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</row>
    <row r="597">
      <c r="O597" s="230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</row>
    <row r="598">
      <c r="O598" s="230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</row>
    <row r="599">
      <c r="O599" s="230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</row>
    <row r="600">
      <c r="O600" s="230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</row>
    <row r="601">
      <c r="O601" s="230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</row>
    <row r="602">
      <c r="O602" s="230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</row>
    <row r="603">
      <c r="O603" s="230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</row>
    <row r="604">
      <c r="O604" s="230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</row>
    <row r="605">
      <c r="O605" s="230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</row>
    <row r="606">
      <c r="O606" s="230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</row>
    <row r="607">
      <c r="O607" s="230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</row>
    <row r="608">
      <c r="O608" s="230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</row>
    <row r="609">
      <c r="O609" s="230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</row>
    <row r="610">
      <c r="O610" s="230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</row>
    <row r="611">
      <c r="O611" s="230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</row>
    <row r="612">
      <c r="O612" s="230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</row>
    <row r="613">
      <c r="O613" s="230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</row>
    <row r="614">
      <c r="O614" s="230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</row>
    <row r="615">
      <c r="O615" s="230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</row>
    <row r="616">
      <c r="O616" s="230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</row>
    <row r="617">
      <c r="O617" s="230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</row>
    <row r="618">
      <c r="O618" s="230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</row>
    <row r="619">
      <c r="O619" s="230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</row>
    <row r="620">
      <c r="O620" s="230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</row>
    <row r="621">
      <c r="O621" s="230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</row>
    <row r="622">
      <c r="O622" s="230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</row>
    <row r="623">
      <c r="O623" s="230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</row>
    <row r="624">
      <c r="O624" s="230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</row>
    <row r="625">
      <c r="O625" s="230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</row>
    <row r="626">
      <c r="O626" s="230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</row>
    <row r="627">
      <c r="O627" s="230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</row>
    <row r="628">
      <c r="O628" s="230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</row>
    <row r="629">
      <c r="O629" s="230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</row>
    <row r="630">
      <c r="O630" s="230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</row>
    <row r="631">
      <c r="O631" s="230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</row>
    <row r="632">
      <c r="O632" s="230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</row>
    <row r="633">
      <c r="O633" s="230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</row>
    <row r="634">
      <c r="O634" s="230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</row>
    <row r="635">
      <c r="O635" s="230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</row>
    <row r="636">
      <c r="O636" s="230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</row>
    <row r="637">
      <c r="O637" s="230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</row>
    <row r="638">
      <c r="O638" s="230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</row>
    <row r="639">
      <c r="O639" s="230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</row>
    <row r="640">
      <c r="O640" s="230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</row>
    <row r="641">
      <c r="O641" s="230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</row>
    <row r="642">
      <c r="O642" s="230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</row>
    <row r="643">
      <c r="O643" s="230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</row>
    <row r="644">
      <c r="O644" s="230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</row>
    <row r="645">
      <c r="O645" s="230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</row>
    <row r="646">
      <c r="O646" s="230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</row>
    <row r="647">
      <c r="O647" s="230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</row>
    <row r="648">
      <c r="O648" s="230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</row>
    <row r="649">
      <c r="O649" s="230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</row>
    <row r="650">
      <c r="O650" s="230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</row>
    <row r="651">
      <c r="O651" s="230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</row>
    <row r="652">
      <c r="O652" s="230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</row>
    <row r="653">
      <c r="O653" s="230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</row>
    <row r="654">
      <c r="O654" s="230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</row>
    <row r="655">
      <c r="O655" s="230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</row>
    <row r="656">
      <c r="O656" s="230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</row>
    <row r="657">
      <c r="O657" s="230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</row>
    <row r="658">
      <c r="O658" s="230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</row>
    <row r="659">
      <c r="O659" s="230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</row>
    <row r="660">
      <c r="O660" s="230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</row>
    <row r="661">
      <c r="O661" s="230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</row>
    <row r="662">
      <c r="O662" s="230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</row>
    <row r="663">
      <c r="O663" s="230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</row>
    <row r="664">
      <c r="O664" s="230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</row>
    <row r="665">
      <c r="O665" s="230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</row>
    <row r="666">
      <c r="O666" s="230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</row>
    <row r="667">
      <c r="O667" s="230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</row>
    <row r="668">
      <c r="O668" s="230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</row>
    <row r="669">
      <c r="O669" s="230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</row>
    <row r="670">
      <c r="O670" s="230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</row>
    <row r="671">
      <c r="O671" s="230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</row>
    <row r="672">
      <c r="O672" s="230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</row>
    <row r="673">
      <c r="O673" s="230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</row>
    <row r="674">
      <c r="O674" s="230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</row>
    <row r="675">
      <c r="O675" s="230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</row>
    <row r="676">
      <c r="O676" s="230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</row>
    <row r="677">
      <c r="O677" s="230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</row>
    <row r="678">
      <c r="O678" s="230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</row>
    <row r="679">
      <c r="O679" s="230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</row>
    <row r="680">
      <c r="O680" s="230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</row>
    <row r="681">
      <c r="O681" s="230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</row>
    <row r="682">
      <c r="O682" s="230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</row>
    <row r="683">
      <c r="O683" s="230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</row>
    <row r="684">
      <c r="O684" s="230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</row>
    <row r="685">
      <c r="O685" s="230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</row>
    <row r="686">
      <c r="O686" s="230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</row>
    <row r="687">
      <c r="O687" s="230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</row>
    <row r="688">
      <c r="O688" s="230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</row>
    <row r="689">
      <c r="O689" s="230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</row>
    <row r="690">
      <c r="O690" s="230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</row>
    <row r="691">
      <c r="O691" s="230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</row>
    <row r="692">
      <c r="O692" s="230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</row>
    <row r="693">
      <c r="O693" s="230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</row>
    <row r="694">
      <c r="O694" s="230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</row>
    <row r="695">
      <c r="O695" s="230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</row>
    <row r="696">
      <c r="O696" s="230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</row>
    <row r="697">
      <c r="O697" s="230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</row>
    <row r="698">
      <c r="O698" s="230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</row>
    <row r="699">
      <c r="O699" s="230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</row>
    <row r="700">
      <c r="O700" s="230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</row>
    <row r="701">
      <c r="O701" s="230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</row>
    <row r="702">
      <c r="O702" s="230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</row>
    <row r="703">
      <c r="O703" s="230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</row>
    <row r="704">
      <c r="O704" s="230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</row>
    <row r="705">
      <c r="O705" s="230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</row>
    <row r="706">
      <c r="O706" s="230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</row>
    <row r="707">
      <c r="O707" s="230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</row>
    <row r="708">
      <c r="O708" s="230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</row>
    <row r="709">
      <c r="O709" s="230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</row>
    <row r="710">
      <c r="O710" s="230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</row>
    <row r="711">
      <c r="O711" s="230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</row>
    <row r="712">
      <c r="O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</row>
    <row r="713">
      <c r="O713" s="230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</row>
    <row r="714">
      <c r="O714" s="230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</row>
    <row r="715">
      <c r="O715" s="230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</row>
    <row r="716">
      <c r="O716" s="230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</row>
    <row r="717">
      <c r="O717" s="230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</row>
    <row r="718">
      <c r="O718" s="230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</row>
    <row r="719">
      <c r="O719" s="230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</row>
    <row r="720">
      <c r="O720" s="230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</row>
    <row r="721">
      <c r="O721" s="230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</row>
    <row r="722">
      <c r="O722" s="230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</row>
    <row r="723">
      <c r="O723" s="230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</row>
    <row r="724">
      <c r="O724" s="230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</row>
    <row r="725">
      <c r="O725" s="230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</row>
    <row r="726">
      <c r="O726" s="230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</row>
    <row r="727">
      <c r="O727" s="230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</row>
    <row r="728">
      <c r="O728" s="230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</row>
    <row r="729">
      <c r="O729" s="230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</row>
    <row r="730">
      <c r="O730" s="230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</row>
    <row r="731">
      <c r="O731" s="230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</row>
    <row r="732">
      <c r="O732" s="230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</row>
    <row r="733">
      <c r="O733" s="230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</row>
    <row r="734">
      <c r="O734" s="230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</row>
    <row r="735">
      <c r="O735" s="230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</row>
    <row r="736">
      <c r="O736" s="230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</row>
    <row r="737">
      <c r="O737" s="230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</row>
    <row r="738">
      <c r="O738" s="230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</row>
    <row r="739">
      <c r="O739" s="230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</row>
    <row r="740">
      <c r="O740" s="230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</row>
    <row r="741">
      <c r="O741" s="230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</row>
    <row r="742">
      <c r="O742" s="230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</row>
    <row r="743">
      <c r="O743" s="230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</row>
    <row r="744">
      <c r="O744" s="230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</row>
    <row r="745">
      <c r="O745" s="230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</row>
    <row r="746">
      <c r="O746" s="230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</row>
    <row r="747">
      <c r="O747" s="230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</row>
    <row r="748">
      <c r="O748" s="230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</row>
    <row r="749">
      <c r="O749" s="230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</row>
    <row r="750">
      <c r="O750" s="230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</row>
    <row r="751">
      <c r="O751" s="230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</row>
    <row r="752">
      <c r="O752" s="230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</row>
    <row r="753">
      <c r="O753" s="230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</row>
    <row r="754">
      <c r="O754" s="230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</row>
    <row r="755">
      <c r="O755" s="230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</row>
    <row r="756">
      <c r="O756" s="230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</row>
    <row r="757">
      <c r="O757" s="230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</row>
    <row r="758">
      <c r="O758" s="230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</row>
    <row r="759">
      <c r="O759" s="230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</row>
    <row r="760">
      <c r="O760" s="230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</row>
    <row r="761">
      <c r="O761" s="230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</row>
    <row r="762">
      <c r="O762" s="230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</row>
    <row r="763">
      <c r="O763" s="230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</row>
    <row r="764">
      <c r="O764" s="230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</row>
    <row r="765">
      <c r="O765" s="230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</row>
    <row r="766">
      <c r="O766" s="230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</row>
    <row r="767">
      <c r="O767" s="230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</row>
    <row r="768">
      <c r="O768" s="230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</row>
    <row r="769">
      <c r="O769" s="230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</row>
    <row r="770">
      <c r="O770" s="230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</row>
    <row r="771">
      <c r="O771" s="230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</row>
    <row r="772">
      <c r="O772" s="230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</row>
    <row r="773">
      <c r="O773" s="230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</row>
    <row r="774">
      <c r="O774" s="230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</row>
    <row r="775">
      <c r="O775" s="230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</row>
    <row r="776">
      <c r="O776" s="230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</row>
    <row r="777">
      <c r="O777" s="230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</row>
    <row r="778">
      <c r="O778" s="230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</row>
    <row r="779">
      <c r="O779" s="230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</row>
    <row r="780">
      <c r="O780" s="230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</row>
    <row r="781">
      <c r="O781" s="230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</row>
    <row r="782">
      <c r="O782" s="230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</row>
    <row r="783">
      <c r="O783" s="230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</row>
    <row r="784">
      <c r="O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</row>
    <row r="785">
      <c r="O785" s="230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</row>
    <row r="786">
      <c r="O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</row>
    <row r="787">
      <c r="O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</row>
    <row r="788">
      <c r="O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</row>
    <row r="789">
      <c r="O789" s="230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</row>
    <row r="790">
      <c r="O790" s="230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</row>
    <row r="791">
      <c r="O791" s="230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</row>
    <row r="792">
      <c r="O792" s="230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</row>
    <row r="793">
      <c r="O793" s="230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</row>
    <row r="794">
      <c r="O794" s="230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</row>
    <row r="795">
      <c r="O795" s="230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</row>
    <row r="796">
      <c r="O796" s="230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</row>
    <row r="797">
      <c r="O797" s="230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</row>
    <row r="798">
      <c r="O798" s="230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</row>
    <row r="799">
      <c r="O799" s="230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</row>
    <row r="800">
      <c r="O800" s="230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</row>
    <row r="801">
      <c r="O801" s="230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</row>
    <row r="802">
      <c r="O802" s="230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</row>
    <row r="803">
      <c r="O803" s="230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</row>
    <row r="804">
      <c r="O804" s="230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</row>
    <row r="805">
      <c r="O805" s="230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</row>
    <row r="806">
      <c r="O806" s="230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</row>
    <row r="807">
      <c r="O807" s="230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</row>
    <row r="808">
      <c r="O808" s="230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</row>
    <row r="809">
      <c r="O809" s="230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</row>
    <row r="810">
      <c r="O810" s="230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</row>
    <row r="811">
      <c r="O811" s="230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</row>
    <row r="812">
      <c r="O812" s="230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</row>
    <row r="813">
      <c r="O813" s="230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</row>
    <row r="814">
      <c r="O814" s="230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</row>
    <row r="815">
      <c r="O815" s="230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</row>
    <row r="816">
      <c r="O816" s="230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</row>
    <row r="817">
      <c r="O817" s="230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</row>
    <row r="818">
      <c r="O818" s="230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</row>
    <row r="819">
      <c r="O819" s="230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</row>
    <row r="820">
      <c r="O820" s="230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</row>
    <row r="821">
      <c r="O821" s="230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</row>
    <row r="822">
      <c r="O822" s="230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</row>
    <row r="823">
      <c r="O823" s="230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</row>
    <row r="824">
      <c r="O824" s="230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</row>
    <row r="825">
      <c r="O825" s="230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</row>
    <row r="826">
      <c r="O826" s="230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</row>
    <row r="827">
      <c r="O827" s="230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</row>
    <row r="828">
      <c r="O828" s="230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</row>
    <row r="829">
      <c r="O829" s="230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</row>
    <row r="830">
      <c r="O830" s="230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</row>
    <row r="831">
      <c r="O831" s="230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</row>
    <row r="832">
      <c r="O832" s="230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</row>
    <row r="833">
      <c r="O833" s="230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</row>
    <row r="834">
      <c r="O834" s="230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</row>
    <row r="835">
      <c r="O835" s="230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</row>
    <row r="836">
      <c r="O836" s="230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</row>
    <row r="837">
      <c r="O837" s="230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</row>
    <row r="838">
      <c r="O838" s="230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</row>
    <row r="839">
      <c r="O839" s="230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</row>
    <row r="840">
      <c r="O840" s="230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</row>
    <row r="841">
      <c r="O841" s="230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</row>
    <row r="842">
      <c r="O842" s="230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</row>
    <row r="843">
      <c r="O843" s="230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</row>
    <row r="844">
      <c r="O844" s="230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</row>
    <row r="845">
      <c r="O845" s="230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</row>
    <row r="846">
      <c r="O846" s="230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</row>
    <row r="847">
      <c r="O847" s="230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</row>
    <row r="848">
      <c r="O848" s="230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</row>
    <row r="849">
      <c r="O849" s="230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</row>
    <row r="850">
      <c r="O850" s="230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</row>
    <row r="851">
      <c r="O851" s="230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</row>
    <row r="852">
      <c r="O852" s="230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</row>
    <row r="853">
      <c r="O853" s="230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</row>
    <row r="854">
      <c r="O854" s="230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</row>
    <row r="855">
      <c r="O855" s="230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</row>
    <row r="856">
      <c r="O856" s="230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</row>
    <row r="857">
      <c r="O857" s="230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</row>
    <row r="858">
      <c r="O858" s="230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</row>
    <row r="859">
      <c r="O859" s="230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</row>
    <row r="860">
      <c r="O860" s="230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</row>
    <row r="861">
      <c r="O861" s="230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</row>
    <row r="862">
      <c r="O862" s="230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</row>
    <row r="863">
      <c r="O863" s="230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</row>
    <row r="864">
      <c r="O864" s="230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</row>
    <row r="865">
      <c r="O865" s="230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</row>
    <row r="866">
      <c r="O866" s="230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</row>
    <row r="867">
      <c r="O867" s="230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</row>
    <row r="868">
      <c r="O868" s="230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</row>
    <row r="869">
      <c r="O869" s="230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</row>
    <row r="870">
      <c r="O870" s="230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</row>
    <row r="871">
      <c r="O871" s="230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</row>
    <row r="872">
      <c r="O872" s="230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</row>
    <row r="873">
      <c r="O873" s="230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</row>
    <row r="874">
      <c r="O874" s="230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</row>
    <row r="875">
      <c r="O875" s="230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</row>
    <row r="876">
      <c r="O876" s="230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</row>
    <row r="877">
      <c r="O877" s="230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</row>
    <row r="878">
      <c r="O878" s="230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</row>
    <row r="879">
      <c r="O879" s="230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</row>
    <row r="880">
      <c r="O880" s="230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</row>
    <row r="881">
      <c r="O881" s="230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</row>
    <row r="882">
      <c r="O882" s="230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</row>
    <row r="883">
      <c r="O883" s="230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</row>
    <row r="884">
      <c r="O884" s="230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</row>
    <row r="885">
      <c r="O885" s="230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</row>
    <row r="886">
      <c r="O886" s="230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</row>
    <row r="887">
      <c r="O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</row>
    <row r="888">
      <c r="O888" s="230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</row>
    <row r="889">
      <c r="O889" s="230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</row>
    <row r="890">
      <c r="O890" s="230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</row>
    <row r="891">
      <c r="O891" s="230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</row>
    <row r="892">
      <c r="O892" s="230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</row>
    <row r="893">
      <c r="O893" s="230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</row>
    <row r="894">
      <c r="O894" s="230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</row>
    <row r="895">
      <c r="O895" s="230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</row>
    <row r="896">
      <c r="O896" s="230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</row>
    <row r="897">
      <c r="O897" s="230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</row>
    <row r="898">
      <c r="O898" s="230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</row>
    <row r="899">
      <c r="O899" s="230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</row>
    <row r="900">
      <c r="O900" s="230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</row>
    <row r="901">
      <c r="O901" s="230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</row>
    <row r="902">
      <c r="O902" s="230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</row>
    <row r="903">
      <c r="O903" s="230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</row>
    <row r="904">
      <c r="O904" s="230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</row>
    <row r="905">
      <c r="O905" s="230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</row>
    <row r="906">
      <c r="O906" s="230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</row>
    <row r="907">
      <c r="O907" s="230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</row>
    <row r="908">
      <c r="O908" s="230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</row>
    <row r="909">
      <c r="O909" s="230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</row>
    <row r="910">
      <c r="O910" s="230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</row>
    <row r="911">
      <c r="O911" s="230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</row>
    <row r="912">
      <c r="O912" s="230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</row>
    <row r="913">
      <c r="O913" s="230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</row>
    <row r="914">
      <c r="O914" s="230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</row>
    <row r="915">
      <c r="O915" s="230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</row>
    <row r="916">
      <c r="O916" s="230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</row>
    <row r="917">
      <c r="O917" s="230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</row>
    <row r="918">
      <c r="O918" s="230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</row>
    <row r="919">
      <c r="O919" s="230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</row>
    <row r="920">
      <c r="O920" s="230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</row>
    <row r="921">
      <c r="O921" s="230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</row>
    <row r="922">
      <c r="O922" s="230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</row>
    <row r="923">
      <c r="O923" s="230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</row>
    <row r="924">
      <c r="O924" s="230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</row>
    <row r="925">
      <c r="O925" s="230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</row>
    <row r="926">
      <c r="O926" s="230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</row>
    <row r="927">
      <c r="O927" s="230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</row>
    <row r="928">
      <c r="O928" s="230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</row>
    <row r="929">
      <c r="O929" s="230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</row>
    <row r="930">
      <c r="O930" s="230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</row>
    <row r="931">
      <c r="O931" s="230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</row>
    <row r="932">
      <c r="O932" s="230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</row>
    <row r="933">
      <c r="O933" s="230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</row>
    <row r="934">
      <c r="O934" s="230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</row>
    <row r="935">
      <c r="O935" s="230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</row>
    <row r="936">
      <c r="O936" s="230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</row>
    <row r="937">
      <c r="O937" s="230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</row>
    <row r="938">
      <c r="O938" s="230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</row>
    <row r="939">
      <c r="O939" s="230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</row>
    <row r="940">
      <c r="O940" s="230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</row>
    <row r="941">
      <c r="O941" s="230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</row>
    <row r="942">
      <c r="O942" s="230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</row>
    <row r="943">
      <c r="O943" s="230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</row>
    <row r="944">
      <c r="O944" s="230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</row>
    <row r="945">
      <c r="O945" s="230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</row>
    <row r="946">
      <c r="O946" s="230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</row>
    <row r="947">
      <c r="O947" s="230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</row>
    <row r="948">
      <c r="O948" s="230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</row>
    <row r="949">
      <c r="O949" s="230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</row>
    <row r="950">
      <c r="O950" s="230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</row>
    <row r="951">
      <c r="O951" s="230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</row>
    <row r="952">
      <c r="O952" s="230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</row>
    <row r="953">
      <c r="O953" s="230"/>
      <c r="R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</row>
    <row r="954">
      <c r="O954" s="230"/>
      <c r="R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</row>
    <row r="955">
      <c r="O955" s="230"/>
      <c r="R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</row>
    <row r="956">
      <c r="O956" s="230"/>
      <c r="R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</row>
    <row r="957">
      <c r="O957" s="230"/>
      <c r="R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</row>
    <row r="958">
      <c r="O958" s="230"/>
      <c r="R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</row>
    <row r="959">
      <c r="O959" s="230"/>
      <c r="R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</row>
    <row r="960">
      <c r="O960" s="230"/>
      <c r="R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</row>
    <row r="961">
      <c r="O961" s="230"/>
      <c r="R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</row>
    <row r="962">
      <c r="O962" s="230"/>
      <c r="R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</row>
    <row r="963">
      <c r="O963" s="230"/>
      <c r="R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</row>
    <row r="964">
      <c r="O964" s="230"/>
      <c r="R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</row>
    <row r="965">
      <c r="O965" s="230"/>
      <c r="R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</row>
    <row r="966">
      <c r="O966" s="230"/>
      <c r="R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</row>
    <row r="967">
      <c r="O967" s="230"/>
      <c r="R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</row>
    <row r="968">
      <c r="O968" s="230"/>
      <c r="R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</row>
    <row r="969">
      <c r="O969" s="230"/>
      <c r="R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</row>
    <row r="970">
      <c r="O970" s="230"/>
      <c r="R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</row>
    <row r="971">
      <c r="O971" s="230"/>
      <c r="R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</row>
    <row r="972">
      <c r="O972" s="230"/>
      <c r="R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</row>
    <row r="973">
      <c r="O973" s="230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</row>
    <row r="974">
      <c r="O974" s="230"/>
      <c r="R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</row>
    <row r="975">
      <c r="O975" s="230"/>
      <c r="R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</row>
    <row r="976">
      <c r="O976" s="230"/>
      <c r="R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</row>
    <row r="977">
      <c r="O977" s="230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</row>
    <row r="978">
      <c r="O978" s="230"/>
      <c r="R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</row>
    <row r="979">
      <c r="O979" s="230"/>
      <c r="R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</row>
    <row r="980">
      <c r="O980" s="230"/>
      <c r="R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</row>
    <row r="981">
      <c r="O981" s="230"/>
      <c r="R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</row>
    <row r="982">
      <c r="O982" s="230"/>
      <c r="R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</row>
    <row r="983">
      <c r="O983" s="230"/>
      <c r="R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</row>
    <row r="984">
      <c r="O984" s="230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</row>
    <row r="985">
      <c r="O985" s="230"/>
      <c r="R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</row>
    <row r="986">
      <c r="O986" s="230"/>
      <c r="R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</row>
    <row r="987">
      <c r="O987" s="230"/>
      <c r="R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</row>
    <row r="988">
      <c r="O988" s="230"/>
      <c r="R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</row>
    <row r="989">
      <c r="O989" s="230"/>
      <c r="R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</row>
    <row r="990">
      <c r="O990" s="230"/>
      <c r="R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</row>
    <row r="991">
      <c r="O991" s="230"/>
      <c r="R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</row>
    <row r="992">
      <c r="O992" s="230"/>
      <c r="R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</row>
    <row r="993">
      <c r="O993" s="230"/>
      <c r="R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</row>
    <row r="994">
      <c r="O994" s="230"/>
      <c r="R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</row>
    <row r="995">
      <c r="O995" s="230"/>
      <c r="R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</row>
    <row r="996">
      <c r="O996" s="230"/>
      <c r="R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</row>
    <row r="997">
      <c r="O997" s="230"/>
      <c r="R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</row>
    <row r="998">
      <c r="O998" s="230"/>
      <c r="R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</row>
    <row r="999">
      <c r="O999" s="230"/>
      <c r="R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</row>
    <row r="1000">
      <c r="O1000" s="230"/>
      <c r="R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</row>
    <row r="1001">
      <c r="O1001" s="230"/>
      <c r="R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</row>
    <row r="1002">
      <c r="O1002" s="230"/>
      <c r="R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</row>
    <row r="1003">
      <c r="O1003" s="230"/>
      <c r="R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</row>
    <row r="1004">
      <c r="O1004" s="230"/>
      <c r="R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</row>
    <row r="1005">
      <c r="O1005" s="230"/>
      <c r="R1005" s="230"/>
      <c r="S1005" s="230"/>
      <c r="T1005" s="230"/>
      <c r="U1005" s="230"/>
      <c r="V1005" s="230"/>
      <c r="W1005" s="230"/>
      <c r="X1005" s="230"/>
      <c r="Y1005" s="230"/>
      <c r="Z1005" s="230"/>
      <c r="AA1005" s="230"/>
      <c r="AB1005" s="230"/>
    </row>
    <row r="1006">
      <c r="O1006" s="230"/>
      <c r="R1006" s="230"/>
      <c r="S1006" s="230"/>
      <c r="T1006" s="230"/>
      <c r="U1006" s="230"/>
      <c r="V1006" s="230"/>
      <c r="W1006" s="230"/>
      <c r="X1006" s="230"/>
      <c r="Y1006" s="230"/>
      <c r="Z1006" s="230"/>
      <c r="AA1006" s="230"/>
      <c r="AB1006" s="230"/>
    </row>
    <row r="1007">
      <c r="O1007" s="230"/>
      <c r="R1007" s="230"/>
      <c r="S1007" s="230"/>
      <c r="T1007" s="230"/>
      <c r="U1007" s="230"/>
      <c r="V1007" s="230"/>
      <c r="W1007" s="230"/>
      <c r="X1007" s="230"/>
      <c r="Y1007" s="230"/>
      <c r="Z1007" s="230"/>
      <c r="AA1007" s="230"/>
      <c r="AB1007" s="230"/>
    </row>
    <row r="1008">
      <c r="O1008" s="230"/>
      <c r="R1008" s="230"/>
      <c r="S1008" s="230"/>
      <c r="T1008" s="230"/>
      <c r="U1008" s="230"/>
      <c r="V1008" s="230"/>
      <c r="W1008" s="230"/>
      <c r="X1008" s="230"/>
      <c r="Y1008" s="230"/>
      <c r="Z1008" s="230"/>
      <c r="AA1008" s="230"/>
      <c r="AB1008" s="230"/>
    </row>
    <row r="1009">
      <c r="O1009" s="230"/>
      <c r="R1009" s="230"/>
      <c r="S1009" s="230"/>
      <c r="T1009" s="230"/>
      <c r="U1009" s="230"/>
      <c r="V1009" s="230"/>
      <c r="W1009" s="230"/>
      <c r="X1009" s="230"/>
      <c r="Y1009" s="230"/>
      <c r="Z1009" s="230"/>
      <c r="AA1009" s="230"/>
      <c r="AB1009" s="230"/>
    </row>
    <row r="1010">
      <c r="O1010" s="230"/>
      <c r="R1010" s="230"/>
      <c r="S1010" s="230"/>
      <c r="T1010" s="230"/>
      <c r="U1010" s="230"/>
      <c r="V1010" s="230"/>
      <c r="W1010" s="230"/>
      <c r="X1010" s="230"/>
      <c r="Y1010" s="230"/>
      <c r="Z1010" s="230"/>
      <c r="AA1010" s="230"/>
      <c r="AB1010" s="230"/>
    </row>
    <row r="1011">
      <c r="O1011" s="230"/>
      <c r="R1011" s="230"/>
      <c r="S1011" s="230"/>
      <c r="T1011" s="230"/>
      <c r="U1011" s="230"/>
      <c r="V1011" s="230"/>
      <c r="W1011" s="230"/>
      <c r="X1011" s="230"/>
      <c r="Y1011" s="230"/>
      <c r="Z1011" s="230"/>
      <c r="AA1011" s="230"/>
      <c r="AB1011" s="230"/>
    </row>
    <row r="1012">
      <c r="O1012" s="230"/>
      <c r="R1012" s="230"/>
      <c r="S1012" s="230"/>
      <c r="T1012" s="230"/>
      <c r="U1012" s="230"/>
      <c r="V1012" s="230"/>
      <c r="W1012" s="230"/>
      <c r="X1012" s="230"/>
      <c r="Y1012" s="230"/>
      <c r="Z1012" s="230"/>
      <c r="AA1012" s="230"/>
      <c r="AB1012" s="230"/>
    </row>
    <row r="1013">
      <c r="O1013" s="230"/>
      <c r="R1013" s="230"/>
      <c r="S1013" s="230"/>
      <c r="T1013" s="230"/>
      <c r="U1013" s="230"/>
      <c r="V1013" s="230"/>
      <c r="W1013" s="230"/>
      <c r="X1013" s="230"/>
      <c r="Y1013" s="230"/>
      <c r="Z1013" s="230"/>
      <c r="AA1013" s="230"/>
      <c r="AB1013" s="230"/>
    </row>
    <row r="1014">
      <c r="O1014" s="230"/>
      <c r="R1014" s="230"/>
      <c r="S1014" s="230"/>
      <c r="T1014" s="230"/>
      <c r="U1014" s="230"/>
      <c r="V1014" s="230"/>
      <c r="W1014" s="230"/>
      <c r="X1014" s="230"/>
      <c r="Y1014" s="230"/>
      <c r="Z1014" s="230"/>
      <c r="AA1014" s="230"/>
      <c r="AB1014" s="230"/>
    </row>
    <row r="1015">
      <c r="O1015" s="230"/>
      <c r="R1015" s="230"/>
      <c r="S1015" s="230"/>
      <c r="T1015" s="230"/>
      <c r="U1015" s="230"/>
      <c r="V1015" s="230"/>
      <c r="W1015" s="230"/>
      <c r="X1015" s="230"/>
      <c r="Y1015" s="230"/>
      <c r="Z1015" s="230"/>
      <c r="AA1015" s="230"/>
      <c r="AB1015" s="230"/>
    </row>
    <row r="1016">
      <c r="O1016" s="230"/>
      <c r="R1016" s="230"/>
      <c r="S1016" s="230"/>
      <c r="T1016" s="230"/>
      <c r="U1016" s="230"/>
      <c r="V1016" s="230"/>
      <c r="W1016" s="230"/>
      <c r="X1016" s="230"/>
      <c r="Y1016" s="230"/>
      <c r="Z1016" s="230"/>
      <c r="AA1016" s="230"/>
      <c r="AB1016" s="230"/>
    </row>
    <row r="1017">
      <c r="O1017" s="230"/>
      <c r="R1017" s="230"/>
      <c r="S1017" s="230"/>
      <c r="T1017" s="230"/>
      <c r="U1017" s="230"/>
      <c r="V1017" s="230"/>
      <c r="W1017" s="230"/>
      <c r="X1017" s="230"/>
      <c r="Y1017" s="230"/>
      <c r="Z1017" s="230"/>
      <c r="AA1017" s="230"/>
      <c r="AB1017" s="230"/>
    </row>
    <row r="1018">
      <c r="O1018" s="230"/>
      <c r="R1018" s="230"/>
      <c r="S1018" s="230"/>
      <c r="T1018" s="230"/>
      <c r="U1018" s="230"/>
      <c r="V1018" s="230"/>
      <c r="W1018" s="230"/>
      <c r="X1018" s="230"/>
      <c r="Y1018" s="230"/>
      <c r="Z1018" s="230"/>
      <c r="AA1018" s="230"/>
      <c r="AB1018" s="230"/>
    </row>
    <row r="1019">
      <c r="O1019" s="230"/>
      <c r="R1019" s="230"/>
      <c r="S1019" s="230"/>
      <c r="T1019" s="230"/>
      <c r="U1019" s="230"/>
      <c r="V1019" s="230"/>
      <c r="W1019" s="230"/>
      <c r="X1019" s="230"/>
      <c r="Y1019" s="230"/>
      <c r="Z1019" s="230"/>
      <c r="AA1019" s="230"/>
      <c r="AB1019" s="230"/>
    </row>
    <row r="1020">
      <c r="O1020" s="230"/>
      <c r="R1020" s="230"/>
      <c r="S1020" s="230"/>
      <c r="T1020" s="230"/>
      <c r="U1020" s="230"/>
      <c r="V1020" s="230"/>
      <c r="W1020" s="230"/>
      <c r="X1020" s="230"/>
      <c r="Y1020" s="230"/>
      <c r="Z1020" s="230"/>
      <c r="AA1020" s="230"/>
      <c r="AB1020" s="230"/>
    </row>
    <row r="1021">
      <c r="O1021" s="230"/>
      <c r="R1021" s="230"/>
      <c r="S1021" s="230"/>
      <c r="T1021" s="230"/>
      <c r="U1021" s="230"/>
      <c r="V1021" s="230"/>
      <c r="W1021" s="230"/>
      <c r="X1021" s="230"/>
      <c r="Y1021" s="230"/>
      <c r="Z1021" s="230"/>
      <c r="AA1021" s="230"/>
      <c r="AB1021" s="230"/>
    </row>
    <row r="1022">
      <c r="O1022" s="230"/>
      <c r="R1022" s="230"/>
      <c r="S1022" s="230"/>
      <c r="T1022" s="230"/>
      <c r="U1022" s="230"/>
      <c r="V1022" s="230"/>
      <c r="W1022" s="230"/>
      <c r="X1022" s="230"/>
      <c r="Y1022" s="230"/>
      <c r="Z1022" s="230"/>
      <c r="AA1022" s="230"/>
      <c r="AB1022" s="230"/>
    </row>
    <row r="1023">
      <c r="O1023" s="230"/>
      <c r="R1023" s="230"/>
      <c r="S1023" s="230"/>
      <c r="T1023" s="230"/>
      <c r="U1023" s="230"/>
      <c r="V1023" s="230"/>
      <c r="W1023" s="230"/>
      <c r="X1023" s="230"/>
      <c r="Y1023" s="230"/>
      <c r="Z1023" s="230"/>
      <c r="AA1023" s="230"/>
      <c r="AB1023" s="230"/>
    </row>
    <row r="1024">
      <c r="O1024" s="230"/>
      <c r="R1024" s="230"/>
      <c r="S1024" s="230"/>
      <c r="T1024" s="230"/>
      <c r="U1024" s="230"/>
      <c r="V1024" s="230"/>
      <c r="W1024" s="230"/>
      <c r="X1024" s="230"/>
      <c r="Y1024" s="230"/>
      <c r="Z1024" s="230"/>
      <c r="AA1024" s="230"/>
      <c r="AB1024" s="230"/>
    </row>
    <row r="1025">
      <c r="O1025" s="230"/>
      <c r="R1025" s="230"/>
      <c r="S1025" s="230"/>
      <c r="T1025" s="230"/>
      <c r="U1025" s="230"/>
      <c r="V1025" s="230"/>
      <c r="W1025" s="230"/>
      <c r="X1025" s="230"/>
      <c r="Y1025" s="230"/>
      <c r="Z1025" s="230"/>
      <c r="AA1025" s="230"/>
      <c r="AB1025" s="230"/>
    </row>
    <row r="1026">
      <c r="O1026" s="230"/>
      <c r="R1026" s="230"/>
      <c r="S1026" s="230"/>
      <c r="T1026" s="230"/>
      <c r="U1026" s="230"/>
      <c r="V1026" s="230"/>
      <c r="W1026" s="230"/>
      <c r="X1026" s="230"/>
      <c r="Y1026" s="230"/>
      <c r="Z1026" s="230"/>
      <c r="AA1026" s="230"/>
      <c r="AB1026" s="230"/>
    </row>
    <row r="1027">
      <c r="O1027" s="230"/>
      <c r="R1027" s="230"/>
      <c r="S1027" s="230"/>
      <c r="T1027" s="230"/>
      <c r="U1027" s="230"/>
      <c r="V1027" s="230"/>
      <c r="W1027" s="230"/>
      <c r="X1027" s="230"/>
      <c r="Y1027" s="230"/>
      <c r="Z1027" s="230"/>
      <c r="AA1027" s="230"/>
      <c r="AB1027" s="230"/>
    </row>
    <row r="1028">
      <c r="O1028" s="230"/>
      <c r="R1028" s="230"/>
      <c r="S1028" s="230"/>
      <c r="T1028" s="230"/>
      <c r="U1028" s="230"/>
      <c r="V1028" s="230"/>
      <c r="W1028" s="230"/>
      <c r="X1028" s="230"/>
      <c r="Y1028" s="230"/>
      <c r="Z1028" s="230"/>
      <c r="AA1028" s="230"/>
      <c r="AB1028" s="230"/>
    </row>
    <row r="1029">
      <c r="O1029" s="230"/>
      <c r="R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</row>
    <row r="1030">
      <c r="O1030" s="230"/>
      <c r="R1030" s="230"/>
      <c r="S1030" s="230"/>
      <c r="T1030" s="230"/>
      <c r="U1030" s="230"/>
      <c r="V1030" s="230"/>
      <c r="W1030" s="230"/>
      <c r="X1030" s="230"/>
      <c r="Y1030" s="230"/>
      <c r="Z1030" s="230"/>
      <c r="AA1030" s="230"/>
      <c r="AB1030" s="230"/>
    </row>
    <row r="1031">
      <c r="O1031" s="230"/>
      <c r="R1031" s="230"/>
      <c r="S1031" s="230"/>
      <c r="T1031" s="230"/>
      <c r="U1031" s="230"/>
      <c r="V1031" s="230"/>
      <c r="W1031" s="230"/>
      <c r="X1031" s="230"/>
      <c r="Y1031" s="230"/>
      <c r="Z1031" s="230"/>
      <c r="AA1031" s="230"/>
      <c r="AB1031" s="230"/>
    </row>
    <row r="1032">
      <c r="O1032" s="230"/>
      <c r="R1032" s="230"/>
      <c r="S1032" s="230"/>
      <c r="T1032" s="230"/>
      <c r="U1032" s="230"/>
      <c r="V1032" s="230"/>
      <c r="W1032" s="230"/>
      <c r="X1032" s="230"/>
      <c r="Y1032" s="230"/>
      <c r="Z1032" s="230"/>
      <c r="AA1032" s="230"/>
      <c r="AB1032" s="230"/>
    </row>
    <row r="1033">
      <c r="O1033" s="230"/>
      <c r="R1033" s="230"/>
      <c r="S1033" s="230"/>
      <c r="T1033" s="230"/>
      <c r="U1033" s="230"/>
      <c r="V1033" s="230"/>
      <c r="W1033" s="230"/>
      <c r="X1033" s="230"/>
      <c r="Y1033" s="230"/>
      <c r="Z1033" s="230"/>
      <c r="AA1033" s="230"/>
      <c r="AB1033" s="230"/>
    </row>
    <row r="1034">
      <c r="O1034" s="230"/>
      <c r="R1034" s="230"/>
      <c r="S1034" s="230"/>
      <c r="T1034" s="230"/>
      <c r="U1034" s="230"/>
      <c r="V1034" s="230"/>
      <c r="W1034" s="230"/>
      <c r="X1034" s="230"/>
      <c r="Y1034" s="230"/>
      <c r="Z1034" s="230"/>
      <c r="AA1034" s="230"/>
      <c r="AB1034" s="230"/>
    </row>
    <row r="1035">
      <c r="O1035" s="230"/>
      <c r="R1035" s="230"/>
      <c r="S1035" s="230"/>
      <c r="T1035" s="230"/>
      <c r="U1035" s="230"/>
      <c r="V1035" s="230"/>
      <c r="W1035" s="230"/>
      <c r="X1035" s="230"/>
      <c r="Y1035" s="230"/>
      <c r="Z1035" s="230"/>
      <c r="AA1035" s="230"/>
      <c r="AB1035" s="230"/>
    </row>
    <row r="1036">
      <c r="O1036" s="230"/>
      <c r="R1036" s="230"/>
      <c r="S1036" s="230"/>
      <c r="T1036" s="230"/>
      <c r="U1036" s="230"/>
      <c r="V1036" s="230"/>
      <c r="W1036" s="230"/>
      <c r="X1036" s="230"/>
      <c r="Y1036" s="230"/>
      <c r="Z1036" s="230"/>
      <c r="AA1036" s="230"/>
      <c r="AB1036" s="230"/>
    </row>
    <row r="1037">
      <c r="O1037" s="230"/>
      <c r="R1037" s="230"/>
      <c r="S1037" s="230"/>
      <c r="T1037" s="230"/>
      <c r="U1037" s="230"/>
      <c r="V1037" s="230"/>
      <c r="W1037" s="230"/>
      <c r="X1037" s="230"/>
      <c r="Y1037" s="230"/>
      <c r="Z1037" s="230"/>
      <c r="AA1037" s="230"/>
      <c r="AB1037" s="230"/>
    </row>
    <row r="1038">
      <c r="O1038" s="230"/>
      <c r="R1038" s="230"/>
      <c r="S1038" s="230"/>
      <c r="T1038" s="230"/>
      <c r="U1038" s="230"/>
      <c r="V1038" s="230"/>
      <c r="W1038" s="230"/>
      <c r="X1038" s="230"/>
      <c r="Y1038" s="230"/>
      <c r="Z1038" s="230"/>
      <c r="AA1038" s="230"/>
      <c r="AB1038" s="230"/>
    </row>
    <row r="1039">
      <c r="O1039" s="230"/>
      <c r="R1039" s="230"/>
      <c r="S1039" s="230"/>
      <c r="T1039" s="230"/>
      <c r="U1039" s="230"/>
      <c r="V1039" s="230"/>
      <c r="W1039" s="230"/>
      <c r="X1039" s="230"/>
      <c r="Y1039" s="230"/>
      <c r="Z1039" s="230"/>
      <c r="AA1039" s="230"/>
      <c r="AB1039" s="230"/>
    </row>
    <row r="1040">
      <c r="O1040" s="230"/>
      <c r="R1040" s="230"/>
      <c r="S1040" s="230"/>
      <c r="T1040" s="230"/>
      <c r="U1040" s="230"/>
      <c r="V1040" s="230"/>
      <c r="W1040" s="230"/>
      <c r="X1040" s="230"/>
      <c r="Y1040" s="230"/>
      <c r="Z1040" s="230"/>
      <c r="AA1040" s="230"/>
      <c r="AB1040" s="230"/>
    </row>
    <row r="1041">
      <c r="O1041" s="230"/>
      <c r="R1041" s="230"/>
      <c r="S1041" s="230"/>
      <c r="T1041" s="230"/>
      <c r="U1041" s="230"/>
      <c r="V1041" s="230"/>
      <c r="W1041" s="230"/>
      <c r="X1041" s="230"/>
      <c r="Y1041" s="230"/>
      <c r="Z1041" s="230"/>
      <c r="AA1041" s="230"/>
      <c r="AB1041" s="230"/>
    </row>
    <row r="1042">
      <c r="O1042" s="230"/>
      <c r="R1042" s="230"/>
      <c r="S1042" s="230"/>
      <c r="T1042" s="230"/>
      <c r="U1042" s="230"/>
      <c r="V1042" s="230"/>
      <c r="W1042" s="230"/>
      <c r="X1042" s="230"/>
      <c r="Y1042" s="230"/>
      <c r="Z1042" s="230"/>
      <c r="AA1042" s="230"/>
      <c r="AB1042" s="230"/>
    </row>
    <row r="1043">
      <c r="O1043" s="230"/>
      <c r="R1043" s="230"/>
      <c r="S1043" s="230"/>
      <c r="T1043" s="230"/>
      <c r="U1043" s="230"/>
      <c r="V1043" s="230"/>
      <c r="W1043" s="230"/>
      <c r="X1043" s="230"/>
      <c r="Y1043" s="230"/>
      <c r="Z1043" s="230"/>
      <c r="AA1043" s="230"/>
      <c r="AB1043" s="230"/>
    </row>
    <row r="1044">
      <c r="O1044" s="230"/>
      <c r="R1044" s="230"/>
      <c r="S1044" s="230"/>
      <c r="T1044" s="230"/>
      <c r="U1044" s="230"/>
      <c r="V1044" s="230"/>
      <c r="W1044" s="230"/>
      <c r="X1044" s="230"/>
      <c r="Y1044" s="230"/>
      <c r="Z1044" s="230"/>
      <c r="AA1044" s="230"/>
      <c r="AB1044" s="230"/>
    </row>
    <row r="1045">
      <c r="O1045" s="230"/>
      <c r="R1045" s="230"/>
      <c r="S1045" s="230"/>
      <c r="T1045" s="230"/>
      <c r="U1045" s="230"/>
      <c r="V1045" s="230"/>
      <c r="W1045" s="230"/>
      <c r="X1045" s="230"/>
      <c r="Y1045" s="230"/>
      <c r="Z1045" s="230"/>
      <c r="AA1045" s="230"/>
      <c r="AB1045" s="230"/>
    </row>
    <row r="1046">
      <c r="O1046" s="230"/>
      <c r="R1046" s="230"/>
      <c r="S1046" s="230"/>
      <c r="T1046" s="230"/>
      <c r="U1046" s="230"/>
      <c r="V1046" s="230"/>
      <c r="W1046" s="230"/>
      <c r="X1046" s="230"/>
      <c r="Y1046" s="230"/>
      <c r="Z1046" s="230"/>
      <c r="AA1046" s="230"/>
      <c r="AB1046" s="230"/>
    </row>
    <row r="1047">
      <c r="O1047" s="230"/>
      <c r="R1047" s="230"/>
      <c r="S1047" s="230"/>
      <c r="T1047" s="230"/>
      <c r="U1047" s="230"/>
      <c r="V1047" s="230"/>
      <c r="W1047" s="230"/>
      <c r="X1047" s="230"/>
      <c r="Y1047" s="230"/>
      <c r="Z1047" s="230"/>
      <c r="AA1047" s="230"/>
      <c r="AB1047" s="230"/>
    </row>
    <row r="1048">
      <c r="O1048" s="230"/>
      <c r="R1048" s="230"/>
      <c r="S1048" s="230"/>
      <c r="T1048" s="230"/>
      <c r="U1048" s="230"/>
      <c r="V1048" s="230"/>
      <c r="W1048" s="230"/>
      <c r="X1048" s="230"/>
      <c r="Y1048" s="230"/>
      <c r="Z1048" s="230"/>
      <c r="AA1048" s="230"/>
      <c r="AB1048" s="230"/>
    </row>
    <row r="1049">
      <c r="O1049" s="230"/>
      <c r="R1049" s="230"/>
      <c r="S1049" s="230"/>
      <c r="T1049" s="230"/>
      <c r="U1049" s="230"/>
      <c r="V1049" s="230"/>
      <c r="W1049" s="230"/>
      <c r="X1049" s="230"/>
      <c r="Y1049" s="230"/>
      <c r="Z1049" s="230"/>
      <c r="AA1049" s="230"/>
      <c r="AB1049" s="230"/>
    </row>
    <row r="1050">
      <c r="O1050" s="230"/>
      <c r="R1050" s="230"/>
      <c r="S1050" s="230"/>
      <c r="T1050" s="230"/>
      <c r="U1050" s="230"/>
      <c r="V1050" s="230"/>
      <c r="W1050" s="230"/>
      <c r="X1050" s="230"/>
      <c r="Y1050" s="230"/>
      <c r="Z1050" s="230"/>
      <c r="AA1050" s="230"/>
      <c r="AB1050" s="230"/>
    </row>
    <row r="1051">
      <c r="O1051" s="230"/>
      <c r="R1051" s="230"/>
      <c r="S1051" s="230"/>
      <c r="T1051" s="230"/>
      <c r="U1051" s="230"/>
      <c r="V1051" s="230"/>
      <c r="W1051" s="230"/>
      <c r="X1051" s="230"/>
      <c r="Y1051" s="230"/>
      <c r="Z1051" s="230"/>
      <c r="AA1051" s="230"/>
      <c r="AB1051" s="230"/>
    </row>
    <row r="1052">
      <c r="O1052" s="230"/>
      <c r="R1052" s="230"/>
      <c r="S1052" s="230"/>
      <c r="T1052" s="230"/>
      <c r="U1052" s="230"/>
      <c r="V1052" s="230"/>
      <c r="W1052" s="230"/>
      <c r="X1052" s="230"/>
      <c r="Y1052" s="230"/>
      <c r="Z1052" s="230"/>
      <c r="AA1052" s="230"/>
      <c r="AB1052" s="230"/>
    </row>
    <row r="1053">
      <c r="O1053" s="230"/>
      <c r="R1053" s="230"/>
      <c r="S1053" s="230"/>
      <c r="T1053" s="230"/>
      <c r="U1053" s="230"/>
      <c r="V1053" s="230"/>
      <c r="W1053" s="230"/>
      <c r="X1053" s="230"/>
      <c r="Y1053" s="230"/>
      <c r="Z1053" s="230"/>
      <c r="AA1053" s="230"/>
      <c r="AB1053" s="230"/>
    </row>
    <row r="1054">
      <c r="O1054" s="230"/>
      <c r="R1054" s="230"/>
      <c r="S1054" s="230"/>
      <c r="T1054" s="230"/>
      <c r="U1054" s="230"/>
      <c r="V1054" s="230"/>
      <c r="W1054" s="230"/>
      <c r="X1054" s="230"/>
      <c r="Y1054" s="230"/>
      <c r="Z1054" s="230"/>
      <c r="AA1054" s="230"/>
      <c r="AB1054" s="230"/>
    </row>
    <row r="1055">
      <c r="O1055" s="230"/>
      <c r="R1055" s="230"/>
      <c r="S1055" s="230"/>
      <c r="T1055" s="230"/>
      <c r="U1055" s="230"/>
      <c r="V1055" s="230"/>
      <c r="W1055" s="230"/>
      <c r="X1055" s="230"/>
      <c r="Y1055" s="230"/>
      <c r="Z1055" s="230"/>
      <c r="AA1055" s="230"/>
      <c r="AB1055" s="230"/>
    </row>
    <row r="1056">
      <c r="O1056" s="230"/>
      <c r="R1056" s="230"/>
      <c r="S1056" s="230"/>
      <c r="T1056" s="230"/>
      <c r="U1056" s="230"/>
      <c r="V1056" s="230"/>
      <c r="W1056" s="230"/>
      <c r="X1056" s="230"/>
      <c r="Y1056" s="230"/>
      <c r="Z1056" s="230"/>
      <c r="AA1056" s="230"/>
      <c r="AB1056" s="230"/>
    </row>
    <row r="1057">
      <c r="O1057" s="230"/>
      <c r="R1057" s="230"/>
      <c r="S1057" s="230"/>
      <c r="T1057" s="230"/>
      <c r="U1057" s="230"/>
      <c r="V1057" s="230"/>
      <c r="W1057" s="230"/>
      <c r="X1057" s="230"/>
      <c r="Y1057" s="230"/>
      <c r="Z1057" s="230"/>
      <c r="AA1057" s="230"/>
      <c r="AB1057" s="230"/>
    </row>
    <row r="1058">
      <c r="O1058" s="230"/>
      <c r="R1058" s="230"/>
      <c r="S1058" s="230"/>
      <c r="T1058" s="230"/>
      <c r="U1058" s="230"/>
      <c r="V1058" s="230"/>
      <c r="W1058" s="230"/>
      <c r="X1058" s="230"/>
      <c r="Y1058" s="230"/>
      <c r="Z1058" s="230"/>
      <c r="AA1058" s="230"/>
      <c r="AB1058" s="230"/>
    </row>
    <row r="1059">
      <c r="O1059" s="230"/>
      <c r="R1059" s="230"/>
      <c r="S1059" s="230"/>
      <c r="T1059" s="230"/>
      <c r="U1059" s="230"/>
      <c r="V1059" s="230"/>
      <c r="W1059" s="230"/>
      <c r="X1059" s="230"/>
      <c r="Y1059" s="230"/>
      <c r="Z1059" s="230"/>
      <c r="AA1059" s="230"/>
      <c r="AB1059" s="230"/>
    </row>
    <row r="1060">
      <c r="O1060" s="230"/>
      <c r="R1060" s="230"/>
      <c r="S1060" s="230"/>
      <c r="T1060" s="230"/>
      <c r="U1060" s="230"/>
      <c r="V1060" s="230"/>
      <c r="W1060" s="230"/>
      <c r="X1060" s="230"/>
      <c r="Y1060" s="230"/>
      <c r="Z1060" s="230"/>
      <c r="AA1060" s="230"/>
      <c r="AB1060" s="230"/>
    </row>
    <row r="1061">
      <c r="O1061" s="230"/>
      <c r="R1061" s="230"/>
      <c r="S1061" s="230"/>
      <c r="T1061" s="230"/>
      <c r="U1061" s="230"/>
      <c r="V1061" s="230"/>
      <c r="W1061" s="230"/>
      <c r="X1061" s="230"/>
      <c r="Y1061" s="230"/>
      <c r="Z1061" s="230"/>
      <c r="AA1061" s="230"/>
      <c r="AB1061" s="230"/>
    </row>
    <row r="1062">
      <c r="O1062" s="230"/>
      <c r="R1062" s="230"/>
      <c r="S1062" s="230"/>
      <c r="T1062" s="230"/>
      <c r="U1062" s="230"/>
      <c r="V1062" s="230"/>
      <c r="W1062" s="230"/>
      <c r="X1062" s="230"/>
      <c r="Y1062" s="230"/>
      <c r="Z1062" s="230"/>
      <c r="AA1062" s="230"/>
      <c r="AB1062" s="230"/>
    </row>
    <row r="1063">
      <c r="O1063" s="230"/>
      <c r="R1063" s="230"/>
      <c r="S1063" s="230"/>
      <c r="T1063" s="230"/>
      <c r="U1063" s="230"/>
      <c r="V1063" s="230"/>
      <c r="W1063" s="230"/>
      <c r="X1063" s="230"/>
      <c r="Y1063" s="230"/>
      <c r="Z1063" s="230"/>
      <c r="AA1063" s="230"/>
      <c r="AB1063" s="230"/>
    </row>
    <row r="1064">
      <c r="O1064" s="230"/>
      <c r="R1064" s="230"/>
      <c r="S1064" s="230"/>
      <c r="T1064" s="230"/>
      <c r="U1064" s="230"/>
      <c r="V1064" s="230"/>
      <c r="W1064" s="230"/>
      <c r="X1064" s="230"/>
      <c r="Y1064" s="230"/>
      <c r="Z1064" s="230"/>
      <c r="AA1064" s="230"/>
      <c r="AB1064" s="230"/>
    </row>
    <row r="1065">
      <c r="O1065" s="230"/>
      <c r="R1065" s="230"/>
      <c r="S1065" s="230"/>
      <c r="T1065" s="230"/>
      <c r="U1065" s="230"/>
      <c r="V1065" s="230"/>
      <c r="W1065" s="230"/>
      <c r="X1065" s="230"/>
      <c r="Y1065" s="230"/>
      <c r="Z1065" s="230"/>
      <c r="AA1065" s="230"/>
      <c r="AB1065" s="230"/>
    </row>
    <row r="1066">
      <c r="O1066" s="230"/>
      <c r="R1066" s="230"/>
      <c r="S1066" s="230"/>
      <c r="T1066" s="230"/>
      <c r="U1066" s="230"/>
      <c r="V1066" s="230"/>
      <c r="W1066" s="230"/>
      <c r="X1066" s="230"/>
      <c r="Y1066" s="230"/>
      <c r="Z1066" s="230"/>
      <c r="AA1066" s="230"/>
      <c r="AB1066" s="230"/>
    </row>
    <row r="1067">
      <c r="O1067" s="230"/>
      <c r="R1067" s="230"/>
      <c r="S1067" s="230"/>
      <c r="T1067" s="230"/>
      <c r="U1067" s="230"/>
      <c r="V1067" s="230"/>
      <c r="W1067" s="230"/>
      <c r="X1067" s="230"/>
      <c r="Y1067" s="230"/>
      <c r="Z1067" s="230"/>
      <c r="AA1067" s="230"/>
      <c r="AB1067" s="230"/>
    </row>
    <row r="1068">
      <c r="O1068" s="230"/>
      <c r="R1068" s="230"/>
      <c r="S1068" s="230"/>
      <c r="T1068" s="230"/>
      <c r="U1068" s="230"/>
      <c r="V1068" s="230"/>
      <c r="W1068" s="230"/>
      <c r="X1068" s="230"/>
      <c r="Y1068" s="230"/>
      <c r="Z1068" s="230"/>
      <c r="AA1068" s="230"/>
      <c r="AB1068" s="230"/>
    </row>
    <row r="1069">
      <c r="O1069" s="230"/>
      <c r="R1069" s="230"/>
      <c r="S1069" s="230"/>
      <c r="T1069" s="230"/>
      <c r="U1069" s="230"/>
      <c r="V1069" s="230"/>
      <c r="W1069" s="230"/>
      <c r="X1069" s="230"/>
      <c r="Y1069" s="230"/>
      <c r="Z1069" s="230"/>
      <c r="AA1069" s="230"/>
      <c r="AB1069" s="230"/>
    </row>
    <row r="1070">
      <c r="O1070" s="230"/>
      <c r="R1070" s="230"/>
      <c r="S1070" s="230"/>
      <c r="T1070" s="230"/>
      <c r="U1070" s="230"/>
      <c r="V1070" s="230"/>
      <c r="W1070" s="230"/>
      <c r="X1070" s="230"/>
      <c r="Y1070" s="230"/>
      <c r="Z1070" s="230"/>
      <c r="AA1070" s="230"/>
      <c r="AB1070" s="230"/>
    </row>
    <row r="1071">
      <c r="O1071" s="230"/>
      <c r="R1071" s="230"/>
      <c r="S1071" s="230"/>
      <c r="T1071" s="230"/>
      <c r="U1071" s="230"/>
      <c r="V1071" s="230"/>
      <c r="W1071" s="230"/>
      <c r="X1071" s="230"/>
      <c r="Y1071" s="230"/>
      <c r="Z1071" s="230"/>
      <c r="AA1071" s="230"/>
      <c r="AB1071" s="230"/>
    </row>
    <row r="1072">
      <c r="O1072" s="230"/>
      <c r="R1072" s="230"/>
      <c r="S1072" s="230"/>
      <c r="T1072" s="230"/>
      <c r="U1072" s="230"/>
      <c r="V1072" s="230"/>
      <c r="W1072" s="230"/>
      <c r="X1072" s="230"/>
      <c r="Y1072" s="230"/>
      <c r="Z1072" s="230"/>
      <c r="AA1072" s="230"/>
      <c r="AB1072" s="230"/>
    </row>
    <row r="1073">
      <c r="O1073" s="230"/>
      <c r="R1073" s="230"/>
      <c r="S1073" s="230"/>
      <c r="T1073" s="230"/>
      <c r="U1073" s="230"/>
      <c r="V1073" s="230"/>
      <c r="W1073" s="230"/>
      <c r="X1073" s="230"/>
      <c r="Y1073" s="230"/>
      <c r="Z1073" s="230"/>
      <c r="AA1073" s="230"/>
      <c r="AB1073" s="230"/>
    </row>
    <row r="1074">
      <c r="O1074" s="230"/>
      <c r="R1074" s="230"/>
      <c r="S1074" s="230"/>
      <c r="T1074" s="230"/>
      <c r="U1074" s="230"/>
      <c r="V1074" s="230"/>
      <c r="W1074" s="230"/>
      <c r="X1074" s="230"/>
      <c r="Y1074" s="230"/>
      <c r="Z1074" s="230"/>
      <c r="AA1074" s="230"/>
      <c r="AB1074" s="230"/>
    </row>
    <row r="1075">
      <c r="O1075" s="230"/>
      <c r="R1075" s="230"/>
      <c r="S1075" s="230"/>
      <c r="T1075" s="230"/>
      <c r="U1075" s="230"/>
      <c r="V1075" s="230"/>
      <c r="W1075" s="230"/>
      <c r="X1075" s="230"/>
      <c r="Y1075" s="230"/>
      <c r="Z1075" s="230"/>
      <c r="AA1075" s="230"/>
      <c r="AB1075" s="230"/>
    </row>
    <row r="1076">
      <c r="O1076" s="230"/>
      <c r="R1076" s="230"/>
      <c r="S1076" s="230"/>
      <c r="T1076" s="230"/>
      <c r="U1076" s="230"/>
      <c r="V1076" s="230"/>
      <c r="W1076" s="230"/>
      <c r="X1076" s="230"/>
      <c r="Y1076" s="230"/>
      <c r="Z1076" s="230"/>
      <c r="AA1076" s="230"/>
      <c r="AB1076" s="230"/>
    </row>
    <row r="1077">
      <c r="O1077" s="230"/>
      <c r="R1077" s="230"/>
      <c r="S1077" s="230"/>
      <c r="T1077" s="230"/>
      <c r="U1077" s="230"/>
      <c r="V1077" s="230"/>
      <c r="W1077" s="230"/>
      <c r="X1077" s="230"/>
      <c r="Y1077" s="230"/>
      <c r="Z1077" s="230"/>
      <c r="AA1077" s="230"/>
      <c r="AB1077" s="230"/>
    </row>
    <row r="1078">
      <c r="O1078" s="230"/>
      <c r="R1078" s="230"/>
      <c r="S1078" s="230"/>
      <c r="T1078" s="230"/>
      <c r="U1078" s="230"/>
      <c r="V1078" s="230"/>
      <c r="W1078" s="230"/>
      <c r="X1078" s="230"/>
      <c r="Y1078" s="230"/>
      <c r="Z1078" s="230"/>
      <c r="AA1078" s="230"/>
      <c r="AB1078" s="230"/>
    </row>
    <row r="1079">
      <c r="O1079" s="230"/>
      <c r="R1079" s="230"/>
      <c r="S1079" s="230"/>
      <c r="T1079" s="230"/>
      <c r="U1079" s="230"/>
      <c r="V1079" s="230"/>
      <c r="W1079" s="230"/>
      <c r="X1079" s="230"/>
      <c r="Y1079" s="230"/>
      <c r="Z1079" s="230"/>
      <c r="AA1079" s="230"/>
      <c r="AB1079" s="230"/>
    </row>
    <row r="1080">
      <c r="O1080" s="230"/>
      <c r="R1080" s="230"/>
      <c r="S1080" s="230"/>
      <c r="T1080" s="230"/>
      <c r="U1080" s="230"/>
      <c r="V1080" s="230"/>
      <c r="W1080" s="230"/>
      <c r="X1080" s="230"/>
      <c r="Y1080" s="230"/>
      <c r="Z1080" s="230"/>
      <c r="AA1080" s="230"/>
      <c r="AB1080" s="230"/>
    </row>
    <row r="1081">
      <c r="O1081" s="230"/>
      <c r="R1081" s="230"/>
      <c r="S1081" s="230"/>
      <c r="T1081" s="230"/>
      <c r="U1081" s="230"/>
      <c r="V1081" s="230"/>
      <c r="W1081" s="230"/>
      <c r="X1081" s="230"/>
      <c r="Y1081" s="230"/>
      <c r="Z1081" s="230"/>
      <c r="AA1081" s="230"/>
      <c r="AB1081" s="230"/>
    </row>
    <row r="1082">
      <c r="O1082" s="230"/>
      <c r="R1082" s="230"/>
      <c r="S1082" s="230"/>
      <c r="T1082" s="230"/>
      <c r="U1082" s="230"/>
      <c r="V1082" s="230"/>
      <c r="W1082" s="230"/>
      <c r="X1082" s="230"/>
      <c r="Y1082" s="230"/>
      <c r="Z1082" s="230"/>
      <c r="AA1082" s="230"/>
      <c r="AB1082" s="230"/>
    </row>
    <row r="1083">
      <c r="O1083" s="230"/>
      <c r="R1083" s="230"/>
      <c r="S1083" s="230"/>
      <c r="T1083" s="230"/>
      <c r="U1083" s="230"/>
      <c r="V1083" s="230"/>
      <c r="W1083" s="230"/>
      <c r="X1083" s="230"/>
      <c r="Y1083" s="230"/>
      <c r="Z1083" s="230"/>
      <c r="AA1083" s="230"/>
      <c r="AB1083" s="230"/>
    </row>
    <row r="1084">
      <c r="O1084" s="230"/>
      <c r="R1084" s="230"/>
      <c r="S1084" s="230"/>
      <c r="T1084" s="230"/>
      <c r="U1084" s="230"/>
      <c r="V1084" s="230"/>
      <c r="W1084" s="230"/>
      <c r="X1084" s="230"/>
      <c r="Y1084" s="230"/>
      <c r="Z1084" s="230"/>
      <c r="AA1084" s="230"/>
      <c r="AB1084" s="230"/>
    </row>
    <row r="1085">
      <c r="O1085" s="230"/>
      <c r="R1085" s="230"/>
      <c r="S1085" s="230"/>
      <c r="T1085" s="230"/>
      <c r="U1085" s="230"/>
      <c r="V1085" s="230"/>
      <c r="W1085" s="230"/>
      <c r="X1085" s="230"/>
      <c r="Y1085" s="230"/>
      <c r="Z1085" s="230"/>
      <c r="AA1085" s="230"/>
      <c r="AB1085" s="230"/>
    </row>
    <row r="1086">
      <c r="O1086" s="230"/>
      <c r="R1086" s="230"/>
      <c r="S1086" s="230"/>
      <c r="T1086" s="230"/>
      <c r="U1086" s="230"/>
      <c r="V1086" s="230"/>
      <c r="W1086" s="230"/>
      <c r="X1086" s="230"/>
      <c r="Y1086" s="230"/>
      <c r="Z1086" s="230"/>
      <c r="AA1086" s="230"/>
      <c r="AB1086" s="230"/>
    </row>
    <row r="1087">
      <c r="O1087" s="230"/>
      <c r="R1087" s="230"/>
      <c r="S1087" s="230"/>
      <c r="T1087" s="230"/>
      <c r="U1087" s="230"/>
      <c r="V1087" s="230"/>
      <c r="W1087" s="230"/>
      <c r="X1087" s="230"/>
      <c r="Y1087" s="230"/>
      <c r="Z1087" s="230"/>
      <c r="AA1087" s="230"/>
      <c r="AB1087" s="230"/>
    </row>
    <row r="1088">
      <c r="O1088" s="230"/>
      <c r="R1088" s="230"/>
      <c r="S1088" s="230"/>
      <c r="T1088" s="230"/>
      <c r="U1088" s="230"/>
      <c r="V1088" s="230"/>
      <c r="W1088" s="230"/>
      <c r="X1088" s="230"/>
      <c r="Y1088" s="230"/>
      <c r="Z1088" s="230"/>
      <c r="AA1088" s="230"/>
      <c r="AB1088" s="230"/>
    </row>
    <row r="1089">
      <c r="O1089" s="230"/>
      <c r="R1089" s="230"/>
      <c r="S1089" s="230"/>
      <c r="T1089" s="230"/>
      <c r="U1089" s="230"/>
      <c r="V1089" s="230"/>
      <c r="W1089" s="230"/>
      <c r="X1089" s="230"/>
      <c r="Y1089" s="230"/>
      <c r="Z1089" s="230"/>
      <c r="AA1089" s="230"/>
      <c r="AB1089" s="230"/>
    </row>
    <row r="1090">
      <c r="O1090" s="230"/>
      <c r="R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</row>
    <row r="1091">
      <c r="O1091" s="230"/>
      <c r="R1091" s="230"/>
      <c r="S1091" s="230"/>
      <c r="T1091" s="230"/>
      <c r="U1091" s="230"/>
      <c r="V1091" s="230"/>
      <c r="W1091" s="230"/>
      <c r="X1091" s="230"/>
      <c r="Y1091" s="230"/>
      <c r="Z1091" s="230"/>
      <c r="AA1091" s="230"/>
      <c r="AB1091" s="230"/>
    </row>
    <row r="1092">
      <c r="O1092" s="230"/>
      <c r="R1092" s="230"/>
      <c r="S1092" s="230"/>
      <c r="T1092" s="230"/>
      <c r="U1092" s="230"/>
      <c r="V1092" s="230"/>
      <c r="W1092" s="230"/>
      <c r="X1092" s="230"/>
      <c r="Y1092" s="230"/>
      <c r="Z1092" s="230"/>
      <c r="AA1092" s="230"/>
      <c r="AB1092" s="230"/>
    </row>
    <row r="1093">
      <c r="O1093" s="230"/>
      <c r="R1093" s="230"/>
      <c r="S1093" s="230"/>
      <c r="T1093" s="230"/>
      <c r="U1093" s="230"/>
      <c r="V1093" s="230"/>
      <c r="W1093" s="230"/>
      <c r="X1093" s="230"/>
      <c r="Y1093" s="230"/>
      <c r="Z1093" s="230"/>
      <c r="AA1093" s="230"/>
      <c r="AB1093" s="230"/>
    </row>
    <row r="1094">
      <c r="O1094" s="230"/>
      <c r="R1094" s="230"/>
      <c r="S1094" s="230"/>
      <c r="T1094" s="230"/>
      <c r="U1094" s="230"/>
      <c r="V1094" s="230"/>
      <c r="W1094" s="230"/>
      <c r="X1094" s="230"/>
      <c r="Y1094" s="230"/>
      <c r="Z1094" s="230"/>
      <c r="AA1094" s="230"/>
      <c r="AB1094" s="230"/>
    </row>
    <row r="1095">
      <c r="O1095" s="230"/>
      <c r="R1095" s="230"/>
      <c r="S1095" s="230"/>
      <c r="T1095" s="230"/>
      <c r="U1095" s="230"/>
      <c r="V1095" s="230"/>
      <c r="W1095" s="230"/>
      <c r="X1095" s="230"/>
      <c r="Y1095" s="230"/>
      <c r="Z1095" s="230"/>
      <c r="AA1095" s="230"/>
      <c r="AB1095" s="230"/>
    </row>
    <row r="1096">
      <c r="O1096" s="230"/>
      <c r="R1096" s="230"/>
      <c r="S1096" s="230"/>
      <c r="T1096" s="230"/>
      <c r="U1096" s="230"/>
      <c r="V1096" s="230"/>
      <c r="W1096" s="230"/>
      <c r="X1096" s="230"/>
      <c r="Y1096" s="230"/>
      <c r="Z1096" s="230"/>
      <c r="AA1096" s="230"/>
      <c r="AB1096" s="230"/>
    </row>
    <row r="1097">
      <c r="O1097" s="230"/>
      <c r="R1097" s="230"/>
      <c r="S1097" s="230"/>
      <c r="T1097" s="230"/>
      <c r="U1097" s="230"/>
      <c r="V1097" s="230"/>
      <c r="W1097" s="230"/>
      <c r="X1097" s="230"/>
      <c r="Y1097" s="230"/>
      <c r="Z1097" s="230"/>
      <c r="AA1097" s="230"/>
      <c r="AB1097" s="230"/>
    </row>
    <row r="1098">
      <c r="O1098" s="230"/>
      <c r="R1098" s="230"/>
      <c r="S1098" s="230"/>
      <c r="T1098" s="230"/>
      <c r="U1098" s="230"/>
      <c r="V1098" s="230"/>
      <c r="W1098" s="230"/>
      <c r="X1098" s="230"/>
      <c r="Y1098" s="230"/>
      <c r="Z1098" s="230"/>
      <c r="AA1098" s="230"/>
      <c r="AB1098" s="230"/>
    </row>
    <row r="1099">
      <c r="O1099" s="230"/>
      <c r="R1099" s="230"/>
      <c r="S1099" s="230"/>
      <c r="T1099" s="230"/>
      <c r="U1099" s="230"/>
      <c r="V1099" s="230"/>
      <c r="W1099" s="230"/>
      <c r="X1099" s="230"/>
      <c r="Y1099" s="230"/>
      <c r="Z1099" s="230"/>
      <c r="AA1099" s="230"/>
      <c r="AB1099" s="230"/>
    </row>
    <row r="1100">
      <c r="O1100" s="230"/>
      <c r="R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</row>
    <row r="1101">
      <c r="O1101" s="230"/>
      <c r="R1101" s="230"/>
      <c r="S1101" s="230"/>
      <c r="T1101" s="230"/>
      <c r="U1101" s="230"/>
      <c r="V1101" s="230"/>
      <c r="W1101" s="230"/>
      <c r="X1101" s="230"/>
      <c r="Y1101" s="230"/>
      <c r="Z1101" s="230"/>
      <c r="AA1101" s="230"/>
      <c r="AB1101" s="230"/>
    </row>
    <row r="1102">
      <c r="O1102" s="230"/>
      <c r="R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</row>
    <row r="1103">
      <c r="O1103" s="230"/>
      <c r="R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</row>
    <row r="1104">
      <c r="O1104" s="230"/>
      <c r="R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</row>
    <row r="1105">
      <c r="O1105" s="230"/>
      <c r="R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</row>
    <row r="1106">
      <c r="O1106" s="230"/>
      <c r="R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</row>
    <row r="1107">
      <c r="O1107" s="230"/>
      <c r="R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</row>
    <row r="1108">
      <c r="O1108" s="230"/>
      <c r="R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</row>
    <row r="1109">
      <c r="O1109" s="230"/>
      <c r="R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</row>
    <row r="1110">
      <c r="O1110" s="230"/>
      <c r="R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</row>
    <row r="1111">
      <c r="O1111" s="230"/>
      <c r="R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</row>
    <row r="1112">
      <c r="O1112" s="230"/>
      <c r="R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</row>
    <row r="1113">
      <c r="O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</row>
    <row r="1114">
      <c r="O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</row>
    <row r="1115">
      <c r="O1115" s="230"/>
      <c r="R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</row>
    <row r="1116">
      <c r="O1116" s="230"/>
      <c r="R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</row>
    <row r="1117">
      <c r="O1117" s="230"/>
      <c r="R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</row>
    <row r="1118">
      <c r="O1118" s="230"/>
      <c r="R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</row>
    <row r="1119">
      <c r="O1119" s="230"/>
      <c r="R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</row>
    <row r="1120">
      <c r="O1120" s="230"/>
      <c r="R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</row>
    <row r="1121">
      <c r="O1121" s="230"/>
      <c r="R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</row>
    <row r="1122">
      <c r="O1122" s="230"/>
      <c r="R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</row>
    <row r="1123">
      <c r="O1123" s="230"/>
      <c r="R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</row>
    <row r="1124">
      <c r="O1124" s="230"/>
      <c r="R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</row>
    <row r="1125">
      <c r="O1125" s="230"/>
      <c r="R1125" s="230"/>
      <c r="S1125" s="230"/>
      <c r="T1125" s="230"/>
      <c r="U1125" s="230"/>
      <c r="V1125" s="230"/>
      <c r="W1125" s="230"/>
      <c r="X1125" s="230"/>
      <c r="Y1125" s="230"/>
      <c r="Z1125" s="230"/>
      <c r="AA1125" s="230"/>
      <c r="AB1125" s="230"/>
    </row>
    <row r="1126">
      <c r="O1126" s="230"/>
      <c r="R1126" s="230"/>
      <c r="S1126" s="230"/>
      <c r="T1126" s="230"/>
      <c r="U1126" s="230"/>
      <c r="V1126" s="230"/>
      <c r="W1126" s="230"/>
      <c r="X1126" s="230"/>
      <c r="Y1126" s="230"/>
      <c r="Z1126" s="230"/>
      <c r="AA1126" s="230"/>
      <c r="AB1126" s="230"/>
    </row>
    <row r="1127">
      <c r="O1127" s="230"/>
      <c r="R1127" s="230"/>
      <c r="S1127" s="230"/>
      <c r="T1127" s="230"/>
      <c r="U1127" s="230"/>
      <c r="V1127" s="230"/>
      <c r="W1127" s="230"/>
      <c r="X1127" s="230"/>
      <c r="Y1127" s="230"/>
      <c r="Z1127" s="230"/>
      <c r="AA1127" s="230"/>
      <c r="AB1127" s="230"/>
    </row>
    <row r="1128">
      <c r="O1128" s="230"/>
      <c r="R1128" s="230"/>
      <c r="S1128" s="230"/>
      <c r="T1128" s="230"/>
      <c r="U1128" s="230"/>
      <c r="V1128" s="230"/>
      <c r="W1128" s="230"/>
      <c r="X1128" s="230"/>
      <c r="Y1128" s="230"/>
      <c r="Z1128" s="230"/>
      <c r="AA1128" s="230"/>
      <c r="AB1128" s="230"/>
    </row>
    <row r="1129">
      <c r="O1129" s="230"/>
      <c r="R1129" s="230"/>
      <c r="S1129" s="230"/>
      <c r="T1129" s="230"/>
      <c r="U1129" s="230"/>
      <c r="V1129" s="230"/>
      <c r="W1129" s="230"/>
      <c r="X1129" s="230"/>
      <c r="Y1129" s="230"/>
      <c r="Z1129" s="230"/>
      <c r="AA1129" s="230"/>
      <c r="AB1129" s="230"/>
    </row>
    <row r="1130">
      <c r="O1130" s="230"/>
      <c r="R1130" s="230"/>
      <c r="S1130" s="230"/>
      <c r="T1130" s="230"/>
      <c r="U1130" s="230"/>
      <c r="V1130" s="230"/>
      <c r="W1130" s="230"/>
      <c r="X1130" s="230"/>
      <c r="Y1130" s="230"/>
      <c r="Z1130" s="230"/>
      <c r="AA1130" s="230"/>
      <c r="AB1130" s="230"/>
    </row>
    <row r="1131">
      <c r="O1131" s="230"/>
      <c r="R1131" s="230"/>
      <c r="S1131" s="230"/>
      <c r="T1131" s="230"/>
      <c r="U1131" s="230"/>
      <c r="V1131" s="230"/>
      <c r="W1131" s="230"/>
      <c r="X1131" s="230"/>
      <c r="Y1131" s="230"/>
      <c r="Z1131" s="230"/>
      <c r="AA1131" s="230"/>
      <c r="AB1131" s="230"/>
    </row>
    <row r="1132">
      <c r="O1132" s="230"/>
      <c r="R1132" s="230"/>
      <c r="S1132" s="230"/>
      <c r="T1132" s="230"/>
      <c r="U1132" s="230"/>
      <c r="V1132" s="230"/>
      <c r="W1132" s="230"/>
      <c r="X1132" s="230"/>
      <c r="Y1132" s="230"/>
      <c r="Z1132" s="230"/>
      <c r="AA1132" s="230"/>
      <c r="AB1132" s="230"/>
    </row>
    <row r="1133">
      <c r="O1133" s="230"/>
      <c r="R1133" s="230"/>
      <c r="S1133" s="230"/>
      <c r="T1133" s="230"/>
      <c r="U1133" s="230"/>
      <c r="V1133" s="230"/>
      <c r="W1133" s="230"/>
      <c r="X1133" s="230"/>
      <c r="Y1133" s="230"/>
      <c r="Z1133" s="230"/>
      <c r="AA1133" s="230"/>
      <c r="AB1133" s="230"/>
    </row>
    <row r="1134">
      <c r="O1134" s="230"/>
      <c r="R1134" s="230"/>
      <c r="S1134" s="230"/>
      <c r="T1134" s="230"/>
      <c r="U1134" s="230"/>
      <c r="V1134" s="230"/>
      <c r="W1134" s="230"/>
      <c r="X1134" s="230"/>
      <c r="Y1134" s="230"/>
      <c r="Z1134" s="230"/>
      <c r="AA1134" s="230"/>
      <c r="AB1134" s="230"/>
    </row>
    <row r="1135">
      <c r="O1135" s="230"/>
      <c r="R1135" s="230"/>
      <c r="S1135" s="230"/>
      <c r="T1135" s="230"/>
      <c r="U1135" s="230"/>
      <c r="V1135" s="230"/>
      <c r="W1135" s="230"/>
      <c r="X1135" s="230"/>
      <c r="Y1135" s="230"/>
      <c r="Z1135" s="230"/>
      <c r="AA1135" s="230"/>
      <c r="AB1135" s="230"/>
    </row>
    <row r="1136">
      <c r="O1136" s="230"/>
      <c r="R1136" s="230"/>
      <c r="S1136" s="230"/>
      <c r="T1136" s="230"/>
      <c r="U1136" s="230"/>
      <c r="V1136" s="230"/>
      <c r="W1136" s="230"/>
      <c r="X1136" s="230"/>
      <c r="Y1136" s="230"/>
      <c r="Z1136" s="230"/>
      <c r="AA1136" s="230"/>
      <c r="AB1136" s="230"/>
    </row>
    <row r="1137">
      <c r="O1137" s="230"/>
      <c r="R1137" s="230"/>
      <c r="S1137" s="230"/>
      <c r="T1137" s="230"/>
      <c r="U1137" s="230"/>
      <c r="V1137" s="230"/>
      <c r="W1137" s="230"/>
      <c r="X1137" s="230"/>
      <c r="Y1137" s="230"/>
      <c r="Z1137" s="230"/>
      <c r="AA1137" s="230"/>
      <c r="AB1137" s="230"/>
    </row>
    <row r="1138">
      <c r="O1138" s="230"/>
      <c r="R1138" s="230"/>
      <c r="S1138" s="230"/>
      <c r="T1138" s="230"/>
      <c r="U1138" s="230"/>
      <c r="V1138" s="230"/>
      <c r="W1138" s="230"/>
      <c r="X1138" s="230"/>
      <c r="Y1138" s="230"/>
      <c r="Z1138" s="230"/>
      <c r="AA1138" s="230"/>
      <c r="AB1138" s="230"/>
    </row>
    <row r="1139">
      <c r="O1139" s="230"/>
      <c r="R1139" s="230"/>
      <c r="S1139" s="230"/>
      <c r="T1139" s="230"/>
      <c r="U1139" s="230"/>
      <c r="V1139" s="230"/>
      <c r="W1139" s="230"/>
      <c r="X1139" s="230"/>
      <c r="Y1139" s="230"/>
      <c r="Z1139" s="230"/>
      <c r="AA1139" s="230"/>
      <c r="AB1139" s="230"/>
    </row>
    <row r="1140">
      <c r="O1140" s="230"/>
      <c r="R1140" s="230"/>
      <c r="S1140" s="230"/>
      <c r="T1140" s="230"/>
      <c r="U1140" s="230"/>
      <c r="V1140" s="230"/>
      <c r="W1140" s="230"/>
      <c r="X1140" s="230"/>
      <c r="Y1140" s="230"/>
      <c r="Z1140" s="230"/>
      <c r="AA1140" s="230"/>
      <c r="AB1140" s="230"/>
    </row>
    <row r="1141">
      <c r="O1141" s="230"/>
      <c r="R1141" s="230"/>
      <c r="S1141" s="230"/>
      <c r="T1141" s="230"/>
      <c r="U1141" s="230"/>
      <c r="V1141" s="230"/>
      <c r="W1141" s="230"/>
      <c r="X1141" s="230"/>
      <c r="Y1141" s="230"/>
      <c r="Z1141" s="230"/>
      <c r="AA1141" s="230"/>
      <c r="AB1141" s="230"/>
    </row>
    <row r="1142">
      <c r="O1142" s="230"/>
      <c r="R1142" s="230"/>
      <c r="S1142" s="230"/>
      <c r="T1142" s="230"/>
      <c r="U1142" s="230"/>
      <c r="V1142" s="230"/>
      <c r="W1142" s="230"/>
      <c r="X1142" s="230"/>
      <c r="Y1142" s="230"/>
      <c r="Z1142" s="230"/>
      <c r="AA1142" s="230"/>
      <c r="AB1142" s="230"/>
    </row>
    <row r="1143">
      <c r="O1143" s="230"/>
      <c r="R1143" s="230"/>
      <c r="S1143" s="230"/>
      <c r="T1143" s="230"/>
      <c r="U1143" s="230"/>
      <c r="V1143" s="230"/>
      <c r="W1143" s="230"/>
      <c r="X1143" s="230"/>
      <c r="Y1143" s="230"/>
      <c r="Z1143" s="230"/>
      <c r="AA1143" s="230"/>
      <c r="AB1143" s="230"/>
    </row>
    <row r="1144">
      <c r="O1144" s="230"/>
      <c r="R1144" s="230"/>
      <c r="S1144" s="230"/>
      <c r="T1144" s="230"/>
      <c r="U1144" s="230"/>
      <c r="V1144" s="230"/>
      <c r="W1144" s="230"/>
      <c r="X1144" s="230"/>
      <c r="Y1144" s="230"/>
      <c r="Z1144" s="230"/>
      <c r="AA1144" s="230"/>
      <c r="AB1144" s="230"/>
    </row>
    <row r="1145">
      <c r="O1145" s="230"/>
      <c r="R1145" s="230"/>
      <c r="S1145" s="230"/>
      <c r="T1145" s="230"/>
      <c r="U1145" s="230"/>
      <c r="V1145" s="230"/>
      <c r="W1145" s="230"/>
      <c r="X1145" s="230"/>
      <c r="Y1145" s="230"/>
      <c r="Z1145" s="230"/>
      <c r="AA1145" s="230"/>
      <c r="AB1145" s="230"/>
    </row>
    <row r="1146">
      <c r="O1146" s="230"/>
      <c r="R1146" s="230"/>
      <c r="S1146" s="230"/>
      <c r="T1146" s="230"/>
      <c r="U1146" s="230"/>
      <c r="V1146" s="230"/>
      <c r="W1146" s="230"/>
      <c r="X1146" s="230"/>
      <c r="Y1146" s="230"/>
      <c r="Z1146" s="230"/>
      <c r="AA1146" s="230"/>
      <c r="AB1146" s="230"/>
    </row>
    <row r="1147">
      <c r="O1147" s="230"/>
      <c r="R1147" s="230"/>
      <c r="S1147" s="230"/>
      <c r="T1147" s="230"/>
      <c r="U1147" s="230"/>
      <c r="V1147" s="230"/>
      <c r="W1147" s="230"/>
      <c r="X1147" s="230"/>
      <c r="Y1147" s="230"/>
      <c r="Z1147" s="230"/>
      <c r="AA1147" s="230"/>
      <c r="AB1147" s="230"/>
    </row>
    <row r="1148">
      <c r="O1148" s="230"/>
      <c r="R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30"/>
    </row>
    <row r="1149">
      <c r="O1149" s="230"/>
      <c r="R1149" s="230"/>
      <c r="S1149" s="230"/>
      <c r="T1149" s="230"/>
      <c r="U1149" s="230"/>
      <c r="V1149" s="230"/>
      <c r="W1149" s="230"/>
      <c r="X1149" s="230"/>
      <c r="Y1149" s="230"/>
      <c r="Z1149" s="230"/>
      <c r="AA1149" s="230"/>
      <c r="AB1149" s="230"/>
    </row>
    <row r="1150">
      <c r="O1150" s="230"/>
      <c r="R1150" s="230"/>
      <c r="S1150" s="230"/>
      <c r="T1150" s="230"/>
      <c r="U1150" s="230"/>
      <c r="V1150" s="230"/>
      <c r="W1150" s="230"/>
      <c r="X1150" s="230"/>
      <c r="Y1150" s="230"/>
      <c r="Z1150" s="230"/>
      <c r="AA1150" s="230"/>
      <c r="AB1150" s="230"/>
    </row>
    <row r="1151">
      <c r="O1151" s="230"/>
      <c r="R1151" s="230"/>
      <c r="S1151" s="230"/>
      <c r="T1151" s="230"/>
      <c r="U1151" s="230"/>
      <c r="V1151" s="230"/>
      <c r="W1151" s="230"/>
      <c r="X1151" s="230"/>
      <c r="Y1151" s="230"/>
      <c r="Z1151" s="230"/>
      <c r="AA1151" s="230"/>
      <c r="AB1151" s="230"/>
    </row>
    <row r="1152">
      <c r="O1152" s="230"/>
      <c r="R1152" s="230"/>
      <c r="S1152" s="230"/>
      <c r="T1152" s="230"/>
      <c r="U1152" s="230"/>
      <c r="V1152" s="230"/>
      <c r="W1152" s="230"/>
      <c r="X1152" s="230"/>
      <c r="Y1152" s="230"/>
      <c r="Z1152" s="230"/>
      <c r="AA1152" s="230"/>
      <c r="AB1152" s="230"/>
    </row>
    <row r="1153">
      <c r="O1153" s="230"/>
      <c r="R1153" s="230"/>
      <c r="S1153" s="230"/>
      <c r="T1153" s="230"/>
      <c r="U1153" s="230"/>
      <c r="V1153" s="230"/>
      <c r="W1153" s="230"/>
      <c r="X1153" s="230"/>
      <c r="Y1153" s="230"/>
      <c r="Z1153" s="230"/>
      <c r="AA1153" s="230"/>
      <c r="AB1153" s="230"/>
    </row>
    <row r="1154">
      <c r="O1154" s="230"/>
      <c r="R1154" s="230"/>
      <c r="S1154" s="230"/>
      <c r="T1154" s="230"/>
      <c r="U1154" s="230"/>
      <c r="V1154" s="230"/>
      <c r="W1154" s="230"/>
      <c r="X1154" s="230"/>
      <c r="Y1154" s="230"/>
      <c r="Z1154" s="230"/>
      <c r="AA1154" s="230"/>
      <c r="AB1154" s="230"/>
    </row>
    <row r="1155">
      <c r="O1155" s="230"/>
      <c r="R1155" s="230"/>
      <c r="S1155" s="230"/>
      <c r="T1155" s="230"/>
      <c r="U1155" s="230"/>
      <c r="V1155" s="230"/>
      <c r="W1155" s="230"/>
      <c r="X1155" s="230"/>
      <c r="Y1155" s="230"/>
      <c r="Z1155" s="230"/>
      <c r="AA1155" s="230"/>
      <c r="AB1155" s="230"/>
    </row>
    <row r="1156">
      <c r="O1156" s="230"/>
      <c r="R1156" s="230"/>
      <c r="S1156" s="230"/>
      <c r="T1156" s="230"/>
      <c r="U1156" s="230"/>
      <c r="V1156" s="230"/>
      <c r="W1156" s="230"/>
      <c r="X1156" s="230"/>
      <c r="Y1156" s="230"/>
      <c r="Z1156" s="230"/>
      <c r="AA1156" s="230"/>
      <c r="AB1156" s="230"/>
    </row>
    <row r="1157">
      <c r="O1157" s="230"/>
      <c r="R1157" s="230"/>
      <c r="S1157" s="230"/>
      <c r="T1157" s="230"/>
      <c r="U1157" s="230"/>
      <c r="V1157" s="230"/>
      <c r="W1157" s="230"/>
      <c r="X1157" s="230"/>
      <c r="Y1157" s="230"/>
      <c r="Z1157" s="230"/>
      <c r="AA1157" s="230"/>
      <c r="AB1157" s="230"/>
    </row>
    <row r="1158">
      <c r="O1158" s="230"/>
      <c r="R1158" s="230"/>
      <c r="S1158" s="230"/>
      <c r="T1158" s="230"/>
      <c r="U1158" s="230"/>
      <c r="V1158" s="230"/>
      <c r="W1158" s="230"/>
      <c r="X1158" s="230"/>
      <c r="Y1158" s="230"/>
      <c r="Z1158" s="230"/>
      <c r="AA1158" s="230"/>
      <c r="AB1158" s="230"/>
    </row>
    <row r="1159">
      <c r="O1159" s="230"/>
      <c r="R1159" s="230"/>
      <c r="S1159" s="230"/>
      <c r="T1159" s="230"/>
      <c r="U1159" s="230"/>
      <c r="V1159" s="230"/>
      <c r="W1159" s="230"/>
      <c r="X1159" s="230"/>
      <c r="Y1159" s="230"/>
      <c r="Z1159" s="230"/>
      <c r="AA1159" s="230"/>
      <c r="AB1159" s="230"/>
    </row>
    <row r="1160">
      <c r="O1160" s="230"/>
      <c r="R1160" s="230"/>
      <c r="S1160" s="230"/>
      <c r="T1160" s="230"/>
      <c r="U1160" s="230"/>
      <c r="V1160" s="230"/>
      <c r="W1160" s="230"/>
      <c r="X1160" s="230"/>
      <c r="Y1160" s="230"/>
      <c r="Z1160" s="230"/>
      <c r="AA1160" s="230"/>
      <c r="AB1160" s="230"/>
    </row>
    <row r="1161">
      <c r="O1161" s="230"/>
      <c r="R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</row>
    <row r="1162">
      <c r="O1162" s="230"/>
      <c r="R1162" s="230"/>
      <c r="S1162" s="230"/>
      <c r="T1162" s="230"/>
      <c r="U1162" s="230"/>
      <c r="V1162" s="230"/>
      <c r="W1162" s="230"/>
      <c r="X1162" s="230"/>
      <c r="Y1162" s="230"/>
      <c r="Z1162" s="230"/>
      <c r="AA1162" s="230"/>
      <c r="AB1162" s="230"/>
    </row>
    <row r="1163">
      <c r="O1163" s="230"/>
      <c r="R1163" s="230"/>
      <c r="S1163" s="230"/>
      <c r="T1163" s="230"/>
      <c r="U1163" s="230"/>
      <c r="V1163" s="230"/>
      <c r="W1163" s="230"/>
      <c r="X1163" s="230"/>
      <c r="Y1163" s="230"/>
      <c r="Z1163" s="230"/>
      <c r="AA1163" s="230"/>
      <c r="AB1163" s="230"/>
    </row>
    <row r="1164">
      <c r="O1164" s="230"/>
      <c r="R1164" s="230"/>
      <c r="S1164" s="230"/>
      <c r="T1164" s="230"/>
      <c r="U1164" s="230"/>
      <c r="V1164" s="230"/>
      <c r="W1164" s="230"/>
      <c r="X1164" s="230"/>
      <c r="Y1164" s="230"/>
      <c r="Z1164" s="230"/>
      <c r="AA1164" s="230"/>
      <c r="AB1164" s="230"/>
    </row>
    <row r="1165">
      <c r="O1165" s="230"/>
      <c r="R1165" s="230"/>
      <c r="S1165" s="230"/>
      <c r="T1165" s="230"/>
      <c r="U1165" s="230"/>
      <c r="V1165" s="230"/>
      <c r="W1165" s="230"/>
      <c r="X1165" s="230"/>
      <c r="Y1165" s="230"/>
      <c r="Z1165" s="230"/>
      <c r="AA1165" s="230"/>
      <c r="AB1165" s="230"/>
    </row>
    <row r="1166">
      <c r="O1166" s="230"/>
      <c r="R1166" s="230"/>
      <c r="S1166" s="230"/>
      <c r="T1166" s="230"/>
      <c r="U1166" s="230"/>
      <c r="V1166" s="230"/>
      <c r="W1166" s="230"/>
      <c r="X1166" s="230"/>
      <c r="Y1166" s="230"/>
      <c r="Z1166" s="230"/>
      <c r="AA1166" s="230"/>
      <c r="AB1166" s="230"/>
    </row>
    <row r="1167">
      <c r="O1167" s="230"/>
      <c r="R1167" s="230"/>
      <c r="S1167" s="230"/>
      <c r="T1167" s="230"/>
      <c r="U1167" s="230"/>
      <c r="V1167" s="230"/>
      <c r="W1167" s="230"/>
      <c r="X1167" s="230"/>
      <c r="Y1167" s="230"/>
      <c r="Z1167" s="230"/>
      <c r="AA1167" s="230"/>
      <c r="AB1167" s="230"/>
    </row>
    <row r="1168">
      <c r="O1168" s="230"/>
      <c r="R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30"/>
    </row>
    <row r="1169">
      <c r="O1169" s="230"/>
      <c r="R1169" s="230"/>
      <c r="S1169" s="230"/>
      <c r="T1169" s="230"/>
      <c r="U1169" s="230"/>
      <c r="V1169" s="230"/>
      <c r="W1169" s="230"/>
      <c r="X1169" s="230"/>
      <c r="Y1169" s="230"/>
      <c r="Z1169" s="230"/>
      <c r="AA1169" s="230"/>
      <c r="AB1169" s="230"/>
    </row>
    <row r="1170">
      <c r="O1170" s="230"/>
      <c r="R1170" s="230"/>
      <c r="S1170" s="230"/>
      <c r="T1170" s="230"/>
      <c r="U1170" s="230"/>
      <c r="V1170" s="230"/>
      <c r="W1170" s="230"/>
      <c r="X1170" s="230"/>
      <c r="Y1170" s="230"/>
      <c r="Z1170" s="230"/>
      <c r="AA1170" s="230"/>
      <c r="AB1170" s="230"/>
    </row>
    <row r="1171">
      <c r="O1171" s="230"/>
      <c r="R1171" s="230"/>
      <c r="S1171" s="230"/>
      <c r="T1171" s="230"/>
      <c r="U1171" s="230"/>
      <c r="V1171" s="230"/>
      <c r="W1171" s="230"/>
      <c r="X1171" s="230"/>
      <c r="Y1171" s="230"/>
      <c r="Z1171" s="230"/>
      <c r="AA1171" s="230"/>
      <c r="AB1171" s="230"/>
    </row>
    <row r="1172">
      <c r="O1172" s="230"/>
      <c r="R1172" s="230"/>
      <c r="S1172" s="230"/>
      <c r="T1172" s="230"/>
      <c r="U1172" s="230"/>
      <c r="V1172" s="230"/>
      <c r="W1172" s="230"/>
      <c r="X1172" s="230"/>
      <c r="Y1172" s="230"/>
      <c r="Z1172" s="230"/>
      <c r="AA1172" s="230"/>
      <c r="AB1172" s="230"/>
    </row>
    <row r="1173">
      <c r="O1173" s="230"/>
      <c r="R1173" s="230"/>
      <c r="S1173" s="230"/>
      <c r="T1173" s="230"/>
      <c r="U1173" s="230"/>
      <c r="V1173" s="230"/>
      <c r="W1173" s="230"/>
      <c r="X1173" s="230"/>
      <c r="Y1173" s="230"/>
      <c r="Z1173" s="230"/>
      <c r="AA1173" s="230"/>
      <c r="AB1173" s="230"/>
    </row>
    <row r="1174">
      <c r="O1174" s="230"/>
      <c r="R1174" s="230"/>
      <c r="S1174" s="230"/>
      <c r="T1174" s="230"/>
      <c r="U1174" s="230"/>
      <c r="V1174" s="230"/>
      <c r="W1174" s="230"/>
      <c r="X1174" s="230"/>
      <c r="Y1174" s="230"/>
      <c r="Z1174" s="230"/>
      <c r="AA1174" s="230"/>
      <c r="AB1174" s="230"/>
    </row>
    <row r="1175">
      <c r="O1175" s="230"/>
      <c r="R1175" s="230"/>
      <c r="S1175" s="230"/>
      <c r="T1175" s="230"/>
      <c r="U1175" s="230"/>
      <c r="V1175" s="230"/>
      <c r="W1175" s="230"/>
      <c r="X1175" s="230"/>
      <c r="Y1175" s="230"/>
      <c r="Z1175" s="230"/>
      <c r="AA1175" s="230"/>
      <c r="AB1175" s="230"/>
    </row>
    <row r="1176">
      <c r="O1176" s="230"/>
      <c r="R1176" s="230"/>
      <c r="S1176" s="230"/>
      <c r="T1176" s="230"/>
      <c r="U1176" s="230"/>
      <c r="V1176" s="230"/>
      <c r="W1176" s="230"/>
      <c r="X1176" s="230"/>
      <c r="Y1176" s="230"/>
      <c r="Z1176" s="230"/>
      <c r="AA1176" s="230"/>
      <c r="AB1176" s="230"/>
    </row>
    <row r="1177">
      <c r="O1177" s="230"/>
      <c r="R1177" s="230"/>
      <c r="S1177" s="230"/>
      <c r="T1177" s="230"/>
      <c r="U1177" s="230"/>
      <c r="V1177" s="230"/>
      <c r="W1177" s="230"/>
      <c r="X1177" s="230"/>
      <c r="Y1177" s="230"/>
      <c r="Z1177" s="230"/>
      <c r="AA1177" s="230"/>
      <c r="AB1177" s="230"/>
    </row>
    <row r="1178">
      <c r="O1178" s="230"/>
      <c r="R1178" s="230"/>
      <c r="S1178" s="230"/>
      <c r="T1178" s="230"/>
      <c r="U1178" s="230"/>
      <c r="V1178" s="230"/>
      <c r="W1178" s="230"/>
      <c r="X1178" s="230"/>
      <c r="Y1178" s="230"/>
      <c r="Z1178" s="230"/>
      <c r="AA1178" s="230"/>
      <c r="AB1178" s="230"/>
    </row>
    <row r="1179">
      <c r="O1179" s="230"/>
      <c r="R1179" s="230"/>
      <c r="S1179" s="230"/>
      <c r="T1179" s="230"/>
      <c r="U1179" s="230"/>
      <c r="V1179" s="230"/>
      <c r="W1179" s="230"/>
      <c r="X1179" s="230"/>
      <c r="Y1179" s="230"/>
      <c r="Z1179" s="230"/>
      <c r="AA1179" s="230"/>
      <c r="AB1179" s="230"/>
    </row>
    <row r="1180">
      <c r="O1180" s="230"/>
      <c r="R1180" s="230"/>
      <c r="S1180" s="230"/>
      <c r="T1180" s="230"/>
      <c r="U1180" s="230"/>
      <c r="V1180" s="230"/>
      <c r="W1180" s="230"/>
      <c r="X1180" s="230"/>
      <c r="Y1180" s="230"/>
      <c r="Z1180" s="230"/>
      <c r="AA1180" s="230"/>
      <c r="AB1180" s="230"/>
    </row>
    <row r="1181">
      <c r="O1181" s="230"/>
      <c r="R1181" s="230"/>
      <c r="S1181" s="230"/>
      <c r="T1181" s="230"/>
      <c r="U1181" s="230"/>
      <c r="V1181" s="230"/>
      <c r="W1181" s="230"/>
      <c r="X1181" s="230"/>
      <c r="Y1181" s="230"/>
      <c r="Z1181" s="230"/>
      <c r="AA1181" s="230"/>
      <c r="AB1181" s="230"/>
    </row>
    <row r="1182">
      <c r="O1182" s="230"/>
      <c r="R1182" s="230"/>
      <c r="S1182" s="230"/>
      <c r="T1182" s="230"/>
      <c r="U1182" s="230"/>
      <c r="V1182" s="230"/>
      <c r="W1182" s="230"/>
      <c r="X1182" s="230"/>
      <c r="Y1182" s="230"/>
      <c r="Z1182" s="230"/>
      <c r="AA1182" s="230"/>
      <c r="AB1182" s="230"/>
    </row>
    <row r="1183">
      <c r="O1183" s="230"/>
      <c r="R1183" s="230"/>
      <c r="S1183" s="230"/>
      <c r="T1183" s="230"/>
      <c r="U1183" s="230"/>
      <c r="V1183" s="230"/>
      <c r="W1183" s="230"/>
      <c r="X1183" s="230"/>
      <c r="Y1183" s="230"/>
      <c r="Z1183" s="230"/>
      <c r="AA1183" s="230"/>
      <c r="AB1183" s="230"/>
    </row>
    <row r="1184">
      <c r="O1184" s="230"/>
      <c r="R1184" s="230"/>
      <c r="S1184" s="230"/>
      <c r="T1184" s="230"/>
      <c r="U1184" s="230"/>
      <c r="V1184" s="230"/>
      <c r="W1184" s="230"/>
      <c r="X1184" s="230"/>
      <c r="Y1184" s="230"/>
      <c r="Z1184" s="230"/>
      <c r="AA1184" s="230"/>
      <c r="AB1184" s="230"/>
    </row>
    <row r="1185">
      <c r="O1185" s="230"/>
      <c r="R1185" s="230"/>
      <c r="S1185" s="230"/>
      <c r="T1185" s="230"/>
      <c r="U1185" s="230"/>
      <c r="V1185" s="230"/>
      <c r="W1185" s="230"/>
      <c r="X1185" s="230"/>
      <c r="Y1185" s="230"/>
      <c r="Z1185" s="230"/>
      <c r="AA1185" s="230"/>
      <c r="AB1185" s="230"/>
    </row>
    <row r="1186">
      <c r="O1186" s="230"/>
      <c r="R1186" s="230"/>
      <c r="S1186" s="230"/>
      <c r="T1186" s="230"/>
      <c r="U1186" s="230"/>
      <c r="V1186" s="230"/>
      <c r="W1186" s="230"/>
      <c r="X1186" s="230"/>
      <c r="Y1186" s="230"/>
      <c r="Z1186" s="230"/>
      <c r="AA1186" s="230"/>
      <c r="AB1186" s="230"/>
    </row>
    <row r="1187">
      <c r="O1187" s="230"/>
      <c r="R1187" s="230"/>
      <c r="S1187" s="230"/>
      <c r="T1187" s="230"/>
      <c r="U1187" s="230"/>
      <c r="V1187" s="230"/>
      <c r="W1187" s="230"/>
      <c r="X1187" s="230"/>
      <c r="Y1187" s="230"/>
      <c r="Z1187" s="230"/>
      <c r="AA1187" s="230"/>
      <c r="AB1187" s="230"/>
    </row>
    <row r="1188">
      <c r="O1188" s="230"/>
      <c r="R1188" s="230"/>
      <c r="S1188" s="230"/>
      <c r="T1188" s="230"/>
      <c r="U1188" s="230"/>
      <c r="V1188" s="230"/>
      <c r="W1188" s="230"/>
      <c r="X1188" s="230"/>
      <c r="Y1188" s="230"/>
      <c r="Z1188" s="230"/>
      <c r="AA1188" s="230"/>
      <c r="AB1188" s="230"/>
    </row>
    <row r="1189">
      <c r="O1189" s="230"/>
      <c r="R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30"/>
    </row>
    <row r="1190">
      <c r="O1190" s="230"/>
      <c r="R1190" s="230"/>
      <c r="S1190" s="230"/>
      <c r="T1190" s="230"/>
      <c r="U1190" s="230"/>
      <c r="V1190" s="230"/>
      <c r="W1190" s="230"/>
      <c r="X1190" s="230"/>
      <c r="Y1190" s="230"/>
      <c r="Z1190" s="230"/>
      <c r="AA1190" s="230"/>
      <c r="AB1190" s="230"/>
    </row>
    <row r="1191">
      <c r="O1191" s="230"/>
      <c r="R1191" s="230"/>
      <c r="S1191" s="230"/>
      <c r="T1191" s="230"/>
      <c r="U1191" s="230"/>
      <c r="V1191" s="230"/>
      <c r="W1191" s="230"/>
      <c r="X1191" s="230"/>
      <c r="Y1191" s="230"/>
      <c r="Z1191" s="230"/>
      <c r="AA1191" s="230"/>
      <c r="AB1191" s="230"/>
    </row>
    <row r="1192">
      <c r="O1192" s="230"/>
      <c r="R1192" s="230"/>
      <c r="S1192" s="230"/>
      <c r="T1192" s="230"/>
      <c r="U1192" s="230"/>
      <c r="V1192" s="230"/>
      <c r="W1192" s="230"/>
      <c r="X1192" s="230"/>
      <c r="Y1192" s="230"/>
      <c r="Z1192" s="230"/>
      <c r="AA1192" s="230"/>
      <c r="AB1192" s="230"/>
    </row>
    <row r="1193">
      <c r="O1193" s="230"/>
      <c r="R1193" s="230"/>
      <c r="S1193" s="230"/>
      <c r="T1193" s="230"/>
      <c r="U1193" s="230"/>
      <c r="V1193" s="230"/>
      <c r="W1193" s="230"/>
      <c r="X1193" s="230"/>
      <c r="Y1193" s="230"/>
      <c r="Z1193" s="230"/>
      <c r="AA1193" s="230"/>
      <c r="AB1193" s="230"/>
    </row>
    <row r="1194">
      <c r="O1194" s="230"/>
      <c r="R1194" s="230"/>
      <c r="S1194" s="230"/>
      <c r="T1194" s="230"/>
      <c r="U1194" s="230"/>
      <c r="V1194" s="230"/>
      <c r="W1194" s="230"/>
      <c r="X1194" s="230"/>
      <c r="Y1194" s="230"/>
      <c r="Z1194" s="230"/>
      <c r="AA1194" s="230"/>
      <c r="AB1194" s="230"/>
    </row>
    <row r="1195">
      <c r="O1195" s="230"/>
      <c r="R1195" s="230"/>
      <c r="S1195" s="230"/>
      <c r="T1195" s="230"/>
      <c r="U1195" s="230"/>
      <c r="V1195" s="230"/>
      <c r="W1195" s="230"/>
      <c r="X1195" s="230"/>
      <c r="Y1195" s="230"/>
      <c r="Z1195" s="230"/>
      <c r="AA1195" s="230"/>
      <c r="AB1195" s="230"/>
    </row>
    <row r="1196">
      <c r="O1196" s="230"/>
      <c r="R1196" s="230"/>
      <c r="S1196" s="230"/>
      <c r="T1196" s="230"/>
      <c r="U1196" s="230"/>
      <c r="V1196" s="230"/>
      <c r="W1196" s="230"/>
      <c r="X1196" s="230"/>
      <c r="Y1196" s="230"/>
      <c r="Z1196" s="230"/>
      <c r="AA1196" s="230"/>
      <c r="AB1196" s="230"/>
    </row>
    <row r="1197">
      <c r="O1197" s="230"/>
      <c r="R1197" s="230"/>
      <c r="S1197" s="230"/>
      <c r="T1197" s="230"/>
      <c r="U1197" s="230"/>
      <c r="V1197" s="230"/>
      <c r="W1197" s="230"/>
      <c r="X1197" s="230"/>
      <c r="Y1197" s="230"/>
      <c r="Z1197" s="230"/>
      <c r="AA1197" s="230"/>
      <c r="AB1197" s="230"/>
    </row>
    <row r="1198">
      <c r="O1198" s="230"/>
      <c r="R1198" s="230"/>
      <c r="S1198" s="230"/>
      <c r="T1198" s="230"/>
      <c r="U1198" s="230"/>
      <c r="V1198" s="230"/>
      <c r="W1198" s="230"/>
      <c r="X1198" s="230"/>
      <c r="Y1198" s="230"/>
      <c r="Z1198" s="230"/>
      <c r="AA1198" s="230"/>
      <c r="AB1198" s="230"/>
    </row>
    <row r="1199">
      <c r="O1199" s="230"/>
      <c r="R1199" s="230"/>
      <c r="S1199" s="230"/>
      <c r="T1199" s="230"/>
      <c r="U1199" s="230"/>
      <c r="V1199" s="230"/>
      <c r="W1199" s="230"/>
      <c r="X1199" s="230"/>
      <c r="Y1199" s="230"/>
      <c r="Z1199" s="230"/>
      <c r="AA1199" s="230"/>
      <c r="AB1199" s="230"/>
    </row>
    <row r="1200">
      <c r="O1200" s="230"/>
      <c r="R1200" s="230"/>
      <c r="S1200" s="230"/>
      <c r="T1200" s="230"/>
      <c r="U1200" s="230"/>
      <c r="V1200" s="230"/>
      <c r="W1200" s="230"/>
      <c r="X1200" s="230"/>
      <c r="Y1200" s="230"/>
      <c r="Z1200" s="230"/>
      <c r="AA1200" s="230"/>
      <c r="AB1200" s="230"/>
    </row>
    <row r="1201">
      <c r="O1201" s="230"/>
      <c r="R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</row>
    <row r="1202">
      <c r="O1202" s="230"/>
      <c r="R1202" s="230"/>
      <c r="S1202" s="230"/>
      <c r="T1202" s="230"/>
      <c r="U1202" s="230"/>
      <c r="V1202" s="230"/>
      <c r="W1202" s="230"/>
      <c r="X1202" s="230"/>
      <c r="Y1202" s="230"/>
      <c r="Z1202" s="230"/>
      <c r="AA1202" s="230"/>
      <c r="AB1202" s="230"/>
    </row>
    <row r="1203">
      <c r="O1203" s="230"/>
      <c r="R1203" s="230"/>
      <c r="S1203" s="230"/>
      <c r="T1203" s="230"/>
      <c r="U1203" s="230"/>
      <c r="V1203" s="230"/>
      <c r="W1203" s="230"/>
      <c r="X1203" s="230"/>
      <c r="Y1203" s="230"/>
      <c r="Z1203" s="230"/>
      <c r="AA1203" s="230"/>
      <c r="AB1203" s="230"/>
    </row>
    <row r="1204">
      <c r="O1204" s="230"/>
      <c r="R1204" s="230"/>
      <c r="S1204" s="230"/>
      <c r="T1204" s="230"/>
      <c r="U1204" s="230"/>
      <c r="V1204" s="230"/>
      <c r="W1204" s="230"/>
      <c r="X1204" s="230"/>
      <c r="Y1204" s="230"/>
      <c r="Z1204" s="230"/>
      <c r="AA1204" s="230"/>
      <c r="AB1204" s="230"/>
    </row>
    <row r="1205">
      <c r="O1205" s="230"/>
      <c r="R1205" s="230"/>
      <c r="S1205" s="230"/>
      <c r="T1205" s="230"/>
      <c r="U1205" s="230"/>
      <c r="V1205" s="230"/>
      <c r="W1205" s="230"/>
      <c r="X1205" s="230"/>
      <c r="Y1205" s="230"/>
      <c r="Z1205" s="230"/>
      <c r="AA1205" s="230"/>
      <c r="AB1205" s="230"/>
    </row>
    <row r="1206">
      <c r="O1206" s="230"/>
      <c r="R1206" s="230"/>
      <c r="S1206" s="230"/>
      <c r="T1206" s="230"/>
      <c r="U1206" s="230"/>
      <c r="V1206" s="230"/>
      <c r="W1206" s="230"/>
      <c r="X1206" s="230"/>
      <c r="Y1206" s="230"/>
      <c r="Z1206" s="230"/>
      <c r="AA1206" s="230"/>
      <c r="AB1206" s="230"/>
    </row>
    <row r="1207">
      <c r="O1207" s="230"/>
      <c r="R1207" s="230"/>
      <c r="S1207" s="230"/>
      <c r="T1207" s="230"/>
      <c r="U1207" s="230"/>
      <c r="V1207" s="230"/>
      <c r="W1207" s="230"/>
      <c r="X1207" s="230"/>
      <c r="Y1207" s="230"/>
      <c r="Z1207" s="230"/>
      <c r="AA1207" s="230"/>
      <c r="AB1207" s="230"/>
    </row>
    <row r="1208">
      <c r="O1208" s="230"/>
      <c r="R1208" s="230"/>
      <c r="S1208" s="230"/>
      <c r="T1208" s="230"/>
      <c r="U1208" s="230"/>
      <c r="V1208" s="230"/>
      <c r="W1208" s="230"/>
      <c r="X1208" s="230"/>
      <c r="Y1208" s="230"/>
      <c r="Z1208" s="230"/>
      <c r="AA1208" s="230"/>
      <c r="AB1208" s="230"/>
    </row>
    <row r="1209">
      <c r="O1209" s="230"/>
      <c r="R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30"/>
    </row>
    <row r="1210">
      <c r="O1210" s="230"/>
      <c r="R1210" s="230"/>
      <c r="S1210" s="230"/>
      <c r="T1210" s="230"/>
      <c r="U1210" s="230"/>
      <c r="V1210" s="230"/>
      <c r="W1210" s="230"/>
      <c r="X1210" s="230"/>
      <c r="Y1210" s="230"/>
      <c r="Z1210" s="230"/>
      <c r="AA1210" s="230"/>
      <c r="AB1210" s="230"/>
    </row>
    <row r="1211">
      <c r="O1211" s="230"/>
      <c r="R1211" s="230"/>
      <c r="S1211" s="230"/>
      <c r="T1211" s="230"/>
      <c r="U1211" s="230"/>
      <c r="V1211" s="230"/>
      <c r="W1211" s="230"/>
      <c r="X1211" s="230"/>
      <c r="Y1211" s="230"/>
      <c r="Z1211" s="230"/>
      <c r="AA1211" s="230"/>
      <c r="AB1211" s="230"/>
    </row>
    <row r="1212">
      <c r="O1212" s="230"/>
      <c r="R1212" s="230"/>
      <c r="S1212" s="230"/>
      <c r="T1212" s="230"/>
      <c r="U1212" s="230"/>
      <c r="V1212" s="230"/>
      <c r="W1212" s="230"/>
      <c r="X1212" s="230"/>
      <c r="Y1212" s="230"/>
      <c r="Z1212" s="230"/>
      <c r="AA1212" s="230"/>
      <c r="AB1212" s="230"/>
    </row>
    <row r="1213">
      <c r="O1213" s="230"/>
      <c r="R1213" s="230"/>
      <c r="S1213" s="230"/>
      <c r="T1213" s="230"/>
      <c r="U1213" s="230"/>
      <c r="V1213" s="230"/>
      <c r="W1213" s="230"/>
      <c r="X1213" s="230"/>
      <c r="Y1213" s="230"/>
      <c r="Z1213" s="230"/>
      <c r="AA1213" s="230"/>
      <c r="AB1213" s="230"/>
    </row>
    <row r="1214">
      <c r="O1214" s="230"/>
      <c r="R1214" s="230"/>
      <c r="S1214" s="230"/>
      <c r="T1214" s="230"/>
      <c r="U1214" s="230"/>
      <c r="V1214" s="230"/>
      <c r="W1214" s="230"/>
      <c r="X1214" s="230"/>
      <c r="Y1214" s="230"/>
      <c r="Z1214" s="230"/>
      <c r="AA1214" s="230"/>
      <c r="AB1214" s="230"/>
    </row>
    <row r="1215">
      <c r="O1215" s="230"/>
      <c r="R1215" s="230"/>
      <c r="S1215" s="230"/>
      <c r="T1215" s="230"/>
      <c r="U1215" s="230"/>
      <c r="V1215" s="230"/>
      <c r="W1215" s="230"/>
      <c r="X1215" s="230"/>
      <c r="Y1215" s="230"/>
      <c r="Z1215" s="230"/>
      <c r="AA1215" s="230"/>
      <c r="AB1215" s="230"/>
    </row>
    <row r="1216">
      <c r="O1216" s="230"/>
      <c r="R1216" s="230"/>
      <c r="S1216" s="230"/>
      <c r="T1216" s="230"/>
      <c r="U1216" s="230"/>
      <c r="V1216" s="230"/>
      <c r="W1216" s="230"/>
      <c r="X1216" s="230"/>
      <c r="Y1216" s="230"/>
      <c r="Z1216" s="230"/>
      <c r="AA1216" s="230"/>
      <c r="AB1216" s="230"/>
    </row>
    <row r="1217">
      <c r="O1217" s="230"/>
      <c r="R1217" s="230"/>
      <c r="S1217" s="230"/>
      <c r="T1217" s="230"/>
      <c r="U1217" s="230"/>
      <c r="V1217" s="230"/>
      <c r="W1217" s="230"/>
      <c r="X1217" s="230"/>
      <c r="Y1217" s="230"/>
      <c r="Z1217" s="230"/>
      <c r="AA1217" s="230"/>
      <c r="AB1217" s="230"/>
    </row>
    <row r="1218">
      <c r="O1218" s="230"/>
      <c r="R1218" s="230"/>
      <c r="S1218" s="230"/>
      <c r="T1218" s="230"/>
      <c r="U1218" s="230"/>
      <c r="V1218" s="230"/>
      <c r="W1218" s="230"/>
      <c r="X1218" s="230"/>
      <c r="Y1218" s="230"/>
      <c r="Z1218" s="230"/>
      <c r="AA1218" s="230"/>
      <c r="AB1218" s="230"/>
    </row>
    <row r="1219">
      <c r="O1219" s="230"/>
      <c r="R1219" s="230"/>
      <c r="S1219" s="230"/>
      <c r="T1219" s="230"/>
      <c r="U1219" s="230"/>
      <c r="V1219" s="230"/>
      <c r="W1219" s="230"/>
      <c r="X1219" s="230"/>
      <c r="Y1219" s="230"/>
      <c r="Z1219" s="230"/>
      <c r="AA1219" s="230"/>
      <c r="AB1219" s="230"/>
    </row>
    <row r="1220">
      <c r="O1220" s="230"/>
      <c r="R1220" s="230"/>
      <c r="S1220" s="230"/>
      <c r="T1220" s="230"/>
      <c r="U1220" s="230"/>
      <c r="V1220" s="230"/>
      <c r="W1220" s="230"/>
      <c r="X1220" s="230"/>
      <c r="Y1220" s="230"/>
      <c r="Z1220" s="230"/>
      <c r="AA1220" s="230"/>
      <c r="AB1220" s="230"/>
    </row>
    <row r="1221">
      <c r="O1221" s="230"/>
      <c r="R1221" s="230"/>
      <c r="S1221" s="230"/>
      <c r="T1221" s="230"/>
      <c r="U1221" s="230"/>
      <c r="V1221" s="230"/>
      <c r="W1221" s="230"/>
      <c r="X1221" s="230"/>
      <c r="Y1221" s="230"/>
      <c r="Z1221" s="230"/>
      <c r="AA1221" s="230"/>
      <c r="AB1221" s="230"/>
    </row>
    <row r="1222">
      <c r="O1222" s="230"/>
      <c r="R1222" s="230"/>
      <c r="S1222" s="230"/>
      <c r="T1222" s="230"/>
      <c r="U1222" s="230"/>
      <c r="V1222" s="230"/>
      <c r="W1222" s="230"/>
      <c r="X1222" s="230"/>
      <c r="Y1222" s="230"/>
      <c r="Z1222" s="230"/>
      <c r="AA1222" s="230"/>
      <c r="AB1222" s="230"/>
    </row>
    <row r="1223">
      <c r="O1223" s="230"/>
      <c r="R1223" s="230"/>
      <c r="S1223" s="230"/>
      <c r="T1223" s="230"/>
      <c r="U1223" s="230"/>
      <c r="V1223" s="230"/>
      <c r="W1223" s="230"/>
      <c r="X1223" s="230"/>
      <c r="Y1223" s="230"/>
      <c r="Z1223" s="230"/>
      <c r="AA1223" s="230"/>
      <c r="AB1223" s="230"/>
    </row>
    <row r="1224">
      <c r="O1224" s="230"/>
      <c r="R1224" s="230"/>
      <c r="S1224" s="230"/>
      <c r="T1224" s="230"/>
      <c r="U1224" s="230"/>
      <c r="V1224" s="230"/>
      <c r="W1224" s="230"/>
      <c r="X1224" s="230"/>
      <c r="Y1224" s="230"/>
      <c r="Z1224" s="230"/>
      <c r="AA1224" s="230"/>
      <c r="AB1224" s="230"/>
    </row>
    <row r="1225">
      <c r="O1225" s="230"/>
      <c r="R1225" s="230"/>
      <c r="S1225" s="230"/>
      <c r="T1225" s="230"/>
      <c r="U1225" s="230"/>
      <c r="V1225" s="230"/>
      <c r="W1225" s="230"/>
      <c r="X1225" s="230"/>
      <c r="Y1225" s="230"/>
      <c r="Z1225" s="230"/>
      <c r="AA1225" s="230"/>
      <c r="AB1225" s="230"/>
    </row>
    <row r="1226">
      <c r="O1226" s="230"/>
      <c r="R1226" s="230"/>
      <c r="S1226" s="230"/>
      <c r="T1226" s="230"/>
      <c r="U1226" s="230"/>
      <c r="V1226" s="230"/>
      <c r="W1226" s="230"/>
      <c r="X1226" s="230"/>
      <c r="Y1226" s="230"/>
      <c r="Z1226" s="230"/>
      <c r="AA1226" s="230"/>
      <c r="AB1226" s="230"/>
    </row>
    <row r="1227">
      <c r="O1227" s="230"/>
      <c r="R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</row>
    <row r="1228">
      <c r="O1228" s="230"/>
      <c r="R1228" s="230"/>
      <c r="S1228" s="230"/>
      <c r="T1228" s="230"/>
      <c r="U1228" s="230"/>
      <c r="V1228" s="230"/>
      <c r="W1228" s="230"/>
      <c r="X1228" s="230"/>
      <c r="Y1228" s="230"/>
      <c r="Z1228" s="230"/>
      <c r="AA1228" s="230"/>
      <c r="AB1228" s="230"/>
    </row>
    <row r="1229">
      <c r="O1229" s="230"/>
      <c r="R1229" s="230"/>
      <c r="S1229" s="230"/>
      <c r="T1229" s="230"/>
      <c r="U1229" s="230"/>
      <c r="V1229" s="230"/>
      <c r="W1229" s="230"/>
      <c r="X1229" s="230"/>
      <c r="Y1229" s="230"/>
      <c r="Z1229" s="230"/>
      <c r="AA1229" s="230"/>
      <c r="AB1229" s="230"/>
    </row>
    <row r="1230">
      <c r="O1230" s="230"/>
      <c r="R1230" s="230"/>
      <c r="S1230" s="230"/>
      <c r="T1230" s="230"/>
      <c r="U1230" s="230"/>
      <c r="V1230" s="230"/>
      <c r="W1230" s="230"/>
      <c r="X1230" s="230"/>
      <c r="Y1230" s="230"/>
      <c r="Z1230" s="230"/>
      <c r="AA1230" s="230"/>
      <c r="AB1230" s="230"/>
    </row>
    <row r="1231">
      <c r="O1231" s="230"/>
      <c r="R1231" s="230"/>
      <c r="S1231" s="230"/>
      <c r="T1231" s="230"/>
      <c r="U1231" s="230"/>
      <c r="V1231" s="230"/>
      <c r="W1231" s="230"/>
      <c r="X1231" s="230"/>
      <c r="Y1231" s="230"/>
      <c r="Z1231" s="230"/>
      <c r="AA1231" s="230"/>
      <c r="AB1231" s="230"/>
    </row>
    <row r="1232">
      <c r="O1232" s="230"/>
      <c r="R1232" s="230"/>
      <c r="S1232" s="230"/>
      <c r="T1232" s="230"/>
      <c r="U1232" s="230"/>
      <c r="V1232" s="230"/>
      <c r="W1232" s="230"/>
      <c r="X1232" s="230"/>
      <c r="Y1232" s="230"/>
      <c r="Z1232" s="230"/>
      <c r="AA1232" s="230"/>
      <c r="AB1232" s="230"/>
    </row>
    <row r="1233">
      <c r="O1233" s="230"/>
      <c r="R1233" s="230"/>
      <c r="S1233" s="230"/>
      <c r="T1233" s="230"/>
      <c r="U1233" s="230"/>
      <c r="V1233" s="230"/>
      <c r="W1233" s="230"/>
      <c r="X1233" s="230"/>
      <c r="Y1233" s="230"/>
      <c r="Z1233" s="230"/>
      <c r="AA1233" s="230"/>
      <c r="AB1233" s="230"/>
    </row>
    <row r="1234">
      <c r="O1234" s="230"/>
      <c r="R1234" s="230"/>
      <c r="S1234" s="230"/>
      <c r="T1234" s="230"/>
      <c r="U1234" s="230"/>
      <c r="V1234" s="230"/>
      <c r="W1234" s="230"/>
      <c r="X1234" s="230"/>
      <c r="Y1234" s="230"/>
      <c r="Z1234" s="230"/>
      <c r="AA1234" s="230"/>
      <c r="AB1234" s="230"/>
    </row>
    <row r="1235">
      <c r="O1235" s="230"/>
      <c r="R1235" s="230"/>
      <c r="S1235" s="230"/>
      <c r="T1235" s="230"/>
      <c r="U1235" s="230"/>
      <c r="V1235" s="230"/>
      <c r="W1235" s="230"/>
      <c r="X1235" s="230"/>
      <c r="Y1235" s="230"/>
      <c r="Z1235" s="230"/>
      <c r="AA1235" s="230"/>
      <c r="AB1235" s="230"/>
    </row>
    <row r="1236">
      <c r="O1236" s="230"/>
      <c r="R1236" s="230"/>
      <c r="S1236" s="230"/>
      <c r="T1236" s="230"/>
      <c r="U1236" s="230"/>
      <c r="V1236" s="230"/>
      <c r="W1236" s="230"/>
      <c r="X1236" s="230"/>
      <c r="Y1236" s="230"/>
      <c r="Z1236" s="230"/>
      <c r="AA1236" s="230"/>
      <c r="AB1236" s="230"/>
    </row>
    <row r="1237">
      <c r="O1237" s="230"/>
      <c r="R1237" s="230"/>
      <c r="S1237" s="230"/>
      <c r="T1237" s="230"/>
      <c r="U1237" s="230"/>
      <c r="V1237" s="230"/>
      <c r="W1237" s="230"/>
      <c r="X1237" s="230"/>
      <c r="Y1237" s="230"/>
      <c r="Z1237" s="230"/>
      <c r="AA1237" s="230"/>
      <c r="AB1237" s="230"/>
    </row>
    <row r="1238">
      <c r="O1238" s="230"/>
      <c r="R1238" s="230"/>
      <c r="S1238" s="230"/>
      <c r="T1238" s="230"/>
      <c r="U1238" s="230"/>
      <c r="V1238" s="230"/>
      <c r="W1238" s="230"/>
      <c r="X1238" s="230"/>
      <c r="Y1238" s="230"/>
      <c r="Z1238" s="230"/>
      <c r="AA1238" s="230"/>
      <c r="AB1238" s="230"/>
    </row>
    <row r="1239">
      <c r="O1239" s="230"/>
      <c r="R1239" s="230"/>
      <c r="S1239" s="230"/>
      <c r="T1239" s="230"/>
      <c r="U1239" s="230"/>
      <c r="V1239" s="230"/>
      <c r="W1239" s="230"/>
      <c r="X1239" s="230"/>
      <c r="Y1239" s="230"/>
      <c r="Z1239" s="230"/>
      <c r="AA1239" s="230"/>
      <c r="AB1239" s="230"/>
    </row>
    <row r="1240">
      <c r="O1240" s="230"/>
      <c r="R1240" s="230"/>
      <c r="S1240" s="230"/>
      <c r="T1240" s="230"/>
      <c r="U1240" s="230"/>
      <c r="V1240" s="230"/>
      <c r="W1240" s="230"/>
      <c r="X1240" s="230"/>
      <c r="Y1240" s="230"/>
      <c r="Z1240" s="230"/>
      <c r="AA1240" s="230"/>
      <c r="AB1240" s="230"/>
    </row>
    <row r="1241">
      <c r="O1241" s="230"/>
      <c r="R1241" s="230"/>
      <c r="S1241" s="230"/>
      <c r="T1241" s="230"/>
      <c r="U1241" s="230"/>
      <c r="V1241" s="230"/>
      <c r="W1241" s="230"/>
      <c r="X1241" s="230"/>
      <c r="Y1241" s="230"/>
      <c r="Z1241" s="230"/>
      <c r="AA1241" s="230"/>
      <c r="AB1241" s="230"/>
    </row>
    <row r="1242">
      <c r="O1242" s="230"/>
      <c r="R1242" s="230"/>
      <c r="S1242" s="230"/>
      <c r="T1242" s="230"/>
      <c r="U1242" s="230"/>
      <c r="V1242" s="230"/>
      <c r="W1242" s="230"/>
      <c r="X1242" s="230"/>
      <c r="Y1242" s="230"/>
      <c r="Z1242" s="230"/>
      <c r="AA1242" s="230"/>
      <c r="AB1242" s="230"/>
    </row>
    <row r="1243">
      <c r="O1243" s="230"/>
      <c r="R1243" s="230"/>
      <c r="S1243" s="230"/>
      <c r="T1243" s="230"/>
      <c r="U1243" s="230"/>
      <c r="V1243" s="230"/>
      <c r="W1243" s="230"/>
      <c r="X1243" s="230"/>
      <c r="Y1243" s="230"/>
      <c r="Z1243" s="230"/>
      <c r="AA1243" s="230"/>
      <c r="AB1243" s="230"/>
    </row>
    <row r="1244">
      <c r="O1244" s="230"/>
      <c r="R1244" s="230"/>
      <c r="S1244" s="230"/>
      <c r="T1244" s="230"/>
      <c r="U1244" s="230"/>
      <c r="V1244" s="230"/>
      <c r="W1244" s="230"/>
      <c r="X1244" s="230"/>
      <c r="Y1244" s="230"/>
      <c r="Z1244" s="230"/>
      <c r="AA1244" s="230"/>
      <c r="AB1244" s="230"/>
    </row>
    <row r="1245">
      <c r="O1245" s="230"/>
      <c r="R1245" s="230"/>
      <c r="S1245" s="230"/>
      <c r="T1245" s="230"/>
      <c r="U1245" s="230"/>
      <c r="V1245" s="230"/>
      <c r="W1245" s="230"/>
      <c r="X1245" s="230"/>
      <c r="Y1245" s="230"/>
      <c r="Z1245" s="230"/>
      <c r="AA1245" s="230"/>
      <c r="AB1245" s="230"/>
    </row>
    <row r="1246">
      <c r="O1246" s="230"/>
      <c r="R1246" s="230"/>
      <c r="S1246" s="230"/>
      <c r="T1246" s="230"/>
      <c r="U1246" s="230"/>
      <c r="V1246" s="230"/>
      <c r="W1246" s="230"/>
      <c r="X1246" s="230"/>
      <c r="Y1246" s="230"/>
      <c r="Z1246" s="230"/>
      <c r="AA1246" s="230"/>
      <c r="AB1246" s="230"/>
    </row>
    <row r="1247">
      <c r="O1247" s="230"/>
      <c r="R1247" s="230"/>
      <c r="S1247" s="230"/>
      <c r="T1247" s="230"/>
      <c r="U1247" s="230"/>
      <c r="V1247" s="230"/>
      <c r="W1247" s="230"/>
      <c r="X1247" s="230"/>
      <c r="Y1247" s="230"/>
      <c r="Z1247" s="230"/>
      <c r="AA1247" s="230"/>
      <c r="AB1247" s="230"/>
    </row>
    <row r="1248">
      <c r="O1248" s="230"/>
      <c r="R1248" s="230"/>
      <c r="S1248" s="230"/>
      <c r="T1248" s="230"/>
      <c r="U1248" s="230"/>
      <c r="V1248" s="230"/>
      <c r="W1248" s="230"/>
      <c r="X1248" s="230"/>
      <c r="Y1248" s="230"/>
      <c r="Z1248" s="230"/>
      <c r="AA1248" s="230"/>
      <c r="AB1248" s="230"/>
    </row>
    <row r="1249">
      <c r="O1249" s="230"/>
      <c r="R1249" s="230"/>
      <c r="S1249" s="230"/>
      <c r="T1249" s="230"/>
      <c r="U1249" s="230"/>
      <c r="V1249" s="230"/>
      <c r="W1249" s="230"/>
      <c r="X1249" s="230"/>
      <c r="Y1249" s="230"/>
      <c r="Z1249" s="230"/>
      <c r="AA1249" s="230"/>
      <c r="AB1249" s="230"/>
    </row>
    <row r="1250">
      <c r="O1250" s="230"/>
      <c r="R1250" s="230"/>
      <c r="S1250" s="230"/>
      <c r="T1250" s="230"/>
      <c r="U1250" s="230"/>
      <c r="V1250" s="230"/>
      <c r="W1250" s="230"/>
      <c r="X1250" s="230"/>
      <c r="Y1250" s="230"/>
      <c r="Z1250" s="230"/>
      <c r="AA1250" s="230"/>
      <c r="AB1250" s="230"/>
    </row>
    <row r="1251">
      <c r="O1251" s="230"/>
      <c r="R1251" s="230"/>
      <c r="S1251" s="230"/>
      <c r="T1251" s="230"/>
      <c r="U1251" s="230"/>
      <c r="V1251" s="230"/>
      <c r="W1251" s="230"/>
      <c r="X1251" s="230"/>
      <c r="Y1251" s="230"/>
      <c r="Z1251" s="230"/>
      <c r="AA1251" s="230"/>
      <c r="AB1251" s="230"/>
    </row>
    <row r="1252">
      <c r="O1252" s="230"/>
      <c r="R1252" s="230"/>
      <c r="S1252" s="230"/>
      <c r="T1252" s="230"/>
      <c r="U1252" s="230"/>
      <c r="V1252" s="230"/>
      <c r="W1252" s="230"/>
      <c r="X1252" s="230"/>
      <c r="Y1252" s="230"/>
      <c r="Z1252" s="230"/>
      <c r="AA1252" s="230"/>
      <c r="AB1252" s="230"/>
    </row>
    <row r="1253">
      <c r="O1253" s="230"/>
      <c r="R1253" s="230"/>
      <c r="S1253" s="230"/>
      <c r="T1253" s="230"/>
      <c r="U1253" s="230"/>
      <c r="V1253" s="230"/>
      <c r="W1253" s="230"/>
      <c r="X1253" s="230"/>
      <c r="Y1253" s="230"/>
      <c r="Z1253" s="230"/>
      <c r="AA1253" s="230"/>
      <c r="AB1253" s="230"/>
    </row>
    <row r="1254">
      <c r="O1254" s="230"/>
      <c r="R1254" s="230"/>
      <c r="S1254" s="230"/>
      <c r="T1254" s="230"/>
      <c r="U1254" s="230"/>
      <c r="V1254" s="230"/>
      <c r="W1254" s="230"/>
      <c r="X1254" s="230"/>
      <c r="Y1254" s="230"/>
      <c r="Z1254" s="230"/>
      <c r="AA1254" s="230"/>
      <c r="AB1254" s="230"/>
    </row>
    <row r="1255">
      <c r="O1255" s="230"/>
      <c r="R1255" s="230"/>
      <c r="S1255" s="230"/>
      <c r="T1255" s="230"/>
      <c r="U1255" s="230"/>
      <c r="V1255" s="230"/>
      <c r="W1255" s="230"/>
      <c r="X1255" s="230"/>
      <c r="Y1255" s="230"/>
      <c r="Z1255" s="230"/>
      <c r="AA1255" s="230"/>
      <c r="AB1255" s="230"/>
    </row>
    <row r="1256">
      <c r="O1256" s="230"/>
      <c r="R1256" s="230"/>
      <c r="S1256" s="230"/>
      <c r="T1256" s="230"/>
      <c r="U1256" s="230"/>
      <c r="V1256" s="230"/>
      <c r="W1256" s="230"/>
      <c r="X1256" s="230"/>
      <c r="Y1256" s="230"/>
      <c r="Z1256" s="230"/>
      <c r="AA1256" s="230"/>
      <c r="AB1256" s="230"/>
    </row>
    <row r="1257">
      <c r="O1257" s="230"/>
      <c r="R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  <c r="AB1257" s="230"/>
    </row>
    <row r="1258">
      <c r="O1258" s="230"/>
      <c r="R1258" s="230"/>
      <c r="S1258" s="230"/>
      <c r="T1258" s="230"/>
      <c r="U1258" s="230"/>
      <c r="V1258" s="230"/>
      <c r="W1258" s="230"/>
      <c r="X1258" s="230"/>
      <c r="Y1258" s="230"/>
      <c r="Z1258" s="230"/>
      <c r="AA1258" s="230"/>
      <c r="AB1258" s="230"/>
    </row>
    <row r="1259">
      <c r="O1259" s="230"/>
      <c r="R1259" s="230"/>
      <c r="S1259" s="230"/>
      <c r="T1259" s="230"/>
      <c r="U1259" s="230"/>
      <c r="V1259" s="230"/>
      <c r="W1259" s="230"/>
      <c r="X1259" s="230"/>
      <c r="Y1259" s="230"/>
      <c r="Z1259" s="230"/>
      <c r="AA1259" s="230"/>
      <c r="AB1259" s="230"/>
    </row>
    <row r="1260">
      <c r="O1260" s="230"/>
      <c r="R1260" s="230"/>
      <c r="S1260" s="230"/>
      <c r="T1260" s="230"/>
      <c r="U1260" s="230"/>
      <c r="V1260" s="230"/>
      <c r="W1260" s="230"/>
      <c r="X1260" s="230"/>
      <c r="Y1260" s="230"/>
      <c r="Z1260" s="230"/>
      <c r="AA1260" s="230"/>
      <c r="AB1260" s="230"/>
    </row>
    <row r="1261">
      <c r="O1261" s="230"/>
      <c r="R1261" s="230"/>
      <c r="S1261" s="230"/>
      <c r="T1261" s="230"/>
      <c r="U1261" s="230"/>
      <c r="V1261" s="230"/>
      <c r="W1261" s="230"/>
      <c r="X1261" s="230"/>
      <c r="Y1261" s="230"/>
      <c r="Z1261" s="230"/>
      <c r="AA1261" s="230"/>
      <c r="AB1261" s="230"/>
    </row>
    <row r="1262">
      <c r="O1262" s="230"/>
      <c r="R1262" s="230"/>
      <c r="S1262" s="230"/>
      <c r="T1262" s="230"/>
      <c r="U1262" s="230"/>
      <c r="V1262" s="230"/>
      <c r="W1262" s="230"/>
      <c r="X1262" s="230"/>
      <c r="Y1262" s="230"/>
      <c r="Z1262" s="230"/>
      <c r="AA1262" s="230"/>
      <c r="AB1262" s="230"/>
    </row>
    <row r="1263">
      <c r="O1263" s="230"/>
      <c r="R1263" s="230"/>
      <c r="S1263" s="230"/>
      <c r="T1263" s="230"/>
      <c r="U1263" s="230"/>
      <c r="V1263" s="230"/>
      <c r="W1263" s="230"/>
      <c r="X1263" s="230"/>
      <c r="Y1263" s="230"/>
      <c r="Z1263" s="230"/>
      <c r="AA1263" s="230"/>
      <c r="AB1263" s="230"/>
    </row>
    <row r="1264">
      <c r="O1264" s="230"/>
      <c r="R1264" s="230"/>
      <c r="S1264" s="230"/>
      <c r="T1264" s="230"/>
      <c r="U1264" s="230"/>
      <c r="V1264" s="230"/>
      <c r="W1264" s="230"/>
      <c r="X1264" s="230"/>
      <c r="Y1264" s="230"/>
      <c r="Z1264" s="230"/>
      <c r="AA1264" s="230"/>
      <c r="AB1264" s="230"/>
    </row>
    <row r="1265">
      <c r="O1265" s="230"/>
      <c r="R1265" s="230"/>
      <c r="S1265" s="230"/>
      <c r="T1265" s="230"/>
      <c r="U1265" s="230"/>
      <c r="V1265" s="230"/>
      <c r="W1265" s="230"/>
      <c r="X1265" s="230"/>
      <c r="Y1265" s="230"/>
      <c r="Z1265" s="230"/>
      <c r="AA1265" s="230"/>
      <c r="AB1265" s="230"/>
    </row>
    <row r="1266">
      <c r="O1266" s="230"/>
      <c r="R1266" s="230"/>
      <c r="S1266" s="230"/>
      <c r="T1266" s="230"/>
      <c r="U1266" s="230"/>
      <c r="V1266" s="230"/>
      <c r="W1266" s="230"/>
      <c r="X1266" s="230"/>
      <c r="Y1266" s="230"/>
      <c r="Z1266" s="230"/>
      <c r="AA1266" s="230"/>
      <c r="AB1266" s="230"/>
    </row>
    <row r="1267">
      <c r="O1267" s="230"/>
      <c r="R1267" s="230"/>
      <c r="S1267" s="230"/>
      <c r="T1267" s="230"/>
      <c r="U1267" s="230"/>
      <c r="V1267" s="230"/>
      <c r="W1267" s="230"/>
      <c r="X1267" s="230"/>
      <c r="Y1267" s="230"/>
      <c r="Z1267" s="230"/>
      <c r="AA1267" s="230"/>
      <c r="AB1267" s="230"/>
    </row>
    <row r="1268">
      <c r="O1268" s="230"/>
      <c r="R1268" s="230"/>
      <c r="S1268" s="230"/>
      <c r="T1268" s="230"/>
      <c r="U1268" s="230"/>
      <c r="V1268" s="230"/>
      <c r="W1268" s="230"/>
      <c r="X1268" s="230"/>
      <c r="Y1268" s="230"/>
      <c r="Z1268" s="230"/>
      <c r="AA1268" s="230"/>
      <c r="AB1268" s="230"/>
    </row>
    <row r="1269">
      <c r="O1269" s="230"/>
      <c r="R1269" s="230"/>
      <c r="S1269" s="230"/>
      <c r="T1269" s="230"/>
      <c r="U1269" s="230"/>
      <c r="V1269" s="230"/>
      <c r="W1269" s="230"/>
      <c r="X1269" s="230"/>
      <c r="Y1269" s="230"/>
      <c r="Z1269" s="230"/>
      <c r="AA1269" s="230"/>
      <c r="AB1269" s="230"/>
    </row>
    <row r="1270">
      <c r="O1270" s="230"/>
      <c r="R1270" s="230"/>
      <c r="S1270" s="230"/>
      <c r="T1270" s="230"/>
      <c r="U1270" s="230"/>
      <c r="V1270" s="230"/>
      <c r="W1270" s="230"/>
      <c r="X1270" s="230"/>
      <c r="Y1270" s="230"/>
      <c r="Z1270" s="230"/>
      <c r="AA1270" s="230"/>
      <c r="AB1270" s="230"/>
    </row>
    <row r="1271">
      <c r="O1271" s="230"/>
      <c r="R1271" s="230"/>
      <c r="S1271" s="230"/>
      <c r="T1271" s="230"/>
      <c r="U1271" s="230"/>
      <c r="V1271" s="230"/>
      <c r="W1271" s="230"/>
      <c r="X1271" s="230"/>
      <c r="Y1271" s="230"/>
      <c r="Z1271" s="230"/>
      <c r="AA1271" s="230"/>
      <c r="AB1271" s="230"/>
    </row>
    <row r="1272">
      <c r="O1272" s="230"/>
      <c r="R1272" s="230"/>
      <c r="S1272" s="230"/>
      <c r="T1272" s="230"/>
      <c r="U1272" s="230"/>
      <c r="V1272" s="230"/>
      <c r="W1272" s="230"/>
      <c r="X1272" s="230"/>
      <c r="Y1272" s="230"/>
      <c r="Z1272" s="230"/>
      <c r="AA1272" s="230"/>
      <c r="AB1272" s="230"/>
    </row>
    <row r="1273">
      <c r="O1273" s="230"/>
      <c r="R1273" s="230"/>
      <c r="S1273" s="230"/>
      <c r="T1273" s="230"/>
      <c r="U1273" s="230"/>
      <c r="V1273" s="230"/>
      <c r="W1273" s="230"/>
      <c r="X1273" s="230"/>
      <c r="Y1273" s="230"/>
      <c r="Z1273" s="230"/>
      <c r="AA1273" s="230"/>
      <c r="AB1273" s="230"/>
    </row>
    <row r="1274">
      <c r="O1274" s="230"/>
      <c r="R1274" s="230"/>
      <c r="S1274" s="230"/>
      <c r="T1274" s="230"/>
      <c r="U1274" s="230"/>
      <c r="V1274" s="230"/>
      <c r="W1274" s="230"/>
      <c r="X1274" s="230"/>
      <c r="Y1274" s="230"/>
      <c r="Z1274" s="230"/>
      <c r="AA1274" s="230"/>
      <c r="AB1274" s="230"/>
    </row>
    <row r="1275">
      <c r="O1275" s="230"/>
      <c r="R1275" s="230"/>
      <c r="S1275" s="230"/>
      <c r="T1275" s="230"/>
      <c r="U1275" s="230"/>
      <c r="V1275" s="230"/>
      <c r="W1275" s="230"/>
      <c r="X1275" s="230"/>
      <c r="Y1275" s="230"/>
      <c r="Z1275" s="230"/>
      <c r="AA1275" s="230"/>
      <c r="AB1275" s="230"/>
    </row>
    <row r="1276">
      <c r="O1276" s="230"/>
      <c r="R1276" s="230"/>
      <c r="S1276" s="230"/>
      <c r="T1276" s="230"/>
      <c r="U1276" s="230"/>
      <c r="V1276" s="230"/>
      <c r="W1276" s="230"/>
      <c r="X1276" s="230"/>
      <c r="Y1276" s="230"/>
      <c r="Z1276" s="230"/>
      <c r="AA1276" s="230"/>
      <c r="AB1276" s="230"/>
    </row>
    <row r="1277">
      <c r="O1277" s="230"/>
      <c r="R1277" s="230"/>
      <c r="S1277" s="230"/>
      <c r="T1277" s="230"/>
      <c r="U1277" s="230"/>
      <c r="V1277" s="230"/>
      <c r="W1277" s="230"/>
      <c r="X1277" s="230"/>
      <c r="Y1277" s="230"/>
      <c r="Z1277" s="230"/>
      <c r="AA1277" s="230"/>
      <c r="AB1277" s="230"/>
    </row>
    <row r="1278">
      <c r="O1278" s="230"/>
      <c r="R1278" s="230"/>
      <c r="S1278" s="230"/>
      <c r="T1278" s="230"/>
      <c r="U1278" s="230"/>
      <c r="V1278" s="230"/>
      <c r="W1278" s="230"/>
      <c r="X1278" s="230"/>
      <c r="Y1278" s="230"/>
      <c r="Z1278" s="230"/>
      <c r="AA1278" s="230"/>
      <c r="AB1278" s="230"/>
    </row>
    <row r="1279">
      <c r="O1279" s="230"/>
      <c r="R1279" s="230"/>
      <c r="S1279" s="230"/>
      <c r="T1279" s="230"/>
      <c r="U1279" s="230"/>
      <c r="V1279" s="230"/>
      <c r="W1279" s="230"/>
      <c r="X1279" s="230"/>
      <c r="Y1279" s="230"/>
      <c r="Z1279" s="230"/>
      <c r="AA1279" s="230"/>
      <c r="AB1279" s="230"/>
    </row>
    <row r="1280">
      <c r="O1280" s="230"/>
      <c r="R1280" s="230"/>
      <c r="S1280" s="230"/>
      <c r="T1280" s="230"/>
      <c r="U1280" s="230"/>
      <c r="V1280" s="230"/>
      <c r="W1280" s="230"/>
      <c r="X1280" s="230"/>
      <c r="Y1280" s="230"/>
      <c r="Z1280" s="230"/>
      <c r="AA1280" s="230"/>
      <c r="AB1280" s="230"/>
    </row>
    <row r="1281">
      <c r="O1281" s="230"/>
      <c r="R1281" s="230"/>
      <c r="S1281" s="230"/>
      <c r="T1281" s="230"/>
      <c r="U1281" s="230"/>
      <c r="V1281" s="230"/>
      <c r="W1281" s="230"/>
      <c r="X1281" s="230"/>
      <c r="Y1281" s="230"/>
      <c r="Z1281" s="230"/>
      <c r="AA1281" s="230"/>
      <c r="AB1281" s="230"/>
    </row>
    <row r="1282">
      <c r="O1282" s="230"/>
      <c r="R1282" s="230"/>
      <c r="S1282" s="230"/>
      <c r="T1282" s="230"/>
      <c r="U1282" s="230"/>
      <c r="V1282" s="230"/>
      <c r="W1282" s="230"/>
      <c r="X1282" s="230"/>
      <c r="Y1282" s="230"/>
      <c r="Z1282" s="230"/>
      <c r="AA1282" s="230"/>
      <c r="AB1282" s="230"/>
    </row>
    <row r="1283">
      <c r="O1283" s="230"/>
      <c r="R1283" s="230"/>
      <c r="S1283" s="230"/>
      <c r="T1283" s="230"/>
      <c r="U1283" s="230"/>
      <c r="V1283" s="230"/>
      <c r="W1283" s="230"/>
      <c r="X1283" s="230"/>
      <c r="Y1283" s="230"/>
      <c r="Z1283" s="230"/>
      <c r="AA1283" s="230"/>
      <c r="AB1283" s="230"/>
    </row>
    <row r="1284">
      <c r="O1284" s="230"/>
      <c r="R1284" s="230"/>
      <c r="S1284" s="230"/>
      <c r="T1284" s="230"/>
      <c r="U1284" s="230"/>
      <c r="V1284" s="230"/>
      <c r="W1284" s="230"/>
      <c r="X1284" s="230"/>
      <c r="Y1284" s="230"/>
      <c r="Z1284" s="230"/>
      <c r="AA1284" s="230"/>
      <c r="AB1284" s="230"/>
    </row>
    <row r="1285">
      <c r="O1285" s="230"/>
      <c r="R1285" s="230"/>
      <c r="S1285" s="230"/>
      <c r="T1285" s="230"/>
      <c r="U1285" s="230"/>
      <c r="V1285" s="230"/>
      <c r="W1285" s="230"/>
      <c r="X1285" s="230"/>
      <c r="Y1285" s="230"/>
      <c r="Z1285" s="230"/>
      <c r="AA1285" s="230"/>
      <c r="AB1285" s="230"/>
    </row>
    <row r="1286">
      <c r="O1286" s="230"/>
      <c r="R1286" s="230"/>
      <c r="S1286" s="230"/>
      <c r="T1286" s="230"/>
      <c r="U1286" s="230"/>
      <c r="V1286" s="230"/>
      <c r="W1286" s="230"/>
      <c r="X1286" s="230"/>
      <c r="Y1286" s="230"/>
      <c r="Z1286" s="230"/>
      <c r="AA1286" s="230"/>
      <c r="AB1286" s="230"/>
    </row>
    <row r="1287">
      <c r="O1287" s="230"/>
      <c r="R1287" s="230"/>
      <c r="S1287" s="230"/>
      <c r="T1287" s="230"/>
      <c r="U1287" s="230"/>
      <c r="V1287" s="230"/>
      <c r="W1287" s="230"/>
      <c r="X1287" s="230"/>
      <c r="Y1287" s="230"/>
      <c r="Z1287" s="230"/>
      <c r="AA1287" s="230"/>
      <c r="AB1287" s="230"/>
    </row>
    <row r="1288">
      <c r="O1288" s="230"/>
      <c r="R1288" s="230"/>
      <c r="S1288" s="230"/>
      <c r="T1288" s="230"/>
      <c r="U1288" s="230"/>
      <c r="V1288" s="230"/>
      <c r="W1288" s="230"/>
      <c r="X1288" s="230"/>
      <c r="Y1288" s="230"/>
      <c r="Z1288" s="230"/>
      <c r="AA1288" s="230"/>
      <c r="AB1288" s="230"/>
    </row>
    <row r="1289">
      <c r="O1289" s="230"/>
      <c r="R1289" s="230"/>
      <c r="S1289" s="230"/>
      <c r="T1289" s="230"/>
      <c r="U1289" s="230"/>
      <c r="V1289" s="230"/>
      <c r="W1289" s="230"/>
      <c r="X1289" s="230"/>
      <c r="Y1289" s="230"/>
      <c r="Z1289" s="230"/>
      <c r="AA1289" s="230"/>
      <c r="AB1289" s="230"/>
    </row>
    <row r="1290">
      <c r="O1290" s="230"/>
      <c r="R1290" s="230"/>
      <c r="S1290" s="230"/>
      <c r="T1290" s="230"/>
      <c r="U1290" s="230"/>
      <c r="V1290" s="230"/>
      <c r="W1290" s="230"/>
      <c r="X1290" s="230"/>
      <c r="Y1290" s="230"/>
      <c r="Z1290" s="230"/>
      <c r="AA1290" s="230"/>
      <c r="AB1290" s="230"/>
    </row>
    <row r="1291">
      <c r="O1291" s="230"/>
      <c r="R1291" s="230"/>
      <c r="S1291" s="230"/>
      <c r="T1291" s="230"/>
      <c r="U1291" s="230"/>
      <c r="V1291" s="230"/>
      <c r="W1291" s="230"/>
      <c r="X1291" s="230"/>
      <c r="Y1291" s="230"/>
      <c r="Z1291" s="230"/>
      <c r="AA1291" s="230"/>
      <c r="AB1291" s="230"/>
    </row>
    <row r="1292">
      <c r="O1292" s="230"/>
      <c r="R1292" s="230"/>
      <c r="S1292" s="230"/>
      <c r="T1292" s="230"/>
      <c r="U1292" s="230"/>
      <c r="V1292" s="230"/>
      <c r="W1292" s="230"/>
      <c r="X1292" s="230"/>
      <c r="Y1292" s="230"/>
      <c r="Z1292" s="230"/>
      <c r="AA1292" s="230"/>
      <c r="AB1292" s="230"/>
    </row>
    <row r="1293">
      <c r="O1293" s="230"/>
      <c r="R1293" s="230"/>
      <c r="S1293" s="230"/>
      <c r="T1293" s="230"/>
      <c r="U1293" s="230"/>
      <c r="V1293" s="230"/>
      <c r="W1293" s="230"/>
      <c r="X1293" s="230"/>
      <c r="Y1293" s="230"/>
      <c r="Z1293" s="230"/>
      <c r="AA1293" s="230"/>
      <c r="AB1293" s="230"/>
    </row>
    <row r="1294">
      <c r="O1294" s="230"/>
      <c r="R1294" s="230"/>
      <c r="S1294" s="230"/>
      <c r="T1294" s="230"/>
      <c r="U1294" s="230"/>
      <c r="V1294" s="230"/>
      <c r="W1294" s="230"/>
      <c r="X1294" s="230"/>
      <c r="Y1294" s="230"/>
      <c r="Z1294" s="230"/>
      <c r="AA1294" s="230"/>
      <c r="AB1294" s="230"/>
    </row>
    <row r="1295">
      <c r="O1295" s="230"/>
      <c r="R1295" s="230"/>
      <c r="S1295" s="230"/>
      <c r="T1295" s="230"/>
      <c r="U1295" s="230"/>
      <c r="V1295" s="230"/>
      <c r="W1295" s="230"/>
      <c r="X1295" s="230"/>
      <c r="Y1295" s="230"/>
      <c r="Z1295" s="230"/>
      <c r="AA1295" s="230"/>
      <c r="AB1295" s="230"/>
    </row>
    <row r="1296">
      <c r="O1296" s="230"/>
      <c r="R1296" s="230"/>
      <c r="S1296" s="230"/>
      <c r="T1296" s="230"/>
      <c r="U1296" s="230"/>
      <c r="V1296" s="230"/>
      <c r="W1296" s="230"/>
      <c r="X1296" s="230"/>
      <c r="Y1296" s="230"/>
      <c r="Z1296" s="230"/>
      <c r="AA1296" s="230"/>
      <c r="AB1296" s="230"/>
    </row>
    <row r="1297">
      <c r="O1297" s="230"/>
      <c r="R1297" s="230"/>
      <c r="S1297" s="230"/>
      <c r="T1297" s="230"/>
      <c r="U1297" s="230"/>
      <c r="V1297" s="230"/>
      <c r="W1297" s="230"/>
      <c r="X1297" s="230"/>
      <c r="Y1297" s="230"/>
      <c r="Z1297" s="230"/>
      <c r="AA1297" s="230"/>
      <c r="AB1297" s="230"/>
    </row>
    <row r="1298">
      <c r="O1298" s="230"/>
      <c r="R1298" s="230"/>
      <c r="S1298" s="230"/>
      <c r="T1298" s="230"/>
      <c r="U1298" s="230"/>
      <c r="V1298" s="230"/>
      <c r="W1298" s="230"/>
      <c r="X1298" s="230"/>
      <c r="Y1298" s="230"/>
      <c r="Z1298" s="230"/>
      <c r="AA1298" s="230"/>
      <c r="AB1298" s="230"/>
    </row>
    <row r="1299">
      <c r="O1299" s="230"/>
      <c r="R1299" s="230"/>
      <c r="S1299" s="230"/>
      <c r="T1299" s="230"/>
      <c r="U1299" s="230"/>
      <c r="V1299" s="230"/>
      <c r="W1299" s="230"/>
      <c r="X1299" s="230"/>
      <c r="Y1299" s="230"/>
      <c r="Z1299" s="230"/>
      <c r="AA1299" s="230"/>
      <c r="AB1299" s="230"/>
    </row>
    <row r="1300">
      <c r="O1300" s="230"/>
      <c r="R1300" s="230"/>
      <c r="S1300" s="230"/>
      <c r="T1300" s="230"/>
      <c r="U1300" s="230"/>
      <c r="V1300" s="230"/>
      <c r="W1300" s="230"/>
      <c r="X1300" s="230"/>
      <c r="Y1300" s="230"/>
      <c r="Z1300" s="230"/>
      <c r="AA1300" s="230"/>
      <c r="AB1300" s="230"/>
    </row>
    <row r="1301">
      <c r="O1301" s="230"/>
      <c r="R1301" s="230"/>
      <c r="S1301" s="230"/>
      <c r="T1301" s="230"/>
      <c r="U1301" s="230"/>
      <c r="V1301" s="230"/>
      <c r="W1301" s="230"/>
      <c r="X1301" s="230"/>
      <c r="Y1301" s="230"/>
      <c r="Z1301" s="230"/>
      <c r="AA1301" s="230"/>
      <c r="AB1301" s="230"/>
    </row>
    <row r="1302">
      <c r="O1302" s="230"/>
      <c r="R1302" s="230"/>
      <c r="S1302" s="230"/>
      <c r="T1302" s="230"/>
      <c r="U1302" s="230"/>
      <c r="V1302" s="230"/>
      <c r="W1302" s="230"/>
      <c r="X1302" s="230"/>
      <c r="Y1302" s="230"/>
      <c r="Z1302" s="230"/>
      <c r="AA1302" s="230"/>
      <c r="AB1302" s="230"/>
    </row>
    <row r="1303">
      <c r="O1303" s="230"/>
      <c r="R1303" s="230"/>
      <c r="S1303" s="230"/>
      <c r="T1303" s="230"/>
      <c r="U1303" s="230"/>
      <c r="V1303" s="230"/>
      <c r="W1303" s="230"/>
      <c r="X1303" s="230"/>
      <c r="Y1303" s="230"/>
      <c r="Z1303" s="230"/>
      <c r="AA1303" s="230"/>
      <c r="AB1303" s="230"/>
    </row>
    <row r="1304">
      <c r="O1304" s="230"/>
      <c r="R1304" s="230"/>
      <c r="S1304" s="230"/>
      <c r="T1304" s="230"/>
      <c r="U1304" s="230"/>
      <c r="V1304" s="230"/>
      <c r="W1304" s="230"/>
      <c r="X1304" s="230"/>
      <c r="Y1304" s="230"/>
      <c r="Z1304" s="230"/>
      <c r="AA1304" s="230"/>
      <c r="AB1304" s="230"/>
    </row>
    <row r="1305">
      <c r="O1305" s="230"/>
      <c r="R1305" s="230"/>
      <c r="S1305" s="230"/>
      <c r="T1305" s="230"/>
      <c r="U1305" s="230"/>
      <c r="V1305" s="230"/>
      <c r="W1305" s="230"/>
      <c r="X1305" s="230"/>
      <c r="Y1305" s="230"/>
      <c r="Z1305" s="230"/>
      <c r="AA1305" s="230"/>
      <c r="AB1305" s="230"/>
    </row>
    <row r="1306">
      <c r="O1306" s="230"/>
      <c r="R1306" s="230"/>
      <c r="S1306" s="230"/>
      <c r="T1306" s="230"/>
      <c r="U1306" s="230"/>
      <c r="V1306" s="230"/>
      <c r="W1306" s="230"/>
      <c r="X1306" s="230"/>
      <c r="Y1306" s="230"/>
      <c r="Z1306" s="230"/>
      <c r="AA1306" s="230"/>
      <c r="AB1306" s="230"/>
    </row>
    <row r="1307">
      <c r="O1307" s="230"/>
      <c r="R1307" s="230"/>
      <c r="S1307" s="230"/>
      <c r="T1307" s="230"/>
      <c r="U1307" s="230"/>
      <c r="V1307" s="230"/>
      <c r="W1307" s="230"/>
      <c r="X1307" s="230"/>
      <c r="Y1307" s="230"/>
      <c r="Z1307" s="230"/>
      <c r="AA1307" s="230"/>
      <c r="AB1307" s="230"/>
    </row>
    <row r="1308">
      <c r="O1308" s="230"/>
      <c r="R1308" s="230"/>
      <c r="S1308" s="230"/>
      <c r="T1308" s="230"/>
      <c r="U1308" s="230"/>
      <c r="V1308" s="230"/>
      <c r="W1308" s="230"/>
      <c r="X1308" s="230"/>
      <c r="Y1308" s="230"/>
      <c r="Z1308" s="230"/>
      <c r="AA1308" s="230"/>
      <c r="AB1308" s="230"/>
    </row>
    <row r="1309">
      <c r="O1309" s="230"/>
      <c r="R1309" s="230"/>
      <c r="S1309" s="230"/>
      <c r="T1309" s="230"/>
      <c r="U1309" s="230"/>
      <c r="V1309" s="230"/>
      <c r="W1309" s="230"/>
      <c r="X1309" s="230"/>
      <c r="Y1309" s="230"/>
      <c r="Z1309" s="230"/>
      <c r="AA1309" s="230"/>
      <c r="AB1309" s="230"/>
    </row>
    <row r="1310">
      <c r="O1310" s="230"/>
      <c r="R1310" s="230"/>
      <c r="S1310" s="230"/>
      <c r="T1310" s="230"/>
      <c r="U1310" s="230"/>
      <c r="V1310" s="230"/>
      <c r="W1310" s="230"/>
      <c r="X1310" s="230"/>
      <c r="Y1310" s="230"/>
      <c r="Z1310" s="230"/>
      <c r="AA1310" s="230"/>
      <c r="AB1310" s="230"/>
    </row>
    <row r="1311">
      <c r="O1311" s="230"/>
      <c r="R1311" s="230"/>
      <c r="S1311" s="230"/>
      <c r="T1311" s="230"/>
      <c r="U1311" s="230"/>
      <c r="V1311" s="230"/>
      <c r="W1311" s="230"/>
      <c r="X1311" s="230"/>
      <c r="Y1311" s="230"/>
      <c r="Z1311" s="230"/>
      <c r="AA1311" s="230"/>
      <c r="AB1311" s="230"/>
    </row>
    <row r="1312">
      <c r="O1312" s="230"/>
      <c r="R1312" s="230"/>
      <c r="S1312" s="230"/>
      <c r="T1312" s="230"/>
      <c r="U1312" s="230"/>
      <c r="V1312" s="230"/>
      <c r="W1312" s="230"/>
      <c r="X1312" s="230"/>
      <c r="Y1312" s="230"/>
      <c r="Z1312" s="230"/>
      <c r="AA1312" s="230"/>
      <c r="AB1312" s="230"/>
    </row>
    <row r="1313">
      <c r="O1313" s="230"/>
      <c r="R1313" s="230"/>
      <c r="S1313" s="230"/>
      <c r="T1313" s="230"/>
      <c r="U1313" s="230"/>
      <c r="V1313" s="230"/>
      <c r="W1313" s="230"/>
      <c r="X1313" s="230"/>
      <c r="Y1313" s="230"/>
      <c r="Z1313" s="230"/>
      <c r="AA1313" s="230"/>
      <c r="AB1313" s="230"/>
    </row>
    <row r="1314">
      <c r="O1314" s="230"/>
      <c r="R1314" s="230"/>
      <c r="S1314" s="230"/>
      <c r="T1314" s="230"/>
      <c r="U1314" s="230"/>
      <c r="V1314" s="230"/>
      <c r="W1314" s="230"/>
      <c r="X1314" s="230"/>
      <c r="Y1314" s="230"/>
      <c r="Z1314" s="230"/>
      <c r="AA1314" s="230"/>
      <c r="AB1314" s="230"/>
    </row>
    <row r="1315">
      <c r="O1315" s="230"/>
      <c r="R1315" s="230"/>
      <c r="S1315" s="230"/>
      <c r="T1315" s="230"/>
      <c r="U1315" s="230"/>
      <c r="V1315" s="230"/>
      <c r="W1315" s="230"/>
      <c r="X1315" s="230"/>
      <c r="Y1315" s="230"/>
      <c r="Z1315" s="230"/>
      <c r="AA1315" s="230"/>
      <c r="AB1315" s="230"/>
    </row>
    <row r="1316">
      <c r="O1316" s="230"/>
      <c r="R1316" s="230"/>
      <c r="S1316" s="230"/>
      <c r="T1316" s="230"/>
      <c r="U1316" s="230"/>
      <c r="V1316" s="230"/>
      <c r="W1316" s="230"/>
      <c r="X1316" s="230"/>
      <c r="Y1316" s="230"/>
      <c r="Z1316" s="230"/>
      <c r="AA1316" s="230"/>
      <c r="AB1316" s="230"/>
    </row>
    <row r="1317">
      <c r="O1317" s="230"/>
      <c r="R1317" s="230"/>
      <c r="S1317" s="230"/>
      <c r="T1317" s="230"/>
      <c r="U1317" s="230"/>
      <c r="V1317" s="230"/>
      <c r="W1317" s="230"/>
      <c r="X1317" s="230"/>
      <c r="Y1317" s="230"/>
      <c r="Z1317" s="230"/>
      <c r="AA1317" s="230"/>
      <c r="AB1317" s="230"/>
    </row>
    <row r="1318">
      <c r="O1318" s="230"/>
      <c r="R1318" s="230"/>
      <c r="S1318" s="230"/>
      <c r="T1318" s="230"/>
      <c r="U1318" s="230"/>
      <c r="V1318" s="230"/>
      <c r="W1318" s="230"/>
      <c r="X1318" s="230"/>
      <c r="Y1318" s="230"/>
      <c r="Z1318" s="230"/>
      <c r="AA1318" s="230"/>
      <c r="AB1318" s="230"/>
    </row>
    <row r="1319">
      <c r="O1319" s="230"/>
      <c r="R1319" s="230"/>
      <c r="S1319" s="230"/>
      <c r="T1319" s="230"/>
      <c r="U1319" s="230"/>
      <c r="V1319" s="230"/>
      <c r="W1319" s="230"/>
      <c r="X1319" s="230"/>
      <c r="Y1319" s="230"/>
      <c r="Z1319" s="230"/>
      <c r="AA1319" s="230"/>
      <c r="AB1319" s="230"/>
    </row>
    <row r="1320">
      <c r="O1320" s="230"/>
      <c r="R1320" s="230"/>
      <c r="S1320" s="230"/>
      <c r="T1320" s="230"/>
      <c r="U1320" s="230"/>
      <c r="V1320" s="230"/>
      <c r="W1320" s="230"/>
      <c r="X1320" s="230"/>
      <c r="Y1320" s="230"/>
      <c r="Z1320" s="230"/>
      <c r="AA1320" s="230"/>
      <c r="AB1320" s="230"/>
    </row>
    <row r="1321">
      <c r="O1321" s="230"/>
      <c r="R1321" s="230"/>
      <c r="S1321" s="230"/>
      <c r="T1321" s="230"/>
      <c r="U1321" s="230"/>
      <c r="V1321" s="230"/>
      <c r="W1321" s="230"/>
      <c r="X1321" s="230"/>
      <c r="Y1321" s="230"/>
      <c r="Z1321" s="230"/>
      <c r="AA1321" s="230"/>
      <c r="AB1321" s="230"/>
    </row>
    <row r="1322">
      <c r="O1322" s="230"/>
      <c r="R1322" s="230"/>
      <c r="S1322" s="230"/>
      <c r="T1322" s="230"/>
      <c r="U1322" s="230"/>
      <c r="V1322" s="230"/>
      <c r="W1322" s="230"/>
      <c r="X1322" s="230"/>
      <c r="Y1322" s="230"/>
      <c r="Z1322" s="230"/>
      <c r="AA1322" s="230"/>
      <c r="AB1322" s="230"/>
    </row>
    <row r="1323">
      <c r="O1323" s="230"/>
      <c r="R1323" s="230"/>
      <c r="S1323" s="230"/>
      <c r="T1323" s="230"/>
      <c r="U1323" s="230"/>
      <c r="V1323" s="230"/>
      <c r="W1323" s="230"/>
      <c r="X1323" s="230"/>
      <c r="Y1323" s="230"/>
      <c r="Z1323" s="230"/>
      <c r="AA1323" s="230"/>
      <c r="AB1323" s="230"/>
    </row>
    <row r="1324">
      <c r="O1324" s="230"/>
      <c r="R1324" s="230"/>
      <c r="S1324" s="230"/>
      <c r="T1324" s="230"/>
      <c r="U1324" s="230"/>
      <c r="V1324" s="230"/>
      <c r="W1324" s="230"/>
      <c r="X1324" s="230"/>
      <c r="Y1324" s="230"/>
      <c r="Z1324" s="230"/>
      <c r="AA1324" s="230"/>
      <c r="AB1324" s="230"/>
    </row>
    <row r="1325">
      <c r="O1325" s="230"/>
      <c r="R1325" s="230"/>
      <c r="S1325" s="230"/>
      <c r="T1325" s="230"/>
      <c r="U1325" s="230"/>
      <c r="V1325" s="230"/>
      <c r="W1325" s="230"/>
      <c r="X1325" s="230"/>
      <c r="Y1325" s="230"/>
      <c r="Z1325" s="230"/>
      <c r="AA1325" s="230"/>
      <c r="AB1325" s="230"/>
    </row>
    <row r="1326">
      <c r="O1326" s="230"/>
      <c r="R1326" s="230"/>
      <c r="S1326" s="230"/>
      <c r="T1326" s="230"/>
      <c r="U1326" s="230"/>
      <c r="V1326" s="230"/>
      <c r="W1326" s="230"/>
      <c r="X1326" s="230"/>
      <c r="Y1326" s="230"/>
      <c r="Z1326" s="230"/>
      <c r="AA1326" s="230"/>
      <c r="AB1326" s="230"/>
    </row>
    <row r="1327">
      <c r="O1327" s="230"/>
      <c r="R1327" s="230"/>
      <c r="S1327" s="230"/>
      <c r="T1327" s="230"/>
      <c r="U1327" s="230"/>
      <c r="V1327" s="230"/>
      <c r="W1327" s="230"/>
      <c r="X1327" s="230"/>
      <c r="Y1327" s="230"/>
      <c r="Z1327" s="230"/>
      <c r="AA1327" s="230"/>
      <c r="AB1327" s="230"/>
    </row>
    <row r="1328">
      <c r="O1328" s="230"/>
      <c r="R1328" s="230"/>
      <c r="S1328" s="230"/>
      <c r="T1328" s="230"/>
      <c r="U1328" s="230"/>
      <c r="V1328" s="230"/>
      <c r="W1328" s="230"/>
      <c r="X1328" s="230"/>
      <c r="Y1328" s="230"/>
      <c r="Z1328" s="230"/>
      <c r="AA1328" s="230"/>
      <c r="AB1328" s="230"/>
    </row>
    <row r="1329">
      <c r="O1329" s="230"/>
      <c r="R1329" s="230"/>
      <c r="S1329" s="230"/>
      <c r="T1329" s="230"/>
      <c r="U1329" s="230"/>
      <c r="V1329" s="230"/>
      <c r="W1329" s="230"/>
      <c r="X1329" s="230"/>
      <c r="Y1329" s="230"/>
      <c r="Z1329" s="230"/>
      <c r="AA1329" s="230"/>
      <c r="AB1329" s="230"/>
    </row>
    <row r="1330">
      <c r="O1330" s="230"/>
      <c r="R1330" s="230"/>
      <c r="S1330" s="230"/>
      <c r="T1330" s="230"/>
      <c r="U1330" s="230"/>
      <c r="V1330" s="230"/>
      <c r="W1330" s="230"/>
      <c r="X1330" s="230"/>
      <c r="Y1330" s="230"/>
      <c r="Z1330" s="230"/>
      <c r="AA1330" s="230"/>
      <c r="AB1330" s="230"/>
    </row>
    <row r="1331">
      <c r="O1331" s="230"/>
      <c r="R1331" s="230"/>
      <c r="S1331" s="230"/>
      <c r="T1331" s="230"/>
      <c r="U1331" s="230"/>
      <c r="V1331" s="230"/>
      <c r="W1331" s="230"/>
      <c r="X1331" s="230"/>
      <c r="Y1331" s="230"/>
      <c r="Z1331" s="230"/>
      <c r="AA1331" s="230"/>
      <c r="AB1331" s="230"/>
    </row>
    <row r="1332">
      <c r="O1332" s="230"/>
      <c r="R1332" s="230"/>
      <c r="S1332" s="230"/>
      <c r="T1332" s="230"/>
      <c r="U1332" s="230"/>
      <c r="V1332" s="230"/>
      <c r="W1332" s="230"/>
      <c r="X1332" s="230"/>
      <c r="Y1332" s="230"/>
      <c r="Z1332" s="230"/>
      <c r="AA1332" s="230"/>
      <c r="AB1332" s="230"/>
    </row>
    <row r="1333">
      <c r="O1333" s="230"/>
      <c r="R1333" s="230"/>
      <c r="S1333" s="230"/>
      <c r="T1333" s="230"/>
      <c r="U1333" s="230"/>
      <c r="V1333" s="230"/>
      <c r="W1333" s="230"/>
      <c r="X1333" s="230"/>
      <c r="Y1333" s="230"/>
      <c r="Z1333" s="230"/>
      <c r="AA1333" s="230"/>
      <c r="AB1333" s="230"/>
    </row>
    <row r="1334">
      <c r="O1334" s="230"/>
      <c r="R1334" s="230"/>
      <c r="S1334" s="230"/>
      <c r="T1334" s="230"/>
      <c r="U1334" s="230"/>
      <c r="V1334" s="230"/>
      <c r="W1334" s="230"/>
      <c r="X1334" s="230"/>
      <c r="Y1334" s="230"/>
      <c r="Z1334" s="230"/>
      <c r="AA1334" s="230"/>
      <c r="AB1334" s="230"/>
    </row>
    <row r="1335">
      <c r="O1335" s="230"/>
      <c r="R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30"/>
    </row>
    <row r="1336">
      <c r="O1336" s="230"/>
      <c r="R1336" s="230"/>
      <c r="S1336" s="230"/>
      <c r="T1336" s="230"/>
      <c r="U1336" s="230"/>
      <c r="V1336" s="230"/>
      <c r="W1336" s="230"/>
      <c r="X1336" s="230"/>
      <c r="Y1336" s="230"/>
      <c r="Z1336" s="230"/>
      <c r="AA1336" s="230"/>
      <c r="AB1336" s="230"/>
    </row>
    <row r="1337">
      <c r="O1337" s="230"/>
      <c r="R1337" s="230"/>
      <c r="S1337" s="230"/>
      <c r="T1337" s="230"/>
      <c r="U1337" s="230"/>
      <c r="V1337" s="230"/>
      <c r="W1337" s="230"/>
      <c r="X1337" s="230"/>
      <c r="Y1337" s="230"/>
      <c r="Z1337" s="230"/>
      <c r="AA1337" s="230"/>
      <c r="AB1337" s="230"/>
    </row>
    <row r="1338">
      <c r="O1338" s="230"/>
      <c r="R1338" s="230"/>
      <c r="S1338" s="230"/>
      <c r="T1338" s="230"/>
      <c r="U1338" s="230"/>
      <c r="V1338" s="230"/>
      <c r="W1338" s="230"/>
      <c r="X1338" s="230"/>
      <c r="Y1338" s="230"/>
      <c r="Z1338" s="230"/>
      <c r="AA1338" s="230"/>
      <c r="AB1338" s="230"/>
    </row>
    <row r="1339">
      <c r="O1339" s="230"/>
      <c r="R1339" s="230"/>
      <c r="S1339" s="230"/>
      <c r="T1339" s="230"/>
      <c r="U1339" s="230"/>
      <c r="V1339" s="230"/>
      <c r="W1339" s="230"/>
      <c r="X1339" s="230"/>
      <c r="Y1339" s="230"/>
      <c r="Z1339" s="230"/>
      <c r="AA1339" s="230"/>
      <c r="AB1339" s="230"/>
    </row>
    <row r="1340">
      <c r="O1340" s="230"/>
      <c r="R1340" s="230"/>
      <c r="S1340" s="230"/>
      <c r="T1340" s="230"/>
      <c r="U1340" s="230"/>
      <c r="V1340" s="230"/>
      <c r="W1340" s="230"/>
      <c r="X1340" s="230"/>
      <c r="Y1340" s="230"/>
      <c r="Z1340" s="230"/>
      <c r="AA1340" s="230"/>
      <c r="AB1340" s="230"/>
    </row>
    <row r="1341">
      <c r="O1341" s="230"/>
      <c r="R1341" s="230"/>
      <c r="S1341" s="230"/>
      <c r="T1341" s="230"/>
      <c r="U1341" s="230"/>
      <c r="V1341" s="230"/>
      <c r="W1341" s="230"/>
      <c r="X1341" s="230"/>
      <c r="Y1341" s="230"/>
      <c r="Z1341" s="230"/>
      <c r="AA1341" s="230"/>
      <c r="AB1341" s="230"/>
    </row>
    <row r="1342">
      <c r="O1342" s="230"/>
      <c r="R1342" s="230"/>
      <c r="S1342" s="230"/>
      <c r="T1342" s="230"/>
      <c r="U1342" s="230"/>
      <c r="V1342" s="230"/>
      <c r="W1342" s="230"/>
      <c r="X1342" s="230"/>
      <c r="Y1342" s="230"/>
      <c r="Z1342" s="230"/>
      <c r="AA1342" s="230"/>
      <c r="AB1342" s="230"/>
    </row>
    <row r="1343">
      <c r="O1343" s="230"/>
      <c r="R1343" s="230"/>
      <c r="S1343" s="230"/>
      <c r="T1343" s="230"/>
      <c r="U1343" s="230"/>
      <c r="V1343" s="230"/>
      <c r="W1343" s="230"/>
      <c r="X1343" s="230"/>
      <c r="Y1343" s="230"/>
      <c r="Z1343" s="230"/>
      <c r="AA1343" s="230"/>
      <c r="AB1343" s="230"/>
    </row>
    <row r="1344">
      <c r="O1344" s="230"/>
      <c r="R1344" s="230"/>
      <c r="S1344" s="230"/>
      <c r="T1344" s="230"/>
      <c r="U1344" s="230"/>
      <c r="V1344" s="230"/>
      <c r="W1344" s="230"/>
      <c r="X1344" s="230"/>
      <c r="Y1344" s="230"/>
      <c r="Z1344" s="230"/>
      <c r="AA1344" s="230"/>
      <c r="AB1344" s="230"/>
    </row>
    <row r="1345">
      <c r="O1345" s="230"/>
      <c r="R1345" s="230"/>
      <c r="S1345" s="230"/>
      <c r="T1345" s="230"/>
      <c r="U1345" s="230"/>
      <c r="V1345" s="230"/>
      <c r="W1345" s="230"/>
      <c r="X1345" s="230"/>
      <c r="Y1345" s="230"/>
      <c r="Z1345" s="230"/>
      <c r="AA1345" s="230"/>
      <c r="AB1345" s="230"/>
    </row>
    <row r="1346">
      <c r="O1346" s="230"/>
      <c r="R1346" s="230"/>
      <c r="S1346" s="230"/>
      <c r="T1346" s="230"/>
      <c r="U1346" s="230"/>
      <c r="V1346" s="230"/>
      <c r="W1346" s="230"/>
      <c r="X1346" s="230"/>
      <c r="Y1346" s="230"/>
      <c r="Z1346" s="230"/>
      <c r="AA1346" s="230"/>
      <c r="AB1346" s="230"/>
    </row>
    <row r="1347">
      <c r="O1347" s="230"/>
      <c r="R1347" s="230"/>
      <c r="S1347" s="230"/>
      <c r="T1347" s="230"/>
      <c r="U1347" s="230"/>
      <c r="V1347" s="230"/>
      <c r="W1347" s="230"/>
      <c r="X1347" s="230"/>
      <c r="Y1347" s="230"/>
      <c r="Z1347" s="230"/>
      <c r="AA1347" s="230"/>
      <c r="AB1347" s="230"/>
    </row>
    <row r="1348">
      <c r="O1348" s="230"/>
      <c r="R1348" s="230"/>
      <c r="S1348" s="230"/>
      <c r="T1348" s="230"/>
      <c r="U1348" s="230"/>
      <c r="V1348" s="230"/>
      <c r="W1348" s="230"/>
      <c r="X1348" s="230"/>
      <c r="Y1348" s="230"/>
      <c r="Z1348" s="230"/>
      <c r="AA1348" s="230"/>
      <c r="AB1348" s="230"/>
    </row>
    <row r="1349">
      <c r="O1349" s="230"/>
      <c r="R1349" s="230"/>
      <c r="S1349" s="230"/>
      <c r="T1349" s="230"/>
      <c r="U1349" s="230"/>
      <c r="V1349" s="230"/>
      <c r="W1349" s="230"/>
      <c r="X1349" s="230"/>
      <c r="Y1349" s="230"/>
      <c r="Z1349" s="230"/>
      <c r="AA1349" s="230"/>
      <c r="AB1349" s="230"/>
    </row>
    <row r="1350">
      <c r="O1350" s="230"/>
      <c r="R1350" s="230"/>
      <c r="S1350" s="230"/>
      <c r="T1350" s="230"/>
      <c r="U1350" s="230"/>
      <c r="V1350" s="230"/>
      <c r="W1350" s="230"/>
      <c r="X1350" s="230"/>
      <c r="Y1350" s="230"/>
      <c r="Z1350" s="230"/>
      <c r="AA1350" s="230"/>
      <c r="AB1350" s="230"/>
    </row>
    <row r="1351">
      <c r="O1351" s="230"/>
      <c r="R1351" s="230"/>
      <c r="S1351" s="230"/>
      <c r="T1351" s="230"/>
      <c r="U1351" s="230"/>
      <c r="V1351" s="230"/>
      <c r="W1351" s="230"/>
      <c r="X1351" s="230"/>
      <c r="Y1351" s="230"/>
      <c r="Z1351" s="230"/>
      <c r="AA1351" s="230"/>
      <c r="AB1351" s="230"/>
    </row>
    <row r="1352">
      <c r="O1352" s="230"/>
      <c r="R1352" s="230"/>
      <c r="S1352" s="230"/>
      <c r="T1352" s="230"/>
      <c r="U1352" s="230"/>
      <c r="V1352" s="230"/>
      <c r="W1352" s="230"/>
      <c r="X1352" s="230"/>
      <c r="Y1352" s="230"/>
      <c r="Z1352" s="230"/>
      <c r="AA1352" s="230"/>
      <c r="AB1352" s="230"/>
    </row>
    <row r="1353">
      <c r="O1353" s="230"/>
      <c r="R1353" s="230"/>
      <c r="S1353" s="230"/>
      <c r="T1353" s="230"/>
      <c r="U1353" s="230"/>
      <c r="V1353" s="230"/>
      <c r="W1353" s="230"/>
      <c r="X1353" s="230"/>
      <c r="Y1353" s="230"/>
      <c r="Z1353" s="230"/>
      <c r="AA1353" s="230"/>
      <c r="AB1353" s="230"/>
    </row>
    <row r="1354">
      <c r="O1354" s="230"/>
      <c r="R1354" s="230"/>
      <c r="S1354" s="230"/>
      <c r="T1354" s="230"/>
      <c r="U1354" s="230"/>
      <c r="V1354" s="230"/>
      <c r="W1354" s="230"/>
      <c r="X1354" s="230"/>
      <c r="Y1354" s="230"/>
      <c r="Z1354" s="230"/>
      <c r="AA1354" s="230"/>
      <c r="AB1354" s="230"/>
    </row>
    <row r="1355">
      <c r="O1355" s="230"/>
      <c r="R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30"/>
    </row>
    <row r="1356">
      <c r="O1356" s="230"/>
      <c r="R1356" s="230"/>
      <c r="S1356" s="230"/>
      <c r="T1356" s="230"/>
      <c r="U1356" s="230"/>
      <c r="V1356" s="230"/>
      <c r="W1356" s="230"/>
      <c r="X1356" s="230"/>
      <c r="Y1356" s="230"/>
      <c r="Z1356" s="230"/>
      <c r="AA1356" s="230"/>
      <c r="AB1356" s="230"/>
    </row>
    <row r="1357">
      <c r="O1357" s="230"/>
      <c r="R1357" s="230"/>
      <c r="S1357" s="230"/>
      <c r="T1357" s="230"/>
      <c r="U1357" s="230"/>
      <c r="V1357" s="230"/>
      <c r="W1357" s="230"/>
      <c r="X1357" s="230"/>
      <c r="Y1357" s="230"/>
      <c r="Z1357" s="230"/>
      <c r="AA1357" s="230"/>
      <c r="AB1357" s="230"/>
    </row>
    <row r="1358">
      <c r="O1358" s="230"/>
      <c r="R1358" s="230"/>
      <c r="S1358" s="230"/>
      <c r="T1358" s="230"/>
      <c r="U1358" s="230"/>
      <c r="V1358" s="230"/>
      <c r="W1358" s="230"/>
      <c r="X1358" s="230"/>
      <c r="Y1358" s="230"/>
      <c r="Z1358" s="230"/>
      <c r="AA1358" s="230"/>
      <c r="AB1358" s="230"/>
    </row>
    <row r="1359">
      <c r="O1359" s="230"/>
      <c r="R1359" s="230"/>
      <c r="S1359" s="230"/>
      <c r="T1359" s="230"/>
      <c r="U1359" s="230"/>
      <c r="V1359" s="230"/>
      <c r="W1359" s="230"/>
      <c r="X1359" s="230"/>
      <c r="Y1359" s="230"/>
      <c r="Z1359" s="230"/>
      <c r="AA1359" s="230"/>
      <c r="AB1359" s="230"/>
    </row>
    <row r="1360">
      <c r="O1360" s="230"/>
      <c r="R1360" s="230"/>
      <c r="S1360" s="230"/>
      <c r="T1360" s="230"/>
      <c r="U1360" s="230"/>
      <c r="V1360" s="230"/>
      <c r="W1360" s="230"/>
      <c r="X1360" s="230"/>
      <c r="Y1360" s="230"/>
      <c r="Z1360" s="230"/>
      <c r="AA1360" s="230"/>
      <c r="AB1360" s="230"/>
    </row>
    <row r="1361">
      <c r="O1361" s="230"/>
      <c r="R1361" s="230"/>
      <c r="S1361" s="230"/>
      <c r="T1361" s="230"/>
      <c r="U1361" s="230"/>
      <c r="V1361" s="230"/>
      <c r="W1361" s="230"/>
      <c r="X1361" s="230"/>
      <c r="Y1361" s="230"/>
      <c r="Z1361" s="230"/>
      <c r="AA1361" s="230"/>
      <c r="AB1361" s="230"/>
    </row>
    <row r="1362">
      <c r="O1362" s="230"/>
      <c r="R1362" s="230"/>
      <c r="S1362" s="230"/>
      <c r="T1362" s="230"/>
      <c r="U1362" s="230"/>
      <c r="V1362" s="230"/>
      <c r="W1362" s="230"/>
      <c r="X1362" s="230"/>
      <c r="Y1362" s="230"/>
      <c r="Z1362" s="230"/>
      <c r="AA1362" s="230"/>
      <c r="AB1362" s="230"/>
    </row>
    <row r="1363">
      <c r="O1363" s="230"/>
      <c r="R1363" s="230"/>
      <c r="S1363" s="230"/>
      <c r="T1363" s="230"/>
      <c r="U1363" s="230"/>
      <c r="V1363" s="230"/>
      <c r="W1363" s="230"/>
      <c r="X1363" s="230"/>
      <c r="Y1363" s="230"/>
      <c r="Z1363" s="230"/>
      <c r="AA1363" s="230"/>
      <c r="AB1363" s="230"/>
    </row>
    <row r="1364">
      <c r="O1364" s="230"/>
      <c r="R1364" s="230"/>
      <c r="S1364" s="230"/>
      <c r="T1364" s="230"/>
      <c r="U1364" s="230"/>
      <c r="V1364" s="230"/>
      <c r="W1364" s="230"/>
      <c r="X1364" s="230"/>
      <c r="Y1364" s="230"/>
      <c r="Z1364" s="230"/>
      <c r="AA1364" s="230"/>
      <c r="AB1364" s="230"/>
    </row>
    <row r="1365">
      <c r="O1365" s="230"/>
      <c r="R1365" s="230"/>
      <c r="S1365" s="230"/>
      <c r="T1365" s="230"/>
      <c r="U1365" s="230"/>
      <c r="V1365" s="230"/>
      <c r="W1365" s="230"/>
      <c r="X1365" s="230"/>
      <c r="Y1365" s="230"/>
      <c r="Z1365" s="230"/>
      <c r="AA1365" s="230"/>
      <c r="AB1365" s="230"/>
    </row>
    <row r="1366">
      <c r="O1366" s="230"/>
      <c r="R1366" s="230"/>
      <c r="S1366" s="230"/>
      <c r="T1366" s="230"/>
      <c r="U1366" s="230"/>
      <c r="V1366" s="230"/>
      <c r="W1366" s="230"/>
      <c r="X1366" s="230"/>
      <c r="Y1366" s="230"/>
      <c r="Z1366" s="230"/>
      <c r="AA1366" s="230"/>
      <c r="AB1366" s="230"/>
    </row>
    <row r="1367">
      <c r="O1367" s="230"/>
      <c r="R1367" s="230"/>
      <c r="S1367" s="230"/>
      <c r="T1367" s="230"/>
      <c r="U1367" s="230"/>
      <c r="V1367" s="230"/>
      <c r="W1367" s="230"/>
      <c r="X1367" s="230"/>
      <c r="Y1367" s="230"/>
      <c r="Z1367" s="230"/>
      <c r="AA1367" s="230"/>
      <c r="AB1367" s="230"/>
    </row>
    <row r="1368">
      <c r="O1368" s="230"/>
      <c r="R1368" s="230"/>
      <c r="S1368" s="230"/>
      <c r="T1368" s="230"/>
      <c r="U1368" s="230"/>
      <c r="V1368" s="230"/>
      <c r="W1368" s="230"/>
      <c r="X1368" s="230"/>
      <c r="Y1368" s="230"/>
      <c r="Z1368" s="230"/>
      <c r="AA1368" s="230"/>
      <c r="AB1368" s="230"/>
    </row>
    <row r="1369">
      <c r="O1369" s="230"/>
      <c r="R1369" s="230"/>
      <c r="S1369" s="230"/>
      <c r="T1369" s="230"/>
      <c r="U1369" s="230"/>
      <c r="V1369" s="230"/>
      <c r="W1369" s="230"/>
      <c r="X1369" s="230"/>
      <c r="Y1369" s="230"/>
      <c r="Z1369" s="230"/>
      <c r="AA1369" s="230"/>
      <c r="AB1369" s="230"/>
    </row>
    <row r="1370">
      <c r="O1370" s="230"/>
      <c r="R1370" s="230"/>
      <c r="S1370" s="230"/>
      <c r="T1370" s="230"/>
      <c r="U1370" s="230"/>
      <c r="V1370" s="230"/>
      <c r="W1370" s="230"/>
      <c r="X1370" s="230"/>
      <c r="Y1370" s="230"/>
      <c r="Z1370" s="230"/>
      <c r="AA1370" s="230"/>
      <c r="AB1370" s="230"/>
    </row>
    <row r="1371">
      <c r="O1371" s="230"/>
      <c r="R1371" s="230"/>
      <c r="S1371" s="230"/>
      <c r="T1371" s="230"/>
      <c r="U1371" s="230"/>
      <c r="V1371" s="230"/>
      <c r="W1371" s="230"/>
      <c r="X1371" s="230"/>
      <c r="Y1371" s="230"/>
      <c r="Z1371" s="230"/>
      <c r="AA1371" s="230"/>
      <c r="AB1371" s="230"/>
    </row>
    <row r="1372">
      <c r="O1372" s="230"/>
      <c r="R1372" s="230"/>
      <c r="S1372" s="230"/>
      <c r="T1372" s="230"/>
      <c r="U1372" s="230"/>
      <c r="V1372" s="230"/>
      <c r="W1372" s="230"/>
      <c r="X1372" s="230"/>
      <c r="Y1372" s="230"/>
      <c r="Z1372" s="230"/>
      <c r="AA1372" s="230"/>
      <c r="AB1372" s="230"/>
    </row>
    <row r="1373">
      <c r="O1373" s="230"/>
      <c r="R1373" s="230"/>
      <c r="S1373" s="230"/>
      <c r="T1373" s="230"/>
      <c r="U1373" s="230"/>
      <c r="V1373" s="230"/>
      <c r="W1373" s="230"/>
      <c r="X1373" s="230"/>
      <c r="Y1373" s="230"/>
      <c r="Z1373" s="230"/>
      <c r="AA1373" s="230"/>
      <c r="AB1373" s="230"/>
    </row>
    <row r="1374">
      <c r="O1374" s="230"/>
      <c r="R1374" s="230"/>
      <c r="S1374" s="230"/>
      <c r="T1374" s="230"/>
      <c r="U1374" s="230"/>
      <c r="V1374" s="230"/>
      <c r="W1374" s="230"/>
      <c r="X1374" s="230"/>
      <c r="Y1374" s="230"/>
      <c r="Z1374" s="230"/>
      <c r="AA1374" s="230"/>
      <c r="AB1374" s="230"/>
    </row>
    <row r="1375">
      <c r="O1375" s="230"/>
      <c r="R1375" s="230"/>
      <c r="S1375" s="230"/>
      <c r="T1375" s="230"/>
      <c r="U1375" s="230"/>
      <c r="V1375" s="230"/>
      <c r="W1375" s="230"/>
      <c r="X1375" s="230"/>
      <c r="Y1375" s="230"/>
      <c r="Z1375" s="230"/>
      <c r="AA1375" s="230"/>
      <c r="AB1375" s="230"/>
    </row>
    <row r="1376">
      <c r="O1376" s="230"/>
      <c r="R1376" s="230"/>
      <c r="S1376" s="230"/>
      <c r="T1376" s="230"/>
      <c r="U1376" s="230"/>
      <c r="V1376" s="230"/>
      <c r="W1376" s="230"/>
      <c r="X1376" s="230"/>
      <c r="Y1376" s="230"/>
      <c r="Z1376" s="230"/>
      <c r="AA1376" s="230"/>
      <c r="AB1376" s="230"/>
    </row>
    <row r="1377">
      <c r="O1377" s="230"/>
      <c r="R1377" s="230"/>
      <c r="S1377" s="230"/>
      <c r="T1377" s="230"/>
      <c r="U1377" s="230"/>
      <c r="V1377" s="230"/>
      <c r="W1377" s="230"/>
      <c r="X1377" s="230"/>
      <c r="Y1377" s="230"/>
      <c r="Z1377" s="230"/>
      <c r="AA1377" s="230"/>
      <c r="AB1377" s="230"/>
    </row>
    <row r="1378">
      <c r="O1378" s="230"/>
      <c r="R1378" s="230"/>
      <c r="S1378" s="230"/>
      <c r="T1378" s="230"/>
      <c r="U1378" s="230"/>
      <c r="V1378" s="230"/>
      <c r="W1378" s="230"/>
      <c r="X1378" s="230"/>
      <c r="Y1378" s="230"/>
      <c r="Z1378" s="230"/>
      <c r="AA1378" s="230"/>
      <c r="AB1378" s="230"/>
    </row>
    <row r="1379">
      <c r="O1379" s="230"/>
      <c r="R1379" s="230"/>
      <c r="S1379" s="230"/>
      <c r="T1379" s="230"/>
      <c r="U1379" s="230"/>
      <c r="V1379" s="230"/>
      <c r="W1379" s="230"/>
      <c r="X1379" s="230"/>
      <c r="Y1379" s="230"/>
      <c r="Z1379" s="230"/>
      <c r="AA1379" s="230"/>
      <c r="AB1379" s="230"/>
    </row>
    <row r="1380">
      <c r="O1380" s="230"/>
      <c r="R1380" s="230"/>
      <c r="S1380" s="230"/>
      <c r="T1380" s="230"/>
      <c r="U1380" s="230"/>
      <c r="V1380" s="230"/>
      <c r="W1380" s="230"/>
      <c r="X1380" s="230"/>
      <c r="Y1380" s="230"/>
      <c r="Z1380" s="230"/>
      <c r="AA1380" s="230"/>
      <c r="AB1380" s="230"/>
    </row>
    <row r="1381">
      <c r="O1381" s="230"/>
      <c r="R1381" s="230"/>
      <c r="S1381" s="230"/>
      <c r="T1381" s="230"/>
      <c r="U1381" s="230"/>
      <c r="V1381" s="230"/>
      <c r="W1381" s="230"/>
      <c r="X1381" s="230"/>
      <c r="Y1381" s="230"/>
      <c r="Z1381" s="230"/>
      <c r="AA1381" s="230"/>
      <c r="AB1381" s="230"/>
    </row>
    <row r="1382">
      <c r="O1382" s="230"/>
      <c r="R1382" s="230"/>
      <c r="S1382" s="230"/>
      <c r="T1382" s="230"/>
      <c r="U1382" s="230"/>
      <c r="V1382" s="230"/>
      <c r="W1382" s="230"/>
      <c r="X1382" s="230"/>
      <c r="Y1382" s="230"/>
      <c r="Z1382" s="230"/>
      <c r="AA1382" s="230"/>
      <c r="AB1382" s="230"/>
    </row>
    <row r="1383">
      <c r="O1383" s="230"/>
      <c r="R1383" s="230"/>
      <c r="S1383" s="230"/>
      <c r="T1383" s="230"/>
      <c r="U1383" s="230"/>
      <c r="V1383" s="230"/>
      <c r="W1383" s="230"/>
      <c r="X1383" s="230"/>
      <c r="Y1383" s="230"/>
      <c r="Z1383" s="230"/>
      <c r="AA1383" s="230"/>
      <c r="AB1383" s="230"/>
    </row>
    <row r="1384">
      <c r="O1384" s="230"/>
      <c r="R1384" s="230"/>
      <c r="S1384" s="230"/>
      <c r="T1384" s="230"/>
      <c r="U1384" s="230"/>
      <c r="V1384" s="230"/>
      <c r="W1384" s="230"/>
      <c r="X1384" s="230"/>
      <c r="Y1384" s="230"/>
      <c r="Z1384" s="230"/>
      <c r="AA1384" s="230"/>
      <c r="AB1384" s="230"/>
    </row>
    <row r="1385">
      <c r="O1385" s="230"/>
      <c r="R1385" s="230"/>
      <c r="S1385" s="230"/>
      <c r="T1385" s="230"/>
      <c r="U1385" s="230"/>
      <c r="V1385" s="230"/>
      <c r="W1385" s="230"/>
      <c r="X1385" s="230"/>
      <c r="Y1385" s="230"/>
      <c r="Z1385" s="230"/>
      <c r="AA1385" s="230"/>
      <c r="AB1385" s="230"/>
    </row>
    <row r="1386">
      <c r="O1386" s="230"/>
      <c r="R1386" s="230"/>
      <c r="S1386" s="230"/>
      <c r="T1386" s="230"/>
      <c r="U1386" s="230"/>
      <c r="V1386" s="230"/>
      <c r="W1386" s="230"/>
      <c r="X1386" s="230"/>
      <c r="Y1386" s="230"/>
      <c r="Z1386" s="230"/>
      <c r="AA1386" s="230"/>
      <c r="AB1386" s="230"/>
    </row>
    <row r="1387">
      <c r="O1387" s="230"/>
      <c r="R1387" s="230"/>
      <c r="S1387" s="230"/>
      <c r="T1387" s="230"/>
      <c r="U1387" s="230"/>
      <c r="V1387" s="230"/>
      <c r="W1387" s="230"/>
      <c r="X1387" s="230"/>
      <c r="Y1387" s="230"/>
      <c r="Z1387" s="230"/>
      <c r="AA1387" s="230"/>
      <c r="AB1387" s="230"/>
    </row>
    <row r="1388">
      <c r="O1388" s="230"/>
      <c r="R1388" s="230"/>
      <c r="S1388" s="230"/>
      <c r="T1388" s="230"/>
      <c r="U1388" s="230"/>
      <c r="V1388" s="230"/>
      <c r="W1388" s="230"/>
      <c r="X1388" s="230"/>
      <c r="Y1388" s="230"/>
      <c r="Z1388" s="230"/>
      <c r="AA1388" s="230"/>
      <c r="AB1388" s="230"/>
    </row>
    <row r="1389">
      <c r="O1389" s="230"/>
      <c r="R1389" s="230"/>
      <c r="S1389" s="230"/>
      <c r="T1389" s="230"/>
      <c r="U1389" s="230"/>
      <c r="V1389" s="230"/>
      <c r="W1389" s="230"/>
      <c r="X1389" s="230"/>
      <c r="Y1389" s="230"/>
      <c r="Z1389" s="230"/>
      <c r="AA1389" s="230"/>
      <c r="AB1389" s="230"/>
    </row>
    <row r="1390">
      <c r="O1390" s="230"/>
      <c r="R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</row>
    <row r="1391">
      <c r="O1391" s="230"/>
      <c r="R1391" s="230"/>
      <c r="S1391" s="230"/>
      <c r="T1391" s="230"/>
      <c r="U1391" s="230"/>
      <c r="V1391" s="230"/>
      <c r="W1391" s="230"/>
      <c r="X1391" s="230"/>
      <c r="Y1391" s="230"/>
      <c r="Z1391" s="230"/>
      <c r="AA1391" s="230"/>
      <c r="AB1391" s="230"/>
    </row>
    <row r="1392">
      <c r="O1392" s="230"/>
      <c r="R1392" s="230"/>
      <c r="S1392" s="230"/>
      <c r="T1392" s="230"/>
      <c r="U1392" s="230"/>
      <c r="V1392" s="230"/>
      <c r="W1392" s="230"/>
      <c r="X1392" s="230"/>
      <c r="Y1392" s="230"/>
      <c r="Z1392" s="230"/>
      <c r="AA1392" s="230"/>
      <c r="AB1392" s="230"/>
    </row>
    <row r="1393">
      <c r="O1393" s="230"/>
      <c r="R1393" s="230"/>
      <c r="S1393" s="230"/>
      <c r="T1393" s="230"/>
      <c r="U1393" s="230"/>
      <c r="V1393" s="230"/>
      <c r="W1393" s="230"/>
      <c r="X1393" s="230"/>
      <c r="Y1393" s="230"/>
      <c r="Z1393" s="230"/>
      <c r="AA1393" s="230"/>
      <c r="AB1393" s="230"/>
    </row>
    <row r="1394">
      <c r="O1394" s="230"/>
      <c r="R1394" s="230"/>
      <c r="S1394" s="230"/>
      <c r="T1394" s="230"/>
      <c r="U1394" s="230"/>
      <c r="V1394" s="230"/>
      <c r="W1394" s="230"/>
      <c r="X1394" s="230"/>
      <c r="Y1394" s="230"/>
      <c r="Z1394" s="230"/>
      <c r="AA1394" s="230"/>
      <c r="AB1394" s="230"/>
    </row>
    <row r="1395">
      <c r="O1395" s="230"/>
      <c r="R1395" s="230"/>
      <c r="S1395" s="230"/>
      <c r="T1395" s="230"/>
      <c r="U1395" s="230"/>
      <c r="V1395" s="230"/>
      <c r="W1395" s="230"/>
      <c r="X1395" s="230"/>
      <c r="Y1395" s="230"/>
      <c r="Z1395" s="230"/>
      <c r="AA1395" s="230"/>
      <c r="AB1395" s="230"/>
    </row>
    <row r="1396">
      <c r="O1396" s="230"/>
      <c r="R1396" s="230"/>
      <c r="S1396" s="230"/>
      <c r="T1396" s="230"/>
      <c r="U1396" s="230"/>
      <c r="V1396" s="230"/>
      <c r="W1396" s="230"/>
      <c r="X1396" s="230"/>
      <c r="Y1396" s="230"/>
      <c r="Z1396" s="230"/>
      <c r="AA1396" s="230"/>
      <c r="AB1396" s="230"/>
    </row>
    <row r="1397">
      <c r="O1397" s="230"/>
      <c r="R1397" s="230"/>
      <c r="S1397" s="230"/>
      <c r="T1397" s="230"/>
      <c r="U1397" s="230"/>
      <c r="V1397" s="230"/>
      <c r="W1397" s="230"/>
      <c r="X1397" s="230"/>
      <c r="Y1397" s="230"/>
      <c r="Z1397" s="230"/>
      <c r="AA1397" s="230"/>
      <c r="AB1397" s="230"/>
    </row>
    <row r="1398">
      <c r="O1398" s="230"/>
      <c r="R1398" s="230"/>
      <c r="S1398" s="230"/>
      <c r="T1398" s="230"/>
      <c r="U1398" s="230"/>
      <c r="V1398" s="230"/>
      <c r="W1398" s="230"/>
      <c r="X1398" s="230"/>
      <c r="Y1398" s="230"/>
      <c r="Z1398" s="230"/>
      <c r="AA1398" s="230"/>
      <c r="AB1398" s="230"/>
    </row>
    <row r="1399">
      <c r="O1399" s="230"/>
      <c r="R1399" s="230"/>
      <c r="S1399" s="230"/>
      <c r="T1399" s="230"/>
      <c r="U1399" s="230"/>
      <c r="V1399" s="230"/>
      <c r="W1399" s="230"/>
      <c r="X1399" s="230"/>
      <c r="Y1399" s="230"/>
      <c r="Z1399" s="230"/>
      <c r="AA1399" s="230"/>
      <c r="AB1399" s="230"/>
    </row>
    <row r="1400">
      <c r="O1400" s="230"/>
      <c r="R1400" s="230"/>
      <c r="S1400" s="230"/>
      <c r="T1400" s="230"/>
      <c r="U1400" s="230"/>
      <c r="V1400" s="230"/>
      <c r="W1400" s="230"/>
      <c r="X1400" s="230"/>
      <c r="Y1400" s="230"/>
      <c r="Z1400" s="230"/>
      <c r="AA1400" s="230"/>
      <c r="AB1400" s="230"/>
    </row>
    <row r="1401">
      <c r="O1401" s="230"/>
      <c r="R1401" s="230"/>
      <c r="S1401" s="230"/>
      <c r="T1401" s="230"/>
      <c r="U1401" s="230"/>
      <c r="V1401" s="230"/>
      <c r="W1401" s="230"/>
      <c r="X1401" s="230"/>
      <c r="Y1401" s="230"/>
      <c r="Z1401" s="230"/>
      <c r="AA1401" s="230"/>
      <c r="AB1401" s="230"/>
    </row>
    <row r="1402">
      <c r="O1402" s="230"/>
      <c r="R1402" s="230"/>
      <c r="S1402" s="230"/>
      <c r="T1402" s="230"/>
      <c r="U1402" s="230"/>
      <c r="V1402" s="230"/>
      <c r="W1402" s="230"/>
      <c r="X1402" s="230"/>
      <c r="Y1402" s="230"/>
      <c r="Z1402" s="230"/>
      <c r="AA1402" s="230"/>
      <c r="AB1402" s="230"/>
    </row>
    <row r="1403">
      <c r="O1403" s="230"/>
      <c r="R1403" s="230"/>
      <c r="S1403" s="230"/>
      <c r="T1403" s="230"/>
      <c r="U1403" s="230"/>
      <c r="V1403" s="230"/>
      <c r="W1403" s="230"/>
      <c r="X1403" s="230"/>
      <c r="Y1403" s="230"/>
      <c r="Z1403" s="230"/>
      <c r="AA1403" s="230"/>
      <c r="AB1403" s="230"/>
    </row>
    <row r="1404">
      <c r="O1404" s="230"/>
      <c r="R1404" s="230"/>
      <c r="S1404" s="230"/>
      <c r="T1404" s="230"/>
      <c r="U1404" s="230"/>
      <c r="V1404" s="230"/>
      <c r="W1404" s="230"/>
      <c r="X1404" s="230"/>
      <c r="Y1404" s="230"/>
      <c r="Z1404" s="230"/>
      <c r="AA1404" s="230"/>
      <c r="AB1404" s="230"/>
    </row>
    <row r="1405">
      <c r="O1405" s="230"/>
      <c r="R1405" s="230"/>
      <c r="S1405" s="230"/>
      <c r="T1405" s="230"/>
      <c r="U1405" s="230"/>
      <c r="V1405" s="230"/>
      <c r="W1405" s="230"/>
      <c r="X1405" s="230"/>
      <c r="Y1405" s="230"/>
      <c r="Z1405" s="230"/>
      <c r="AA1405" s="230"/>
      <c r="AB1405" s="230"/>
    </row>
    <row r="1406">
      <c r="O1406" s="230"/>
      <c r="R1406" s="230"/>
      <c r="S1406" s="230"/>
      <c r="T1406" s="230"/>
      <c r="U1406" s="230"/>
      <c r="V1406" s="230"/>
      <c r="W1406" s="230"/>
      <c r="X1406" s="230"/>
      <c r="Y1406" s="230"/>
      <c r="Z1406" s="230"/>
      <c r="AA1406" s="230"/>
      <c r="AB1406" s="230"/>
    </row>
    <row r="1407">
      <c r="O1407" s="230"/>
      <c r="R1407" s="230"/>
      <c r="S1407" s="230"/>
      <c r="T1407" s="230"/>
      <c r="U1407" s="230"/>
      <c r="V1407" s="230"/>
      <c r="W1407" s="230"/>
      <c r="X1407" s="230"/>
      <c r="Y1407" s="230"/>
      <c r="Z1407" s="230"/>
      <c r="AA1407" s="230"/>
      <c r="AB1407" s="230"/>
    </row>
    <row r="1408">
      <c r="O1408" s="230"/>
      <c r="R1408" s="230"/>
      <c r="S1408" s="230"/>
      <c r="T1408" s="230"/>
      <c r="U1408" s="230"/>
      <c r="V1408" s="230"/>
      <c r="W1408" s="230"/>
      <c r="X1408" s="230"/>
      <c r="Y1408" s="230"/>
      <c r="Z1408" s="230"/>
      <c r="AA1408" s="230"/>
      <c r="AB1408" s="230"/>
    </row>
    <row r="1409">
      <c r="O1409" s="230"/>
      <c r="R1409" s="230"/>
      <c r="S1409" s="230"/>
      <c r="T1409" s="230"/>
      <c r="U1409" s="230"/>
      <c r="V1409" s="230"/>
      <c r="W1409" s="230"/>
      <c r="X1409" s="230"/>
      <c r="Y1409" s="230"/>
      <c r="Z1409" s="230"/>
      <c r="AA1409" s="230"/>
      <c r="AB1409" s="230"/>
    </row>
    <row r="1410">
      <c r="O1410" s="230"/>
      <c r="R1410" s="230"/>
      <c r="S1410" s="230"/>
      <c r="T1410" s="230"/>
      <c r="U1410" s="230"/>
      <c r="V1410" s="230"/>
      <c r="W1410" s="230"/>
      <c r="X1410" s="230"/>
      <c r="Y1410" s="230"/>
      <c r="Z1410" s="230"/>
      <c r="AA1410" s="230"/>
      <c r="AB1410" s="230"/>
    </row>
    <row r="1411">
      <c r="O1411" s="230"/>
      <c r="R1411" s="230"/>
      <c r="S1411" s="230"/>
      <c r="T1411" s="230"/>
      <c r="U1411" s="230"/>
      <c r="V1411" s="230"/>
      <c r="W1411" s="230"/>
      <c r="X1411" s="230"/>
      <c r="Y1411" s="230"/>
      <c r="Z1411" s="230"/>
      <c r="AA1411" s="230"/>
      <c r="AB1411" s="230"/>
    </row>
    <row r="1412">
      <c r="O1412" s="230"/>
      <c r="R1412" s="230"/>
      <c r="S1412" s="230"/>
      <c r="T1412" s="230"/>
      <c r="U1412" s="230"/>
      <c r="V1412" s="230"/>
      <c r="W1412" s="230"/>
      <c r="X1412" s="230"/>
      <c r="Y1412" s="230"/>
      <c r="Z1412" s="230"/>
      <c r="AA1412" s="230"/>
      <c r="AB1412" s="230"/>
    </row>
    <row r="1413">
      <c r="O1413" s="230"/>
      <c r="R1413" s="230"/>
      <c r="S1413" s="230"/>
      <c r="T1413" s="230"/>
      <c r="U1413" s="230"/>
      <c r="V1413" s="230"/>
      <c r="W1413" s="230"/>
      <c r="X1413" s="230"/>
      <c r="Y1413" s="230"/>
      <c r="Z1413" s="230"/>
      <c r="AA1413" s="230"/>
      <c r="AB1413" s="230"/>
    </row>
    <row r="1414">
      <c r="O1414" s="230"/>
      <c r="R1414" s="230"/>
      <c r="S1414" s="230"/>
      <c r="T1414" s="230"/>
      <c r="U1414" s="230"/>
      <c r="V1414" s="230"/>
      <c r="W1414" s="230"/>
      <c r="X1414" s="230"/>
      <c r="Y1414" s="230"/>
      <c r="Z1414" s="230"/>
      <c r="AA1414" s="230"/>
      <c r="AB1414" s="230"/>
    </row>
    <row r="1415">
      <c r="O1415" s="230"/>
      <c r="R1415" s="230"/>
      <c r="S1415" s="230"/>
      <c r="T1415" s="230"/>
      <c r="U1415" s="230"/>
      <c r="V1415" s="230"/>
      <c r="W1415" s="230"/>
      <c r="X1415" s="230"/>
      <c r="Y1415" s="230"/>
      <c r="Z1415" s="230"/>
      <c r="AA1415" s="230"/>
      <c r="AB1415" s="230"/>
    </row>
    <row r="1416">
      <c r="O1416" s="230"/>
      <c r="R1416" s="230"/>
      <c r="S1416" s="230"/>
      <c r="T1416" s="230"/>
      <c r="U1416" s="230"/>
      <c r="V1416" s="230"/>
      <c r="W1416" s="230"/>
      <c r="X1416" s="230"/>
      <c r="Y1416" s="230"/>
      <c r="Z1416" s="230"/>
      <c r="AA1416" s="230"/>
      <c r="AB1416" s="230"/>
    </row>
    <row r="1417">
      <c r="O1417" s="230"/>
      <c r="R1417" s="230"/>
      <c r="S1417" s="230"/>
      <c r="T1417" s="230"/>
      <c r="U1417" s="230"/>
      <c r="V1417" s="230"/>
      <c r="W1417" s="230"/>
      <c r="X1417" s="230"/>
      <c r="Y1417" s="230"/>
      <c r="Z1417" s="230"/>
      <c r="AA1417" s="230"/>
      <c r="AB1417" s="230"/>
    </row>
    <row r="1418">
      <c r="O1418" s="230"/>
      <c r="R1418" s="230"/>
      <c r="S1418" s="230"/>
      <c r="T1418" s="230"/>
      <c r="U1418" s="230"/>
      <c r="V1418" s="230"/>
      <c r="W1418" s="230"/>
      <c r="X1418" s="230"/>
      <c r="Y1418" s="230"/>
      <c r="Z1418" s="230"/>
      <c r="AA1418" s="230"/>
      <c r="AB1418" s="230"/>
    </row>
    <row r="1419">
      <c r="O1419" s="230"/>
      <c r="R1419" s="230"/>
      <c r="S1419" s="230"/>
      <c r="T1419" s="230"/>
      <c r="U1419" s="230"/>
      <c r="V1419" s="230"/>
      <c r="W1419" s="230"/>
      <c r="X1419" s="230"/>
      <c r="Y1419" s="230"/>
      <c r="Z1419" s="230"/>
      <c r="AA1419" s="230"/>
      <c r="AB1419" s="230"/>
    </row>
    <row r="1420">
      <c r="O1420" s="230"/>
      <c r="R1420" s="230"/>
      <c r="S1420" s="230"/>
      <c r="T1420" s="230"/>
      <c r="U1420" s="230"/>
      <c r="V1420" s="230"/>
      <c r="W1420" s="230"/>
      <c r="X1420" s="230"/>
      <c r="Y1420" s="230"/>
      <c r="Z1420" s="230"/>
      <c r="AA1420" s="230"/>
      <c r="AB1420" s="230"/>
    </row>
    <row r="1421">
      <c r="O1421" s="230"/>
      <c r="R1421" s="230"/>
      <c r="S1421" s="230"/>
      <c r="T1421" s="230"/>
      <c r="U1421" s="230"/>
      <c r="V1421" s="230"/>
      <c r="W1421" s="230"/>
      <c r="X1421" s="230"/>
      <c r="Y1421" s="230"/>
      <c r="Z1421" s="230"/>
      <c r="AA1421" s="230"/>
      <c r="AB1421" s="230"/>
    </row>
    <row r="1422">
      <c r="O1422" s="230"/>
      <c r="R1422" s="230"/>
      <c r="S1422" s="230"/>
      <c r="T1422" s="230"/>
      <c r="U1422" s="230"/>
      <c r="V1422" s="230"/>
      <c r="W1422" s="230"/>
      <c r="X1422" s="230"/>
      <c r="Y1422" s="230"/>
      <c r="Z1422" s="230"/>
      <c r="AA1422" s="230"/>
      <c r="AB1422" s="230"/>
    </row>
    <row r="1423">
      <c r="O1423" s="230"/>
      <c r="R1423" s="230"/>
      <c r="S1423" s="230"/>
      <c r="T1423" s="230"/>
      <c r="U1423" s="230"/>
      <c r="V1423" s="230"/>
      <c r="W1423" s="230"/>
      <c r="X1423" s="230"/>
      <c r="Y1423" s="230"/>
      <c r="Z1423" s="230"/>
      <c r="AA1423" s="230"/>
      <c r="AB1423" s="230"/>
    </row>
    <row r="1424">
      <c r="O1424" s="230"/>
      <c r="R1424" s="230"/>
      <c r="S1424" s="230"/>
      <c r="T1424" s="230"/>
      <c r="U1424" s="230"/>
      <c r="V1424" s="230"/>
      <c r="W1424" s="230"/>
      <c r="X1424" s="230"/>
      <c r="Y1424" s="230"/>
      <c r="Z1424" s="230"/>
      <c r="AA1424" s="230"/>
      <c r="AB1424" s="230"/>
    </row>
    <row r="1425">
      <c r="O1425" s="230"/>
      <c r="R1425" s="230"/>
      <c r="S1425" s="230"/>
      <c r="T1425" s="230"/>
      <c r="U1425" s="230"/>
      <c r="V1425" s="230"/>
      <c r="W1425" s="230"/>
      <c r="X1425" s="230"/>
      <c r="Y1425" s="230"/>
      <c r="Z1425" s="230"/>
      <c r="AA1425" s="230"/>
      <c r="AB1425" s="230"/>
    </row>
    <row r="1426">
      <c r="O1426" s="230"/>
      <c r="R1426" s="230"/>
      <c r="S1426" s="230"/>
      <c r="T1426" s="230"/>
      <c r="U1426" s="230"/>
      <c r="V1426" s="230"/>
      <c r="W1426" s="230"/>
      <c r="X1426" s="230"/>
      <c r="Y1426" s="230"/>
      <c r="Z1426" s="230"/>
      <c r="AA1426" s="230"/>
      <c r="AB1426" s="230"/>
    </row>
    <row r="1427">
      <c r="O1427" s="230"/>
      <c r="R1427" s="230"/>
      <c r="S1427" s="230"/>
      <c r="T1427" s="230"/>
      <c r="U1427" s="230"/>
      <c r="V1427" s="230"/>
      <c r="W1427" s="230"/>
      <c r="X1427" s="230"/>
      <c r="Y1427" s="230"/>
      <c r="Z1427" s="230"/>
      <c r="AA1427" s="230"/>
      <c r="AB1427" s="230"/>
    </row>
    <row r="1428">
      <c r="O1428" s="230"/>
      <c r="R1428" s="230"/>
      <c r="S1428" s="230"/>
      <c r="T1428" s="230"/>
      <c r="U1428" s="230"/>
      <c r="V1428" s="230"/>
      <c r="W1428" s="230"/>
      <c r="X1428" s="230"/>
      <c r="Y1428" s="230"/>
      <c r="Z1428" s="230"/>
      <c r="AA1428" s="230"/>
      <c r="AB1428" s="230"/>
    </row>
    <row r="1429">
      <c r="O1429" s="230"/>
      <c r="R1429" s="230"/>
      <c r="S1429" s="230"/>
      <c r="T1429" s="230"/>
      <c r="U1429" s="230"/>
      <c r="V1429" s="230"/>
      <c r="W1429" s="230"/>
      <c r="X1429" s="230"/>
      <c r="Y1429" s="230"/>
      <c r="Z1429" s="230"/>
      <c r="AA1429" s="230"/>
      <c r="AB1429" s="230"/>
    </row>
    <row r="1430">
      <c r="O1430" s="230"/>
      <c r="R1430" s="230"/>
      <c r="S1430" s="230"/>
      <c r="T1430" s="230"/>
      <c r="U1430" s="230"/>
      <c r="V1430" s="230"/>
      <c r="W1430" s="230"/>
      <c r="X1430" s="230"/>
      <c r="Y1430" s="230"/>
      <c r="Z1430" s="230"/>
      <c r="AA1430" s="230"/>
      <c r="AB1430" s="230"/>
    </row>
    <row r="1431">
      <c r="O1431" s="230"/>
      <c r="R1431" s="230"/>
      <c r="S1431" s="230"/>
      <c r="T1431" s="230"/>
      <c r="U1431" s="230"/>
      <c r="V1431" s="230"/>
      <c r="W1431" s="230"/>
      <c r="X1431" s="230"/>
      <c r="Y1431" s="230"/>
      <c r="Z1431" s="230"/>
      <c r="AA1431" s="230"/>
      <c r="AB1431" s="230"/>
    </row>
    <row r="1432">
      <c r="O1432" s="230"/>
      <c r="R1432" s="230"/>
      <c r="S1432" s="230"/>
      <c r="T1432" s="230"/>
      <c r="U1432" s="230"/>
      <c r="V1432" s="230"/>
      <c r="W1432" s="230"/>
      <c r="X1432" s="230"/>
      <c r="Y1432" s="230"/>
      <c r="Z1432" s="230"/>
      <c r="AA1432" s="230"/>
      <c r="AB1432" s="230"/>
    </row>
    <row r="1433">
      <c r="O1433" s="230"/>
      <c r="R1433" s="230"/>
      <c r="S1433" s="230"/>
      <c r="T1433" s="230"/>
      <c r="U1433" s="230"/>
      <c r="V1433" s="230"/>
      <c r="W1433" s="230"/>
      <c r="X1433" s="230"/>
      <c r="Y1433" s="230"/>
      <c r="Z1433" s="230"/>
      <c r="AA1433" s="230"/>
      <c r="AB1433" s="230"/>
    </row>
    <row r="1434">
      <c r="O1434" s="230"/>
      <c r="R1434" s="230"/>
      <c r="S1434" s="230"/>
      <c r="T1434" s="230"/>
      <c r="U1434" s="230"/>
      <c r="V1434" s="230"/>
      <c r="W1434" s="230"/>
      <c r="X1434" s="230"/>
      <c r="Y1434" s="230"/>
      <c r="Z1434" s="230"/>
      <c r="AA1434" s="230"/>
      <c r="AB1434" s="230"/>
    </row>
    <row r="1435">
      <c r="O1435" s="230"/>
      <c r="R1435" s="230"/>
      <c r="S1435" s="230"/>
      <c r="T1435" s="230"/>
      <c r="U1435" s="230"/>
      <c r="V1435" s="230"/>
      <c r="W1435" s="230"/>
      <c r="X1435" s="230"/>
      <c r="Y1435" s="230"/>
      <c r="Z1435" s="230"/>
      <c r="AA1435" s="230"/>
      <c r="AB1435" s="230"/>
    </row>
    <row r="1436">
      <c r="O1436" s="230"/>
      <c r="R1436" s="230"/>
      <c r="S1436" s="230"/>
      <c r="T1436" s="230"/>
      <c r="U1436" s="230"/>
      <c r="V1436" s="230"/>
      <c r="W1436" s="230"/>
      <c r="X1436" s="230"/>
      <c r="Y1436" s="230"/>
      <c r="Z1436" s="230"/>
      <c r="AA1436" s="230"/>
      <c r="AB1436" s="230"/>
    </row>
    <row r="1437">
      <c r="O1437" s="230"/>
      <c r="R1437" s="230"/>
      <c r="S1437" s="230"/>
      <c r="T1437" s="230"/>
      <c r="U1437" s="230"/>
      <c r="V1437" s="230"/>
      <c r="W1437" s="230"/>
      <c r="X1437" s="230"/>
      <c r="Y1437" s="230"/>
      <c r="Z1437" s="230"/>
      <c r="AA1437" s="230"/>
      <c r="AB1437" s="230"/>
    </row>
    <row r="1438">
      <c r="O1438" s="230"/>
      <c r="R1438" s="230"/>
      <c r="S1438" s="230"/>
      <c r="T1438" s="230"/>
      <c r="U1438" s="230"/>
      <c r="V1438" s="230"/>
      <c r="W1438" s="230"/>
      <c r="X1438" s="230"/>
      <c r="Y1438" s="230"/>
      <c r="Z1438" s="230"/>
      <c r="AA1438" s="230"/>
      <c r="AB1438" s="230"/>
    </row>
    <row r="1439">
      <c r="O1439" s="230"/>
      <c r="R1439" s="230"/>
      <c r="S1439" s="230"/>
      <c r="T1439" s="230"/>
      <c r="U1439" s="230"/>
      <c r="V1439" s="230"/>
      <c r="W1439" s="230"/>
      <c r="X1439" s="230"/>
      <c r="Y1439" s="230"/>
      <c r="Z1439" s="230"/>
      <c r="AA1439" s="230"/>
      <c r="AB1439" s="230"/>
    </row>
    <row r="1440">
      <c r="O1440" s="230"/>
      <c r="R1440" s="230"/>
      <c r="S1440" s="230"/>
      <c r="T1440" s="230"/>
      <c r="U1440" s="230"/>
      <c r="V1440" s="230"/>
      <c r="W1440" s="230"/>
      <c r="X1440" s="230"/>
      <c r="Y1440" s="230"/>
      <c r="Z1440" s="230"/>
      <c r="AA1440" s="230"/>
      <c r="AB1440" s="230"/>
    </row>
    <row r="1441">
      <c r="O1441" s="230"/>
      <c r="R1441" s="230"/>
      <c r="S1441" s="230"/>
      <c r="T1441" s="230"/>
      <c r="U1441" s="230"/>
      <c r="V1441" s="230"/>
      <c r="W1441" s="230"/>
      <c r="X1441" s="230"/>
      <c r="Y1441" s="230"/>
      <c r="Z1441" s="230"/>
      <c r="AA1441" s="230"/>
      <c r="AB1441" s="230"/>
    </row>
    <row r="1442">
      <c r="O1442" s="230"/>
      <c r="R1442" s="230"/>
      <c r="S1442" s="230"/>
      <c r="T1442" s="230"/>
      <c r="U1442" s="230"/>
      <c r="V1442" s="230"/>
      <c r="W1442" s="230"/>
      <c r="X1442" s="230"/>
      <c r="Y1442" s="230"/>
      <c r="Z1442" s="230"/>
      <c r="AA1442" s="230"/>
      <c r="AB1442" s="230"/>
    </row>
    <row r="1443">
      <c r="O1443" s="230"/>
      <c r="R1443" s="230"/>
      <c r="S1443" s="230"/>
      <c r="T1443" s="230"/>
      <c r="U1443" s="230"/>
      <c r="V1443" s="230"/>
      <c r="W1443" s="230"/>
      <c r="X1443" s="230"/>
      <c r="Y1443" s="230"/>
      <c r="Z1443" s="230"/>
      <c r="AA1443" s="230"/>
      <c r="AB1443" s="230"/>
    </row>
    <row r="1444">
      <c r="O1444" s="230"/>
      <c r="R1444" s="230"/>
      <c r="S1444" s="230"/>
      <c r="T1444" s="230"/>
      <c r="U1444" s="230"/>
      <c r="V1444" s="230"/>
      <c r="W1444" s="230"/>
      <c r="X1444" s="230"/>
      <c r="Y1444" s="230"/>
      <c r="Z1444" s="230"/>
      <c r="AA1444" s="230"/>
      <c r="AB1444" s="230"/>
    </row>
    <row r="1445">
      <c r="O1445" s="230"/>
      <c r="R1445" s="230"/>
      <c r="S1445" s="230"/>
      <c r="T1445" s="230"/>
      <c r="U1445" s="230"/>
      <c r="V1445" s="230"/>
      <c r="W1445" s="230"/>
      <c r="X1445" s="230"/>
      <c r="Y1445" s="230"/>
      <c r="Z1445" s="230"/>
      <c r="AA1445" s="230"/>
      <c r="AB1445" s="230"/>
    </row>
    <row r="1446">
      <c r="O1446" s="230"/>
      <c r="R1446" s="230"/>
      <c r="S1446" s="230"/>
      <c r="T1446" s="230"/>
      <c r="U1446" s="230"/>
      <c r="V1446" s="230"/>
      <c r="W1446" s="230"/>
      <c r="X1446" s="230"/>
      <c r="Y1446" s="230"/>
      <c r="Z1446" s="230"/>
      <c r="AA1446" s="230"/>
      <c r="AB1446" s="230"/>
    </row>
    <row r="1447">
      <c r="O1447" s="230"/>
      <c r="R1447" s="230"/>
      <c r="S1447" s="230"/>
      <c r="T1447" s="230"/>
      <c r="U1447" s="230"/>
      <c r="V1447" s="230"/>
      <c r="W1447" s="230"/>
      <c r="X1447" s="230"/>
      <c r="Y1447" s="230"/>
      <c r="Z1447" s="230"/>
      <c r="AA1447" s="230"/>
      <c r="AB1447" s="230"/>
    </row>
    <row r="1448">
      <c r="O1448" s="230"/>
      <c r="R1448" s="230"/>
      <c r="S1448" s="230"/>
      <c r="T1448" s="230"/>
      <c r="U1448" s="230"/>
      <c r="V1448" s="230"/>
      <c r="W1448" s="230"/>
      <c r="X1448" s="230"/>
      <c r="Y1448" s="230"/>
      <c r="Z1448" s="230"/>
      <c r="AA1448" s="230"/>
      <c r="AB1448" s="230"/>
    </row>
    <row r="1449">
      <c r="O1449" s="230"/>
      <c r="R1449" s="230"/>
      <c r="S1449" s="230"/>
      <c r="T1449" s="230"/>
      <c r="U1449" s="230"/>
      <c r="V1449" s="230"/>
      <c r="W1449" s="230"/>
      <c r="X1449" s="230"/>
      <c r="Y1449" s="230"/>
      <c r="Z1449" s="230"/>
      <c r="AA1449" s="230"/>
      <c r="AB1449" s="230"/>
    </row>
    <row r="1450">
      <c r="O1450" s="230"/>
      <c r="R1450" s="230"/>
      <c r="S1450" s="230"/>
      <c r="T1450" s="230"/>
      <c r="U1450" s="230"/>
      <c r="V1450" s="230"/>
      <c r="W1450" s="230"/>
      <c r="X1450" s="230"/>
      <c r="Y1450" s="230"/>
      <c r="Z1450" s="230"/>
      <c r="AA1450" s="230"/>
      <c r="AB1450" s="230"/>
    </row>
    <row r="1451">
      <c r="O1451" s="230"/>
      <c r="R1451" s="230"/>
      <c r="S1451" s="230"/>
      <c r="T1451" s="230"/>
      <c r="U1451" s="230"/>
      <c r="V1451" s="230"/>
      <c r="W1451" s="230"/>
      <c r="X1451" s="230"/>
      <c r="Y1451" s="230"/>
      <c r="Z1451" s="230"/>
      <c r="AA1451" s="230"/>
      <c r="AB1451" s="230"/>
    </row>
    <row r="1452">
      <c r="O1452" s="230"/>
      <c r="R1452" s="230"/>
      <c r="S1452" s="230"/>
      <c r="T1452" s="230"/>
      <c r="U1452" s="230"/>
      <c r="V1452" s="230"/>
      <c r="W1452" s="230"/>
      <c r="X1452" s="230"/>
      <c r="Y1452" s="230"/>
      <c r="Z1452" s="230"/>
      <c r="AA1452" s="230"/>
      <c r="AB1452" s="230"/>
    </row>
    <row r="1453">
      <c r="O1453" s="230"/>
      <c r="R1453" s="230"/>
      <c r="S1453" s="230"/>
      <c r="T1453" s="230"/>
      <c r="U1453" s="230"/>
      <c r="V1453" s="230"/>
      <c r="W1453" s="230"/>
      <c r="X1453" s="230"/>
      <c r="Y1453" s="230"/>
      <c r="Z1453" s="230"/>
      <c r="AA1453" s="230"/>
      <c r="AB1453" s="230"/>
    </row>
    <row r="1454">
      <c r="O1454" s="230"/>
      <c r="R1454" s="230"/>
      <c r="S1454" s="230"/>
      <c r="T1454" s="230"/>
      <c r="U1454" s="230"/>
      <c r="V1454" s="230"/>
      <c r="W1454" s="230"/>
      <c r="X1454" s="230"/>
      <c r="Y1454" s="230"/>
      <c r="Z1454" s="230"/>
      <c r="AA1454" s="230"/>
      <c r="AB1454" s="230"/>
    </row>
    <row r="1455">
      <c r="O1455" s="230"/>
      <c r="R1455" s="230"/>
      <c r="S1455" s="230"/>
      <c r="T1455" s="230"/>
      <c r="U1455" s="230"/>
      <c r="V1455" s="230"/>
      <c r="W1455" s="230"/>
      <c r="X1455" s="230"/>
      <c r="Y1455" s="230"/>
      <c r="Z1455" s="230"/>
      <c r="AA1455" s="230"/>
      <c r="AB1455" s="230"/>
    </row>
    <row r="1456">
      <c r="O1456" s="230"/>
      <c r="R1456" s="230"/>
      <c r="S1456" s="230"/>
      <c r="T1456" s="230"/>
      <c r="U1456" s="230"/>
      <c r="V1456" s="230"/>
      <c r="W1456" s="230"/>
      <c r="X1456" s="230"/>
      <c r="Y1456" s="230"/>
      <c r="Z1456" s="230"/>
      <c r="AA1456" s="230"/>
      <c r="AB1456" s="230"/>
    </row>
    <row r="1457">
      <c r="O1457" s="230"/>
      <c r="R1457" s="230"/>
      <c r="S1457" s="230"/>
      <c r="T1457" s="230"/>
      <c r="U1457" s="230"/>
      <c r="V1457" s="230"/>
      <c r="W1457" s="230"/>
      <c r="X1457" s="230"/>
      <c r="Y1457" s="230"/>
      <c r="Z1457" s="230"/>
      <c r="AA1457" s="230"/>
      <c r="AB1457" s="230"/>
    </row>
    <row r="1458">
      <c r="O1458" s="230"/>
      <c r="R1458" s="230"/>
      <c r="S1458" s="230"/>
      <c r="T1458" s="230"/>
      <c r="U1458" s="230"/>
      <c r="V1458" s="230"/>
      <c r="W1458" s="230"/>
      <c r="X1458" s="230"/>
      <c r="Y1458" s="230"/>
      <c r="Z1458" s="230"/>
      <c r="AA1458" s="230"/>
      <c r="AB1458" s="230"/>
    </row>
    <row r="1459">
      <c r="O1459" s="230"/>
      <c r="R1459" s="230"/>
      <c r="S1459" s="230"/>
      <c r="T1459" s="230"/>
      <c r="U1459" s="230"/>
      <c r="V1459" s="230"/>
      <c r="W1459" s="230"/>
      <c r="X1459" s="230"/>
      <c r="Y1459" s="230"/>
      <c r="Z1459" s="230"/>
      <c r="AA1459" s="230"/>
      <c r="AB1459" s="230"/>
    </row>
    <row r="1460">
      <c r="O1460" s="230"/>
      <c r="R1460" s="230"/>
      <c r="S1460" s="230"/>
      <c r="T1460" s="230"/>
      <c r="U1460" s="230"/>
      <c r="V1460" s="230"/>
      <c r="W1460" s="230"/>
      <c r="X1460" s="230"/>
      <c r="Y1460" s="230"/>
      <c r="Z1460" s="230"/>
      <c r="AA1460" s="230"/>
      <c r="AB1460" s="230"/>
    </row>
    <row r="1461">
      <c r="O1461" s="230"/>
      <c r="R1461" s="230"/>
      <c r="S1461" s="230"/>
      <c r="T1461" s="230"/>
      <c r="U1461" s="230"/>
      <c r="V1461" s="230"/>
      <c r="W1461" s="230"/>
      <c r="X1461" s="230"/>
      <c r="Y1461" s="230"/>
      <c r="Z1461" s="230"/>
      <c r="AA1461" s="230"/>
      <c r="AB1461" s="230"/>
    </row>
    <row r="1462">
      <c r="O1462" s="230"/>
      <c r="R1462" s="230"/>
      <c r="S1462" s="230"/>
      <c r="T1462" s="230"/>
      <c r="U1462" s="230"/>
      <c r="V1462" s="230"/>
      <c r="W1462" s="230"/>
      <c r="X1462" s="230"/>
      <c r="Y1462" s="230"/>
      <c r="Z1462" s="230"/>
      <c r="AA1462" s="230"/>
      <c r="AB1462" s="230"/>
    </row>
    <row r="1463">
      <c r="O1463" s="230"/>
      <c r="R1463" s="230"/>
      <c r="S1463" s="230"/>
      <c r="T1463" s="230"/>
      <c r="U1463" s="230"/>
      <c r="V1463" s="230"/>
      <c r="W1463" s="230"/>
      <c r="X1463" s="230"/>
      <c r="Y1463" s="230"/>
      <c r="Z1463" s="230"/>
      <c r="AA1463" s="230"/>
      <c r="AB1463" s="230"/>
    </row>
    <row r="1464">
      <c r="O1464" s="230"/>
      <c r="R1464" s="230"/>
      <c r="S1464" s="230"/>
      <c r="T1464" s="230"/>
      <c r="U1464" s="230"/>
      <c r="V1464" s="230"/>
      <c r="W1464" s="230"/>
      <c r="X1464" s="230"/>
      <c r="Y1464" s="230"/>
      <c r="Z1464" s="230"/>
      <c r="AA1464" s="230"/>
      <c r="AB1464" s="230"/>
    </row>
    <row r="1465">
      <c r="O1465" s="230"/>
      <c r="R1465" s="230"/>
      <c r="S1465" s="230"/>
      <c r="T1465" s="230"/>
      <c r="U1465" s="230"/>
      <c r="V1465" s="230"/>
      <c r="W1465" s="230"/>
      <c r="X1465" s="230"/>
      <c r="Y1465" s="230"/>
      <c r="Z1465" s="230"/>
      <c r="AA1465" s="230"/>
      <c r="AB1465" s="230"/>
    </row>
    <row r="1466">
      <c r="O1466" s="230"/>
      <c r="R1466" s="230"/>
      <c r="S1466" s="230"/>
      <c r="T1466" s="230"/>
      <c r="U1466" s="230"/>
      <c r="V1466" s="230"/>
      <c r="W1466" s="230"/>
      <c r="X1466" s="230"/>
      <c r="Y1466" s="230"/>
      <c r="Z1466" s="230"/>
      <c r="AA1466" s="230"/>
      <c r="AB1466" s="230"/>
    </row>
    <row r="1467">
      <c r="O1467" s="230"/>
      <c r="R1467" s="230"/>
      <c r="S1467" s="230"/>
      <c r="T1467" s="230"/>
      <c r="U1467" s="230"/>
      <c r="V1467" s="230"/>
      <c r="W1467" s="230"/>
      <c r="X1467" s="230"/>
      <c r="Y1467" s="230"/>
      <c r="Z1467" s="230"/>
      <c r="AA1467" s="230"/>
      <c r="AB1467" s="230"/>
    </row>
    <row r="1468">
      <c r="O1468" s="230"/>
      <c r="R1468" s="230"/>
      <c r="S1468" s="230"/>
      <c r="T1468" s="230"/>
      <c r="U1468" s="230"/>
      <c r="V1468" s="230"/>
      <c r="W1468" s="230"/>
      <c r="X1468" s="230"/>
      <c r="Y1468" s="230"/>
      <c r="Z1468" s="230"/>
      <c r="AA1468" s="230"/>
      <c r="AB1468" s="230"/>
    </row>
    <row r="1469">
      <c r="O1469" s="230"/>
      <c r="R1469" s="230"/>
      <c r="S1469" s="230"/>
      <c r="T1469" s="230"/>
      <c r="U1469" s="230"/>
      <c r="V1469" s="230"/>
      <c r="W1469" s="230"/>
      <c r="X1469" s="230"/>
      <c r="Y1469" s="230"/>
      <c r="Z1469" s="230"/>
      <c r="AA1469" s="230"/>
      <c r="AB1469" s="230"/>
    </row>
    <row r="1470">
      <c r="O1470" s="230"/>
      <c r="R1470" s="230"/>
      <c r="S1470" s="230"/>
      <c r="T1470" s="230"/>
      <c r="U1470" s="230"/>
      <c r="V1470" s="230"/>
      <c r="W1470" s="230"/>
      <c r="X1470" s="230"/>
      <c r="Y1470" s="230"/>
      <c r="Z1470" s="230"/>
      <c r="AA1470" s="230"/>
      <c r="AB1470" s="230"/>
    </row>
    <row r="1471">
      <c r="O1471" s="230"/>
      <c r="R1471" s="230"/>
      <c r="S1471" s="230"/>
      <c r="T1471" s="230"/>
      <c r="U1471" s="230"/>
      <c r="V1471" s="230"/>
      <c r="W1471" s="230"/>
      <c r="X1471" s="230"/>
      <c r="Y1471" s="230"/>
      <c r="Z1471" s="230"/>
      <c r="AA1471" s="230"/>
      <c r="AB1471" s="230"/>
    </row>
    <row r="1472">
      <c r="O1472" s="230"/>
      <c r="R1472" s="230"/>
      <c r="S1472" s="230"/>
      <c r="T1472" s="230"/>
      <c r="U1472" s="230"/>
      <c r="V1472" s="230"/>
      <c r="W1472" s="230"/>
      <c r="X1472" s="230"/>
      <c r="Y1472" s="230"/>
      <c r="Z1472" s="230"/>
      <c r="AA1472" s="230"/>
      <c r="AB1472" s="230"/>
    </row>
    <row r="1473">
      <c r="O1473" s="230"/>
      <c r="R1473" s="230"/>
      <c r="S1473" s="230"/>
      <c r="T1473" s="230"/>
      <c r="U1473" s="230"/>
      <c r="V1473" s="230"/>
      <c r="W1473" s="230"/>
      <c r="X1473" s="230"/>
      <c r="Y1473" s="230"/>
      <c r="Z1473" s="230"/>
      <c r="AA1473" s="230"/>
      <c r="AB1473" s="230"/>
    </row>
    <row r="1474">
      <c r="O1474" s="230"/>
      <c r="R1474" s="230"/>
      <c r="S1474" s="230"/>
      <c r="T1474" s="230"/>
      <c r="U1474" s="230"/>
      <c r="V1474" s="230"/>
      <c r="W1474" s="230"/>
      <c r="X1474" s="230"/>
      <c r="Y1474" s="230"/>
      <c r="Z1474" s="230"/>
      <c r="AA1474" s="230"/>
      <c r="AB1474" s="230"/>
    </row>
    <row r="1475">
      <c r="O1475" s="230"/>
      <c r="R1475" s="230"/>
      <c r="S1475" s="230"/>
      <c r="T1475" s="230"/>
      <c r="U1475" s="230"/>
      <c r="V1475" s="230"/>
      <c r="W1475" s="230"/>
      <c r="X1475" s="230"/>
      <c r="Y1475" s="230"/>
      <c r="Z1475" s="230"/>
      <c r="AA1475" s="230"/>
      <c r="AB1475" s="230"/>
    </row>
    <row r="1476">
      <c r="O1476" s="230"/>
      <c r="R1476" s="230"/>
      <c r="S1476" s="230"/>
      <c r="T1476" s="230"/>
      <c r="U1476" s="230"/>
      <c r="V1476" s="230"/>
      <c r="W1476" s="230"/>
      <c r="X1476" s="230"/>
      <c r="Y1476" s="230"/>
      <c r="Z1476" s="230"/>
      <c r="AA1476" s="230"/>
      <c r="AB1476" s="230"/>
    </row>
    <row r="1477">
      <c r="O1477" s="230"/>
      <c r="R1477" s="230"/>
      <c r="S1477" s="230"/>
      <c r="T1477" s="230"/>
      <c r="U1477" s="230"/>
      <c r="V1477" s="230"/>
      <c r="W1477" s="230"/>
      <c r="X1477" s="230"/>
      <c r="Y1477" s="230"/>
      <c r="Z1477" s="230"/>
      <c r="AA1477" s="230"/>
      <c r="AB1477" s="230"/>
    </row>
    <row r="1478">
      <c r="O1478" s="230"/>
      <c r="R1478" s="230"/>
      <c r="S1478" s="230"/>
      <c r="T1478" s="230"/>
      <c r="U1478" s="230"/>
      <c r="V1478" s="230"/>
      <c r="W1478" s="230"/>
      <c r="X1478" s="230"/>
      <c r="Y1478" s="230"/>
      <c r="Z1478" s="230"/>
      <c r="AA1478" s="230"/>
      <c r="AB1478" s="230"/>
    </row>
    <row r="1479">
      <c r="O1479" s="230"/>
      <c r="R1479" s="230"/>
      <c r="S1479" s="230"/>
      <c r="T1479" s="230"/>
      <c r="U1479" s="230"/>
      <c r="V1479" s="230"/>
      <c r="W1479" s="230"/>
      <c r="X1479" s="230"/>
      <c r="Y1479" s="230"/>
      <c r="Z1479" s="230"/>
      <c r="AA1479" s="230"/>
      <c r="AB1479" s="230"/>
    </row>
    <row r="1480">
      <c r="O1480" s="230"/>
      <c r="R1480" s="230"/>
      <c r="S1480" s="230"/>
      <c r="T1480" s="230"/>
      <c r="U1480" s="230"/>
      <c r="V1480" s="230"/>
      <c r="W1480" s="230"/>
      <c r="X1480" s="230"/>
      <c r="Y1480" s="230"/>
      <c r="Z1480" s="230"/>
      <c r="AA1480" s="230"/>
      <c r="AB1480" s="230"/>
    </row>
    <row r="1481">
      <c r="O1481" s="230"/>
      <c r="R1481" s="230"/>
      <c r="S1481" s="230"/>
      <c r="T1481" s="230"/>
      <c r="U1481" s="230"/>
      <c r="V1481" s="230"/>
      <c r="W1481" s="230"/>
      <c r="X1481" s="230"/>
      <c r="Y1481" s="230"/>
      <c r="Z1481" s="230"/>
      <c r="AA1481" s="230"/>
      <c r="AB1481" s="230"/>
    </row>
    <row r="1482">
      <c r="O1482" s="230"/>
      <c r="R1482" s="230"/>
      <c r="S1482" s="230"/>
      <c r="T1482" s="230"/>
      <c r="U1482" s="230"/>
      <c r="V1482" s="230"/>
      <c r="W1482" s="230"/>
      <c r="X1482" s="230"/>
      <c r="Y1482" s="230"/>
      <c r="Z1482" s="230"/>
      <c r="AA1482" s="230"/>
      <c r="AB1482" s="230"/>
    </row>
    <row r="1483">
      <c r="O1483" s="230"/>
      <c r="R1483" s="230"/>
      <c r="S1483" s="230"/>
      <c r="T1483" s="230"/>
      <c r="U1483" s="230"/>
      <c r="V1483" s="230"/>
      <c r="W1483" s="230"/>
      <c r="X1483" s="230"/>
      <c r="Y1483" s="230"/>
      <c r="Z1483" s="230"/>
      <c r="AA1483" s="230"/>
      <c r="AB1483" s="230"/>
    </row>
    <row r="1484">
      <c r="O1484" s="230"/>
      <c r="R1484" s="230"/>
      <c r="S1484" s="230"/>
      <c r="T1484" s="230"/>
      <c r="U1484" s="230"/>
      <c r="V1484" s="230"/>
      <c r="W1484" s="230"/>
      <c r="X1484" s="230"/>
      <c r="Y1484" s="230"/>
      <c r="Z1484" s="230"/>
      <c r="AA1484" s="230"/>
      <c r="AB1484" s="230"/>
    </row>
    <row r="1485">
      <c r="O1485" s="230"/>
      <c r="R1485" s="230"/>
      <c r="S1485" s="230"/>
      <c r="T1485" s="230"/>
      <c r="U1485" s="230"/>
      <c r="V1485" s="230"/>
      <c r="W1485" s="230"/>
      <c r="X1485" s="230"/>
      <c r="Y1485" s="230"/>
      <c r="Z1485" s="230"/>
      <c r="AA1485" s="230"/>
      <c r="AB1485" s="230"/>
    </row>
    <row r="1486">
      <c r="O1486" s="230"/>
      <c r="R1486" s="230"/>
      <c r="S1486" s="230"/>
      <c r="T1486" s="230"/>
      <c r="U1486" s="230"/>
      <c r="V1486" s="230"/>
      <c r="W1486" s="230"/>
      <c r="X1486" s="230"/>
      <c r="Y1486" s="230"/>
      <c r="Z1486" s="230"/>
      <c r="AA1486" s="230"/>
      <c r="AB1486" s="230"/>
    </row>
    <row r="1487">
      <c r="O1487" s="230"/>
      <c r="R1487" s="230"/>
      <c r="S1487" s="230"/>
      <c r="T1487" s="230"/>
      <c r="U1487" s="230"/>
      <c r="V1487" s="230"/>
      <c r="W1487" s="230"/>
      <c r="X1487" s="230"/>
      <c r="Y1487" s="230"/>
      <c r="Z1487" s="230"/>
      <c r="AA1487" s="230"/>
      <c r="AB1487" s="230"/>
    </row>
    <row r="1488">
      <c r="O1488" s="230"/>
      <c r="R1488" s="230"/>
      <c r="S1488" s="230"/>
      <c r="T1488" s="230"/>
      <c r="U1488" s="230"/>
      <c r="V1488" s="230"/>
      <c r="W1488" s="230"/>
      <c r="X1488" s="230"/>
      <c r="Y1488" s="230"/>
      <c r="Z1488" s="230"/>
      <c r="AA1488" s="230"/>
      <c r="AB1488" s="230"/>
    </row>
    <row r="1489">
      <c r="O1489" s="230"/>
      <c r="R1489" s="230"/>
      <c r="S1489" s="230"/>
      <c r="T1489" s="230"/>
      <c r="U1489" s="230"/>
      <c r="V1489" s="230"/>
      <c r="W1489" s="230"/>
      <c r="X1489" s="230"/>
      <c r="Y1489" s="230"/>
      <c r="Z1489" s="230"/>
      <c r="AA1489" s="230"/>
      <c r="AB1489" s="230"/>
    </row>
    <row r="1490">
      <c r="O1490" s="230"/>
      <c r="R1490" s="230"/>
      <c r="S1490" s="230"/>
      <c r="T1490" s="230"/>
      <c r="U1490" s="230"/>
      <c r="V1490" s="230"/>
      <c r="W1490" s="230"/>
      <c r="X1490" s="230"/>
      <c r="Y1490" s="230"/>
      <c r="Z1490" s="230"/>
      <c r="AA1490" s="230"/>
      <c r="AB1490" s="230"/>
    </row>
    <row r="1491">
      <c r="O1491" s="230"/>
      <c r="R1491" s="230"/>
      <c r="S1491" s="230"/>
      <c r="T1491" s="230"/>
      <c r="U1491" s="230"/>
      <c r="V1491" s="230"/>
      <c r="W1491" s="230"/>
      <c r="X1491" s="230"/>
      <c r="Y1491" s="230"/>
      <c r="Z1491" s="230"/>
      <c r="AA1491" s="230"/>
      <c r="AB1491" s="230"/>
    </row>
    <row r="1492">
      <c r="O1492" s="230"/>
      <c r="R1492" s="230"/>
      <c r="S1492" s="230"/>
      <c r="T1492" s="230"/>
      <c r="U1492" s="230"/>
      <c r="V1492" s="230"/>
      <c r="W1492" s="230"/>
      <c r="X1492" s="230"/>
      <c r="Y1492" s="230"/>
      <c r="Z1492" s="230"/>
      <c r="AA1492" s="230"/>
      <c r="AB1492" s="230"/>
    </row>
    <row r="1493">
      <c r="O1493" s="230"/>
      <c r="R1493" s="230"/>
      <c r="S1493" s="230"/>
      <c r="T1493" s="230"/>
      <c r="U1493" s="230"/>
      <c r="V1493" s="230"/>
      <c r="W1493" s="230"/>
      <c r="X1493" s="230"/>
      <c r="Y1493" s="230"/>
      <c r="Z1493" s="230"/>
      <c r="AA1493" s="230"/>
      <c r="AB1493" s="230"/>
    </row>
    <row r="1494">
      <c r="O1494" s="230"/>
      <c r="R1494" s="230"/>
      <c r="S1494" s="230"/>
      <c r="T1494" s="230"/>
      <c r="U1494" s="230"/>
      <c r="V1494" s="230"/>
      <c r="W1494" s="230"/>
      <c r="X1494" s="230"/>
      <c r="Y1494" s="230"/>
      <c r="Z1494" s="230"/>
      <c r="AA1494" s="230"/>
      <c r="AB1494" s="230"/>
    </row>
    <row r="1495">
      <c r="O1495" s="230"/>
      <c r="R1495" s="230"/>
      <c r="S1495" s="230"/>
      <c r="T1495" s="230"/>
      <c r="U1495" s="230"/>
      <c r="V1495" s="230"/>
      <c r="W1495" s="230"/>
      <c r="X1495" s="230"/>
      <c r="Y1495" s="230"/>
      <c r="Z1495" s="230"/>
      <c r="AA1495" s="230"/>
      <c r="AB1495" s="230"/>
    </row>
    <row r="1496">
      <c r="O1496" s="230"/>
      <c r="R1496" s="230"/>
      <c r="S1496" s="230"/>
      <c r="T1496" s="230"/>
      <c r="U1496" s="230"/>
      <c r="V1496" s="230"/>
      <c r="W1496" s="230"/>
      <c r="X1496" s="230"/>
      <c r="Y1496" s="230"/>
      <c r="Z1496" s="230"/>
      <c r="AA1496" s="230"/>
      <c r="AB1496" s="230"/>
    </row>
    <row r="1497">
      <c r="O1497" s="230"/>
      <c r="R1497" s="230"/>
      <c r="S1497" s="230"/>
      <c r="T1497" s="230"/>
      <c r="U1497" s="230"/>
      <c r="V1497" s="230"/>
      <c r="W1497" s="230"/>
      <c r="X1497" s="230"/>
      <c r="Y1497" s="230"/>
      <c r="Z1497" s="230"/>
      <c r="AA1497" s="230"/>
      <c r="AB1497" s="230"/>
    </row>
    <row r="1498">
      <c r="O1498" s="230"/>
      <c r="R1498" s="230"/>
      <c r="S1498" s="230"/>
      <c r="T1498" s="230"/>
      <c r="U1498" s="230"/>
      <c r="V1498" s="230"/>
      <c r="W1498" s="230"/>
      <c r="X1498" s="230"/>
      <c r="Y1498" s="230"/>
      <c r="Z1498" s="230"/>
      <c r="AA1498" s="230"/>
      <c r="AB1498" s="230"/>
    </row>
    <row r="1499">
      <c r="O1499" s="230"/>
      <c r="R1499" s="230"/>
      <c r="S1499" s="230"/>
      <c r="T1499" s="230"/>
      <c r="U1499" s="230"/>
      <c r="V1499" s="230"/>
      <c r="W1499" s="230"/>
      <c r="X1499" s="230"/>
      <c r="Y1499" s="230"/>
      <c r="Z1499" s="230"/>
      <c r="AA1499" s="230"/>
      <c r="AB1499" s="230"/>
    </row>
    <row r="1500">
      <c r="O1500" s="230"/>
      <c r="R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</row>
    <row r="1501">
      <c r="O1501" s="230"/>
      <c r="R1501" s="230"/>
      <c r="S1501" s="230"/>
      <c r="T1501" s="230"/>
      <c r="U1501" s="230"/>
      <c r="V1501" s="230"/>
      <c r="W1501" s="230"/>
      <c r="X1501" s="230"/>
      <c r="Y1501" s="230"/>
      <c r="Z1501" s="230"/>
      <c r="AA1501" s="230"/>
      <c r="AB1501" s="230"/>
    </row>
    <row r="1502">
      <c r="O1502" s="230"/>
      <c r="R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</row>
    <row r="1503">
      <c r="O1503" s="230"/>
      <c r="R1503" s="230"/>
      <c r="S1503" s="230"/>
      <c r="T1503" s="230"/>
      <c r="U1503" s="230"/>
      <c r="V1503" s="230"/>
      <c r="W1503" s="230"/>
      <c r="X1503" s="230"/>
      <c r="Y1503" s="230"/>
      <c r="Z1503" s="230"/>
      <c r="AA1503" s="230"/>
      <c r="AB1503" s="230"/>
    </row>
    <row r="1504">
      <c r="O1504" s="230"/>
      <c r="R1504" s="230"/>
      <c r="S1504" s="230"/>
      <c r="T1504" s="230"/>
      <c r="U1504" s="230"/>
      <c r="V1504" s="230"/>
      <c r="W1504" s="230"/>
      <c r="X1504" s="230"/>
      <c r="Y1504" s="230"/>
      <c r="Z1504" s="230"/>
      <c r="AA1504" s="230"/>
      <c r="AB1504" s="230"/>
    </row>
    <row r="1505">
      <c r="O1505" s="230"/>
      <c r="R1505" s="230"/>
      <c r="S1505" s="230"/>
      <c r="T1505" s="230"/>
      <c r="U1505" s="230"/>
      <c r="V1505" s="230"/>
      <c r="W1505" s="230"/>
      <c r="X1505" s="230"/>
      <c r="Y1505" s="230"/>
      <c r="Z1505" s="230"/>
      <c r="AA1505" s="230"/>
      <c r="AB1505" s="230"/>
    </row>
    <row r="1506">
      <c r="O1506" s="230"/>
      <c r="R1506" s="230"/>
      <c r="S1506" s="230"/>
      <c r="T1506" s="230"/>
      <c r="U1506" s="230"/>
      <c r="V1506" s="230"/>
      <c r="W1506" s="230"/>
      <c r="X1506" s="230"/>
      <c r="Y1506" s="230"/>
      <c r="Z1506" s="230"/>
      <c r="AA1506" s="230"/>
      <c r="AB1506" s="230"/>
    </row>
    <row r="1507">
      <c r="O1507" s="230"/>
      <c r="R1507" s="230"/>
      <c r="S1507" s="230"/>
      <c r="T1507" s="230"/>
      <c r="U1507" s="230"/>
      <c r="V1507" s="230"/>
      <c r="W1507" s="230"/>
      <c r="X1507" s="230"/>
      <c r="Y1507" s="230"/>
      <c r="Z1507" s="230"/>
      <c r="AA1507" s="230"/>
      <c r="AB1507" s="230"/>
    </row>
    <row r="1508">
      <c r="O1508" s="230"/>
      <c r="R1508" s="230"/>
      <c r="S1508" s="230"/>
      <c r="T1508" s="230"/>
      <c r="U1508" s="230"/>
      <c r="V1508" s="230"/>
      <c r="W1508" s="230"/>
      <c r="X1508" s="230"/>
      <c r="Y1508" s="230"/>
      <c r="Z1508" s="230"/>
      <c r="AA1508" s="230"/>
      <c r="AB1508" s="230"/>
    </row>
    <row r="1509">
      <c r="O1509" s="230"/>
      <c r="R1509" s="230"/>
      <c r="S1509" s="230"/>
      <c r="T1509" s="230"/>
      <c r="U1509" s="230"/>
      <c r="V1509" s="230"/>
      <c r="W1509" s="230"/>
      <c r="X1509" s="230"/>
      <c r="Y1509" s="230"/>
      <c r="Z1509" s="230"/>
      <c r="AA1509" s="230"/>
      <c r="AB1509" s="230"/>
    </row>
    <row r="1510">
      <c r="O1510" s="230"/>
      <c r="R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</row>
    <row r="1511">
      <c r="O1511" s="230"/>
      <c r="R1511" s="230"/>
      <c r="S1511" s="230"/>
      <c r="T1511" s="230"/>
      <c r="U1511" s="230"/>
      <c r="V1511" s="230"/>
      <c r="W1511" s="230"/>
      <c r="X1511" s="230"/>
      <c r="Y1511" s="230"/>
      <c r="Z1511" s="230"/>
      <c r="AA1511" s="230"/>
      <c r="AB1511" s="230"/>
    </row>
    <row r="1512">
      <c r="O1512" s="230"/>
      <c r="R1512" s="230"/>
      <c r="S1512" s="230"/>
      <c r="T1512" s="230"/>
      <c r="U1512" s="230"/>
      <c r="V1512" s="230"/>
      <c r="W1512" s="230"/>
      <c r="X1512" s="230"/>
      <c r="Y1512" s="230"/>
      <c r="Z1512" s="230"/>
      <c r="AA1512" s="230"/>
      <c r="AB1512" s="230"/>
    </row>
    <row r="1513">
      <c r="O1513" s="230"/>
      <c r="R1513" s="230"/>
      <c r="S1513" s="230"/>
      <c r="T1513" s="230"/>
      <c r="U1513" s="230"/>
      <c r="V1513" s="230"/>
      <c r="W1513" s="230"/>
      <c r="X1513" s="230"/>
      <c r="Y1513" s="230"/>
      <c r="Z1513" s="230"/>
      <c r="AA1513" s="230"/>
      <c r="AB1513" s="230"/>
    </row>
    <row r="1514">
      <c r="O1514" s="230"/>
      <c r="R1514" s="230"/>
      <c r="S1514" s="230"/>
      <c r="T1514" s="230"/>
      <c r="U1514" s="230"/>
      <c r="V1514" s="230"/>
      <c r="W1514" s="230"/>
      <c r="X1514" s="230"/>
      <c r="Y1514" s="230"/>
      <c r="Z1514" s="230"/>
      <c r="AA1514" s="230"/>
      <c r="AB1514" s="230"/>
    </row>
    <row r="1515">
      <c r="O1515" s="230"/>
      <c r="R1515" s="230"/>
      <c r="S1515" s="230"/>
      <c r="T1515" s="230"/>
      <c r="U1515" s="230"/>
      <c r="V1515" s="230"/>
      <c r="W1515" s="230"/>
      <c r="X1515" s="230"/>
      <c r="Y1515" s="230"/>
      <c r="Z1515" s="230"/>
      <c r="AA1515" s="230"/>
      <c r="AB1515" s="230"/>
    </row>
    <row r="1516">
      <c r="O1516" s="230"/>
      <c r="R1516" s="230"/>
      <c r="S1516" s="230"/>
      <c r="T1516" s="230"/>
      <c r="U1516" s="230"/>
      <c r="V1516" s="230"/>
      <c r="W1516" s="230"/>
      <c r="X1516" s="230"/>
      <c r="Y1516" s="230"/>
      <c r="Z1516" s="230"/>
      <c r="AA1516" s="230"/>
      <c r="AB1516" s="230"/>
    </row>
    <row r="1517">
      <c r="O1517" s="230"/>
      <c r="R1517" s="230"/>
      <c r="S1517" s="230"/>
      <c r="T1517" s="230"/>
      <c r="U1517" s="230"/>
      <c r="V1517" s="230"/>
      <c r="W1517" s="230"/>
      <c r="X1517" s="230"/>
      <c r="Y1517" s="230"/>
      <c r="Z1517" s="230"/>
      <c r="AA1517" s="230"/>
      <c r="AB1517" s="230"/>
    </row>
    <row r="1518">
      <c r="O1518" s="230"/>
      <c r="R1518" s="230"/>
      <c r="S1518" s="230"/>
      <c r="T1518" s="230"/>
      <c r="U1518" s="230"/>
      <c r="V1518" s="230"/>
      <c r="W1518" s="230"/>
      <c r="X1518" s="230"/>
      <c r="Y1518" s="230"/>
      <c r="Z1518" s="230"/>
      <c r="AA1518" s="230"/>
      <c r="AB1518" s="230"/>
    </row>
    <row r="1519">
      <c r="O1519" s="230"/>
      <c r="R1519" s="230"/>
      <c r="S1519" s="230"/>
      <c r="T1519" s="230"/>
      <c r="U1519" s="230"/>
      <c r="V1519" s="230"/>
      <c r="W1519" s="230"/>
      <c r="X1519" s="230"/>
      <c r="Y1519" s="230"/>
      <c r="Z1519" s="230"/>
      <c r="AA1519" s="230"/>
      <c r="AB1519" s="230"/>
    </row>
    <row r="1520">
      <c r="O1520" s="230"/>
      <c r="R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</row>
    <row r="1521">
      <c r="O1521" s="230"/>
      <c r="R1521" s="230"/>
      <c r="S1521" s="230"/>
      <c r="T1521" s="230"/>
      <c r="U1521" s="230"/>
      <c r="V1521" s="230"/>
      <c r="W1521" s="230"/>
      <c r="X1521" s="230"/>
      <c r="Y1521" s="230"/>
      <c r="Z1521" s="230"/>
      <c r="AA1521" s="230"/>
      <c r="AB1521" s="230"/>
    </row>
    <row r="1522">
      <c r="O1522" s="230"/>
      <c r="R1522" s="230"/>
      <c r="S1522" s="230"/>
      <c r="T1522" s="230"/>
      <c r="U1522" s="230"/>
      <c r="V1522" s="230"/>
      <c r="W1522" s="230"/>
      <c r="X1522" s="230"/>
      <c r="Y1522" s="230"/>
      <c r="Z1522" s="230"/>
      <c r="AA1522" s="230"/>
      <c r="AB1522" s="230"/>
    </row>
    <row r="1523">
      <c r="O1523" s="230"/>
      <c r="R1523" s="230"/>
      <c r="S1523" s="230"/>
      <c r="T1523" s="230"/>
      <c r="U1523" s="230"/>
      <c r="V1523" s="230"/>
      <c r="W1523" s="230"/>
      <c r="X1523" s="230"/>
      <c r="Y1523" s="230"/>
      <c r="Z1523" s="230"/>
      <c r="AA1523" s="230"/>
      <c r="AB1523" s="230"/>
    </row>
    <row r="1524">
      <c r="O1524" s="230"/>
      <c r="R1524" s="230"/>
      <c r="S1524" s="230"/>
      <c r="T1524" s="230"/>
      <c r="U1524" s="230"/>
      <c r="V1524" s="230"/>
      <c r="W1524" s="230"/>
      <c r="X1524" s="230"/>
      <c r="Y1524" s="230"/>
      <c r="Z1524" s="230"/>
      <c r="AA1524" s="230"/>
      <c r="AB1524" s="230"/>
    </row>
    <row r="1525">
      <c r="O1525" s="230"/>
      <c r="R1525" s="230"/>
      <c r="S1525" s="230"/>
      <c r="T1525" s="230"/>
      <c r="U1525" s="230"/>
      <c r="V1525" s="230"/>
      <c r="W1525" s="230"/>
      <c r="X1525" s="230"/>
      <c r="Y1525" s="230"/>
      <c r="Z1525" s="230"/>
      <c r="AA1525" s="230"/>
      <c r="AB1525" s="230"/>
    </row>
    <row r="1526">
      <c r="O1526" s="230"/>
      <c r="R1526" s="230"/>
      <c r="S1526" s="230"/>
      <c r="T1526" s="230"/>
      <c r="U1526" s="230"/>
      <c r="V1526" s="230"/>
      <c r="W1526" s="230"/>
      <c r="X1526" s="230"/>
      <c r="Y1526" s="230"/>
      <c r="Z1526" s="230"/>
      <c r="AA1526" s="230"/>
      <c r="AB1526" s="230"/>
    </row>
    <row r="1527">
      <c r="O1527" s="230"/>
      <c r="R1527" s="230"/>
      <c r="S1527" s="230"/>
      <c r="T1527" s="230"/>
      <c r="U1527" s="230"/>
      <c r="V1527" s="230"/>
      <c r="W1527" s="230"/>
      <c r="X1527" s="230"/>
      <c r="Y1527" s="230"/>
      <c r="Z1527" s="230"/>
      <c r="AA1527" s="230"/>
      <c r="AB1527" s="230"/>
    </row>
    <row r="1528">
      <c r="O1528" s="230"/>
      <c r="R1528" s="230"/>
      <c r="S1528" s="230"/>
      <c r="T1528" s="230"/>
      <c r="U1528" s="230"/>
      <c r="V1528" s="230"/>
      <c r="W1528" s="230"/>
      <c r="X1528" s="230"/>
      <c r="Y1528" s="230"/>
      <c r="Z1528" s="230"/>
      <c r="AA1528" s="230"/>
      <c r="AB1528" s="230"/>
    </row>
    <row r="1529">
      <c r="O1529" s="230"/>
      <c r="R1529" s="230"/>
      <c r="S1529" s="230"/>
      <c r="T1529" s="230"/>
      <c r="U1529" s="230"/>
      <c r="V1529" s="230"/>
      <c r="W1529" s="230"/>
      <c r="X1529" s="230"/>
      <c r="Y1529" s="230"/>
      <c r="Z1529" s="230"/>
      <c r="AA1529" s="230"/>
      <c r="AB1529" s="230"/>
    </row>
    <row r="1530">
      <c r="O1530" s="230"/>
      <c r="R1530" s="230"/>
      <c r="S1530" s="230"/>
      <c r="T1530" s="230"/>
      <c r="U1530" s="230"/>
      <c r="V1530" s="230"/>
      <c r="W1530" s="230"/>
      <c r="X1530" s="230"/>
      <c r="Y1530" s="230"/>
      <c r="Z1530" s="230"/>
      <c r="AA1530" s="230"/>
      <c r="AB1530" s="230"/>
    </row>
    <row r="1531">
      <c r="O1531" s="230"/>
      <c r="R1531" s="230"/>
      <c r="S1531" s="230"/>
      <c r="T1531" s="230"/>
      <c r="U1531" s="230"/>
      <c r="V1531" s="230"/>
      <c r="W1531" s="230"/>
      <c r="X1531" s="230"/>
      <c r="Y1531" s="230"/>
      <c r="Z1531" s="230"/>
      <c r="AA1531" s="230"/>
      <c r="AB1531" s="230"/>
    </row>
    <row r="1532">
      <c r="O1532" s="230"/>
      <c r="R1532" s="230"/>
      <c r="S1532" s="230"/>
      <c r="T1532" s="230"/>
      <c r="U1532" s="230"/>
      <c r="V1532" s="230"/>
      <c r="W1532" s="230"/>
      <c r="X1532" s="230"/>
      <c r="Y1532" s="230"/>
      <c r="Z1532" s="230"/>
      <c r="AA1532" s="230"/>
      <c r="AB1532" s="230"/>
    </row>
    <row r="1533">
      <c r="O1533" s="230"/>
      <c r="R1533" s="230"/>
      <c r="S1533" s="230"/>
      <c r="T1533" s="230"/>
      <c r="U1533" s="230"/>
      <c r="V1533" s="230"/>
      <c r="W1533" s="230"/>
      <c r="X1533" s="230"/>
      <c r="Y1533" s="230"/>
      <c r="Z1533" s="230"/>
      <c r="AA1533" s="230"/>
      <c r="AB1533" s="230"/>
    </row>
    <row r="1534">
      <c r="O1534" s="230"/>
      <c r="R1534" s="230"/>
      <c r="S1534" s="230"/>
      <c r="T1534" s="230"/>
      <c r="U1534" s="230"/>
      <c r="V1534" s="230"/>
      <c r="W1534" s="230"/>
      <c r="X1534" s="230"/>
      <c r="Y1534" s="230"/>
      <c r="Z1534" s="230"/>
      <c r="AA1534" s="230"/>
      <c r="AB1534" s="230"/>
    </row>
    <row r="1535">
      <c r="O1535" s="230"/>
      <c r="R1535" s="230"/>
      <c r="S1535" s="230"/>
      <c r="T1535" s="230"/>
      <c r="U1535" s="230"/>
      <c r="V1535" s="230"/>
      <c r="W1535" s="230"/>
      <c r="X1535" s="230"/>
      <c r="Y1535" s="230"/>
      <c r="Z1535" s="230"/>
      <c r="AA1535" s="230"/>
      <c r="AB1535" s="230"/>
    </row>
    <row r="1536">
      <c r="O1536" s="230"/>
      <c r="R1536" s="230"/>
      <c r="S1536" s="230"/>
      <c r="T1536" s="230"/>
      <c r="U1536" s="230"/>
      <c r="V1536" s="230"/>
      <c r="W1536" s="230"/>
      <c r="X1536" s="230"/>
      <c r="Y1536" s="230"/>
      <c r="Z1536" s="230"/>
      <c r="AA1536" s="230"/>
      <c r="AB1536" s="230"/>
    </row>
    <row r="1537">
      <c r="O1537" s="230"/>
      <c r="R1537" s="230"/>
      <c r="S1537" s="230"/>
      <c r="T1537" s="230"/>
      <c r="U1537" s="230"/>
      <c r="V1537" s="230"/>
      <c r="W1537" s="230"/>
      <c r="X1537" s="230"/>
      <c r="Y1537" s="230"/>
      <c r="Z1537" s="230"/>
      <c r="AA1537" s="230"/>
      <c r="AB1537" s="230"/>
    </row>
    <row r="1538">
      <c r="O1538" s="230"/>
      <c r="R1538" s="230"/>
      <c r="S1538" s="230"/>
      <c r="T1538" s="230"/>
      <c r="U1538" s="230"/>
      <c r="V1538" s="230"/>
      <c r="W1538" s="230"/>
      <c r="X1538" s="230"/>
      <c r="Y1538" s="230"/>
      <c r="Z1538" s="230"/>
      <c r="AA1538" s="230"/>
      <c r="AB1538" s="230"/>
    </row>
    <row r="1539">
      <c r="O1539" s="230"/>
      <c r="R1539" s="230"/>
      <c r="S1539" s="230"/>
      <c r="T1539" s="230"/>
      <c r="U1539" s="230"/>
      <c r="V1539" s="230"/>
      <c r="W1539" s="230"/>
      <c r="X1539" s="230"/>
      <c r="Y1539" s="230"/>
      <c r="Z1539" s="230"/>
      <c r="AA1539" s="230"/>
      <c r="AB1539" s="230"/>
    </row>
    <row r="1540">
      <c r="O1540" s="230"/>
      <c r="R1540" s="230"/>
      <c r="S1540" s="230"/>
      <c r="T1540" s="230"/>
      <c r="U1540" s="230"/>
      <c r="V1540" s="230"/>
      <c r="W1540" s="230"/>
      <c r="X1540" s="230"/>
      <c r="Y1540" s="230"/>
      <c r="Z1540" s="230"/>
      <c r="AA1540" s="230"/>
      <c r="AB1540" s="230"/>
    </row>
    <row r="1541">
      <c r="O1541" s="230"/>
      <c r="R1541" s="230"/>
      <c r="S1541" s="230"/>
      <c r="T1541" s="230"/>
      <c r="U1541" s="230"/>
      <c r="V1541" s="230"/>
      <c r="W1541" s="230"/>
      <c r="X1541" s="230"/>
      <c r="Y1541" s="230"/>
      <c r="Z1541" s="230"/>
      <c r="AA1541" s="230"/>
      <c r="AB1541" s="230"/>
    </row>
    <row r="1542">
      <c r="O1542" s="230"/>
      <c r="R1542" s="230"/>
      <c r="S1542" s="230"/>
      <c r="T1542" s="230"/>
      <c r="U1542" s="230"/>
      <c r="V1542" s="230"/>
      <c r="W1542" s="230"/>
      <c r="X1542" s="230"/>
      <c r="Y1542" s="230"/>
      <c r="Z1542" s="230"/>
      <c r="AA1542" s="230"/>
      <c r="AB1542" s="230"/>
    </row>
    <row r="1543">
      <c r="O1543" s="230"/>
      <c r="R1543" s="230"/>
      <c r="S1543" s="230"/>
      <c r="T1543" s="230"/>
      <c r="U1543" s="230"/>
      <c r="V1543" s="230"/>
      <c r="W1543" s="230"/>
      <c r="X1543" s="230"/>
      <c r="Y1543" s="230"/>
      <c r="Z1543" s="230"/>
      <c r="AA1543" s="230"/>
      <c r="AB1543" s="230"/>
    </row>
    <row r="1544">
      <c r="O1544" s="230"/>
      <c r="R1544" s="230"/>
      <c r="S1544" s="230"/>
      <c r="T1544" s="230"/>
      <c r="U1544" s="230"/>
      <c r="V1544" s="230"/>
      <c r="W1544" s="230"/>
      <c r="X1544" s="230"/>
      <c r="Y1544" s="230"/>
      <c r="Z1544" s="230"/>
      <c r="AA1544" s="230"/>
      <c r="AB1544" s="230"/>
    </row>
    <row r="1545">
      <c r="O1545" s="230"/>
      <c r="R1545" s="230"/>
      <c r="S1545" s="230"/>
      <c r="T1545" s="230"/>
      <c r="U1545" s="230"/>
      <c r="V1545" s="230"/>
      <c r="W1545" s="230"/>
      <c r="X1545" s="230"/>
      <c r="Y1545" s="230"/>
      <c r="Z1545" s="230"/>
      <c r="AA1545" s="230"/>
      <c r="AB1545" s="230"/>
    </row>
    <row r="1546">
      <c r="O1546" s="230"/>
      <c r="R1546" s="230"/>
      <c r="S1546" s="230"/>
      <c r="T1546" s="230"/>
      <c r="U1546" s="230"/>
      <c r="V1546" s="230"/>
      <c r="W1546" s="230"/>
      <c r="X1546" s="230"/>
      <c r="Y1546" s="230"/>
      <c r="Z1546" s="230"/>
      <c r="AA1546" s="230"/>
      <c r="AB1546" s="230"/>
    </row>
    <row r="1547">
      <c r="O1547" s="230"/>
      <c r="R1547" s="230"/>
      <c r="S1547" s="230"/>
      <c r="T1547" s="230"/>
      <c r="U1547" s="230"/>
      <c r="V1547" s="230"/>
      <c r="W1547" s="230"/>
      <c r="X1547" s="230"/>
      <c r="Y1547" s="230"/>
      <c r="Z1547" s="230"/>
      <c r="AA1547" s="230"/>
      <c r="AB1547" s="230"/>
    </row>
    <row r="1548">
      <c r="O1548" s="230"/>
      <c r="R1548" s="230"/>
      <c r="S1548" s="230"/>
      <c r="T1548" s="230"/>
      <c r="U1548" s="230"/>
      <c r="V1548" s="230"/>
      <c r="W1548" s="230"/>
      <c r="X1548" s="230"/>
      <c r="Y1548" s="230"/>
      <c r="Z1548" s="230"/>
      <c r="AA1548" s="230"/>
      <c r="AB1548" s="230"/>
    </row>
    <row r="1549">
      <c r="O1549" s="230"/>
      <c r="R1549" s="230"/>
      <c r="S1549" s="230"/>
      <c r="T1549" s="230"/>
      <c r="U1549" s="230"/>
      <c r="V1549" s="230"/>
      <c r="W1549" s="230"/>
      <c r="X1549" s="230"/>
      <c r="Y1549" s="230"/>
      <c r="Z1549" s="230"/>
      <c r="AA1549" s="230"/>
      <c r="AB1549" s="230"/>
    </row>
    <row r="1550">
      <c r="O1550" s="230"/>
      <c r="R1550" s="230"/>
      <c r="S1550" s="230"/>
      <c r="T1550" s="230"/>
      <c r="U1550" s="230"/>
      <c r="V1550" s="230"/>
      <c r="W1550" s="230"/>
      <c r="X1550" s="230"/>
      <c r="Y1550" s="230"/>
      <c r="Z1550" s="230"/>
      <c r="AA1550" s="230"/>
      <c r="AB1550" s="230"/>
    </row>
    <row r="1551">
      <c r="O1551" s="230"/>
      <c r="R1551" s="230"/>
      <c r="S1551" s="230"/>
      <c r="T1551" s="230"/>
      <c r="U1551" s="230"/>
      <c r="V1551" s="230"/>
      <c r="W1551" s="230"/>
      <c r="X1551" s="230"/>
      <c r="Y1551" s="230"/>
      <c r="Z1551" s="230"/>
      <c r="AA1551" s="230"/>
      <c r="AB1551" s="230"/>
    </row>
    <row r="1552">
      <c r="O1552" s="230"/>
      <c r="R1552" s="230"/>
      <c r="S1552" s="230"/>
      <c r="T1552" s="230"/>
      <c r="U1552" s="230"/>
      <c r="V1552" s="230"/>
      <c r="W1552" s="230"/>
      <c r="X1552" s="230"/>
      <c r="Y1552" s="230"/>
      <c r="Z1552" s="230"/>
      <c r="AA1552" s="230"/>
      <c r="AB1552" s="230"/>
    </row>
    <row r="1553">
      <c r="O1553" s="230"/>
      <c r="R1553" s="230"/>
      <c r="S1553" s="230"/>
      <c r="T1553" s="230"/>
      <c r="U1553" s="230"/>
      <c r="V1553" s="230"/>
      <c r="W1553" s="230"/>
      <c r="X1553" s="230"/>
      <c r="Y1553" s="230"/>
      <c r="Z1553" s="230"/>
      <c r="AA1553" s="230"/>
      <c r="AB1553" s="230"/>
    </row>
    <row r="1554">
      <c r="O1554" s="230"/>
      <c r="R1554" s="230"/>
      <c r="S1554" s="230"/>
      <c r="T1554" s="230"/>
      <c r="U1554" s="230"/>
      <c r="V1554" s="230"/>
      <c r="W1554" s="230"/>
      <c r="X1554" s="230"/>
      <c r="Y1554" s="230"/>
      <c r="Z1554" s="230"/>
      <c r="AA1554" s="230"/>
      <c r="AB1554" s="230"/>
    </row>
    <row r="1555">
      <c r="O1555" s="230"/>
      <c r="R1555" s="230"/>
      <c r="S1555" s="230"/>
      <c r="T1555" s="230"/>
      <c r="U1555" s="230"/>
      <c r="V1555" s="230"/>
      <c r="W1555" s="230"/>
      <c r="X1555" s="230"/>
      <c r="Y1555" s="230"/>
      <c r="Z1555" s="230"/>
      <c r="AA1555" s="230"/>
      <c r="AB1555" s="230"/>
    </row>
    <row r="1556">
      <c r="O1556" s="230"/>
      <c r="R1556" s="230"/>
      <c r="S1556" s="230"/>
      <c r="T1556" s="230"/>
      <c r="U1556" s="230"/>
      <c r="V1556" s="230"/>
      <c r="W1556" s="230"/>
      <c r="X1556" s="230"/>
      <c r="Y1556" s="230"/>
      <c r="Z1556" s="230"/>
      <c r="AA1556" s="230"/>
      <c r="AB1556" s="230"/>
    </row>
    <row r="1557">
      <c r="O1557" s="230"/>
      <c r="R1557" s="230"/>
      <c r="S1557" s="230"/>
      <c r="T1557" s="230"/>
      <c r="U1557" s="230"/>
      <c r="V1557" s="230"/>
      <c r="W1557" s="230"/>
      <c r="X1557" s="230"/>
      <c r="Y1557" s="230"/>
      <c r="Z1557" s="230"/>
      <c r="AA1557" s="230"/>
      <c r="AB1557" s="230"/>
    </row>
    <row r="1558">
      <c r="O1558" s="230"/>
      <c r="R1558" s="230"/>
      <c r="S1558" s="230"/>
      <c r="T1558" s="230"/>
      <c r="U1558" s="230"/>
      <c r="V1558" s="230"/>
      <c r="W1558" s="230"/>
      <c r="X1558" s="230"/>
      <c r="Y1558" s="230"/>
      <c r="Z1558" s="230"/>
      <c r="AA1558" s="230"/>
      <c r="AB1558" s="230"/>
    </row>
    <row r="1559">
      <c r="O1559" s="230"/>
      <c r="R1559" s="230"/>
      <c r="S1559" s="230"/>
      <c r="T1559" s="230"/>
      <c r="U1559" s="230"/>
      <c r="V1559" s="230"/>
      <c r="W1559" s="230"/>
      <c r="X1559" s="230"/>
      <c r="Y1559" s="230"/>
      <c r="Z1559" s="230"/>
      <c r="AA1559" s="230"/>
      <c r="AB1559" s="230"/>
    </row>
    <row r="1560">
      <c r="O1560" s="230"/>
      <c r="R1560" s="230"/>
      <c r="S1560" s="230"/>
      <c r="T1560" s="230"/>
      <c r="U1560" s="230"/>
      <c r="V1560" s="230"/>
      <c r="W1560" s="230"/>
      <c r="X1560" s="230"/>
      <c r="Y1560" s="230"/>
      <c r="Z1560" s="230"/>
      <c r="AA1560" s="230"/>
      <c r="AB1560" s="230"/>
    </row>
    <row r="1561">
      <c r="O1561" s="230"/>
      <c r="R1561" s="230"/>
      <c r="S1561" s="230"/>
      <c r="T1561" s="230"/>
      <c r="U1561" s="230"/>
      <c r="V1561" s="230"/>
      <c r="W1561" s="230"/>
      <c r="X1561" s="230"/>
      <c r="Y1561" s="230"/>
      <c r="Z1561" s="230"/>
      <c r="AA1561" s="230"/>
      <c r="AB1561" s="230"/>
    </row>
    <row r="1562">
      <c r="O1562" s="230"/>
      <c r="R1562" s="230"/>
      <c r="S1562" s="230"/>
      <c r="T1562" s="230"/>
      <c r="U1562" s="230"/>
      <c r="V1562" s="230"/>
      <c r="W1562" s="230"/>
      <c r="X1562" s="230"/>
      <c r="Y1562" s="230"/>
      <c r="Z1562" s="230"/>
      <c r="AA1562" s="230"/>
      <c r="AB1562" s="230"/>
    </row>
    <row r="1563">
      <c r="O1563" s="230"/>
      <c r="R1563" s="230"/>
      <c r="S1563" s="230"/>
      <c r="T1563" s="230"/>
      <c r="U1563" s="230"/>
      <c r="V1563" s="230"/>
      <c r="W1563" s="230"/>
      <c r="X1563" s="230"/>
      <c r="Y1563" s="230"/>
      <c r="Z1563" s="230"/>
      <c r="AA1563" s="230"/>
      <c r="AB1563" s="230"/>
    </row>
    <row r="1564">
      <c r="O1564" s="230"/>
      <c r="R1564" s="230"/>
      <c r="S1564" s="230"/>
      <c r="T1564" s="230"/>
      <c r="U1564" s="230"/>
      <c r="V1564" s="230"/>
      <c r="W1564" s="230"/>
      <c r="X1564" s="230"/>
      <c r="Y1564" s="230"/>
      <c r="Z1564" s="230"/>
      <c r="AA1564" s="230"/>
      <c r="AB1564" s="230"/>
    </row>
    <row r="1565">
      <c r="O1565" s="230"/>
      <c r="R1565" s="230"/>
      <c r="S1565" s="230"/>
      <c r="T1565" s="230"/>
      <c r="U1565" s="230"/>
      <c r="V1565" s="230"/>
      <c r="W1565" s="230"/>
      <c r="X1565" s="230"/>
      <c r="Y1565" s="230"/>
      <c r="Z1565" s="230"/>
      <c r="AA1565" s="230"/>
      <c r="AB1565" s="230"/>
    </row>
    <row r="1566">
      <c r="O1566" s="230"/>
      <c r="R1566" s="230"/>
      <c r="S1566" s="230"/>
      <c r="T1566" s="230"/>
      <c r="U1566" s="230"/>
      <c r="V1566" s="230"/>
      <c r="W1566" s="230"/>
      <c r="X1566" s="230"/>
      <c r="Y1566" s="230"/>
      <c r="Z1566" s="230"/>
      <c r="AA1566" s="230"/>
      <c r="AB1566" s="230"/>
    </row>
    <row r="1567">
      <c r="O1567" s="230"/>
      <c r="R1567" s="230"/>
      <c r="S1567" s="230"/>
      <c r="T1567" s="230"/>
      <c r="U1567" s="230"/>
      <c r="V1567" s="230"/>
      <c r="W1567" s="230"/>
      <c r="X1567" s="230"/>
      <c r="Y1567" s="230"/>
      <c r="Z1567" s="230"/>
      <c r="AA1567" s="230"/>
      <c r="AB1567" s="230"/>
    </row>
    <row r="1568">
      <c r="O1568" s="230"/>
      <c r="R1568" s="230"/>
      <c r="S1568" s="230"/>
      <c r="T1568" s="230"/>
      <c r="U1568" s="230"/>
      <c r="V1568" s="230"/>
      <c r="W1568" s="230"/>
      <c r="X1568" s="230"/>
      <c r="Y1568" s="230"/>
      <c r="Z1568" s="230"/>
      <c r="AA1568" s="230"/>
      <c r="AB1568" s="230"/>
    </row>
    <row r="1569">
      <c r="O1569" s="230"/>
      <c r="R1569" s="230"/>
      <c r="S1569" s="230"/>
      <c r="T1569" s="230"/>
      <c r="U1569" s="230"/>
      <c r="V1569" s="230"/>
      <c r="W1569" s="230"/>
      <c r="X1569" s="230"/>
      <c r="Y1569" s="230"/>
      <c r="Z1569" s="230"/>
      <c r="AA1569" s="230"/>
      <c r="AB1569" s="230"/>
    </row>
    <row r="1570">
      <c r="O1570" s="230"/>
      <c r="R1570" s="230"/>
      <c r="S1570" s="230"/>
      <c r="T1570" s="230"/>
      <c r="U1570" s="230"/>
      <c r="V1570" s="230"/>
      <c r="W1570" s="230"/>
      <c r="X1570" s="230"/>
      <c r="Y1570" s="230"/>
      <c r="Z1570" s="230"/>
      <c r="AA1570" s="230"/>
      <c r="AB1570" s="230"/>
    </row>
    <row r="1571">
      <c r="O1571" s="230"/>
      <c r="R1571" s="230"/>
      <c r="S1571" s="230"/>
      <c r="T1571" s="230"/>
      <c r="U1571" s="230"/>
      <c r="V1571" s="230"/>
      <c r="W1571" s="230"/>
      <c r="X1571" s="230"/>
      <c r="Y1571" s="230"/>
      <c r="Z1571" s="230"/>
      <c r="AA1571" s="230"/>
      <c r="AB1571" s="230"/>
    </row>
    <row r="1572">
      <c r="O1572" s="230"/>
      <c r="R1572" s="230"/>
      <c r="S1572" s="230"/>
      <c r="T1572" s="230"/>
      <c r="U1572" s="230"/>
      <c r="V1572" s="230"/>
      <c r="W1572" s="230"/>
      <c r="X1572" s="230"/>
      <c r="Y1572" s="230"/>
      <c r="Z1572" s="230"/>
      <c r="AA1572" s="230"/>
      <c r="AB1572" s="230"/>
    </row>
    <row r="1573">
      <c r="O1573" s="230"/>
      <c r="R1573" s="230"/>
      <c r="S1573" s="230"/>
      <c r="T1573" s="230"/>
      <c r="U1573" s="230"/>
      <c r="V1573" s="230"/>
      <c r="W1573" s="230"/>
      <c r="X1573" s="230"/>
      <c r="Y1573" s="230"/>
      <c r="Z1573" s="230"/>
      <c r="AA1573" s="230"/>
      <c r="AB1573" s="230"/>
    </row>
    <row r="1574">
      <c r="O1574" s="230"/>
      <c r="R1574" s="230"/>
      <c r="S1574" s="230"/>
      <c r="T1574" s="230"/>
      <c r="U1574" s="230"/>
      <c r="V1574" s="230"/>
      <c r="W1574" s="230"/>
      <c r="X1574" s="230"/>
      <c r="Y1574" s="230"/>
      <c r="Z1574" s="230"/>
      <c r="AA1574" s="230"/>
      <c r="AB1574" s="230"/>
    </row>
    <row r="1575">
      <c r="O1575" s="230"/>
      <c r="R1575" s="230"/>
      <c r="S1575" s="230"/>
      <c r="T1575" s="230"/>
      <c r="U1575" s="230"/>
      <c r="V1575" s="230"/>
      <c r="W1575" s="230"/>
      <c r="X1575" s="230"/>
      <c r="Y1575" s="230"/>
      <c r="Z1575" s="230"/>
      <c r="AA1575" s="230"/>
      <c r="AB1575" s="230"/>
    </row>
    <row r="1576">
      <c r="O1576" s="230"/>
      <c r="R1576" s="230"/>
      <c r="S1576" s="230"/>
      <c r="T1576" s="230"/>
      <c r="U1576" s="230"/>
      <c r="V1576" s="230"/>
      <c r="W1576" s="230"/>
      <c r="X1576" s="230"/>
      <c r="Y1576" s="230"/>
      <c r="Z1576" s="230"/>
      <c r="AA1576" s="230"/>
      <c r="AB1576" s="230"/>
    </row>
    <row r="1577">
      <c r="O1577" s="230"/>
      <c r="R1577" s="230"/>
      <c r="S1577" s="230"/>
      <c r="T1577" s="230"/>
      <c r="U1577" s="230"/>
      <c r="V1577" s="230"/>
      <c r="W1577" s="230"/>
      <c r="X1577" s="230"/>
      <c r="Y1577" s="230"/>
      <c r="Z1577" s="230"/>
      <c r="AA1577" s="230"/>
      <c r="AB1577" s="230"/>
    </row>
    <row r="1578">
      <c r="O1578" s="230"/>
      <c r="R1578" s="230"/>
      <c r="S1578" s="230"/>
      <c r="T1578" s="230"/>
      <c r="U1578" s="230"/>
      <c r="V1578" s="230"/>
      <c r="W1578" s="230"/>
      <c r="X1578" s="230"/>
      <c r="Y1578" s="230"/>
      <c r="Z1578" s="230"/>
      <c r="AA1578" s="230"/>
      <c r="AB1578" s="230"/>
    </row>
    <row r="1579">
      <c r="O1579" s="230"/>
      <c r="R1579" s="230"/>
      <c r="S1579" s="230"/>
      <c r="T1579" s="230"/>
      <c r="U1579" s="230"/>
      <c r="V1579" s="230"/>
      <c r="W1579" s="230"/>
      <c r="X1579" s="230"/>
      <c r="Y1579" s="230"/>
      <c r="Z1579" s="230"/>
      <c r="AA1579" s="230"/>
      <c r="AB1579" s="230"/>
    </row>
    <row r="1580">
      <c r="O1580" s="230"/>
      <c r="R1580" s="230"/>
      <c r="S1580" s="230"/>
      <c r="T1580" s="230"/>
      <c r="U1580" s="230"/>
      <c r="V1580" s="230"/>
      <c r="W1580" s="230"/>
      <c r="X1580" s="230"/>
      <c r="Y1580" s="230"/>
      <c r="Z1580" s="230"/>
      <c r="AA1580" s="230"/>
      <c r="AB1580" s="230"/>
    </row>
    <row r="1581">
      <c r="O1581" s="230"/>
      <c r="R1581" s="230"/>
      <c r="S1581" s="230"/>
      <c r="T1581" s="230"/>
      <c r="U1581" s="230"/>
      <c r="V1581" s="230"/>
      <c r="W1581" s="230"/>
      <c r="X1581" s="230"/>
      <c r="Y1581" s="230"/>
      <c r="Z1581" s="230"/>
      <c r="AA1581" s="230"/>
      <c r="AB1581" s="230"/>
    </row>
    <row r="1582">
      <c r="O1582" s="230"/>
      <c r="R1582" s="230"/>
      <c r="S1582" s="230"/>
      <c r="T1582" s="230"/>
      <c r="U1582" s="230"/>
      <c r="V1582" s="230"/>
      <c r="W1582" s="230"/>
      <c r="X1582" s="230"/>
      <c r="Y1582" s="230"/>
      <c r="Z1582" s="230"/>
      <c r="AA1582" s="230"/>
      <c r="AB1582" s="230"/>
    </row>
    <row r="1583">
      <c r="O1583" s="230"/>
      <c r="R1583" s="230"/>
      <c r="S1583" s="230"/>
      <c r="T1583" s="230"/>
      <c r="U1583" s="230"/>
      <c r="V1583" s="230"/>
      <c r="W1583" s="230"/>
      <c r="X1583" s="230"/>
      <c r="Y1583" s="230"/>
      <c r="Z1583" s="230"/>
      <c r="AA1583" s="230"/>
      <c r="AB1583" s="230"/>
    </row>
    <row r="1584">
      <c r="O1584" s="230"/>
      <c r="R1584" s="230"/>
      <c r="S1584" s="230"/>
      <c r="T1584" s="230"/>
      <c r="U1584" s="230"/>
      <c r="V1584" s="230"/>
      <c r="W1584" s="230"/>
      <c r="X1584" s="230"/>
      <c r="Y1584" s="230"/>
      <c r="Z1584" s="230"/>
      <c r="AA1584" s="230"/>
      <c r="AB1584" s="230"/>
    </row>
    <row r="1585">
      <c r="O1585" s="230"/>
      <c r="R1585" s="230"/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</row>
    <row r="1586">
      <c r="O1586" s="230"/>
      <c r="R1586" s="230"/>
      <c r="S1586" s="230"/>
      <c r="T1586" s="230"/>
      <c r="U1586" s="230"/>
      <c r="V1586" s="230"/>
      <c r="W1586" s="230"/>
      <c r="X1586" s="230"/>
      <c r="Y1586" s="230"/>
      <c r="Z1586" s="230"/>
      <c r="AA1586" s="230"/>
      <c r="AB1586" s="230"/>
    </row>
    <row r="1587">
      <c r="O1587" s="230"/>
      <c r="R1587" s="230"/>
      <c r="S1587" s="230"/>
      <c r="T1587" s="230"/>
      <c r="U1587" s="230"/>
      <c r="V1587" s="230"/>
      <c r="W1587" s="230"/>
      <c r="X1587" s="230"/>
      <c r="Y1587" s="230"/>
      <c r="Z1587" s="230"/>
      <c r="AA1587" s="230"/>
      <c r="AB1587" s="230"/>
    </row>
    <row r="1588">
      <c r="O1588" s="230"/>
      <c r="R1588" s="230"/>
      <c r="S1588" s="230"/>
      <c r="T1588" s="230"/>
      <c r="U1588" s="230"/>
      <c r="V1588" s="230"/>
      <c r="W1588" s="230"/>
      <c r="X1588" s="230"/>
      <c r="Y1588" s="230"/>
      <c r="Z1588" s="230"/>
      <c r="AA1588" s="230"/>
      <c r="AB1588" s="230"/>
    </row>
    <row r="1589">
      <c r="O1589" s="230"/>
      <c r="R1589" s="230"/>
      <c r="S1589" s="230"/>
      <c r="T1589" s="230"/>
      <c r="U1589" s="230"/>
      <c r="V1589" s="230"/>
      <c r="W1589" s="230"/>
      <c r="X1589" s="230"/>
      <c r="Y1589" s="230"/>
      <c r="Z1589" s="230"/>
      <c r="AA1589" s="230"/>
      <c r="AB1589" s="230"/>
    </row>
    <row r="1590">
      <c r="O1590" s="230"/>
      <c r="R1590" s="230"/>
      <c r="S1590" s="230"/>
      <c r="T1590" s="230"/>
      <c r="U1590" s="230"/>
      <c r="V1590" s="230"/>
      <c r="W1590" s="230"/>
      <c r="X1590" s="230"/>
      <c r="Y1590" s="230"/>
      <c r="Z1590" s="230"/>
      <c r="AA1590" s="230"/>
      <c r="AB1590" s="230"/>
    </row>
    <row r="1591">
      <c r="O1591" s="230"/>
      <c r="R1591" s="230"/>
      <c r="S1591" s="230"/>
      <c r="T1591" s="230"/>
      <c r="U1591" s="230"/>
      <c r="V1591" s="230"/>
      <c r="W1591" s="230"/>
      <c r="X1591" s="230"/>
      <c r="Y1591" s="230"/>
      <c r="Z1591" s="230"/>
      <c r="AA1591" s="230"/>
      <c r="AB1591" s="230"/>
    </row>
    <row r="1592">
      <c r="O1592" s="230"/>
      <c r="R1592" s="230"/>
      <c r="S1592" s="230"/>
      <c r="T1592" s="230"/>
      <c r="U1592" s="230"/>
      <c r="V1592" s="230"/>
      <c r="W1592" s="230"/>
      <c r="X1592" s="230"/>
      <c r="Y1592" s="230"/>
      <c r="Z1592" s="230"/>
      <c r="AA1592" s="230"/>
      <c r="AB1592" s="230"/>
    </row>
    <row r="1593">
      <c r="O1593" s="230"/>
      <c r="R1593" s="230"/>
      <c r="S1593" s="230"/>
      <c r="T1593" s="230"/>
      <c r="U1593" s="230"/>
      <c r="V1593" s="230"/>
      <c r="W1593" s="230"/>
      <c r="X1593" s="230"/>
      <c r="Y1593" s="230"/>
      <c r="Z1593" s="230"/>
      <c r="AA1593" s="230"/>
      <c r="AB1593" s="230"/>
    </row>
    <row r="1594">
      <c r="O1594" s="230"/>
      <c r="R1594" s="230"/>
      <c r="S1594" s="230"/>
      <c r="T1594" s="230"/>
      <c r="U1594" s="230"/>
      <c r="V1594" s="230"/>
      <c r="W1594" s="230"/>
      <c r="X1594" s="230"/>
      <c r="Y1594" s="230"/>
      <c r="Z1594" s="230"/>
      <c r="AA1594" s="230"/>
      <c r="AB1594" s="230"/>
    </row>
    <row r="1595">
      <c r="O1595" s="230"/>
      <c r="R1595" s="230"/>
      <c r="S1595" s="230"/>
      <c r="T1595" s="230"/>
      <c r="U1595" s="230"/>
      <c r="V1595" s="230"/>
      <c r="W1595" s="230"/>
      <c r="X1595" s="230"/>
      <c r="Y1595" s="230"/>
      <c r="Z1595" s="230"/>
      <c r="AA1595" s="230"/>
      <c r="AB1595" s="230"/>
    </row>
    <row r="1596">
      <c r="O1596" s="230"/>
      <c r="R1596" s="230"/>
      <c r="S1596" s="230"/>
      <c r="T1596" s="230"/>
      <c r="U1596" s="230"/>
      <c r="V1596" s="230"/>
      <c r="W1596" s="230"/>
      <c r="X1596" s="230"/>
      <c r="Y1596" s="230"/>
      <c r="Z1596" s="230"/>
      <c r="AA1596" s="230"/>
      <c r="AB1596" s="230"/>
    </row>
    <row r="1597">
      <c r="O1597" s="230"/>
      <c r="R1597" s="230"/>
      <c r="S1597" s="230"/>
      <c r="T1597" s="230"/>
      <c r="U1597" s="230"/>
      <c r="V1597" s="230"/>
      <c r="W1597" s="230"/>
      <c r="X1597" s="230"/>
      <c r="Y1597" s="230"/>
      <c r="Z1597" s="230"/>
      <c r="AA1597" s="230"/>
      <c r="AB1597" s="230"/>
    </row>
    <row r="1598">
      <c r="O1598" s="230"/>
      <c r="R1598" s="230"/>
      <c r="S1598" s="230"/>
      <c r="T1598" s="230"/>
      <c r="U1598" s="230"/>
      <c r="V1598" s="230"/>
      <c r="W1598" s="230"/>
      <c r="X1598" s="230"/>
      <c r="Y1598" s="230"/>
      <c r="Z1598" s="230"/>
      <c r="AA1598" s="230"/>
      <c r="AB1598" s="230"/>
    </row>
    <row r="1599">
      <c r="O1599" s="230"/>
      <c r="R1599" s="230"/>
      <c r="S1599" s="230"/>
      <c r="T1599" s="230"/>
      <c r="U1599" s="230"/>
      <c r="V1599" s="230"/>
      <c r="W1599" s="230"/>
      <c r="X1599" s="230"/>
      <c r="Y1599" s="230"/>
      <c r="Z1599" s="230"/>
      <c r="AA1599" s="230"/>
      <c r="AB1599" s="230"/>
    </row>
    <row r="1600">
      <c r="O1600" s="230"/>
      <c r="R1600" s="230"/>
      <c r="S1600" s="230"/>
      <c r="T1600" s="230"/>
      <c r="U1600" s="230"/>
      <c r="V1600" s="230"/>
      <c r="W1600" s="230"/>
      <c r="X1600" s="230"/>
      <c r="Y1600" s="230"/>
      <c r="Z1600" s="230"/>
      <c r="AA1600" s="230"/>
      <c r="AB1600" s="230"/>
    </row>
    <row r="1601">
      <c r="O1601" s="230"/>
      <c r="R1601" s="230"/>
      <c r="S1601" s="230"/>
      <c r="T1601" s="230"/>
      <c r="U1601" s="230"/>
      <c r="V1601" s="230"/>
      <c r="W1601" s="230"/>
      <c r="X1601" s="230"/>
      <c r="Y1601" s="230"/>
      <c r="Z1601" s="230"/>
      <c r="AA1601" s="230"/>
      <c r="AB1601" s="230"/>
    </row>
    <row r="1602">
      <c r="O1602" s="230"/>
      <c r="R1602" s="230"/>
      <c r="S1602" s="230"/>
      <c r="T1602" s="230"/>
      <c r="U1602" s="230"/>
      <c r="V1602" s="230"/>
      <c r="W1602" s="230"/>
      <c r="X1602" s="230"/>
      <c r="Y1602" s="230"/>
      <c r="Z1602" s="230"/>
      <c r="AA1602" s="230"/>
      <c r="AB1602" s="230"/>
    </row>
    <row r="1603">
      <c r="O1603" s="230"/>
      <c r="R1603" s="230"/>
      <c r="S1603" s="230"/>
      <c r="T1603" s="230"/>
      <c r="U1603" s="230"/>
      <c r="V1603" s="230"/>
      <c r="W1603" s="230"/>
      <c r="X1603" s="230"/>
      <c r="Y1603" s="230"/>
      <c r="Z1603" s="230"/>
      <c r="AA1603" s="230"/>
      <c r="AB1603" s="230"/>
    </row>
    <row r="1604">
      <c r="O1604" s="230"/>
      <c r="R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</row>
    <row r="1605">
      <c r="O1605" s="230"/>
      <c r="R1605" s="230"/>
      <c r="S1605" s="230"/>
      <c r="T1605" s="230"/>
      <c r="U1605" s="230"/>
      <c r="V1605" s="230"/>
      <c r="W1605" s="230"/>
      <c r="X1605" s="230"/>
      <c r="Y1605" s="230"/>
      <c r="Z1605" s="230"/>
      <c r="AA1605" s="230"/>
      <c r="AB1605" s="230"/>
    </row>
    <row r="1606">
      <c r="O1606" s="230"/>
      <c r="R1606" s="230"/>
      <c r="S1606" s="230"/>
      <c r="T1606" s="230"/>
      <c r="U1606" s="230"/>
      <c r="V1606" s="230"/>
      <c r="W1606" s="230"/>
      <c r="X1606" s="230"/>
      <c r="Y1606" s="230"/>
      <c r="Z1606" s="230"/>
      <c r="AA1606" s="230"/>
      <c r="AB1606" s="230"/>
    </row>
    <row r="1607">
      <c r="O1607" s="230"/>
      <c r="R1607" s="230"/>
      <c r="S1607" s="230"/>
      <c r="T1607" s="230"/>
      <c r="U1607" s="230"/>
      <c r="V1607" s="230"/>
      <c r="W1607" s="230"/>
      <c r="X1607" s="230"/>
      <c r="Y1607" s="230"/>
      <c r="Z1607" s="230"/>
      <c r="AA1607" s="230"/>
      <c r="AB1607" s="230"/>
    </row>
    <row r="1608">
      <c r="O1608" s="230"/>
      <c r="R1608" s="230"/>
      <c r="S1608" s="230"/>
      <c r="T1608" s="230"/>
      <c r="U1608" s="230"/>
      <c r="V1608" s="230"/>
      <c r="W1608" s="230"/>
      <c r="X1608" s="230"/>
      <c r="Y1608" s="230"/>
      <c r="Z1608" s="230"/>
      <c r="AA1608" s="230"/>
      <c r="AB1608" s="230"/>
    </row>
    <row r="1609">
      <c r="O1609" s="230"/>
      <c r="R1609" s="230"/>
      <c r="S1609" s="230"/>
      <c r="T1609" s="230"/>
      <c r="U1609" s="230"/>
      <c r="V1609" s="230"/>
      <c r="W1609" s="230"/>
      <c r="X1609" s="230"/>
      <c r="Y1609" s="230"/>
      <c r="Z1609" s="230"/>
      <c r="AA1609" s="230"/>
      <c r="AB1609" s="230"/>
    </row>
    <row r="1610">
      <c r="O1610" s="230"/>
      <c r="R1610" s="230"/>
      <c r="S1610" s="230"/>
      <c r="T1610" s="230"/>
      <c r="U1610" s="230"/>
      <c r="V1610" s="230"/>
      <c r="W1610" s="230"/>
      <c r="X1610" s="230"/>
      <c r="Y1610" s="230"/>
      <c r="Z1610" s="230"/>
      <c r="AA1610" s="230"/>
      <c r="AB1610" s="230"/>
    </row>
    <row r="1611">
      <c r="O1611" s="230"/>
      <c r="R1611" s="230"/>
      <c r="S1611" s="230"/>
      <c r="T1611" s="230"/>
      <c r="U1611" s="230"/>
      <c r="V1611" s="230"/>
      <c r="W1611" s="230"/>
      <c r="X1611" s="230"/>
      <c r="Y1611" s="230"/>
      <c r="Z1611" s="230"/>
      <c r="AA1611" s="230"/>
      <c r="AB1611" s="230"/>
    </row>
    <row r="1612">
      <c r="O1612" s="230"/>
      <c r="R1612" s="230"/>
      <c r="S1612" s="230"/>
      <c r="T1612" s="230"/>
      <c r="U1612" s="230"/>
      <c r="V1612" s="230"/>
      <c r="W1612" s="230"/>
      <c r="X1612" s="230"/>
      <c r="Y1612" s="230"/>
      <c r="Z1612" s="230"/>
      <c r="AA1612" s="230"/>
      <c r="AB1612" s="230"/>
    </row>
    <row r="1613">
      <c r="O1613" s="230"/>
      <c r="R1613" s="230"/>
      <c r="S1613" s="230"/>
      <c r="T1613" s="230"/>
      <c r="U1613" s="230"/>
      <c r="V1613" s="230"/>
      <c r="W1613" s="230"/>
      <c r="X1613" s="230"/>
      <c r="Y1613" s="230"/>
      <c r="Z1613" s="230"/>
      <c r="AA1613" s="230"/>
      <c r="AB1613" s="230"/>
    </row>
    <row r="1614">
      <c r="O1614" s="230"/>
      <c r="R1614" s="230"/>
      <c r="S1614" s="230"/>
      <c r="T1614" s="230"/>
      <c r="U1614" s="230"/>
      <c r="V1614" s="230"/>
      <c r="W1614" s="230"/>
      <c r="X1614" s="230"/>
      <c r="Y1614" s="230"/>
      <c r="Z1614" s="230"/>
      <c r="AA1614" s="230"/>
      <c r="AB1614" s="230"/>
    </row>
    <row r="1615">
      <c r="O1615" s="230"/>
      <c r="R1615" s="230"/>
      <c r="S1615" s="230"/>
      <c r="T1615" s="230"/>
      <c r="U1615" s="230"/>
      <c r="V1615" s="230"/>
      <c r="W1615" s="230"/>
      <c r="X1615" s="230"/>
      <c r="Y1615" s="230"/>
      <c r="Z1615" s="230"/>
      <c r="AA1615" s="230"/>
      <c r="AB1615" s="230"/>
    </row>
    <row r="1616">
      <c r="O1616" s="230"/>
      <c r="R1616" s="230"/>
      <c r="S1616" s="230"/>
      <c r="T1616" s="230"/>
      <c r="U1616" s="230"/>
      <c r="V1616" s="230"/>
      <c r="W1616" s="230"/>
      <c r="X1616" s="230"/>
      <c r="Y1616" s="230"/>
      <c r="Z1616" s="230"/>
      <c r="AA1616" s="230"/>
      <c r="AB1616" s="230"/>
    </row>
    <row r="1617">
      <c r="O1617" s="230"/>
      <c r="R1617" s="230"/>
      <c r="S1617" s="230"/>
      <c r="T1617" s="230"/>
      <c r="U1617" s="230"/>
      <c r="V1617" s="230"/>
      <c r="W1617" s="230"/>
      <c r="X1617" s="230"/>
      <c r="Y1617" s="230"/>
      <c r="Z1617" s="230"/>
      <c r="AA1617" s="230"/>
      <c r="AB1617" s="230"/>
    </row>
    <row r="1618">
      <c r="O1618" s="230"/>
      <c r="R1618" s="230"/>
      <c r="S1618" s="230"/>
      <c r="T1618" s="230"/>
      <c r="U1618" s="230"/>
      <c r="V1618" s="230"/>
      <c r="W1618" s="230"/>
      <c r="X1618" s="230"/>
      <c r="Y1618" s="230"/>
      <c r="Z1618" s="230"/>
      <c r="AA1618" s="230"/>
      <c r="AB1618" s="230"/>
    </row>
    <row r="1619">
      <c r="O1619" s="230"/>
      <c r="R1619" s="230"/>
      <c r="S1619" s="230"/>
      <c r="T1619" s="230"/>
      <c r="U1619" s="230"/>
      <c r="V1619" s="230"/>
      <c r="W1619" s="230"/>
      <c r="X1619" s="230"/>
      <c r="Y1619" s="230"/>
      <c r="Z1619" s="230"/>
      <c r="AA1619" s="230"/>
      <c r="AB1619" s="230"/>
    </row>
    <row r="1620">
      <c r="O1620" s="230"/>
      <c r="R1620" s="230"/>
      <c r="S1620" s="230"/>
      <c r="T1620" s="230"/>
      <c r="U1620" s="230"/>
      <c r="V1620" s="230"/>
      <c r="W1620" s="230"/>
      <c r="X1620" s="230"/>
      <c r="Y1620" s="230"/>
      <c r="Z1620" s="230"/>
      <c r="AA1620" s="230"/>
      <c r="AB1620" s="230"/>
    </row>
    <row r="1621">
      <c r="O1621" s="230"/>
      <c r="R1621" s="230"/>
      <c r="S1621" s="230"/>
      <c r="T1621" s="230"/>
      <c r="U1621" s="230"/>
      <c r="V1621" s="230"/>
      <c r="W1621" s="230"/>
      <c r="X1621" s="230"/>
      <c r="Y1621" s="230"/>
      <c r="Z1621" s="230"/>
      <c r="AA1621" s="230"/>
      <c r="AB1621" s="230"/>
    </row>
    <row r="1622">
      <c r="O1622" s="230"/>
      <c r="R1622" s="230"/>
      <c r="S1622" s="230"/>
      <c r="T1622" s="230"/>
      <c r="U1622" s="230"/>
      <c r="V1622" s="230"/>
      <c r="W1622" s="230"/>
      <c r="X1622" s="230"/>
      <c r="Y1622" s="230"/>
      <c r="Z1622" s="230"/>
      <c r="AA1622" s="230"/>
      <c r="AB1622" s="230"/>
    </row>
    <row r="1623">
      <c r="O1623" s="230"/>
      <c r="R1623" s="230"/>
      <c r="S1623" s="230"/>
      <c r="T1623" s="230"/>
      <c r="U1623" s="230"/>
      <c r="V1623" s="230"/>
      <c r="W1623" s="230"/>
      <c r="X1623" s="230"/>
      <c r="Y1623" s="230"/>
      <c r="Z1623" s="230"/>
      <c r="AA1623" s="230"/>
      <c r="AB1623" s="230"/>
    </row>
    <row r="1624">
      <c r="O1624" s="230"/>
      <c r="R1624" s="230"/>
      <c r="S1624" s="230"/>
      <c r="T1624" s="230"/>
      <c r="U1624" s="230"/>
      <c r="V1624" s="230"/>
      <c r="W1624" s="230"/>
      <c r="X1624" s="230"/>
      <c r="Y1624" s="230"/>
      <c r="Z1624" s="230"/>
      <c r="AA1624" s="230"/>
      <c r="AB1624" s="230"/>
    </row>
    <row r="1625">
      <c r="O1625" s="230"/>
      <c r="R1625" s="230"/>
      <c r="S1625" s="230"/>
      <c r="T1625" s="230"/>
      <c r="U1625" s="230"/>
      <c r="V1625" s="230"/>
      <c r="W1625" s="230"/>
      <c r="X1625" s="230"/>
      <c r="Y1625" s="230"/>
      <c r="Z1625" s="230"/>
      <c r="AA1625" s="230"/>
      <c r="AB1625" s="230"/>
    </row>
    <row r="1626">
      <c r="O1626" s="230"/>
      <c r="R1626" s="230"/>
      <c r="S1626" s="230"/>
      <c r="T1626" s="230"/>
      <c r="U1626" s="230"/>
      <c r="V1626" s="230"/>
      <c r="W1626" s="230"/>
      <c r="X1626" s="230"/>
      <c r="Y1626" s="230"/>
      <c r="Z1626" s="230"/>
      <c r="AA1626" s="230"/>
      <c r="AB1626" s="230"/>
    </row>
    <row r="1627">
      <c r="O1627" s="230"/>
      <c r="R1627" s="230"/>
      <c r="S1627" s="230"/>
      <c r="T1627" s="230"/>
      <c r="U1627" s="230"/>
      <c r="V1627" s="230"/>
      <c r="W1627" s="230"/>
      <c r="X1627" s="230"/>
      <c r="Y1627" s="230"/>
      <c r="Z1627" s="230"/>
      <c r="AA1627" s="230"/>
      <c r="AB1627" s="230"/>
    </row>
    <row r="1628">
      <c r="O1628" s="230"/>
      <c r="R1628" s="230"/>
      <c r="S1628" s="230"/>
      <c r="T1628" s="230"/>
      <c r="U1628" s="230"/>
      <c r="V1628" s="230"/>
      <c r="W1628" s="230"/>
      <c r="X1628" s="230"/>
      <c r="Y1628" s="230"/>
      <c r="Z1628" s="230"/>
      <c r="AA1628" s="230"/>
      <c r="AB1628" s="230"/>
    </row>
    <row r="1629">
      <c r="O1629" s="230"/>
      <c r="R1629" s="230"/>
      <c r="S1629" s="230"/>
      <c r="T1629" s="230"/>
      <c r="U1629" s="230"/>
      <c r="V1629" s="230"/>
      <c r="W1629" s="230"/>
      <c r="X1629" s="230"/>
      <c r="Y1629" s="230"/>
      <c r="Z1629" s="230"/>
      <c r="AA1629" s="230"/>
      <c r="AB1629" s="230"/>
    </row>
    <row r="1630">
      <c r="O1630" s="230"/>
      <c r="R1630" s="230"/>
      <c r="S1630" s="230"/>
      <c r="T1630" s="230"/>
      <c r="U1630" s="230"/>
      <c r="V1630" s="230"/>
      <c r="W1630" s="230"/>
      <c r="X1630" s="230"/>
      <c r="Y1630" s="230"/>
      <c r="Z1630" s="230"/>
      <c r="AA1630" s="230"/>
      <c r="AB1630" s="230"/>
    </row>
    <row r="1631">
      <c r="O1631" s="230"/>
      <c r="R1631" s="230"/>
      <c r="S1631" s="230"/>
      <c r="T1631" s="230"/>
      <c r="U1631" s="230"/>
      <c r="V1631" s="230"/>
      <c r="W1631" s="230"/>
      <c r="X1631" s="230"/>
      <c r="Y1631" s="230"/>
      <c r="Z1631" s="230"/>
      <c r="AA1631" s="230"/>
      <c r="AB1631" s="230"/>
    </row>
    <row r="1632">
      <c r="O1632" s="230"/>
      <c r="R1632" s="230"/>
      <c r="S1632" s="230"/>
      <c r="T1632" s="230"/>
      <c r="U1632" s="230"/>
      <c r="V1632" s="230"/>
      <c r="W1632" s="230"/>
      <c r="X1632" s="230"/>
      <c r="Y1632" s="230"/>
      <c r="Z1632" s="230"/>
      <c r="AA1632" s="230"/>
      <c r="AB1632" s="230"/>
    </row>
    <row r="1633">
      <c r="O1633" s="230"/>
      <c r="R1633" s="230"/>
      <c r="S1633" s="230"/>
      <c r="T1633" s="230"/>
      <c r="U1633" s="230"/>
      <c r="V1633" s="230"/>
      <c r="W1633" s="230"/>
      <c r="X1633" s="230"/>
      <c r="Y1633" s="230"/>
      <c r="Z1633" s="230"/>
      <c r="AA1633" s="230"/>
      <c r="AB1633" s="230"/>
    </row>
    <row r="1634">
      <c r="O1634" s="230"/>
      <c r="R1634" s="230"/>
      <c r="S1634" s="230"/>
      <c r="T1634" s="230"/>
      <c r="U1634" s="230"/>
      <c r="V1634" s="230"/>
      <c r="W1634" s="230"/>
      <c r="X1634" s="230"/>
      <c r="Y1634" s="230"/>
      <c r="Z1634" s="230"/>
      <c r="AA1634" s="230"/>
      <c r="AB1634" s="230"/>
    </row>
    <row r="1635">
      <c r="O1635" s="230"/>
      <c r="R1635" s="230"/>
      <c r="S1635" s="230"/>
      <c r="T1635" s="230"/>
      <c r="U1635" s="230"/>
      <c r="V1635" s="230"/>
      <c r="W1635" s="230"/>
      <c r="X1635" s="230"/>
      <c r="Y1635" s="230"/>
      <c r="Z1635" s="230"/>
      <c r="AA1635" s="230"/>
      <c r="AB1635" s="230"/>
    </row>
    <row r="1636">
      <c r="O1636" s="230"/>
      <c r="R1636" s="230"/>
      <c r="S1636" s="230"/>
      <c r="T1636" s="230"/>
      <c r="U1636" s="230"/>
      <c r="V1636" s="230"/>
      <c r="W1636" s="230"/>
      <c r="X1636" s="230"/>
      <c r="Y1636" s="230"/>
      <c r="Z1636" s="230"/>
      <c r="AA1636" s="230"/>
      <c r="AB1636" s="230"/>
    </row>
    <row r="1637">
      <c r="O1637" s="230"/>
      <c r="R1637" s="230"/>
      <c r="S1637" s="230"/>
      <c r="T1637" s="230"/>
      <c r="U1637" s="230"/>
      <c r="V1637" s="230"/>
      <c r="W1637" s="230"/>
      <c r="X1637" s="230"/>
      <c r="Y1637" s="230"/>
      <c r="Z1637" s="230"/>
      <c r="AA1637" s="230"/>
      <c r="AB1637" s="230"/>
    </row>
    <row r="1638">
      <c r="O1638" s="230"/>
      <c r="R1638" s="230"/>
      <c r="S1638" s="230"/>
      <c r="T1638" s="230"/>
      <c r="U1638" s="230"/>
      <c r="V1638" s="230"/>
      <c r="W1638" s="230"/>
      <c r="X1638" s="230"/>
      <c r="Y1638" s="230"/>
      <c r="Z1638" s="230"/>
      <c r="AA1638" s="230"/>
      <c r="AB1638" s="230"/>
    </row>
    <row r="1639">
      <c r="O1639" s="230"/>
      <c r="R1639" s="230"/>
      <c r="S1639" s="230"/>
      <c r="T1639" s="230"/>
      <c r="U1639" s="230"/>
      <c r="V1639" s="230"/>
      <c r="W1639" s="230"/>
      <c r="X1639" s="230"/>
      <c r="Y1639" s="230"/>
      <c r="Z1639" s="230"/>
      <c r="AA1639" s="230"/>
      <c r="AB1639" s="230"/>
    </row>
    <row r="1640">
      <c r="O1640" s="230"/>
      <c r="R1640" s="230"/>
      <c r="S1640" s="230"/>
      <c r="T1640" s="230"/>
      <c r="U1640" s="230"/>
      <c r="V1640" s="230"/>
      <c r="W1640" s="230"/>
      <c r="X1640" s="230"/>
      <c r="Y1640" s="230"/>
      <c r="Z1640" s="230"/>
      <c r="AA1640" s="230"/>
      <c r="AB1640" s="230"/>
    </row>
    <row r="1641">
      <c r="O1641" s="230"/>
      <c r="R1641" s="230"/>
      <c r="S1641" s="230"/>
      <c r="T1641" s="230"/>
      <c r="U1641" s="230"/>
      <c r="V1641" s="230"/>
      <c r="W1641" s="230"/>
      <c r="X1641" s="230"/>
      <c r="Y1641" s="230"/>
      <c r="Z1641" s="230"/>
      <c r="AA1641" s="230"/>
      <c r="AB1641" s="230"/>
    </row>
    <row r="1642">
      <c r="O1642" s="230"/>
      <c r="R1642" s="230"/>
      <c r="S1642" s="230"/>
      <c r="T1642" s="230"/>
      <c r="U1642" s="230"/>
      <c r="V1642" s="230"/>
      <c r="W1642" s="230"/>
      <c r="X1642" s="230"/>
      <c r="Y1642" s="230"/>
      <c r="Z1642" s="230"/>
      <c r="AA1642" s="230"/>
      <c r="AB1642" s="230"/>
    </row>
    <row r="1643">
      <c r="O1643" s="230"/>
      <c r="R1643" s="230"/>
      <c r="S1643" s="230"/>
      <c r="T1643" s="230"/>
      <c r="U1643" s="230"/>
      <c r="V1643" s="230"/>
      <c r="W1643" s="230"/>
      <c r="X1643" s="230"/>
      <c r="Y1643" s="230"/>
      <c r="Z1643" s="230"/>
      <c r="AA1643" s="230"/>
      <c r="AB1643" s="230"/>
    </row>
    <row r="1644">
      <c r="O1644" s="230"/>
      <c r="R1644" s="230"/>
      <c r="S1644" s="230"/>
      <c r="T1644" s="230"/>
      <c r="U1644" s="230"/>
      <c r="V1644" s="230"/>
      <c r="W1644" s="230"/>
      <c r="X1644" s="230"/>
      <c r="Y1644" s="230"/>
      <c r="Z1644" s="230"/>
      <c r="AA1644" s="230"/>
      <c r="AB1644" s="230"/>
    </row>
    <row r="1645">
      <c r="O1645" s="230"/>
      <c r="R1645" s="230"/>
      <c r="S1645" s="230"/>
      <c r="T1645" s="230"/>
      <c r="U1645" s="230"/>
      <c r="V1645" s="230"/>
      <c r="W1645" s="230"/>
      <c r="X1645" s="230"/>
      <c r="Y1645" s="230"/>
      <c r="Z1645" s="230"/>
      <c r="AA1645" s="230"/>
      <c r="AB1645" s="230"/>
    </row>
    <row r="1646">
      <c r="O1646" s="230"/>
      <c r="R1646" s="230"/>
      <c r="S1646" s="230"/>
      <c r="T1646" s="230"/>
      <c r="U1646" s="230"/>
      <c r="V1646" s="230"/>
      <c r="W1646" s="230"/>
      <c r="X1646" s="230"/>
      <c r="Y1646" s="230"/>
      <c r="Z1646" s="230"/>
      <c r="AA1646" s="230"/>
      <c r="AB1646" s="230"/>
    </row>
    <row r="1647">
      <c r="O1647" s="230"/>
      <c r="R1647" s="230"/>
      <c r="S1647" s="230"/>
      <c r="T1647" s="230"/>
      <c r="U1647" s="230"/>
      <c r="V1647" s="230"/>
      <c r="W1647" s="230"/>
      <c r="X1647" s="230"/>
      <c r="Y1647" s="230"/>
      <c r="Z1647" s="230"/>
      <c r="AA1647" s="230"/>
      <c r="AB1647" s="230"/>
    </row>
    <row r="1648">
      <c r="O1648" s="230"/>
      <c r="R1648" s="230"/>
      <c r="S1648" s="230"/>
      <c r="T1648" s="230"/>
      <c r="U1648" s="230"/>
      <c r="V1648" s="230"/>
      <c r="W1648" s="230"/>
      <c r="X1648" s="230"/>
      <c r="Y1648" s="230"/>
      <c r="Z1648" s="230"/>
      <c r="AA1648" s="230"/>
      <c r="AB1648" s="230"/>
    </row>
    <row r="1649">
      <c r="O1649" s="230"/>
      <c r="R1649" s="230"/>
      <c r="S1649" s="230"/>
      <c r="T1649" s="230"/>
      <c r="U1649" s="230"/>
      <c r="V1649" s="230"/>
      <c r="W1649" s="230"/>
      <c r="X1649" s="230"/>
      <c r="Y1649" s="230"/>
      <c r="Z1649" s="230"/>
      <c r="AA1649" s="230"/>
      <c r="AB1649" s="230"/>
    </row>
    <row r="1650">
      <c r="O1650" s="230"/>
      <c r="R1650" s="230"/>
      <c r="S1650" s="230"/>
      <c r="T1650" s="230"/>
      <c r="U1650" s="230"/>
      <c r="V1650" s="230"/>
      <c r="W1650" s="230"/>
      <c r="X1650" s="230"/>
      <c r="Y1650" s="230"/>
      <c r="Z1650" s="230"/>
      <c r="AA1650" s="230"/>
      <c r="AB1650" s="230"/>
    </row>
    <row r="1651">
      <c r="O1651" s="230"/>
      <c r="R1651" s="230"/>
      <c r="S1651" s="230"/>
      <c r="T1651" s="230"/>
      <c r="U1651" s="230"/>
      <c r="V1651" s="230"/>
      <c r="W1651" s="230"/>
      <c r="X1651" s="230"/>
      <c r="Y1651" s="230"/>
      <c r="Z1651" s="230"/>
      <c r="AA1651" s="230"/>
      <c r="AB1651" s="230"/>
    </row>
    <row r="1652">
      <c r="O1652" s="230"/>
      <c r="R1652" s="230"/>
      <c r="S1652" s="230"/>
      <c r="T1652" s="230"/>
      <c r="U1652" s="230"/>
      <c r="V1652" s="230"/>
      <c r="W1652" s="230"/>
      <c r="X1652" s="230"/>
      <c r="Y1652" s="230"/>
      <c r="Z1652" s="230"/>
      <c r="AA1652" s="230"/>
      <c r="AB1652" s="230"/>
    </row>
    <row r="1653">
      <c r="O1653" s="230"/>
      <c r="R1653" s="230"/>
      <c r="S1653" s="230"/>
      <c r="T1653" s="230"/>
      <c r="U1653" s="230"/>
      <c r="V1653" s="230"/>
      <c r="W1653" s="230"/>
      <c r="X1653" s="230"/>
      <c r="Y1653" s="230"/>
      <c r="Z1653" s="230"/>
      <c r="AA1653" s="230"/>
      <c r="AB1653" s="230"/>
    </row>
    <row r="1654">
      <c r="O1654" s="230"/>
      <c r="R1654" s="230"/>
      <c r="S1654" s="230"/>
      <c r="T1654" s="230"/>
      <c r="U1654" s="230"/>
      <c r="V1654" s="230"/>
      <c r="W1654" s="230"/>
      <c r="X1654" s="230"/>
      <c r="Y1654" s="230"/>
      <c r="Z1654" s="230"/>
      <c r="AA1654" s="230"/>
      <c r="AB1654" s="230"/>
    </row>
    <row r="1655">
      <c r="O1655" s="230"/>
      <c r="R1655" s="230"/>
      <c r="S1655" s="230"/>
      <c r="T1655" s="230"/>
      <c r="U1655" s="230"/>
      <c r="V1655" s="230"/>
      <c r="W1655" s="230"/>
      <c r="X1655" s="230"/>
      <c r="Y1655" s="230"/>
      <c r="Z1655" s="230"/>
      <c r="AA1655" s="230"/>
      <c r="AB1655" s="230"/>
    </row>
    <row r="1656">
      <c r="O1656" s="230"/>
      <c r="R1656" s="230"/>
      <c r="S1656" s="230"/>
      <c r="T1656" s="230"/>
      <c r="U1656" s="230"/>
      <c r="V1656" s="230"/>
      <c r="W1656" s="230"/>
      <c r="X1656" s="230"/>
      <c r="Y1656" s="230"/>
      <c r="Z1656" s="230"/>
      <c r="AA1656" s="230"/>
      <c r="AB1656" s="230"/>
    </row>
    <row r="1657">
      <c r="O1657" s="230"/>
      <c r="R1657" s="230"/>
      <c r="S1657" s="230"/>
      <c r="T1657" s="230"/>
      <c r="U1657" s="230"/>
      <c r="V1657" s="230"/>
      <c r="W1657" s="230"/>
      <c r="X1657" s="230"/>
      <c r="Y1657" s="230"/>
      <c r="Z1657" s="230"/>
      <c r="AA1657" s="230"/>
      <c r="AB1657" s="230"/>
    </row>
    <row r="1658">
      <c r="O1658" s="230"/>
      <c r="R1658" s="230"/>
      <c r="S1658" s="230"/>
      <c r="T1658" s="230"/>
      <c r="U1658" s="230"/>
      <c r="V1658" s="230"/>
      <c r="W1658" s="230"/>
      <c r="X1658" s="230"/>
      <c r="Y1658" s="230"/>
      <c r="Z1658" s="230"/>
      <c r="AA1658" s="230"/>
      <c r="AB1658" s="230"/>
    </row>
    <row r="1659">
      <c r="O1659" s="230"/>
      <c r="R1659" s="230"/>
      <c r="S1659" s="230"/>
      <c r="T1659" s="230"/>
      <c r="U1659" s="230"/>
      <c r="V1659" s="230"/>
      <c r="W1659" s="230"/>
      <c r="X1659" s="230"/>
      <c r="Y1659" s="230"/>
      <c r="Z1659" s="230"/>
      <c r="AA1659" s="230"/>
      <c r="AB1659" s="230"/>
    </row>
    <row r="1660">
      <c r="O1660" s="230"/>
      <c r="R1660" s="230"/>
      <c r="S1660" s="230"/>
      <c r="T1660" s="230"/>
      <c r="U1660" s="230"/>
      <c r="V1660" s="230"/>
      <c r="W1660" s="230"/>
      <c r="X1660" s="230"/>
      <c r="Y1660" s="230"/>
      <c r="Z1660" s="230"/>
      <c r="AA1660" s="230"/>
      <c r="AB1660" s="230"/>
    </row>
    <row r="1661">
      <c r="O1661" s="230"/>
      <c r="R1661" s="230"/>
      <c r="S1661" s="230"/>
      <c r="T1661" s="230"/>
      <c r="U1661" s="230"/>
      <c r="V1661" s="230"/>
      <c r="W1661" s="230"/>
      <c r="X1661" s="230"/>
      <c r="Y1661" s="230"/>
      <c r="Z1661" s="230"/>
      <c r="AA1661" s="230"/>
      <c r="AB1661" s="230"/>
    </row>
    <row r="1662">
      <c r="O1662" s="230"/>
      <c r="R1662" s="230"/>
      <c r="S1662" s="230"/>
      <c r="T1662" s="230"/>
      <c r="U1662" s="230"/>
      <c r="V1662" s="230"/>
      <c r="W1662" s="230"/>
      <c r="X1662" s="230"/>
      <c r="Y1662" s="230"/>
      <c r="Z1662" s="230"/>
      <c r="AA1662" s="230"/>
      <c r="AB1662" s="230"/>
    </row>
    <row r="1663">
      <c r="O1663" s="230"/>
      <c r="R1663" s="230"/>
      <c r="S1663" s="230"/>
      <c r="T1663" s="230"/>
      <c r="U1663" s="230"/>
      <c r="V1663" s="230"/>
      <c r="W1663" s="230"/>
      <c r="X1663" s="230"/>
      <c r="Y1663" s="230"/>
      <c r="Z1663" s="230"/>
      <c r="AA1663" s="230"/>
      <c r="AB1663" s="230"/>
    </row>
    <row r="1664">
      <c r="O1664" s="230"/>
      <c r="R1664" s="230"/>
      <c r="S1664" s="230"/>
      <c r="T1664" s="230"/>
      <c r="U1664" s="230"/>
      <c r="V1664" s="230"/>
      <c r="W1664" s="230"/>
      <c r="X1664" s="230"/>
      <c r="Y1664" s="230"/>
      <c r="Z1664" s="230"/>
      <c r="AA1664" s="230"/>
      <c r="AB1664" s="230"/>
    </row>
    <row r="1665">
      <c r="O1665" s="230"/>
      <c r="R1665" s="230"/>
      <c r="S1665" s="230"/>
      <c r="T1665" s="230"/>
      <c r="U1665" s="230"/>
      <c r="V1665" s="230"/>
      <c r="W1665" s="230"/>
      <c r="X1665" s="230"/>
      <c r="Y1665" s="230"/>
      <c r="Z1665" s="230"/>
      <c r="AA1665" s="230"/>
      <c r="AB1665" s="230"/>
    </row>
    <row r="1666">
      <c r="O1666" s="230"/>
      <c r="R1666" s="230"/>
      <c r="S1666" s="230"/>
      <c r="T1666" s="230"/>
      <c r="U1666" s="230"/>
      <c r="V1666" s="230"/>
      <c r="W1666" s="230"/>
      <c r="X1666" s="230"/>
      <c r="Y1666" s="230"/>
      <c r="Z1666" s="230"/>
      <c r="AA1666" s="230"/>
      <c r="AB1666" s="230"/>
    </row>
    <row r="1667">
      <c r="O1667" s="230"/>
      <c r="R1667" s="230"/>
      <c r="S1667" s="230"/>
      <c r="T1667" s="230"/>
      <c r="U1667" s="230"/>
      <c r="V1667" s="230"/>
      <c r="W1667" s="230"/>
      <c r="X1667" s="230"/>
      <c r="Y1667" s="230"/>
      <c r="Z1667" s="230"/>
      <c r="AA1667" s="230"/>
      <c r="AB1667" s="230"/>
    </row>
    <row r="1668">
      <c r="O1668" s="230"/>
      <c r="R1668" s="230"/>
      <c r="S1668" s="230"/>
      <c r="T1668" s="230"/>
      <c r="U1668" s="230"/>
      <c r="V1668" s="230"/>
      <c r="W1668" s="230"/>
      <c r="X1668" s="230"/>
      <c r="Y1668" s="230"/>
      <c r="Z1668" s="230"/>
      <c r="AA1668" s="230"/>
      <c r="AB1668" s="230"/>
    </row>
    <row r="1669">
      <c r="O1669" s="230"/>
      <c r="R1669" s="230"/>
      <c r="S1669" s="230"/>
      <c r="T1669" s="230"/>
      <c r="U1669" s="230"/>
      <c r="V1669" s="230"/>
      <c r="W1669" s="230"/>
      <c r="X1669" s="230"/>
      <c r="Y1669" s="230"/>
      <c r="Z1669" s="230"/>
      <c r="AA1669" s="230"/>
      <c r="AB1669" s="230"/>
    </row>
    <row r="1670">
      <c r="O1670" s="230"/>
      <c r="R1670" s="230"/>
      <c r="S1670" s="230"/>
      <c r="T1670" s="230"/>
      <c r="U1670" s="230"/>
      <c r="V1670" s="230"/>
      <c r="W1670" s="230"/>
      <c r="X1670" s="230"/>
      <c r="Y1670" s="230"/>
      <c r="Z1670" s="230"/>
      <c r="AA1670" s="230"/>
      <c r="AB1670" s="230"/>
    </row>
    <row r="1671">
      <c r="O1671" s="230"/>
      <c r="R1671" s="230"/>
      <c r="S1671" s="230"/>
      <c r="T1671" s="230"/>
      <c r="U1671" s="230"/>
      <c r="V1671" s="230"/>
      <c r="W1671" s="230"/>
      <c r="X1671" s="230"/>
      <c r="Y1671" s="230"/>
      <c r="Z1671" s="230"/>
      <c r="AA1671" s="230"/>
      <c r="AB1671" s="230"/>
    </row>
    <row r="1672">
      <c r="O1672" s="230"/>
      <c r="R1672" s="230"/>
      <c r="S1672" s="230"/>
      <c r="T1672" s="230"/>
      <c r="U1672" s="230"/>
      <c r="V1672" s="230"/>
      <c r="W1672" s="230"/>
      <c r="X1672" s="230"/>
      <c r="Y1672" s="230"/>
      <c r="Z1672" s="230"/>
      <c r="AA1672" s="230"/>
      <c r="AB1672" s="230"/>
    </row>
    <row r="1673">
      <c r="O1673" s="230"/>
      <c r="R1673" s="230"/>
      <c r="S1673" s="230"/>
      <c r="T1673" s="230"/>
      <c r="U1673" s="230"/>
      <c r="V1673" s="230"/>
      <c r="W1673" s="230"/>
      <c r="X1673" s="230"/>
      <c r="Y1673" s="230"/>
      <c r="Z1673" s="230"/>
      <c r="AA1673" s="230"/>
      <c r="AB1673" s="230"/>
    </row>
    <row r="1674">
      <c r="O1674" s="230"/>
      <c r="R1674" s="230"/>
      <c r="S1674" s="230"/>
      <c r="T1674" s="230"/>
      <c r="U1674" s="230"/>
      <c r="V1674" s="230"/>
      <c r="W1674" s="230"/>
      <c r="X1674" s="230"/>
      <c r="Y1674" s="230"/>
      <c r="Z1674" s="230"/>
      <c r="AA1674" s="230"/>
      <c r="AB1674" s="230"/>
    </row>
    <row r="1675">
      <c r="O1675" s="230"/>
      <c r="R1675" s="230"/>
      <c r="S1675" s="230"/>
      <c r="T1675" s="230"/>
      <c r="U1675" s="230"/>
      <c r="V1675" s="230"/>
      <c r="W1675" s="230"/>
      <c r="X1675" s="230"/>
      <c r="Y1675" s="230"/>
      <c r="Z1675" s="230"/>
      <c r="AA1675" s="230"/>
      <c r="AB1675" s="230"/>
    </row>
    <row r="1676">
      <c r="O1676" s="230"/>
      <c r="R1676" s="230"/>
      <c r="S1676" s="230"/>
      <c r="T1676" s="230"/>
      <c r="U1676" s="230"/>
      <c r="V1676" s="230"/>
      <c r="W1676" s="230"/>
      <c r="X1676" s="230"/>
      <c r="Y1676" s="230"/>
      <c r="Z1676" s="230"/>
      <c r="AA1676" s="230"/>
      <c r="AB1676" s="230"/>
    </row>
    <row r="1677">
      <c r="O1677" s="230"/>
      <c r="R1677" s="230"/>
      <c r="S1677" s="230"/>
      <c r="T1677" s="230"/>
      <c r="U1677" s="230"/>
      <c r="V1677" s="230"/>
      <c r="W1677" s="230"/>
      <c r="X1677" s="230"/>
      <c r="Y1677" s="230"/>
      <c r="Z1677" s="230"/>
      <c r="AA1677" s="230"/>
      <c r="AB1677" s="230"/>
    </row>
    <row r="1678">
      <c r="O1678" s="230"/>
      <c r="R1678" s="230"/>
      <c r="S1678" s="230"/>
      <c r="T1678" s="230"/>
      <c r="U1678" s="230"/>
      <c r="V1678" s="230"/>
      <c r="W1678" s="230"/>
      <c r="X1678" s="230"/>
      <c r="Y1678" s="230"/>
      <c r="Z1678" s="230"/>
      <c r="AA1678" s="230"/>
      <c r="AB1678" s="230"/>
    </row>
    <row r="1679">
      <c r="O1679" s="230"/>
      <c r="R1679" s="230"/>
      <c r="S1679" s="230"/>
      <c r="T1679" s="230"/>
      <c r="U1679" s="230"/>
      <c r="V1679" s="230"/>
      <c r="W1679" s="230"/>
      <c r="X1679" s="230"/>
      <c r="Y1679" s="230"/>
      <c r="Z1679" s="230"/>
      <c r="AA1679" s="230"/>
      <c r="AB1679" s="230"/>
    </row>
    <row r="1680">
      <c r="O1680" s="230"/>
      <c r="R1680" s="230"/>
      <c r="S1680" s="230"/>
      <c r="T1680" s="230"/>
      <c r="U1680" s="230"/>
      <c r="V1680" s="230"/>
      <c r="W1680" s="230"/>
      <c r="X1680" s="230"/>
      <c r="Y1680" s="230"/>
      <c r="Z1680" s="230"/>
      <c r="AA1680" s="230"/>
      <c r="AB1680" s="230"/>
    </row>
    <row r="1681">
      <c r="O1681" s="230"/>
      <c r="R1681" s="230"/>
      <c r="S1681" s="230"/>
      <c r="T1681" s="230"/>
      <c r="U1681" s="230"/>
      <c r="V1681" s="230"/>
      <c r="W1681" s="230"/>
      <c r="X1681" s="230"/>
      <c r="Y1681" s="230"/>
      <c r="Z1681" s="230"/>
      <c r="AA1681" s="230"/>
      <c r="AB1681" s="230"/>
    </row>
    <row r="1682">
      <c r="O1682" s="230"/>
      <c r="R1682" s="230"/>
      <c r="S1682" s="230"/>
      <c r="T1682" s="230"/>
      <c r="U1682" s="230"/>
      <c r="V1682" s="230"/>
      <c r="W1682" s="230"/>
      <c r="X1682" s="230"/>
      <c r="Y1682" s="230"/>
      <c r="Z1682" s="230"/>
      <c r="AA1682" s="230"/>
      <c r="AB1682" s="230"/>
    </row>
    <row r="1683">
      <c r="O1683" s="230"/>
      <c r="R1683" s="230"/>
      <c r="S1683" s="230"/>
      <c r="T1683" s="230"/>
      <c r="U1683" s="230"/>
      <c r="V1683" s="230"/>
      <c r="W1683" s="230"/>
      <c r="X1683" s="230"/>
      <c r="Y1683" s="230"/>
      <c r="Z1683" s="230"/>
      <c r="AA1683" s="230"/>
      <c r="AB1683" s="230"/>
    </row>
    <row r="1684">
      <c r="O1684" s="230"/>
      <c r="R1684" s="230"/>
      <c r="S1684" s="230"/>
      <c r="T1684" s="230"/>
      <c r="U1684" s="230"/>
      <c r="V1684" s="230"/>
      <c r="W1684" s="230"/>
      <c r="X1684" s="230"/>
      <c r="Y1684" s="230"/>
      <c r="Z1684" s="230"/>
      <c r="AA1684" s="230"/>
      <c r="AB1684" s="230"/>
    </row>
    <row r="1685">
      <c r="O1685" s="230"/>
      <c r="R1685" s="230"/>
      <c r="S1685" s="230"/>
      <c r="T1685" s="230"/>
      <c r="U1685" s="230"/>
      <c r="V1685" s="230"/>
      <c r="W1685" s="230"/>
      <c r="X1685" s="230"/>
      <c r="Y1685" s="230"/>
      <c r="Z1685" s="230"/>
      <c r="AA1685" s="230"/>
      <c r="AB1685" s="230"/>
    </row>
    <row r="1686">
      <c r="O1686" s="230"/>
      <c r="R1686" s="230"/>
      <c r="S1686" s="230"/>
      <c r="T1686" s="230"/>
      <c r="U1686" s="230"/>
      <c r="V1686" s="230"/>
      <c r="W1686" s="230"/>
      <c r="X1686" s="230"/>
      <c r="Y1686" s="230"/>
      <c r="Z1686" s="230"/>
      <c r="AA1686" s="230"/>
      <c r="AB1686" s="230"/>
    </row>
    <row r="1687">
      <c r="O1687" s="230"/>
      <c r="R1687" s="230"/>
      <c r="S1687" s="230"/>
      <c r="T1687" s="230"/>
      <c r="U1687" s="230"/>
      <c r="V1687" s="230"/>
      <c r="W1687" s="230"/>
      <c r="X1687" s="230"/>
      <c r="Y1687" s="230"/>
      <c r="Z1687" s="230"/>
      <c r="AA1687" s="230"/>
      <c r="AB1687" s="230"/>
    </row>
    <row r="1688">
      <c r="O1688" s="230"/>
      <c r="R1688" s="230"/>
      <c r="S1688" s="230"/>
      <c r="T1688" s="230"/>
      <c r="U1688" s="230"/>
      <c r="V1688" s="230"/>
      <c r="W1688" s="230"/>
      <c r="X1688" s="230"/>
      <c r="Y1688" s="230"/>
      <c r="Z1688" s="230"/>
      <c r="AA1688" s="230"/>
      <c r="AB1688" s="230"/>
    </row>
    <row r="1689">
      <c r="O1689" s="230"/>
      <c r="R1689" s="230"/>
      <c r="S1689" s="230"/>
      <c r="T1689" s="230"/>
      <c r="U1689" s="230"/>
      <c r="V1689" s="230"/>
      <c r="W1689" s="230"/>
      <c r="X1689" s="230"/>
      <c r="Y1689" s="230"/>
      <c r="Z1689" s="230"/>
      <c r="AA1689" s="230"/>
      <c r="AB1689" s="230"/>
    </row>
    <row r="1690">
      <c r="O1690" s="230"/>
      <c r="R1690" s="230"/>
      <c r="S1690" s="230"/>
      <c r="T1690" s="230"/>
      <c r="U1690" s="230"/>
      <c r="V1690" s="230"/>
      <c r="W1690" s="230"/>
      <c r="X1690" s="230"/>
      <c r="Y1690" s="230"/>
      <c r="Z1690" s="230"/>
      <c r="AA1690" s="230"/>
      <c r="AB1690" s="230"/>
    </row>
    <row r="1691">
      <c r="O1691" s="230"/>
      <c r="R1691" s="230"/>
      <c r="S1691" s="230"/>
      <c r="T1691" s="230"/>
      <c r="U1691" s="230"/>
      <c r="V1691" s="230"/>
      <c r="W1691" s="230"/>
      <c r="X1691" s="230"/>
      <c r="Y1691" s="230"/>
      <c r="Z1691" s="230"/>
      <c r="AA1691" s="230"/>
      <c r="AB1691" s="230"/>
    </row>
    <row r="1692">
      <c r="O1692" s="230"/>
      <c r="R1692" s="230"/>
      <c r="S1692" s="230"/>
      <c r="T1692" s="230"/>
      <c r="U1692" s="230"/>
      <c r="V1692" s="230"/>
      <c r="W1692" s="230"/>
      <c r="X1692" s="230"/>
      <c r="Y1692" s="230"/>
      <c r="Z1692" s="230"/>
      <c r="AA1692" s="230"/>
      <c r="AB1692" s="230"/>
    </row>
    <row r="1693">
      <c r="O1693" s="230"/>
      <c r="R1693" s="230"/>
      <c r="S1693" s="230"/>
      <c r="T1693" s="230"/>
      <c r="U1693" s="230"/>
      <c r="V1693" s="230"/>
      <c r="W1693" s="230"/>
      <c r="X1693" s="230"/>
      <c r="Y1693" s="230"/>
      <c r="Z1693" s="230"/>
      <c r="AA1693" s="230"/>
      <c r="AB1693" s="230"/>
    </row>
    <row r="1694">
      <c r="O1694" s="230"/>
      <c r="R1694" s="230"/>
      <c r="S1694" s="230"/>
      <c r="T1694" s="230"/>
      <c r="U1694" s="230"/>
      <c r="V1694" s="230"/>
      <c r="W1694" s="230"/>
      <c r="X1694" s="230"/>
      <c r="Y1694" s="230"/>
      <c r="Z1694" s="230"/>
      <c r="AA1694" s="230"/>
      <c r="AB1694" s="230"/>
    </row>
    <row r="1695">
      <c r="O1695" s="230"/>
      <c r="R1695" s="230"/>
      <c r="S1695" s="230"/>
      <c r="T1695" s="230"/>
      <c r="U1695" s="230"/>
      <c r="V1695" s="230"/>
      <c r="W1695" s="230"/>
      <c r="X1695" s="230"/>
      <c r="Y1695" s="230"/>
      <c r="Z1695" s="230"/>
      <c r="AA1695" s="230"/>
      <c r="AB1695" s="230"/>
    </row>
    <row r="1696">
      <c r="O1696" s="230"/>
      <c r="R1696" s="230"/>
      <c r="S1696" s="230"/>
      <c r="T1696" s="230"/>
      <c r="U1696" s="230"/>
      <c r="V1696" s="230"/>
      <c r="W1696" s="230"/>
      <c r="X1696" s="230"/>
      <c r="Y1696" s="230"/>
      <c r="Z1696" s="230"/>
      <c r="AA1696" s="230"/>
      <c r="AB1696" s="230"/>
    </row>
    <row r="1697">
      <c r="O1697" s="230"/>
      <c r="R1697" s="230"/>
      <c r="S1697" s="230"/>
      <c r="T1697" s="230"/>
      <c r="U1697" s="230"/>
      <c r="V1697" s="230"/>
      <c r="W1697" s="230"/>
      <c r="X1697" s="230"/>
      <c r="Y1697" s="230"/>
      <c r="Z1697" s="230"/>
      <c r="AA1697" s="230"/>
      <c r="AB1697" s="230"/>
    </row>
    <row r="1698">
      <c r="O1698" s="230"/>
      <c r="R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</row>
    <row r="1699">
      <c r="O1699" s="230"/>
      <c r="R1699" s="230"/>
      <c r="S1699" s="230"/>
      <c r="T1699" s="230"/>
      <c r="U1699" s="230"/>
      <c r="V1699" s="230"/>
      <c r="W1699" s="230"/>
      <c r="X1699" s="230"/>
      <c r="Y1699" s="230"/>
      <c r="Z1699" s="230"/>
      <c r="AA1699" s="230"/>
      <c r="AB1699" s="230"/>
    </row>
    <row r="1700">
      <c r="O1700" s="230"/>
      <c r="R1700" s="230"/>
      <c r="S1700" s="230"/>
      <c r="T1700" s="230"/>
      <c r="U1700" s="230"/>
      <c r="V1700" s="230"/>
      <c r="W1700" s="230"/>
      <c r="X1700" s="230"/>
      <c r="Y1700" s="230"/>
      <c r="Z1700" s="230"/>
      <c r="AA1700" s="230"/>
      <c r="AB1700" s="230"/>
    </row>
    <row r="1701">
      <c r="O1701" s="230"/>
      <c r="R1701" s="230"/>
      <c r="S1701" s="230"/>
      <c r="T1701" s="230"/>
      <c r="U1701" s="230"/>
      <c r="V1701" s="230"/>
      <c r="W1701" s="230"/>
      <c r="X1701" s="230"/>
      <c r="Y1701" s="230"/>
      <c r="Z1701" s="230"/>
      <c r="AA1701" s="230"/>
      <c r="AB1701" s="230"/>
    </row>
    <row r="1702">
      <c r="O1702" s="230"/>
      <c r="R1702" s="230"/>
      <c r="S1702" s="230"/>
      <c r="T1702" s="230"/>
      <c r="U1702" s="230"/>
      <c r="V1702" s="230"/>
      <c r="W1702" s="230"/>
      <c r="X1702" s="230"/>
      <c r="Y1702" s="230"/>
      <c r="Z1702" s="230"/>
      <c r="AA1702" s="230"/>
      <c r="AB1702" s="230"/>
    </row>
    <row r="1703">
      <c r="O1703" s="230"/>
      <c r="R1703" s="230"/>
      <c r="S1703" s="230"/>
      <c r="T1703" s="230"/>
      <c r="U1703" s="230"/>
      <c r="V1703" s="230"/>
      <c r="W1703" s="230"/>
      <c r="X1703" s="230"/>
      <c r="Y1703" s="230"/>
      <c r="Z1703" s="230"/>
      <c r="AA1703" s="230"/>
      <c r="AB1703" s="230"/>
    </row>
    <row r="1704">
      <c r="O1704" s="230"/>
      <c r="R1704" s="230"/>
      <c r="S1704" s="230"/>
      <c r="T1704" s="230"/>
      <c r="U1704" s="230"/>
      <c r="V1704" s="230"/>
      <c r="W1704" s="230"/>
      <c r="X1704" s="230"/>
      <c r="Y1704" s="230"/>
      <c r="Z1704" s="230"/>
      <c r="AA1704" s="230"/>
      <c r="AB1704" s="230"/>
    </row>
    <row r="1705">
      <c r="O1705" s="230"/>
      <c r="R1705" s="230"/>
      <c r="S1705" s="230"/>
      <c r="T1705" s="230"/>
      <c r="U1705" s="230"/>
      <c r="V1705" s="230"/>
      <c r="W1705" s="230"/>
      <c r="X1705" s="230"/>
      <c r="Y1705" s="230"/>
      <c r="Z1705" s="230"/>
      <c r="AA1705" s="230"/>
      <c r="AB1705" s="230"/>
    </row>
    <row r="1706">
      <c r="O1706" s="230"/>
      <c r="R1706" s="230"/>
      <c r="S1706" s="230"/>
      <c r="T1706" s="230"/>
      <c r="U1706" s="230"/>
      <c r="V1706" s="230"/>
      <c r="W1706" s="230"/>
      <c r="X1706" s="230"/>
      <c r="Y1706" s="230"/>
      <c r="Z1706" s="230"/>
      <c r="AA1706" s="230"/>
      <c r="AB1706" s="230"/>
    </row>
    <row r="1707">
      <c r="O1707" s="230"/>
      <c r="R1707" s="230"/>
      <c r="S1707" s="230"/>
      <c r="T1707" s="230"/>
      <c r="U1707" s="230"/>
      <c r="V1707" s="230"/>
      <c r="W1707" s="230"/>
      <c r="X1707" s="230"/>
      <c r="Y1707" s="230"/>
      <c r="Z1707" s="230"/>
      <c r="AA1707" s="230"/>
      <c r="AB1707" s="230"/>
    </row>
    <row r="1708">
      <c r="O1708" s="230"/>
      <c r="R1708" s="230"/>
      <c r="S1708" s="230"/>
      <c r="T1708" s="230"/>
      <c r="U1708" s="230"/>
      <c r="V1708" s="230"/>
      <c r="W1708" s="230"/>
      <c r="X1708" s="230"/>
      <c r="Y1708" s="230"/>
      <c r="Z1708" s="230"/>
      <c r="AA1708" s="230"/>
      <c r="AB1708" s="230"/>
    </row>
    <row r="1709">
      <c r="O1709" s="230"/>
      <c r="R1709" s="230"/>
      <c r="S1709" s="230"/>
      <c r="T1709" s="230"/>
      <c r="U1709" s="230"/>
      <c r="V1709" s="230"/>
      <c r="W1709" s="230"/>
      <c r="X1709" s="230"/>
      <c r="Y1709" s="230"/>
      <c r="Z1709" s="230"/>
      <c r="AA1709" s="230"/>
      <c r="AB1709" s="230"/>
    </row>
    <row r="1710">
      <c r="O1710" s="230"/>
      <c r="R1710" s="230"/>
      <c r="S1710" s="230"/>
      <c r="T1710" s="230"/>
      <c r="U1710" s="230"/>
      <c r="V1710" s="230"/>
      <c r="W1710" s="230"/>
      <c r="X1710" s="230"/>
      <c r="Y1710" s="230"/>
      <c r="Z1710" s="230"/>
      <c r="AA1710" s="230"/>
      <c r="AB1710" s="230"/>
    </row>
    <row r="1711">
      <c r="O1711" s="230"/>
      <c r="R1711" s="230"/>
      <c r="S1711" s="230"/>
      <c r="T1711" s="230"/>
      <c r="U1711" s="230"/>
      <c r="V1711" s="230"/>
      <c r="W1711" s="230"/>
      <c r="X1711" s="230"/>
      <c r="Y1711" s="230"/>
      <c r="Z1711" s="230"/>
      <c r="AA1711" s="230"/>
      <c r="AB1711" s="230"/>
    </row>
    <row r="1712">
      <c r="O1712" s="230"/>
      <c r="R1712" s="230"/>
      <c r="S1712" s="230"/>
      <c r="T1712" s="230"/>
      <c r="U1712" s="230"/>
      <c r="V1712" s="230"/>
      <c r="W1712" s="230"/>
      <c r="X1712" s="230"/>
      <c r="Y1712" s="230"/>
      <c r="Z1712" s="230"/>
      <c r="AA1712" s="230"/>
      <c r="AB1712" s="230"/>
    </row>
    <row r="1713">
      <c r="O1713" s="230"/>
      <c r="R1713" s="230"/>
      <c r="S1713" s="230"/>
      <c r="T1713" s="230"/>
      <c r="U1713" s="230"/>
      <c r="V1713" s="230"/>
      <c r="W1713" s="230"/>
      <c r="X1713" s="230"/>
      <c r="Y1713" s="230"/>
      <c r="Z1713" s="230"/>
      <c r="AA1713" s="230"/>
      <c r="AB1713" s="230"/>
    </row>
    <row r="1714">
      <c r="O1714" s="230"/>
      <c r="R1714" s="230"/>
      <c r="S1714" s="230"/>
      <c r="T1714" s="230"/>
      <c r="U1714" s="230"/>
      <c r="V1714" s="230"/>
      <c r="W1714" s="230"/>
      <c r="X1714" s="230"/>
      <c r="Y1714" s="230"/>
      <c r="Z1714" s="230"/>
      <c r="AA1714" s="230"/>
      <c r="AB1714" s="230"/>
    </row>
    <row r="1715">
      <c r="O1715" s="230"/>
      <c r="R1715" s="230"/>
      <c r="S1715" s="230"/>
      <c r="T1715" s="230"/>
      <c r="U1715" s="230"/>
      <c r="V1715" s="230"/>
      <c r="W1715" s="230"/>
      <c r="X1715" s="230"/>
      <c r="Y1715" s="230"/>
      <c r="Z1715" s="230"/>
      <c r="AA1715" s="230"/>
      <c r="AB1715" s="230"/>
    </row>
    <row r="1716">
      <c r="O1716" s="230"/>
      <c r="R1716" s="230"/>
      <c r="S1716" s="230"/>
      <c r="T1716" s="230"/>
      <c r="U1716" s="230"/>
      <c r="V1716" s="230"/>
      <c r="W1716" s="230"/>
      <c r="X1716" s="230"/>
      <c r="Y1716" s="230"/>
      <c r="Z1716" s="230"/>
      <c r="AA1716" s="230"/>
      <c r="AB1716" s="230"/>
    </row>
    <row r="1717">
      <c r="O1717" s="230"/>
      <c r="R1717" s="230"/>
      <c r="S1717" s="230"/>
      <c r="T1717" s="230"/>
      <c r="U1717" s="230"/>
      <c r="V1717" s="230"/>
      <c r="W1717" s="230"/>
      <c r="X1717" s="230"/>
      <c r="Y1717" s="230"/>
      <c r="Z1717" s="230"/>
      <c r="AA1717" s="230"/>
      <c r="AB1717" s="230"/>
    </row>
    <row r="1718">
      <c r="O1718" s="230"/>
      <c r="R1718" s="230"/>
      <c r="S1718" s="230"/>
      <c r="T1718" s="230"/>
      <c r="U1718" s="230"/>
      <c r="V1718" s="230"/>
      <c r="W1718" s="230"/>
      <c r="X1718" s="230"/>
      <c r="Y1718" s="230"/>
      <c r="Z1718" s="230"/>
      <c r="AA1718" s="230"/>
      <c r="AB1718" s="230"/>
    </row>
    <row r="1719">
      <c r="O1719" s="230"/>
      <c r="R1719" s="230"/>
      <c r="S1719" s="230"/>
      <c r="T1719" s="230"/>
      <c r="U1719" s="230"/>
      <c r="V1719" s="230"/>
      <c r="W1719" s="230"/>
      <c r="X1719" s="230"/>
      <c r="Y1719" s="230"/>
      <c r="Z1719" s="230"/>
      <c r="AA1719" s="230"/>
      <c r="AB1719" s="230"/>
    </row>
    <row r="1720">
      <c r="O1720" s="230"/>
      <c r="R1720" s="230"/>
      <c r="S1720" s="230"/>
      <c r="T1720" s="230"/>
      <c r="U1720" s="230"/>
      <c r="V1720" s="230"/>
      <c r="W1720" s="230"/>
      <c r="X1720" s="230"/>
      <c r="Y1720" s="230"/>
      <c r="Z1720" s="230"/>
      <c r="AA1720" s="230"/>
      <c r="AB1720" s="230"/>
    </row>
    <row r="1721">
      <c r="O1721" s="230"/>
      <c r="R1721" s="230"/>
      <c r="S1721" s="230"/>
      <c r="T1721" s="230"/>
      <c r="U1721" s="230"/>
      <c r="V1721" s="230"/>
      <c r="W1721" s="230"/>
      <c r="X1721" s="230"/>
      <c r="Y1721" s="230"/>
      <c r="Z1721" s="230"/>
      <c r="AA1721" s="230"/>
      <c r="AB1721" s="230"/>
    </row>
    <row r="1722">
      <c r="O1722" s="230"/>
      <c r="R1722" s="230"/>
      <c r="S1722" s="230"/>
      <c r="T1722" s="230"/>
      <c r="U1722" s="230"/>
      <c r="V1722" s="230"/>
      <c r="W1722" s="230"/>
      <c r="X1722" s="230"/>
      <c r="Y1722" s="230"/>
      <c r="Z1722" s="230"/>
      <c r="AA1722" s="230"/>
      <c r="AB1722" s="230"/>
    </row>
    <row r="1723">
      <c r="O1723" s="230"/>
      <c r="R1723" s="230"/>
      <c r="S1723" s="230"/>
      <c r="T1723" s="230"/>
      <c r="U1723" s="230"/>
      <c r="V1723" s="230"/>
      <c r="W1723" s="230"/>
      <c r="X1723" s="230"/>
      <c r="Y1723" s="230"/>
      <c r="Z1723" s="230"/>
      <c r="AA1723" s="230"/>
      <c r="AB1723" s="230"/>
    </row>
    <row r="1724">
      <c r="O1724" s="230"/>
      <c r="R1724" s="230"/>
      <c r="S1724" s="230"/>
      <c r="T1724" s="230"/>
      <c r="U1724" s="230"/>
      <c r="V1724" s="230"/>
      <c r="W1724" s="230"/>
      <c r="X1724" s="230"/>
      <c r="Y1724" s="230"/>
      <c r="Z1724" s="230"/>
      <c r="AA1724" s="230"/>
      <c r="AB1724" s="230"/>
    </row>
    <row r="1725">
      <c r="O1725" s="230"/>
      <c r="R1725" s="230"/>
      <c r="S1725" s="230"/>
      <c r="T1725" s="230"/>
      <c r="U1725" s="230"/>
      <c r="V1725" s="230"/>
      <c r="W1725" s="230"/>
      <c r="X1725" s="230"/>
      <c r="Y1725" s="230"/>
      <c r="Z1725" s="230"/>
      <c r="AA1725" s="230"/>
      <c r="AB1725" s="230"/>
    </row>
    <row r="1726">
      <c r="O1726" s="230"/>
      <c r="R1726" s="230"/>
      <c r="S1726" s="230"/>
      <c r="T1726" s="230"/>
      <c r="U1726" s="230"/>
      <c r="V1726" s="230"/>
      <c r="W1726" s="230"/>
      <c r="X1726" s="230"/>
      <c r="Y1726" s="230"/>
      <c r="Z1726" s="230"/>
      <c r="AA1726" s="230"/>
      <c r="AB1726" s="230"/>
    </row>
    <row r="1727">
      <c r="O1727" s="230"/>
      <c r="R1727" s="230"/>
      <c r="S1727" s="230"/>
      <c r="T1727" s="230"/>
      <c r="U1727" s="230"/>
      <c r="V1727" s="230"/>
      <c r="W1727" s="230"/>
      <c r="X1727" s="230"/>
      <c r="Y1727" s="230"/>
      <c r="Z1727" s="230"/>
      <c r="AA1727" s="230"/>
      <c r="AB1727" s="230"/>
    </row>
    <row r="1728">
      <c r="O1728" s="230"/>
      <c r="R1728" s="230"/>
      <c r="S1728" s="230"/>
      <c r="T1728" s="230"/>
      <c r="U1728" s="230"/>
      <c r="V1728" s="230"/>
      <c r="W1728" s="230"/>
      <c r="X1728" s="230"/>
      <c r="Y1728" s="230"/>
      <c r="Z1728" s="230"/>
      <c r="AA1728" s="230"/>
      <c r="AB1728" s="230"/>
    </row>
    <row r="1729">
      <c r="O1729" s="230"/>
      <c r="R1729" s="230"/>
      <c r="S1729" s="230"/>
      <c r="T1729" s="230"/>
      <c r="U1729" s="230"/>
      <c r="V1729" s="230"/>
      <c r="W1729" s="230"/>
      <c r="X1729" s="230"/>
      <c r="Y1729" s="230"/>
      <c r="Z1729" s="230"/>
      <c r="AA1729" s="230"/>
      <c r="AB1729" s="230"/>
    </row>
    <row r="1730">
      <c r="O1730" s="230"/>
      <c r="R1730" s="230"/>
      <c r="S1730" s="230"/>
      <c r="T1730" s="230"/>
      <c r="U1730" s="230"/>
      <c r="V1730" s="230"/>
      <c r="W1730" s="230"/>
      <c r="X1730" s="230"/>
      <c r="Y1730" s="230"/>
      <c r="Z1730" s="230"/>
      <c r="AA1730" s="230"/>
      <c r="AB1730" s="230"/>
    </row>
    <row r="1731">
      <c r="O1731" s="230"/>
      <c r="R1731" s="230"/>
      <c r="S1731" s="230"/>
      <c r="T1731" s="230"/>
      <c r="U1731" s="230"/>
      <c r="V1731" s="230"/>
      <c r="W1731" s="230"/>
      <c r="X1731" s="230"/>
      <c r="Y1731" s="230"/>
      <c r="Z1731" s="230"/>
      <c r="AA1731" s="230"/>
      <c r="AB1731" s="230"/>
    </row>
    <row r="1732">
      <c r="O1732" s="230"/>
      <c r="R1732" s="230"/>
      <c r="S1732" s="230"/>
      <c r="T1732" s="230"/>
      <c r="U1732" s="230"/>
      <c r="V1732" s="230"/>
      <c r="W1732" s="230"/>
      <c r="X1732" s="230"/>
      <c r="Y1732" s="230"/>
      <c r="Z1732" s="230"/>
      <c r="AA1732" s="230"/>
      <c r="AB1732" s="230"/>
    </row>
    <row r="1733">
      <c r="O1733" s="230"/>
      <c r="R1733" s="230"/>
      <c r="S1733" s="230"/>
      <c r="T1733" s="230"/>
      <c r="U1733" s="230"/>
      <c r="V1733" s="230"/>
      <c r="W1733" s="230"/>
      <c r="X1733" s="230"/>
      <c r="Y1733" s="230"/>
      <c r="Z1733" s="230"/>
      <c r="AA1733" s="230"/>
      <c r="AB1733" s="230"/>
    </row>
    <row r="1734">
      <c r="O1734" s="230"/>
      <c r="R1734" s="230"/>
      <c r="S1734" s="230"/>
      <c r="T1734" s="230"/>
      <c r="U1734" s="230"/>
      <c r="V1734" s="230"/>
      <c r="W1734" s="230"/>
      <c r="X1734" s="230"/>
      <c r="Y1734" s="230"/>
      <c r="Z1734" s="230"/>
      <c r="AA1734" s="230"/>
      <c r="AB1734" s="230"/>
    </row>
    <row r="1735">
      <c r="O1735" s="230"/>
      <c r="R1735" s="230"/>
      <c r="S1735" s="230"/>
      <c r="T1735" s="230"/>
      <c r="U1735" s="230"/>
      <c r="V1735" s="230"/>
      <c r="W1735" s="230"/>
      <c r="X1735" s="230"/>
      <c r="Y1735" s="230"/>
      <c r="Z1735" s="230"/>
      <c r="AA1735" s="230"/>
      <c r="AB1735" s="230"/>
    </row>
    <row r="1736">
      <c r="O1736" s="230"/>
      <c r="R1736" s="230"/>
      <c r="S1736" s="230"/>
      <c r="T1736" s="230"/>
      <c r="U1736" s="230"/>
      <c r="V1736" s="230"/>
      <c r="W1736" s="230"/>
      <c r="X1736" s="230"/>
      <c r="Y1736" s="230"/>
      <c r="Z1736" s="230"/>
      <c r="AA1736" s="230"/>
      <c r="AB1736" s="230"/>
    </row>
    <row r="1737">
      <c r="O1737" s="230"/>
      <c r="R1737" s="230"/>
      <c r="S1737" s="230"/>
      <c r="T1737" s="230"/>
      <c r="U1737" s="230"/>
      <c r="V1737" s="230"/>
      <c r="W1737" s="230"/>
      <c r="X1737" s="230"/>
      <c r="Y1737" s="230"/>
      <c r="Z1737" s="230"/>
      <c r="AA1737" s="230"/>
      <c r="AB1737" s="230"/>
    </row>
    <row r="1738">
      <c r="O1738" s="230"/>
      <c r="R1738" s="230"/>
      <c r="S1738" s="230"/>
      <c r="T1738" s="230"/>
      <c r="U1738" s="230"/>
      <c r="V1738" s="230"/>
      <c r="W1738" s="230"/>
      <c r="X1738" s="230"/>
      <c r="Y1738" s="230"/>
      <c r="Z1738" s="230"/>
      <c r="AA1738" s="230"/>
      <c r="AB1738" s="230"/>
    </row>
    <row r="1739">
      <c r="O1739" s="230"/>
      <c r="R1739" s="230"/>
      <c r="S1739" s="230"/>
      <c r="T1739" s="230"/>
      <c r="U1739" s="230"/>
      <c r="V1739" s="230"/>
      <c r="W1739" s="230"/>
      <c r="X1739" s="230"/>
      <c r="Y1739" s="230"/>
      <c r="Z1739" s="230"/>
      <c r="AA1739" s="230"/>
      <c r="AB1739" s="230"/>
    </row>
    <row r="1740">
      <c r="O1740" s="230"/>
      <c r="R1740" s="230"/>
      <c r="S1740" s="230"/>
      <c r="T1740" s="230"/>
      <c r="U1740" s="230"/>
      <c r="V1740" s="230"/>
      <c r="W1740" s="230"/>
      <c r="X1740" s="230"/>
      <c r="Y1740" s="230"/>
      <c r="Z1740" s="230"/>
      <c r="AA1740" s="230"/>
      <c r="AB1740" s="230"/>
    </row>
    <row r="1741">
      <c r="O1741" s="230"/>
      <c r="R1741" s="230"/>
      <c r="S1741" s="230"/>
      <c r="T1741" s="230"/>
      <c r="U1741" s="230"/>
      <c r="V1741" s="230"/>
      <c r="W1741" s="230"/>
      <c r="X1741" s="230"/>
      <c r="Y1741" s="230"/>
      <c r="Z1741" s="230"/>
      <c r="AA1741" s="230"/>
      <c r="AB1741" s="230"/>
    </row>
    <row r="1742">
      <c r="O1742" s="230"/>
      <c r="R1742" s="230"/>
      <c r="S1742" s="230"/>
      <c r="T1742" s="230"/>
      <c r="U1742" s="230"/>
      <c r="V1742" s="230"/>
      <c r="W1742" s="230"/>
      <c r="X1742" s="230"/>
      <c r="Y1742" s="230"/>
      <c r="Z1742" s="230"/>
      <c r="AA1742" s="230"/>
      <c r="AB1742" s="230"/>
    </row>
    <row r="1743">
      <c r="O1743" s="230"/>
      <c r="R1743" s="230"/>
      <c r="S1743" s="230"/>
      <c r="T1743" s="230"/>
      <c r="U1743" s="230"/>
      <c r="V1743" s="230"/>
      <c r="W1743" s="230"/>
      <c r="X1743" s="230"/>
      <c r="Y1743" s="230"/>
      <c r="Z1743" s="230"/>
      <c r="AA1743" s="230"/>
      <c r="AB1743" s="230"/>
    </row>
    <row r="1744">
      <c r="O1744" s="230"/>
      <c r="R1744" s="230"/>
      <c r="S1744" s="230"/>
      <c r="T1744" s="230"/>
      <c r="U1744" s="230"/>
      <c r="V1744" s="230"/>
      <c r="W1744" s="230"/>
      <c r="X1744" s="230"/>
      <c r="Y1744" s="230"/>
      <c r="Z1744" s="230"/>
      <c r="AA1744" s="230"/>
      <c r="AB1744" s="230"/>
    </row>
    <row r="1745">
      <c r="O1745" s="230"/>
      <c r="R1745" s="230"/>
      <c r="S1745" s="230"/>
      <c r="T1745" s="230"/>
      <c r="U1745" s="230"/>
      <c r="V1745" s="230"/>
      <c r="W1745" s="230"/>
      <c r="X1745" s="230"/>
      <c r="Y1745" s="230"/>
      <c r="Z1745" s="230"/>
      <c r="AA1745" s="230"/>
      <c r="AB1745" s="230"/>
    </row>
    <row r="1746">
      <c r="O1746" s="230"/>
      <c r="R1746" s="230"/>
      <c r="S1746" s="230"/>
      <c r="T1746" s="230"/>
      <c r="U1746" s="230"/>
      <c r="V1746" s="230"/>
      <c r="W1746" s="230"/>
      <c r="X1746" s="230"/>
      <c r="Y1746" s="230"/>
      <c r="Z1746" s="230"/>
      <c r="AA1746" s="230"/>
      <c r="AB1746" s="230"/>
    </row>
    <row r="1747">
      <c r="O1747" s="230"/>
      <c r="R1747" s="230"/>
      <c r="S1747" s="230"/>
      <c r="T1747" s="230"/>
      <c r="U1747" s="230"/>
      <c r="V1747" s="230"/>
      <c r="W1747" s="230"/>
      <c r="X1747" s="230"/>
      <c r="Y1747" s="230"/>
      <c r="Z1747" s="230"/>
      <c r="AA1747" s="230"/>
      <c r="AB1747" s="230"/>
    </row>
    <row r="1748">
      <c r="O1748" s="230"/>
      <c r="R1748" s="230"/>
      <c r="S1748" s="230"/>
      <c r="T1748" s="230"/>
      <c r="U1748" s="230"/>
      <c r="V1748" s="230"/>
      <c r="W1748" s="230"/>
      <c r="X1748" s="230"/>
      <c r="Y1748" s="230"/>
      <c r="Z1748" s="230"/>
      <c r="AA1748" s="230"/>
      <c r="AB1748" s="230"/>
    </row>
    <row r="1749">
      <c r="O1749" s="230"/>
      <c r="R1749" s="230"/>
      <c r="S1749" s="230"/>
      <c r="T1749" s="230"/>
      <c r="U1749" s="230"/>
      <c r="V1749" s="230"/>
      <c r="W1749" s="230"/>
      <c r="X1749" s="230"/>
      <c r="Y1749" s="230"/>
      <c r="Z1749" s="230"/>
      <c r="AA1749" s="230"/>
      <c r="AB1749" s="230"/>
    </row>
    <row r="1750">
      <c r="O1750" s="230"/>
      <c r="R1750" s="230"/>
      <c r="S1750" s="230"/>
      <c r="T1750" s="230"/>
      <c r="U1750" s="230"/>
      <c r="V1750" s="230"/>
      <c r="W1750" s="230"/>
      <c r="X1750" s="230"/>
      <c r="Y1750" s="230"/>
      <c r="Z1750" s="230"/>
      <c r="AA1750" s="230"/>
      <c r="AB1750" s="230"/>
    </row>
    <row r="1751">
      <c r="O1751" s="230"/>
      <c r="R1751" s="230"/>
      <c r="S1751" s="230"/>
      <c r="T1751" s="230"/>
      <c r="U1751" s="230"/>
      <c r="V1751" s="230"/>
      <c r="W1751" s="230"/>
      <c r="X1751" s="230"/>
      <c r="Y1751" s="230"/>
      <c r="Z1751" s="230"/>
      <c r="AA1751" s="230"/>
      <c r="AB1751" s="230"/>
    </row>
    <row r="1752">
      <c r="O1752" s="230"/>
      <c r="R1752" s="230"/>
      <c r="S1752" s="230"/>
      <c r="T1752" s="230"/>
      <c r="U1752" s="230"/>
      <c r="V1752" s="230"/>
      <c r="W1752" s="230"/>
      <c r="X1752" s="230"/>
      <c r="Y1752" s="230"/>
      <c r="Z1752" s="230"/>
      <c r="AA1752" s="230"/>
      <c r="AB1752" s="230"/>
    </row>
    <row r="1753">
      <c r="O1753" s="230"/>
      <c r="R1753" s="230"/>
      <c r="S1753" s="230"/>
      <c r="T1753" s="230"/>
      <c r="U1753" s="230"/>
      <c r="V1753" s="230"/>
      <c r="W1753" s="230"/>
      <c r="X1753" s="230"/>
      <c r="Y1753" s="230"/>
      <c r="Z1753" s="230"/>
      <c r="AA1753" s="230"/>
      <c r="AB1753" s="230"/>
    </row>
    <row r="1754">
      <c r="O1754" s="230"/>
      <c r="R1754" s="230"/>
      <c r="S1754" s="230"/>
      <c r="T1754" s="230"/>
      <c r="U1754" s="230"/>
      <c r="V1754" s="230"/>
      <c r="W1754" s="230"/>
      <c r="X1754" s="230"/>
      <c r="Y1754" s="230"/>
      <c r="Z1754" s="230"/>
      <c r="AA1754" s="230"/>
      <c r="AB1754" s="230"/>
    </row>
    <row r="1755">
      <c r="O1755" s="230"/>
      <c r="R1755" s="230"/>
      <c r="S1755" s="230"/>
      <c r="T1755" s="230"/>
      <c r="U1755" s="230"/>
      <c r="V1755" s="230"/>
      <c r="W1755" s="230"/>
      <c r="X1755" s="230"/>
      <c r="Y1755" s="230"/>
      <c r="Z1755" s="230"/>
      <c r="AA1755" s="230"/>
      <c r="AB1755" s="230"/>
    </row>
    <row r="1756">
      <c r="O1756" s="230"/>
      <c r="R1756" s="230"/>
      <c r="S1756" s="230"/>
      <c r="T1756" s="230"/>
      <c r="U1756" s="230"/>
      <c r="V1756" s="230"/>
      <c r="W1756" s="230"/>
      <c r="X1756" s="230"/>
      <c r="Y1756" s="230"/>
      <c r="Z1756" s="230"/>
      <c r="AA1756" s="230"/>
      <c r="AB1756" s="230"/>
    </row>
    <row r="1757">
      <c r="O1757" s="230"/>
      <c r="R1757" s="230"/>
      <c r="S1757" s="230"/>
      <c r="T1757" s="230"/>
      <c r="U1757" s="230"/>
      <c r="V1757" s="230"/>
      <c r="W1757" s="230"/>
      <c r="X1757" s="230"/>
      <c r="Y1757" s="230"/>
      <c r="Z1757" s="230"/>
      <c r="AA1757" s="230"/>
      <c r="AB1757" s="230"/>
    </row>
    <row r="1758">
      <c r="O1758" s="230"/>
      <c r="R1758" s="230"/>
      <c r="S1758" s="230"/>
      <c r="T1758" s="230"/>
      <c r="U1758" s="230"/>
      <c r="V1758" s="230"/>
      <c r="W1758" s="230"/>
      <c r="X1758" s="230"/>
      <c r="Y1758" s="230"/>
      <c r="Z1758" s="230"/>
      <c r="AA1758" s="230"/>
      <c r="AB1758" s="230"/>
    </row>
    <row r="1759">
      <c r="O1759" s="230"/>
      <c r="R1759" s="230"/>
      <c r="S1759" s="230"/>
      <c r="T1759" s="230"/>
      <c r="U1759" s="230"/>
      <c r="V1759" s="230"/>
      <c r="W1759" s="230"/>
      <c r="X1759" s="230"/>
      <c r="Y1759" s="230"/>
      <c r="Z1759" s="230"/>
      <c r="AA1759" s="230"/>
      <c r="AB1759" s="230"/>
    </row>
    <row r="1760">
      <c r="O1760" s="230"/>
      <c r="R1760" s="230"/>
      <c r="S1760" s="230"/>
      <c r="T1760" s="230"/>
      <c r="U1760" s="230"/>
      <c r="V1760" s="230"/>
      <c r="W1760" s="230"/>
      <c r="X1760" s="230"/>
      <c r="Y1760" s="230"/>
      <c r="Z1760" s="230"/>
      <c r="AA1760" s="230"/>
      <c r="AB1760" s="230"/>
    </row>
    <row r="1761">
      <c r="O1761" s="230"/>
      <c r="R1761" s="230"/>
      <c r="S1761" s="230"/>
      <c r="T1761" s="230"/>
      <c r="U1761" s="230"/>
      <c r="V1761" s="230"/>
      <c r="W1761" s="230"/>
      <c r="X1761" s="230"/>
      <c r="Y1761" s="230"/>
      <c r="Z1761" s="230"/>
      <c r="AA1761" s="230"/>
      <c r="AB1761" s="230"/>
    </row>
    <row r="1762">
      <c r="O1762" s="230"/>
      <c r="R1762" s="230"/>
      <c r="S1762" s="230"/>
      <c r="T1762" s="230"/>
      <c r="U1762" s="230"/>
      <c r="V1762" s="230"/>
      <c r="W1762" s="230"/>
      <c r="X1762" s="230"/>
      <c r="Y1762" s="230"/>
      <c r="Z1762" s="230"/>
      <c r="AA1762" s="230"/>
      <c r="AB1762" s="230"/>
    </row>
    <row r="1763">
      <c r="O1763" s="230"/>
      <c r="R1763" s="230"/>
      <c r="S1763" s="230"/>
      <c r="T1763" s="230"/>
      <c r="U1763" s="230"/>
      <c r="V1763" s="230"/>
      <c r="W1763" s="230"/>
      <c r="X1763" s="230"/>
      <c r="Y1763" s="230"/>
      <c r="Z1763" s="230"/>
      <c r="AA1763" s="230"/>
      <c r="AB1763" s="230"/>
    </row>
    <row r="1764">
      <c r="O1764" s="230"/>
      <c r="R1764" s="230"/>
      <c r="S1764" s="230"/>
      <c r="T1764" s="230"/>
      <c r="U1764" s="230"/>
      <c r="V1764" s="230"/>
      <c r="W1764" s="230"/>
      <c r="X1764" s="230"/>
      <c r="Y1764" s="230"/>
      <c r="Z1764" s="230"/>
      <c r="AA1764" s="230"/>
      <c r="AB1764" s="230"/>
    </row>
    <row r="1765">
      <c r="O1765" s="230"/>
      <c r="R1765" s="230"/>
      <c r="S1765" s="230"/>
      <c r="T1765" s="230"/>
      <c r="U1765" s="230"/>
      <c r="V1765" s="230"/>
      <c r="W1765" s="230"/>
      <c r="X1765" s="230"/>
      <c r="Y1765" s="230"/>
      <c r="Z1765" s="230"/>
      <c r="AA1765" s="230"/>
      <c r="AB1765" s="230"/>
    </row>
    <row r="1766">
      <c r="O1766" s="230"/>
      <c r="R1766" s="230"/>
      <c r="S1766" s="230"/>
      <c r="T1766" s="230"/>
      <c r="U1766" s="230"/>
      <c r="V1766" s="230"/>
      <c r="W1766" s="230"/>
      <c r="X1766" s="230"/>
      <c r="Y1766" s="230"/>
      <c r="Z1766" s="230"/>
      <c r="AA1766" s="230"/>
      <c r="AB1766" s="230"/>
    </row>
    <row r="1767">
      <c r="O1767" s="230"/>
      <c r="R1767" s="230"/>
      <c r="S1767" s="230"/>
      <c r="T1767" s="230"/>
      <c r="U1767" s="230"/>
      <c r="V1767" s="230"/>
      <c r="W1767" s="230"/>
      <c r="X1767" s="230"/>
      <c r="Y1767" s="230"/>
      <c r="Z1767" s="230"/>
      <c r="AA1767" s="230"/>
      <c r="AB1767" s="230"/>
    </row>
    <row r="1768">
      <c r="O1768" s="230"/>
      <c r="R1768" s="230"/>
      <c r="S1768" s="230"/>
      <c r="T1768" s="230"/>
      <c r="U1768" s="230"/>
      <c r="V1768" s="230"/>
      <c r="W1768" s="230"/>
      <c r="X1768" s="230"/>
      <c r="Y1768" s="230"/>
      <c r="Z1768" s="230"/>
      <c r="AA1768" s="230"/>
      <c r="AB1768" s="230"/>
    </row>
    <row r="1769">
      <c r="O1769" s="230"/>
      <c r="R1769" s="230"/>
      <c r="S1769" s="230"/>
      <c r="T1769" s="230"/>
      <c r="U1769" s="230"/>
      <c r="V1769" s="230"/>
      <c r="W1769" s="230"/>
      <c r="X1769" s="230"/>
      <c r="Y1769" s="230"/>
      <c r="Z1769" s="230"/>
      <c r="AA1769" s="230"/>
      <c r="AB1769" s="230"/>
    </row>
    <row r="1770">
      <c r="O1770" s="230"/>
      <c r="R1770" s="230"/>
      <c r="S1770" s="230"/>
      <c r="T1770" s="230"/>
      <c r="U1770" s="230"/>
      <c r="V1770" s="230"/>
      <c r="W1770" s="230"/>
      <c r="X1770" s="230"/>
      <c r="Y1770" s="230"/>
      <c r="Z1770" s="230"/>
      <c r="AA1770" s="230"/>
      <c r="AB1770" s="230"/>
    </row>
    <row r="1771">
      <c r="O1771" s="230"/>
      <c r="R1771" s="230"/>
      <c r="S1771" s="230"/>
      <c r="T1771" s="230"/>
      <c r="U1771" s="230"/>
      <c r="V1771" s="230"/>
      <c r="W1771" s="230"/>
      <c r="X1771" s="230"/>
      <c r="Y1771" s="230"/>
      <c r="Z1771" s="230"/>
      <c r="AA1771" s="230"/>
      <c r="AB1771" s="230"/>
    </row>
    <row r="1772">
      <c r="O1772" s="230"/>
      <c r="R1772" s="230"/>
      <c r="S1772" s="230"/>
      <c r="T1772" s="230"/>
      <c r="U1772" s="230"/>
      <c r="V1772" s="230"/>
      <c r="W1772" s="230"/>
      <c r="X1772" s="230"/>
      <c r="Y1772" s="230"/>
      <c r="Z1772" s="230"/>
      <c r="AA1772" s="230"/>
      <c r="AB1772" s="230"/>
    </row>
    <row r="1773">
      <c r="O1773" s="230"/>
      <c r="R1773" s="230"/>
      <c r="S1773" s="230"/>
      <c r="T1773" s="230"/>
      <c r="U1773" s="230"/>
      <c r="V1773" s="230"/>
      <c r="W1773" s="230"/>
      <c r="X1773" s="230"/>
      <c r="Y1773" s="230"/>
      <c r="Z1773" s="230"/>
      <c r="AA1773" s="230"/>
      <c r="AB1773" s="230"/>
    </row>
    <row r="1774">
      <c r="O1774" s="230"/>
      <c r="R1774" s="230"/>
      <c r="S1774" s="230"/>
      <c r="T1774" s="230"/>
      <c r="U1774" s="230"/>
      <c r="V1774" s="230"/>
      <c r="W1774" s="230"/>
      <c r="X1774" s="230"/>
      <c r="Y1774" s="230"/>
      <c r="Z1774" s="230"/>
      <c r="AA1774" s="230"/>
      <c r="AB1774" s="230"/>
    </row>
    <row r="1775">
      <c r="O1775" s="230"/>
      <c r="R1775" s="230"/>
      <c r="S1775" s="230"/>
      <c r="T1775" s="230"/>
      <c r="U1775" s="230"/>
      <c r="V1775" s="230"/>
      <c r="W1775" s="230"/>
      <c r="X1775" s="230"/>
      <c r="Y1775" s="230"/>
      <c r="Z1775" s="230"/>
      <c r="AA1775" s="230"/>
      <c r="AB1775" s="230"/>
    </row>
    <row r="1776">
      <c r="O1776" s="230"/>
      <c r="R1776" s="230"/>
      <c r="S1776" s="230"/>
      <c r="T1776" s="230"/>
      <c r="U1776" s="230"/>
      <c r="V1776" s="230"/>
      <c r="W1776" s="230"/>
      <c r="X1776" s="230"/>
      <c r="Y1776" s="230"/>
      <c r="Z1776" s="230"/>
      <c r="AA1776" s="230"/>
      <c r="AB1776" s="230"/>
    </row>
    <row r="1777">
      <c r="O1777" s="230"/>
      <c r="R1777" s="230"/>
      <c r="S1777" s="230"/>
      <c r="T1777" s="230"/>
      <c r="U1777" s="230"/>
      <c r="V1777" s="230"/>
      <c r="W1777" s="230"/>
      <c r="X1777" s="230"/>
      <c r="Y1777" s="230"/>
      <c r="Z1777" s="230"/>
      <c r="AA1777" s="230"/>
      <c r="AB1777" s="230"/>
    </row>
    <row r="1778">
      <c r="O1778" s="230"/>
      <c r="R1778" s="230"/>
      <c r="S1778" s="230"/>
      <c r="T1778" s="230"/>
      <c r="U1778" s="230"/>
      <c r="V1778" s="230"/>
      <c r="W1778" s="230"/>
      <c r="X1778" s="230"/>
      <c r="Y1778" s="230"/>
      <c r="Z1778" s="230"/>
      <c r="AA1778" s="230"/>
      <c r="AB1778" s="230"/>
    </row>
    <row r="1779">
      <c r="O1779" s="230"/>
      <c r="R1779" s="230"/>
      <c r="S1779" s="230"/>
      <c r="T1779" s="230"/>
      <c r="U1779" s="230"/>
      <c r="V1779" s="230"/>
      <c r="W1779" s="230"/>
      <c r="X1779" s="230"/>
      <c r="Y1779" s="230"/>
      <c r="Z1779" s="230"/>
      <c r="AA1779" s="230"/>
      <c r="AB1779" s="230"/>
    </row>
    <row r="1780">
      <c r="O1780" s="230"/>
      <c r="R1780" s="230"/>
      <c r="S1780" s="230"/>
      <c r="T1780" s="230"/>
      <c r="U1780" s="230"/>
      <c r="V1780" s="230"/>
      <c r="W1780" s="230"/>
      <c r="X1780" s="230"/>
      <c r="Y1780" s="230"/>
      <c r="Z1780" s="230"/>
      <c r="AA1780" s="230"/>
      <c r="AB1780" s="230"/>
    </row>
    <row r="1781">
      <c r="O1781" s="230"/>
      <c r="R1781" s="230"/>
      <c r="S1781" s="230"/>
      <c r="T1781" s="230"/>
      <c r="U1781" s="230"/>
      <c r="V1781" s="230"/>
      <c r="W1781" s="230"/>
      <c r="X1781" s="230"/>
      <c r="Y1781" s="230"/>
      <c r="Z1781" s="230"/>
      <c r="AA1781" s="230"/>
      <c r="AB1781" s="230"/>
    </row>
    <row r="1782">
      <c r="O1782" s="230"/>
      <c r="R1782" s="230"/>
      <c r="S1782" s="230"/>
      <c r="T1782" s="230"/>
      <c r="U1782" s="230"/>
      <c r="V1782" s="230"/>
      <c r="W1782" s="230"/>
      <c r="X1782" s="230"/>
      <c r="Y1782" s="230"/>
      <c r="Z1782" s="230"/>
      <c r="AA1782" s="230"/>
      <c r="AB1782" s="230"/>
    </row>
    <row r="1783">
      <c r="O1783" s="230"/>
      <c r="R1783" s="230"/>
      <c r="S1783" s="230"/>
      <c r="T1783" s="230"/>
      <c r="U1783" s="230"/>
      <c r="V1783" s="230"/>
      <c r="W1783" s="230"/>
      <c r="X1783" s="230"/>
      <c r="Y1783" s="230"/>
      <c r="Z1783" s="230"/>
      <c r="AA1783" s="230"/>
      <c r="AB1783" s="230"/>
    </row>
    <row r="1784">
      <c r="O1784" s="230"/>
      <c r="R1784" s="230"/>
      <c r="S1784" s="230"/>
      <c r="T1784" s="230"/>
      <c r="U1784" s="230"/>
      <c r="V1784" s="230"/>
      <c r="W1784" s="230"/>
      <c r="X1784" s="230"/>
      <c r="Y1784" s="230"/>
      <c r="Z1784" s="230"/>
      <c r="AA1784" s="230"/>
      <c r="AB1784" s="230"/>
    </row>
    <row r="1785">
      <c r="O1785" s="230"/>
      <c r="R1785" s="230"/>
      <c r="S1785" s="230"/>
      <c r="T1785" s="230"/>
      <c r="U1785" s="230"/>
      <c r="V1785" s="230"/>
      <c r="W1785" s="230"/>
      <c r="X1785" s="230"/>
      <c r="Y1785" s="230"/>
      <c r="Z1785" s="230"/>
      <c r="AA1785" s="230"/>
      <c r="AB1785" s="230"/>
    </row>
    <row r="1786">
      <c r="O1786" s="230"/>
      <c r="R1786" s="230"/>
      <c r="S1786" s="230"/>
      <c r="T1786" s="230"/>
      <c r="U1786" s="230"/>
      <c r="V1786" s="230"/>
      <c r="W1786" s="230"/>
      <c r="X1786" s="230"/>
      <c r="Y1786" s="230"/>
      <c r="Z1786" s="230"/>
      <c r="AA1786" s="230"/>
      <c r="AB1786" s="230"/>
    </row>
    <row r="1787">
      <c r="O1787" s="230"/>
      <c r="R1787" s="230"/>
      <c r="S1787" s="230"/>
      <c r="T1787" s="230"/>
      <c r="U1787" s="230"/>
      <c r="V1787" s="230"/>
      <c r="W1787" s="230"/>
      <c r="X1787" s="230"/>
      <c r="Y1787" s="230"/>
      <c r="Z1787" s="230"/>
      <c r="AA1787" s="230"/>
      <c r="AB1787" s="230"/>
    </row>
    <row r="1788">
      <c r="O1788" s="230"/>
      <c r="R1788" s="230"/>
      <c r="S1788" s="230"/>
      <c r="T1788" s="230"/>
      <c r="U1788" s="230"/>
      <c r="V1788" s="230"/>
      <c r="W1788" s="230"/>
      <c r="X1788" s="230"/>
      <c r="Y1788" s="230"/>
      <c r="Z1788" s="230"/>
      <c r="AA1788" s="230"/>
      <c r="AB1788" s="230"/>
    </row>
    <row r="1789">
      <c r="O1789" s="230"/>
      <c r="R1789" s="230"/>
      <c r="S1789" s="230"/>
      <c r="T1789" s="230"/>
      <c r="U1789" s="230"/>
      <c r="V1789" s="230"/>
      <c r="W1789" s="230"/>
      <c r="X1789" s="230"/>
      <c r="Y1789" s="230"/>
      <c r="Z1789" s="230"/>
      <c r="AA1789" s="230"/>
      <c r="AB1789" s="230"/>
    </row>
    <row r="1790">
      <c r="O1790" s="230"/>
      <c r="R1790" s="230"/>
      <c r="S1790" s="230"/>
      <c r="T1790" s="230"/>
      <c r="U1790" s="230"/>
      <c r="V1790" s="230"/>
      <c r="W1790" s="230"/>
      <c r="X1790" s="230"/>
      <c r="Y1790" s="230"/>
      <c r="Z1790" s="230"/>
      <c r="AA1790" s="230"/>
      <c r="AB1790" s="230"/>
    </row>
    <row r="1791">
      <c r="O1791" s="230"/>
      <c r="R1791" s="230"/>
      <c r="S1791" s="230"/>
      <c r="T1791" s="230"/>
      <c r="U1791" s="230"/>
      <c r="V1791" s="230"/>
      <c r="W1791" s="230"/>
      <c r="X1791" s="230"/>
      <c r="Y1791" s="230"/>
      <c r="Z1791" s="230"/>
      <c r="AA1791" s="230"/>
      <c r="AB1791" s="230"/>
    </row>
    <row r="1792">
      <c r="O1792" s="230"/>
      <c r="R1792" s="230"/>
      <c r="S1792" s="230"/>
      <c r="T1792" s="230"/>
      <c r="U1792" s="230"/>
      <c r="V1792" s="230"/>
      <c r="W1792" s="230"/>
      <c r="X1792" s="230"/>
      <c r="Y1792" s="230"/>
      <c r="Z1792" s="230"/>
      <c r="AA1792" s="230"/>
      <c r="AB1792" s="230"/>
    </row>
    <row r="1793">
      <c r="O1793" s="230"/>
      <c r="R1793" s="230"/>
      <c r="S1793" s="230"/>
      <c r="T1793" s="230"/>
      <c r="U1793" s="230"/>
      <c r="V1793" s="230"/>
      <c r="W1793" s="230"/>
      <c r="X1793" s="230"/>
      <c r="Y1793" s="230"/>
      <c r="Z1793" s="230"/>
      <c r="AA1793" s="230"/>
      <c r="AB1793" s="230"/>
    </row>
    <row r="1794">
      <c r="O1794" s="230"/>
      <c r="R1794" s="230"/>
      <c r="S1794" s="230"/>
      <c r="T1794" s="230"/>
      <c r="U1794" s="230"/>
      <c r="V1794" s="230"/>
      <c r="W1794" s="230"/>
      <c r="X1794" s="230"/>
      <c r="Y1794" s="230"/>
      <c r="Z1794" s="230"/>
      <c r="AA1794" s="230"/>
      <c r="AB1794" s="230"/>
    </row>
    <row r="1795">
      <c r="O1795" s="230"/>
      <c r="R1795" s="230"/>
      <c r="S1795" s="230"/>
      <c r="T1795" s="230"/>
      <c r="U1795" s="230"/>
      <c r="V1795" s="230"/>
      <c r="W1795" s="230"/>
      <c r="X1795" s="230"/>
      <c r="Y1795" s="230"/>
      <c r="Z1795" s="230"/>
      <c r="AA1795" s="230"/>
      <c r="AB1795" s="230"/>
    </row>
    <row r="1796">
      <c r="O1796" s="230"/>
      <c r="R1796" s="230"/>
      <c r="S1796" s="230"/>
      <c r="T1796" s="230"/>
      <c r="U1796" s="230"/>
      <c r="V1796" s="230"/>
      <c r="W1796" s="230"/>
      <c r="X1796" s="230"/>
      <c r="Y1796" s="230"/>
      <c r="Z1796" s="230"/>
      <c r="AA1796" s="230"/>
      <c r="AB1796" s="230"/>
    </row>
    <row r="1797">
      <c r="O1797" s="230"/>
      <c r="R1797" s="230"/>
      <c r="S1797" s="230"/>
      <c r="T1797" s="230"/>
      <c r="U1797" s="230"/>
      <c r="V1797" s="230"/>
      <c r="W1797" s="230"/>
      <c r="X1797" s="230"/>
      <c r="Y1797" s="230"/>
      <c r="Z1797" s="230"/>
      <c r="AA1797" s="230"/>
      <c r="AB1797" s="230"/>
    </row>
    <row r="1798">
      <c r="O1798" s="230"/>
      <c r="R1798" s="230"/>
      <c r="S1798" s="230"/>
      <c r="T1798" s="230"/>
      <c r="U1798" s="230"/>
      <c r="V1798" s="230"/>
      <c r="W1798" s="230"/>
      <c r="X1798" s="230"/>
      <c r="Y1798" s="230"/>
      <c r="Z1798" s="230"/>
      <c r="AA1798" s="230"/>
      <c r="AB1798" s="230"/>
    </row>
    <row r="1799">
      <c r="O1799" s="230"/>
      <c r="R1799" s="230"/>
      <c r="S1799" s="230"/>
      <c r="T1799" s="230"/>
      <c r="U1799" s="230"/>
      <c r="V1799" s="230"/>
      <c r="W1799" s="230"/>
      <c r="X1799" s="230"/>
      <c r="Y1799" s="230"/>
      <c r="Z1799" s="230"/>
      <c r="AA1799" s="230"/>
      <c r="AB1799" s="230"/>
    </row>
    <row r="1800">
      <c r="O1800" s="230"/>
      <c r="R1800" s="230"/>
      <c r="S1800" s="230"/>
      <c r="T1800" s="230"/>
      <c r="U1800" s="230"/>
      <c r="V1800" s="230"/>
      <c r="W1800" s="230"/>
      <c r="X1800" s="230"/>
      <c r="Y1800" s="230"/>
      <c r="Z1800" s="230"/>
      <c r="AA1800" s="230"/>
      <c r="AB1800" s="230"/>
    </row>
    <row r="1801">
      <c r="O1801" s="230"/>
      <c r="R1801" s="230"/>
      <c r="S1801" s="230"/>
      <c r="T1801" s="230"/>
      <c r="U1801" s="230"/>
      <c r="V1801" s="230"/>
      <c r="W1801" s="230"/>
      <c r="X1801" s="230"/>
      <c r="Y1801" s="230"/>
      <c r="Z1801" s="230"/>
      <c r="AA1801" s="230"/>
      <c r="AB1801" s="230"/>
    </row>
    <row r="1802">
      <c r="O1802" s="230"/>
      <c r="R1802" s="230"/>
      <c r="S1802" s="230"/>
      <c r="T1802" s="230"/>
      <c r="U1802" s="230"/>
      <c r="V1802" s="230"/>
      <c r="W1802" s="230"/>
      <c r="X1802" s="230"/>
      <c r="Y1802" s="230"/>
      <c r="Z1802" s="230"/>
      <c r="AA1802" s="230"/>
      <c r="AB1802" s="230"/>
    </row>
    <row r="1803">
      <c r="O1803" s="230"/>
      <c r="R1803" s="230"/>
      <c r="S1803" s="230"/>
      <c r="T1803" s="230"/>
      <c r="U1803" s="230"/>
      <c r="V1803" s="230"/>
      <c r="W1803" s="230"/>
      <c r="X1803" s="230"/>
      <c r="Y1803" s="230"/>
      <c r="Z1803" s="230"/>
      <c r="AA1803" s="230"/>
      <c r="AB1803" s="230"/>
    </row>
    <row r="1804">
      <c r="O1804" s="230"/>
      <c r="R1804" s="230"/>
      <c r="S1804" s="230"/>
      <c r="T1804" s="230"/>
      <c r="U1804" s="230"/>
      <c r="V1804" s="230"/>
      <c r="W1804" s="230"/>
      <c r="X1804" s="230"/>
      <c r="Y1804" s="230"/>
      <c r="Z1804" s="230"/>
      <c r="AA1804" s="230"/>
      <c r="AB1804" s="230"/>
    </row>
    <row r="1805">
      <c r="O1805" s="230"/>
      <c r="R1805" s="230"/>
      <c r="S1805" s="230"/>
      <c r="T1805" s="230"/>
      <c r="U1805" s="230"/>
      <c r="V1805" s="230"/>
      <c r="W1805" s="230"/>
      <c r="X1805" s="230"/>
      <c r="Y1805" s="230"/>
      <c r="Z1805" s="230"/>
      <c r="AA1805" s="230"/>
      <c r="AB1805" s="230"/>
    </row>
    <row r="1806">
      <c r="O1806" s="230"/>
      <c r="R1806" s="230"/>
      <c r="S1806" s="230"/>
      <c r="T1806" s="230"/>
      <c r="U1806" s="230"/>
      <c r="V1806" s="230"/>
      <c r="W1806" s="230"/>
      <c r="X1806" s="230"/>
      <c r="Y1806" s="230"/>
      <c r="Z1806" s="230"/>
      <c r="AA1806" s="230"/>
      <c r="AB1806" s="230"/>
    </row>
    <row r="1807">
      <c r="O1807" s="230"/>
      <c r="R1807" s="230"/>
      <c r="S1807" s="230"/>
      <c r="T1807" s="230"/>
      <c r="U1807" s="230"/>
      <c r="V1807" s="230"/>
      <c r="W1807" s="230"/>
      <c r="X1807" s="230"/>
      <c r="Y1807" s="230"/>
      <c r="Z1807" s="230"/>
      <c r="AA1807" s="230"/>
      <c r="AB1807" s="230"/>
    </row>
    <row r="1808">
      <c r="O1808" s="230"/>
      <c r="R1808" s="230"/>
      <c r="S1808" s="230"/>
      <c r="T1808" s="230"/>
      <c r="U1808" s="230"/>
      <c r="V1808" s="230"/>
      <c r="W1808" s="230"/>
      <c r="X1808" s="230"/>
      <c r="Y1808" s="230"/>
      <c r="Z1808" s="230"/>
      <c r="AA1808" s="230"/>
      <c r="AB1808" s="230"/>
    </row>
    <row r="1809">
      <c r="O1809" s="230"/>
      <c r="R1809" s="230"/>
      <c r="S1809" s="230"/>
      <c r="T1809" s="230"/>
      <c r="U1809" s="230"/>
      <c r="V1809" s="230"/>
      <c r="W1809" s="230"/>
      <c r="X1809" s="230"/>
      <c r="Y1809" s="230"/>
      <c r="Z1809" s="230"/>
      <c r="AA1809" s="230"/>
      <c r="AB1809" s="230"/>
    </row>
    <row r="1810">
      <c r="O1810" s="230"/>
      <c r="R1810" s="230"/>
      <c r="S1810" s="230"/>
      <c r="T1810" s="230"/>
      <c r="U1810" s="230"/>
      <c r="V1810" s="230"/>
      <c r="W1810" s="230"/>
      <c r="X1810" s="230"/>
      <c r="Y1810" s="230"/>
      <c r="Z1810" s="230"/>
      <c r="AA1810" s="230"/>
      <c r="AB1810" s="230"/>
    </row>
    <row r="1811">
      <c r="O1811" s="230"/>
      <c r="R1811" s="230"/>
      <c r="S1811" s="230"/>
      <c r="T1811" s="230"/>
      <c r="U1811" s="230"/>
      <c r="V1811" s="230"/>
      <c r="W1811" s="230"/>
      <c r="X1811" s="230"/>
      <c r="Y1811" s="230"/>
      <c r="Z1811" s="230"/>
      <c r="AA1811" s="230"/>
      <c r="AB1811" s="230"/>
    </row>
    <row r="1812">
      <c r="O1812" s="230"/>
      <c r="R1812" s="230"/>
      <c r="S1812" s="230"/>
      <c r="T1812" s="230"/>
      <c r="U1812" s="230"/>
      <c r="V1812" s="230"/>
      <c r="W1812" s="230"/>
      <c r="X1812" s="230"/>
      <c r="Y1812" s="230"/>
      <c r="Z1812" s="230"/>
      <c r="AA1812" s="230"/>
      <c r="AB1812" s="230"/>
    </row>
    <row r="1813">
      <c r="O1813" s="230"/>
      <c r="R1813" s="230"/>
      <c r="S1813" s="230"/>
      <c r="T1813" s="230"/>
      <c r="U1813" s="230"/>
      <c r="V1813" s="230"/>
      <c r="W1813" s="230"/>
      <c r="X1813" s="230"/>
      <c r="Y1813" s="230"/>
      <c r="Z1813" s="230"/>
      <c r="AA1813" s="230"/>
      <c r="AB1813" s="230"/>
    </row>
    <row r="1814">
      <c r="O1814" s="230"/>
      <c r="R1814" s="230"/>
      <c r="S1814" s="230"/>
      <c r="T1814" s="230"/>
      <c r="U1814" s="230"/>
      <c r="V1814" s="230"/>
      <c r="W1814" s="230"/>
      <c r="X1814" s="230"/>
      <c r="Y1814" s="230"/>
      <c r="Z1814" s="230"/>
      <c r="AA1814" s="230"/>
      <c r="AB1814" s="230"/>
    </row>
    <row r="1815">
      <c r="O1815" s="230"/>
      <c r="R1815" s="230"/>
      <c r="S1815" s="230"/>
      <c r="T1815" s="230"/>
      <c r="U1815" s="230"/>
      <c r="V1815" s="230"/>
      <c r="W1815" s="230"/>
      <c r="X1815" s="230"/>
      <c r="Y1815" s="230"/>
      <c r="Z1815" s="230"/>
      <c r="AA1815" s="230"/>
      <c r="AB1815" s="230"/>
    </row>
    <row r="1816">
      <c r="O1816" s="230"/>
      <c r="R1816" s="230"/>
      <c r="S1816" s="230"/>
      <c r="T1816" s="230"/>
      <c r="U1816" s="230"/>
      <c r="V1816" s="230"/>
      <c r="W1816" s="230"/>
      <c r="X1816" s="230"/>
      <c r="Y1816" s="230"/>
      <c r="Z1816" s="230"/>
      <c r="AA1816" s="230"/>
      <c r="AB1816" s="230"/>
    </row>
    <row r="1817">
      <c r="O1817" s="230"/>
      <c r="R1817" s="230"/>
      <c r="S1817" s="230"/>
      <c r="T1817" s="230"/>
      <c r="U1817" s="230"/>
      <c r="V1817" s="230"/>
      <c r="W1817" s="230"/>
      <c r="X1817" s="230"/>
      <c r="Y1817" s="230"/>
      <c r="Z1817" s="230"/>
      <c r="AA1817" s="230"/>
      <c r="AB1817" s="230"/>
    </row>
    <row r="1818">
      <c r="O1818" s="230"/>
      <c r="R1818" s="230"/>
      <c r="S1818" s="230"/>
      <c r="T1818" s="230"/>
      <c r="U1818" s="230"/>
      <c r="V1818" s="230"/>
      <c r="W1818" s="230"/>
      <c r="X1818" s="230"/>
      <c r="Y1818" s="230"/>
      <c r="Z1818" s="230"/>
      <c r="AA1818" s="230"/>
      <c r="AB1818" s="230"/>
    </row>
    <row r="1819">
      <c r="O1819" s="230"/>
      <c r="R1819" s="230"/>
      <c r="S1819" s="230"/>
      <c r="T1819" s="230"/>
      <c r="U1819" s="230"/>
      <c r="V1819" s="230"/>
      <c r="W1819" s="230"/>
      <c r="X1819" s="230"/>
      <c r="Y1819" s="230"/>
      <c r="Z1819" s="230"/>
      <c r="AA1819" s="230"/>
      <c r="AB1819" s="230"/>
    </row>
    <row r="1820">
      <c r="O1820" s="230"/>
      <c r="R1820" s="230"/>
      <c r="S1820" s="230"/>
      <c r="T1820" s="230"/>
      <c r="U1820" s="230"/>
      <c r="V1820" s="230"/>
      <c r="W1820" s="230"/>
      <c r="X1820" s="230"/>
      <c r="Y1820" s="230"/>
      <c r="Z1820" s="230"/>
      <c r="AA1820" s="230"/>
      <c r="AB1820" s="230"/>
    </row>
    <row r="1821">
      <c r="O1821" s="230"/>
      <c r="R1821" s="230"/>
      <c r="S1821" s="230"/>
      <c r="T1821" s="230"/>
      <c r="U1821" s="230"/>
      <c r="V1821" s="230"/>
      <c r="W1821" s="230"/>
      <c r="X1821" s="230"/>
      <c r="Y1821" s="230"/>
      <c r="Z1821" s="230"/>
      <c r="AA1821" s="230"/>
      <c r="AB1821" s="230"/>
    </row>
    <row r="1822">
      <c r="O1822" s="230"/>
      <c r="R1822" s="230"/>
      <c r="S1822" s="230"/>
      <c r="T1822" s="230"/>
      <c r="U1822" s="230"/>
      <c r="V1822" s="230"/>
      <c r="W1822" s="230"/>
      <c r="X1822" s="230"/>
      <c r="Y1822" s="230"/>
      <c r="Z1822" s="230"/>
      <c r="AA1822" s="230"/>
      <c r="AB1822" s="230"/>
    </row>
    <row r="1823">
      <c r="O1823" s="230"/>
      <c r="R1823" s="230"/>
      <c r="S1823" s="230"/>
      <c r="T1823" s="230"/>
      <c r="U1823" s="230"/>
      <c r="V1823" s="230"/>
      <c r="W1823" s="230"/>
      <c r="X1823" s="230"/>
      <c r="Y1823" s="230"/>
      <c r="Z1823" s="230"/>
      <c r="AA1823" s="230"/>
      <c r="AB1823" s="230"/>
    </row>
    <row r="1824">
      <c r="O1824" s="230"/>
      <c r="R1824" s="230"/>
      <c r="S1824" s="230"/>
      <c r="T1824" s="230"/>
      <c r="U1824" s="230"/>
      <c r="V1824" s="230"/>
      <c r="W1824" s="230"/>
      <c r="X1824" s="230"/>
      <c r="Y1824" s="230"/>
      <c r="Z1824" s="230"/>
      <c r="AA1824" s="230"/>
      <c r="AB1824" s="230"/>
    </row>
    <row r="1825">
      <c r="O1825" s="230"/>
      <c r="R1825" s="230"/>
      <c r="S1825" s="230"/>
      <c r="T1825" s="230"/>
      <c r="U1825" s="230"/>
      <c r="V1825" s="230"/>
      <c r="W1825" s="230"/>
      <c r="X1825" s="230"/>
      <c r="Y1825" s="230"/>
      <c r="Z1825" s="230"/>
      <c r="AA1825" s="230"/>
      <c r="AB1825" s="230"/>
    </row>
    <row r="1826">
      <c r="O1826" s="230"/>
      <c r="R1826" s="230"/>
      <c r="S1826" s="230"/>
      <c r="T1826" s="230"/>
      <c r="U1826" s="230"/>
      <c r="V1826" s="230"/>
      <c r="W1826" s="230"/>
      <c r="X1826" s="230"/>
      <c r="Y1826" s="230"/>
      <c r="Z1826" s="230"/>
      <c r="AA1826" s="230"/>
      <c r="AB1826" s="230"/>
    </row>
    <row r="1827">
      <c r="O1827" s="230"/>
      <c r="R1827" s="230"/>
      <c r="S1827" s="230"/>
      <c r="T1827" s="230"/>
      <c r="U1827" s="230"/>
      <c r="V1827" s="230"/>
      <c r="W1827" s="230"/>
      <c r="X1827" s="230"/>
      <c r="Y1827" s="230"/>
      <c r="Z1827" s="230"/>
      <c r="AA1827" s="230"/>
      <c r="AB1827" s="230"/>
    </row>
    <row r="1828">
      <c r="O1828" s="230"/>
      <c r="R1828" s="230"/>
      <c r="S1828" s="230"/>
      <c r="T1828" s="230"/>
      <c r="U1828" s="230"/>
      <c r="V1828" s="230"/>
      <c r="W1828" s="230"/>
      <c r="X1828" s="230"/>
      <c r="Y1828" s="230"/>
      <c r="Z1828" s="230"/>
      <c r="AA1828" s="230"/>
      <c r="AB1828" s="230"/>
    </row>
    <row r="1829">
      <c r="O1829" s="230"/>
      <c r="R1829" s="230"/>
      <c r="S1829" s="230"/>
      <c r="T1829" s="230"/>
      <c r="U1829" s="230"/>
      <c r="V1829" s="230"/>
      <c r="W1829" s="230"/>
      <c r="X1829" s="230"/>
      <c r="Y1829" s="230"/>
      <c r="Z1829" s="230"/>
      <c r="AA1829" s="230"/>
      <c r="AB1829" s="230"/>
    </row>
    <row r="1830">
      <c r="O1830" s="230"/>
      <c r="R1830" s="230"/>
      <c r="S1830" s="230"/>
      <c r="T1830" s="230"/>
      <c r="U1830" s="230"/>
      <c r="V1830" s="230"/>
      <c r="W1830" s="230"/>
      <c r="X1830" s="230"/>
      <c r="Y1830" s="230"/>
      <c r="Z1830" s="230"/>
      <c r="AA1830" s="230"/>
      <c r="AB1830" s="230"/>
    </row>
    <row r="1831">
      <c r="O1831" s="230"/>
      <c r="R1831" s="230"/>
      <c r="S1831" s="230"/>
      <c r="T1831" s="230"/>
      <c r="U1831" s="230"/>
      <c r="V1831" s="230"/>
      <c r="W1831" s="230"/>
      <c r="X1831" s="230"/>
      <c r="Y1831" s="230"/>
      <c r="Z1831" s="230"/>
      <c r="AA1831" s="230"/>
      <c r="AB1831" s="230"/>
    </row>
    <row r="1832">
      <c r="O1832" s="230"/>
      <c r="R1832" s="230"/>
      <c r="S1832" s="230"/>
      <c r="T1832" s="230"/>
      <c r="U1832" s="230"/>
      <c r="V1832" s="230"/>
      <c r="W1832" s="230"/>
      <c r="X1832" s="230"/>
      <c r="Y1832" s="230"/>
      <c r="Z1832" s="230"/>
      <c r="AA1832" s="230"/>
      <c r="AB1832" s="230"/>
    </row>
    <row r="1833">
      <c r="O1833" s="230"/>
      <c r="R1833" s="230"/>
      <c r="S1833" s="230"/>
      <c r="T1833" s="230"/>
      <c r="U1833" s="230"/>
      <c r="V1833" s="230"/>
      <c r="W1833" s="230"/>
      <c r="X1833" s="230"/>
      <c r="Y1833" s="230"/>
      <c r="Z1833" s="230"/>
      <c r="AA1833" s="230"/>
      <c r="AB1833" s="230"/>
    </row>
    <row r="1834">
      <c r="O1834" s="230"/>
      <c r="R1834" s="230"/>
      <c r="S1834" s="230"/>
      <c r="T1834" s="230"/>
      <c r="U1834" s="230"/>
      <c r="V1834" s="230"/>
      <c r="W1834" s="230"/>
      <c r="X1834" s="230"/>
      <c r="Y1834" s="230"/>
      <c r="Z1834" s="230"/>
      <c r="AA1834" s="230"/>
      <c r="AB1834" s="230"/>
    </row>
    <row r="1835">
      <c r="O1835" s="230"/>
      <c r="R1835" s="230"/>
      <c r="S1835" s="230"/>
      <c r="T1835" s="230"/>
      <c r="U1835" s="230"/>
      <c r="V1835" s="230"/>
      <c r="W1835" s="230"/>
      <c r="X1835" s="230"/>
      <c r="Y1835" s="230"/>
      <c r="Z1835" s="230"/>
      <c r="AA1835" s="230"/>
      <c r="AB1835" s="230"/>
    </row>
    <row r="1836">
      <c r="O1836" s="230"/>
      <c r="R1836" s="230"/>
      <c r="S1836" s="230"/>
      <c r="T1836" s="230"/>
      <c r="U1836" s="230"/>
      <c r="V1836" s="230"/>
      <c r="W1836" s="230"/>
      <c r="X1836" s="230"/>
      <c r="Y1836" s="230"/>
      <c r="Z1836" s="230"/>
      <c r="AA1836" s="230"/>
      <c r="AB1836" s="230"/>
    </row>
    <row r="1837">
      <c r="O1837" s="230"/>
      <c r="R1837" s="230"/>
      <c r="S1837" s="230"/>
      <c r="T1837" s="230"/>
      <c r="U1837" s="230"/>
      <c r="V1837" s="230"/>
      <c r="W1837" s="230"/>
      <c r="X1837" s="230"/>
      <c r="Y1837" s="230"/>
      <c r="Z1837" s="230"/>
      <c r="AA1837" s="230"/>
      <c r="AB1837" s="230"/>
    </row>
    <row r="1838">
      <c r="O1838" s="230"/>
      <c r="R1838" s="230"/>
      <c r="S1838" s="230"/>
      <c r="T1838" s="230"/>
      <c r="U1838" s="230"/>
      <c r="V1838" s="230"/>
      <c r="W1838" s="230"/>
      <c r="X1838" s="230"/>
      <c r="Y1838" s="230"/>
      <c r="Z1838" s="230"/>
      <c r="AA1838" s="230"/>
      <c r="AB1838" s="230"/>
    </row>
    <row r="1839">
      <c r="O1839" s="230"/>
      <c r="R1839" s="230"/>
      <c r="S1839" s="230"/>
      <c r="T1839" s="230"/>
      <c r="U1839" s="230"/>
      <c r="V1839" s="230"/>
      <c r="W1839" s="230"/>
      <c r="X1839" s="230"/>
      <c r="Y1839" s="230"/>
      <c r="Z1839" s="230"/>
      <c r="AA1839" s="230"/>
      <c r="AB1839" s="230"/>
    </row>
    <row r="1840">
      <c r="O1840" s="230"/>
      <c r="R1840" s="230"/>
      <c r="S1840" s="230"/>
      <c r="T1840" s="230"/>
      <c r="U1840" s="230"/>
      <c r="V1840" s="230"/>
      <c r="W1840" s="230"/>
      <c r="X1840" s="230"/>
      <c r="Y1840" s="230"/>
      <c r="Z1840" s="230"/>
      <c r="AA1840" s="230"/>
      <c r="AB1840" s="230"/>
    </row>
    <row r="1841">
      <c r="O1841" s="230"/>
      <c r="R1841" s="230"/>
      <c r="S1841" s="230"/>
      <c r="T1841" s="230"/>
      <c r="U1841" s="230"/>
      <c r="V1841" s="230"/>
      <c r="W1841" s="230"/>
      <c r="X1841" s="230"/>
      <c r="Y1841" s="230"/>
      <c r="Z1841" s="230"/>
      <c r="AA1841" s="230"/>
      <c r="AB1841" s="230"/>
    </row>
    <row r="1842">
      <c r="O1842" s="230"/>
      <c r="R1842" s="230"/>
      <c r="S1842" s="230"/>
      <c r="T1842" s="230"/>
      <c r="U1842" s="230"/>
      <c r="V1842" s="230"/>
      <c r="W1842" s="230"/>
      <c r="X1842" s="230"/>
      <c r="Y1842" s="230"/>
      <c r="Z1842" s="230"/>
      <c r="AA1842" s="230"/>
      <c r="AB1842" s="230"/>
    </row>
    <row r="1843">
      <c r="O1843" s="230"/>
      <c r="R1843" s="230"/>
      <c r="S1843" s="230"/>
      <c r="T1843" s="230"/>
      <c r="U1843" s="230"/>
      <c r="V1843" s="230"/>
      <c r="W1843" s="230"/>
      <c r="X1843" s="230"/>
      <c r="Y1843" s="230"/>
      <c r="Z1843" s="230"/>
      <c r="AA1843" s="230"/>
      <c r="AB1843" s="230"/>
    </row>
    <row r="1844">
      <c r="O1844" s="230"/>
      <c r="R1844" s="230"/>
      <c r="S1844" s="230"/>
      <c r="T1844" s="230"/>
      <c r="U1844" s="230"/>
      <c r="V1844" s="230"/>
      <c r="W1844" s="230"/>
      <c r="X1844" s="230"/>
      <c r="Y1844" s="230"/>
      <c r="Z1844" s="230"/>
      <c r="AA1844" s="230"/>
      <c r="AB1844" s="230"/>
    </row>
    <row r="1845">
      <c r="O1845" s="230"/>
      <c r="R1845" s="230"/>
      <c r="S1845" s="230"/>
      <c r="T1845" s="230"/>
      <c r="U1845" s="230"/>
      <c r="V1845" s="230"/>
      <c r="W1845" s="230"/>
      <c r="X1845" s="230"/>
      <c r="Y1845" s="230"/>
      <c r="Z1845" s="230"/>
      <c r="AA1845" s="230"/>
      <c r="AB1845" s="230"/>
    </row>
    <row r="1846">
      <c r="O1846" s="230"/>
      <c r="R1846" s="230"/>
      <c r="S1846" s="230"/>
      <c r="T1846" s="230"/>
      <c r="U1846" s="230"/>
      <c r="V1846" s="230"/>
      <c r="W1846" s="230"/>
      <c r="X1846" s="230"/>
      <c r="Y1846" s="230"/>
      <c r="Z1846" s="230"/>
      <c r="AA1846" s="230"/>
      <c r="AB1846" s="230"/>
    </row>
    <row r="1847">
      <c r="O1847" s="230"/>
      <c r="R1847" s="230"/>
      <c r="S1847" s="230"/>
      <c r="T1847" s="230"/>
      <c r="U1847" s="230"/>
      <c r="V1847" s="230"/>
      <c r="W1847" s="230"/>
      <c r="X1847" s="230"/>
      <c r="Y1847" s="230"/>
      <c r="Z1847" s="230"/>
      <c r="AA1847" s="230"/>
      <c r="AB1847" s="230"/>
    </row>
    <row r="1848">
      <c r="O1848" s="230"/>
      <c r="R1848" s="230"/>
      <c r="S1848" s="230"/>
      <c r="T1848" s="230"/>
      <c r="U1848" s="230"/>
      <c r="V1848" s="230"/>
      <c r="W1848" s="230"/>
      <c r="X1848" s="230"/>
      <c r="Y1848" s="230"/>
      <c r="Z1848" s="230"/>
      <c r="AA1848" s="230"/>
      <c r="AB1848" s="230"/>
    </row>
    <row r="1849">
      <c r="O1849" s="230"/>
      <c r="R1849" s="230"/>
      <c r="S1849" s="230"/>
      <c r="T1849" s="230"/>
      <c r="U1849" s="230"/>
      <c r="V1849" s="230"/>
      <c r="W1849" s="230"/>
      <c r="X1849" s="230"/>
      <c r="Y1849" s="230"/>
      <c r="Z1849" s="230"/>
      <c r="AA1849" s="230"/>
      <c r="AB1849" s="230"/>
    </row>
    <row r="1850">
      <c r="O1850" s="230"/>
      <c r="R1850" s="230"/>
      <c r="S1850" s="230"/>
      <c r="T1850" s="230"/>
      <c r="U1850" s="230"/>
      <c r="V1850" s="230"/>
      <c r="W1850" s="230"/>
      <c r="X1850" s="230"/>
      <c r="Y1850" s="230"/>
      <c r="Z1850" s="230"/>
      <c r="AA1850" s="230"/>
      <c r="AB1850" s="230"/>
    </row>
    <row r="1851">
      <c r="O1851" s="230"/>
      <c r="R1851" s="230"/>
      <c r="S1851" s="230"/>
      <c r="T1851" s="230"/>
      <c r="U1851" s="230"/>
      <c r="V1851" s="230"/>
      <c r="W1851" s="230"/>
      <c r="X1851" s="230"/>
      <c r="Y1851" s="230"/>
      <c r="Z1851" s="230"/>
      <c r="AA1851" s="230"/>
      <c r="AB1851" s="230"/>
    </row>
    <row r="1852">
      <c r="O1852" s="230"/>
      <c r="R1852" s="230"/>
      <c r="S1852" s="230"/>
      <c r="T1852" s="230"/>
      <c r="U1852" s="230"/>
      <c r="V1852" s="230"/>
      <c r="W1852" s="230"/>
      <c r="X1852" s="230"/>
      <c r="Y1852" s="230"/>
      <c r="Z1852" s="230"/>
      <c r="AA1852" s="230"/>
      <c r="AB1852" s="230"/>
    </row>
    <row r="1853">
      <c r="O1853" s="230"/>
      <c r="R1853" s="230"/>
      <c r="S1853" s="230"/>
      <c r="T1853" s="230"/>
      <c r="U1853" s="230"/>
      <c r="V1853" s="230"/>
      <c r="W1853" s="230"/>
      <c r="X1853" s="230"/>
      <c r="Y1853" s="230"/>
      <c r="Z1853" s="230"/>
      <c r="AA1853" s="230"/>
      <c r="AB1853" s="230"/>
    </row>
    <row r="1854">
      <c r="O1854" s="230"/>
      <c r="R1854" s="230"/>
      <c r="S1854" s="230"/>
      <c r="T1854" s="230"/>
      <c r="U1854" s="230"/>
      <c r="V1854" s="230"/>
      <c r="W1854" s="230"/>
      <c r="X1854" s="230"/>
      <c r="Y1854" s="230"/>
      <c r="Z1854" s="230"/>
      <c r="AA1854" s="230"/>
      <c r="AB1854" s="230"/>
    </row>
    <row r="1855">
      <c r="O1855" s="230"/>
      <c r="R1855" s="230"/>
      <c r="S1855" s="230"/>
      <c r="T1855" s="230"/>
      <c r="U1855" s="230"/>
      <c r="V1855" s="230"/>
      <c r="W1855" s="230"/>
      <c r="X1855" s="230"/>
      <c r="Y1855" s="230"/>
      <c r="Z1855" s="230"/>
      <c r="AA1855" s="230"/>
      <c r="AB1855" s="230"/>
    </row>
    <row r="1856">
      <c r="O1856" s="230"/>
      <c r="R1856" s="230"/>
      <c r="S1856" s="230"/>
      <c r="T1856" s="230"/>
      <c r="U1856" s="230"/>
      <c r="V1856" s="230"/>
      <c r="W1856" s="230"/>
      <c r="X1856" s="230"/>
      <c r="Y1856" s="230"/>
      <c r="Z1856" s="230"/>
      <c r="AA1856" s="230"/>
      <c r="AB1856" s="230"/>
    </row>
    <row r="1857">
      <c r="O1857" s="230"/>
      <c r="R1857" s="230"/>
      <c r="S1857" s="230"/>
      <c r="T1857" s="230"/>
      <c r="U1857" s="230"/>
      <c r="V1857" s="230"/>
      <c r="W1857" s="230"/>
      <c r="X1857" s="230"/>
      <c r="Y1857" s="230"/>
      <c r="Z1857" s="230"/>
      <c r="AA1857" s="230"/>
      <c r="AB1857" s="230"/>
    </row>
    <row r="1858">
      <c r="O1858" s="230"/>
      <c r="R1858" s="230"/>
      <c r="S1858" s="230"/>
      <c r="T1858" s="230"/>
      <c r="U1858" s="230"/>
      <c r="V1858" s="230"/>
      <c r="W1858" s="230"/>
      <c r="X1858" s="230"/>
      <c r="Y1858" s="230"/>
      <c r="Z1858" s="230"/>
      <c r="AA1858" s="230"/>
      <c r="AB1858" s="230"/>
    </row>
    <row r="1859">
      <c r="O1859" s="230"/>
      <c r="R1859" s="230"/>
      <c r="S1859" s="230"/>
      <c r="T1859" s="230"/>
      <c r="U1859" s="230"/>
      <c r="V1859" s="230"/>
      <c r="W1859" s="230"/>
      <c r="X1859" s="230"/>
      <c r="Y1859" s="230"/>
      <c r="Z1859" s="230"/>
      <c r="AA1859" s="230"/>
      <c r="AB1859" s="230"/>
    </row>
    <row r="1860">
      <c r="O1860" s="230"/>
      <c r="R1860" s="230"/>
      <c r="S1860" s="230"/>
      <c r="T1860" s="230"/>
      <c r="U1860" s="230"/>
      <c r="V1860" s="230"/>
      <c r="W1860" s="230"/>
      <c r="X1860" s="230"/>
      <c r="Y1860" s="230"/>
      <c r="Z1860" s="230"/>
      <c r="AA1860" s="230"/>
      <c r="AB1860" s="230"/>
    </row>
    <row r="1861">
      <c r="O1861" s="230"/>
      <c r="R1861" s="230"/>
      <c r="S1861" s="230"/>
      <c r="T1861" s="230"/>
      <c r="U1861" s="230"/>
      <c r="V1861" s="230"/>
      <c r="W1861" s="230"/>
      <c r="X1861" s="230"/>
      <c r="Y1861" s="230"/>
      <c r="Z1861" s="230"/>
      <c r="AA1861" s="230"/>
      <c r="AB1861" s="230"/>
    </row>
    <row r="1862">
      <c r="O1862" s="230"/>
      <c r="R1862" s="230"/>
      <c r="S1862" s="230"/>
      <c r="T1862" s="230"/>
      <c r="U1862" s="230"/>
      <c r="V1862" s="230"/>
      <c r="W1862" s="230"/>
      <c r="X1862" s="230"/>
      <c r="Y1862" s="230"/>
      <c r="Z1862" s="230"/>
      <c r="AA1862" s="230"/>
      <c r="AB1862" s="230"/>
    </row>
    <row r="1863">
      <c r="O1863" s="230"/>
      <c r="R1863" s="230"/>
      <c r="S1863" s="230"/>
      <c r="T1863" s="230"/>
      <c r="U1863" s="230"/>
      <c r="V1863" s="230"/>
      <c r="W1863" s="230"/>
      <c r="X1863" s="230"/>
      <c r="Y1863" s="230"/>
      <c r="Z1863" s="230"/>
      <c r="AA1863" s="230"/>
      <c r="AB1863" s="230"/>
    </row>
    <row r="1864">
      <c r="O1864" s="230"/>
      <c r="R1864" s="230"/>
      <c r="S1864" s="230"/>
      <c r="T1864" s="230"/>
      <c r="U1864" s="230"/>
      <c r="V1864" s="230"/>
      <c r="W1864" s="230"/>
      <c r="X1864" s="230"/>
      <c r="Y1864" s="230"/>
      <c r="Z1864" s="230"/>
      <c r="AA1864" s="230"/>
      <c r="AB1864" s="230"/>
    </row>
    <row r="1865">
      <c r="O1865" s="230"/>
      <c r="R1865" s="230"/>
      <c r="S1865" s="230"/>
      <c r="T1865" s="230"/>
      <c r="U1865" s="230"/>
      <c r="V1865" s="230"/>
      <c r="W1865" s="230"/>
      <c r="X1865" s="230"/>
      <c r="Y1865" s="230"/>
      <c r="Z1865" s="230"/>
      <c r="AA1865" s="230"/>
      <c r="AB1865" s="230"/>
    </row>
    <row r="1866">
      <c r="O1866" s="230"/>
      <c r="R1866" s="230"/>
      <c r="S1866" s="230"/>
      <c r="T1866" s="230"/>
      <c r="U1866" s="230"/>
      <c r="V1866" s="230"/>
      <c r="W1866" s="230"/>
      <c r="X1866" s="230"/>
      <c r="Y1866" s="230"/>
      <c r="Z1866" s="230"/>
      <c r="AA1866" s="230"/>
      <c r="AB1866" s="230"/>
    </row>
    <row r="1867">
      <c r="O1867" s="230"/>
      <c r="R1867" s="230"/>
      <c r="S1867" s="230"/>
      <c r="T1867" s="230"/>
      <c r="U1867" s="230"/>
      <c r="V1867" s="230"/>
      <c r="W1867" s="230"/>
      <c r="X1867" s="230"/>
      <c r="Y1867" s="230"/>
      <c r="Z1867" s="230"/>
      <c r="AA1867" s="230"/>
      <c r="AB1867" s="230"/>
    </row>
    <row r="1868">
      <c r="O1868" s="230"/>
      <c r="R1868" s="230"/>
      <c r="S1868" s="230"/>
      <c r="T1868" s="230"/>
      <c r="U1868" s="230"/>
      <c r="V1868" s="230"/>
      <c r="W1868" s="230"/>
      <c r="X1868" s="230"/>
      <c r="Y1868" s="230"/>
      <c r="Z1868" s="230"/>
      <c r="AA1868" s="230"/>
      <c r="AB1868" s="230"/>
    </row>
    <row r="1869">
      <c r="O1869" s="230"/>
      <c r="R1869" s="230"/>
      <c r="S1869" s="230"/>
      <c r="T1869" s="230"/>
      <c r="U1869" s="230"/>
      <c r="V1869" s="230"/>
      <c r="W1869" s="230"/>
      <c r="X1869" s="230"/>
      <c r="Y1869" s="230"/>
      <c r="Z1869" s="230"/>
      <c r="AA1869" s="230"/>
      <c r="AB1869" s="230"/>
    </row>
    <row r="1870">
      <c r="O1870" s="230"/>
      <c r="R1870" s="230"/>
      <c r="S1870" s="230"/>
      <c r="T1870" s="230"/>
      <c r="U1870" s="230"/>
      <c r="V1870" s="230"/>
      <c r="W1870" s="230"/>
      <c r="X1870" s="230"/>
      <c r="Y1870" s="230"/>
      <c r="Z1870" s="230"/>
      <c r="AA1870" s="230"/>
      <c r="AB1870" s="230"/>
    </row>
    <row r="1871">
      <c r="O1871" s="230"/>
      <c r="R1871" s="230"/>
      <c r="S1871" s="230"/>
      <c r="T1871" s="230"/>
      <c r="U1871" s="230"/>
      <c r="V1871" s="230"/>
      <c r="W1871" s="230"/>
      <c r="X1871" s="230"/>
      <c r="Y1871" s="230"/>
      <c r="Z1871" s="230"/>
      <c r="AA1871" s="230"/>
      <c r="AB1871" s="230"/>
    </row>
    <row r="1872">
      <c r="O1872" s="230"/>
      <c r="R1872" s="230"/>
      <c r="S1872" s="230"/>
      <c r="T1872" s="230"/>
      <c r="U1872" s="230"/>
      <c r="V1872" s="230"/>
      <c r="W1872" s="230"/>
      <c r="X1872" s="230"/>
      <c r="Y1872" s="230"/>
      <c r="Z1872" s="230"/>
      <c r="AA1872" s="230"/>
      <c r="AB1872" s="230"/>
    </row>
    <row r="1873">
      <c r="O1873" s="230"/>
      <c r="R1873" s="230"/>
      <c r="S1873" s="230"/>
      <c r="T1873" s="230"/>
      <c r="U1873" s="230"/>
      <c r="V1873" s="230"/>
      <c r="W1873" s="230"/>
      <c r="X1873" s="230"/>
      <c r="Y1873" s="230"/>
      <c r="Z1873" s="230"/>
      <c r="AA1873" s="230"/>
      <c r="AB1873" s="230"/>
    </row>
    <row r="1874">
      <c r="O1874" s="230"/>
      <c r="R1874" s="230"/>
      <c r="S1874" s="230"/>
      <c r="T1874" s="230"/>
      <c r="U1874" s="230"/>
      <c r="V1874" s="230"/>
      <c r="W1874" s="230"/>
      <c r="X1874" s="230"/>
      <c r="Y1874" s="230"/>
      <c r="Z1874" s="230"/>
      <c r="AA1874" s="230"/>
      <c r="AB1874" s="230"/>
    </row>
    <row r="1875">
      <c r="O1875" s="230"/>
      <c r="R1875" s="230"/>
      <c r="S1875" s="230"/>
      <c r="T1875" s="230"/>
      <c r="U1875" s="230"/>
      <c r="V1875" s="230"/>
      <c r="W1875" s="230"/>
      <c r="X1875" s="230"/>
      <c r="Y1875" s="230"/>
      <c r="Z1875" s="230"/>
      <c r="AA1875" s="230"/>
      <c r="AB1875" s="230"/>
    </row>
    <row r="1876">
      <c r="O1876" s="230"/>
      <c r="R1876" s="230"/>
      <c r="S1876" s="230"/>
      <c r="T1876" s="230"/>
      <c r="U1876" s="230"/>
      <c r="V1876" s="230"/>
      <c r="W1876" s="230"/>
      <c r="X1876" s="230"/>
      <c r="Y1876" s="230"/>
      <c r="Z1876" s="230"/>
      <c r="AA1876" s="230"/>
      <c r="AB1876" s="230"/>
    </row>
    <row r="1877">
      <c r="O1877" s="230"/>
      <c r="R1877" s="230"/>
      <c r="S1877" s="230"/>
      <c r="T1877" s="230"/>
      <c r="U1877" s="230"/>
      <c r="V1877" s="230"/>
      <c r="W1877" s="230"/>
      <c r="X1877" s="230"/>
      <c r="Y1877" s="230"/>
      <c r="Z1877" s="230"/>
      <c r="AA1877" s="230"/>
      <c r="AB1877" s="230"/>
    </row>
    <row r="1878">
      <c r="O1878" s="230"/>
      <c r="R1878" s="230"/>
      <c r="S1878" s="230"/>
      <c r="T1878" s="230"/>
      <c r="U1878" s="230"/>
      <c r="V1878" s="230"/>
      <c r="W1878" s="230"/>
      <c r="X1878" s="230"/>
      <c r="Y1878" s="230"/>
      <c r="Z1878" s="230"/>
      <c r="AA1878" s="230"/>
      <c r="AB1878" s="230"/>
    </row>
    <row r="1879">
      <c r="O1879" s="230"/>
      <c r="R1879" s="230"/>
      <c r="S1879" s="230"/>
      <c r="T1879" s="230"/>
      <c r="U1879" s="230"/>
      <c r="V1879" s="230"/>
      <c r="W1879" s="230"/>
      <c r="X1879" s="230"/>
      <c r="Y1879" s="230"/>
      <c r="Z1879" s="230"/>
      <c r="AA1879" s="230"/>
      <c r="AB1879" s="230"/>
    </row>
    <row r="1880">
      <c r="O1880" s="230"/>
      <c r="R1880" s="230"/>
      <c r="S1880" s="230"/>
      <c r="T1880" s="230"/>
      <c r="U1880" s="230"/>
      <c r="V1880" s="230"/>
      <c r="W1880" s="230"/>
      <c r="X1880" s="230"/>
      <c r="Y1880" s="230"/>
      <c r="Z1880" s="230"/>
      <c r="AA1880" s="230"/>
      <c r="AB1880" s="230"/>
    </row>
    <row r="1881">
      <c r="O1881" s="230"/>
      <c r="R1881" s="230"/>
      <c r="S1881" s="230"/>
      <c r="T1881" s="230"/>
      <c r="U1881" s="230"/>
      <c r="V1881" s="230"/>
      <c r="W1881" s="230"/>
      <c r="X1881" s="230"/>
      <c r="Y1881" s="230"/>
      <c r="Z1881" s="230"/>
      <c r="AA1881" s="230"/>
      <c r="AB1881" s="230"/>
    </row>
    <row r="1882">
      <c r="O1882" s="230"/>
      <c r="R1882" s="230"/>
      <c r="S1882" s="230"/>
      <c r="T1882" s="230"/>
      <c r="U1882" s="230"/>
      <c r="V1882" s="230"/>
      <c r="W1882" s="230"/>
      <c r="X1882" s="230"/>
      <c r="Y1882" s="230"/>
      <c r="Z1882" s="230"/>
      <c r="AA1882" s="230"/>
      <c r="AB1882" s="230"/>
    </row>
    <row r="1883">
      <c r="O1883" s="230"/>
      <c r="R1883" s="230"/>
      <c r="S1883" s="230"/>
      <c r="T1883" s="230"/>
      <c r="U1883" s="230"/>
      <c r="V1883" s="230"/>
      <c r="W1883" s="230"/>
      <c r="X1883" s="230"/>
      <c r="Y1883" s="230"/>
      <c r="Z1883" s="230"/>
      <c r="AA1883" s="230"/>
      <c r="AB1883" s="230"/>
    </row>
    <row r="1884">
      <c r="O1884" s="230"/>
      <c r="R1884" s="230"/>
      <c r="S1884" s="230"/>
      <c r="T1884" s="230"/>
      <c r="U1884" s="230"/>
      <c r="V1884" s="230"/>
      <c r="W1884" s="230"/>
      <c r="X1884" s="230"/>
      <c r="Y1884" s="230"/>
      <c r="Z1884" s="230"/>
      <c r="AA1884" s="230"/>
      <c r="AB1884" s="230"/>
    </row>
    <row r="1885">
      <c r="O1885" s="230"/>
      <c r="R1885" s="230"/>
      <c r="S1885" s="230"/>
      <c r="T1885" s="230"/>
      <c r="U1885" s="230"/>
      <c r="V1885" s="230"/>
      <c r="W1885" s="230"/>
      <c r="X1885" s="230"/>
      <c r="Y1885" s="230"/>
      <c r="Z1885" s="230"/>
      <c r="AA1885" s="230"/>
      <c r="AB1885" s="230"/>
    </row>
    <row r="1886">
      <c r="O1886" s="230"/>
      <c r="R1886" s="230"/>
      <c r="S1886" s="230"/>
      <c r="T1886" s="230"/>
      <c r="U1886" s="230"/>
      <c r="V1886" s="230"/>
      <c r="W1886" s="230"/>
      <c r="X1886" s="230"/>
      <c r="Y1886" s="230"/>
      <c r="Z1886" s="230"/>
      <c r="AA1886" s="230"/>
      <c r="AB1886" s="230"/>
    </row>
    <row r="1887">
      <c r="O1887" s="230"/>
      <c r="R1887" s="230"/>
      <c r="S1887" s="230"/>
      <c r="T1887" s="230"/>
      <c r="U1887" s="230"/>
      <c r="V1887" s="230"/>
      <c r="W1887" s="230"/>
      <c r="X1887" s="230"/>
      <c r="Y1887" s="230"/>
      <c r="Z1887" s="230"/>
      <c r="AA1887" s="230"/>
      <c r="AB1887" s="230"/>
    </row>
    <row r="1888">
      <c r="O1888" s="230"/>
      <c r="R1888" s="230"/>
      <c r="S1888" s="230"/>
      <c r="T1888" s="230"/>
      <c r="U1888" s="230"/>
      <c r="V1888" s="230"/>
      <c r="W1888" s="230"/>
      <c r="X1888" s="230"/>
      <c r="Y1888" s="230"/>
      <c r="Z1888" s="230"/>
      <c r="AA1888" s="230"/>
      <c r="AB1888" s="230"/>
    </row>
    <row r="1889">
      <c r="O1889" s="230"/>
      <c r="R1889" s="230"/>
      <c r="S1889" s="230"/>
      <c r="T1889" s="230"/>
      <c r="U1889" s="230"/>
      <c r="V1889" s="230"/>
      <c r="W1889" s="230"/>
      <c r="X1889" s="230"/>
      <c r="Y1889" s="230"/>
      <c r="Z1889" s="230"/>
      <c r="AA1889" s="230"/>
      <c r="AB1889" s="230"/>
    </row>
    <row r="1890">
      <c r="O1890" s="230"/>
      <c r="R1890" s="230"/>
      <c r="S1890" s="230"/>
      <c r="T1890" s="230"/>
      <c r="U1890" s="230"/>
      <c r="V1890" s="230"/>
      <c r="W1890" s="230"/>
      <c r="X1890" s="230"/>
      <c r="Y1890" s="230"/>
      <c r="Z1890" s="230"/>
      <c r="AA1890" s="230"/>
      <c r="AB1890" s="230"/>
    </row>
    <row r="1891">
      <c r="O1891" s="230"/>
      <c r="R1891" s="230"/>
      <c r="S1891" s="230"/>
      <c r="T1891" s="230"/>
      <c r="U1891" s="230"/>
      <c r="V1891" s="230"/>
      <c r="W1891" s="230"/>
      <c r="X1891" s="230"/>
      <c r="Y1891" s="230"/>
      <c r="Z1891" s="230"/>
      <c r="AA1891" s="230"/>
      <c r="AB1891" s="230"/>
    </row>
    <row r="1892">
      <c r="O1892" s="230"/>
      <c r="R1892" s="230"/>
      <c r="S1892" s="230"/>
      <c r="T1892" s="230"/>
      <c r="U1892" s="230"/>
      <c r="V1892" s="230"/>
      <c r="W1892" s="230"/>
      <c r="X1892" s="230"/>
      <c r="Y1892" s="230"/>
      <c r="Z1892" s="230"/>
      <c r="AA1892" s="230"/>
      <c r="AB1892" s="230"/>
    </row>
    <row r="1893">
      <c r="O1893" s="230"/>
      <c r="R1893" s="230"/>
      <c r="S1893" s="230"/>
      <c r="T1893" s="230"/>
      <c r="U1893" s="230"/>
      <c r="V1893" s="230"/>
      <c r="W1893" s="230"/>
      <c r="X1893" s="230"/>
      <c r="Y1893" s="230"/>
      <c r="Z1893" s="230"/>
      <c r="AA1893" s="230"/>
      <c r="AB1893" s="230"/>
    </row>
    <row r="1894">
      <c r="O1894" s="230"/>
      <c r="R1894" s="230"/>
      <c r="S1894" s="230"/>
      <c r="T1894" s="230"/>
      <c r="U1894" s="230"/>
      <c r="V1894" s="230"/>
      <c r="W1894" s="230"/>
      <c r="X1894" s="230"/>
      <c r="Y1894" s="230"/>
      <c r="Z1894" s="230"/>
      <c r="AA1894" s="230"/>
      <c r="AB1894" s="230"/>
    </row>
    <row r="1895">
      <c r="O1895" s="230"/>
      <c r="R1895" s="230"/>
      <c r="S1895" s="230"/>
      <c r="T1895" s="230"/>
      <c r="U1895" s="230"/>
      <c r="V1895" s="230"/>
      <c r="W1895" s="230"/>
      <c r="X1895" s="230"/>
      <c r="Y1895" s="230"/>
      <c r="Z1895" s="230"/>
      <c r="AA1895" s="230"/>
      <c r="AB1895" s="230"/>
    </row>
    <row r="1896">
      <c r="O1896" s="230"/>
      <c r="R1896" s="230"/>
      <c r="S1896" s="230"/>
      <c r="T1896" s="230"/>
      <c r="U1896" s="230"/>
      <c r="V1896" s="230"/>
      <c r="W1896" s="230"/>
      <c r="X1896" s="230"/>
      <c r="Y1896" s="230"/>
      <c r="Z1896" s="230"/>
      <c r="AA1896" s="230"/>
      <c r="AB1896" s="230"/>
    </row>
    <row r="1897">
      <c r="O1897" s="230"/>
      <c r="R1897" s="230"/>
      <c r="S1897" s="230"/>
      <c r="T1897" s="230"/>
      <c r="U1897" s="230"/>
      <c r="V1897" s="230"/>
      <c r="W1897" s="230"/>
      <c r="X1897" s="230"/>
      <c r="Y1897" s="230"/>
      <c r="Z1897" s="230"/>
      <c r="AA1897" s="230"/>
      <c r="AB1897" s="230"/>
    </row>
    <row r="1898">
      <c r="O1898" s="230"/>
      <c r="R1898" s="230"/>
      <c r="S1898" s="230"/>
      <c r="T1898" s="230"/>
      <c r="U1898" s="230"/>
      <c r="V1898" s="230"/>
      <c r="W1898" s="230"/>
      <c r="X1898" s="230"/>
      <c r="Y1898" s="230"/>
      <c r="Z1898" s="230"/>
      <c r="AA1898" s="230"/>
      <c r="AB1898" s="230"/>
    </row>
    <row r="1899">
      <c r="O1899" s="230"/>
      <c r="R1899" s="230"/>
      <c r="S1899" s="230"/>
      <c r="T1899" s="230"/>
      <c r="U1899" s="230"/>
      <c r="V1899" s="230"/>
      <c r="W1899" s="230"/>
      <c r="X1899" s="230"/>
      <c r="Y1899" s="230"/>
      <c r="Z1899" s="230"/>
      <c r="AA1899" s="230"/>
      <c r="AB1899" s="230"/>
    </row>
    <row r="1900">
      <c r="O1900" s="230"/>
      <c r="R1900" s="230"/>
      <c r="S1900" s="230"/>
      <c r="T1900" s="230"/>
      <c r="U1900" s="230"/>
      <c r="V1900" s="230"/>
      <c r="W1900" s="230"/>
      <c r="X1900" s="230"/>
      <c r="Y1900" s="230"/>
      <c r="Z1900" s="230"/>
      <c r="AA1900" s="230"/>
      <c r="AB1900" s="230"/>
    </row>
    <row r="1901">
      <c r="O1901" s="230"/>
      <c r="R1901" s="230"/>
      <c r="S1901" s="230"/>
      <c r="T1901" s="230"/>
      <c r="U1901" s="230"/>
      <c r="V1901" s="230"/>
      <c r="W1901" s="230"/>
      <c r="X1901" s="230"/>
      <c r="Y1901" s="230"/>
      <c r="Z1901" s="230"/>
      <c r="AA1901" s="230"/>
      <c r="AB1901" s="230"/>
    </row>
    <row r="1902">
      <c r="O1902" s="230"/>
      <c r="R1902" s="230"/>
      <c r="S1902" s="230"/>
      <c r="T1902" s="230"/>
      <c r="U1902" s="230"/>
      <c r="V1902" s="230"/>
      <c r="W1902" s="230"/>
      <c r="X1902" s="230"/>
      <c r="Y1902" s="230"/>
      <c r="Z1902" s="230"/>
      <c r="AA1902" s="230"/>
      <c r="AB1902" s="230"/>
    </row>
    <row r="1903">
      <c r="O1903" s="230"/>
      <c r="R1903" s="230"/>
      <c r="S1903" s="230"/>
      <c r="T1903" s="230"/>
      <c r="U1903" s="230"/>
      <c r="V1903" s="230"/>
      <c r="W1903" s="230"/>
      <c r="X1903" s="230"/>
      <c r="Y1903" s="230"/>
      <c r="Z1903" s="230"/>
      <c r="AA1903" s="230"/>
      <c r="AB1903" s="230"/>
    </row>
    <row r="1904">
      <c r="O1904" s="230"/>
      <c r="R1904" s="230"/>
      <c r="S1904" s="230"/>
      <c r="T1904" s="230"/>
      <c r="U1904" s="230"/>
      <c r="V1904" s="230"/>
      <c r="W1904" s="230"/>
      <c r="X1904" s="230"/>
      <c r="Y1904" s="230"/>
      <c r="Z1904" s="230"/>
      <c r="AA1904" s="230"/>
      <c r="AB1904" s="230"/>
    </row>
    <row r="1905">
      <c r="O1905" s="230"/>
      <c r="R1905" s="230"/>
      <c r="S1905" s="230"/>
      <c r="T1905" s="230"/>
      <c r="U1905" s="230"/>
      <c r="V1905" s="230"/>
      <c r="W1905" s="230"/>
      <c r="X1905" s="230"/>
      <c r="Y1905" s="230"/>
      <c r="Z1905" s="230"/>
      <c r="AA1905" s="230"/>
      <c r="AB1905" s="230"/>
    </row>
    <row r="1906">
      <c r="O1906" s="230"/>
      <c r="R1906" s="230"/>
      <c r="S1906" s="230"/>
      <c r="T1906" s="230"/>
      <c r="U1906" s="230"/>
      <c r="V1906" s="230"/>
      <c r="W1906" s="230"/>
      <c r="X1906" s="230"/>
      <c r="Y1906" s="230"/>
      <c r="Z1906" s="230"/>
      <c r="AA1906" s="230"/>
      <c r="AB1906" s="230"/>
    </row>
    <row r="1907">
      <c r="O1907" s="230"/>
      <c r="R1907" s="230"/>
      <c r="S1907" s="230"/>
      <c r="T1907" s="230"/>
      <c r="U1907" s="230"/>
      <c r="V1907" s="230"/>
      <c r="W1907" s="230"/>
      <c r="X1907" s="230"/>
      <c r="Y1907" s="230"/>
      <c r="Z1907" s="230"/>
      <c r="AA1907" s="230"/>
      <c r="AB1907" s="230"/>
    </row>
    <row r="1908">
      <c r="O1908" s="230"/>
      <c r="R1908" s="230"/>
      <c r="S1908" s="230"/>
      <c r="T1908" s="230"/>
      <c r="U1908" s="230"/>
      <c r="V1908" s="230"/>
      <c r="W1908" s="230"/>
      <c r="X1908" s="230"/>
      <c r="Y1908" s="230"/>
      <c r="Z1908" s="230"/>
      <c r="AA1908" s="230"/>
      <c r="AB1908" s="230"/>
    </row>
    <row r="1909">
      <c r="O1909" s="230"/>
      <c r="R1909" s="230"/>
      <c r="S1909" s="230"/>
      <c r="T1909" s="230"/>
      <c r="U1909" s="230"/>
      <c r="V1909" s="230"/>
      <c r="W1909" s="230"/>
      <c r="X1909" s="230"/>
      <c r="Y1909" s="230"/>
      <c r="Z1909" s="230"/>
      <c r="AA1909" s="230"/>
      <c r="AB1909" s="230"/>
    </row>
    <row r="1910">
      <c r="O1910" s="230"/>
      <c r="R1910" s="230"/>
      <c r="S1910" s="230"/>
      <c r="T1910" s="230"/>
      <c r="U1910" s="230"/>
      <c r="V1910" s="230"/>
      <c r="W1910" s="230"/>
      <c r="X1910" s="230"/>
      <c r="Y1910" s="230"/>
      <c r="Z1910" s="230"/>
      <c r="AA1910" s="230"/>
      <c r="AB1910" s="230"/>
    </row>
    <row r="1911">
      <c r="O1911" s="230"/>
      <c r="R1911" s="230"/>
      <c r="S1911" s="230"/>
      <c r="T1911" s="230"/>
      <c r="U1911" s="230"/>
      <c r="V1911" s="230"/>
      <c r="W1911" s="230"/>
      <c r="X1911" s="230"/>
      <c r="Y1911" s="230"/>
      <c r="Z1911" s="230"/>
      <c r="AA1911" s="230"/>
      <c r="AB1911" s="230"/>
    </row>
    <row r="1912">
      <c r="O1912" s="230"/>
      <c r="R1912" s="230"/>
      <c r="S1912" s="230"/>
      <c r="T1912" s="230"/>
      <c r="U1912" s="230"/>
      <c r="V1912" s="230"/>
      <c r="W1912" s="230"/>
      <c r="X1912" s="230"/>
      <c r="Y1912" s="230"/>
      <c r="Z1912" s="230"/>
      <c r="AA1912" s="230"/>
      <c r="AB1912" s="230"/>
    </row>
    <row r="1913">
      <c r="O1913" s="230"/>
      <c r="R1913" s="230"/>
      <c r="S1913" s="230"/>
      <c r="T1913" s="230"/>
      <c r="U1913" s="230"/>
      <c r="V1913" s="230"/>
      <c r="W1913" s="230"/>
      <c r="X1913" s="230"/>
      <c r="Y1913" s="230"/>
      <c r="Z1913" s="230"/>
      <c r="AA1913" s="230"/>
      <c r="AB1913" s="230"/>
    </row>
    <row r="1914">
      <c r="O1914" s="230"/>
      <c r="R1914" s="230"/>
      <c r="S1914" s="230"/>
      <c r="T1914" s="230"/>
      <c r="U1914" s="230"/>
      <c r="V1914" s="230"/>
      <c r="W1914" s="230"/>
      <c r="X1914" s="230"/>
      <c r="Y1914" s="230"/>
      <c r="Z1914" s="230"/>
      <c r="AA1914" s="230"/>
      <c r="AB1914" s="230"/>
    </row>
    <row r="1915">
      <c r="O1915" s="230"/>
      <c r="R1915" s="230"/>
      <c r="S1915" s="230"/>
      <c r="T1915" s="230"/>
      <c r="U1915" s="230"/>
      <c r="V1915" s="230"/>
      <c r="W1915" s="230"/>
      <c r="X1915" s="230"/>
      <c r="Y1915" s="230"/>
      <c r="Z1915" s="230"/>
      <c r="AA1915" s="230"/>
      <c r="AB1915" s="230"/>
    </row>
    <row r="1916">
      <c r="O1916" s="230"/>
      <c r="R1916" s="230"/>
      <c r="S1916" s="230"/>
      <c r="T1916" s="230"/>
      <c r="U1916" s="230"/>
      <c r="V1916" s="230"/>
      <c r="W1916" s="230"/>
      <c r="X1916" s="230"/>
      <c r="Y1916" s="230"/>
      <c r="Z1916" s="230"/>
      <c r="AA1916" s="230"/>
      <c r="AB1916" s="230"/>
    </row>
    <row r="1917">
      <c r="O1917" s="230"/>
      <c r="R1917" s="230"/>
      <c r="S1917" s="230"/>
      <c r="T1917" s="230"/>
      <c r="U1917" s="230"/>
      <c r="V1917" s="230"/>
      <c r="W1917" s="230"/>
      <c r="X1917" s="230"/>
      <c r="Y1917" s="230"/>
      <c r="Z1917" s="230"/>
      <c r="AA1917" s="230"/>
      <c r="AB1917" s="230"/>
    </row>
    <row r="1918">
      <c r="O1918" s="230"/>
      <c r="R1918" s="230"/>
      <c r="S1918" s="230"/>
      <c r="T1918" s="230"/>
      <c r="U1918" s="230"/>
      <c r="V1918" s="230"/>
      <c r="W1918" s="230"/>
      <c r="X1918" s="230"/>
      <c r="Y1918" s="230"/>
      <c r="Z1918" s="230"/>
      <c r="AA1918" s="230"/>
      <c r="AB1918" s="230"/>
    </row>
    <row r="1919">
      <c r="O1919" s="230"/>
      <c r="R1919" s="230"/>
      <c r="S1919" s="230"/>
      <c r="T1919" s="230"/>
      <c r="U1919" s="230"/>
      <c r="V1919" s="230"/>
      <c r="W1919" s="230"/>
      <c r="X1919" s="230"/>
      <c r="Y1919" s="230"/>
      <c r="Z1919" s="230"/>
      <c r="AA1919" s="230"/>
      <c r="AB1919" s="230"/>
    </row>
    <row r="1920">
      <c r="O1920" s="230"/>
      <c r="R1920" s="230"/>
      <c r="S1920" s="230"/>
      <c r="T1920" s="230"/>
      <c r="U1920" s="230"/>
      <c r="V1920" s="230"/>
      <c r="W1920" s="230"/>
      <c r="X1920" s="230"/>
      <c r="Y1920" s="230"/>
      <c r="Z1920" s="230"/>
      <c r="AA1920" s="230"/>
      <c r="AB1920" s="230"/>
    </row>
    <row r="1921">
      <c r="O1921" s="230"/>
      <c r="R1921" s="230"/>
      <c r="S1921" s="230"/>
      <c r="T1921" s="230"/>
      <c r="U1921" s="230"/>
      <c r="V1921" s="230"/>
      <c r="W1921" s="230"/>
      <c r="X1921" s="230"/>
      <c r="Y1921" s="230"/>
      <c r="Z1921" s="230"/>
      <c r="AA1921" s="230"/>
      <c r="AB1921" s="230"/>
    </row>
    <row r="1922">
      <c r="O1922" s="230"/>
      <c r="R1922" s="230"/>
      <c r="S1922" s="230"/>
      <c r="T1922" s="230"/>
      <c r="U1922" s="230"/>
      <c r="V1922" s="230"/>
      <c r="W1922" s="230"/>
      <c r="X1922" s="230"/>
      <c r="Y1922" s="230"/>
      <c r="Z1922" s="230"/>
      <c r="AA1922" s="230"/>
      <c r="AB1922" s="230"/>
    </row>
    <row r="1923">
      <c r="O1923" s="230"/>
      <c r="R1923" s="230"/>
      <c r="S1923" s="230"/>
      <c r="T1923" s="230"/>
      <c r="U1923" s="230"/>
      <c r="V1923" s="230"/>
      <c r="W1923" s="230"/>
      <c r="X1923" s="230"/>
      <c r="Y1923" s="230"/>
      <c r="Z1923" s="230"/>
      <c r="AA1923" s="230"/>
      <c r="AB1923" s="230"/>
    </row>
    <row r="1924">
      <c r="O1924" s="230"/>
      <c r="R1924" s="230"/>
      <c r="S1924" s="230"/>
      <c r="T1924" s="230"/>
      <c r="U1924" s="230"/>
      <c r="V1924" s="230"/>
      <c r="W1924" s="230"/>
      <c r="X1924" s="230"/>
      <c r="Y1924" s="230"/>
      <c r="Z1924" s="230"/>
      <c r="AA1924" s="230"/>
      <c r="AB1924" s="230"/>
    </row>
    <row r="1925">
      <c r="O1925" s="230"/>
      <c r="R1925" s="230"/>
      <c r="S1925" s="230"/>
      <c r="T1925" s="230"/>
      <c r="U1925" s="230"/>
      <c r="V1925" s="230"/>
      <c r="W1925" s="230"/>
      <c r="X1925" s="230"/>
      <c r="Y1925" s="230"/>
      <c r="Z1925" s="230"/>
      <c r="AA1925" s="230"/>
      <c r="AB1925" s="230"/>
    </row>
    <row r="1926">
      <c r="O1926" s="230"/>
      <c r="R1926" s="230"/>
      <c r="S1926" s="230"/>
      <c r="T1926" s="230"/>
      <c r="U1926" s="230"/>
      <c r="V1926" s="230"/>
      <c r="W1926" s="230"/>
      <c r="X1926" s="230"/>
      <c r="Y1926" s="230"/>
      <c r="Z1926" s="230"/>
      <c r="AA1926" s="230"/>
      <c r="AB1926" s="230"/>
    </row>
    <row r="1927">
      <c r="O1927" s="230"/>
      <c r="R1927" s="230"/>
      <c r="S1927" s="230"/>
      <c r="T1927" s="230"/>
      <c r="U1927" s="230"/>
      <c r="V1927" s="230"/>
      <c r="W1927" s="230"/>
      <c r="X1927" s="230"/>
      <c r="Y1927" s="230"/>
      <c r="Z1927" s="230"/>
      <c r="AA1927" s="230"/>
      <c r="AB1927" s="230"/>
    </row>
    <row r="1928">
      <c r="O1928" s="230"/>
      <c r="R1928" s="230"/>
      <c r="S1928" s="230"/>
      <c r="T1928" s="230"/>
      <c r="U1928" s="230"/>
      <c r="V1928" s="230"/>
      <c r="W1928" s="230"/>
      <c r="X1928" s="230"/>
      <c r="Y1928" s="230"/>
      <c r="Z1928" s="230"/>
      <c r="AA1928" s="230"/>
      <c r="AB1928" s="230"/>
    </row>
    <row r="1929">
      <c r="O1929" s="230"/>
      <c r="R1929" s="230"/>
      <c r="S1929" s="230"/>
      <c r="T1929" s="230"/>
      <c r="U1929" s="230"/>
      <c r="V1929" s="230"/>
      <c r="W1929" s="230"/>
      <c r="X1929" s="230"/>
      <c r="Y1929" s="230"/>
      <c r="Z1929" s="230"/>
      <c r="AA1929" s="230"/>
      <c r="AB1929" s="230"/>
    </row>
    <row r="1930">
      <c r="O1930" s="230"/>
      <c r="R1930" s="230"/>
      <c r="S1930" s="230"/>
      <c r="T1930" s="230"/>
      <c r="U1930" s="230"/>
      <c r="V1930" s="230"/>
      <c r="W1930" s="230"/>
      <c r="X1930" s="230"/>
      <c r="Y1930" s="230"/>
      <c r="Z1930" s="230"/>
      <c r="AA1930" s="230"/>
      <c r="AB1930" s="230"/>
    </row>
    <row r="1931">
      <c r="O1931" s="230"/>
      <c r="R1931" s="230"/>
      <c r="S1931" s="230"/>
      <c r="T1931" s="230"/>
      <c r="U1931" s="230"/>
      <c r="V1931" s="230"/>
      <c r="W1931" s="230"/>
      <c r="X1931" s="230"/>
      <c r="Y1931" s="230"/>
      <c r="Z1931" s="230"/>
      <c r="AA1931" s="230"/>
      <c r="AB1931" s="230"/>
    </row>
    <row r="1932">
      <c r="O1932" s="230"/>
      <c r="R1932" s="230"/>
      <c r="S1932" s="230"/>
      <c r="T1932" s="230"/>
      <c r="U1932" s="230"/>
      <c r="V1932" s="230"/>
      <c r="W1932" s="230"/>
      <c r="X1932" s="230"/>
      <c r="Y1932" s="230"/>
      <c r="Z1932" s="230"/>
      <c r="AA1932" s="230"/>
      <c r="AB1932" s="230"/>
    </row>
    <row r="1933">
      <c r="O1933" s="230"/>
      <c r="R1933" s="230"/>
      <c r="S1933" s="230"/>
      <c r="T1933" s="230"/>
      <c r="U1933" s="230"/>
      <c r="V1933" s="230"/>
      <c r="W1933" s="230"/>
      <c r="X1933" s="230"/>
      <c r="Y1933" s="230"/>
      <c r="Z1933" s="230"/>
      <c r="AA1933" s="230"/>
      <c r="AB1933" s="230"/>
    </row>
    <row r="1934">
      <c r="O1934" s="230"/>
      <c r="R1934" s="230"/>
      <c r="S1934" s="230"/>
      <c r="T1934" s="230"/>
      <c r="U1934" s="230"/>
      <c r="V1934" s="230"/>
      <c r="W1934" s="230"/>
      <c r="X1934" s="230"/>
      <c r="Y1934" s="230"/>
      <c r="Z1934" s="230"/>
      <c r="AA1934" s="230"/>
      <c r="AB1934" s="230"/>
    </row>
    <row r="1935">
      <c r="O1935" s="230"/>
      <c r="R1935" s="230"/>
      <c r="S1935" s="230"/>
      <c r="T1935" s="230"/>
      <c r="U1935" s="230"/>
      <c r="V1935" s="230"/>
      <c r="W1935" s="230"/>
      <c r="X1935" s="230"/>
      <c r="Y1935" s="230"/>
      <c r="Z1935" s="230"/>
      <c r="AA1935" s="230"/>
      <c r="AB1935" s="230"/>
    </row>
    <row r="1936">
      <c r="O1936" s="230"/>
      <c r="R1936" s="230"/>
      <c r="S1936" s="230"/>
      <c r="T1936" s="230"/>
      <c r="U1936" s="230"/>
      <c r="V1936" s="230"/>
      <c r="W1936" s="230"/>
      <c r="X1936" s="230"/>
      <c r="Y1936" s="230"/>
      <c r="Z1936" s="230"/>
      <c r="AA1936" s="230"/>
      <c r="AB1936" s="230"/>
    </row>
    <row r="1937">
      <c r="O1937" s="230"/>
      <c r="R1937" s="230"/>
      <c r="S1937" s="230"/>
      <c r="T1937" s="230"/>
      <c r="U1937" s="230"/>
      <c r="V1937" s="230"/>
      <c r="W1937" s="230"/>
      <c r="X1937" s="230"/>
      <c r="Y1937" s="230"/>
      <c r="Z1937" s="230"/>
      <c r="AA1937" s="230"/>
      <c r="AB1937" s="230"/>
    </row>
    <row r="1938">
      <c r="O1938" s="230"/>
      <c r="R1938" s="230"/>
      <c r="S1938" s="230"/>
      <c r="T1938" s="230"/>
      <c r="U1938" s="230"/>
      <c r="V1938" s="230"/>
      <c r="W1938" s="230"/>
      <c r="X1938" s="230"/>
      <c r="Y1938" s="230"/>
      <c r="Z1938" s="230"/>
      <c r="AA1938" s="230"/>
      <c r="AB1938" s="230"/>
    </row>
    <row r="1939">
      <c r="O1939" s="230"/>
      <c r="R1939" s="230"/>
      <c r="S1939" s="230"/>
      <c r="T1939" s="230"/>
      <c r="U1939" s="230"/>
      <c r="V1939" s="230"/>
      <c r="W1939" s="230"/>
      <c r="X1939" s="230"/>
      <c r="Y1939" s="230"/>
      <c r="Z1939" s="230"/>
      <c r="AA1939" s="230"/>
      <c r="AB1939" s="230"/>
    </row>
    <row r="1940">
      <c r="O1940" s="230"/>
      <c r="R1940" s="230"/>
      <c r="S1940" s="230"/>
      <c r="T1940" s="230"/>
      <c r="U1940" s="230"/>
      <c r="V1940" s="230"/>
      <c r="W1940" s="230"/>
      <c r="X1940" s="230"/>
      <c r="Y1940" s="230"/>
      <c r="Z1940" s="230"/>
      <c r="AA1940" s="230"/>
      <c r="AB1940" s="230"/>
    </row>
    <row r="1941">
      <c r="O1941" s="230"/>
      <c r="R1941" s="230"/>
      <c r="S1941" s="230"/>
      <c r="T1941" s="230"/>
      <c r="U1941" s="230"/>
      <c r="V1941" s="230"/>
      <c r="W1941" s="230"/>
      <c r="X1941" s="230"/>
      <c r="Y1941" s="230"/>
      <c r="Z1941" s="230"/>
      <c r="AA1941" s="230"/>
      <c r="AB1941" s="230"/>
    </row>
    <row r="1942">
      <c r="O1942" s="230"/>
      <c r="R1942" s="230"/>
      <c r="S1942" s="230"/>
      <c r="T1942" s="230"/>
      <c r="U1942" s="230"/>
      <c r="V1942" s="230"/>
      <c r="W1942" s="230"/>
      <c r="X1942" s="230"/>
      <c r="Y1942" s="230"/>
      <c r="Z1942" s="230"/>
      <c r="AA1942" s="230"/>
      <c r="AB1942" s="230"/>
    </row>
    <row r="1943">
      <c r="O1943" s="230"/>
      <c r="R1943" s="230"/>
      <c r="S1943" s="230"/>
      <c r="T1943" s="230"/>
      <c r="U1943" s="230"/>
      <c r="V1943" s="230"/>
      <c r="W1943" s="230"/>
      <c r="X1943" s="230"/>
      <c r="Y1943" s="230"/>
      <c r="Z1943" s="230"/>
      <c r="AA1943" s="230"/>
      <c r="AB1943" s="230"/>
    </row>
    <row r="1944">
      <c r="O1944" s="230"/>
      <c r="R1944" s="230"/>
      <c r="S1944" s="230"/>
      <c r="T1944" s="230"/>
      <c r="U1944" s="230"/>
      <c r="V1944" s="230"/>
      <c r="W1944" s="230"/>
      <c r="X1944" s="230"/>
      <c r="Y1944" s="230"/>
      <c r="Z1944" s="230"/>
      <c r="AA1944" s="230"/>
      <c r="AB1944" s="230"/>
    </row>
    <row r="1945">
      <c r="O1945" s="230"/>
      <c r="R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</row>
    <row r="1946">
      <c r="O1946" s="230"/>
      <c r="R1946" s="230"/>
      <c r="S1946" s="230"/>
      <c r="T1946" s="230"/>
      <c r="U1946" s="230"/>
      <c r="V1946" s="230"/>
      <c r="W1946" s="230"/>
      <c r="X1946" s="230"/>
      <c r="Y1946" s="230"/>
      <c r="Z1946" s="230"/>
      <c r="AA1946" s="230"/>
      <c r="AB1946" s="230"/>
    </row>
    <row r="1947">
      <c r="O1947" s="230"/>
      <c r="R1947" s="230"/>
      <c r="S1947" s="230"/>
      <c r="T1947" s="230"/>
      <c r="U1947" s="230"/>
      <c r="V1947" s="230"/>
      <c r="W1947" s="230"/>
      <c r="X1947" s="230"/>
      <c r="Y1947" s="230"/>
      <c r="Z1947" s="230"/>
      <c r="AA1947" s="230"/>
      <c r="AB1947" s="230"/>
    </row>
    <row r="1948">
      <c r="O1948" s="230"/>
      <c r="R1948" s="230"/>
      <c r="S1948" s="230"/>
      <c r="T1948" s="230"/>
      <c r="U1948" s="230"/>
      <c r="V1948" s="230"/>
      <c r="W1948" s="230"/>
      <c r="X1948" s="230"/>
      <c r="Y1948" s="230"/>
      <c r="Z1948" s="230"/>
      <c r="AA1948" s="230"/>
      <c r="AB1948" s="230"/>
    </row>
    <row r="1949">
      <c r="O1949" s="230"/>
      <c r="R1949" s="230"/>
      <c r="S1949" s="230"/>
      <c r="T1949" s="230"/>
      <c r="U1949" s="230"/>
      <c r="V1949" s="230"/>
      <c r="W1949" s="230"/>
      <c r="X1949" s="230"/>
      <c r="Y1949" s="230"/>
      <c r="Z1949" s="230"/>
      <c r="AA1949" s="230"/>
      <c r="AB1949" s="230"/>
    </row>
    <row r="1950">
      <c r="O1950" s="230"/>
      <c r="R1950" s="230"/>
      <c r="S1950" s="230"/>
      <c r="T1950" s="230"/>
      <c r="U1950" s="230"/>
      <c r="V1950" s="230"/>
      <c r="W1950" s="230"/>
      <c r="X1950" s="230"/>
      <c r="Y1950" s="230"/>
      <c r="Z1950" s="230"/>
      <c r="AA1950" s="230"/>
      <c r="AB1950" s="230"/>
    </row>
    <row r="1951">
      <c r="O1951" s="230"/>
      <c r="R1951" s="230"/>
      <c r="S1951" s="230"/>
      <c r="T1951" s="230"/>
      <c r="U1951" s="230"/>
      <c r="V1951" s="230"/>
      <c r="W1951" s="230"/>
      <c r="X1951" s="230"/>
      <c r="Y1951" s="230"/>
      <c r="Z1951" s="230"/>
      <c r="AA1951" s="230"/>
      <c r="AB1951" s="230"/>
    </row>
    <row r="1952">
      <c r="O1952" s="230"/>
      <c r="R1952" s="230"/>
      <c r="S1952" s="230"/>
      <c r="T1952" s="230"/>
      <c r="U1952" s="230"/>
      <c r="V1952" s="230"/>
      <c r="W1952" s="230"/>
      <c r="X1952" s="230"/>
      <c r="Y1952" s="230"/>
      <c r="Z1952" s="230"/>
      <c r="AA1952" s="230"/>
      <c r="AB1952" s="230"/>
    </row>
    <row r="1953">
      <c r="O1953" s="230"/>
      <c r="R1953" s="230"/>
      <c r="S1953" s="230"/>
      <c r="T1953" s="230"/>
      <c r="U1953" s="230"/>
      <c r="V1953" s="230"/>
      <c r="W1953" s="230"/>
      <c r="X1953" s="230"/>
      <c r="Y1953" s="230"/>
      <c r="Z1953" s="230"/>
      <c r="AA1953" s="230"/>
      <c r="AB1953" s="230"/>
    </row>
    <row r="1954">
      <c r="O1954" s="230"/>
      <c r="R1954" s="230"/>
      <c r="S1954" s="230"/>
      <c r="T1954" s="230"/>
      <c r="U1954" s="230"/>
      <c r="V1954" s="230"/>
      <c r="W1954" s="230"/>
      <c r="X1954" s="230"/>
      <c r="Y1954" s="230"/>
      <c r="Z1954" s="230"/>
      <c r="AA1954" s="230"/>
      <c r="AB1954" s="230"/>
    </row>
    <row r="1955">
      <c r="O1955" s="230"/>
      <c r="R1955" s="230"/>
      <c r="S1955" s="230"/>
      <c r="T1955" s="230"/>
      <c r="U1955" s="230"/>
      <c r="V1955" s="230"/>
      <c r="W1955" s="230"/>
      <c r="X1955" s="230"/>
      <c r="Y1955" s="230"/>
      <c r="Z1955" s="230"/>
      <c r="AA1955" s="230"/>
      <c r="AB1955" s="230"/>
    </row>
    <row r="1956">
      <c r="O1956" s="230"/>
      <c r="R1956" s="230"/>
      <c r="S1956" s="230"/>
      <c r="T1956" s="230"/>
      <c r="U1956" s="230"/>
      <c r="V1956" s="230"/>
      <c r="W1956" s="230"/>
      <c r="X1956" s="230"/>
      <c r="Y1956" s="230"/>
      <c r="Z1956" s="230"/>
      <c r="AA1956" s="230"/>
      <c r="AB1956" s="230"/>
    </row>
    <row r="1957">
      <c r="O1957" s="230"/>
      <c r="R1957" s="230"/>
      <c r="S1957" s="230"/>
      <c r="T1957" s="230"/>
      <c r="U1957" s="230"/>
      <c r="V1957" s="230"/>
      <c r="W1957" s="230"/>
      <c r="X1957" s="230"/>
      <c r="Y1957" s="230"/>
      <c r="Z1957" s="230"/>
      <c r="AA1957" s="230"/>
      <c r="AB1957" s="230"/>
    </row>
    <row r="1958">
      <c r="O1958" s="230"/>
      <c r="R1958" s="230"/>
      <c r="S1958" s="230"/>
      <c r="T1958" s="230"/>
      <c r="U1958" s="230"/>
      <c r="V1958" s="230"/>
      <c r="W1958" s="230"/>
      <c r="X1958" s="230"/>
      <c r="Y1958" s="230"/>
      <c r="Z1958" s="230"/>
      <c r="AA1958" s="230"/>
      <c r="AB1958" s="230"/>
    </row>
    <row r="1959">
      <c r="O1959" s="230"/>
      <c r="R1959" s="230"/>
      <c r="S1959" s="230"/>
      <c r="T1959" s="230"/>
      <c r="U1959" s="230"/>
      <c r="V1959" s="230"/>
      <c r="W1959" s="230"/>
      <c r="X1959" s="230"/>
      <c r="Y1959" s="230"/>
      <c r="Z1959" s="230"/>
      <c r="AA1959" s="230"/>
      <c r="AB1959" s="230"/>
    </row>
    <row r="1960">
      <c r="O1960" s="230"/>
      <c r="R1960" s="230"/>
      <c r="S1960" s="230"/>
      <c r="T1960" s="230"/>
      <c r="U1960" s="230"/>
      <c r="V1960" s="230"/>
      <c r="W1960" s="230"/>
      <c r="X1960" s="230"/>
      <c r="Y1960" s="230"/>
      <c r="Z1960" s="230"/>
      <c r="AA1960" s="230"/>
      <c r="AB1960" s="230"/>
    </row>
    <row r="1961">
      <c r="O1961" s="230"/>
      <c r="R1961" s="230"/>
      <c r="S1961" s="230"/>
      <c r="T1961" s="230"/>
      <c r="U1961" s="230"/>
      <c r="V1961" s="230"/>
      <c r="W1961" s="230"/>
      <c r="X1961" s="230"/>
      <c r="Y1961" s="230"/>
      <c r="Z1961" s="230"/>
      <c r="AA1961" s="230"/>
      <c r="AB1961" s="230"/>
    </row>
    <row r="1962">
      <c r="O1962" s="230"/>
      <c r="R1962" s="230"/>
      <c r="S1962" s="230"/>
      <c r="T1962" s="230"/>
      <c r="U1962" s="230"/>
      <c r="V1962" s="230"/>
      <c r="W1962" s="230"/>
      <c r="X1962" s="230"/>
      <c r="Y1962" s="230"/>
      <c r="Z1962" s="230"/>
      <c r="AA1962" s="230"/>
      <c r="AB1962" s="230"/>
    </row>
    <row r="1963">
      <c r="O1963" s="230"/>
      <c r="R1963" s="230"/>
      <c r="S1963" s="230"/>
      <c r="T1963" s="230"/>
      <c r="U1963" s="230"/>
      <c r="V1963" s="230"/>
      <c r="W1963" s="230"/>
      <c r="X1963" s="230"/>
      <c r="Y1963" s="230"/>
      <c r="Z1963" s="230"/>
      <c r="AA1963" s="230"/>
      <c r="AB1963" s="230"/>
    </row>
    <row r="1964">
      <c r="O1964" s="230"/>
      <c r="R1964" s="230"/>
      <c r="S1964" s="230"/>
      <c r="T1964" s="230"/>
      <c r="U1964" s="230"/>
      <c r="V1964" s="230"/>
      <c r="W1964" s="230"/>
      <c r="X1964" s="230"/>
      <c r="Y1964" s="230"/>
      <c r="Z1964" s="230"/>
      <c r="AA1964" s="230"/>
      <c r="AB1964" s="230"/>
    </row>
    <row r="1965">
      <c r="O1965" s="230"/>
      <c r="R1965" s="230"/>
      <c r="S1965" s="230"/>
      <c r="T1965" s="230"/>
      <c r="U1965" s="230"/>
      <c r="V1965" s="230"/>
      <c r="W1965" s="230"/>
      <c r="X1965" s="230"/>
      <c r="Y1965" s="230"/>
      <c r="Z1965" s="230"/>
      <c r="AA1965" s="230"/>
      <c r="AB1965" s="230"/>
    </row>
    <row r="1966">
      <c r="O1966" s="230"/>
      <c r="R1966" s="230"/>
      <c r="S1966" s="230"/>
      <c r="T1966" s="230"/>
      <c r="U1966" s="230"/>
      <c r="V1966" s="230"/>
      <c r="W1966" s="230"/>
      <c r="X1966" s="230"/>
      <c r="Y1966" s="230"/>
      <c r="Z1966" s="230"/>
      <c r="AA1966" s="230"/>
      <c r="AB1966" s="230"/>
    </row>
    <row r="1967">
      <c r="O1967" s="230"/>
      <c r="R1967" s="230"/>
      <c r="S1967" s="230"/>
      <c r="T1967" s="230"/>
      <c r="U1967" s="230"/>
      <c r="V1967" s="230"/>
      <c r="W1967" s="230"/>
      <c r="X1967" s="230"/>
      <c r="Y1967" s="230"/>
      <c r="Z1967" s="230"/>
      <c r="AA1967" s="230"/>
      <c r="AB1967" s="230"/>
    </row>
    <row r="1968">
      <c r="O1968" s="230"/>
      <c r="R1968" s="230"/>
      <c r="S1968" s="230"/>
      <c r="T1968" s="230"/>
      <c r="U1968" s="230"/>
      <c r="V1968" s="230"/>
      <c r="W1968" s="230"/>
      <c r="X1968" s="230"/>
      <c r="Y1968" s="230"/>
      <c r="Z1968" s="230"/>
      <c r="AA1968" s="230"/>
      <c r="AB1968" s="230"/>
    </row>
    <row r="1969">
      <c r="O1969" s="230"/>
      <c r="R1969" s="230"/>
      <c r="S1969" s="230"/>
      <c r="T1969" s="230"/>
      <c r="U1969" s="230"/>
      <c r="V1969" s="230"/>
      <c r="W1969" s="230"/>
      <c r="X1969" s="230"/>
      <c r="Y1969" s="230"/>
      <c r="Z1969" s="230"/>
      <c r="AA1969" s="230"/>
      <c r="AB1969" s="230"/>
    </row>
    <row r="1970">
      <c r="O1970" s="230"/>
      <c r="R1970" s="230"/>
      <c r="S1970" s="230"/>
      <c r="T1970" s="230"/>
      <c r="U1970" s="230"/>
      <c r="V1970" s="230"/>
      <c r="W1970" s="230"/>
      <c r="X1970" s="230"/>
      <c r="Y1970" s="230"/>
      <c r="Z1970" s="230"/>
      <c r="AA1970" s="230"/>
      <c r="AB1970" s="230"/>
    </row>
    <row r="1971">
      <c r="O1971" s="230"/>
      <c r="R1971" s="230"/>
      <c r="S1971" s="230"/>
      <c r="T1971" s="230"/>
      <c r="U1971" s="230"/>
      <c r="V1971" s="230"/>
      <c r="W1971" s="230"/>
      <c r="X1971" s="230"/>
      <c r="Y1971" s="230"/>
      <c r="Z1971" s="230"/>
      <c r="AA1971" s="230"/>
      <c r="AB1971" s="230"/>
    </row>
    <row r="1972">
      <c r="O1972" s="230"/>
      <c r="R1972" s="230"/>
      <c r="S1972" s="230"/>
      <c r="T1972" s="230"/>
      <c r="U1972" s="230"/>
      <c r="V1972" s="230"/>
      <c r="W1972" s="230"/>
      <c r="X1972" s="230"/>
      <c r="Y1972" s="230"/>
      <c r="Z1972" s="230"/>
      <c r="AA1972" s="230"/>
      <c r="AB1972" s="230"/>
    </row>
    <row r="1973">
      <c r="O1973" s="230"/>
      <c r="R1973" s="230"/>
      <c r="S1973" s="230"/>
      <c r="T1973" s="230"/>
      <c r="U1973" s="230"/>
      <c r="V1973" s="230"/>
      <c r="W1973" s="230"/>
      <c r="X1973" s="230"/>
      <c r="Y1973" s="230"/>
      <c r="Z1973" s="230"/>
      <c r="AA1973" s="230"/>
      <c r="AB1973" s="230"/>
    </row>
    <row r="1974">
      <c r="O1974" s="230"/>
      <c r="R1974" s="230"/>
      <c r="S1974" s="230"/>
      <c r="T1974" s="230"/>
      <c r="U1974" s="230"/>
      <c r="V1974" s="230"/>
      <c r="W1974" s="230"/>
      <c r="X1974" s="230"/>
      <c r="Y1974" s="230"/>
      <c r="Z1974" s="230"/>
      <c r="AA1974" s="230"/>
      <c r="AB1974" s="230"/>
    </row>
    <row r="1975">
      <c r="O1975" s="230"/>
      <c r="R1975" s="230"/>
      <c r="S1975" s="230"/>
      <c r="T1975" s="230"/>
      <c r="U1975" s="230"/>
      <c r="V1975" s="230"/>
      <c r="W1975" s="230"/>
      <c r="X1975" s="230"/>
      <c r="Y1975" s="230"/>
      <c r="Z1975" s="230"/>
      <c r="AA1975" s="230"/>
      <c r="AB1975" s="230"/>
    </row>
    <row r="1976">
      <c r="O1976" s="230"/>
      <c r="R1976" s="230"/>
      <c r="S1976" s="230"/>
      <c r="T1976" s="230"/>
      <c r="U1976" s="230"/>
      <c r="V1976" s="230"/>
      <c r="W1976" s="230"/>
      <c r="X1976" s="230"/>
      <c r="Y1976" s="230"/>
      <c r="Z1976" s="230"/>
      <c r="AA1976" s="230"/>
      <c r="AB1976" s="230"/>
    </row>
    <row r="1977">
      <c r="O1977" s="230"/>
      <c r="R1977" s="230"/>
      <c r="S1977" s="230"/>
      <c r="T1977" s="230"/>
      <c r="U1977" s="230"/>
      <c r="V1977" s="230"/>
      <c r="W1977" s="230"/>
      <c r="X1977" s="230"/>
      <c r="Y1977" s="230"/>
      <c r="Z1977" s="230"/>
      <c r="AA1977" s="230"/>
      <c r="AB1977" s="230"/>
    </row>
    <row r="1978">
      <c r="O1978" s="230"/>
      <c r="R1978" s="230"/>
      <c r="S1978" s="230"/>
      <c r="T1978" s="230"/>
      <c r="U1978" s="230"/>
      <c r="V1978" s="230"/>
      <c r="W1978" s="230"/>
      <c r="X1978" s="230"/>
      <c r="Y1978" s="230"/>
      <c r="Z1978" s="230"/>
      <c r="AA1978" s="230"/>
      <c r="AB1978" s="230"/>
    </row>
    <row r="1979">
      <c r="O1979" s="230"/>
      <c r="R1979" s="230"/>
      <c r="S1979" s="230"/>
      <c r="T1979" s="230"/>
      <c r="U1979" s="230"/>
      <c r="V1979" s="230"/>
      <c r="W1979" s="230"/>
      <c r="X1979" s="230"/>
      <c r="Y1979" s="230"/>
      <c r="Z1979" s="230"/>
      <c r="AA1979" s="230"/>
      <c r="AB1979" s="230"/>
    </row>
    <row r="1980">
      <c r="O1980" s="230"/>
      <c r="R1980" s="230"/>
      <c r="S1980" s="230"/>
      <c r="T1980" s="230"/>
      <c r="U1980" s="230"/>
      <c r="V1980" s="230"/>
      <c r="W1980" s="230"/>
      <c r="X1980" s="230"/>
      <c r="Y1980" s="230"/>
      <c r="Z1980" s="230"/>
      <c r="AA1980" s="230"/>
      <c r="AB1980" s="230"/>
    </row>
    <row r="1981">
      <c r="O1981" s="230"/>
      <c r="R1981" s="230"/>
      <c r="S1981" s="230"/>
      <c r="T1981" s="230"/>
      <c r="U1981" s="230"/>
      <c r="V1981" s="230"/>
      <c r="W1981" s="230"/>
      <c r="X1981" s="230"/>
      <c r="Y1981" s="230"/>
      <c r="Z1981" s="230"/>
      <c r="AA1981" s="230"/>
      <c r="AB1981" s="230"/>
    </row>
    <row r="1982">
      <c r="O1982" s="230"/>
      <c r="R1982" s="230"/>
      <c r="S1982" s="230"/>
      <c r="T1982" s="230"/>
      <c r="U1982" s="230"/>
      <c r="V1982" s="230"/>
      <c r="W1982" s="230"/>
      <c r="X1982" s="230"/>
      <c r="Y1982" s="230"/>
      <c r="Z1982" s="230"/>
      <c r="AA1982" s="230"/>
      <c r="AB1982" s="230"/>
    </row>
    <row r="1983">
      <c r="O1983" s="230"/>
      <c r="R1983" s="230"/>
      <c r="S1983" s="230"/>
      <c r="T1983" s="230"/>
      <c r="U1983" s="230"/>
      <c r="V1983" s="230"/>
      <c r="W1983" s="230"/>
      <c r="X1983" s="230"/>
      <c r="Y1983" s="230"/>
      <c r="Z1983" s="230"/>
      <c r="AA1983" s="230"/>
      <c r="AB1983" s="230"/>
    </row>
    <row r="1984">
      <c r="O1984" s="230"/>
      <c r="R1984" s="230"/>
      <c r="S1984" s="230"/>
      <c r="T1984" s="230"/>
      <c r="U1984" s="230"/>
      <c r="V1984" s="230"/>
      <c r="W1984" s="230"/>
      <c r="X1984" s="230"/>
      <c r="Y1984" s="230"/>
      <c r="Z1984" s="230"/>
      <c r="AA1984" s="230"/>
      <c r="AB1984" s="230"/>
    </row>
    <row r="1985">
      <c r="O1985" s="230"/>
      <c r="R1985" s="230"/>
      <c r="S1985" s="230"/>
      <c r="T1985" s="230"/>
      <c r="U1985" s="230"/>
      <c r="V1985" s="230"/>
      <c r="W1985" s="230"/>
      <c r="X1985" s="230"/>
      <c r="Y1985" s="230"/>
      <c r="Z1985" s="230"/>
      <c r="AA1985" s="230"/>
      <c r="AB1985" s="230"/>
    </row>
    <row r="1986">
      <c r="O1986" s="230"/>
      <c r="R1986" s="230"/>
      <c r="S1986" s="230"/>
      <c r="T1986" s="230"/>
      <c r="U1986" s="230"/>
      <c r="V1986" s="230"/>
      <c r="W1986" s="230"/>
      <c r="X1986" s="230"/>
      <c r="Y1986" s="230"/>
      <c r="Z1986" s="230"/>
      <c r="AA1986" s="230"/>
      <c r="AB1986" s="230"/>
    </row>
    <row r="1987">
      <c r="O1987" s="230"/>
      <c r="R1987" s="230"/>
      <c r="S1987" s="230"/>
      <c r="T1987" s="230"/>
      <c r="U1987" s="230"/>
      <c r="V1987" s="230"/>
      <c r="W1987" s="230"/>
      <c r="X1987" s="230"/>
      <c r="Y1987" s="230"/>
      <c r="Z1987" s="230"/>
      <c r="AA1987" s="230"/>
      <c r="AB1987" s="230"/>
    </row>
    <row r="1988">
      <c r="O1988" s="230"/>
      <c r="R1988" s="230"/>
      <c r="S1988" s="230"/>
      <c r="T1988" s="230"/>
      <c r="U1988" s="230"/>
      <c r="V1988" s="230"/>
      <c r="W1988" s="230"/>
      <c r="X1988" s="230"/>
      <c r="Y1988" s="230"/>
      <c r="Z1988" s="230"/>
      <c r="AA1988" s="230"/>
      <c r="AB1988" s="230"/>
    </row>
    <row r="1989">
      <c r="O1989" s="230"/>
      <c r="R1989" s="230"/>
      <c r="S1989" s="230"/>
      <c r="T1989" s="230"/>
      <c r="U1989" s="230"/>
      <c r="V1989" s="230"/>
      <c r="W1989" s="230"/>
      <c r="X1989" s="230"/>
      <c r="Y1989" s="230"/>
      <c r="Z1989" s="230"/>
      <c r="AA1989" s="230"/>
      <c r="AB1989" s="230"/>
    </row>
    <row r="1990">
      <c r="O1990" s="230"/>
      <c r="R1990" s="230"/>
      <c r="S1990" s="230"/>
      <c r="T1990" s="230"/>
      <c r="U1990" s="230"/>
      <c r="V1990" s="230"/>
      <c r="W1990" s="230"/>
      <c r="X1990" s="230"/>
      <c r="Y1990" s="230"/>
      <c r="Z1990" s="230"/>
      <c r="AA1990" s="230"/>
      <c r="AB1990" s="230"/>
    </row>
    <row r="1991">
      <c r="O1991" s="230"/>
      <c r="R1991" s="230"/>
      <c r="S1991" s="230"/>
      <c r="T1991" s="230"/>
      <c r="U1991" s="230"/>
      <c r="V1991" s="230"/>
      <c r="W1991" s="230"/>
      <c r="X1991" s="230"/>
      <c r="Y1991" s="230"/>
      <c r="Z1991" s="230"/>
      <c r="AA1991" s="230"/>
      <c r="AB1991" s="230"/>
    </row>
    <row r="1992">
      <c r="O1992" s="230"/>
      <c r="R1992" s="230"/>
      <c r="S1992" s="230"/>
      <c r="T1992" s="230"/>
      <c r="U1992" s="230"/>
      <c r="V1992" s="230"/>
      <c r="W1992" s="230"/>
      <c r="X1992" s="230"/>
      <c r="Y1992" s="230"/>
      <c r="Z1992" s="230"/>
      <c r="AA1992" s="230"/>
      <c r="AB1992" s="230"/>
    </row>
    <row r="1993">
      <c r="O1993" s="230"/>
      <c r="R1993" s="230"/>
      <c r="S1993" s="230"/>
      <c r="T1993" s="230"/>
      <c r="U1993" s="230"/>
      <c r="V1993" s="230"/>
      <c r="W1993" s="230"/>
      <c r="X1993" s="230"/>
      <c r="Y1993" s="230"/>
      <c r="Z1993" s="230"/>
      <c r="AA1993" s="230"/>
      <c r="AB1993" s="230"/>
    </row>
    <row r="1994">
      <c r="O1994" s="230"/>
      <c r="R1994" s="230"/>
      <c r="S1994" s="230"/>
      <c r="T1994" s="230"/>
      <c r="U1994" s="230"/>
      <c r="V1994" s="230"/>
      <c r="W1994" s="230"/>
      <c r="X1994" s="230"/>
      <c r="Y1994" s="230"/>
      <c r="Z1994" s="230"/>
      <c r="AA1994" s="230"/>
      <c r="AB1994" s="230"/>
    </row>
    <row r="1995">
      <c r="O1995" s="230"/>
      <c r="R1995" s="230"/>
      <c r="S1995" s="230"/>
      <c r="T1995" s="230"/>
      <c r="U1995" s="230"/>
      <c r="V1995" s="230"/>
      <c r="W1995" s="230"/>
      <c r="X1995" s="230"/>
      <c r="Y1995" s="230"/>
      <c r="Z1995" s="230"/>
      <c r="AA1995" s="230"/>
      <c r="AB1995" s="230"/>
    </row>
    <row r="1996">
      <c r="O1996" s="230"/>
      <c r="R1996" s="230"/>
      <c r="S1996" s="230"/>
      <c r="T1996" s="230"/>
      <c r="U1996" s="230"/>
      <c r="V1996" s="230"/>
      <c r="W1996" s="230"/>
      <c r="X1996" s="230"/>
      <c r="Y1996" s="230"/>
      <c r="Z1996" s="230"/>
      <c r="AA1996" s="230"/>
      <c r="AB1996" s="230"/>
    </row>
    <row r="1997">
      <c r="O1997" s="230"/>
      <c r="R1997" s="230"/>
      <c r="S1997" s="230"/>
      <c r="T1997" s="230"/>
      <c r="U1997" s="230"/>
      <c r="V1997" s="230"/>
      <c r="W1997" s="230"/>
      <c r="X1997" s="230"/>
      <c r="Y1997" s="230"/>
      <c r="Z1997" s="230"/>
      <c r="AA1997" s="230"/>
      <c r="AB1997" s="230"/>
    </row>
    <row r="1998">
      <c r="O1998" s="230"/>
      <c r="R1998" s="230"/>
      <c r="S1998" s="230"/>
      <c r="T1998" s="230"/>
      <c r="U1998" s="230"/>
      <c r="V1998" s="230"/>
      <c r="W1998" s="230"/>
      <c r="X1998" s="230"/>
      <c r="Y1998" s="230"/>
      <c r="Z1998" s="230"/>
      <c r="AA1998" s="230"/>
      <c r="AB1998" s="230"/>
    </row>
    <row r="1999">
      <c r="O1999" s="230"/>
      <c r="R1999" s="230"/>
      <c r="S1999" s="230"/>
      <c r="T1999" s="230"/>
      <c r="U1999" s="230"/>
      <c r="V1999" s="230"/>
      <c r="W1999" s="230"/>
      <c r="X1999" s="230"/>
      <c r="Y1999" s="230"/>
      <c r="Z1999" s="230"/>
      <c r="AA1999" s="230"/>
      <c r="AB1999" s="230"/>
    </row>
    <row r="2000">
      <c r="O2000" s="230"/>
      <c r="R2000" s="230"/>
      <c r="S2000" s="230"/>
      <c r="T2000" s="230"/>
      <c r="U2000" s="230"/>
      <c r="V2000" s="230"/>
      <c r="W2000" s="230"/>
      <c r="X2000" s="230"/>
      <c r="Y2000" s="230"/>
      <c r="Z2000" s="230"/>
      <c r="AA2000" s="230"/>
      <c r="AB2000" s="230"/>
    </row>
    <row r="2001">
      <c r="O2001" s="230"/>
      <c r="R2001" s="230"/>
      <c r="S2001" s="230"/>
      <c r="T2001" s="230"/>
      <c r="U2001" s="230"/>
      <c r="V2001" s="230"/>
      <c r="W2001" s="230"/>
      <c r="X2001" s="230"/>
      <c r="Y2001" s="230"/>
      <c r="Z2001" s="230"/>
      <c r="AA2001" s="230"/>
      <c r="AB2001" s="230"/>
    </row>
    <row r="2002">
      <c r="O2002" s="230"/>
      <c r="R2002" s="230"/>
      <c r="S2002" s="230"/>
      <c r="T2002" s="230"/>
      <c r="U2002" s="230"/>
      <c r="V2002" s="230"/>
      <c r="W2002" s="230"/>
      <c r="X2002" s="230"/>
      <c r="Y2002" s="230"/>
      <c r="Z2002" s="230"/>
      <c r="AA2002" s="230"/>
      <c r="AB2002" s="230"/>
    </row>
    <row r="2003">
      <c r="O2003" s="230"/>
      <c r="R2003" s="230"/>
      <c r="S2003" s="230"/>
      <c r="T2003" s="230"/>
      <c r="U2003" s="230"/>
      <c r="V2003" s="230"/>
      <c r="W2003" s="230"/>
      <c r="X2003" s="230"/>
      <c r="Y2003" s="230"/>
      <c r="Z2003" s="230"/>
      <c r="AA2003" s="230"/>
      <c r="AB2003" s="230"/>
    </row>
    <row r="2004">
      <c r="O2004" s="230"/>
      <c r="R2004" s="230"/>
      <c r="S2004" s="230"/>
      <c r="T2004" s="230"/>
      <c r="U2004" s="230"/>
      <c r="V2004" s="230"/>
      <c r="W2004" s="230"/>
      <c r="X2004" s="230"/>
      <c r="Y2004" s="230"/>
      <c r="Z2004" s="230"/>
      <c r="AA2004" s="230"/>
      <c r="AB2004" s="230"/>
    </row>
  </sheetData>
  <autoFilter ref="$A$1:$AL$1021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94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18.0</v>
      </c>
      <c r="C3" s="219">
        <v>546.0</v>
      </c>
      <c r="D3" s="216"/>
      <c r="E3" s="212"/>
      <c r="F3" s="217"/>
    </row>
    <row r="4" ht="22.5" customHeight="1">
      <c r="A4" s="218" t="s">
        <v>250</v>
      </c>
      <c r="B4" s="216"/>
      <c r="C4" s="212">
        <v>196.5</v>
      </c>
      <c r="D4" s="216"/>
      <c r="E4" s="212"/>
      <c r="F4" s="220" t="s">
        <v>251</v>
      </c>
    </row>
    <row r="5" ht="22.5" customHeight="1">
      <c r="A5" s="218" t="s">
        <v>252</v>
      </c>
      <c r="B5" s="216"/>
      <c r="C5" s="212">
        <v>15.75</v>
      </c>
      <c r="D5" s="216"/>
      <c r="E5" s="212"/>
      <c r="F5" s="220" t="s">
        <v>251</v>
      </c>
    </row>
    <row r="6" ht="22.5" customHeight="1">
      <c r="A6" s="218" t="s">
        <v>253</v>
      </c>
      <c r="B6" s="216"/>
      <c r="C6" s="212">
        <v>5.0</v>
      </c>
      <c r="D6" s="216"/>
      <c r="E6" s="212"/>
      <c r="F6" s="221" t="s">
        <v>9092</v>
      </c>
    </row>
    <row r="7" ht="22.5" customHeight="1">
      <c r="A7" s="218" t="s">
        <v>255</v>
      </c>
      <c r="B7" s="216">
        <f>SUM('Sprint 8'!O:O)</f>
        <v>408</v>
      </c>
      <c r="C7" s="212">
        <f>ROUND(SUM('Sprint 8'!R:R)/3600,2)</f>
        <v>457.5</v>
      </c>
      <c r="D7" s="216">
        <f>SUMIF('Sprint 8'!J:J, "Done", 'Sprint 8'!O:O)</f>
        <v>100</v>
      </c>
      <c r="E7" s="212">
        <f>ROUND(SUMIF('Sprint 8'!J:J, "Done", 'Sprint 8'!R:R)/3600,2)</f>
        <v>68.5</v>
      </c>
      <c r="F7" s="217"/>
      <c r="K7" s="222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f>IFERROR(__xludf.DUMMYFUNCTION("IFERROR(SUM(FILTER('Sprint 8'!O:O, ('Sprint 8'!P:P = ""mid-sprint""))),0)"),5.0)</f>
        <v>5</v>
      </c>
      <c r="C9" s="212">
        <f>IFERROR(__xludf.DUMMYFUNCTION("ROUND(IFERROR(SUM(FILTER('Sprint 8'!R:R, ('Sprint 8'!P:P = ""mid-sprint"")))/3600,0),2)"),12.0)</f>
        <v>12</v>
      </c>
      <c r="D9" s="212">
        <f>IFERROR(__xludf.DUMMYFUNCTION("IFERROR(SUM(FILTER('Sprint 8'!O:O, (('Sprint 8'!J:J = ""Done"")) * ('Sprint 8'!P:P = ""mid-sprint""))),0)"),0.0)</f>
        <v>0</v>
      </c>
      <c r="E9" s="212">
        <f>IFERROR(__xludf.DUMMYFUNCTION("ROUND(IFERROR(SUM(FILTER('Sprint 8'!R:R, (('Sprint 8'!J:J = ""Done"")) * ('Sprint 8'!P:P = ""mid-sprint"")))/3600,0),2)"),0.0)</f>
        <v>0</v>
      </c>
      <c r="F9" s="225" t="s">
        <v>8691</v>
      </c>
    </row>
    <row r="10" ht="22.5" customHeight="1">
      <c r="A10" s="218" t="s">
        <v>258</v>
      </c>
      <c r="B10" s="212">
        <f>IFERROR(__xludf.DUMMYFUNCTION("IFERROR(SUM(FILTER('Sprint 8'!O:O, ('Sprint 8'!Q:Q = ""change-request""))),0)"),0.0)</f>
        <v>0</v>
      </c>
      <c r="C10" s="212">
        <f>IFERROR(__xludf.DUMMYFUNCTION("ROUND(IFERROR(SUM(FILTER('Sprint 8'!R:R, ('Sprint 8'!Q:Q = ""change-request"")))/3600,0),2)"),0.0)</f>
        <v>0</v>
      </c>
      <c r="D10" s="212">
        <f>IFERROR(__xludf.DUMMYFUNCTION("IFERROR(SUM(FILTER('Sprint 8'!O:O, (('Sprint 8'!J:J = ""Done"")) * ('Sprint 8'!Q:Q = ""change-request""))),0)"),0.0)</f>
        <v>0</v>
      </c>
      <c r="E10" s="212">
        <f>IFERROR(__xludf.DUMMYFUNCTION("ROUND(IFERROR(SUM(FILTER('Sprint 8'!R:R, (('Sprint 8'!J:J = ""Done"")) * ('Sprint 8'!Q:Q = ""change-request"")))/3600,0),2)"),0.0)</f>
        <v>0</v>
      </c>
      <c r="F10" s="225" t="s">
        <v>259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8'!O:O, ('Sprint 8'!E:E = ""Aek:Atiphat Nanthachitvanich""))),0)"),30.0)</f>
        <v>30</v>
      </c>
      <c r="C12" s="223">
        <f>IFERROR(__xludf.DUMMYFUNCTION("ROUND(IFERROR(SUM(FILTER('Sprint 8'!R:R, ('Sprint 8'!E:E = ""Aek:Atiphat Nanthachitvanich"")))/3600,0),2)"),32.5)</f>
        <v>32.5</v>
      </c>
      <c r="D12" s="216">
        <f>IFERROR(__xludf.DUMMYFUNCTION("IFERROR(SUM(FILTER('Sprint 8'!O:O, (('Sprint 8'!J:J = ""Done"")) * ('Sprint 8'!E:E = ""Aek:Atiphat Nanthachitvanich""))),0)"),13.0)</f>
        <v>13</v>
      </c>
      <c r="E12" s="223">
        <f>IFERROR(__xludf.DUMMYFUNCTION("ROUND(IFERROR(SUM(FILTER('Sprint 8'!R:R, (('Sprint 8'!J:J = ""Done"")) * ('Sprint 8'!E:E = ""Aek:Atiphat Nanthachitvanich"")))/3600,0),2)"),16.5)</f>
        <v>16.5</v>
      </c>
      <c r="F12" s="224"/>
    </row>
    <row r="13" ht="22.5" customHeight="1">
      <c r="A13" s="218" t="s">
        <v>32</v>
      </c>
      <c r="B13" s="216">
        <f>IFERROR(__xludf.DUMMYFUNCTION("IFERROR(SUM(FILTER('Sprint 8'!O:O, ('Sprint 8'!E:E = ""A:Phongthorn""))),0)"),32.0)</f>
        <v>32</v>
      </c>
      <c r="C13" s="223">
        <f>IFERROR(__xludf.DUMMYFUNCTION("ROUND(IFERROR(SUM(FILTER('Sprint 8'!R:R, ('Sprint 8'!E:E = ""A:Phongthorn"")))/3600,0),2)"),54.0)</f>
        <v>54</v>
      </c>
      <c r="D13" s="216">
        <f>IFERROR(__xludf.DUMMYFUNCTION("IFERROR(SUM(FILTER('Sprint 8'!O:O, (('Sprint 8'!J:J = ""Done"")) * ('Sprint 8'!E:E = ""A:Phongthorn""))),0)"),3.0)</f>
        <v>3</v>
      </c>
      <c r="E13" s="223">
        <f>IFERROR(__xludf.DUMMYFUNCTION("ROUND(IFERROR(SUM(FILTER('Sprint 8'!R:R, (('Sprint 8'!J:J = ""Done"")) * ('Sprint 8'!E:E = ""A:Phongthorn"")))/3600,0),2)"),0.0)</f>
        <v>0</v>
      </c>
      <c r="F13" s="224"/>
    </row>
    <row r="14" ht="22.5" customHeight="1">
      <c r="A14" s="218" t="s">
        <v>72</v>
      </c>
      <c r="B14" s="216">
        <f>IFERROR(__xludf.DUMMYFUNCTION("IFERROR(SUM(FILTER('Sprint 8'!O:O, ('Sprint 8'!E:E = ""Aom: Pornsawan Polnyiem""))),0)"),35.0)</f>
        <v>35</v>
      </c>
      <c r="C14" s="223">
        <f>IFERROR(__xludf.DUMMYFUNCTION("ROUND(IFERROR(SUM(FILTER('Sprint 8'!R:R, ('Sprint 8'!E:E = ""Aom: Pornsawan Polnyiem"")))/3600,0),2)"),27.0)</f>
        <v>27</v>
      </c>
      <c r="D14" s="216">
        <f>IFERROR(__xludf.DUMMYFUNCTION("IFERROR(SUM(FILTER('Sprint 8'!O:O, (('Sprint 8'!J:J = ""Done"")) * ('Sprint 8'!E:E = ""Aom: Pornsawan Polnyiem""))),0)"),11.0)</f>
        <v>11</v>
      </c>
      <c r="E14" s="223">
        <f>IFERROR(__xludf.DUMMYFUNCTION("ROUND(IFERROR(SUM(FILTER('Sprint 8'!R:R, (('Sprint 8'!J:J = ""Done"")) * ('Sprint 8'!E:E = ""Aom: Pornsawan Polnyiem"")))/3600,0),2)"),7.0)</f>
        <v>7</v>
      </c>
      <c r="F14" s="224"/>
    </row>
    <row r="15" ht="22.5" customHeight="1">
      <c r="A15" s="218" t="s">
        <v>24</v>
      </c>
      <c r="B15" s="216">
        <f>IFERROR(__xludf.DUMMYFUNCTION("IFERROR(SUM(FILTER('Sprint 8'!O:O, ('Sprint 8'!E:E = ""Zan : Isarapong Bulan""))),0)"),25.0)</f>
        <v>25</v>
      </c>
      <c r="C15" s="223">
        <f>IFERROR(__xludf.DUMMYFUNCTION("ROUND(IFERROR(SUM(FILTER('Sprint 8'!R:R, ('Sprint 8'!E:E = ""Zan : Isarapong Bulan"")))/3600,0),2)"),35.0)</f>
        <v>35</v>
      </c>
      <c r="D15" s="216">
        <f>IFERROR(__xludf.DUMMYFUNCTION("IFERROR(SUM(FILTER('Sprint 8'!O:O, (('Sprint 8'!J:J = ""Done"")) * ('Sprint 8'!E:E = ""Zan : Isarapong Bulan""))),0)"),5.0)</f>
        <v>5</v>
      </c>
      <c r="E15" s="223">
        <f>IFERROR(__xludf.DUMMYFUNCTION("ROUND(IFERROR(SUM(FILTER('Sprint 8'!R:R, (('Sprint 8'!J:J = ""Done"")) * ('Sprint 8'!E:E = ""Zan : Isarapong Bulan"")))/3600,0),2)"),3.0)</f>
        <v>3</v>
      </c>
      <c r="F15" s="224"/>
    </row>
    <row r="16" ht="22.5" customHeight="1">
      <c r="A16" s="218" t="s">
        <v>73</v>
      </c>
      <c r="B16" s="216">
        <f>IFERROR(__xludf.DUMMYFUNCTION("IFERROR(SUM(FILTER('Sprint 8'!O:O, ('Sprint 8'!E:E = ""Mai:Sateta Abvanawong""))),0)"),48.0)</f>
        <v>48</v>
      </c>
      <c r="C16" s="223">
        <f>IFERROR(__xludf.DUMMYFUNCTION("ROUND(IFERROR(SUM(FILTER('Sprint 8'!R:R, ('Sprint 8'!E:E = ""Mai:Sateta Abvanawong"")))/3600,0),2)"),38.0)</f>
        <v>38</v>
      </c>
      <c r="D16" s="216">
        <f>IFERROR(__xludf.DUMMYFUNCTION("IFERROR(SUM(FILTER('Sprint 8'!O:O, (('Sprint 8'!J:J = ""Done"")) * ('Sprint 8'!E:E = ""Mai:Sateta Abvanawong""))),0)"),11.0)</f>
        <v>11</v>
      </c>
      <c r="E16" s="223">
        <f>IFERROR(__xludf.DUMMYFUNCTION("ROUND(IFERROR(SUM(FILTER('Sprint 8'!R:R, (('Sprint 8'!J:J = ""Done"")) * ('Sprint 8'!E:E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8'!O:O, ('Sprint 8'!E:E = ""Mac: Jarupong Pawichpongkul""))),0)"),51.0)</f>
        <v>51</v>
      </c>
      <c r="C17" s="223">
        <f>IFERROR(__xludf.DUMMYFUNCTION("ROUND(IFERROR(SUM(FILTER('Sprint 8'!R:R, ('Sprint 8'!E:E = ""Mac: Jarupong Pawichpongkul"")))/3600,0),2)"),43.0)</f>
        <v>43</v>
      </c>
      <c r="D17" s="216">
        <f>IFERROR(__xludf.DUMMYFUNCTION("IFERROR(SUM(FILTER('Sprint 8'!O:O, (('Sprint 8'!J:J = ""Done"")) * ('Sprint 8'!E:E = ""Mac: Jarupong Pawichpongkul""))),0)"),16.0)</f>
        <v>16</v>
      </c>
      <c r="E17" s="223">
        <f>IFERROR(__xludf.DUMMYFUNCTION("ROUND(IFERROR(SUM(FILTER('Sprint 8'!R:R, (('Sprint 8'!J:J = ""Done"")) * ('Sprint 8'!E:E = ""Mac: Jarupong Pawichpongkul"")))/3600,0),2)"),8.0)</f>
        <v>8</v>
      </c>
      <c r="F17" s="224"/>
    </row>
    <row r="18" ht="22.5" customHeight="1">
      <c r="A18" s="218" t="s">
        <v>75</v>
      </c>
      <c r="B18" s="216">
        <f>IFERROR(__xludf.DUMMYFUNCTION("IFERROR(SUM(FILTER('Sprint 8'!O:O, ('Sprint 8'!E:E = ""Moss : Kittapath Sangvikukit""))),0)"),52.0)</f>
        <v>52</v>
      </c>
      <c r="C18" s="223">
        <f>IFERROR(__xludf.DUMMYFUNCTION("ROUND(IFERROR(SUM(FILTER('Sprint 8'!R:R, ('Sprint 8'!E:E = ""Moss : Kittapath Sangvikukit"")))/3600,0),2)"),76.0)</f>
        <v>76</v>
      </c>
      <c r="D18" s="216">
        <f>IFERROR(__xludf.DUMMYFUNCTION("IFERROR(SUM(FILTER('Sprint 8'!O:O, (('Sprint 8'!J:J = ""Done"")) * ('Sprint 8'!E:E = ""Moss : Kittapath Sangvikukit""))),0)"),15.0)</f>
        <v>15</v>
      </c>
      <c r="E18" s="223">
        <f>IFERROR(__xludf.DUMMYFUNCTION("ROUND(IFERROR(SUM(FILTER('Sprint 8'!R:R, (('Sprint 8'!J:J = ""Done"")) * ('Sprint 8'!E:E = ""Moss : Kittapath Sangvikukit"")))/3600,0),2)"),16.0)</f>
        <v>16</v>
      </c>
      <c r="F18" s="224"/>
    </row>
    <row r="19" ht="22.5" customHeight="1">
      <c r="A19" s="218" t="s">
        <v>28</v>
      </c>
      <c r="B19" s="216">
        <f>IFERROR(__xludf.DUMMYFUNCTION("IFERROR(SUM(FILTER('Sprint 8'!O:O, ('Sprint 8'!E:E = ""Jack: Warin Kesorn""))),0)"),36.0)</f>
        <v>36</v>
      </c>
      <c r="C19" s="223">
        <f>IFERROR(__xludf.DUMMYFUNCTION("ROUND(IFERROR(SUM(FILTER('Sprint 8'!R:R, ('Sprint 8'!E:E = ""Jack: Warin Kesorn"")))/3600,0),2)"),42.0)</f>
        <v>42</v>
      </c>
      <c r="D19" s="216">
        <f>IFERROR(__xludf.DUMMYFUNCTION("IFERROR(SUM(FILTER('Sprint 8'!O:O, (('Sprint 8'!J:J = ""Done"")) * ('Sprint 8'!E:E = ""Jack: Warin Kesorn""))),0)"),16.0)</f>
        <v>16</v>
      </c>
      <c r="E19" s="223">
        <f>IFERROR(__xludf.DUMMYFUNCTION("ROUND(IFERROR(SUM(FILTER('Sprint 8'!R:R, (('Sprint 8'!J:J = ""Done"")) * ('Sprint 8'!E:E = ""Jack: Warin Kesorn"")))/3600,0),2)"),18.0)</f>
        <v>18</v>
      </c>
      <c r="F19" s="224"/>
    </row>
    <row r="20" ht="22.5" customHeight="1">
      <c r="A20" s="218" t="s">
        <v>3616</v>
      </c>
      <c r="B20" s="216">
        <f>IFERROR(__xludf.DUMMYFUNCTION("IFERROR(SUM(FILTER('Sprint 8'!O:O, ('Sprint 8'!E:E = ""Art_narupontp""))),0)"),28.0)</f>
        <v>28</v>
      </c>
      <c r="C20" s="223">
        <f>IFERROR(__xludf.DUMMYFUNCTION("ROUND(IFERROR(SUM(FILTER('Sprint 8'!R:R, ('Sprint 8'!E:E = ""Art_narupontp"")))/3600,0),2)"),22.0)</f>
        <v>22</v>
      </c>
      <c r="D20" s="216">
        <f>IFERROR(__xludf.DUMMYFUNCTION("IFERROR(SUM(FILTER('Sprint 8'!O:O, (('Sprint 8'!J:J = ""Done"")) * ('Sprint 8'!E:E = ""Art_narupontp""))),0)"),10.0)</f>
        <v>10</v>
      </c>
      <c r="E20" s="223">
        <f>IFERROR(__xludf.DUMMYFUNCTION("ROUND(IFERROR(SUM(FILTER('Sprint 8'!R:R, (('Sprint 8'!J:J = ""Done"")) * ('Sprint 8'!E:E = ""Art_narupontp"")))/3600,0),2)"),0.0)</f>
        <v>0</v>
      </c>
      <c r="F20" s="224"/>
    </row>
    <row r="21" ht="22.5" customHeight="1">
      <c r="A21" s="218" t="s">
        <v>3617</v>
      </c>
      <c r="B21" s="216">
        <f>IFERROR(__xludf.DUMMYFUNCTION("IFERROR(SUM(FILTER('Sprint 8'!O:O, ('Sprint 8'!E:E = ""Kae: Pimonrath Jaiyen""))),0)"),28.0)</f>
        <v>28</v>
      </c>
      <c r="C21" s="223">
        <f>IFERROR(__xludf.DUMMYFUNCTION("ROUND(IFERROR(SUM(FILTER('Sprint 8'!R:R, ('Sprint 8'!E:E = ""Kae: Pimonrath Jaiyen"")))/3600,0),2)"),44.0)</f>
        <v>44</v>
      </c>
      <c r="D21" s="216">
        <f>IFERROR(__xludf.DUMMYFUNCTION("IFERROR(SUM(FILTER('Sprint 8'!O:O, (('Sprint 8'!J:J = ""Done"")) * ('Sprint 8'!E:E = ""Kae: Pimonrath Jaiyen""))),0)"),0.0)</f>
        <v>0</v>
      </c>
      <c r="E21" s="223">
        <f>IFERROR(__xludf.DUMMYFUNCTION("ROUND(IFERROR(SUM(FILTER('Sprint 8'!R:R, (('Sprint 8'!J:J = ""Done"")) * ('Sprint 8'!E:E = ""Kae: Pimonrath Jaiyen"")))/3600,0),2)"),0.0)</f>
        <v>0</v>
      </c>
      <c r="F21" s="224"/>
    </row>
    <row r="22" ht="22.5" customHeight="1">
      <c r="A22" s="218" t="s">
        <v>76</v>
      </c>
      <c r="B22" s="216">
        <f>IFERROR(__xludf.DUMMYFUNCTION("IFERROR(SUM(FILTER('Sprint 8'!O:O, ('Sprint 8'!E:E = ""Nim : muthita munmueang""))),0)"),35.0)</f>
        <v>35</v>
      </c>
      <c r="C22" s="223">
        <f>IFERROR(__xludf.DUMMYFUNCTION("ROUND(IFERROR(SUM(FILTER('Sprint 8'!R:R, ('Sprint 8'!E:E = ""Nim : muthita munmueang"")))/3600,0),2)"),44.0)</f>
        <v>44</v>
      </c>
      <c r="D22" s="216">
        <f>IFERROR(__xludf.DUMMYFUNCTION("IFERROR(SUM(FILTER('Sprint 8'!O:O, (('Sprint 8'!J:J = ""Done"")) * ('Sprint 8'!E:E = ""Nim : muthita munmueang""))),0)"),0.0)</f>
        <v>0</v>
      </c>
      <c r="E22" s="223">
        <f>IFERROR(__xludf.DUMMYFUNCTION("ROUND(IFERROR(SUM(FILTER('Sprint 8'!R:R, (('Sprint 8'!J:J = ""Done"")) * ('Sprint 8'!E:E = ""Nim : muthita munmueang"")))/3600,0),2)"),0.0)</f>
        <v>0</v>
      </c>
      <c r="F22" s="224"/>
    </row>
    <row r="23">
      <c r="C23" s="125"/>
    </row>
    <row r="24">
      <c r="C24" s="125"/>
    </row>
    <row r="25" ht="24.7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42" t="s">
        <v>3615</v>
      </c>
      <c r="J25" s="234"/>
      <c r="K25" s="234"/>
      <c r="L25" s="235"/>
    </row>
    <row r="26" ht="20.25" customHeight="1">
      <c r="A26" s="239" t="s">
        <v>2214</v>
      </c>
      <c r="B26" s="243" t="s">
        <v>30</v>
      </c>
      <c r="C26" s="243" t="s">
        <v>24</v>
      </c>
      <c r="D26" s="243" t="s">
        <v>72</v>
      </c>
      <c r="E26" s="243" t="s">
        <v>28</v>
      </c>
      <c r="F26" s="243" t="s">
        <v>32</v>
      </c>
      <c r="G26" s="243" t="s">
        <v>3616</v>
      </c>
      <c r="H26" s="243" t="s">
        <v>73</v>
      </c>
      <c r="I26" s="243" t="s">
        <v>3617</v>
      </c>
      <c r="J26" s="243" t="s">
        <v>74</v>
      </c>
      <c r="K26" s="243" t="s">
        <v>76</v>
      </c>
      <c r="L26" s="243" t="s">
        <v>75</v>
      </c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101" t="s">
        <v>4665</v>
      </c>
      <c r="B27" s="99">
        <f>IFERROR(__xludf.DUMMYFUNCTION("IFERROR(
  SUM(
    FILTER(
      'Sprint 8'!O:O,
      ('Sprint 8'!E:E = ""Aek:Atiphat Nanthachitvanich"") *
      (LEFT('Sprint 8'!B:B,7) = ""RDTHANA"")
    )
  ),
0)"),6.0)</f>
        <v>6</v>
      </c>
      <c r="C27" s="99">
        <f>IFERROR(__xludf.DUMMYFUNCTION("IFERROR(
  SUM(
    FILTER(
      'Sprint 8'!O:O,
      ('Sprint 8'!E:E = ""Zan : Isarapong Bulan"") *
      (LEFT('Sprint 8'!B:B,7) = ""RDTHANA"")
    )
  ),
0)"),7.0)</f>
        <v>7</v>
      </c>
      <c r="D27" s="99">
        <f>IFERROR(__xludf.DUMMYFUNCTION("IFERROR(
  SUM(
    FILTER(
      'Sprint 8'!O:O,
      ('Sprint 8'!E:E = ""Aom: Pornsawan Polnyiem"") *
      (LEFT('Sprint 8'!B:B,7) = ""RDTHANA"")
    )
  ),
0)"),1.0)</f>
        <v>1</v>
      </c>
      <c r="E27" s="99">
        <f>IFERROR(__xludf.DUMMYFUNCTION("IFERROR(
  SUM(
    FILTER(
      'Sprint 8'!O:O,
      ('Sprint 8'!E:E = ""Jack: Warin Kesorn"") *
      (LEFT('Sprint 8'!B:B,7) = ""RDTHANA"")
    )
  ),
0)"),18.0)</f>
        <v>18</v>
      </c>
      <c r="F27" s="99">
        <f>IFERROR(__xludf.DUMMYFUNCTION("IFERROR(
  SUM(
    FILTER(
      'Sprint 8'!O:O,
      ('Sprint 8'!E:E = ""A:Phongthorn"") *
      (LEFT('Sprint 8'!B:B,7) = ""RDTHANA"")
    )
  ),
0)"),22.0)</f>
        <v>22</v>
      </c>
      <c r="G27" s="99">
        <f>IFERROR(__xludf.DUMMYFUNCTION("IFERROR(
  SUM(
    FILTER(
      'Sprint 8'!O:O,
      ('Sprint 8'!E:E = ""Art_narupontp"") *
      (LEFT('Sprint 8'!B:B,7) = ""RDTHANA"")
    )
  ),
0)"),23.0)</f>
        <v>23</v>
      </c>
      <c r="H27" s="99">
        <f>IFERROR(__xludf.DUMMYFUNCTION("IFERROR(
  SUM(
    FILTER(
      'Sprint 8'!O:O,
      ('Sprint 8'!E:E = ""Mai:Sateta Abvanawong"") *
      (LEFT('Sprint 8'!B:B,7) = ""RDTHANA"")
    )
  ),
0)"),43.0)</f>
        <v>43</v>
      </c>
      <c r="I27" s="99">
        <f>IFERROR(__xludf.DUMMYFUNCTION("IFERROR(
  SUM(
    FILTER(
      'Sprint 8'!O:O,
      ('Sprint 8'!E:E = ""Kae: Pimonrath Jaiyen"") *
      (LEFT('Sprint 8'!B:B,7) = ""RDTHANA"")
    )
  ),
0)"),18.0)</f>
        <v>18</v>
      </c>
      <c r="J27" s="99">
        <f>IFERROR(__xludf.DUMMYFUNCTION("IFERROR(
  SUM(
    FILTER(
      'Sprint 8'!O:O,
      ('Sprint 8'!E:E = ""Mac: Jarupong Pawichpongkul"") *
      (LEFT('Sprint 8'!B:B,7) = ""RDTHANA"")
    )
  ),
0)"),46.0)</f>
        <v>46</v>
      </c>
      <c r="K27" s="99">
        <f>IFERROR(__xludf.DUMMYFUNCTION("IFERROR(
  SUM(
    FILTER(
      'Sprint 8'!O:O,
      ('Sprint 8'!E:E = ""Nim : muthita munmueang"") *
      (LEFT('Sprint 8'!B:B,7) = ""RDTHANA"")
    )
  ),
0)"),30.0)</f>
        <v>30</v>
      </c>
      <c r="L27" s="99">
        <f>IFERROR(__xludf.DUMMYFUNCTION("IFERROR(
  SUM(
    FILTER(
      'Sprint 8'!O:O,
      ('Sprint 8'!E:E = ""Moss : Kittapath Sangvikukit"") *
      (LEFT('Sprint 8'!B:B,7) = ""RDTHANA"")
    )
  ),
0)"),36.0)</f>
        <v>36</v>
      </c>
    </row>
    <row r="28">
      <c r="A28" s="101" t="s">
        <v>4666</v>
      </c>
      <c r="B28" s="99">
        <f>IFERROR(__xludf.DUMMYFUNCTION("IFERROR(
  SUM(
    FILTER(
      'Sprint 8'!O:O,
      ('Sprint 8'!E:E = ""Aek:Atiphat Nanthachitvanich"") *
      (LEFT('Sprint 8'!B:B,9) = ""DEVRDECOM"")
    )
  ),
0)"),24.0)</f>
        <v>24</v>
      </c>
      <c r="C28" s="99">
        <f>IFERROR(__xludf.DUMMYFUNCTION("IFERROR(
  SUM(
    FILTER(
      'Sprint 8'!O:O,
      ('Sprint 8'!E:E = ""Zan : Isarapong Bulan"") *
      (LEFT('Sprint 8'!B:B,9) = ""DEVRDECOM"")
    )
  ),
0)"),0.0)</f>
        <v>0</v>
      </c>
      <c r="D28" s="99">
        <f>IFERROR(__xludf.DUMMYFUNCTION("IFERROR(
  SUM(
    FILTER(
      'Sprint 8'!O:O,
      ('Sprint 8'!E:E = ""Aom: Pornsawan Polnyiem"") *
      (LEFT('Sprint 8'!B:B,9) = ""DEVRDECOM"")
    )
  ),
0)"),0.0)</f>
        <v>0</v>
      </c>
      <c r="E28" s="99">
        <f>IFERROR(__xludf.DUMMYFUNCTION("IFERROR(
  SUM(
    FILTER(
      'Sprint 8'!O:O,
      ('Sprint 8'!E:E = ""Jack: Warin Kesorn"") *
      (LEFT('Sprint 8'!B:B,9) = ""DEVRDECOM"")
    )
  ),
0)"),14.0)</f>
        <v>14</v>
      </c>
      <c r="F28" s="99">
        <f>IFERROR(__xludf.DUMMYFUNCTION("IFERROR(
  SUM(
    FILTER(
      'Sprint 8'!O:O,
      ('Sprint 8'!E:E = ""A:Phongthorn"") *
      (LEFT('Sprint 8'!B:B,9) = ""DEVRDECOM"")
    )
  ),
0)"),2.0)</f>
        <v>2</v>
      </c>
      <c r="G28" s="99">
        <f>IFERROR(__xludf.DUMMYFUNCTION("IFERROR(
  SUM(
    FILTER(
      'Sprint 8'!O:O,
      ('Sprint 8'!E:E = ""Art_narupontp"") *
      (LEFT('Sprint 8'!B:B,9) = ""DEVRDECOM"")
    )
  ),
0)"),5.0)</f>
        <v>5</v>
      </c>
      <c r="H28" s="99">
        <f>IFERROR(__xludf.DUMMYFUNCTION("IFERROR(
  SUM(
    FILTER(
      'Sprint 8'!O:O,
      ('Sprint 8'!E:E = ""Mai:Sateta Abvanawong"") *
      (LEFT('Sprint 8'!B:B,9) = ""DEVRDECOM"")
    )
  ),
0)"),0.0)</f>
        <v>0</v>
      </c>
      <c r="I28" s="99">
        <f>IFERROR(__xludf.DUMMYFUNCTION("IFERROR(
  SUM(
    FILTER(
      'Sprint 8'!O:O,
      ('Sprint 8'!E:E = ""Kae: Pimonrath Jaiyen"") *
      (LEFT('Sprint 8'!B:B,9) = ""DEVRDECOM"")
    )
  ),
0)"),10.0)</f>
        <v>10</v>
      </c>
      <c r="J28" s="99">
        <f>IFERROR(__xludf.DUMMYFUNCTION("IFERROR(
  SUM(
    FILTER(
      'Sprint 8'!O:O,
      ('Sprint 8'!E:E = ""Mac: Jarupong Pawichpongkul"") *
      (LEFT('Sprint 8'!B:B,9) = ""DEVRDECOM"")
    )
  ),
0)"),0.0)</f>
        <v>0</v>
      </c>
      <c r="K28" s="99">
        <f>IFERROR(__xludf.DUMMYFUNCTION("IFERROR(
  SUM(
    FILTER(
      'Sprint 8'!O:O,
      ('Sprint 8'!E:E = ""Nim : muthita munmueang"") *
      (LEFT('Sprint 8'!B:B,9) = ""DEVRDECOM"")
    )
  ),
0)"),0.0)</f>
        <v>0</v>
      </c>
      <c r="L28" s="99">
        <f>IFERROR(__xludf.DUMMYFUNCTION("IFERROR(
  SUM(
    FILTER(
      'Sprint 8'!O:O,
      ('Sprint 8'!E:E = ""Moss : Kittapath Sangvikukit"") *
      (LEFT('Sprint 8'!B:B,9) = ""DEVRDECOM"")
    )
  ),
0)"),11.0)</f>
        <v>11</v>
      </c>
    </row>
    <row r="29" ht="32.25" customHeight="1">
      <c r="A29" s="101" t="s">
        <v>4667</v>
      </c>
      <c r="B29" s="99">
        <f>IFERROR(__xludf.DUMMYFUNCTION("IFERROR(
  SUM(
    FILTER(
      'Sprint 8'!O:O,
      ('Sprint 8'!E:E = ""Aek:Atiphat Nanthachitvanich"") *
      (LEFT('Sprint 8'!B:B,7) = ""DEVRDCT"")
    )
  ),
0)"),0.0)</f>
        <v>0</v>
      </c>
      <c r="C29" s="99">
        <f>IFERROR(__xludf.DUMMYFUNCTION("IFERROR(
  SUM(
    FILTER(
      'Sprint 8'!O:O,
      ('Sprint 8'!E:E = ""Zan : Isarapong Bulan"") *
      (LEFT('Sprint 8'!B:B,7) = ""DEVRDCT"")
    )
  ),
0)"),3.0)</f>
        <v>3</v>
      </c>
      <c r="D29" s="99">
        <f>IFERROR(__xludf.DUMMYFUNCTION("IFERROR(
  SUM(
    FILTER(
      'Sprint 8'!O:O,
      ('Sprint 8'!E:E = ""Aom: Pornsawan Polnyiem"") *
      (LEFT('Sprint 8'!B:B,7) = ""DEVRDCT"")
    )
  ),
0)"),5.0)</f>
        <v>5</v>
      </c>
      <c r="E29" s="99">
        <f>IFERROR(__xludf.DUMMYFUNCTION("IFERROR(
  SUM(
    FILTER(
      'Sprint 8'!O:O,
      ('Sprint 8'!E:E = ""Jack: Warin Kesorn"") *
      (LEFT('Sprint 8'!B:B,7) = ""DEVRDCT"")
    )
  ),
0)"),4.0)</f>
        <v>4</v>
      </c>
      <c r="F29" s="99">
        <f>IFERROR(__xludf.DUMMYFUNCTION("IFERROR(
  SUM(
    FILTER(
      'Sprint 8'!O:O,
      ('Sprint 8'!E:E = ""A:Phongthorn"") *
      (LEFT('Sprint 8'!B:B,7) = ""DEVRDCT"")
    )
  ),
0)"),0.0)</f>
        <v>0</v>
      </c>
      <c r="G29" s="99">
        <f>IFERROR(__xludf.DUMMYFUNCTION("IFERROR(
  SUM(
    FILTER(
      'Sprint 8'!O:O,
      ('Sprint 8'!E:E = ""Art_narupontp"") *
      (LEFT('Sprint 8'!B:B,7) = ""DEVRDCT"")
    )
  ),
0)"),0.0)</f>
        <v>0</v>
      </c>
      <c r="H29" s="99">
        <f>IFERROR(__xludf.DUMMYFUNCTION("IFERROR(
  SUM(
    FILTER(
      'Sprint 8'!O:O,
      ('Sprint 8'!E:E = ""Mai:Sateta Abvanawong"") *
      (LEFT('Sprint 8'!B:B,7) = ""DEVRDCT"")
    )
  ),
0)"),0.0)</f>
        <v>0</v>
      </c>
      <c r="I29" s="99">
        <f>IFERROR(__xludf.DUMMYFUNCTION("IFERROR(
  SUM(
    FILTER(
      'Sprint 8'!O:O,
      ('Sprint 8'!E:E = ""Moss : Kittapath Sangvikukit"") *
      (LEFT('Sprint 8'!B:B,7) = ""DEVRDCT"")
    )
  ),
0)"),5.0)</f>
        <v>5</v>
      </c>
      <c r="J29" s="99">
        <f>IFERROR(__xludf.DUMMYFUNCTION("IFERROR(
  SUM(
    FILTER(
      'Sprint 8'!O:O,
      ('Sprint 8'!E:E = ""Mac: Jarupong Pawichpongkul"") *
      (LEFT('Sprint 8'!B:B,7) = ""DEVRDCT"")
    )
  ),
0)"),0.0)</f>
        <v>0</v>
      </c>
      <c r="K29" s="99">
        <f>IFERROR(__xludf.DUMMYFUNCTION("IFERROR(
  SUM(
    FILTER(
      'Sprint 8'!O:O,
      ('Sprint 8'!E:E = ""Moss : Kittapath Sangvikukit"") *
      (LEFT('Sprint 8'!B:B,7) = ""DEVRDCT"")
    )
  ),
0)"),5.0)</f>
        <v>5</v>
      </c>
      <c r="L29" s="99">
        <f>IFERROR(__xludf.DUMMYFUNCTION("IFERROR(
  SUM(
    FILTER(
      'Sprint 8'!O:O,
      ('Sprint 8'!E:E = ""Moss : Kittapath Sangvikukit"") *
      (LEFT('Sprint 8'!B:B,7) = ""DEVRDCT"")
    )
  ),
0)"),5.0)</f>
        <v>5</v>
      </c>
    </row>
    <row r="30" ht="22.5" customHeight="1">
      <c r="A30" s="101" t="s">
        <v>4668</v>
      </c>
      <c r="B30" s="99">
        <f>IFERROR(__xludf.DUMMYFUNCTION("IFERROR(
  SUM(
    FILTER(
      'Sprint 8'!O:O,
      ('Sprint 8'!E:E = ""Aek:Atiphat Nanthachitvanich"") *
      (LEFT('Sprint 8'!B:B,8) = ""DEVRDADJ"")
    )
  ),
0)"),0.0)</f>
        <v>0</v>
      </c>
      <c r="C30" s="99">
        <f>IFERROR(__xludf.DUMMYFUNCTION("IFERROR(
  SUM(
    FILTER(
      'Sprint 8'!O:O,
      ('Sprint 8'!E:E = ""Zan : Isarapong Bulan"") *
      (LEFT('Sprint 8'!B:B,8) = ""DEVRDADJ"")
    )
  ),
0)"),1.0)</f>
        <v>1</v>
      </c>
      <c r="D30" s="99">
        <f>IFERROR(__xludf.DUMMYFUNCTION("IFERROR(
  SUM(
    FILTER(
      'Sprint 8'!O:O,
      ('Sprint 8'!E:E = ""Aom: Pornsawan Polnyiem"") *
      (LEFT('Sprint 8'!B:B,8) = ""DEVRDADJ"")
    )
  ),
0)"),0.0)</f>
        <v>0</v>
      </c>
      <c r="E30" s="99">
        <f>IFERROR(__xludf.DUMMYFUNCTION("IFERROR(
  SUM(
    FILTER(
      'Sprint 8'!O:O,
      ('Sprint 8'!E:E = ""Jack: Warin Kesorn"") *
      (LEFT('Sprint 8'!B:B,8) = ""DEVRDADJ"")
    )
  ),
0)"),0.0)</f>
        <v>0</v>
      </c>
      <c r="F30" s="99">
        <f>IFERROR(__xludf.DUMMYFUNCTION("IFERROR(
  SUM(
    FILTER(
      'Sprint 8'!O:O,
      ('Sprint 8'!E:E = ""A:Phongthorn"") *
      (LEFT('Sprint 8'!B:B,8) = ""DEVRDADJ"")
    )
  ),
0)"),0.0)</f>
        <v>0</v>
      </c>
      <c r="G30" s="99">
        <f>IFERROR(__xludf.DUMMYFUNCTION("IFERROR(
  SUM(
    FILTER(
      'Sprint 8'!O:O,
      ('Sprint 8'!E:E = ""Art_narupontp"") *
      (LEFT('Sprint 8'!B:B,8) = ""DEVRDADJ"")
    )
  ),
0)"),0.0)</f>
        <v>0</v>
      </c>
      <c r="H30" s="99">
        <f>IFERROR(__xludf.DUMMYFUNCTION("IFERROR(
  SUM(
    FILTER(
      'Sprint 8'!O:O,
      ('Sprint 8'!E:E = ""Mai:Sateta Abvanawong"") *
      (LEFT('Sprint 8'!B:B,8) = ""DEVRDADJ"")
    )
  ),
0)"),2.0)</f>
        <v>2</v>
      </c>
      <c r="I30" s="99">
        <f>IFERROR(__xludf.DUMMYFUNCTION("IFERROR(
  SUM(
    FILTER(
      'Sprint 8'!O:O,
      ('Sprint 8'!E:E = ""Kae: Pimonrath Jaiyen"") *
      (LEFT('Sprint 8'!B:B,8) = ""DEVRDADJ"")
    )
  ),
0)"),0.0)</f>
        <v>0</v>
      </c>
      <c r="J30" s="99">
        <f>IFERROR(__xludf.DUMMYFUNCTION("IFERROR(
  SUM(
    FILTER(
      'Sprint 8'!O:O,
      ('Sprint 8'!E:E = ""Mac: Jarupong Pawichpongkul"") *
      (LEFT('Sprint 8'!B:B,8) = ""DEVRDADJ"")
    )
  ),
0)"),2.0)</f>
        <v>2</v>
      </c>
      <c r="K30" s="99">
        <f>IFERROR(__xludf.DUMMYFUNCTION("IFERROR(
  SUM(
    FILTER(
      'Sprint 8'!O:O,
      ('Sprint 8'!E:E = ""Nim : muthita munmueang"") *
      (LEFT('Sprint 8'!B:B,8) = ""DEVRDADJ"")
    )
  ),
0)"),5.0)</f>
        <v>5</v>
      </c>
      <c r="L30" s="99">
        <f>IFERROR(__xludf.DUMMYFUNCTION("IFERROR(
  SUM(
    FILTER(
      'Sprint 8'!O:O,
      ('Sprint 8'!E:E = ""Moss : Kittapath Sangvikukit"") *
      (LEFT('Sprint 8'!B:B,8) = ""DEVRDADJ"")
    )
  ),
0)"),0.0)</f>
        <v>0</v>
      </c>
    </row>
    <row r="31">
      <c r="A31" s="101" t="s">
        <v>4669</v>
      </c>
      <c r="B31" s="101">
        <f>IFERROR(__xludf.DUMMYFUNCTION("IFERROR(
  SUM(
    FILTER(
      'Sprint 8'!O:O,
      ('Sprint 8'!E:E = ""Aek:Atiphat Nanthachitvanich"") *
      (LEFT('Sprint 8'!B:B,5) = ""RDAPS"")
    )
  ),
0)"),0.0)</f>
        <v>0</v>
      </c>
      <c r="C31" s="99">
        <f>IFERROR(__xludf.DUMMYFUNCTION("IFERROR(
  SUM(
    FILTER(
      'Sprint 8'!O:O,
      ('Sprint 8'!E:E = ""Zan : Isarapong Bulan"") *
      (LEFT('Sprint 8'!B:B,5) = ""RDAPS"")
    )
  ),
0)"),14.0)</f>
        <v>14</v>
      </c>
      <c r="D31" s="99">
        <f>IFERROR(__xludf.DUMMYFUNCTION("IFERROR(
  SUM(
    FILTER(
      'Sprint 8'!O:O,
      ('Sprint 8'!E:E = ""Aom: Pornsawan Polnyiem"") *
      (LEFT('Sprint 8'!B:B,5) = ""RDAPS"")
    )
  ),
0)"),13.0)</f>
        <v>13</v>
      </c>
      <c r="E31" s="99">
        <f>IFERROR(__xludf.DUMMYFUNCTION("IFERROR(
  SUM(
    FILTER(
      'Sprint 8'!O:O,
      ('Sprint 8'!E:E = ""Jack: Warin Kesorn"") *
      (LEFT('Sprint 8'!B:B,5) = ""RDAPS"")
    )
  ),
0)"),0.0)</f>
        <v>0</v>
      </c>
      <c r="F31" s="99">
        <f>IFERROR(__xludf.DUMMYFUNCTION("IFERROR(
  SUM(
    FILTER(
      'Sprint 8'!O:O,
      ('Sprint 8'!E:E = ""A:Phongthorn"") *
      (LEFT('Sprint 8'!B:B,5) = ""RDAPS"")
    )
  ),
0)"),8.0)</f>
        <v>8</v>
      </c>
      <c r="G31" s="99">
        <f>IFERROR(__xludf.DUMMYFUNCTION("IFERROR(
  SUM(
    FILTER(
      'Sprint 8'!O:O,
      ('Sprint 8'!E:E = ""Art_narupontp"") *
      (LEFT('Sprint 8'!B:B,5) = ""RDAPS"")
    )
  ),
0)"),0.0)</f>
        <v>0</v>
      </c>
      <c r="H31" s="99">
        <f>IFERROR(__xludf.DUMMYFUNCTION("IFERROR(
  SUM(
    FILTER(
      'Sprint 8'!O:O,
      ('Sprint 8'!E:E = ""Mai:Sateta Abvanawong"") *
      (LEFT('Sprint 8'!B:B,5) = ""RDAPS"")
    )
  ),
0)"),3.0)</f>
        <v>3</v>
      </c>
      <c r="I31" s="99">
        <f>IFERROR(__xludf.DUMMYFUNCTION("IFERROR(
  SUM(
    FILTER(
      'Sprint 8'!O:O,
      ('Sprint 8'!E:E = ""Kae: Pimonrath Jaiyen"") *
      (LEFT('Sprint 8'!B:B,5) = ""RDAPS"")
    )
  ),
0)"),0.0)</f>
        <v>0</v>
      </c>
      <c r="J31" s="99">
        <f>IFERROR(__xludf.DUMMYFUNCTION("IFERROR(
  SUM(
    FILTER(
      'Sprint 8'!O:O,
      ('Sprint 8'!E:E = ""Mac: Jarupong Pawichpongkul"") *
      (LEFT('Sprint 8'!B:B,5) = ""RDAPS"")
    )
  ),
0)"),3.0)</f>
        <v>3</v>
      </c>
      <c r="K31" s="99">
        <f>IFERROR(__xludf.DUMMYFUNCTION("IFERROR(
  SUM(
    FILTER(
      'Sprint 8'!O:O,
      ('Sprint 8'!E:E = ""Moss : Kittapath Sangvikukitฃ"") *
      (LEFT('Sprint 8'!B:B,5) = ""RDAPS"")
    )
  ),
0)"),0.0)</f>
        <v>0</v>
      </c>
      <c r="L31" s="99">
        <f>IFERROR(__xludf.DUMMYFUNCTION("IFERROR(
  SUM(
    FILTER(
      'Sprint 8'!O:O,
      ('Sprint 8'!E:E = ""Moss : Kittapath Sangvikukit"") *
      (LEFT('Sprint 8'!B:B,5) = ""RDAPS"")
    )
  ),
0)"),0.0)</f>
        <v>0</v>
      </c>
    </row>
    <row r="32" ht="21.0" customHeight="1">
      <c r="A32" s="101" t="s">
        <v>4670</v>
      </c>
      <c r="B32" s="101">
        <f>IFERROR(__xludf.DUMMYFUNCTION("IFERROR(
  SUM(
    FILTER(
      'Sprint 8'!O:O,
      ('Sprint 8'!E:E = ""Aek:Atiphat Nanthachitvanich"") *
      (LEFT('Sprint 8'!B:B,8) = ""DEVRDSUP"")
    )
  ),
0)"),0.0)</f>
        <v>0</v>
      </c>
      <c r="C32" s="99">
        <f>IFERROR(__xludf.DUMMYFUNCTION("IFERROR(
  SUM(
    FILTER(
      'Sprint 8'!O:O,
      ('Sprint 8'!E:E = ""Zan : Isarapong Bulan"") *
      (LEFT('Sprint 8'!B:B,8) = ""DEVRDSUP"")
    )
  ),
0)"),0.0)</f>
        <v>0</v>
      </c>
      <c r="D32" s="99">
        <f>IFERROR(__xludf.DUMMYFUNCTION("IFERROR(
  SUM(
    FILTER(
      'Sprint 8'!O:O,
      ('Sprint 8'!E:E = ""Aom: Pornsawan Polnyiem"") *
      (LEFT('Sprint 8'!B:B,8) = ""DEVRDSUP"")
    )
  ),
0)"),16.0)</f>
        <v>16</v>
      </c>
      <c r="E32" s="99">
        <f>IFERROR(__xludf.DUMMYFUNCTION("IFERROR(
  SUM(
    FILTER(
      'Sprint 8'!O:O,
      ('Sprint 8'!E:E = ""Jack: Warin Kesorn"") *
      (LEFT('Sprint 8'!B:B,8) = ""DEVRDSUP"")
    )
  ),
0)"),0.0)</f>
        <v>0</v>
      </c>
      <c r="F32" s="101">
        <f>IFERROR(__xludf.DUMMYFUNCTION("IFERROR(
  SUM(
    FILTER(
      'Sprint 8'!P:P,
      ('Sprint 8'!F:F = ""A:Phongthorn"") *
      (LEFT('Sprint 8'!C:C,8) = ""DEVRDSUP"")
    )
  ),
0)"),0.0)</f>
        <v>0</v>
      </c>
      <c r="G32" s="99">
        <f>IFERROR(__xludf.DUMMYFUNCTION("IFERROR(
  SUM(
    FILTER(
      'Sprint 8'!O:O,
      ('Sprint 8'!E:E = ""Art_narupontp"") *
      (LEFT('Sprint 8'!B:B,8) = ""DEVRDSUP"")
    )
  ),
0)"),0.0)</f>
        <v>0</v>
      </c>
      <c r="H32" s="99">
        <f>IFERROR(__xludf.DUMMYFUNCTION("IFERROR(
  SUM(
    FILTER(
      'Sprint 8'!O:O,
      ('Sprint 8'!E:E = ""Mai:Sateta Abvanawong"") *
      (LEFT('Sprint 8'!B:B,8) = ""DEVRDSUP"")
    )
  ),
0)"),0.0)</f>
        <v>0</v>
      </c>
      <c r="I32" s="99">
        <f>IFERROR(__xludf.DUMMYFUNCTION("IFERROR(
  SUM(
    FILTER(
      'Sprint 8'!O:O,
      ('Sprint 8'!E:E = ""Kae: Pimonrath Jaiyen"") *
      (LEFT('Sprint 8'!B:B,8) = ""DEVRDSUP"")
    )
  ),
0)"),0.0)</f>
        <v>0</v>
      </c>
      <c r="J32" s="99">
        <f>IFERROR(__xludf.DUMMYFUNCTION("IFERROR(
  SUM(
    FILTER(
      'Sprint 8'!O:O,
      ('Sprint 8'!E:E = ""Mac: Jarupong Pawichpongkul"") *
      (LEFT('Sprint 8'!B:B,8) = ""DEVRDSUP"")
    )
  ),
0)"),0.0)</f>
        <v>0</v>
      </c>
      <c r="K32" s="99">
        <f>IFERROR(__xludf.DUMMYFUNCTION("IFERROR(
  SUM(
    FILTER(
      'Sprint 8'!O:O,
      ('Sprint 8'!E:E = ""Nim : muthita munmueang"") *
      (LEFT('Sprint 8'!B:B,8) = ""DEVRDSUP"")
    )
  ),
0)"),0.0)</f>
        <v>0</v>
      </c>
      <c r="L32" s="99">
        <f>IFERROR(__xludf.DUMMYFUNCTION("IFERROR(
  SUM(
    FILTER(
      'Sprint 8'!O:O,
      ('Sprint 8'!E:E = ""Moss : Kittapath Sangvikukit"") *
      (LEFT('Sprint 8'!B:B,8) = ""DEVRDSUP"")
    )
  ),
0)"),0.0)</f>
        <v>0</v>
      </c>
    </row>
    <row r="33">
      <c r="C33" s="125"/>
    </row>
    <row r="34">
      <c r="C34" s="125"/>
    </row>
    <row r="35" ht="24.75" customHeight="1">
      <c r="A35" s="232"/>
      <c r="B35" s="233" t="s">
        <v>2210</v>
      </c>
      <c r="C35" s="234"/>
      <c r="D35" s="234"/>
      <c r="E35" s="235"/>
      <c r="F35" s="236" t="s">
        <v>2211</v>
      </c>
      <c r="G35" s="234"/>
      <c r="H35" s="235"/>
      <c r="I35" s="242" t="s">
        <v>3615</v>
      </c>
      <c r="J35" s="234"/>
      <c r="K35" s="234"/>
      <c r="L35" s="235"/>
    </row>
    <row r="36" ht="20.25" customHeight="1">
      <c r="A36" s="239" t="s">
        <v>3618</v>
      </c>
      <c r="B36" s="243" t="s">
        <v>30</v>
      </c>
      <c r="C36" s="243" t="s">
        <v>24</v>
      </c>
      <c r="D36" s="243" t="s">
        <v>72</v>
      </c>
      <c r="E36" s="243" t="s">
        <v>28</v>
      </c>
      <c r="F36" s="243" t="s">
        <v>32</v>
      </c>
      <c r="G36" s="243" t="s">
        <v>3616</v>
      </c>
      <c r="H36" s="243" t="s">
        <v>73</v>
      </c>
      <c r="I36" s="243" t="s">
        <v>3617</v>
      </c>
      <c r="J36" s="243" t="s">
        <v>74</v>
      </c>
      <c r="K36" s="243" t="s">
        <v>76</v>
      </c>
      <c r="L36" s="243" t="s">
        <v>75</v>
      </c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101" t="s">
        <v>4665</v>
      </c>
      <c r="B37" s="99">
        <f>IFERROR(__xludf.DUMMYFUNCTION("ROUND(
  IFERROR(
    SUM(
      FILTER(
        'Sprint 8'!R:R,
        ('Sprint 8'!E:E = ""Aek:Atiphat Nanthachitvanich"") *
        (LEFT('Sprint 8'!B:B,7) = ""RDTHANA"")
      )
    ) / 3600,
    0
  ),
  2
)"),7.0)</f>
        <v>7</v>
      </c>
      <c r="C37" s="99">
        <f>IFERROR(__xludf.DUMMYFUNCTION("ROUND(
  IFERROR(
    SUM(
      FILTER(
        'Sprint 8'!R:R,
        ('Sprint 8'!E:E = ""Zan : Isarapong Bulan"") *
        (LEFT('Sprint 8'!B:B,7) = ""RDTHANA"")
      )
    ) / 3600,
    0
  ),
  2
)"),19.0)</f>
        <v>19</v>
      </c>
      <c r="D37" s="99">
        <f>IFERROR(__xludf.DUMMYFUNCTION("ROUND(
  IFERROR(
    SUM(
      FILTER(
        'Sprint 8'!R:R,
        ('Sprint 8'!E:E = ""Aom: Pornsawan Polnyiem"") *
        (LEFT('Sprint 8'!B:B,7) = ""RDTHANA"")
      )
    ) / 3600,
    0
  ),
  2
)"),0.0)</f>
        <v>0</v>
      </c>
      <c r="E37" s="99">
        <f>IFERROR(__xludf.DUMMYFUNCTION("ROUND(
  IFERROR(
    SUM(
      FILTER(
        'Sprint 8'!R:R,
        ('Sprint 8'!E:E = ""Jack: Warin Kesorn"") *
        (LEFT('Sprint 8'!B:B,7) = ""RDTHANA"")
      )
    ) / 3600,
    0
  ),
  2
)"),0.0)</f>
        <v>0</v>
      </c>
      <c r="F37" s="99">
        <f>IFERROR(__xludf.DUMMYFUNCTION("ROUND(
  IFERROR(
    SUM(
      FILTER(
        'Sprint 8'!R:R,
        ('Sprint 8'!E:E = ""A:Phongthorn"") *
        (LEFT('Sprint 8'!B:B,7) = ""RDTHANA"")
      )
    ) / 3600,
    0
  ),
  2
)"),50.0)</f>
        <v>50</v>
      </c>
      <c r="G37" s="99">
        <f>IFERROR(__xludf.DUMMYFUNCTION("ROUND(
  IFERROR(
    SUM(
      FILTER(
        'Sprint 8'!R:R,
        ('Sprint 8'!E:E = ""Art_narupontp"") *
        (LEFT('Sprint 8'!B:B,7) = ""RDTHANA"")
      )
    ) / 3600,
    0
  ),
  2
)"),22.0)</f>
        <v>22</v>
      </c>
      <c r="H37" s="99">
        <f>IFERROR(__xludf.DUMMYFUNCTION("ROUND(
  IFERROR(
    SUM(
      FILTER(
        'Sprint 8'!R:R,
        ('Sprint 8'!E:E = ""Mai:Sateta Abvanawong"") *
        (LEFT('Sprint 8'!B:B,7) = ""RDTHANA"")
      )
    ) / 3600,
    0
  ),
  2
)"),26.0)</f>
        <v>26</v>
      </c>
      <c r="I37" s="99">
        <f>IFERROR(__xludf.DUMMYFUNCTION("ROUND(
  IFERROR(
    SUM(
      FILTER(
        'Sprint 8'!R:R,
        ('Sprint 8'!E:E = ""Kae: Pimonrath Jaiyen"") *
        (LEFT('Sprint 8'!B:B,7) = ""RDTHANA"")
      )
    ) / 3600,
    0
  ),
  2
)"),12.0)</f>
        <v>12</v>
      </c>
      <c r="J37" s="99">
        <f>IFERROR(__xludf.DUMMYFUNCTION("ROUND(
  IFERROR(
    SUM(
      FILTER(
        'Sprint 8'!R:R,
        ('Sprint 8'!E:E = ""Mac: Jarupong Pawichpongkul"") *
        (LEFT('Sprint 8'!B:B,7) = ""RDTHANA"")
      )
    ) / 3600,
    0
  ),
  2
)"),31.0)</f>
        <v>31</v>
      </c>
      <c r="K37" s="99">
        <f>IFERROR(__xludf.DUMMYFUNCTION("ROUND(
  IFERROR(
    SUM(
      FILTER(
        'Sprint 8'!R:R,
        ('Sprint 8'!E:E = ""Nim : muthita munmueang"") *
        (LEFT('Sprint 8'!B:B,7) = ""RDTHANA"")
      )
    ) / 3600,
    0
  ),
  2
)"),28.0)</f>
        <v>28</v>
      </c>
      <c r="L37" s="99">
        <f>IFERROR(__xludf.DUMMYFUNCTION("ROUND(
  IFERROR(
    SUM(
      FILTER(
        'Sprint 8'!R:R,
        ('Sprint 8'!E:E = ""Moss : Kittapath Sangvikukit"") *
        (LEFT('Sprint 8'!B:B,7) = ""RDTHANA"")
      )
    ) / 3600,
    0
  ),
  2
)"),18.0)</f>
        <v>18</v>
      </c>
    </row>
    <row r="38">
      <c r="A38" s="101" t="s">
        <v>4666</v>
      </c>
      <c r="B38" s="99">
        <f>IFERROR(__xludf.DUMMYFUNCTION("ROUND(
  IFERROR(
    SUM(
      FILTER(
        'Sprint 8'!R:R,
        ('Sprint 8'!E:E = ""Aek:Atiphat Nanthachitvanich"") *
        (LEFT('Sprint 8'!B:B,9) = ""DEVRDECOM"")
      )
    ) / 3600,
    0
  ),
  2
)"),25.5)</f>
        <v>25.5</v>
      </c>
      <c r="C38" s="99">
        <f>IFERROR(__xludf.DUMMYFUNCTION("ROUND(
  IFERROR(
    SUM(
      FILTER(
        'Sprint 8'!R:R,
        ('Sprint 8'!E:E = ""Zan : Isarapong Bulan"") *
        (LEFT('Sprint 8'!B:B,9) = ""DEVRDECOM"")
      )
    ) / 3600,
    0
  ),
  2
)"),0.0)</f>
        <v>0</v>
      </c>
      <c r="D38" s="99">
        <f>IFERROR(__xludf.DUMMYFUNCTION("ROUND(
  IFERROR(
    SUM(
      FILTER(
        'Sprint 8'!R:R,
        ('Sprint 8'!E:E = ""Aom: Pornsawan Polnyiem"") *
        (LEFT('Sprint 8'!B:B,9) = ""DEVRDECOM"")
      )
    ) / 3600,
    0
  ),
  2
)"),0.0)</f>
        <v>0</v>
      </c>
      <c r="E38" s="99">
        <f>IFERROR(__xludf.DUMMYFUNCTION("ROUND(
  IFERROR(
    SUM(
      FILTER(
        'Sprint 8'!R:R,
        ('Sprint 8'!E:E = ""Jack: Warin Kesorn"") *
        (LEFT('Sprint 8'!B:B,9) = ""DEVRDECOM"")
      )
    ) / 3600,
    0
  ),
  2
)"),42.0)</f>
        <v>42</v>
      </c>
      <c r="F38" s="99">
        <f>IFERROR(__xludf.DUMMYFUNCTION("ROUND(
  IFERROR(
    SUM(
      FILTER(
        'Sprint 8'!R:R,
        ('Sprint 8'!E:E = ""A:Phongthorn"") *
        (LEFT('Sprint 8'!B:B,9) = ""DEVRDECOM"")
      )
    ) / 3600,
    0
  ),
  2
)"),4.0)</f>
        <v>4</v>
      </c>
      <c r="G38" s="99">
        <f>IFERROR(__xludf.DUMMYFUNCTION("ROUND(
  IFERROR(
    SUM(
      FILTER(
        'Sprint 8'!R:R,
        ('Sprint 8'!E:E = ""Art_narupontp"") *
        (LEFT('Sprint 8'!B:B,9) = ""DEVRDECOM"")
      )
    ) / 3600,
    0
  ),
  2
)"),0.0)</f>
        <v>0</v>
      </c>
      <c r="H38" s="99">
        <f>IFERROR(__xludf.DUMMYFUNCTION("ROUND(
  IFERROR(
    SUM(
      FILTER(
        'Sprint 8'!R:R,
        ('Sprint 8'!E:E = ""Mai:Sateta Abvanawong"") *
        (LEFT('Sprint 8'!B:B,9) = ""DEVRDECOM"")
      )
    ) / 3600,
    0
  ),
  2
)"),0.0)</f>
        <v>0</v>
      </c>
      <c r="I38" s="99">
        <f>IFERROR(__xludf.DUMMYFUNCTION("ROUND(
  IFERROR(
    SUM(
      FILTER(
        'Sprint 8'!R:R,
        ('Sprint 8'!E:E = ""Kae: Pimonrath Jaiyen"") *
        (LEFT('Sprint 8'!B:B,9) = ""DEVRDECOM"")
      )
    ) / 3600,
    0
  ),
  2
)"),32.0)</f>
        <v>32</v>
      </c>
      <c r="J38" s="99">
        <f>IFERROR(__xludf.DUMMYFUNCTION("ROUND(
  IFERROR(
    SUM(
      FILTER(
        'Sprint 8'!R:R,
        ('Sprint 8'!E:E = ""Mac: Jarupong Pawichpongkul"") *
        (LEFT('Sprint 8'!B:B,9) = ""DEVRDECOM"")
      )
    ) / 3600,
    0
  ),
  2
)"),0.0)</f>
        <v>0</v>
      </c>
      <c r="K38" s="99">
        <f>IFERROR(__xludf.DUMMYFUNCTION("ROUND(
  IFERROR(
    SUM(
      FILTER(
        'Sprint 8'!R:R,
        ('Sprint 8'!E:E = ""Nim : muthita munmueang"") *
        (LEFT('Sprint 8'!B:B,9) = ""DEVRDECOM"")
      )
    ) / 3600,
    0
  ),
  2
)"),0.0)</f>
        <v>0</v>
      </c>
      <c r="L38" s="99">
        <f>IFERROR(__xludf.DUMMYFUNCTION("ROUND(
  IFERROR(
    SUM(
      FILTER(
        'Sprint 8'!R:R,
        ('Sprint 8'!E:E = ""Moss : Kittapath Sangvikukit"") *
        (LEFT('Sprint 8'!B:B,9) = ""DEVRDECOM"")
      )
    ) / 3600,
    0
  ),
  2
)"),42.0)</f>
        <v>42</v>
      </c>
    </row>
    <row r="39" ht="32.25" customHeight="1">
      <c r="A39" s="101" t="s">
        <v>4667</v>
      </c>
      <c r="B39" s="99">
        <f>IFERROR(__xludf.DUMMYFUNCTION("ROUND(
  IFERROR(
    SUM(
      FILTER(
        'Sprint 8'!R:R,
        ('Sprint 8'!E:E = ""Aek:Atiphat Nanthachitvanich"") *
        (LEFT('Sprint 8'!B:B,7) = ""DEVRDCT"")
      )
    ) / 3600,
    0
  ),
  2
)"),0.0)</f>
        <v>0</v>
      </c>
      <c r="C39" s="99">
        <f>IFERROR(__xludf.DUMMYFUNCTION("ROUND(
  IFERROR(
    SUM(
      FILTER(
        'Sprint 8'!R:R,
        ('Sprint 8'!E:E = ""Zan : Isarapong Bulan"") *
        (LEFT('Sprint 8'!B:B,7) = ""DEVRDCT"")
      )
    ) / 3600,
    0
  ),
  2
)"),0.0)</f>
        <v>0</v>
      </c>
      <c r="D39" s="99">
        <f>IFERROR(__xludf.DUMMYFUNCTION("ROUND(
  IFERROR(
    SUM(
      FILTER(
        'Sprint 8'!R:R,
        ('Sprint 8'!E:E = ""Aom: Pornsawan Polnyiem"") *
        (LEFT('Sprint 8'!B:B,7) = ""DEVRDCT"")
      )
    ) / 3600,
    0
  ),
  2
)"),2.0)</f>
        <v>2</v>
      </c>
      <c r="E39" s="99">
        <f>IFERROR(__xludf.DUMMYFUNCTION("ROUND(
  IFERROR(
    SUM(
      FILTER(
        'Sprint 8'!R:R,
        ('Sprint 8'!E:E = ""Jack: Warin Kesorn"") *
        (LEFT('Sprint 8'!B:B,7) = ""DEVRDCT"")
      )
    ) / 3600,
    0
  ),
  2
)"),0.0)</f>
        <v>0</v>
      </c>
      <c r="F39" s="99">
        <f>IFERROR(__xludf.DUMMYFUNCTION("ROUND(
  IFERROR(
    SUM(
      FILTER(
        'Sprint 8'!R:R,
        ('Sprint 8'!E:E = ""A:Phongthorn"") *
        (LEFT('Sprint 8'!B:B,7) = ""DEVRDCT"")
      )
    ) / 3600,
    0
  ),
  2
)"),0.0)</f>
        <v>0</v>
      </c>
      <c r="G39" s="99">
        <f>IFERROR(__xludf.DUMMYFUNCTION("ROUND(
  IFERROR(
    SUM(
      FILTER(
        'Sprint 8'!R:R,
        ('Sprint 8'!E:E = ""Art_narupontp"") *
        (LEFT('Sprint 8'!B:B,7) = ""DEVRDCT"")
      )
    ) / 3600,
    0
  ),
  2
)"),0.0)</f>
        <v>0</v>
      </c>
      <c r="H39" s="99">
        <f>IFERROR(__xludf.DUMMYFUNCTION("ROUND(
  IFERROR(
    SUM(
      FILTER(
        'Sprint 8'!R:R,
        ('Sprint 8'!E:E = ""Mai:Sateta Abvanawong"") *
        (LEFT('Sprint 8'!B:B,7) = ""DEVRDCT"")
      )
    ) / 3600,
    0
  ),
  2
)"),0.0)</f>
        <v>0</v>
      </c>
      <c r="I39" s="99">
        <f>IFERROR(__xludf.DUMMYFUNCTION("ROUND(
  IFERROR(
    SUM(
      FILTER(
        'Sprint 8'!R:R,
        ('Sprint 8'!E:E = ""Kae: Pimonrath Jaiyen"") *
        (LEFT('Sprint 8'!B:B,7) = ""DEVRDCT"")
      )
    ) / 3600,
    0
  ),
  2
)"),0.0)</f>
        <v>0</v>
      </c>
      <c r="J39" s="99">
        <f>IFERROR(__xludf.DUMMYFUNCTION("ROUND(
  IFERROR(
    SUM(
      FILTER(
        'Sprint 8'!R:R,
        ('Sprint 8'!E:E = ""Mac: Jarupong Pawichpongkul"") *
        (LEFT('Sprint 8'!B:B,7) = ""DEVRDCT"")
      )
    ) / 3600,
    0
  ),
  2
)"),0.0)</f>
        <v>0</v>
      </c>
      <c r="K39" s="99">
        <f>IFERROR(__xludf.DUMMYFUNCTION("ROUND(
  IFERROR(
    SUM(
      FILTER(
        'Sprint 8'!R:R,
        ('Sprint 8'!E:E = ""Nim : muthita munmueang"") *
        (LEFT('Sprint 8'!B:B,7) = ""DEVRDCT"")
      )
    ) / 3600,
    0
  ),
  2
)"),0.0)</f>
        <v>0</v>
      </c>
      <c r="L39" s="99">
        <f>IFERROR(__xludf.DUMMYFUNCTION("ROUND(
  IFERROR(
    SUM(
      FILTER(
        'Sprint 8'!R:R,
        ('Sprint 8'!E:E = ""Moss : Kittapath Sangvikukit"") *
        (LEFT('Sprint 8'!B:B,7) = ""DEVRDCT"")
      )
    ) / 3600,
    0
  ),
  2
)"),16.0)</f>
        <v>16</v>
      </c>
    </row>
    <row r="40" ht="22.5" customHeight="1">
      <c r="A40" s="101" t="s">
        <v>4668</v>
      </c>
      <c r="B40" s="99">
        <f>IFERROR(__xludf.DUMMYFUNCTION("ROUND(
  IFERROR(
    SUM(
      FILTER(
        'Sprint 8'!R:R,
        ('Sprint 8'!E:E = ""Aek:Atiphat Nanthachitvanich"") *
        (LEFT('Sprint 8'!B:B,8) = ""DEVRDADJ"")
      )
    ) / 3600,
    0
  ),
  2
)"),0.0)</f>
        <v>0</v>
      </c>
      <c r="C40" s="99">
        <f>IFERROR(__xludf.DUMMYFUNCTION("ROUND(
  IFERROR(
    SUM(
      FILTER(
        'Sprint 8'!R:R,
        ('Sprint 8'!E:E = ""Zan : Isarapong Bulan"") *
        (LEFT('Sprint 8'!B:B,8) = ""DEVRDADJ"")
      )
    ) / 3600,
    0
  ),
  2
)"),0.0)</f>
        <v>0</v>
      </c>
      <c r="D40" s="99">
        <f>IFERROR(__xludf.DUMMYFUNCTION("ROUND(
  IFERROR(
    SUM(
      FILTER(
        'Sprint 8'!R:R,
        ('Sprint 8'!E:E = ""Aom: Pornsawan Polnyiem"") *
        (LEFT('Sprint 8'!B:B,8) = ""DEVRDADJ"")
      )
    ) / 3600,
    0
  ),
  2
)"),0.0)</f>
        <v>0</v>
      </c>
      <c r="E40" s="99">
        <f>IFERROR(__xludf.DUMMYFUNCTION("ROUND(
  IFERROR(
    SUM(
      FILTER(
        'Sprint 8'!R:R,
        ('Sprint 8'!E:E = ""Jack: Warin Kesorn"") *
        (LEFT('Sprint 8'!B:B,8) = ""DEVRDADJ"")
      )
    ) / 3600,
    0
  ),
  2
)"),0.0)</f>
        <v>0</v>
      </c>
      <c r="F40" s="99">
        <f>IFERROR(__xludf.DUMMYFUNCTION("ROUND(
  IFERROR(
    SUM(
      FILTER(
        'Sprint 8'!R:R,
        ('Sprint 8'!E:E = ""A:Phongthorn"") *
        (LEFT('Sprint 8'!B:B,8) = ""DEVRDADJ"")
      )
    ) / 3600,
    0
  ),
  2
)"),0.0)</f>
        <v>0</v>
      </c>
      <c r="G40" s="99">
        <f>IFERROR(__xludf.DUMMYFUNCTION("ROUND(
  IFERROR(
    SUM(
      FILTER(
        'Sprint 8'!R:R,
        ('Sprint 8'!E:E = ""Aek:Atiphat Nanthachitvanich"") *
        (LEFT('Sprint 8'!B:B,8) = ""DEVRDADJ"")
      )
    ) / 3600,
    0
  ),
  2
)"),0.0)</f>
        <v>0</v>
      </c>
      <c r="H40" s="99">
        <f>IFERROR(__xludf.DUMMYFUNCTION("ROUND(
  IFERROR(
    SUM(
      FILTER(
        'Sprint 8'!R:R,
        ('Sprint 8'!E:E = ""Mai:Sateta Abvanawong"") *
        (LEFT('Sprint 8'!B:B,8) = ""DEVRDADJ"")
      )
    ) / 3600,
    0
  ),
  2
)"),4.0)</f>
        <v>4</v>
      </c>
      <c r="I40" s="99">
        <f>IFERROR(__xludf.DUMMYFUNCTION("ROUND(
  IFERROR(
    SUM(
      FILTER(
        'Sprint 8'!R:R,
        ('Sprint 8'!E:E = ""Kae: Pimonrath Jaiyen"") *
        (LEFT('Sprint 8'!B:B,8) = ""DEVRDADJ"")
      )
    ) / 3600,
    0
  ),
  2
)"),0.0)</f>
        <v>0</v>
      </c>
      <c r="J40" s="99">
        <f>IFERROR(__xludf.DUMMYFUNCTION("ROUND(
  IFERROR(
    SUM(
      FILTER(
        'Sprint 8'!R:R,
        ('Sprint 8'!E:E = ""Mac: Jarupong Pawichpongkul"") *
        (LEFT('Sprint 8'!B:B,8) = ""DEVRDADJ"")
      )
    ) / 3600,
    0
  ),
  2
)"),4.0)</f>
        <v>4</v>
      </c>
      <c r="K40" s="99">
        <f>IFERROR(__xludf.DUMMYFUNCTION("ROUND(
  IFERROR(
    SUM(
      FILTER(
        'Sprint 8'!R:R,
        ('Sprint 8'!E:E = ""Aek:Atiphat Nanthachitvanich"") *
        (LEFT('Sprint 8'!B:B,8) = ""DEVRDADJ"")
      )
    ) / 3600,
    0
  ),
  2
)"),0.0)</f>
        <v>0</v>
      </c>
      <c r="L40" s="99">
        <f>IFERROR(__xludf.DUMMYFUNCTION("ROUND(
  IFERROR(
    SUM(
      FILTER(
        'Sprint 8'!R:R,
        ('Sprint 8'!E:E = ""Moss : Kittapath Sangvikukit"") *
        (LEFT('Sprint 8'!B:B,8) = ""DEVRDADJ"")
      )
    ) / 3600,
    0
  ),
  2
)"),0.0)</f>
        <v>0</v>
      </c>
    </row>
    <row r="41">
      <c r="A41" s="101" t="s">
        <v>4669</v>
      </c>
      <c r="B41" s="101">
        <f>IFERROR(__xludf.DUMMYFUNCTION("ROUND(
  IFERROR(
    SUM(
      FILTER(
        'Sprint 8'!R:R,
        ('Sprint 8'!E:E = ""Aek:Atiphat Nanthachitvanich"") *
        (LEFT('Sprint 8'!B:B,5) = ""RDAPS"")
      )
    ) / 3600,
    0
  ),
  2
)"),0.0)</f>
        <v>0</v>
      </c>
      <c r="C41" s="99">
        <f>IFERROR(__xludf.DUMMYFUNCTION("ROUND(
  IFERROR(
    SUM(
      FILTER(
        'Sprint 8'!R:R,
        ('Sprint 8'!E:E = ""Zan : Isarapong Bulan"") *
        (LEFT('Sprint 8'!B:B,5) = ""RDAPS"")
      )
    ) / 3600,
    0
  ),
  2
)"),16.0)</f>
        <v>16</v>
      </c>
      <c r="D41" s="99">
        <f>IFERROR(__xludf.DUMMYFUNCTION("ROUND(
  IFERROR(
    SUM(
      FILTER(
        'Sprint 8'!R:R,
        ('Sprint 8'!E:E = ""Aom: Pornsawan Polnyiem"") *
        (LEFT('Sprint 8'!B:B,5) = ""RDAPS"")
      )
    ) / 3600,
    0
  ),
  2
)"),25.0)</f>
        <v>25</v>
      </c>
      <c r="E41" s="99">
        <f>IFERROR(__xludf.DUMMYFUNCTION("ROUND(
  IFERROR(
    SUM(
      FILTER(
        'Sprint 8'!R:R,
        ('Sprint 8'!E:E = ""Jack: Warin Kesorn"") *
        (LEFT('Sprint 8'!B:B,5) = ""RDAPS"")
      )
    ) / 3600,
    0
  ),
  2
)"),0.0)</f>
        <v>0</v>
      </c>
      <c r="F41" s="99">
        <f>IFERROR(__xludf.DUMMYFUNCTION("ROUND(
  IFERROR(
    SUM(
      FILTER(
        'Sprint 8'!R:R,
        ('Sprint 8'!E:E = ""A:Phongthorn"") *
        (LEFT('Sprint 8'!B:B,5) = ""RDAPS"")
      )
    ) / 3600,
    0
  ),
  2
)"),0.0)</f>
        <v>0</v>
      </c>
      <c r="G41" s="99">
        <f>IFERROR(__xludf.DUMMYFUNCTION("ROUND(
  IFERROR(
    SUM(
      FILTER(
        'Sprint 8'!R:R,
        ('Sprint 8'!E:E = ""Art_narupontp"") *
        (LEFT('Sprint 8'!B:B,5) = ""RDAPS"")
      )
    ) / 3600,
    0
  ),
  2
)"),0.0)</f>
        <v>0</v>
      </c>
      <c r="H41" s="99">
        <f>IFERROR(__xludf.DUMMYFUNCTION("ROUND(
  IFERROR(
    SUM(
      FILTER(
        'Sprint 8'!R:R,
        ('Sprint 8'!E:E = ""Mai:Sateta Abvanawong"") *
        (LEFT('Sprint 8'!B:B,5) = ""RDAPS"")
      )
    ) / 3600,
    0
  ),
  2
)"),8.0)</f>
        <v>8</v>
      </c>
      <c r="I41" s="99">
        <f>IFERROR(__xludf.DUMMYFUNCTION("ROUND(
  IFERROR(
    SUM(
      FILTER(
        'Sprint 8'!R:R,
        ('Sprint 8'!E:E = ""Kae: Pimonrath Jaiyen"") *
        (LEFT('Sprint 8'!B:B,5) = ""RDAPS"")
      )
    ) / 3600,
    0
  ),
  2
)"),0.0)</f>
        <v>0</v>
      </c>
      <c r="J41" s="99">
        <f>IFERROR(__xludf.DUMMYFUNCTION("ROUND(
  IFERROR(
    SUM(
      FILTER(
        'Sprint 8'!R:R,
        ('Sprint 8'!E:E = ""Mac: Jarupong Pawichpongkul"") *
        (LEFT('Sprint 8'!B:B,5) = ""RDAPS"")
      )
    ) / 3600,
    0
  ),
  2
)"),8.0)</f>
        <v>8</v>
      </c>
      <c r="K41" s="99">
        <f>IFERROR(__xludf.DUMMYFUNCTION("ROUND(
  IFERROR(
    SUM(
      FILTER(
        'Sprint 8'!R:R,
        ('Sprint 8'!E:E = ""Nim : muthita munmueang"") *
        (LEFT('Sprint 8'!B:B,5) = ""RDAPS"")
      )
    ) / 3600,
    0
  ),
  2
)"),0.0)</f>
        <v>0</v>
      </c>
      <c r="L41" s="99">
        <f>IFERROR(__xludf.DUMMYFUNCTION("ROUND(
  IFERROR(
    SUM(
      FILTER(
        'Sprint 8'!R:R,
        ('Sprint 8'!E:E = ""Moss : Kittapath Sangvikukit"") *
        (LEFT('Sprint 8'!B:B,5) = ""RDAPS"")
      )
    ) / 3600,
    0
  ),
  2
)"),0.0)</f>
        <v>0</v>
      </c>
    </row>
    <row r="42" ht="21.0" customHeight="1">
      <c r="A42" s="101" t="s">
        <v>4670</v>
      </c>
      <c r="B42" s="101">
        <f>IFERROR(__xludf.DUMMYFUNCTION("ROUND(
  IFERROR(
    SUM(
      FILTER(
        'Sprint 8'!R:R,
        ('Sprint 8'!E:E = ""Aek:Atiphat Nanthachitvanich"") *
        (LEFT('Sprint 8'!B:B,8) = ""DEVRDSUP"")
      )
    ) / 3600,
    0
  ),
  2
)"),0.0)</f>
        <v>0</v>
      </c>
      <c r="C42" s="99">
        <f>IFERROR(__xludf.DUMMYFUNCTION("ROUND(
  IFERROR(
    SUM(
      FILTER(
        'Sprint 8'!R:R,
        ('Sprint 8'!E:E = ""Zan : Isarapong Bulan"") *
        (LEFT('Sprint 8'!B:B,8) = ""DEVRDSUP"")
      )
    ) / 3600,
    0
  ),
  2
)"),0.0)</f>
        <v>0</v>
      </c>
      <c r="D42" s="99">
        <f>IFERROR(__xludf.DUMMYFUNCTION("ROUND(
  IFERROR(
    SUM(
      FILTER(
        'Sprint 8'!R:R,
        ('Sprint 8'!E:E = ""Aom: Pornsawan Polnyiem"") *
        (LEFT('Sprint 8'!B:B,8) = ""DEVRDSUP"")
      )
    ) / 3600,
    0
  ),
  2
)"),0.0)</f>
        <v>0</v>
      </c>
      <c r="E42" s="99">
        <f>IFERROR(__xludf.DUMMYFUNCTION("ROUND(
  IFERROR(
    SUM(
      FILTER(
        'Sprint 8'!R:R,
        ('Sprint 8'!E:E = ""Jack: Warin Kesorn"") *
        (LEFT('Sprint 8'!B:B,8) = ""DEVRDSUP"")
      )
    ) / 3600,
    0
  ),
  2
)"),0.0)</f>
        <v>0</v>
      </c>
      <c r="F42" s="101">
        <f>IFERROR(__xludf.DUMMYFUNCTION("ROUND(
  IFERROR(
    SUM(
      FILTER(
        'Sprint 8'!R:R,
        ('Sprint 8'!E:E = ""A:Phongthorn"") *
        (LEFT('Sprint 8'!B:B,8) = ""DEVRDSUP"")
      )
    ) / 3600,
    0
  ),
  2
)"),0.0)</f>
        <v>0</v>
      </c>
      <c r="G42" s="99">
        <f>IFERROR(__xludf.DUMMYFUNCTION("ROUND(
  IFERROR(
    SUM(
      FILTER(
        'Sprint 8'!R:R,
        ('Sprint 8'!E:E = ""Art_narupontp"") *
        (LEFT('Sprint 8'!B:B,8) = ""DEVRDSUP"")
      )
    ) / 3600,
    0
  ),
  2
)"),0.0)</f>
        <v>0</v>
      </c>
      <c r="H42" s="99">
        <f>IFERROR(__xludf.DUMMYFUNCTION("ROUND(
  IFERROR(
    SUM(
      FILTER(
        'Sprint 8'!R:R,
        ('Sprint 8'!E:E = ""Mai:Sateta Abvanawong"") *
        (LEFT('Sprint 8'!B:B,8) = ""DEVRDSUP"")
      )
    ) / 3600,
    0
  ),
  2
)"),0.0)</f>
        <v>0</v>
      </c>
      <c r="I42" s="99">
        <f>IFERROR(__xludf.DUMMYFUNCTION("ROUND(
  IFERROR(
    SUM(
      FILTER(
        'Sprint 8'!R:R,
        ('Sprint 8'!E:E = ""Kae: Pimonrath Jaiyen"") *
        (LEFT('Sprint 8'!B:B,8) = ""DEVRDSUP"")
      )
    ) / 3600,
    0
  ),
  2
)"),0.0)</f>
        <v>0</v>
      </c>
      <c r="J42" s="99">
        <f>IFERROR(__xludf.DUMMYFUNCTION("ROUND(
  IFERROR(
    SUM(
      FILTER(
        'Sprint 8'!R:R,
        ('Sprint 8'!E:E = ""Mac: Jarupong Pawichpongkul"") *
        (LEFT('Sprint 8'!B:B,8) = ""DEVRDSUP"")
      )
    ) / 3600,
    0
  ),
  2
)"),0.0)</f>
        <v>0</v>
      </c>
      <c r="K42" s="99">
        <f>IFERROR(__xludf.DUMMYFUNCTION("ROUND(
  IFERROR(
    SUM(
      FILTER(
        'Sprint 8'!R:R,
        ('Sprint 8'!E:E = ""Nim : muthita munmueang"") *
        (LEFT('Sprint 8'!B:B,8) = ""DEVRDSUP"")
      )
    ) / 3600,
    0
  ),
  2
)"),0.0)</f>
        <v>0</v>
      </c>
      <c r="L42" s="99">
        <f>IFERROR(__xludf.DUMMYFUNCTION("ROUND(
  IFERROR(
    SUM(
      FILTER(
        'Sprint 8'!R:R,
        ('Sprint 8'!E:E = ""Moss : Kittapath Sangvikukit"") *
        (LEFT('Sprint 8'!B:B,8) = ""DEVRDSUP"")
      )
    ) / 3600,
    0
  ),
  2
)"),0.0)</f>
        <v>0</v>
      </c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</sheetData>
  <mergeCells count="6">
    <mergeCell ref="B25:E25"/>
    <mergeCell ref="F25:H25"/>
    <mergeCell ref="I25:L25"/>
    <mergeCell ref="B35:E35"/>
    <mergeCell ref="F35:H35"/>
    <mergeCell ref="I35:L3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19" max="19" width="17.5"/>
    <col customWidth="1" min="20" max="20" width="21.25"/>
    <col customWidth="1" min="21" max="21" width="20.13"/>
    <col customWidth="1" min="23" max="23" width="17.5"/>
    <col customWidth="1" min="24" max="24" width="21.25"/>
    <col customWidth="1" min="25" max="25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275</v>
      </c>
      <c r="S1" s="149" t="s">
        <v>3245</v>
      </c>
      <c r="T1" s="115" t="s">
        <v>9093</v>
      </c>
      <c r="U1" s="115" t="s">
        <v>6</v>
      </c>
      <c r="V1" s="102" t="s">
        <v>70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/>
      <c r="AB1" s="102"/>
      <c r="AC1" s="102"/>
      <c r="AD1" s="102"/>
      <c r="AE1" s="102"/>
      <c r="AF1" s="102"/>
      <c r="AG1" s="102"/>
      <c r="AH1" s="88"/>
      <c r="AI1" s="88"/>
    </row>
    <row r="2">
      <c r="A2" s="102" t="s">
        <v>332</v>
      </c>
      <c r="B2" s="102" t="s">
        <v>8916</v>
      </c>
      <c r="C2" s="229" t="s">
        <v>8917</v>
      </c>
      <c r="D2" s="102" t="s">
        <v>8918</v>
      </c>
      <c r="E2" s="102" t="s">
        <v>282</v>
      </c>
      <c r="F2" s="102" t="s">
        <v>283</v>
      </c>
      <c r="G2" s="102" t="s">
        <v>282</v>
      </c>
      <c r="H2" s="102" t="s">
        <v>283</v>
      </c>
      <c r="I2" s="102" t="s">
        <v>515</v>
      </c>
      <c r="J2" s="102" t="s">
        <v>2415</v>
      </c>
      <c r="L2" s="229" t="s">
        <v>8919</v>
      </c>
      <c r="M2" s="229" t="s">
        <v>9094</v>
      </c>
      <c r="O2" s="102"/>
      <c r="P2" s="102"/>
      <c r="Q2" s="102"/>
      <c r="R2" s="230"/>
      <c r="S2" s="230" t="str">
        <f>IF(ISNUMBER(MATCH(B2, 'Sprint 7'!B:B, 0)), "มาจาก Sprint 7", "")</f>
        <v/>
      </c>
      <c r="T2" s="230" t="str">
        <f t="array" ref="T2">IF(ISNUMBER(MATCH(B2, 'Sprint 7'!B:B, 0)), INDEX('Sprint 7'!J:J, MATCH(B2, 'Sprint 7'!B:B, 0)), "")</f>
        <v/>
      </c>
      <c r="V2" s="102" t="s">
        <v>8806</v>
      </c>
      <c r="W2" s="230"/>
      <c r="X2" s="230"/>
      <c r="Y2" s="230"/>
      <c r="Z2" s="102"/>
      <c r="AA2" s="102"/>
      <c r="AB2" s="102"/>
    </row>
    <row r="3">
      <c r="A3" s="102" t="s">
        <v>332</v>
      </c>
      <c r="B3" s="102" t="s">
        <v>8920</v>
      </c>
      <c r="C3" s="229" t="s">
        <v>8921</v>
      </c>
      <c r="D3" s="102" t="s">
        <v>8922</v>
      </c>
      <c r="E3" s="102" t="s">
        <v>353</v>
      </c>
      <c r="F3" s="102" t="s">
        <v>354</v>
      </c>
      <c r="G3" s="102" t="s">
        <v>316</v>
      </c>
      <c r="H3" s="102" t="s">
        <v>317</v>
      </c>
      <c r="I3" s="102" t="s">
        <v>515</v>
      </c>
      <c r="J3" s="102" t="s">
        <v>2231</v>
      </c>
      <c r="L3" s="229" t="s">
        <v>8923</v>
      </c>
      <c r="M3" s="229" t="s">
        <v>9095</v>
      </c>
      <c r="N3" s="229" t="s">
        <v>7989</v>
      </c>
      <c r="O3" s="102"/>
      <c r="P3" s="102" t="s">
        <v>322</v>
      </c>
      <c r="Q3" s="102" t="s">
        <v>538</v>
      </c>
      <c r="R3" s="230"/>
      <c r="S3" s="230" t="str">
        <f>IF(ISNUMBER(MATCH(B3, 'Sprint 7'!B:B, 0)), "มาจาก Sprint 7", "")</f>
        <v/>
      </c>
      <c r="T3" s="230" t="str">
        <f t="array" ref="T3">IF(ISNUMBER(MATCH(B3, 'Sprint 7'!B:B, 0)), INDEX('Sprint 7'!J:J, MATCH(B3, 'Sprint 7'!B:B, 0)), "")</f>
        <v/>
      </c>
      <c r="V3" s="102" t="s">
        <v>8806</v>
      </c>
      <c r="W3" s="230"/>
      <c r="X3" s="230"/>
      <c r="Y3" s="230"/>
      <c r="Z3" s="102"/>
      <c r="AA3" s="102"/>
      <c r="AB3" s="102"/>
    </row>
    <row r="4">
      <c r="A4" s="102" t="s">
        <v>310</v>
      </c>
      <c r="B4" s="102" t="s">
        <v>8460</v>
      </c>
      <c r="C4" s="229" t="s">
        <v>8461</v>
      </c>
      <c r="D4" s="102" t="s">
        <v>8462</v>
      </c>
      <c r="E4" s="102" t="s">
        <v>282</v>
      </c>
      <c r="F4" s="102" t="s">
        <v>283</v>
      </c>
      <c r="G4" s="102" t="s">
        <v>282</v>
      </c>
      <c r="H4" s="102" t="s">
        <v>283</v>
      </c>
      <c r="I4" s="102" t="s">
        <v>318</v>
      </c>
      <c r="J4" s="102" t="s">
        <v>678</v>
      </c>
      <c r="L4" s="229" t="s">
        <v>8463</v>
      </c>
      <c r="M4" s="229" t="s">
        <v>9096</v>
      </c>
      <c r="O4" s="102">
        <v>3.0</v>
      </c>
      <c r="P4" s="102" t="s">
        <v>4656</v>
      </c>
      <c r="Q4" s="102" t="s">
        <v>1808</v>
      </c>
      <c r="R4" s="102">
        <v>28800.0</v>
      </c>
      <c r="S4" s="230" t="str">
        <f>IF(ISNUMBER(MATCH(B4, 'Sprint 7'!B:B, 0)), "มาจาก Sprint 7", "")</f>
        <v/>
      </c>
      <c r="T4" s="230" t="str">
        <f t="array" ref="T4">IF(ISNUMBER(MATCH(B4, 'Sprint 7'!B:B, 0)), INDEX('Sprint 7'!J:J, MATCH(B4, 'Sprint 7'!B:B, 0)), "")</f>
        <v/>
      </c>
      <c r="U4" s="102" t="s">
        <v>9097</v>
      </c>
      <c r="V4" s="102" t="s">
        <v>8806</v>
      </c>
      <c r="W4" s="230"/>
      <c r="X4" s="230"/>
      <c r="Y4" s="102"/>
      <c r="Z4" s="102"/>
      <c r="AA4" s="102"/>
      <c r="AB4" s="102"/>
    </row>
    <row r="5">
      <c r="A5" s="102" t="s">
        <v>310</v>
      </c>
      <c r="B5" s="102" t="s">
        <v>8465</v>
      </c>
      <c r="C5" s="229" t="s">
        <v>8466</v>
      </c>
      <c r="D5" s="102" t="s">
        <v>8467</v>
      </c>
      <c r="E5" s="102" t="s">
        <v>282</v>
      </c>
      <c r="F5" s="102" t="s">
        <v>283</v>
      </c>
      <c r="G5" s="102" t="s">
        <v>282</v>
      </c>
      <c r="H5" s="102" t="s">
        <v>283</v>
      </c>
      <c r="I5" s="102" t="s">
        <v>318</v>
      </c>
      <c r="J5" s="102" t="s">
        <v>678</v>
      </c>
      <c r="L5" s="229" t="s">
        <v>8468</v>
      </c>
      <c r="M5" s="229" t="s">
        <v>9096</v>
      </c>
      <c r="O5" s="102">
        <v>2.0</v>
      </c>
      <c r="P5" s="102" t="s">
        <v>4656</v>
      </c>
      <c r="Q5" s="102" t="s">
        <v>504</v>
      </c>
      <c r="R5" s="102">
        <v>14400.0</v>
      </c>
      <c r="S5" s="230" t="str">
        <f>IF(ISNUMBER(MATCH(B5, 'Sprint 7'!B:B, 0)), "มาจาก Sprint 7", "")</f>
        <v/>
      </c>
      <c r="T5" s="230" t="str">
        <f t="array" ref="T5">IF(ISNUMBER(MATCH(B5, 'Sprint 7'!B:B, 0)), INDEX('Sprint 7'!J:J, MATCH(B5, 'Sprint 7'!B:B, 0)), "")</f>
        <v/>
      </c>
      <c r="U5" s="102" t="s">
        <v>9097</v>
      </c>
      <c r="V5" s="102" t="s">
        <v>8806</v>
      </c>
      <c r="W5" s="230"/>
      <c r="X5" s="230"/>
      <c r="Y5" s="230"/>
      <c r="Z5" s="102"/>
      <c r="AA5" s="102"/>
      <c r="AB5" s="102"/>
    </row>
    <row r="6">
      <c r="A6" s="102" t="s">
        <v>332</v>
      </c>
      <c r="B6" s="102" t="s">
        <v>8937</v>
      </c>
      <c r="C6" s="229" t="s">
        <v>8938</v>
      </c>
      <c r="D6" s="102" t="s">
        <v>8939</v>
      </c>
      <c r="E6" s="102" t="s">
        <v>556</v>
      </c>
      <c r="F6" s="102" t="s">
        <v>557</v>
      </c>
      <c r="G6" s="102" t="s">
        <v>521</v>
      </c>
      <c r="H6" s="102" t="s">
        <v>522</v>
      </c>
      <c r="I6" s="102" t="s">
        <v>648</v>
      </c>
      <c r="J6" s="102" t="s">
        <v>922</v>
      </c>
      <c r="L6" s="229" t="s">
        <v>8940</v>
      </c>
      <c r="M6" s="229" t="s">
        <v>9098</v>
      </c>
      <c r="O6" s="102"/>
      <c r="R6" s="230"/>
      <c r="S6" s="230" t="str">
        <f>IF(ISNUMBER(MATCH(B6, 'Sprint 7'!B:B, 0)), "มาจาก Sprint 7", "")</f>
        <v/>
      </c>
      <c r="T6" s="230" t="str">
        <f t="array" ref="T6">IF(ISNUMBER(MATCH(B6, 'Sprint 7'!B:B, 0)), INDEX('Sprint 7'!J:J, MATCH(B6, 'Sprint 7'!B:B, 0)), "")</f>
        <v/>
      </c>
      <c r="V6" s="102" t="s">
        <v>5919</v>
      </c>
      <c r="W6" s="230"/>
      <c r="X6" s="230"/>
      <c r="Y6" s="230"/>
      <c r="Z6" s="102"/>
      <c r="AA6" s="102"/>
      <c r="AB6" s="102"/>
    </row>
    <row r="7">
      <c r="A7" s="102" t="s">
        <v>332</v>
      </c>
      <c r="B7" s="102" t="s">
        <v>9099</v>
      </c>
      <c r="C7" s="229" t="s">
        <v>9100</v>
      </c>
      <c r="D7" s="102" t="s">
        <v>9101</v>
      </c>
      <c r="E7" s="102" t="s">
        <v>9102</v>
      </c>
      <c r="F7" s="102" t="s">
        <v>6861</v>
      </c>
      <c r="G7" s="102" t="s">
        <v>521</v>
      </c>
      <c r="H7" s="102" t="s">
        <v>522</v>
      </c>
      <c r="I7" s="102" t="s">
        <v>648</v>
      </c>
      <c r="J7" s="102" t="s">
        <v>336</v>
      </c>
      <c r="L7" s="229" t="s">
        <v>9103</v>
      </c>
      <c r="M7" s="229" t="s">
        <v>9104</v>
      </c>
      <c r="N7" s="229" t="s">
        <v>8563</v>
      </c>
      <c r="O7" s="102"/>
      <c r="P7" s="102"/>
      <c r="Q7" s="102"/>
      <c r="R7" s="230"/>
      <c r="S7" s="230" t="str">
        <f>IF(ISNUMBER(MATCH(B7, 'Sprint 7'!B:B, 0)), "มาจาก Sprint 7", "")</f>
        <v/>
      </c>
      <c r="T7" s="230" t="str">
        <f t="array" ref="T7">IF(ISNUMBER(MATCH(B7, 'Sprint 7'!B:B, 0)), INDEX('Sprint 7'!J:J, MATCH(B7, 'Sprint 7'!B:B, 0)), "")</f>
        <v/>
      </c>
      <c r="V7" s="102" t="s">
        <v>5919</v>
      </c>
      <c r="W7" s="230"/>
      <c r="X7" s="230"/>
      <c r="Y7" s="230"/>
      <c r="Z7" s="102"/>
      <c r="AA7" s="102"/>
    </row>
    <row r="8">
      <c r="A8" s="102" t="s">
        <v>332</v>
      </c>
      <c r="B8" s="102" t="s">
        <v>9105</v>
      </c>
      <c r="C8" s="229" t="s">
        <v>9106</v>
      </c>
      <c r="D8" s="102" t="s">
        <v>9107</v>
      </c>
      <c r="E8" s="102" t="s">
        <v>9102</v>
      </c>
      <c r="F8" s="102" t="s">
        <v>6861</v>
      </c>
      <c r="G8" s="102" t="s">
        <v>521</v>
      </c>
      <c r="H8" s="102" t="s">
        <v>522</v>
      </c>
      <c r="I8" s="102" t="s">
        <v>284</v>
      </c>
      <c r="J8" s="102" t="s">
        <v>336</v>
      </c>
      <c r="L8" s="229" t="s">
        <v>9108</v>
      </c>
      <c r="M8" s="229" t="s">
        <v>9109</v>
      </c>
      <c r="N8" s="229" t="s">
        <v>8563</v>
      </c>
      <c r="O8" s="230"/>
      <c r="R8" s="230"/>
      <c r="S8" s="230" t="str">
        <f>IF(ISNUMBER(MATCH(B8, 'Sprint 7'!B:B, 0)), "มาจาก Sprint 7", "")</f>
        <v/>
      </c>
      <c r="T8" s="230" t="str">
        <f t="array" ref="T8">IF(ISNUMBER(MATCH(B8, 'Sprint 7'!B:B, 0)), INDEX('Sprint 7'!J:J, MATCH(B8, 'Sprint 7'!B:B, 0)), "")</f>
        <v/>
      </c>
      <c r="V8" s="102" t="s">
        <v>5919</v>
      </c>
      <c r="W8" s="230"/>
      <c r="X8" s="230"/>
      <c r="Y8" s="230"/>
      <c r="Z8" s="102"/>
      <c r="AA8" s="102"/>
      <c r="AB8" s="102"/>
    </row>
    <row r="9">
      <c r="A9" s="102" t="s">
        <v>310</v>
      </c>
      <c r="B9" s="102" t="s">
        <v>8469</v>
      </c>
      <c r="C9" s="229" t="s">
        <v>8470</v>
      </c>
      <c r="D9" s="102" t="s">
        <v>8471</v>
      </c>
      <c r="E9" s="102" t="s">
        <v>282</v>
      </c>
      <c r="F9" s="102" t="s">
        <v>283</v>
      </c>
      <c r="G9" s="102" t="s">
        <v>353</v>
      </c>
      <c r="H9" s="102" t="s">
        <v>354</v>
      </c>
      <c r="I9" s="102" t="s">
        <v>318</v>
      </c>
      <c r="J9" s="102" t="s">
        <v>678</v>
      </c>
      <c r="L9" s="229" t="s">
        <v>8472</v>
      </c>
      <c r="M9" s="229" t="s">
        <v>9096</v>
      </c>
      <c r="O9" s="102">
        <v>3.0</v>
      </c>
      <c r="P9" s="102" t="s">
        <v>777</v>
      </c>
      <c r="Q9" s="102" t="s">
        <v>4656</v>
      </c>
      <c r="R9" s="102">
        <v>28800.0</v>
      </c>
      <c r="S9" s="230" t="str">
        <f>IF(ISNUMBER(MATCH(B9, 'Sprint 7'!B:B, 0)), "มาจาก Sprint 7", "")</f>
        <v/>
      </c>
      <c r="T9" s="230" t="str">
        <f t="array" ref="T9">IF(ISNUMBER(MATCH(B9, 'Sprint 7'!B:B, 0)), INDEX('Sprint 7'!J:J, MATCH(B9, 'Sprint 7'!B:B, 0)), "")</f>
        <v/>
      </c>
      <c r="U9" s="102" t="s">
        <v>9097</v>
      </c>
      <c r="V9" s="102" t="s">
        <v>8806</v>
      </c>
      <c r="W9" s="230"/>
      <c r="X9" s="230"/>
      <c r="Y9" s="230"/>
      <c r="Z9" s="102"/>
      <c r="AA9" s="102"/>
      <c r="AB9" s="102"/>
    </row>
    <row r="10">
      <c r="A10" s="102" t="s">
        <v>310</v>
      </c>
      <c r="B10" s="102" t="s">
        <v>8943</v>
      </c>
      <c r="C10" s="229" t="s">
        <v>8944</v>
      </c>
      <c r="D10" s="102" t="s">
        <v>8945</v>
      </c>
      <c r="E10" s="102" t="s">
        <v>353</v>
      </c>
      <c r="F10" s="102" t="s">
        <v>354</v>
      </c>
      <c r="G10" s="102" t="s">
        <v>353</v>
      </c>
      <c r="H10" s="102" t="s">
        <v>354</v>
      </c>
      <c r="I10" s="102" t="s">
        <v>284</v>
      </c>
      <c r="J10" s="102" t="s">
        <v>34</v>
      </c>
      <c r="L10" s="229" t="s">
        <v>8946</v>
      </c>
      <c r="M10" s="229" t="s">
        <v>9110</v>
      </c>
      <c r="O10" s="230"/>
      <c r="R10" s="230"/>
      <c r="S10" s="230" t="str">
        <f>IF(ISNUMBER(MATCH(B10, 'Sprint 7'!B:B, 0)), "มาจาก Sprint 7", "")</f>
        <v/>
      </c>
      <c r="T10" s="230" t="str">
        <f t="array" ref="T10">IF(ISNUMBER(MATCH(B10, 'Sprint 7'!B:B, 0)), INDEX('Sprint 7'!J:J, MATCH(B10, 'Sprint 7'!B:B, 0)), "")</f>
        <v/>
      </c>
      <c r="V10" s="102" t="s">
        <v>8806</v>
      </c>
      <c r="W10" s="230"/>
      <c r="X10" s="230"/>
      <c r="Y10" s="230"/>
      <c r="Z10" s="102"/>
      <c r="AA10" s="102"/>
      <c r="AB10" s="102"/>
    </row>
    <row r="11">
      <c r="A11" s="102" t="s">
        <v>332</v>
      </c>
      <c r="B11" s="102" t="s">
        <v>9111</v>
      </c>
      <c r="C11" s="229" t="s">
        <v>9112</v>
      </c>
      <c r="D11" s="102" t="s">
        <v>9113</v>
      </c>
      <c r="E11" s="102" t="s">
        <v>556</v>
      </c>
      <c r="F11" s="102" t="s">
        <v>557</v>
      </c>
      <c r="G11" s="102" t="s">
        <v>280</v>
      </c>
      <c r="H11" s="102" t="s">
        <v>281</v>
      </c>
      <c r="I11" s="102" t="s">
        <v>284</v>
      </c>
      <c r="J11" s="102" t="s">
        <v>336</v>
      </c>
      <c r="L11" s="229" t="s">
        <v>9114</v>
      </c>
      <c r="M11" s="229" t="s">
        <v>9115</v>
      </c>
      <c r="N11" s="102"/>
      <c r="O11" s="102"/>
      <c r="P11" s="102"/>
      <c r="Q11" s="102"/>
      <c r="R11" s="102"/>
      <c r="S11" s="230" t="str">
        <f>IF(ISNUMBER(MATCH(B11, 'Sprint 7'!B:B, 0)), "มาจาก Sprint 7", "")</f>
        <v/>
      </c>
      <c r="T11" s="230" t="str">
        <f t="array" ref="T11">IF(ISNUMBER(MATCH(B11, 'Sprint 7'!B:B, 0)), INDEX('Sprint 7'!J:J, MATCH(B11, 'Sprint 7'!B:B, 0)), "")</f>
        <v/>
      </c>
      <c r="V11" s="102" t="s">
        <v>5919</v>
      </c>
      <c r="W11" s="230"/>
      <c r="X11" s="230"/>
      <c r="Y11" s="230"/>
      <c r="Z11" s="102"/>
      <c r="AA11" s="102"/>
      <c r="AB11" s="102"/>
    </row>
    <row r="12">
      <c r="A12" s="102" t="s">
        <v>332</v>
      </c>
      <c r="B12" s="102" t="s">
        <v>9116</v>
      </c>
      <c r="C12" s="229" t="s">
        <v>9117</v>
      </c>
      <c r="D12" s="102" t="s">
        <v>9118</v>
      </c>
      <c r="E12" s="102" t="s">
        <v>353</v>
      </c>
      <c r="F12" s="102" t="s">
        <v>354</v>
      </c>
      <c r="G12" s="102" t="s">
        <v>521</v>
      </c>
      <c r="H12" s="102" t="s">
        <v>522</v>
      </c>
      <c r="I12" s="102" t="s">
        <v>284</v>
      </c>
      <c r="J12" s="102" t="s">
        <v>336</v>
      </c>
      <c r="L12" s="229" t="s">
        <v>9119</v>
      </c>
      <c r="M12" s="229" t="s">
        <v>9120</v>
      </c>
      <c r="O12" s="230"/>
      <c r="R12" s="230"/>
      <c r="S12" s="230" t="str">
        <f>IF(ISNUMBER(MATCH(B12, 'Sprint 7'!B:B, 0)), "มาจาก Sprint 7", "")</f>
        <v/>
      </c>
      <c r="T12" s="230" t="str">
        <f t="array" ref="T12">IF(ISNUMBER(MATCH(B12, 'Sprint 7'!B:B, 0)), INDEX('Sprint 7'!J:J, MATCH(B12, 'Sprint 7'!B:B, 0)), "")</f>
        <v/>
      </c>
      <c r="V12" s="102" t="s">
        <v>8755</v>
      </c>
      <c r="W12" s="230"/>
      <c r="X12" s="230"/>
      <c r="Y12" s="230"/>
      <c r="Z12" s="102"/>
      <c r="AA12" s="102"/>
      <c r="AB12" s="102"/>
      <c r="AC12" s="102"/>
    </row>
    <row r="13">
      <c r="A13" s="102" t="s">
        <v>310</v>
      </c>
      <c r="B13" s="102" t="s">
        <v>7601</v>
      </c>
      <c r="C13" s="229" t="s">
        <v>7602</v>
      </c>
      <c r="D13" s="102" t="s">
        <v>7603</v>
      </c>
      <c r="E13" s="102" t="s">
        <v>564</v>
      </c>
      <c r="F13" s="102" t="s">
        <v>565</v>
      </c>
      <c r="G13" s="102" t="s">
        <v>282</v>
      </c>
      <c r="H13" s="102" t="s">
        <v>283</v>
      </c>
      <c r="I13" s="102" t="s">
        <v>515</v>
      </c>
      <c r="J13" s="102" t="s">
        <v>454</v>
      </c>
      <c r="L13" s="229" t="s">
        <v>7604</v>
      </c>
      <c r="M13" s="229" t="s">
        <v>9121</v>
      </c>
      <c r="N13" s="229" t="s">
        <v>7606</v>
      </c>
      <c r="O13" s="102">
        <v>2.0</v>
      </c>
      <c r="R13" s="102">
        <v>14400.0</v>
      </c>
      <c r="S13" s="230" t="str">
        <f>IF(ISNUMBER(MATCH(B13, 'Sprint 7'!B:B, 0)), "มาจาก Sprint 7", "")</f>
        <v/>
      </c>
      <c r="T13" s="230" t="str">
        <f t="array" ref="T13">IF(ISNUMBER(MATCH(B13, 'Sprint 7'!B:B, 0)), INDEX('Sprint 7'!J:J, MATCH(B13, 'Sprint 7'!B:B, 0)), "")</f>
        <v/>
      </c>
      <c r="V13" s="102" t="s">
        <v>5919</v>
      </c>
      <c r="W13" s="102"/>
      <c r="X13" s="230"/>
      <c r="Y13" s="230"/>
      <c r="Z13" s="102"/>
      <c r="AA13" s="102"/>
      <c r="AB13" s="102"/>
      <c r="AC13" s="102"/>
    </row>
    <row r="14">
      <c r="A14" s="102" t="s">
        <v>332</v>
      </c>
      <c r="B14" s="102" t="s">
        <v>8479</v>
      </c>
      <c r="C14" s="229" t="s">
        <v>8480</v>
      </c>
      <c r="D14" s="102" t="s">
        <v>8481</v>
      </c>
      <c r="E14" s="102" t="s">
        <v>353</v>
      </c>
      <c r="F14" s="102" t="s">
        <v>354</v>
      </c>
      <c r="G14" s="102" t="s">
        <v>353</v>
      </c>
      <c r="H14" s="102" t="s">
        <v>354</v>
      </c>
      <c r="I14" s="102" t="s">
        <v>284</v>
      </c>
      <c r="J14" s="102" t="s">
        <v>1540</v>
      </c>
      <c r="L14" s="229" t="s">
        <v>8482</v>
      </c>
      <c r="M14" s="229" t="s">
        <v>9122</v>
      </c>
      <c r="O14" s="102"/>
      <c r="R14" s="230"/>
      <c r="S14" s="230" t="str">
        <f>IF(ISNUMBER(MATCH(B14, 'Sprint 7'!B:B, 0)), "มาจาก Sprint 7", "")</f>
        <v/>
      </c>
      <c r="T14" s="230" t="str">
        <f t="array" ref="T14">IF(ISNUMBER(MATCH(B14, 'Sprint 7'!B:B, 0)), INDEX('Sprint 7'!J:J, MATCH(B14, 'Sprint 7'!B:B, 0)), "")</f>
        <v/>
      </c>
      <c r="V14" s="102" t="s">
        <v>8806</v>
      </c>
      <c r="W14" s="230"/>
      <c r="X14" s="230"/>
      <c r="Y14" s="230"/>
      <c r="Z14" s="102"/>
      <c r="AA14" s="102"/>
      <c r="AB14" s="102"/>
    </row>
    <row r="15">
      <c r="A15" s="102" t="s">
        <v>276</v>
      </c>
      <c r="B15" s="102" t="s">
        <v>9123</v>
      </c>
      <c r="C15" s="229" t="s">
        <v>9124</v>
      </c>
      <c r="D15" s="102" t="s">
        <v>9125</v>
      </c>
      <c r="E15" s="102" t="s">
        <v>521</v>
      </c>
      <c r="F15" s="102" t="s">
        <v>522</v>
      </c>
      <c r="G15" s="102" t="s">
        <v>521</v>
      </c>
      <c r="H15" s="102" t="s">
        <v>522</v>
      </c>
      <c r="I15" s="102" t="s">
        <v>284</v>
      </c>
      <c r="J15" s="102" t="s">
        <v>26</v>
      </c>
      <c r="L15" s="229" t="s">
        <v>9126</v>
      </c>
      <c r="M15" s="229" t="s">
        <v>9127</v>
      </c>
      <c r="O15" s="230"/>
      <c r="R15" s="230"/>
      <c r="S15" s="230" t="str">
        <f>IF(ISNUMBER(MATCH(B15, 'Sprint 7'!B:B, 0)), "มาจาก Sprint 7", "")</f>
        <v/>
      </c>
      <c r="T15" s="230" t="str">
        <f t="array" ref="T15">IF(ISNUMBER(MATCH(B15, 'Sprint 7'!B:B, 0)), INDEX('Sprint 7'!J:J, MATCH(B15, 'Sprint 7'!B:B, 0)), "")</f>
        <v/>
      </c>
      <c r="V15" s="102" t="s">
        <v>8754</v>
      </c>
      <c r="W15" s="102" t="s">
        <v>8755</v>
      </c>
      <c r="X15" s="230"/>
      <c r="Y15" s="230"/>
      <c r="Z15" s="102"/>
      <c r="AA15" s="102"/>
      <c r="AB15" s="102"/>
    </row>
    <row r="16">
      <c r="A16" s="102" t="s">
        <v>332</v>
      </c>
      <c r="B16" s="102" t="s">
        <v>9128</v>
      </c>
      <c r="C16" s="229" t="s">
        <v>9129</v>
      </c>
      <c r="D16" s="102" t="s">
        <v>9130</v>
      </c>
      <c r="E16" s="102" t="s">
        <v>353</v>
      </c>
      <c r="F16" s="102" t="s">
        <v>354</v>
      </c>
      <c r="G16" s="102" t="s">
        <v>353</v>
      </c>
      <c r="H16" s="102" t="s">
        <v>354</v>
      </c>
      <c r="I16" s="102" t="s">
        <v>284</v>
      </c>
      <c r="J16" s="102" t="s">
        <v>336</v>
      </c>
      <c r="L16" s="229" t="s">
        <v>9131</v>
      </c>
      <c r="M16" s="229" t="s">
        <v>9132</v>
      </c>
      <c r="O16" s="102">
        <v>3.0</v>
      </c>
      <c r="R16" s="102">
        <v>28800.0</v>
      </c>
      <c r="S16" s="230" t="str">
        <f>IF(ISNUMBER(MATCH(B16, 'Sprint 7'!B:B, 0)), "มาจาก Sprint 7", "")</f>
        <v/>
      </c>
      <c r="T16" s="230" t="str">
        <f t="array" ref="T16">IF(ISNUMBER(MATCH(B16, 'Sprint 7'!B:B, 0)), INDEX('Sprint 7'!J:J, MATCH(B16, 'Sprint 7'!B:B, 0)), "")</f>
        <v/>
      </c>
      <c r="U16" s="102" t="s">
        <v>9097</v>
      </c>
      <c r="V16" s="102" t="s">
        <v>8806</v>
      </c>
      <c r="W16" s="230"/>
      <c r="X16" s="230"/>
      <c r="Y16" s="230"/>
      <c r="Z16" s="102"/>
      <c r="AA16" s="102"/>
      <c r="AB16" s="102"/>
    </row>
    <row r="17">
      <c r="A17" s="102" t="s">
        <v>276</v>
      </c>
      <c r="B17" s="102" t="s">
        <v>9133</v>
      </c>
      <c r="C17" s="229" t="s">
        <v>9134</v>
      </c>
      <c r="D17" s="102" t="s">
        <v>347</v>
      </c>
      <c r="E17" s="102" t="s">
        <v>280</v>
      </c>
      <c r="F17" s="102" t="s">
        <v>281</v>
      </c>
      <c r="G17" s="102" t="s">
        <v>280</v>
      </c>
      <c r="H17" s="102" t="s">
        <v>281</v>
      </c>
      <c r="I17" s="102" t="s">
        <v>284</v>
      </c>
      <c r="J17" s="102" t="s">
        <v>26</v>
      </c>
      <c r="L17" s="229" t="s">
        <v>9135</v>
      </c>
      <c r="M17" s="229" t="s">
        <v>9136</v>
      </c>
      <c r="N17" s="102"/>
      <c r="O17" s="102"/>
      <c r="P17" s="102"/>
      <c r="Q17" s="102"/>
      <c r="R17" s="230"/>
      <c r="S17" s="230" t="str">
        <f>IF(ISNUMBER(MATCH(B17, 'Sprint 7'!B:B, 0)), "มาจาก Sprint 7", "")</f>
        <v/>
      </c>
      <c r="T17" s="230" t="str">
        <f t="array" ref="T17">IF(ISNUMBER(MATCH(B17, 'Sprint 7'!B:B, 0)), INDEX('Sprint 7'!J:J, MATCH(B17, 'Sprint 7'!B:B, 0)), "")</f>
        <v/>
      </c>
      <c r="V17" s="102" t="s">
        <v>1362</v>
      </c>
      <c r="W17" s="230"/>
      <c r="X17" s="230"/>
      <c r="Y17" s="102"/>
      <c r="Z17" s="102"/>
    </row>
    <row r="18">
      <c r="A18" s="102" t="s">
        <v>276</v>
      </c>
      <c r="B18" s="102" t="s">
        <v>9137</v>
      </c>
      <c r="C18" s="229" t="s">
        <v>9138</v>
      </c>
      <c r="D18" s="102" t="s">
        <v>2030</v>
      </c>
      <c r="E18" s="102" t="s">
        <v>280</v>
      </c>
      <c r="F18" s="102" t="s">
        <v>281</v>
      </c>
      <c r="G18" s="102" t="s">
        <v>280</v>
      </c>
      <c r="H18" s="102" t="s">
        <v>281</v>
      </c>
      <c r="I18" s="102" t="s">
        <v>284</v>
      </c>
      <c r="J18" s="102" t="s">
        <v>26</v>
      </c>
      <c r="L18" s="229" t="s">
        <v>9135</v>
      </c>
      <c r="M18" s="229" t="s">
        <v>9139</v>
      </c>
      <c r="O18" s="102"/>
      <c r="R18" s="230"/>
      <c r="S18" s="230" t="str">
        <f>IF(ISNUMBER(MATCH(B18, 'Sprint 7'!B:B, 0)), "มาจาก Sprint 7", "")</f>
        <v/>
      </c>
      <c r="T18" s="230" t="str">
        <f t="array" ref="T18">IF(ISNUMBER(MATCH(B18, 'Sprint 7'!B:B, 0)), INDEX('Sprint 7'!J:J, MATCH(B18, 'Sprint 7'!B:B, 0)), "")</f>
        <v/>
      </c>
      <c r="V18" s="102" t="s">
        <v>1362</v>
      </c>
      <c r="W18" s="230"/>
      <c r="X18" s="230"/>
      <c r="Y18" s="230"/>
      <c r="Z18" s="102"/>
      <c r="AA18" s="102"/>
      <c r="AB18" s="102"/>
      <c r="AC18" s="102"/>
    </row>
    <row r="19">
      <c r="A19" s="102" t="s">
        <v>310</v>
      </c>
      <c r="B19" s="102" t="s">
        <v>5914</v>
      </c>
      <c r="C19" s="229" t="s">
        <v>5915</v>
      </c>
      <c r="D19" s="102" t="s">
        <v>5916</v>
      </c>
      <c r="E19" s="102" t="s">
        <v>584</v>
      </c>
      <c r="F19" s="102" t="s">
        <v>585</v>
      </c>
      <c r="G19" s="102" t="s">
        <v>353</v>
      </c>
      <c r="H19" s="102" t="s">
        <v>354</v>
      </c>
      <c r="I19" s="102" t="s">
        <v>284</v>
      </c>
      <c r="J19" s="102" t="s">
        <v>454</v>
      </c>
      <c r="L19" s="229" t="s">
        <v>5917</v>
      </c>
      <c r="M19" s="229" t="s">
        <v>9140</v>
      </c>
      <c r="N19" s="229" t="s">
        <v>5918</v>
      </c>
      <c r="O19" s="102">
        <v>3.0</v>
      </c>
      <c r="R19" s="102">
        <v>21600.0</v>
      </c>
      <c r="S19" s="230" t="str">
        <f>IF(ISNUMBER(MATCH(B19, 'Sprint 7'!B:B, 0)), "มาจาก Sprint 7", "")</f>
        <v/>
      </c>
      <c r="T19" s="230" t="str">
        <f t="array" ref="T19">IF(ISNUMBER(MATCH(B19, 'Sprint 7'!B:B, 0)), INDEX('Sprint 7'!J:J, MATCH(B19, 'Sprint 7'!B:B, 0)), "")</f>
        <v/>
      </c>
      <c r="V19" s="102" t="s">
        <v>5919</v>
      </c>
      <c r="W19" s="230"/>
      <c r="X19" s="230"/>
      <c r="Y19" s="230"/>
      <c r="Z19" s="102"/>
      <c r="AA19" s="102"/>
      <c r="AB19" s="102"/>
      <c r="AC19" s="102"/>
    </row>
    <row r="20">
      <c r="A20" s="102" t="s">
        <v>310</v>
      </c>
      <c r="B20" s="102" t="s">
        <v>8958</v>
      </c>
      <c r="C20" s="229" t="s">
        <v>8959</v>
      </c>
      <c r="D20" s="102" t="s">
        <v>8960</v>
      </c>
      <c r="E20" s="102" t="s">
        <v>353</v>
      </c>
      <c r="F20" s="102" t="s">
        <v>354</v>
      </c>
      <c r="G20" s="102" t="s">
        <v>353</v>
      </c>
      <c r="H20" s="102" t="s">
        <v>354</v>
      </c>
      <c r="I20" s="102" t="s">
        <v>284</v>
      </c>
      <c r="J20" s="102" t="s">
        <v>63</v>
      </c>
      <c r="L20" s="229" t="s">
        <v>8961</v>
      </c>
      <c r="M20" s="229" t="s">
        <v>8482</v>
      </c>
      <c r="O20" s="102">
        <v>3.0</v>
      </c>
      <c r="S20" s="230" t="str">
        <f>IF(ISNUMBER(MATCH(B20, 'Sprint 7'!B:B, 0)), "มาจาก Sprint 7", "")</f>
        <v/>
      </c>
      <c r="T20" s="230" t="str">
        <f t="array" ref="T20">IF(ISNUMBER(MATCH(B20, 'Sprint 7'!B:B, 0)), INDEX('Sprint 7'!J:J, MATCH(B20, 'Sprint 7'!B:B, 0)), "")</f>
        <v/>
      </c>
      <c r="V20" s="102" t="s">
        <v>8806</v>
      </c>
      <c r="W20" s="230"/>
      <c r="X20" s="230"/>
      <c r="Y20" s="230"/>
      <c r="Z20" s="102"/>
      <c r="AA20" s="102"/>
      <c r="AB20" s="102"/>
    </row>
    <row r="21">
      <c r="A21" s="102" t="s">
        <v>630</v>
      </c>
      <c r="B21" s="102" t="s">
        <v>8489</v>
      </c>
      <c r="C21" s="229" t="s">
        <v>8490</v>
      </c>
      <c r="D21" s="102" t="s">
        <v>8491</v>
      </c>
      <c r="E21" s="102" t="s">
        <v>353</v>
      </c>
      <c r="F21" s="102" t="s">
        <v>354</v>
      </c>
      <c r="G21" s="102" t="s">
        <v>353</v>
      </c>
      <c r="H21" s="102" t="s">
        <v>354</v>
      </c>
      <c r="I21" s="102" t="s">
        <v>284</v>
      </c>
      <c r="J21" s="102" t="s">
        <v>63</v>
      </c>
      <c r="L21" s="229" t="s">
        <v>8492</v>
      </c>
      <c r="M21" s="229" t="s">
        <v>8492</v>
      </c>
      <c r="N21" s="102"/>
      <c r="O21" s="102">
        <v>3.0</v>
      </c>
      <c r="P21" s="102"/>
      <c r="R21" s="102">
        <v>28800.0</v>
      </c>
      <c r="S21" s="230" t="str">
        <f>IF(ISNUMBER(MATCH(B21, 'Sprint 7'!B:B, 0)), "มาจาก Sprint 7", "")</f>
        <v/>
      </c>
      <c r="T21" s="230" t="str">
        <f t="array" ref="T21">IF(ISNUMBER(MATCH(B21, 'Sprint 7'!B:B, 0)), INDEX('Sprint 7'!J:J, MATCH(B21, 'Sprint 7'!B:B, 0)), "")</f>
        <v/>
      </c>
      <c r="U21" s="102" t="s">
        <v>9097</v>
      </c>
      <c r="V21" s="102" t="s">
        <v>8806</v>
      </c>
      <c r="W21" s="230"/>
      <c r="X21" s="230"/>
      <c r="Y21" s="102"/>
      <c r="Z21" s="102"/>
    </row>
    <row r="22">
      <c r="A22" s="102" t="s">
        <v>310</v>
      </c>
      <c r="B22" s="102" t="s">
        <v>9141</v>
      </c>
      <c r="C22" s="229" t="s">
        <v>9142</v>
      </c>
      <c r="D22" s="102" t="s">
        <v>9143</v>
      </c>
      <c r="E22" s="102" t="s">
        <v>282</v>
      </c>
      <c r="F22" s="102" t="s">
        <v>283</v>
      </c>
      <c r="G22" s="102" t="s">
        <v>282</v>
      </c>
      <c r="H22" s="102" t="s">
        <v>283</v>
      </c>
      <c r="I22" s="102" t="s">
        <v>284</v>
      </c>
      <c r="J22" s="102" t="s">
        <v>26</v>
      </c>
      <c r="L22" s="229" t="s">
        <v>9144</v>
      </c>
      <c r="M22" s="229" t="s">
        <v>9145</v>
      </c>
      <c r="O22" s="102">
        <v>2.0</v>
      </c>
      <c r="R22" s="102">
        <v>7200.0</v>
      </c>
      <c r="S22" s="230" t="str">
        <f>IF(ISNUMBER(MATCH(B22, 'Sprint 7'!B:B, 0)), "มาจาก Sprint 7", "")</f>
        <v/>
      </c>
      <c r="T22" s="230" t="str">
        <f t="array" ref="T22">IF(ISNUMBER(MATCH(B22, 'Sprint 7'!B:B, 0)), INDEX('Sprint 7'!J:J, MATCH(B22, 'Sprint 7'!B:B, 0)), "")</f>
        <v/>
      </c>
      <c r="V22" s="102" t="s">
        <v>8755</v>
      </c>
      <c r="W22" s="230"/>
      <c r="X22" s="230"/>
      <c r="Y22" s="230"/>
      <c r="Z22" s="102"/>
      <c r="AA22" s="102"/>
      <c r="AB22" s="102"/>
    </row>
    <row r="23">
      <c r="A23" s="102" t="s">
        <v>276</v>
      </c>
      <c r="B23" s="102" t="s">
        <v>9146</v>
      </c>
      <c r="C23" s="229" t="s">
        <v>9147</v>
      </c>
      <c r="D23" s="102" t="s">
        <v>9148</v>
      </c>
      <c r="E23" s="102" t="s">
        <v>280</v>
      </c>
      <c r="F23" s="102" t="s">
        <v>281</v>
      </c>
      <c r="G23" s="102" t="s">
        <v>521</v>
      </c>
      <c r="H23" s="102" t="s">
        <v>522</v>
      </c>
      <c r="I23" s="102" t="s">
        <v>284</v>
      </c>
      <c r="J23" s="102" t="s">
        <v>26</v>
      </c>
      <c r="L23" s="229" t="s">
        <v>9149</v>
      </c>
      <c r="M23" s="229" t="s">
        <v>9150</v>
      </c>
      <c r="O23" s="230"/>
      <c r="P23" s="102"/>
      <c r="R23" s="230"/>
      <c r="S23" s="230" t="str">
        <f>IF(ISNUMBER(MATCH(B23, 'Sprint 7'!B:B, 0)), "มาจาก Sprint 7", "")</f>
        <v/>
      </c>
      <c r="T23" s="230" t="str">
        <f t="array" ref="T23">IF(ISNUMBER(MATCH(B23, 'Sprint 7'!B:B, 0)), INDEX('Sprint 7'!J:J, MATCH(B23, 'Sprint 7'!B:B, 0)), "")</f>
        <v/>
      </c>
      <c r="V23" s="102" t="s">
        <v>8806</v>
      </c>
      <c r="W23" s="230"/>
      <c r="X23" s="230"/>
      <c r="Y23" s="230"/>
      <c r="Z23" s="102"/>
      <c r="AA23" s="102"/>
      <c r="AB23" s="102"/>
    </row>
    <row r="24">
      <c r="A24" s="102" t="s">
        <v>4306</v>
      </c>
      <c r="B24" s="102" t="s">
        <v>9151</v>
      </c>
      <c r="C24" s="229" t="s">
        <v>9152</v>
      </c>
      <c r="D24" s="102" t="s">
        <v>9153</v>
      </c>
      <c r="E24" s="102"/>
      <c r="F24" s="102"/>
      <c r="G24" s="102" t="s">
        <v>521</v>
      </c>
      <c r="H24" s="102" t="s">
        <v>522</v>
      </c>
      <c r="I24" s="102" t="s">
        <v>284</v>
      </c>
      <c r="J24" s="102" t="s">
        <v>34</v>
      </c>
      <c r="L24" s="229" t="s">
        <v>9154</v>
      </c>
      <c r="M24" s="229" t="s">
        <v>9155</v>
      </c>
      <c r="O24" s="230"/>
      <c r="R24" s="230"/>
      <c r="S24" s="230" t="str">
        <f>IF(ISNUMBER(MATCH(B24, 'Sprint 7'!B:B, 0)), "มาจาก Sprint 7", "")</f>
        <v/>
      </c>
      <c r="T24" s="230" t="str">
        <f t="array" ref="T24">IF(ISNUMBER(MATCH(B24, 'Sprint 7'!B:B, 0)), INDEX('Sprint 7'!J:J, MATCH(B24, 'Sprint 7'!B:B, 0)), "")</f>
        <v/>
      </c>
      <c r="V24" s="102" t="s">
        <v>8755</v>
      </c>
      <c r="W24" s="230"/>
      <c r="X24" s="230"/>
      <c r="Y24" s="230"/>
      <c r="Z24" s="102"/>
    </row>
    <row r="25">
      <c r="A25" s="102" t="s">
        <v>332</v>
      </c>
      <c r="B25" s="102" t="s">
        <v>9156</v>
      </c>
      <c r="C25" s="229" t="s">
        <v>9157</v>
      </c>
      <c r="D25" s="102" t="s">
        <v>9158</v>
      </c>
      <c r="E25" s="102" t="s">
        <v>556</v>
      </c>
      <c r="F25" s="102" t="s">
        <v>557</v>
      </c>
      <c r="G25" s="102" t="s">
        <v>521</v>
      </c>
      <c r="H25" s="102" t="s">
        <v>522</v>
      </c>
      <c r="I25" s="102" t="s">
        <v>284</v>
      </c>
      <c r="J25" s="102" t="s">
        <v>336</v>
      </c>
      <c r="L25" s="229" t="s">
        <v>9159</v>
      </c>
      <c r="M25" s="229" t="s">
        <v>9160</v>
      </c>
      <c r="O25" s="230"/>
      <c r="R25" s="230"/>
      <c r="S25" s="230" t="str">
        <f>IF(ISNUMBER(MATCH(B25, 'Sprint 7'!B:B, 0)), "มาจาก Sprint 7", "")</f>
        <v/>
      </c>
      <c r="T25" s="230" t="str">
        <f t="array" ref="T25">IF(ISNUMBER(MATCH(B25, 'Sprint 7'!B:B, 0)), INDEX('Sprint 7'!J:J, MATCH(B25, 'Sprint 7'!B:B, 0)), "")</f>
        <v/>
      </c>
      <c r="V25" s="102" t="s">
        <v>5919</v>
      </c>
      <c r="W25" s="230"/>
      <c r="X25" s="230"/>
      <c r="Y25" s="230"/>
      <c r="Z25" s="102"/>
      <c r="AA25" s="102"/>
      <c r="AB25" s="102"/>
    </row>
    <row r="26">
      <c r="A26" s="102" t="s">
        <v>332</v>
      </c>
      <c r="B26" s="102" t="s">
        <v>9161</v>
      </c>
      <c r="C26" s="229" t="s">
        <v>9162</v>
      </c>
      <c r="D26" s="102" t="s">
        <v>9163</v>
      </c>
      <c r="E26" s="102" t="s">
        <v>556</v>
      </c>
      <c r="F26" s="102" t="s">
        <v>557</v>
      </c>
      <c r="G26" s="102" t="s">
        <v>521</v>
      </c>
      <c r="H26" s="102" t="s">
        <v>522</v>
      </c>
      <c r="I26" s="102" t="s">
        <v>284</v>
      </c>
      <c r="J26" s="102" t="s">
        <v>336</v>
      </c>
      <c r="L26" s="229" t="s">
        <v>9164</v>
      </c>
      <c r="M26" s="229" t="s">
        <v>9165</v>
      </c>
      <c r="O26" s="230"/>
      <c r="R26" s="230"/>
      <c r="S26" s="230" t="str">
        <f>IF(ISNUMBER(MATCH(B26, 'Sprint 7'!B:B, 0)), "มาจาก Sprint 7", "")</f>
        <v/>
      </c>
      <c r="T26" s="230" t="str">
        <f t="array" ref="T26">IF(ISNUMBER(MATCH(B26, 'Sprint 7'!B:B, 0)), INDEX('Sprint 7'!J:J, MATCH(B26, 'Sprint 7'!B:B, 0)), "")</f>
        <v/>
      </c>
      <c r="V26" s="102" t="s">
        <v>5919</v>
      </c>
      <c r="W26" s="230"/>
      <c r="X26" s="230"/>
      <c r="Y26" s="230"/>
      <c r="Z26" s="102"/>
      <c r="AA26" s="102"/>
      <c r="AB26" s="102"/>
    </row>
    <row r="27">
      <c r="A27" s="102" t="s">
        <v>332</v>
      </c>
      <c r="B27" s="102" t="s">
        <v>8493</v>
      </c>
      <c r="C27" s="229" t="s">
        <v>8494</v>
      </c>
      <c r="D27" s="102" t="s">
        <v>8495</v>
      </c>
      <c r="E27" s="102" t="s">
        <v>556</v>
      </c>
      <c r="F27" s="102" t="s">
        <v>557</v>
      </c>
      <c r="G27" s="102" t="s">
        <v>521</v>
      </c>
      <c r="H27" s="102" t="s">
        <v>522</v>
      </c>
      <c r="I27" s="102" t="s">
        <v>284</v>
      </c>
      <c r="J27" s="102" t="s">
        <v>3126</v>
      </c>
      <c r="L27" s="229" t="s">
        <v>8496</v>
      </c>
      <c r="M27" s="229" t="s">
        <v>9121</v>
      </c>
      <c r="N27" s="102"/>
      <c r="O27" s="102"/>
      <c r="P27" s="102"/>
      <c r="R27" s="230"/>
      <c r="S27" s="230" t="str">
        <f>IF(ISNUMBER(MATCH(B27, 'Sprint 7'!B:B, 0)), "มาจาก Sprint 7", "")</f>
        <v/>
      </c>
      <c r="T27" s="230" t="str">
        <f t="array" ref="T27">IF(ISNUMBER(MATCH(B27, 'Sprint 7'!B:B, 0)), INDEX('Sprint 7'!J:J, MATCH(B27, 'Sprint 7'!B:B, 0)), "")</f>
        <v/>
      </c>
      <c r="V27" s="102" t="s">
        <v>5919</v>
      </c>
      <c r="W27" s="230"/>
      <c r="X27" s="230"/>
      <c r="Y27" s="102"/>
      <c r="Z27" s="102"/>
    </row>
    <row r="28">
      <c r="A28" s="102" t="s">
        <v>332</v>
      </c>
      <c r="B28" s="102" t="s">
        <v>9166</v>
      </c>
      <c r="C28" s="229" t="s">
        <v>9167</v>
      </c>
      <c r="D28" s="102" t="s">
        <v>9168</v>
      </c>
      <c r="E28" s="102" t="s">
        <v>556</v>
      </c>
      <c r="F28" s="102" t="s">
        <v>557</v>
      </c>
      <c r="G28" s="102" t="s">
        <v>521</v>
      </c>
      <c r="H28" s="102" t="s">
        <v>522</v>
      </c>
      <c r="I28" s="102" t="s">
        <v>284</v>
      </c>
      <c r="J28" s="102" t="s">
        <v>336</v>
      </c>
      <c r="L28" s="229" t="s">
        <v>9169</v>
      </c>
      <c r="M28" s="229" t="s">
        <v>9165</v>
      </c>
      <c r="N28" s="102"/>
      <c r="O28" s="102"/>
      <c r="P28" s="102"/>
      <c r="R28" s="102"/>
      <c r="S28" s="230" t="str">
        <f>IF(ISNUMBER(MATCH(B28, 'Sprint 7'!B:B, 0)), "มาจาก Sprint 7", "")</f>
        <v/>
      </c>
      <c r="T28" s="230" t="str">
        <f t="array" ref="T28">IF(ISNUMBER(MATCH(B28, 'Sprint 7'!B:B, 0)), INDEX('Sprint 7'!J:J, MATCH(B28, 'Sprint 7'!B:B, 0)), "")</f>
        <v/>
      </c>
      <c r="V28" s="102" t="s">
        <v>5919</v>
      </c>
      <c r="W28" s="230"/>
      <c r="X28" s="230"/>
      <c r="Y28" s="230"/>
      <c r="Z28" s="102"/>
      <c r="AA28" s="102"/>
      <c r="AB28" s="102"/>
    </row>
    <row r="29">
      <c r="A29" s="102" t="s">
        <v>310</v>
      </c>
      <c r="B29" s="102" t="s">
        <v>7608</v>
      </c>
      <c r="C29" s="229" t="s">
        <v>7609</v>
      </c>
      <c r="D29" s="102" t="s">
        <v>7610</v>
      </c>
      <c r="E29" s="102" t="s">
        <v>564</v>
      </c>
      <c r="F29" s="102" t="s">
        <v>565</v>
      </c>
      <c r="G29" s="102" t="s">
        <v>282</v>
      </c>
      <c r="H29" s="102" t="s">
        <v>283</v>
      </c>
      <c r="I29" s="102" t="s">
        <v>284</v>
      </c>
      <c r="J29" s="102" t="s">
        <v>454</v>
      </c>
      <c r="L29" s="229" t="s">
        <v>7611</v>
      </c>
      <c r="M29" s="229" t="s">
        <v>9170</v>
      </c>
      <c r="N29" s="229" t="s">
        <v>5918</v>
      </c>
      <c r="O29" s="102">
        <v>1.0</v>
      </c>
      <c r="P29" s="102" t="s">
        <v>504</v>
      </c>
      <c r="R29" s="102">
        <v>3600.0</v>
      </c>
      <c r="S29" s="230" t="str">
        <f>IF(ISNUMBER(MATCH(B29, 'Sprint 7'!B:B, 0)), "มาจาก Sprint 7", "")</f>
        <v/>
      </c>
      <c r="T29" s="230" t="str">
        <f t="array" ref="T29">IF(ISNUMBER(MATCH(B29, 'Sprint 7'!B:B, 0)), INDEX('Sprint 7'!J:J, MATCH(B29, 'Sprint 7'!B:B, 0)), "")</f>
        <v/>
      </c>
      <c r="V29" s="102" t="s">
        <v>5919</v>
      </c>
      <c r="W29" s="230"/>
      <c r="X29" s="230"/>
      <c r="Y29" s="230"/>
      <c r="Z29" s="102"/>
      <c r="AA29" s="102"/>
      <c r="AB29" s="102"/>
    </row>
    <row r="30">
      <c r="A30" s="102" t="s">
        <v>1465</v>
      </c>
      <c r="B30" s="102" t="s">
        <v>8498</v>
      </c>
      <c r="C30" s="229" t="s">
        <v>8499</v>
      </c>
      <c r="D30" s="102" t="s">
        <v>8965</v>
      </c>
      <c r="E30" s="102"/>
      <c r="F30" s="102"/>
      <c r="G30" s="102" t="s">
        <v>521</v>
      </c>
      <c r="H30" s="102" t="s">
        <v>522</v>
      </c>
      <c r="I30" s="102" t="s">
        <v>284</v>
      </c>
      <c r="J30" s="102" t="s">
        <v>63</v>
      </c>
      <c r="K30" s="102"/>
      <c r="L30" s="229" t="s">
        <v>8501</v>
      </c>
      <c r="M30" s="229" t="s">
        <v>8501</v>
      </c>
      <c r="O30" s="230"/>
      <c r="R30" s="230"/>
      <c r="S30" s="230" t="str">
        <f>IF(ISNUMBER(MATCH(B30, 'Sprint 7'!B:B, 0)), "มาจาก Sprint 7", "")</f>
        <v/>
      </c>
      <c r="T30" s="230" t="str">
        <f t="array" ref="T30">IF(ISNUMBER(MATCH(B30, 'Sprint 7'!B:B, 0)), INDEX('Sprint 7'!J:J, MATCH(B30, 'Sprint 7'!B:B, 0)), "")</f>
        <v/>
      </c>
      <c r="V30" s="102" t="s">
        <v>5919</v>
      </c>
      <c r="W30" s="230"/>
      <c r="X30" s="230"/>
      <c r="Y30" s="230"/>
      <c r="Z30" s="102"/>
      <c r="AA30" s="102"/>
      <c r="AB30" s="102"/>
    </row>
    <row r="31">
      <c r="A31" s="102" t="s">
        <v>4306</v>
      </c>
      <c r="B31" s="102" t="s">
        <v>9171</v>
      </c>
      <c r="C31" s="229" t="s">
        <v>9172</v>
      </c>
      <c r="D31" s="102" t="s">
        <v>9173</v>
      </c>
      <c r="E31" s="102"/>
      <c r="F31" s="102"/>
      <c r="G31" s="102" t="s">
        <v>521</v>
      </c>
      <c r="H31" s="102" t="s">
        <v>522</v>
      </c>
      <c r="I31" s="102" t="s">
        <v>284</v>
      </c>
      <c r="J31" s="102" t="s">
        <v>26</v>
      </c>
      <c r="K31" s="102" t="s">
        <v>26</v>
      </c>
      <c r="L31" s="229" t="s">
        <v>9174</v>
      </c>
      <c r="M31" s="229" t="s">
        <v>9155</v>
      </c>
      <c r="O31" s="102"/>
      <c r="R31" s="230"/>
      <c r="S31" s="230" t="str">
        <f>IF(ISNUMBER(MATCH(B31, 'Sprint 7'!B:B, 0)), "มาจาก Sprint 7", "")</f>
        <v/>
      </c>
      <c r="T31" s="230" t="str">
        <f t="array" ref="T31">IF(ISNUMBER(MATCH(B31, 'Sprint 7'!B:B, 0)), INDEX('Sprint 7'!J:J, MATCH(B31, 'Sprint 7'!B:B, 0)), "")</f>
        <v/>
      </c>
      <c r="V31" s="102" t="s">
        <v>5919</v>
      </c>
      <c r="W31" s="230"/>
      <c r="X31" s="230"/>
      <c r="Y31" s="230"/>
      <c r="Z31" s="102"/>
    </row>
    <row r="32">
      <c r="A32" s="102" t="s">
        <v>310</v>
      </c>
      <c r="B32" s="102" t="s">
        <v>9175</v>
      </c>
      <c r="C32" s="229" t="s">
        <v>9176</v>
      </c>
      <c r="D32" s="102" t="s">
        <v>9177</v>
      </c>
      <c r="E32" s="102" t="s">
        <v>282</v>
      </c>
      <c r="F32" s="102" t="s">
        <v>283</v>
      </c>
      <c r="G32" s="102" t="s">
        <v>282</v>
      </c>
      <c r="H32" s="102" t="s">
        <v>283</v>
      </c>
      <c r="I32" s="102" t="s">
        <v>284</v>
      </c>
      <c r="J32" s="102" t="s">
        <v>26</v>
      </c>
      <c r="L32" s="229" t="s">
        <v>9178</v>
      </c>
      <c r="M32" s="229" t="s">
        <v>9121</v>
      </c>
      <c r="O32" s="102">
        <v>1.0</v>
      </c>
      <c r="R32" s="102">
        <v>3600.0</v>
      </c>
      <c r="S32" s="230" t="str">
        <f>IF(ISNUMBER(MATCH(B32, 'Sprint 7'!B:B, 0)), "มาจาก Sprint 7", "")</f>
        <v/>
      </c>
      <c r="T32" s="230" t="str">
        <f t="array" ref="T32">IF(ISNUMBER(MATCH(B32, 'Sprint 7'!B:B, 0)), INDEX('Sprint 7'!J:J, MATCH(B32, 'Sprint 7'!B:B, 0)), "")</f>
        <v/>
      </c>
      <c r="V32" s="102" t="s">
        <v>8806</v>
      </c>
      <c r="W32" s="102"/>
      <c r="X32" s="102"/>
      <c r="Y32" s="102"/>
      <c r="Z32" s="102"/>
    </row>
    <row r="33">
      <c r="A33" s="102" t="s">
        <v>276</v>
      </c>
      <c r="B33" s="102" t="s">
        <v>9179</v>
      </c>
      <c r="C33" s="229" t="s">
        <v>9180</v>
      </c>
      <c r="D33" s="102" t="s">
        <v>4345</v>
      </c>
      <c r="E33" s="102" t="s">
        <v>521</v>
      </c>
      <c r="F33" s="102" t="s">
        <v>522</v>
      </c>
      <c r="G33" s="102" t="s">
        <v>391</v>
      </c>
      <c r="H33" s="102" t="s">
        <v>392</v>
      </c>
      <c r="I33" s="102" t="s">
        <v>284</v>
      </c>
      <c r="J33" s="102" t="s">
        <v>26</v>
      </c>
      <c r="L33" s="229" t="s">
        <v>9181</v>
      </c>
      <c r="M33" s="229" t="s">
        <v>9182</v>
      </c>
      <c r="N33" s="102"/>
      <c r="O33" s="102"/>
      <c r="P33" s="102"/>
      <c r="R33" s="230"/>
      <c r="S33" s="230" t="str">
        <f>IF(ISNUMBER(MATCH(B33, 'Sprint 7'!B:B, 0)), "มาจาก Sprint 7", "")</f>
        <v/>
      </c>
      <c r="T33" s="230" t="str">
        <f t="array" ref="T33">IF(ISNUMBER(MATCH(B33, 'Sprint 7'!B:B, 0)), INDEX('Sprint 7'!J:J, MATCH(B33, 'Sprint 7'!B:B, 0)), "")</f>
        <v/>
      </c>
      <c r="V33" s="102" t="s">
        <v>7695</v>
      </c>
      <c r="W33" s="102" t="s">
        <v>9183</v>
      </c>
      <c r="X33" s="102" t="s">
        <v>9184</v>
      </c>
      <c r="Y33" s="102" t="s">
        <v>8754</v>
      </c>
      <c r="Z33" s="102" t="s">
        <v>8755</v>
      </c>
      <c r="AA33" s="102"/>
      <c r="AB33" s="102"/>
    </row>
    <row r="34">
      <c r="A34" s="102" t="s">
        <v>630</v>
      </c>
      <c r="B34" s="102" t="s">
        <v>1357</v>
      </c>
      <c r="C34" s="229" t="s">
        <v>1358</v>
      </c>
      <c r="D34" s="102" t="s">
        <v>1359</v>
      </c>
      <c r="E34" s="102"/>
      <c r="F34" s="102"/>
      <c r="G34" s="102" t="s">
        <v>314</v>
      </c>
      <c r="H34" s="102" t="s">
        <v>315</v>
      </c>
      <c r="I34" s="102" t="s">
        <v>284</v>
      </c>
      <c r="J34" s="102" t="s">
        <v>63</v>
      </c>
      <c r="L34" s="229" t="s">
        <v>1360</v>
      </c>
      <c r="M34" s="229" t="s">
        <v>8966</v>
      </c>
      <c r="O34" s="102"/>
      <c r="R34" s="230"/>
      <c r="S34" s="230" t="str">
        <f>IF(ISNUMBER(MATCH(B34, 'Sprint 7'!B:B, 0)), "มาจาก Sprint 7", "")</f>
        <v/>
      </c>
      <c r="T34" s="230" t="str">
        <f t="array" ref="T34">IF(ISNUMBER(MATCH(B34, 'Sprint 7'!B:B, 0)), INDEX('Sprint 7'!J:J, MATCH(B34, 'Sprint 7'!B:B, 0)), "")</f>
        <v/>
      </c>
      <c r="V34" s="102" t="s">
        <v>1362</v>
      </c>
      <c r="W34" s="102" t="s">
        <v>1363</v>
      </c>
      <c r="X34" s="230"/>
      <c r="Y34" s="230"/>
      <c r="Z34" s="102"/>
      <c r="AA34" s="102"/>
      <c r="AB34" s="102"/>
    </row>
    <row r="35">
      <c r="A35" s="102" t="s">
        <v>276</v>
      </c>
      <c r="B35" s="102" t="s">
        <v>8967</v>
      </c>
      <c r="C35" s="229" t="s">
        <v>8968</v>
      </c>
      <c r="D35" s="102" t="s">
        <v>4345</v>
      </c>
      <c r="E35" s="102" t="s">
        <v>280</v>
      </c>
      <c r="F35" s="102" t="s">
        <v>281</v>
      </c>
      <c r="G35" s="102" t="s">
        <v>391</v>
      </c>
      <c r="H35" s="102" t="s">
        <v>392</v>
      </c>
      <c r="I35" s="102" t="s">
        <v>284</v>
      </c>
      <c r="J35" s="102" t="s">
        <v>63</v>
      </c>
      <c r="L35" s="229" t="s">
        <v>8969</v>
      </c>
      <c r="M35" s="229" t="s">
        <v>9185</v>
      </c>
      <c r="N35" s="102"/>
      <c r="O35" s="102"/>
      <c r="P35" s="102"/>
      <c r="R35" s="230"/>
      <c r="S35" s="230" t="str">
        <f>IF(ISNUMBER(MATCH(B35, 'Sprint 7'!B:B, 0)), "มาจาก Sprint 7", "")</f>
        <v/>
      </c>
      <c r="T35" s="230" t="str">
        <f t="array" ref="T35">IF(ISNUMBER(MATCH(B35, 'Sprint 7'!B:B, 0)), INDEX('Sprint 7'!J:J, MATCH(B35, 'Sprint 7'!B:B, 0)), "")</f>
        <v/>
      </c>
      <c r="V35" s="102" t="s">
        <v>1362</v>
      </c>
      <c r="W35" s="102" t="s">
        <v>1363</v>
      </c>
      <c r="X35" s="230"/>
      <c r="Y35" s="102"/>
      <c r="Z35" s="102"/>
      <c r="AA35" s="102"/>
      <c r="AB35" s="102"/>
    </row>
    <row r="36">
      <c r="A36" s="102" t="s">
        <v>276</v>
      </c>
      <c r="B36" s="102" t="s">
        <v>8971</v>
      </c>
      <c r="C36" s="229" t="s">
        <v>8972</v>
      </c>
      <c r="D36" s="102" t="s">
        <v>4345</v>
      </c>
      <c r="E36" s="102" t="s">
        <v>280</v>
      </c>
      <c r="F36" s="102" t="s">
        <v>281</v>
      </c>
      <c r="G36" s="102" t="s">
        <v>391</v>
      </c>
      <c r="H36" s="102" t="s">
        <v>392</v>
      </c>
      <c r="I36" s="102" t="s">
        <v>284</v>
      </c>
      <c r="J36" s="102" t="s">
        <v>63</v>
      </c>
      <c r="L36" s="229" t="s">
        <v>8969</v>
      </c>
      <c r="M36" s="229" t="s">
        <v>9185</v>
      </c>
      <c r="O36" s="230"/>
      <c r="R36" s="230"/>
      <c r="S36" s="230" t="str">
        <f>IF(ISNUMBER(MATCH(B36, 'Sprint 7'!B:B, 0)), "มาจาก Sprint 7", "")</f>
        <v/>
      </c>
      <c r="T36" s="230" t="str">
        <f t="array" ref="T36">IF(ISNUMBER(MATCH(B36, 'Sprint 7'!B:B, 0)), INDEX('Sprint 7'!J:J, MATCH(B36, 'Sprint 7'!B:B, 0)), "")</f>
        <v/>
      </c>
      <c r="V36" s="102" t="s">
        <v>1362</v>
      </c>
      <c r="W36" s="102" t="s">
        <v>1363</v>
      </c>
      <c r="X36" s="230"/>
      <c r="Y36" s="230"/>
      <c r="Z36" s="102"/>
      <c r="AA36" s="102"/>
      <c r="AB36" s="102"/>
    </row>
    <row r="37">
      <c r="A37" s="102" t="s">
        <v>276</v>
      </c>
      <c r="B37" s="102" t="s">
        <v>8973</v>
      </c>
      <c r="C37" s="229" t="s">
        <v>8974</v>
      </c>
      <c r="D37" s="102" t="s">
        <v>4345</v>
      </c>
      <c r="E37" s="102" t="s">
        <v>280</v>
      </c>
      <c r="F37" s="102" t="s">
        <v>281</v>
      </c>
      <c r="G37" s="102" t="s">
        <v>391</v>
      </c>
      <c r="H37" s="102" t="s">
        <v>392</v>
      </c>
      <c r="I37" s="102" t="s">
        <v>284</v>
      </c>
      <c r="J37" s="102" t="s">
        <v>63</v>
      </c>
      <c r="L37" s="229" t="s">
        <v>8969</v>
      </c>
      <c r="M37" s="229" t="s">
        <v>9186</v>
      </c>
      <c r="O37" s="230"/>
      <c r="R37" s="230"/>
      <c r="S37" s="230" t="str">
        <f>IF(ISNUMBER(MATCH(B37, 'Sprint 7'!B:B, 0)), "มาจาก Sprint 7", "")</f>
        <v/>
      </c>
      <c r="T37" s="230" t="str">
        <f t="array" ref="T37">IF(ISNUMBER(MATCH(B37, 'Sprint 7'!B:B, 0)), INDEX('Sprint 7'!J:J, MATCH(B37, 'Sprint 7'!B:B, 0)), "")</f>
        <v/>
      </c>
      <c r="V37" s="102" t="s">
        <v>1362</v>
      </c>
      <c r="W37" s="102" t="s">
        <v>1363</v>
      </c>
      <c r="X37" s="230"/>
      <c r="Y37" s="230"/>
      <c r="Z37" s="102"/>
    </row>
    <row r="38">
      <c r="A38" s="102" t="s">
        <v>276</v>
      </c>
      <c r="B38" s="102" t="s">
        <v>8502</v>
      </c>
      <c r="C38" s="229" t="s">
        <v>8503</v>
      </c>
      <c r="D38" s="102" t="s">
        <v>4345</v>
      </c>
      <c r="E38" s="102" t="s">
        <v>3288</v>
      </c>
      <c r="F38" s="102" t="s">
        <v>3289</v>
      </c>
      <c r="G38" s="102" t="s">
        <v>391</v>
      </c>
      <c r="H38" s="102" t="s">
        <v>392</v>
      </c>
      <c r="I38" s="102" t="s">
        <v>284</v>
      </c>
      <c r="J38" s="102" t="s">
        <v>34</v>
      </c>
      <c r="L38" s="229" t="s">
        <v>8504</v>
      </c>
      <c r="M38" s="229" t="s">
        <v>8980</v>
      </c>
      <c r="O38" s="102"/>
      <c r="R38" s="230"/>
      <c r="S38" s="230" t="str">
        <f>IF(ISNUMBER(MATCH(B38, 'Sprint 7'!B:B, 0)), "มาจาก Sprint 7", "")</f>
        <v/>
      </c>
      <c r="T38" s="230" t="str">
        <f t="array" ref="T38">IF(ISNUMBER(MATCH(B38, 'Sprint 7'!B:B, 0)), INDEX('Sprint 7'!J:J, MATCH(B38, 'Sprint 7'!B:B, 0)), "")</f>
        <v/>
      </c>
      <c r="V38" s="102" t="s">
        <v>5919</v>
      </c>
      <c r="W38" s="230"/>
      <c r="X38" s="230"/>
      <c r="Y38" s="230"/>
      <c r="Z38" s="102"/>
    </row>
    <row r="39">
      <c r="A39" s="102" t="s">
        <v>276</v>
      </c>
      <c r="B39" s="102" t="s">
        <v>8506</v>
      </c>
      <c r="C39" s="229" t="s">
        <v>8507</v>
      </c>
      <c r="D39" s="102" t="s">
        <v>4345</v>
      </c>
      <c r="E39" s="102" t="s">
        <v>3288</v>
      </c>
      <c r="F39" s="102" t="s">
        <v>3289</v>
      </c>
      <c r="G39" s="102" t="s">
        <v>391</v>
      </c>
      <c r="H39" s="102" t="s">
        <v>392</v>
      </c>
      <c r="I39" s="102" t="s">
        <v>284</v>
      </c>
      <c r="J39" s="102" t="s">
        <v>34</v>
      </c>
      <c r="L39" s="229" t="s">
        <v>8504</v>
      </c>
      <c r="M39" s="229" t="s">
        <v>8980</v>
      </c>
      <c r="O39" s="230"/>
      <c r="R39" s="230"/>
      <c r="S39" s="230" t="str">
        <f>IF(ISNUMBER(MATCH(B39, 'Sprint 7'!B:B, 0)), "มาจาก Sprint 7", "")</f>
        <v/>
      </c>
      <c r="T39" s="230" t="str">
        <f t="array" ref="T39">IF(ISNUMBER(MATCH(B39, 'Sprint 7'!B:B, 0)), INDEX('Sprint 7'!J:J, MATCH(B39, 'Sprint 7'!B:B, 0)), "")</f>
        <v/>
      </c>
      <c r="V39" s="102" t="s">
        <v>5919</v>
      </c>
      <c r="W39" s="230"/>
      <c r="X39" s="230"/>
      <c r="Y39" s="230"/>
      <c r="Z39" s="102"/>
      <c r="AA39" s="102"/>
      <c r="AB39" s="102"/>
    </row>
    <row r="40">
      <c r="A40" s="102" t="s">
        <v>276</v>
      </c>
      <c r="B40" s="102" t="s">
        <v>8975</v>
      </c>
      <c r="C40" s="229" t="s">
        <v>8976</v>
      </c>
      <c r="D40" s="102" t="s">
        <v>4345</v>
      </c>
      <c r="E40" s="102" t="s">
        <v>3288</v>
      </c>
      <c r="F40" s="102" t="s">
        <v>3289</v>
      </c>
      <c r="G40" s="102" t="s">
        <v>391</v>
      </c>
      <c r="H40" s="102" t="s">
        <v>392</v>
      </c>
      <c r="I40" s="102" t="s">
        <v>284</v>
      </c>
      <c r="J40" s="102" t="s">
        <v>26</v>
      </c>
      <c r="L40" s="229" t="s">
        <v>8504</v>
      </c>
      <c r="M40" s="229" t="s">
        <v>8977</v>
      </c>
      <c r="O40" s="230"/>
      <c r="R40" s="230"/>
      <c r="S40" s="230" t="str">
        <f>IF(ISNUMBER(MATCH(B40, 'Sprint 7'!B:B, 0)), "มาจาก Sprint 7", "")</f>
        <v/>
      </c>
      <c r="T40" s="230" t="str">
        <f t="array" ref="T40">IF(ISNUMBER(MATCH(B40, 'Sprint 7'!B:B, 0)), INDEX('Sprint 7'!J:J, MATCH(B40, 'Sprint 7'!B:B, 0)), "")</f>
        <v/>
      </c>
      <c r="V40" s="102" t="s">
        <v>5919</v>
      </c>
      <c r="W40" s="230"/>
      <c r="X40" s="230"/>
      <c r="Y40" s="230"/>
      <c r="Z40" s="102"/>
      <c r="AA40" s="102"/>
      <c r="AB40" s="102"/>
    </row>
    <row r="41">
      <c r="A41" s="102" t="s">
        <v>276</v>
      </c>
      <c r="B41" s="102" t="s">
        <v>8510</v>
      </c>
      <c r="C41" s="229" t="s">
        <v>8511</v>
      </c>
      <c r="D41" s="102" t="s">
        <v>4345</v>
      </c>
      <c r="E41" s="102" t="s">
        <v>3288</v>
      </c>
      <c r="F41" s="102" t="s">
        <v>3289</v>
      </c>
      <c r="G41" s="102" t="s">
        <v>391</v>
      </c>
      <c r="H41" s="102" t="s">
        <v>392</v>
      </c>
      <c r="I41" s="102" t="s">
        <v>284</v>
      </c>
      <c r="J41" s="102" t="s">
        <v>34</v>
      </c>
      <c r="L41" s="229" t="s">
        <v>8512</v>
      </c>
      <c r="M41" s="229" t="s">
        <v>9187</v>
      </c>
      <c r="N41" s="102"/>
      <c r="O41" s="230"/>
      <c r="R41" s="230"/>
      <c r="S41" s="230" t="str">
        <f>IF(ISNUMBER(MATCH(B41, 'Sprint 7'!B:B, 0)), "มาจาก Sprint 7", "")</f>
        <v/>
      </c>
      <c r="T41" s="230" t="str">
        <f t="array" ref="T41">IF(ISNUMBER(MATCH(B41, 'Sprint 7'!B:B, 0)), INDEX('Sprint 7'!J:J, MATCH(B41, 'Sprint 7'!B:B, 0)), "")</f>
        <v/>
      </c>
      <c r="V41" s="102" t="s">
        <v>5919</v>
      </c>
      <c r="W41" s="230"/>
      <c r="X41" s="230"/>
      <c r="Y41" s="230"/>
      <c r="Z41" s="102"/>
      <c r="AA41" s="102"/>
      <c r="AB41" s="102"/>
    </row>
    <row r="42">
      <c r="A42" s="102" t="s">
        <v>276</v>
      </c>
      <c r="B42" s="102" t="s">
        <v>8978</v>
      </c>
      <c r="C42" s="229" t="s">
        <v>8979</v>
      </c>
      <c r="D42" s="102" t="s">
        <v>4345</v>
      </c>
      <c r="E42" s="102" t="s">
        <v>3288</v>
      </c>
      <c r="F42" s="102" t="s">
        <v>3289</v>
      </c>
      <c r="G42" s="102" t="s">
        <v>391</v>
      </c>
      <c r="H42" s="102" t="s">
        <v>392</v>
      </c>
      <c r="I42" s="102" t="s">
        <v>284</v>
      </c>
      <c r="J42" s="102" t="s">
        <v>26</v>
      </c>
      <c r="L42" s="229" t="s">
        <v>8512</v>
      </c>
      <c r="M42" s="229" t="s">
        <v>8980</v>
      </c>
      <c r="O42" s="230"/>
      <c r="R42" s="230"/>
      <c r="S42" s="230" t="str">
        <f>IF(ISNUMBER(MATCH(B42, 'Sprint 7'!B:B, 0)), "มาจาก Sprint 7", "")</f>
        <v/>
      </c>
      <c r="T42" s="230" t="str">
        <f t="array" ref="T42">IF(ISNUMBER(MATCH(B42, 'Sprint 7'!B:B, 0)), INDEX('Sprint 7'!J:J, MATCH(B42, 'Sprint 7'!B:B, 0)), "")</f>
        <v/>
      </c>
      <c r="V42" s="102" t="s">
        <v>5919</v>
      </c>
      <c r="W42" s="102"/>
      <c r="X42" s="230"/>
      <c r="Y42" s="230"/>
      <c r="Z42" s="102"/>
      <c r="AA42" s="102"/>
      <c r="AB42" s="102"/>
    </row>
    <row r="43">
      <c r="A43" s="102" t="s">
        <v>276</v>
      </c>
      <c r="B43" s="102" t="s">
        <v>8514</v>
      </c>
      <c r="C43" s="229" t="s">
        <v>8515</v>
      </c>
      <c r="D43" s="102" t="s">
        <v>4345</v>
      </c>
      <c r="E43" s="102"/>
      <c r="F43" s="102"/>
      <c r="G43" s="102" t="s">
        <v>391</v>
      </c>
      <c r="H43" s="102" t="s">
        <v>392</v>
      </c>
      <c r="I43" s="102" t="s">
        <v>284</v>
      </c>
      <c r="J43" s="102" t="s">
        <v>63</v>
      </c>
      <c r="L43" s="229" t="s">
        <v>8516</v>
      </c>
      <c r="M43" s="229" t="s">
        <v>8516</v>
      </c>
      <c r="N43" s="102"/>
      <c r="O43" s="102"/>
      <c r="R43" s="230"/>
      <c r="S43" s="230" t="str">
        <f>IF(ISNUMBER(MATCH(B43, 'Sprint 7'!B:B, 0)), "มาจาก Sprint 7", "")</f>
        <v/>
      </c>
      <c r="T43" s="230" t="str">
        <f t="array" ref="T43">IF(ISNUMBER(MATCH(B43, 'Sprint 7'!B:B, 0)), INDEX('Sprint 7'!J:J, MATCH(B43, 'Sprint 7'!B:B, 0)), "")</f>
        <v/>
      </c>
      <c r="V43" s="102" t="s">
        <v>5944</v>
      </c>
      <c r="W43" s="102" t="s">
        <v>5919</v>
      </c>
      <c r="X43" s="230"/>
      <c r="Y43" s="102"/>
      <c r="Z43" s="102"/>
    </row>
    <row r="44">
      <c r="A44" s="102" t="s">
        <v>276</v>
      </c>
      <c r="B44" s="102" t="s">
        <v>8518</v>
      </c>
      <c r="C44" s="229" t="s">
        <v>8519</v>
      </c>
      <c r="D44" s="102" t="s">
        <v>4345</v>
      </c>
      <c r="E44" s="102" t="s">
        <v>3288</v>
      </c>
      <c r="F44" s="102" t="s">
        <v>3289</v>
      </c>
      <c r="G44" s="102" t="s">
        <v>391</v>
      </c>
      <c r="H44" s="102" t="s">
        <v>392</v>
      </c>
      <c r="I44" s="102" t="s">
        <v>284</v>
      </c>
      <c r="J44" s="102" t="s">
        <v>26</v>
      </c>
      <c r="L44" s="229" t="s">
        <v>8520</v>
      </c>
      <c r="M44" s="229" t="s">
        <v>8521</v>
      </c>
      <c r="O44" s="230"/>
      <c r="R44" s="230"/>
      <c r="S44" s="230" t="str">
        <f>IF(ISNUMBER(MATCH(B44, 'Sprint 7'!B:B, 0)), "มาจาก Sprint 7", "")</f>
        <v/>
      </c>
      <c r="T44" s="230" t="str">
        <f t="array" ref="T44">IF(ISNUMBER(MATCH(B44, 'Sprint 7'!B:B, 0)), INDEX('Sprint 7'!J:J, MATCH(B44, 'Sprint 7'!B:B, 0)), "")</f>
        <v/>
      </c>
      <c r="V44" s="102" t="s">
        <v>5944</v>
      </c>
      <c r="W44" s="102" t="s">
        <v>5919</v>
      </c>
      <c r="X44" s="230"/>
      <c r="Y44" s="230"/>
      <c r="Z44" s="102"/>
    </row>
    <row r="45">
      <c r="A45" s="102" t="s">
        <v>276</v>
      </c>
      <c r="B45" s="102" t="s">
        <v>8522</v>
      </c>
      <c r="C45" s="229" t="s">
        <v>8523</v>
      </c>
      <c r="D45" s="102" t="s">
        <v>4345</v>
      </c>
      <c r="E45" s="102" t="s">
        <v>3288</v>
      </c>
      <c r="F45" s="102" t="s">
        <v>3289</v>
      </c>
      <c r="G45" s="102" t="s">
        <v>391</v>
      </c>
      <c r="H45" s="102" t="s">
        <v>392</v>
      </c>
      <c r="I45" s="102" t="s">
        <v>284</v>
      </c>
      <c r="J45" s="102" t="s">
        <v>26</v>
      </c>
      <c r="L45" s="229" t="s">
        <v>8520</v>
      </c>
      <c r="M45" s="229" t="s">
        <v>8524</v>
      </c>
      <c r="O45" s="230"/>
      <c r="R45" s="230"/>
      <c r="S45" s="230" t="str">
        <f>IF(ISNUMBER(MATCH(B45, 'Sprint 7'!B:B, 0)), "มาจาก Sprint 7", "")</f>
        <v/>
      </c>
      <c r="T45" s="230" t="str">
        <f t="array" ref="T45">IF(ISNUMBER(MATCH(B45, 'Sprint 7'!B:B, 0)), INDEX('Sprint 7'!J:J, MATCH(B45, 'Sprint 7'!B:B, 0)), "")</f>
        <v/>
      </c>
      <c r="V45" s="102" t="s">
        <v>5944</v>
      </c>
      <c r="W45" s="102" t="s">
        <v>5919</v>
      </c>
      <c r="X45" s="230"/>
      <c r="Y45" s="230"/>
      <c r="Z45" s="102"/>
    </row>
    <row r="46">
      <c r="A46" s="102" t="s">
        <v>276</v>
      </c>
      <c r="B46" s="102" t="s">
        <v>8525</v>
      </c>
      <c r="C46" s="229" t="s">
        <v>8526</v>
      </c>
      <c r="D46" s="102" t="s">
        <v>4345</v>
      </c>
      <c r="E46" s="102" t="s">
        <v>3288</v>
      </c>
      <c r="F46" s="102" t="s">
        <v>3289</v>
      </c>
      <c r="G46" s="102" t="s">
        <v>391</v>
      </c>
      <c r="H46" s="102" t="s">
        <v>392</v>
      </c>
      <c r="I46" s="102" t="s">
        <v>284</v>
      </c>
      <c r="J46" s="102" t="s">
        <v>26</v>
      </c>
      <c r="L46" s="229" t="s">
        <v>8520</v>
      </c>
      <c r="M46" s="229" t="s">
        <v>8527</v>
      </c>
      <c r="O46" s="230"/>
      <c r="R46" s="230"/>
      <c r="S46" s="230" t="str">
        <f>IF(ISNUMBER(MATCH(B46, 'Sprint 7'!B:B, 0)), "มาจาก Sprint 7", "")</f>
        <v/>
      </c>
      <c r="T46" s="230" t="str">
        <f t="array" ref="T46">IF(ISNUMBER(MATCH(B46, 'Sprint 7'!B:B, 0)), INDEX('Sprint 7'!J:J, MATCH(B46, 'Sprint 7'!B:B, 0)), "")</f>
        <v/>
      </c>
      <c r="V46" s="102" t="s">
        <v>5944</v>
      </c>
      <c r="W46" s="102" t="s">
        <v>5919</v>
      </c>
      <c r="X46" s="230"/>
      <c r="Y46" s="230"/>
      <c r="Z46" s="102"/>
      <c r="AA46" s="102"/>
    </row>
    <row r="47">
      <c r="A47" s="102" t="s">
        <v>276</v>
      </c>
      <c r="B47" s="102" t="s">
        <v>8528</v>
      </c>
      <c r="C47" s="229" t="s">
        <v>8529</v>
      </c>
      <c r="D47" s="102" t="s">
        <v>4345</v>
      </c>
      <c r="E47" s="102" t="s">
        <v>3288</v>
      </c>
      <c r="F47" s="102" t="s">
        <v>3289</v>
      </c>
      <c r="G47" s="102" t="s">
        <v>391</v>
      </c>
      <c r="H47" s="102" t="s">
        <v>392</v>
      </c>
      <c r="I47" s="102" t="s">
        <v>284</v>
      </c>
      <c r="J47" s="102" t="s">
        <v>26</v>
      </c>
      <c r="L47" s="229" t="s">
        <v>8520</v>
      </c>
      <c r="M47" s="229" t="s">
        <v>8530</v>
      </c>
      <c r="N47" s="102"/>
      <c r="O47" s="230"/>
      <c r="R47" s="230"/>
      <c r="S47" s="230" t="str">
        <f>IF(ISNUMBER(MATCH(B47, 'Sprint 7'!B:B, 0)), "มาจาก Sprint 7", "")</f>
        <v/>
      </c>
      <c r="T47" s="230" t="str">
        <f t="array" ref="T47">IF(ISNUMBER(MATCH(B47, 'Sprint 7'!B:B, 0)), INDEX('Sprint 7'!J:J, MATCH(B47, 'Sprint 7'!B:B, 0)), "")</f>
        <v/>
      </c>
      <c r="V47" s="102" t="s">
        <v>5944</v>
      </c>
      <c r="W47" s="102" t="s">
        <v>5919</v>
      </c>
      <c r="X47" s="230"/>
      <c r="Y47" s="230"/>
      <c r="Z47" s="102"/>
    </row>
    <row r="48">
      <c r="A48" s="102" t="s">
        <v>276</v>
      </c>
      <c r="B48" s="102" t="s">
        <v>7614</v>
      </c>
      <c r="C48" s="229" t="s">
        <v>7615</v>
      </c>
      <c r="D48" s="102" t="s">
        <v>7616</v>
      </c>
      <c r="E48" s="102" t="s">
        <v>391</v>
      </c>
      <c r="F48" s="102" t="s">
        <v>392</v>
      </c>
      <c r="G48" s="102" t="s">
        <v>391</v>
      </c>
      <c r="H48" s="102" t="s">
        <v>392</v>
      </c>
      <c r="I48" s="102" t="s">
        <v>284</v>
      </c>
      <c r="J48" s="102" t="s">
        <v>34</v>
      </c>
      <c r="L48" s="229" t="s">
        <v>7617</v>
      </c>
      <c r="M48" s="229" t="s">
        <v>8006</v>
      </c>
      <c r="O48" s="230"/>
      <c r="R48" s="230"/>
      <c r="S48" s="230" t="str">
        <f>IF(ISNUMBER(MATCH(B48, 'Sprint 7'!B:B, 0)), "มาจาก Sprint 7", "")</f>
        <v/>
      </c>
      <c r="T48" s="230" t="str">
        <f t="array" ref="T48">IF(ISNUMBER(MATCH(B48, 'Sprint 7'!B:B, 0)), INDEX('Sprint 7'!J:J, MATCH(B48, 'Sprint 7'!B:B, 0)), "")</f>
        <v/>
      </c>
      <c r="V48" s="102" t="s">
        <v>5944</v>
      </c>
      <c r="W48" s="102" t="s">
        <v>5919</v>
      </c>
      <c r="X48" s="230"/>
      <c r="Y48" s="230"/>
      <c r="Z48" s="102"/>
      <c r="AA48" s="102"/>
      <c r="AB48" s="102"/>
    </row>
    <row r="49">
      <c r="A49" s="102" t="s">
        <v>276</v>
      </c>
      <c r="B49" s="102" t="s">
        <v>9188</v>
      </c>
      <c r="C49" s="229" t="s">
        <v>9189</v>
      </c>
      <c r="D49" s="102" t="s">
        <v>4345</v>
      </c>
      <c r="E49" s="102" t="s">
        <v>3288</v>
      </c>
      <c r="F49" s="102" t="s">
        <v>3289</v>
      </c>
      <c r="G49" s="102" t="s">
        <v>391</v>
      </c>
      <c r="H49" s="102" t="s">
        <v>392</v>
      </c>
      <c r="I49" s="102" t="s">
        <v>284</v>
      </c>
      <c r="J49" s="102" t="s">
        <v>63</v>
      </c>
      <c r="L49" s="229" t="s">
        <v>9190</v>
      </c>
      <c r="M49" s="229" t="s">
        <v>9191</v>
      </c>
      <c r="N49" s="102"/>
      <c r="O49" s="102"/>
      <c r="R49" s="230"/>
      <c r="S49" s="230" t="str">
        <f>IF(ISNUMBER(MATCH(B49, 'Sprint 7'!B:B, 0)), "มาจาก Sprint 7", "")</f>
        <v/>
      </c>
      <c r="T49" s="230" t="str">
        <f t="array" ref="T49">IF(ISNUMBER(MATCH(B49, 'Sprint 7'!B:B, 0)), INDEX('Sprint 7'!J:J, MATCH(B49, 'Sprint 7'!B:B, 0)), "")</f>
        <v/>
      </c>
      <c r="V49" s="102" t="s">
        <v>8981</v>
      </c>
      <c r="W49" s="230"/>
      <c r="X49" s="230"/>
      <c r="Y49" s="102"/>
      <c r="Z49" s="102"/>
    </row>
    <row r="50">
      <c r="A50" s="102" t="s">
        <v>276</v>
      </c>
      <c r="B50" s="102" t="s">
        <v>9192</v>
      </c>
      <c r="C50" s="229" t="s">
        <v>9193</v>
      </c>
      <c r="D50" s="102" t="s">
        <v>4345</v>
      </c>
      <c r="E50" s="102" t="s">
        <v>3288</v>
      </c>
      <c r="F50" s="102" t="s">
        <v>3289</v>
      </c>
      <c r="G50" s="102" t="s">
        <v>391</v>
      </c>
      <c r="H50" s="102" t="s">
        <v>392</v>
      </c>
      <c r="I50" s="102" t="s">
        <v>284</v>
      </c>
      <c r="J50" s="102" t="s">
        <v>63</v>
      </c>
      <c r="L50" s="229" t="s">
        <v>8533</v>
      </c>
      <c r="M50" s="229" t="s">
        <v>9194</v>
      </c>
      <c r="O50" s="230"/>
      <c r="R50" s="230"/>
      <c r="S50" s="230" t="str">
        <f>IF(ISNUMBER(MATCH(B50, 'Sprint 7'!B:B, 0)), "มาจาก Sprint 7", "")</f>
        <v/>
      </c>
      <c r="T50" s="230" t="str">
        <f t="array" ref="T50">IF(ISNUMBER(MATCH(B50, 'Sprint 7'!B:B, 0)), INDEX('Sprint 7'!J:J, MATCH(B50, 'Sprint 7'!B:B, 0)), "")</f>
        <v/>
      </c>
      <c r="V50" s="102" t="s">
        <v>8981</v>
      </c>
      <c r="W50" s="230"/>
      <c r="X50" s="230"/>
      <c r="Y50" s="230"/>
      <c r="Z50" s="102"/>
    </row>
    <row r="51">
      <c r="A51" s="102" t="s">
        <v>276</v>
      </c>
      <c r="B51" s="102" t="s">
        <v>9195</v>
      </c>
      <c r="C51" s="229" t="s">
        <v>9196</v>
      </c>
      <c r="D51" s="102" t="s">
        <v>4345</v>
      </c>
      <c r="E51" s="102" t="s">
        <v>3288</v>
      </c>
      <c r="F51" s="102" t="s">
        <v>3289</v>
      </c>
      <c r="G51" s="102" t="s">
        <v>391</v>
      </c>
      <c r="H51" s="102" t="s">
        <v>392</v>
      </c>
      <c r="I51" s="102" t="s">
        <v>284</v>
      </c>
      <c r="J51" s="102" t="s">
        <v>63</v>
      </c>
      <c r="L51" s="229" t="s">
        <v>8533</v>
      </c>
      <c r="M51" s="229" t="s">
        <v>9194</v>
      </c>
      <c r="O51" s="230"/>
      <c r="R51" s="230"/>
      <c r="S51" s="230" t="str">
        <f>IF(ISNUMBER(MATCH(B51, 'Sprint 7'!B:B, 0)), "มาจาก Sprint 7", "")</f>
        <v/>
      </c>
      <c r="T51" s="230" t="str">
        <f t="array" ref="T51">IF(ISNUMBER(MATCH(B51, 'Sprint 7'!B:B, 0)), INDEX('Sprint 7'!J:J, MATCH(B51, 'Sprint 7'!B:B, 0)), "")</f>
        <v/>
      </c>
      <c r="V51" s="102" t="s">
        <v>8981</v>
      </c>
      <c r="W51" s="230"/>
      <c r="X51" s="230"/>
      <c r="Y51" s="230"/>
      <c r="Z51" s="102"/>
    </row>
    <row r="52">
      <c r="A52" s="102" t="s">
        <v>276</v>
      </c>
      <c r="B52" s="102" t="s">
        <v>8531</v>
      </c>
      <c r="C52" s="229" t="s">
        <v>8532</v>
      </c>
      <c r="D52" s="102" t="s">
        <v>4345</v>
      </c>
      <c r="E52" s="102" t="s">
        <v>3288</v>
      </c>
      <c r="F52" s="102" t="s">
        <v>3289</v>
      </c>
      <c r="G52" s="102" t="s">
        <v>391</v>
      </c>
      <c r="H52" s="102" t="s">
        <v>392</v>
      </c>
      <c r="I52" s="102" t="s">
        <v>284</v>
      </c>
      <c r="J52" s="102" t="s">
        <v>63</v>
      </c>
      <c r="L52" s="229" t="s">
        <v>8533</v>
      </c>
      <c r="M52" s="229" t="s">
        <v>9194</v>
      </c>
      <c r="O52" s="230"/>
      <c r="R52" s="230"/>
      <c r="S52" s="230" t="str">
        <f>IF(ISNUMBER(MATCH(B52, 'Sprint 7'!B:B, 0)), "มาจาก Sprint 7", "")</f>
        <v/>
      </c>
      <c r="T52" s="230" t="str">
        <f t="array" ref="T52">IF(ISNUMBER(MATCH(B52, 'Sprint 7'!B:B, 0)), INDEX('Sprint 7'!J:J, MATCH(B52, 'Sprint 7'!B:B, 0)), "")</f>
        <v/>
      </c>
      <c r="V52" s="102" t="s">
        <v>8981</v>
      </c>
      <c r="W52" s="230"/>
      <c r="X52" s="230"/>
      <c r="Y52" s="230"/>
      <c r="Z52" s="102"/>
    </row>
    <row r="53">
      <c r="A53" s="102" t="s">
        <v>276</v>
      </c>
      <c r="B53" s="102" t="s">
        <v>9197</v>
      </c>
      <c r="C53" s="229" t="s">
        <v>9198</v>
      </c>
      <c r="D53" s="102" t="s">
        <v>5650</v>
      </c>
      <c r="E53" s="102" t="s">
        <v>3288</v>
      </c>
      <c r="F53" s="102" t="s">
        <v>3289</v>
      </c>
      <c r="G53" s="102" t="s">
        <v>391</v>
      </c>
      <c r="H53" s="102" t="s">
        <v>392</v>
      </c>
      <c r="I53" s="102" t="s">
        <v>284</v>
      </c>
      <c r="J53" s="102" t="s">
        <v>34</v>
      </c>
      <c r="L53" s="229" t="s">
        <v>8533</v>
      </c>
      <c r="M53" s="229" t="s">
        <v>9199</v>
      </c>
      <c r="O53" s="230"/>
      <c r="R53" s="230"/>
      <c r="S53" s="230" t="str">
        <f>IF(ISNUMBER(MATCH(B53, 'Sprint 7'!B:B, 0)), "มาจาก Sprint 7", "")</f>
        <v/>
      </c>
      <c r="T53" s="230" t="str">
        <f t="array" ref="T53">IF(ISNUMBER(MATCH(B53, 'Sprint 7'!B:B, 0)), INDEX('Sprint 7'!J:J, MATCH(B53, 'Sprint 7'!B:B, 0)), "")</f>
        <v/>
      </c>
      <c r="V53" s="102" t="s">
        <v>8981</v>
      </c>
      <c r="W53" s="230"/>
      <c r="X53" s="230"/>
      <c r="Y53" s="230"/>
      <c r="Z53" s="102"/>
    </row>
    <row r="54">
      <c r="A54" s="102" t="s">
        <v>276</v>
      </c>
      <c r="B54" s="102" t="s">
        <v>8535</v>
      </c>
      <c r="C54" s="229" t="s">
        <v>8536</v>
      </c>
      <c r="D54" s="102" t="s">
        <v>5650</v>
      </c>
      <c r="E54" s="102" t="s">
        <v>3288</v>
      </c>
      <c r="F54" s="102" t="s">
        <v>3289</v>
      </c>
      <c r="G54" s="102" t="s">
        <v>391</v>
      </c>
      <c r="H54" s="102" t="s">
        <v>392</v>
      </c>
      <c r="I54" s="102" t="s">
        <v>284</v>
      </c>
      <c r="J54" s="102" t="s">
        <v>26</v>
      </c>
      <c r="L54" s="229" t="s">
        <v>8537</v>
      </c>
      <c r="M54" s="229" t="s">
        <v>9200</v>
      </c>
      <c r="O54" s="102"/>
      <c r="R54" s="102"/>
      <c r="S54" s="230" t="str">
        <f>IF(ISNUMBER(MATCH(B54, 'Sprint 7'!B:B, 0)), "มาจาก Sprint 7", "")</f>
        <v/>
      </c>
      <c r="T54" s="230" t="str">
        <f t="array" ref="T54">IF(ISNUMBER(MATCH(B54, 'Sprint 7'!B:B, 0)), INDEX('Sprint 7'!J:J, MATCH(B54, 'Sprint 7'!B:B, 0)), "")</f>
        <v/>
      </c>
      <c r="V54" s="102" t="s">
        <v>8981</v>
      </c>
      <c r="W54" s="230"/>
      <c r="X54" s="230"/>
      <c r="Y54" s="230"/>
      <c r="Z54" s="102"/>
    </row>
    <row r="55">
      <c r="A55" s="102" t="s">
        <v>310</v>
      </c>
      <c r="B55" s="102" t="s">
        <v>9201</v>
      </c>
      <c r="C55" s="229" t="s">
        <v>9202</v>
      </c>
      <c r="D55" s="102" t="s">
        <v>9203</v>
      </c>
      <c r="E55" s="102" t="s">
        <v>282</v>
      </c>
      <c r="F55" s="102" t="s">
        <v>283</v>
      </c>
      <c r="G55" s="102" t="s">
        <v>282</v>
      </c>
      <c r="H55" s="102" t="s">
        <v>283</v>
      </c>
      <c r="I55" s="102" t="s">
        <v>284</v>
      </c>
      <c r="J55" s="102" t="s">
        <v>26</v>
      </c>
      <c r="L55" s="229" t="s">
        <v>9204</v>
      </c>
      <c r="M55" s="229" t="s">
        <v>9205</v>
      </c>
      <c r="N55" s="102"/>
      <c r="O55" s="102">
        <v>2.0</v>
      </c>
      <c r="R55" s="102">
        <v>7200.0</v>
      </c>
      <c r="S55" s="230" t="str">
        <f>IF(ISNUMBER(MATCH(B55, 'Sprint 7'!B:B, 0)), "มาจาก Sprint 7", "")</f>
        <v/>
      </c>
      <c r="T55" s="230" t="str">
        <f t="array" ref="T55">IF(ISNUMBER(MATCH(B55, 'Sprint 7'!B:B, 0)), INDEX('Sprint 7'!J:J, MATCH(B55, 'Sprint 7'!B:B, 0)), "")</f>
        <v/>
      </c>
      <c r="V55" s="102" t="s">
        <v>8806</v>
      </c>
      <c r="W55" s="230"/>
      <c r="X55" s="230"/>
      <c r="Y55" s="230"/>
      <c r="Z55" s="102"/>
    </row>
    <row r="56">
      <c r="A56" s="102" t="s">
        <v>310</v>
      </c>
      <c r="B56" s="102" t="s">
        <v>5921</v>
      </c>
      <c r="C56" s="229" t="s">
        <v>5922</v>
      </c>
      <c r="D56" s="102" t="s">
        <v>5923</v>
      </c>
      <c r="E56" s="102" t="s">
        <v>556</v>
      </c>
      <c r="F56" s="102" t="s">
        <v>557</v>
      </c>
      <c r="G56" s="102" t="s">
        <v>353</v>
      </c>
      <c r="H56" s="102" t="s">
        <v>354</v>
      </c>
      <c r="I56" s="102" t="s">
        <v>284</v>
      </c>
      <c r="J56" s="102" t="s">
        <v>2509</v>
      </c>
      <c r="L56" s="229" t="s">
        <v>5924</v>
      </c>
      <c r="M56" s="229" t="s">
        <v>9206</v>
      </c>
      <c r="N56" s="229" t="s">
        <v>5925</v>
      </c>
      <c r="O56" s="102">
        <v>1.0</v>
      </c>
      <c r="S56" s="230" t="str">
        <f>IF(ISNUMBER(MATCH(B56, 'Sprint 7'!B:B, 0)), "มาจาก Sprint 7", "")</f>
        <v/>
      </c>
      <c r="T56" s="230" t="str">
        <f t="array" ref="T56">IF(ISNUMBER(MATCH(B56, 'Sprint 7'!B:B, 0)), INDEX('Sprint 7'!J:J, MATCH(B56, 'Sprint 7'!B:B, 0)), "")</f>
        <v/>
      </c>
      <c r="V56" s="102" t="s">
        <v>5919</v>
      </c>
      <c r="W56" s="230"/>
      <c r="X56" s="230"/>
      <c r="Y56" s="230"/>
      <c r="Z56" s="102"/>
    </row>
    <row r="57">
      <c r="A57" s="102" t="s">
        <v>310</v>
      </c>
      <c r="B57" s="102" t="s">
        <v>5926</v>
      </c>
      <c r="C57" s="229" t="s">
        <v>5927</v>
      </c>
      <c r="D57" s="102" t="s">
        <v>5928</v>
      </c>
      <c r="E57" s="102" t="s">
        <v>564</v>
      </c>
      <c r="F57" s="102" t="s">
        <v>565</v>
      </c>
      <c r="G57" s="102" t="s">
        <v>353</v>
      </c>
      <c r="H57" s="102" t="s">
        <v>354</v>
      </c>
      <c r="I57" s="102" t="s">
        <v>515</v>
      </c>
      <c r="J57" s="102" t="s">
        <v>454</v>
      </c>
      <c r="L57" s="229" t="s">
        <v>5929</v>
      </c>
      <c r="M57" s="229" t="s">
        <v>9207</v>
      </c>
      <c r="N57" s="229" t="s">
        <v>5925</v>
      </c>
      <c r="O57" s="102">
        <v>3.0</v>
      </c>
      <c r="R57" s="102">
        <v>28800.0</v>
      </c>
      <c r="S57" s="230" t="str">
        <f>IF(ISNUMBER(MATCH(B57, 'Sprint 7'!B:B, 0)), "มาจาก Sprint 7", "")</f>
        <v/>
      </c>
      <c r="T57" s="230" t="str">
        <f t="array" ref="T57">IF(ISNUMBER(MATCH(B57, 'Sprint 7'!B:B, 0)), INDEX('Sprint 7'!J:J, MATCH(B57, 'Sprint 7'!B:B, 0)), "")</f>
        <v/>
      </c>
      <c r="V57" s="102" t="s">
        <v>5919</v>
      </c>
      <c r="W57" s="230"/>
      <c r="X57" s="230"/>
      <c r="Y57" s="230"/>
      <c r="Z57" s="102"/>
    </row>
    <row r="58">
      <c r="A58" s="102" t="s">
        <v>310</v>
      </c>
      <c r="B58" s="102" t="s">
        <v>7618</v>
      </c>
      <c r="C58" s="229" t="s">
        <v>7619</v>
      </c>
      <c r="D58" s="102" t="s">
        <v>7620</v>
      </c>
      <c r="E58" s="102" t="s">
        <v>513</v>
      </c>
      <c r="F58" s="102" t="s">
        <v>514</v>
      </c>
      <c r="G58" s="102" t="s">
        <v>353</v>
      </c>
      <c r="H58" s="102" t="s">
        <v>354</v>
      </c>
      <c r="I58" s="102" t="s">
        <v>515</v>
      </c>
      <c r="J58" s="102" t="s">
        <v>454</v>
      </c>
      <c r="L58" s="229" t="s">
        <v>5929</v>
      </c>
      <c r="M58" s="229" t="s">
        <v>9208</v>
      </c>
      <c r="N58" s="229" t="s">
        <v>6456</v>
      </c>
      <c r="O58" s="102">
        <v>5.0</v>
      </c>
      <c r="R58" s="102">
        <v>57600.0</v>
      </c>
      <c r="S58" s="230" t="str">
        <f>IF(ISNUMBER(MATCH(B58, 'Sprint 7'!B:B, 0)), "มาจาก Sprint 7", "")</f>
        <v/>
      </c>
      <c r="T58" s="230" t="str">
        <f t="array" ref="T58">IF(ISNUMBER(MATCH(B58, 'Sprint 7'!B:B, 0)), INDEX('Sprint 7'!J:J, MATCH(B58, 'Sprint 7'!B:B, 0)), "")</f>
        <v/>
      </c>
      <c r="U58" s="102" t="s">
        <v>9097</v>
      </c>
      <c r="V58" s="102" t="s">
        <v>5919</v>
      </c>
      <c r="W58" s="230"/>
      <c r="X58" s="230"/>
      <c r="Y58" s="230"/>
      <c r="Z58" s="102"/>
    </row>
    <row r="59">
      <c r="A59" s="102" t="s">
        <v>310</v>
      </c>
      <c r="B59" s="102" t="s">
        <v>7622</v>
      </c>
      <c r="C59" s="229" t="s">
        <v>7623</v>
      </c>
      <c r="D59" s="102" t="s">
        <v>7624</v>
      </c>
      <c r="E59" s="102" t="s">
        <v>584</v>
      </c>
      <c r="F59" s="102" t="s">
        <v>585</v>
      </c>
      <c r="G59" s="102" t="s">
        <v>353</v>
      </c>
      <c r="H59" s="102" t="s">
        <v>354</v>
      </c>
      <c r="I59" s="102" t="s">
        <v>515</v>
      </c>
      <c r="J59" s="102" t="s">
        <v>454</v>
      </c>
      <c r="L59" s="229" t="s">
        <v>5929</v>
      </c>
      <c r="M59" s="229" t="s">
        <v>9209</v>
      </c>
      <c r="N59" s="229" t="s">
        <v>6456</v>
      </c>
      <c r="O59" s="102">
        <v>8.0</v>
      </c>
      <c r="P59" s="102"/>
      <c r="R59" s="102">
        <v>57600.0</v>
      </c>
      <c r="S59" s="230" t="str">
        <f>IF(ISNUMBER(MATCH(B59, 'Sprint 7'!B:B, 0)), "มาจาก Sprint 7", "")</f>
        <v/>
      </c>
      <c r="T59" s="230" t="str">
        <f t="array" ref="T59">IF(ISNUMBER(MATCH(B59, 'Sprint 7'!B:B, 0)), INDEX('Sprint 7'!J:J, MATCH(B59, 'Sprint 7'!B:B, 0)), "")</f>
        <v/>
      </c>
      <c r="V59" s="102" t="s">
        <v>5919</v>
      </c>
      <c r="W59" s="230"/>
      <c r="X59" s="230"/>
      <c r="Y59" s="230"/>
      <c r="Z59" s="102"/>
    </row>
    <row r="60">
      <c r="A60" s="102" t="s">
        <v>310</v>
      </c>
      <c r="B60" s="102" t="s">
        <v>5930</v>
      </c>
      <c r="C60" s="229" t="s">
        <v>5931</v>
      </c>
      <c r="D60" s="102" t="s">
        <v>5932</v>
      </c>
      <c r="E60" s="102" t="s">
        <v>556</v>
      </c>
      <c r="F60" s="102" t="s">
        <v>557</v>
      </c>
      <c r="G60" s="102" t="s">
        <v>353</v>
      </c>
      <c r="H60" s="102" t="s">
        <v>354</v>
      </c>
      <c r="I60" s="102" t="s">
        <v>318</v>
      </c>
      <c r="J60" s="102" t="s">
        <v>454</v>
      </c>
      <c r="L60" s="229" t="s">
        <v>5933</v>
      </c>
      <c r="M60" s="229" t="s">
        <v>9210</v>
      </c>
      <c r="N60" s="229" t="s">
        <v>5934</v>
      </c>
      <c r="O60" s="102">
        <v>3.0</v>
      </c>
      <c r="P60" s="102" t="s">
        <v>5912</v>
      </c>
      <c r="R60" s="102">
        <v>28800.0</v>
      </c>
      <c r="S60" s="230" t="str">
        <f>IF(ISNUMBER(MATCH(B60, 'Sprint 7'!B:B, 0)), "มาจาก Sprint 7", "")</f>
        <v/>
      </c>
      <c r="T60" s="230" t="str">
        <f t="array" ref="T60">IF(ISNUMBER(MATCH(B60, 'Sprint 7'!B:B, 0)), INDEX('Sprint 7'!J:J, MATCH(B60, 'Sprint 7'!B:B, 0)), "")</f>
        <v/>
      </c>
      <c r="V60" s="102" t="s">
        <v>5919</v>
      </c>
      <c r="W60" s="230"/>
      <c r="X60" s="230"/>
      <c r="Y60" s="230"/>
      <c r="Z60" s="102"/>
    </row>
    <row r="61">
      <c r="A61" s="102" t="s">
        <v>310</v>
      </c>
      <c r="B61" s="102" t="s">
        <v>8982</v>
      </c>
      <c r="C61" s="229" t="s">
        <v>8983</v>
      </c>
      <c r="D61" s="102" t="s">
        <v>8984</v>
      </c>
      <c r="E61" s="102" t="s">
        <v>556</v>
      </c>
      <c r="F61" s="102" t="s">
        <v>557</v>
      </c>
      <c r="G61" s="102" t="s">
        <v>282</v>
      </c>
      <c r="H61" s="102" t="s">
        <v>283</v>
      </c>
      <c r="I61" s="102" t="s">
        <v>284</v>
      </c>
      <c r="J61" s="102" t="s">
        <v>454</v>
      </c>
      <c r="L61" s="229" t="s">
        <v>8985</v>
      </c>
      <c r="M61" s="229" t="s">
        <v>9211</v>
      </c>
      <c r="N61" s="229" t="s">
        <v>8987</v>
      </c>
      <c r="O61" s="102">
        <v>3.0</v>
      </c>
      <c r="P61" s="102" t="s">
        <v>5547</v>
      </c>
      <c r="R61" s="102">
        <v>28800.0</v>
      </c>
      <c r="S61" s="230" t="str">
        <f>IF(ISNUMBER(MATCH(B61, 'Sprint 7'!B:B, 0)), "มาจาก Sprint 7", "")</f>
        <v/>
      </c>
      <c r="T61" s="230" t="str">
        <f t="array" ref="T61">IF(ISNUMBER(MATCH(B61, 'Sprint 7'!B:B, 0)), INDEX('Sprint 7'!J:J, MATCH(B61, 'Sprint 7'!B:B, 0)), "")</f>
        <v/>
      </c>
      <c r="V61" s="102" t="s">
        <v>8806</v>
      </c>
      <c r="W61" s="230"/>
      <c r="X61" s="230"/>
      <c r="Y61" s="230"/>
      <c r="Z61" s="102"/>
    </row>
    <row r="62">
      <c r="A62" s="102" t="s">
        <v>310</v>
      </c>
      <c r="B62" s="102" t="s">
        <v>9212</v>
      </c>
      <c r="C62" s="229" t="s">
        <v>9213</v>
      </c>
      <c r="D62" s="102" t="s">
        <v>9214</v>
      </c>
      <c r="E62" s="102" t="s">
        <v>353</v>
      </c>
      <c r="F62" s="102" t="s">
        <v>354</v>
      </c>
      <c r="G62" s="102" t="s">
        <v>353</v>
      </c>
      <c r="H62" s="102" t="s">
        <v>354</v>
      </c>
      <c r="I62" s="102" t="s">
        <v>318</v>
      </c>
      <c r="J62" s="102" t="s">
        <v>26</v>
      </c>
      <c r="L62" s="229" t="s">
        <v>9215</v>
      </c>
      <c r="M62" s="229" t="s">
        <v>9216</v>
      </c>
      <c r="N62" s="102"/>
      <c r="O62" s="102">
        <v>1.0</v>
      </c>
      <c r="P62" s="102" t="s">
        <v>593</v>
      </c>
      <c r="Q62" s="102"/>
      <c r="R62" s="102">
        <v>7200.0</v>
      </c>
      <c r="S62" s="230" t="str">
        <f>IF(ISNUMBER(MATCH(B62, 'Sprint 7'!B:B, 0)), "มาจาก Sprint 7", "")</f>
        <v/>
      </c>
      <c r="T62" s="230" t="str">
        <f t="array" ref="T62">IF(ISNUMBER(MATCH(B62, 'Sprint 7'!B:B, 0)), INDEX('Sprint 7'!J:J, MATCH(B62, 'Sprint 7'!B:B, 0)), "")</f>
        <v/>
      </c>
      <c r="V62" s="102" t="s">
        <v>5919</v>
      </c>
      <c r="W62" s="230"/>
      <c r="X62" s="230"/>
      <c r="Y62" s="230"/>
      <c r="Z62" s="102"/>
    </row>
    <row r="63">
      <c r="A63" s="102" t="s">
        <v>310</v>
      </c>
      <c r="B63" s="102" t="s">
        <v>8008</v>
      </c>
      <c r="C63" s="229" t="s">
        <v>8009</v>
      </c>
      <c r="D63" s="102" t="s">
        <v>8010</v>
      </c>
      <c r="E63" s="102" t="s">
        <v>556</v>
      </c>
      <c r="F63" s="102" t="s">
        <v>557</v>
      </c>
      <c r="G63" s="102" t="s">
        <v>282</v>
      </c>
      <c r="H63" s="102" t="s">
        <v>283</v>
      </c>
      <c r="I63" s="102" t="s">
        <v>284</v>
      </c>
      <c r="J63" s="102" t="s">
        <v>454</v>
      </c>
      <c r="L63" s="229" t="s">
        <v>8011</v>
      </c>
      <c r="M63" s="229" t="s">
        <v>9217</v>
      </c>
      <c r="N63" s="229" t="s">
        <v>7606</v>
      </c>
      <c r="O63" s="102">
        <v>2.0</v>
      </c>
      <c r="P63" s="102" t="s">
        <v>504</v>
      </c>
      <c r="Q63" s="102" t="s">
        <v>5547</v>
      </c>
      <c r="R63" s="102">
        <v>7200.0</v>
      </c>
      <c r="S63" s="230" t="str">
        <f>IF(ISNUMBER(MATCH(B63, 'Sprint 7'!B:B, 0)), "มาจาก Sprint 7", "")</f>
        <v/>
      </c>
      <c r="T63" s="230" t="str">
        <f t="array" ref="T63">IF(ISNUMBER(MATCH(B63, 'Sprint 7'!B:B, 0)), INDEX('Sprint 7'!J:J, MATCH(B63, 'Sprint 7'!B:B, 0)), "")</f>
        <v/>
      </c>
      <c r="U63" s="102" t="s">
        <v>9097</v>
      </c>
      <c r="V63" s="102" t="s">
        <v>5919</v>
      </c>
      <c r="W63" s="230"/>
      <c r="X63" s="230"/>
      <c r="Y63" s="230"/>
      <c r="Z63" s="102"/>
      <c r="AA63" s="102"/>
      <c r="AB63" s="102"/>
    </row>
    <row r="64">
      <c r="A64" s="102" t="s">
        <v>310</v>
      </c>
      <c r="B64" s="102" t="s">
        <v>8544</v>
      </c>
      <c r="C64" s="229" t="s">
        <v>8545</v>
      </c>
      <c r="D64" s="102" t="s">
        <v>8546</v>
      </c>
      <c r="E64" s="102" t="s">
        <v>304</v>
      </c>
      <c r="F64" s="102" t="s">
        <v>305</v>
      </c>
      <c r="G64" s="102" t="s">
        <v>314</v>
      </c>
      <c r="H64" s="102" t="s">
        <v>315</v>
      </c>
      <c r="I64" s="102" t="s">
        <v>284</v>
      </c>
      <c r="J64" s="102" t="s">
        <v>355</v>
      </c>
      <c r="L64" s="229" t="s">
        <v>8547</v>
      </c>
      <c r="M64" s="229" t="s">
        <v>8966</v>
      </c>
      <c r="N64" s="229" t="s">
        <v>7606</v>
      </c>
      <c r="O64" s="102">
        <v>3.0</v>
      </c>
      <c r="R64" s="102">
        <v>28800.0</v>
      </c>
      <c r="S64" s="230" t="str">
        <f>IF(ISNUMBER(MATCH(B64, 'Sprint 7'!B:B, 0)), "มาจาก Sprint 7", "")</f>
        <v/>
      </c>
      <c r="T64" s="230" t="str">
        <f t="array" ref="T64">IF(ISNUMBER(MATCH(B64, 'Sprint 7'!B:B, 0)), INDEX('Sprint 7'!J:J, MATCH(B64, 'Sprint 7'!B:B, 0)), "")</f>
        <v/>
      </c>
      <c r="U64" s="102" t="s">
        <v>9097</v>
      </c>
      <c r="V64" s="102" t="s">
        <v>1362</v>
      </c>
      <c r="W64" s="102" t="s">
        <v>1363</v>
      </c>
      <c r="X64" s="230"/>
      <c r="Y64" s="230"/>
      <c r="Z64" s="102"/>
    </row>
    <row r="65">
      <c r="A65" s="102" t="s">
        <v>310</v>
      </c>
      <c r="B65" s="102" t="s">
        <v>8553</v>
      </c>
      <c r="C65" s="229" t="s">
        <v>8554</v>
      </c>
      <c r="D65" s="102" t="s">
        <v>8555</v>
      </c>
      <c r="E65" s="102" t="s">
        <v>495</v>
      </c>
      <c r="F65" s="102" t="s">
        <v>496</v>
      </c>
      <c r="G65" s="102" t="s">
        <v>314</v>
      </c>
      <c r="H65" s="102" t="s">
        <v>315</v>
      </c>
      <c r="I65" s="102" t="s">
        <v>284</v>
      </c>
      <c r="J65" s="102" t="s">
        <v>678</v>
      </c>
      <c r="L65" s="229" t="s">
        <v>8556</v>
      </c>
      <c r="M65" s="229" t="s">
        <v>8966</v>
      </c>
      <c r="O65" s="102">
        <v>1.0</v>
      </c>
      <c r="R65" s="102">
        <v>7200.0</v>
      </c>
      <c r="S65" s="230" t="str">
        <f>IF(ISNUMBER(MATCH(B65, 'Sprint 7'!B:B, 0)), "มาจาก Sprint 7", "")</f>
        <v/>
      </c>
      <c r="T65" s="230" t="str">
        <f t="array" ref="T65">IF(ISNUMBER(MATCH(B65, 'Sprint 7'!B:B, 0)), INDEX('Sprint 7'!J:J, MATCH(B65, 'Sprint 7'!B:B, 0)), "")</f>
        <v/>
      </c>
      <c r="V65" s="102" t="s">
        <v>1362</v>
      </c>
      <c r="W65" s="102" t="s">
        <v>1363</v>
      </c>
      <c r="X65" s="230"/>
      <c r="Y65" s="230"/>
      <c r="Z65" s="102"/>
    </row>
    <row r="66">
      <c r="A66" s="102" t="s">
        <v>310</v>
      </c>
      <c r="B66" s="102" t="s">
        <v>9218</v>
      </c>
      <c r="C66" s="229" t="s">
        <v>9219</v>
      </c>
      <c r="D66" s="102" t="s">
        <v>9220</v>
      </c>
      <c r="E66" s="102" t="s">
        <v>314</v>
      </c>
      <c r="F66" s="102" t="s">
        <v>315</v>
      </c>
      <c r="G66" s="102" t="s">
        <v>314</v>
      </c>
      <c r="H66" s="102" t="s">
        <v>315</v>
      </c>
      <c r="I66" s="102" t="s">
        <v>284</v>
      </c>
      <c r="J66" s="102" t="s">
        <v>26</v>
      </c>
      <c r="L66" s="229" t="s">
        <v>9221</v>
      </c>
      <c r="M66" s="229" t="s">
        <v>9222</v>
      </c>
      <c r="N66" s="102"/>
      <c r="O66" s="102">
        <v>1.0</v>
      </c>
      <c r="P66" s="102"/>
      <c r="Q66" s="102"/>
      <c r="R66" s="102">
        <v>7200.0</v>
      </c>
      <c r="S66" s="230" t="str">
        <f>IF(ISNUMBER(MATCH(B66, 'Sprint 7'!B:B, 0)), "มาจาก Sprint 7", "")</f>
        <v/>
      </c>
      <c r="T66" s="230" t="str">
        <f t="array" ref="T66">IF(ISNUMBER(MATCH(B66, 'Sprint 7'!B:B, 0)), INDEX('Sprint 7'!J:J, MATCH(B66, 'Sprint 7'!B:B, 0)), "")</f>
        <v/>
      </c>
      <c r="V66" s="102" t="s">
        <v>1362</v>
      </c>
      <c r="W66" s="230"/>
      <c r="X66" s="230"/>
      <c r="Y66" s="230"/>
      <c r="Z66" s="102"/>
    </row>
    <row r="67">
      <c r="A67" s="102" t="s">
        <v>310</v>
      </c>
      <c r="B67" s="102" t="s">
        <v>9223</v>
      </c>
      <c r="C67" s="229" t="s">
        <v>9224</v>
      </c>
      <c r="D67" s="102" t="s">
        <v>9225</v>
      </c>
      <c r="E67" s="102" t="s">
        <v>304</v>
      </c>
      <c r="F67" s="102" t="s">
        <v>305</v>
      </c>
      <c r="G67" s="102" t="s">
        <v>314</v>
      </c>
      <c r="H67" s="102" t="s">
        <v>315</v>
      </c>
      <c r="I67" s="102" t="s">
        <v>284</v>
      </c>
      <c r="J67" s="102" t="s">
        <v>26</v>
      </c>
      <c r="L67" s="229" t="s">
        <v>9226</v>
      </c>
      <c r="M67" s="229" t="s">
        <v>9227</v>
      </c>
      <c r="N67" s="229" t="s">
        <v>8987</v>
      </c>
      <c r="O67" s="102">
        <v>1.0</v>
      </c>
      <c r="P67" s="102" t="s">
        <v>1305</v>
      </c>
      <c r="Q67" s="102" t="s">
        <v>593</v>
      </c>
      <c r="R67" s="102">
        <v>7200.0</v>
      </c>
      <c r="S67" s="230" t="str">
        <f>IF(ISNUMBER(MATCH(B67, 'Sprint 7'!B:B, 0)), "มาจาก Sprint 7", "")</f>
        <v/>
      </c>
      <c r="T67" s="230" t="str">
        <f t="array" ref="T67">IF(ISNUMBER(MATCH(B67, 'Sprint 7'!B:B, 0)), INDEX('Sprint 7'!J:J, MATCH(B67, 'Sprint 7'!B:B, 0)), "")</f>
        <v/>
      </c>
      <c r="U67" s="102" t="s">
        <v>9097</v>
      </c>
      <c r="V67" s="102" t="s">
        <v>1362</v>
      </c>
      <c r="W67" s="102"/>
      <c r="X67" s="230"/>
      <c r="Y67" s="230"/>
      <c r="Z67" s="102"/>
    </row>
    <row r="68">
      <c r="A68" s="102" t="s">
        <v>332</v>
      </c>
      <c r="B68" s="102" t="s">
        <v>9228</v>
      </c>
      <c r="C68" s="229" t="s">
        <v>9229</v>
      </c>
      <c r="D68" s="102" t="s">
        <v>9230</v>
      </c>
      <c r="E68" s="102" t="s">
        <v>495</v>
      </c>
      <c r="F68" s="102" t="s">
        <v>496</v>
      </c>
      <c r="G68" s="102" t="s">
        <v>3288</v>
      </c>
      <c r="H68" s="102" t="s">
        <v>3289</v>
      </c>
      <c r="I68" s="102" t="s">
        <v>284</v>
      </c>
      <c r="J68" s="102" t="s">
        <v>336</v>
      </c>
      <c r="L68" s="229" t="s">
        <v>9231</v>
      </c>
      <c r="M68" s="229" t="s">
        <v>9232</v>
      </c>
      <c r="N68" s="102"/>
      <c r="O68" s="102"/>
      <c r="R68" s="102"/>
      <c r="S68" s="230" t="str">
        <f>IF(ISNUMBER(MATCH(B68, 'Sprint 7'!B:B, 0)), "มาจาก Sprint 7", "")</f>
        <v>มาจาก Sprint 7</v>
      </c>
      <c r="T68" s="230" t="str">
        <f t="array" ref="T68">IF(ISNUMBER(MATCH(B68, 'Sprint 7'!B:B, 0)), INDEX('Sprint 7'!J:J, MATCH(B68, 'Sprint 7'!B:B, 0)), "")</f>
        <v>UNDER VALIDATION</v>
      </c>
      <c r="V68" s="102" t="s">
        <v>5944</v>
      </c>
      <c r="W68" s="102" t="s">
        <v>5919</v>
      </c>
      <c r="X68" s="230"/>
      <c r="Y68" s="230"/>
      <c r="Z68" s="102"/>
    </row>
    <row r="69">
      <c r="A69" s="102" t="s">
        <v>310</v>
      </c>
      <c r="B69" s="102" t="s">
        <v>8558</v>
      </c>
      <c r="C69" s="229" t="s">
        <v>8559</v>
      </c>
      <c r="D69" s="102" t="s">
        <v>8560</v>
      </c>
      <c r="E69" s="102" t="s">
        <v>513</v>
      </c>
      <c r="F69" s="102" t="s">
        <v>514</v>
      </c>
      <c r="G69" s="102" t="s">
        <v>314</v>
      </c>
      <c r="H69" s="102" t="s">
        <v>315</v>
      </c>
      <c r="I69" s="102" t="s">
        <v>284</v>
      </c>
      <c r="J69" s="102" t="s">
        <v>454</v>
      </c>
      <c r="L69" s="229" t="s">
        <v>8561</v>
      </c>
      <c r="M69" s="229" t="s">
        <v>9233</v>
      </c>
      <c r="N69" s="229" t="s">
        <v>8563</v>
      </c>
      <c r="O69" s="102">
        <v>3.0</v>
      </c>
      <c r="R69" s="102">
        <v>57600.0</v>
      </c>
      <c r="S69" s="230" t="str">
        <f>IF(ISNUMBER(MATCH(B69, 'Sprint 7'!B:B, 0)), "มาจาก Sprint 7", "")</f>
        <v/>
      </c>
      <c r="T69" s="230" t="str">
        <f t="array" ref="T69">IF(ISNUMBER(MATCH(B69, 'Sprint 7'!B:B, 0)), INDEX('Sprint 7'!J:J, MATCH(B69, 'Sprint 7'!B:B, 0)), "")</f>
        <v/>
      </c>
      <c r="V69" s="102" t="s">
        <v>5919</v>
      </c>
      <c r="W69" s="230"/>
      <c r="X69" s="230"/>
      <c r="Y69" s="230"/>
      <c r="Z69" s="102"/>
      <c r="AA69" s="102"/>
      <c r="AB69" s="102"/>
    </row>
    <row r="70">
      <c r="A70" s="102" t="s">
        <v>310</v>
      </c>
      <c r="B70" s="102" t="s">
        <v>9234</v>
      </c>
      <c r="C70" s="229" t="s">
        <v>9235</v>
      </c>
      <c r="D70" s="102" t="s">
        <v>9236</v>
      </c>
      <c r="E70" s="102" t="s">
        <v>314</v>
      </c>
      <c r="F70" s="102" t="s">
        <v>315</v>
      </c>
      <c r="G70" s="102" t="s">
        <v>314</v>
      </c>
      <c r="H70" s="102" t="s">
        <v>315</v>
      </c>
      <c r="I70" s="102" t="s">
        <v>284</v>
      </c>
      <c r="J70" s="102" t="s">
        <v>26</v>
      </c>
      <c r="L70" s="229" t="s">
        <v>9237</v>
      </c>
      <c r="M70" s="229" t="s">
        <v>9238</v>
      </c>
      <c r="O70" s="102">
        <v>1.0</v>
      </c>
      <c r="P70" s="102"/>
      <c r="R70" s="102">
        <v>7200.0</v>
      </c>
      <c r="S70" s="230" t="str">
        <f>IF(ISNUMBER(MATCH(B70, 'Sprint 7'!B:B, 0)), "มาจาก Sprint 7", "")</f>
        <v/>
      </c>
      <c r="T70" s="230" t="str">
        <f t="array" ref="T70">IF(ISNUMBER(MATCH(B70, 'Sprint 7'!B:B, 0)), INDEX('Sprint 7'!J:J, MATCH(B70, 'Sprint 7'!B:B, 0)), "")</f>
        <v/>
      </c>
      <c r="V70" s="102" t="s">
        <v>1362</v>
      </c>
      <c r="W70" s="230"/>
      <c r="X70" s="230"/>
      <c r="Y70" s="230"/>
      <c r="Z70" s="102"/>
    </row>
    <row r="71">
      <c r="A71" s="102" t="s">
        <v>310</v>
      </c>
      <c r="B71" s="102" t="s">
        <v>9239</v>
      </c>
      <c r="C71" s="229" t="s">
        <v>9240</v>
      </c>
      <c r="D71" s="102" t="s">
        <v>9241</v>
      </c>
      <c r="E71" s="102" t="s">
        <v>282</v>
      </c>
      <c r="F71" s="102" t="s">
        <v>283</v>
      </c>
      <c r="G71" s="102" t="s">
        <v>282</v>
      </c>
      <c r="H71" s="102" t="s">
        <v>283</v>
      </c>
      <c r="I71" s="102" t="s">
        <v>318</v>
      </c>
      <c r="J71" s="102" t="s">
        <v>26</v>
      </c>
      <c r="L71" s="229" t="s">
        <v>9242</v>
      </c>
      <c r="M71" s="229" t="s">
        <v>9206</v>
      </c>
      <c r="O71" s="102">
        <v>2.0</v>
      </c>
      <c r="P71" s="102" t="s">
        <v>6415</v>
      </c>
      <c r="R71" s="102">
        <v>7200.0</v>
      </c>
      <c r="S71" s="230" t="str">
        <f>IF(ISNUMBER(MATCH(B71, 'Sprint 7'!B:B, 0)), "มาจาก Sprint 7", "")</f>
        <v/>
      </c>
      <c r="T71" s="230" t="str">
        <f t="array" ref="T71">IF(ISNUMBER(MATCH(B71, 'Sprint 7'!B:B, 0)), INDEX('Sprint 7'!J:J, MATCH(B71, 'Sprint 7'!B:B, 0)), "")</f>
        <v/>
      </c>
      <c r="V71" s="102" t="s">
        <v>8806</v>
      </c>
      <c r="W71" s="230"/>
      <c r="X71" s="230"/>
      <c r="Y71" s="230"/>
      <c r="Z71" s="102"/>
    </row>
    <row r="72">
      <c r="A72" s="102" t="s">
        <v>310</v>
      </c>
      <c r="B72" s="102" t="s">
        <v>7630</v>
      </c>
      <c r="C72" s="229" t="s">
        <v>7631</v>
      </c>
      <c r="D72" s="102" t="s">
        <v>7632</v>
      </c>
      <c r="E72" s="102" t="s">
        <v>513</v>
      </c>
      <c r="F72" s="102" t="s">
        <v>514</v>
      </c>
      <c r="G72" s="102" t="s">
        <v>353</v>
      </c>
      <c r="H72" s="102" t="s">
        <v>354</v>
      </c>
      <c r="I72" s="102" t="s">
        <v>318</v>
      </c>
      <c r="J72" s="102" t="s">
        <v>454</v>
      </c>
      <c r="L72" s="229" t="s">
        <v>7633</v>
      </c>
      <c r="M72" s="229" t="s">
        <v>9233</v>
      </c>
      <c r="N72" s="102"/>
      <c r="O72" s="102">
        <v>1.0</v>
      </c>
      <c r="P72" s="102"/>
      <c r="R72" s="102">
        <v>7200.0</v>
      </c>
      <c r="S72" s="230" t="str">
        <f>IF(ISNUMBER(MATCH(B72, 'Sprint 7'!B:B, 0)), "มาจาก Sprint 7", "")</f>
        <v/>
      </c>
      <c r="T72" s="230" t="str">
        <f t="array" ref="T72">IF(ISNUMBER(MATCH(B72, 'Sprint 7'!B:B, 0)), INDEX('Sprint 7'!J:J, MATCH(B72, 'Sprint 7'!B:B, 0)), "")</f>
        <v/>
      </c>
      <c r="U72" s="102" t="s">
        <v>9097</v>
      </c>
      <c r="V72" s="102" t="s">
        <v>5919</v>
      </c>
      <c r="W72" s="230"/>
      <c r="X72" s="230"/>
      <c r="Y72" s="230"/>
      <c r="Z72" s="102"/>
    </row>
    <row r="73">
      <c r="A73" s="102" t="s">
        <v>310</v>
      </c>
      <c r="B73" s="102" t="s">
        <v>6451</v>
      </c>
      <c r="C73" s="229" t="s">
        <v>6452</v>
      </c>
      <c r="D73" s="102" t="s">
        <v>6453</v>
      </c>
      <c r="E73" s="102" t="s">
        <v>556</v>
      </c>
      <c r="F73" s="102" t="s">
        <v>557</v>
      </c>
      <c r="G73" s="102" t="s">
        <v>353</v>
      </c>
      <c r="H73" s="102" t="s">
        <v>354</v>
      </c>
      <c r="I73" s="102" t="s">
        <v>515</v>
      </c>
      <c r="J73" s="102" t="s">
        <v>454</v>
      </c>
      <c r="L73" s="229" t="s">
        <v>6454</v>
      </c>
      <c r="M73" s="229" t="s">
        <v>9243</v>
      </c>
      <c r="N73" s="229" t="s">
        <v>6456</v>
      </c>
      <c r="O73" s="102">
        <v>5.0</v>
      </c>
      <c r="R73" s="102">
        <v>57600.0</v>
      </c>
      <c r="S73" s="230" t="str">
        <f>IF(ISNUMBER(MATCH(B73, 'Sprint 7'!B:B, 0)), "มาจาก Sprint 7", "")</f>
        <v/>
      </c>
      <c r="T73" s="230" t="str">
        <f t="array" ref="T73">IF(ISNUMBER(MATCH(B73, 'Sprint 7'!B:B, 0)), INDEX('Sprint 7'!J:J, MATCH(B73, 'Sprint 7'!B:B, 0)), "")</f>
        <v/>
      </c>
      <c r="V73" s="102" t="s">
        <v>5919</v>
      </c>
      <c r="W73" s="230"/>
      <c r="X73" s="230"/>
      <c r="Y73" s="230"/>
      <c r="Z73" s="102"/>
    </row>
    <row r="74">
      <c r="A74" s="102" t="s">
        <v>310</v>
      </c>
      <c r="B74" s="102" t="s">
        <v>6457</v>
      </c>
      <c r="C74" s="229" t="s">
        <v>6458</v>
      </c>
      <c r="D74" s="102" t="s">
        <v>6459</v>
      </c>
      <c r="E74" s="102" t="s">
        <v>564</v>
      </c>
      <c r="F74" s="102" t="s">
        <v>565</v>
      </c>
      <c r="G74" s="102" t="s">
        <v>353</v>
      </c>
      <c r="H74" s="102" t="s">
        <v>354</v>
      </c>
      <c r="I74" s="102" t="s">
        <v>515</v>
      </c>
      <c r="J74" s="102" t="s">
        <v>454</v>
      </c>
      <c r="L74" s="229" t="s">
        <v>6460</v>
      </c>
      <c r="M74" s="229" t="s">
        <v>9170</v>
      </c>
      <c r="N74" s="229" t="s">
        <v>6456</v>
      </c>
      <c r="O74" s="102">
        <v>2.0</v>
      </c>
      <c r="P74" s="102"/>
      <c r="Q74" s="102"/>
      <c r="R74" s="102">
        <v>7200.0</v>
      </c>
      <c r="S74" s="230" t="str">
        <f>IF(ISNUMBER(MATCH(B74, 'Sprint 7'!B:B, 0)), "มาจาก Sprint 7", "")</f>
        <v/>
      </c>
      <c r="T74" s="230" t="str">
        <f t="array" ref="T74">IF(ISNUMBER(MATCH(B74, 'Sprint 7'!B:B, 0)), INDEX('Sprint 7'!J:J, MATCH(B74, 'Sprint 7'!B:B, 0)), "")</f>
        <v/>
      </c>
      <c r="V74" s="102" t="s">
        <v>5919</v>
      </c>
      <c r="W74" s="230"/>
      <c r="X74" s="230"/>
      <c r="Y74" s="230"/>
      <c r="Z74" s="102"/>
    </row>
    <row r="75">
      <c r="A75" s="102" t="s">
        <v>310</v>
      </c>
      <c r="B75" s="102" t="s">
        <v>8990</v>
      </c>
      <c r="C75" s="229" t="s">
        <v>8991</v>
      </c>
      <c r="D75" s="102" t="s">
        <v>8992</v>
      </c>
      <c r="E75" s="102" t="s">
        <v>513</v>
      </c>
      <c r="F75" s="102" t="s">
        <v>514</v>
      </c>
      <c r="G75" s="102" t="s">
        <v>314</v>
      </c>
      <c r="H75" s="102" t="s">
        <v>315</v>
      </c>
      <c r="I75" s="102" t="s">
        <v>284</v>
      </c>
      <c r="J75" s="102" t="s">
        <v>678</v>
      </c>
      <c r="L75" s="229" t="s">
        <v>8993</v>
      </c>
      <c r="M75" s="229" t="s">
        <v>8966</v>
      </c>
      <c r="N75" s="102"/>
      <c r="O75" s="102">
        <v>2.0</v>
      </c>
      <c r="P75" s="102" t="s">
        <v>593</v>
      </c>
      <c r="Q75" s="102" t="s">
        <v>8995</v>
      </c>
      <c r="R75" s="102">
        <v>14400.0</v>
      </c>
      <c r="S75" s="230" t="str">
        <f>IF(ISNUMBER(MATCH(B75, 'Sprint 7'!B:B, 0)), "มาจาก Sprint 7", "")</f>
        <v/>
      </c>
      <c r="T75" s="230" t="str">
        <f t="array" ref="T75">IF(ISNUMBER(MATCH(B75, 'Sprint 7'!B:B, 0)), INDEX('Sprint 7'!J:J, MATCH(B75, 'Sprint 7'!B:B, 0)), "")</f>
        <v/>
      </c>
      <c r="V75" s="102" t="s">
        <v>1362</v>
      </c>
      <c r="W75" s="102" t="s">
        <v>1363</v>
      </c>
      <c r="X75" s="230"/>
      <c r="Y75" s="102"/>
      <c r="Z75" s="102"/>
    </row>
    <row r="76">
      <c r="A76" s="102" t="s">
        <v>310</v>
      </c>
      <c r="B76" s="102" t="s">
        <v>9244</v>
      </c>
      <c r="C76" s="229" t="s">
        <v>9245</v>
      </c>
      <c r="D76" s="102" t="s">
        <v>9246</v>
      </c>
      <c r="E76" s="102" t="s">
        <v>314</v>
      </c>
      <c r="F76" s="102" t="s">
        <v>315</v>
      </c>
      <c r="G76" s="102" t="s">
        <v>314</v>
      </c>
      <c r="H76" s="102" t="s">
        <v>315</v>
      </c>
      <c r="I76" s="102" t="s">
        <v>284</v>
      </c>
      <c r="J76" s="102" t="s">
        <v>26</v>
      </c>
      <c r="L76" s="229" t="s">
        <v>9247</v>
      </c>
      <c r="M76" s="229" t="s">
        <v>9248</v>
      </c>
      <c r="O76" s="102">
        <v>1.0</v>
      </c>
      <c r="P76" s="102" t="s">
        <v>593</v>
      </c>
      <c r="Q76" s="102" t="s">
        <v>651</v>
      </c>
      <c r="R76" s="102">
        <v>7200.0</v>
      </c>
      <c r="S76" s="230" t="str">
        <f>IF(ISNUMBER(MATCH(B76, 'Sprint 7'!B:B, 0)), "มาจาก Sprint 7", "")</f>
        <v/>
      </c>
      <c r="T76" s="230" t="str">
        <f t="array" ref="T76">IF(ISNUMBER(MATCH(B76, 'Sprint 7'!B:B, 0)), INDEX('Sprint 7'!J:J, MATCH(B76, 'Sprint 7'!B:B, 0)), "")</f>
        <v/>
      </c>
      <c r="V76" s="102" t="s">
        <v>1362</v>
      </c>
      <c r="W76" s="230"/>
      <c r="X76" s="230"/>
      <c r="Y76" s="230"/>
      <c r="Z76" s="102"/>
    </row>
    <row r="77">
      <c r="A77" s="102" t="s">
        <v>310</v>
      </c>
      <c r="B77" s="102" t="s">
        <v>8564</v>
      </c>
      <c r="C77" s="229" t="s">
        <v>8565</v>
      </c>
      <c r="D77" s="102" t="s">
        <v>8566</v>
      </c>
      <c r="E77" s="102" t="s">
        <v>9102</v>
      </c>
      <c r="F77" s="102" t="s">
        <v>6861</v>
      </c>
      <c r="G77" s="102" t="s">
        <v>314</v>
      </c>
      <c r="H77" s="102" t="s">
        <v>315</v>
      </c>
      <c r="I77" s="102" t="s">
        <v>284</v>
      </c>
      <c r="J77" s="102" t="s">
        <v>34</v>
      </c>
      <c r="L77" s="229" t="s">
        <v>8567</v>
      </c>
      <c r="M77" s="229" t="s">
        <v>8966</v>
      </c>
      <c r="O77" s="102">
        <v>5.0</v>
      </c>
      <c r="P77" s="102" t="s">
        <v>1305</v>
      </c>
      <c r="R77" s="230"/>
      <c r="S77" s="230" t="str">
        <f>IF(ISNUMBER(MATCH(B77, 'Sprint 7'!B:B, 0)), "มาจาก Sprint 7", "")</f>
        <v/>
      </c>
      <c r="T77" s="230" t="str">
        <f t="array" ref="T77">IF(ISNUMBER(MATCH(B77, 'Sprint 7'!B:B, 0)), INDEX('Sprint 7'!J:J, MATCH(B77, 'Sprint 7'!B:B, 0)), "")</f>
        <v/>
      </c>
      <c r="V77" s="102" t="s">
        <v>1362</v>
      </c>
      <c r="W77" s="102" t="s">
        <v>1363</v>
      </c>
      <c r="X77" s="230"/>
      <c r="Y77" s="230"/>
      <c r="Z77" s="102"/>
    </row>
    <row r="78">
      <c r="A78" s="102" t="s">
        <v>310</v>
      </c>
      <c r="B78" s="102" t="s">
        <v>8997</v>
      </c>
      <c r="C78" s="229" t="s">
        <v>8998</v>
      </c>
      <c r="D78" s="102" t="s">
        <v>8999</v>
      </c>
      <c r="E78" s="102" t="s">
        <v>314</v>
      </c>
      <c r="F78" s="102" t="s">
        <v>315</v>
      </c>
      <c r="G78" s="102" t="s">
        <v>314</v>
      </c>
      <c r="H78" s="102" t="s">
        <v>315</v>
      </c>
      <c r="I78" s="102" t="s">
        <v>284</v>
      </c>
      <c r="J78" s="102" t="s">
        <v>34</v>
      </c>
      <c r="L78" s="229" t="s">
        <v>9000</v>
      </c>
      <c r="M78" s="229" t="s">
        <v>8966</v>
      </c>
      <c r="N78" s="102"/>
      <c r="O78" s="102">
        <v>5.0</v>
      </c>
      <c r="P78" s="102" t="s">
        <v>651</v>
      </c>
      <c r="R78" s="230"/>
      <c r="S78" s="230" t="str">
        <f>IF(ISNUMBER(MATCH(B78, 'Sprint 7'!B:B, 0)), "มาจาก Sprint 7", "")</f>
        <v/>
      </c>
      <c r="T78" s="230" t="str">
        <f t="array" ref="T78">IF(ISNUMBER(MATCH(B78, 'Sprint 7'!B:B, 0)), INDEX('Sprint 7'!J:J, MATCH(B78, 'Sprint 7'!B:B, 0)), "")</f>
        <v/>
      </c>
      <c r="V78" s="102" t="s">
        <v>1362</v>
      </c>
      <c r="W78" s="102" t="s">
        <v>1363</v>
      </c>
      <c r="X78" s="230"/>
      <c r="Y78" s="102"/>
      <c r="Z78" s="102"/>
    </row>
    <row r="79">
      <c r="A79" s="102" t="s">
        <v>310</v>
      </c>
      <c r="B79" s="102" t="s">
        <v>9249</v>
      </c>
      <c r="C79" s="229" t="s">
        <v>9250</v>
      </c>
      <c r="D79" s="102" t="s">
        <v>9251</v>
      </c>
      <c r="E79" s="102" t="s">
        <v>304</v>
      </c>
      <c r="F79" s="102" t="s">
        <v>305</v>
      </c>
      <c r="G79" s="102" t="s">
        <v>314</v>
      </c>
      <c r="H79" s="102" t="s">
        <v>315</v>
      </c>
      <c r="I79" s="102" t="s">
        <v>284</v>
      </c>
      <c r="J79" s="102" t="s">
        <v>26</v>
      </c>
      <c r="L79" s="229" t="s">
        <v>9252</v>
      </c>
      <c r="M79" s="229" t="s">
        <v>9253</v>
      </c>
      <c r="N79" s="229" t="s">
        <v>5925</v>
      </c>
      <c r="O79" s="102">
        <v>5.0</v>
      </c>
      <c r="P79" s="102"/>
      <c r="Q79" s="102"/>
      <c r="R79" s="102">
        <v>57600.0</v>
      </c>
      <c r="S79" s="230" t="str">
        <f>IF(ISNUMBER(MATCH(B79, 'Sprint 7'!B:B, 0)), "มาจาก Sprint 7", "")</f>
        <v/>
      </c>
      <c r="T79" s="230" t="str">
        <f t="array" ref="T79">IF(ISNUMBER(MATCH(B79, 'Sprint 7'!B:B, 0)), INDEX('Sprint 7'!J:J, MATCH(B79, 'Sprint 7'!B:B, 0)), "")</f>
        <v/>
      </c>
      <c r="U79" s="102" t="s">
        <v>9097</v>
      </c>
      <c r="V79" s="102" t="s">
        <v>1362</v>
      </c>
      <c r="W79" s="230"/>
      <c r="X79" s="230"/>
      <c r="Y79" s="102"/>
      <c r="Z79" s="102"/>
      <c r="AA79" s="102"/>
    </row>
    <row r="80">
      <c r="A80" s="102" t="s">
        <v>310</v>
      </c>
      <c r="B80" s="102" t="s">
        <v>9254</v>
      </c>
      <c r="C80" s="229" t="s">
        <v>9255</v>
      </c>
      <c r="D80" s="102" t="s">
        <v>9256</v>
      </c>
      <c r="E80" s="102" t="s">
        <v>314</v>
      </c>
      <c r="F80" s="102" t="s">
        <v>315</v>
      </c>
      <c r="G80" s="102" t="s">
        <v>314</v>
      </c>
      <c r="H80" s="102" t="s">
        <v>315</v>
      </c>
      <c r="I80" s="102" t="s">
        <v>284</v>
      </c>
      <c r="J80" s="102" t="s">
        <v>26</v>
      </c>
      <c r="L80" s="229" t="s">
        <v>9257</v>
      </c>
      <c r="M80" s="229" t="s">
        <v>9248</v>
      </c>
      <c r="O80" s="102">
        <v>1.0</v>
      </c>
      <c r="P80" s="102" t="s">
        <v>593</v>
      </c>
      <c r="Q80" s="102" t="s">
        <v>651</v>
      </c>
      <c r="R80" s="102">
        <v>7200.0</v>
      </c>
      <c r="S80" s="230" t="str">
        <f>IF(ISNUMBER(MATCH(B80, 'Sprint 7'!B:B, 0)), "มาจาก Sprint 7", "")</f>
        <v/>
      </c>
      <c r="T80" s="230" t="str">
        <f t="array" ref="T80">IF(ISNUMBER(MATCH(B80, 'Sprint 7'!B:B, 0)), INDEX('Sprint 7'!J:J, MATCH(B80, 'Sprint 7'!B:B, 0)), "")</f>
        <v/>
      </c>
      <c r="V80" s="102" t="s">
        <v>1362</v>
      </c>
      <c r="W80" s="230"/>
      <c r="X80" s="230"/>
      <c r="Y80" s="102"/>
      <c r="Z80" s="102"/>
    </row>
    <row r="81">
      <c r="A81" s="102" t="s">
        <v>310</v>
      </c>
      <c r="B81" s="102" t="s">
        <v>9002</v>
      </c>
      <c r="C81" s="229" t="s">
        <v>9003</v>
      </c>
      <c r="D81" s="102" t="s">
        <v>9004</v>
      </c>
      <c r="E81" s="102" t="s">
        <v>314</v>
      </c>
      <c r="F81" s="102" t="s">
        <v>315</v>
      </c>
      <c r="G81" s="102" t="s">
        <v>314</v>
      </c>
      <c r="H81" s="102" t="s">
        <v>315</v>
      </c>
      <c r="I81" s="102" t="s">
        <v>284</v>
      </c>
      <c r="J81" s="102" t="s">
        <v>454</v>
      </c>
      <c r="L81" s="229" t="s">
        <v>9005</v>
      </c>
      <c r="M81" s="229" t="s">
        <v>9258</v>
      </c>
      <c r="N81" s="102"/>
      <c r="O81" s="102">
        <v>2.0</v>
      </c>
      <c r="P81" s="102" t="s">
        <v>651</v>
      </c>
      <c r="R81" s="102">
        <v>10800.0</v>
      </c>
      <c r="S81" s="230" t="str">
        <f>IF(ISNUMBER(MATCH(B81, 'Sprint 7'!B:B, 0)), "มาจาก Sprint 7", "")</f>
        <v/>
      </c>
      <c r="T81" s="230" t="str">
        <f t="array" ref="T81">IF(ISNUMBER(MATCH(B81, 'Sprint 7'!B:B, 0)), INDEX('Sprint 7'!J:J, MATCH(B81, 'Sprint 7'!B:B, 0)), "")</f>
        <v/>
      </c>
      <c r="V81" s="102" t="s">
        <v>1362</v>
      </c>
      <c r="W81" s="102" t="s">
        <v>1363</v>
      </c>
      <c r="X81" s="230"/>
      <c r="Y81" s="102"/>
      <c r="Z81" s="102"/>
    </row>
    <row r="82">
      <c r="A82" s="102" t="s">
        <v>310</v>
      </c>
      <c r="B82" s="102" t="s">
        <v>9007</v>
      </c>
      <c r="C82" s="229" t="s">
        <v>9008</v>
      </c>
      <c r="D82" s="102" t="s">
        <v>9009</v>
      </c>
      <c r="E82" s="102" t="s">
        <v>314</v>
      </c>
      <c r="F82" s="102" t="s">
        <v>315</v>
      </c>
      <c r="G82" s="102" t="s">
        <v>314</v>
      </c>
      <c r="H82" s="102" t="s">
        <v>315</v>
      </c>
      <c r="I82" s="102" t="s">
        <v>284</v>
      </c>
      <c r="J82" s="102" t="s">
        <v>454</v>
      </c>
      <c r="L82" s="229" t="s">
        <v>9010</v>
      </c>
      <c r="M82" s="229" t="s">
        <v>9258</v>
      </c>
      <c r="O82" s="102">
        <v>2.0</v>
      </c>
      <c r="P82" s="102" t="s">
        <v>651</v>
      </c>
      <c r="R82" s="102">
        <v>10800.0</v>
      </c>
      <c r="S82" s="230" t="str">
        <f>IF(ISNUMBER(MATCH(B82, 'Sprint 7'!B:B, 0)), "มาจาก Sprint 7", "")</f>
        <v/>
      </c>
      <c r="T82" s="230" t="str">
        <f t="array" ref="T82">IF(ISNUMBER(MATCH(B82, 'Sprint 7'!B:B, 0)), INDEX('Sprint 7'!J:J, MATCH(B82, 'Sprint 7'!B:B, 0)), "")</f>
        <v/>
      </c>
      <c r="V82" s="102" t="s">
        <v>1362</v>
      </c>
      <c r="W82" s="102" t="s">
        <v>1363</v>
      </c>
      <c r="X82" s="230"/>
      <c r="Y82" s="102"/>
      <c r="Z82" s="102"/>
    </row>
    <row r="83">
      <c r="A83" s="102" t="s">
        <v>310</v>
      </c>
      <c r="B83" s="102" t="s">
        <v>9011</v>
      </c>
      <c r="C83" s="229" t="s">
        <v>9012</v>
      </c>
      <c r="D83" s="102" t="s">
        <v>9013</v>
      </c>
      <c r="E83" s="102" t="s">
        <v>314</v>
      </c>
      <c r="F83" s="102" t="s">
        <v>315</v>
      </c>
      <c r="G83" s="102" t="s">
        <v>314</v>
      </c>
      <c r="H83" s="102" t="s">
        <v>315</v>
      </c>
      <c r="I83" s="102" t="s">
        <v>284</v>
      </c>
      <c r="J83" s="102" t="s">
        <v>454</v>
      </c>
      <c r="L83" s="229" t="s">
        <v>9014</v>
      </c>
      <c r="M83" s="229" t="s">
        <v>9259</v>
      </c>
      <c r="O83" s="102">
        <v>2.0</v>
      </c>
      <c r="P83" s="102" t="s">
        <v>651</v>
      </c>
      <c r="R83" s="102">
        <v>10800.0</v>
      </c>
      <c r="S83" s="230" t="str">
        <f>IF(ISNUMBER(MATCH(B83, 'Sprint 7'!B:B, 0)), "มาจาก Sprint 7", "")</f>
        <v/>
      </c>
      <c r="T83" s="230" t="str">
        <f t="array" ref="T83">IF(ISNUMBER(MATCH(B83, 'Sprint 7'!B:B, 0)), INDEX('Sprint 7'!J:J, MATCH(B83, 'Sprint 7'!B:B, 0)), "")</f>
        <v/>
      </c>
      <c r="V83" s="102" t="s">
        <v>1362</v>
      </c>
      <c r="W83" s="102" t="s">
        <v>1363</v>
      </c>
      <c r="X83" s="230"/>
      <c r="Y83" s="102"/>
      <c r="Z83" s="102"/>
    </row>
    <row r="84">
      <c r="A84" s="102" t="s">
        <v>310</v>
      </c>
      <c r="B84" s="102" t="s">
        <v>8568</v>
      </c>
      <c r="C84" s="229" t="s">
        <v>8569</v>
      </c>
      <c r="D84" s="102" t="s">
        <v>8570</v>
      </c>
      <c r="E84" s="102" t="s">
        <v>513</v>
      </c>
      <c r="F84" s="102" t="s">
        <v>514</v>
      </c>
      <c r="G84" s="102" t="s">
        <v>314</v>
      </c>
      <c r="H84" s="102" t="s">
        <v>315</v>
      </c>
      <c r="I84" s="102" t="s">
        <v>284</v>
      </c>
      <c r="J84" s="102" t="s">
        <v>454</v>
      </c>
      <c r="L84" s="229" t="s">
        <v>8571</v>
      </c>
      <c r="M84" s="229" t="s">
        <v>9233</v>
      </c>
      <c r="N84" s="102"/>
      <c r="O84" s="102">
        <v>5.0</v>
      </c>
      <c r="P84" s="102" t="s">
        <v>1305</v>
      </c>
      <c r="R84" s="102">
        <v>57600.0</v>
      </c>
      <c r="S84" s="230" t="str">
        <f>IF(ISNUMBER(MATCH(B84, 'Sprint 7'!B:B, 0)), "มาจาก Sprint 7", "")</f>
        <v/>
      </c>
      <c r="T84" s="230" t="str">
        <f t="array" ref="T84">IF(ISNUMBER(MATCH(B84, 'Sprint 7'!B:B, 0)), INDEX('Sprint 7'!J:J, MATCH(B84, 'Sprint 7'!B:B, 0)), "")</f>
        <v/>
      </c>
      <c r="U84" s="102" t="s">
        <v>9097</v>
      </c>
      <c r="V84" s="102" t="s">
        <v>5919</v>
      </c>
      <c r="W84" s="230"/>
      <c r="X84" s="230"/>
      <c r="Y84" s="102"/>
      <c r="Z84" s="102"/>
    </row>
    <row r="85">
      <c r="A85" s="102" t="s">
        <v>310</v>
      </c>
      <c r="B85" s="102" t="s">
        <v>7636</v>
      </c>
      <c r="C85" s="229" t="s">
        <v>7637</v>
      </c>
      <c r="D85" s="102" t="s">
        <v>7638</v>
      </c>
      <c r="E85" s="102" t="s">
        <v>564</v>
      </c>
      <c r="F85" s="102" t="s">
        <v>565</v>
      </c>
      <c r="G85" s="102" t="s">
        <v>353</v>
      </c>
      <c r="H85" s="102" t="s">
        <v>354</v>
      </c>
      <c r="I85" s="102" t="s">
        <v>515</v>
      </c>
      <c r="J85" s="102" t="s">
        <v>454</v>
      </c>
      <c r="L85" s="229" t="s">
        <v>7639</v>
      </c>
      <c r="M85" s="229" t="s">
        <v>9260</v>
      </c>
      <c r="N85" s="229" t="s">
        <v>6456</v>
      </c>
      <c r="O85" s="102">
        <v>5.0</v>
      </c>
      <c r="R85" s="102">
        <v>57600.0</v>
      </c>
      <c r="S85" s="230" t="str">
        <f>IF(ISNUMBER(MATCH(B85, 'Sprint 7'!B:B, 0)), "มาจาก Sprint 7", "")</f>
        <v/>
      </c>
      <c r="T85" s="230" t="str">
        <f t="array" ref="T85">IF(ISNUMBER(MATCH(B85, 'Sprint 7'!B:B, 0)), INDEX('Sprint 7'!J:J, MATCH(B85, 'Sprint 7'!B:B, 0)), "")</f>
        <v/>
      </c>
      <c r="V85" s="102" t="s">
        <v>5919</v>
      </c>
      <c r="W85" s="230"/>
      <c r="X85" s="230"/>
      <c r="Y85" s="230"/>
      <c r="Z85" s="102"/>
      <c r="AA85" s="102"/>
    </row>
    <row r="86">
      <c r="A86" s="102" t="s">
        <v>310</v>
      </c>
      <c r="B86" s="102" t="s">
        <v>8577</v>
      </c>
      <c r="C86" s="229" t="s">
        <v>8578</v>
      </c>
      <c r="D86" s="102" t="s">
        <v>8579</v>
      </c>
      <c r="E86" s="102" t="s">
        <v>6315</v>
      </c>
      <c r="F86" s="102" t="s">
        <v>6316</v>
      </c>
      <c r="G86" s="102" t="s">
        <v>353</v>
      </c>
      <c r="H86" s="102" t="s">
        <v>354</v>
      </c>
      <c r="I86" s="102" t="s">
        <v>515</v>
      </c>
      <c r="J86" s="102" t="s">
        <v>454</v>
      </c>
      <c r="L86" s="229" t="s">
        <v>8580</v>
      </c>
      <c r="M86" s="229" t="s">
        <v>9261</v>
      </c>
      <c r="O86" s="102">
        <v>2.0</v>
      </c>
      <c r="R86" s="102">
        <v>14400.0</v>
      </c>
      <c r="S86" s="230" t="str">
        <f>IF(ISNUMBER(MATCH(B86, 'Sprint 7'!B:B, 0)), "มาจาก Sprint 7", "")</f>
        <v/>
      </c>
      <c r="T86" s="230" t="str">
        <f t="array" ref="T86">IF(ISNUMBER(MATCH(B86, 'Sprint 7'!B:B, 0)), INDEX('Sprint 7'!J:J, MATCH(B86, 'Sprint 7'!B:B, 0)), "")</f>
        <v/>
      </c>
      <c r="U86" s="102" t="s">
        <v>9097</v>
      </c>
      <c r="V86" s="102" t="s">
        <v>5919</v>
      </c>
      <c r="W86" s="230"/>
      <c r="X86" s="230"/>
      <c r="Y86" s="230"/>
      <c r="Z86" s="102"/>
      <c r="AA86" s="102"/>
      <c r="AB86" s="102"/>
    </row>
    <row r="87">
      <c r="A87" s="102" t="s">
        <v>310</v>
      </c>
      <c r="B87" s="102" t="s">
        <v>8582</v>
      </c>
      <c r="C87" s="229" t="s">
        <v>8583</v>
      </c>
      <c r="D87" s="102" t="s">
        <v>8584</v>
      </c>
      <c r="E87" s="102" t="s">
        <v>6315</v>
      </c>
      <c r="F87" s="102" t="s">
        <v>6316</v>
      </c>
      <c r="G87" s="102" t="s">
        <v>353</v>
      </c>
      <c r="H87" s="102" t="s">
        <v>354</v>
      </c>
      <c r="I87" s="102" t="s">
        <v>515</v>
      </c>
      <c r="J87" s="102" t="s">
        <v>454</v>
      </c>
      <c r="L87" s="229" t="s">
        <v>8585</v>
      </c>
      <c r="M87" s="229" t="s">
        <v>9262</v>
      </c>
      <c r="N87" s="102"/>
      <c r="O87" s="102">
        <v>3.0</v>
      </c>
      <c r="P87" s="102"/>
      <c r="Q87" s="102"/>
      <c r="R87" s="102">
        <v>28800.0</v>
      </c>
      <c r="S87" s="230" t="str">
        <f>IF(ISNUMBER(MATCH(B87, 'Sprint 7'!B:B, 0)), "มาจาก Sprint 7", "")</f>
        <v/>
      </c>
      <c r="T87" s="230" t="str">
        <f t="array" ref="T87">IF(ISNUMBER(MATCH(B87, 'Sprint 7'!B:B, 0)), INDEX('Sprint 7'!J:J, MATCH(B87, 'Sprint 7'!B:B, 0)), "")</f>
        <v/>
      </c>
      <c r="U87" s="102" t="s">
        <v>9097</v>
      </c>
      <c r="V87" s="102" t="s">
        <v>5919</v>
      </c>
      <c r="W87" s="230"/>
      <c r="X87" s="230"/>
      <c r="Y87" s="102"/>
      <c r="Z87" s="102"/>
      <c r="AA87" s="102"/>
      <c r="AB87" s="102"/>
    </row>
    <row r="88">
      <c r="A88" s="102" t="s">
        <v>310</v>
      </c>
      <c r="B88" s="102" t="s">
        <v>9015</v>
      </c>
      <c r="C88" s="229" t="s">
        <v>9016</v>
      </c>
      <c r="D88" s="102" t="s">
        <v>9017</v>
      </c>
      <c r="E88" s="102" t="s">
        <v>9102</v>
      </c>
      <c r="F88" s="102" t="s">
        <v>6861</v>
      </c>
      <c r="G88" s="102" t="s">
        <v>353</v>
      </c>
      <c r="H88" s="102" t="s">
        <v>354</v>
      </c>
      <c r="I88" s="102" t="s">
        <v>515</v>
      </c>
      <c r="J88" s="102" t="s">
        <v>454</v>
      </c>
      <c r="L88" s="229" t="s">
        <v>9018</v>
      </c>
      <c r="M88" s="229" t="s">
        <v>9263</v>
      </c>
      <c r="N88" s="229" t="s">
        <v>5925</v>
      </c>
      <c r="O88" s="102">
        <v>1.0</v>
      </c>
      <c r="R88" s="102">
        <v>7200.0</v>
      </c>
      <c r="S88" s="230" t="str">
        <f>IF(ISNUMBER(MATCH(B88, 'Sprint 7'!B:B, 0)), "มาจาก Sprint 7", "")</f>
        <v/>
      </c>
      <c r="T88" s="230" t="str">
        <f t="array" ref="T88">IF(ISNUMBER(MATCH(B88, 'Sprint 7'!B:B, 0)), INDEX('Sprint 7'!J:J, MATCH(B88, 'Sprint 7'!B:B, 0)), "")</f>
        <v/>
      </c>
      <c r="U88" s="102" t="s">
        <v>9097</v>
      </c>
      <c r="V88" s="102" t="s">
        <v>5919</v>
      </c>
      <c r="W88" s="230"/>
      <c r="X88" s="230"/>
      <c r="Y88" s="102"/>
      <c r="Z88" s="102"/>
      <c r="AA88" s="102"/>
      <c r="AB88" s="102"/>
    </row>
    <row r="89">
      <c r="A89" s="102" t="s">
        <v>310</v>
      </c>
      <c r="B89" s="102" t="s">
        <v>8586</v>
      </c>
      <c r="C89" s="229" t="s">
        <v>8587</v>
      </c>
      <c r="D89" s="102" t="s">
        <v>8588</v>
      </c>
      <c r="E89" s="102" t="s">
        <v>9102</v>
      </c>
      <c r="F89" s="102" t="s">
        <v>6861</v>
      </c>
      <c r="G89" s="102" t="s">
        <v>353</v>
      </c>
      <c r="H89" s="102" t="s">
        <v>354</v>
      </c>
      <c r="I89" s="102" t="s">
        <v>515</v>
      </c>
      <c r="J89" s="102" t="s">
        <v>454</v>
      </c>
      <c r="L89" s="229" t="s">
        <v>8589</v>
      </c>
      <c r="M89" s="229" t="s">
        <v>9263</v>
      </c>
      <c r="N89" s="229" t="s">
        <v>5925</v>
      </c>
      <c r="O89" s="102">
        <v>5.0</v>
      </c>
      <c r="R89" s="102">
        <v>57600.0</v>
      </c>
      <c r="S89" s="230" t="str">
        <f>IF(ISNUMBER(MATCH(B89, 'Sprint 7'!B:B, 0)), "มาจาก Sprint 7", "")</f>
        <v/>
      </c>
      <c r="T89" s="230" t="str">
        <f t="array" ref="T89">IF(ISNUMBER(MATCH(B89, 'Sprint 7'!B:B, 0)), INDEX('Sprint 7'!J:J, MATCH(B89, 'Sprint 7'!B:B, 0)), "")</f>
        <v/>
      </c>
      <c r="U89" s="102" t="s">
        <v>9097</v>
      </c>
      <c r="V89" s="102" t="s">
        <v>5919</v>
      </c>
      <c r="W89" s="230"/>
      <c r="X89" s="230"/>
      <c r="Y89" s="230"/>
      <c r="Z89" s="102"/>
      <c r="AA89" s="102"/>
      <c r="AB89" s="102"/>
    </row>
    <row r="90">
      <c r="A90" s="102" t="s">
        <v>310</v>
      </c>
      <c r="B90" s="102" t="s">
        <v>9020</v>
      </c>
      <c r="C90" s="229" t="s">
        <v>9021</v>
      </c>
      <c r="D90" s="102" t="s">
        <v>9022</v>
      </c>
      <c r="E90" s="102" t="s">
        <v>9102</v>
      </c>
      <c r="F90" s="102" t="s">
        <v>6861</v>
      </c>
      <c r="G90" s="102" t="s">
        <v>353</v>
      </c>
      <c r="H90" s="102" t="s">
        <v>354</v>
      </c>
      <c r="I90" s="102" t="s">
        <v>515</v>
      </c>
      <c r="J90" s="102" t="s">
        <v>454</v>
      </c>
      <c r="L90" s="229" t="s">
        <v>9023</v>
      </c>
      <c r="M90" s="229" t="s">
        <v>9264</v>
      </c>
      <c r="O90" s="102">
        <v>2.0</v>
      </c>
      <c r="P90" s="102"/>
      <c r="R90" s="102">
        <v>14400.0</v>
      </c>
      <c r="S90" s="230" t="str">
        <f>IF(ISNUMBER(MATCH(B90, 'Sprint 7'!B:B, 0)), "มาจาก Sprint 7", "")</f>
        <v/>
      </c>
      <c r="T90" s="230" t="str">
        <f t="array" ref="T90">IF(ISNUMBER(MATCH(B90, 'Sprint 7'!B:B, 0)), INDEX('Sprint 7'!J:J, MATCH(B90, 'Sprint 7'!B:B, 0)), "")</f>
        <v/>
      </c>
      <c r="U90" s="102" t="s">
        <v>9097</v>
      </c>
      <c r="V90" s="102" t="s">
        <v>5919</v>
      </c>
      <c r="W90" s="230"/>
      <c r="X90" s="230"/>
      <c r="Y90" s="230"/>
      <c r="Z90" s="102"/>
      <c r="AA90" s="102"/>
      <c r="AB90" s="102"/>
    </row>
    <row r="91">
      <c r="A91" s="102" t="s">
        <v>310</v>
      </c>
      <c r="B91" s="102" t="s">
        <v>8590</v>
      </c>
      <c r="C91" s="229" t="s">
        <v>8591</v>
      </c>
      <c r="D91" s="102" t="s">
        <v>8592</v>
      </c>
      <c r="E91" s="102" t="s">
        <v>314</v>
      </c>
      <c r="F91" s="102" t="s">
        <v>315</v>
      </c>
      <c r="G91" s="102" t="s">
        <v>314</v>
      </c>
      <c r="H91" s="102" t="s">
        <v>315</v>
      </c>
      <c r="I91" s="102" t="s">
        <v>284</v>
      </c>
      <c r="J91" s="102" t="s">
        <v>454</v>
      </c>
      <c r="L91" s="229" t="s">
        <v>8593</v>
      </c>
      <c r="M91" s="229" t="s">
        <v>9265</v>
      </c>
      <c r="O91" s="102">
        <v>2.0</v>
      </c>
      <c r="P91" s="102" t="s">
        <v>1305</v>
      </c>
      <c r="Q91" s="102"/>
      <c r="R91" s="102">
        <v>10800.0</v>
      </c>
      <c r="S91" s="230" t="str">
        <f>IF(ISNUMBER(MATCH(B91, 'Sprint 7'!B:B, 0)), "มาจาก Sprint 7", "")</f>
        <v/>
      </c>
      <c r="T91" s="230" t="str">
        <f t="array" ref="T91">IF(ISNUMBER(MATCH(B91, 'Sprint 7'!B:B, 0)), INDEX('Sprint 7'!J:J, MATCH(B91, 'Sprint 7'!B:B, 0)), "")</f>
        <v/>
      </c>
      <c r="V91" s="102" t="s">
        <v>5919</v>
      </c>
      <c r="W91" s="230"/>
      <c r="X91" s="230"/>
      <c r="Y91" s="230"/>
      <c r="Z91" s="102"/>
      <c r="AA91" s="102"/>
      <c r="AB91" s="102"/>
    </row>
    <row r="92">
      <c r="A92" s="102" t="s">
        <v>310</v>
      </c>
      <c r="B92" s="102" t="s">
        <v>9266</v>
      </c>
      <c r="C92" s="229" t="s">
        <v>9267</v>
      </c>
      <c r="D92" s="102" t="s">
        <v>9268</v>
      </c>
      <c r="E92" s="102" t="s">
        <v>314</v>
      </c>
      <c r="F92" s="102" t="s">
        <v>315</v>
      </c>
      <c r="G92" s="102" t="s">
        <v>314</v>
      </c>
      <c r="H92" s="102" t="s">
        <v>315</v>
      </c>
      <c r="I92" s="102" t="s">
        <v>284</v>
      </c>
      <c r="J92" s="102" t="s">
        <v>26</v>
      </c>
      <c r="L92" s="229" t="s">
        <v>9269</v>
      </c>
      <c r="M92" s="229" t="s">
        <v>9259</v>
      </c>
      <c r="N92" s="102"/>
      <c r="O92" s="102">
        <v>1.0</v>
      </c>
      <c r="P92" s="102" t="s">
        <v>593</v>
      </c>
      <c r="Q92" s="102" t="s">
        <v>651</v>
      </c>
      <c r="R92" s="102">
        <v>1800.0</v>
      </c>
      <c r="S92" s="230" t="str">
        <f>IF(ISNUMBER(MATCH(B92, 'Sprint 7'!B:B, 0)), "มาจาก Sprint 7", "")</f>
        <v/>
      </c>
      <c r="T92" s="230" t="str">
        <f t="array" ref="T92">IF(ISNUMBER(MATCH(B92, 'Sprint 7'!B:B, 0)), INDEX('Sprint 7'!J:J, MATCH(B92, 'Sprint 7'!B:B, 0)), "")</f>
        <v/>
      </c>
      <c r="V92" s="102" t="s">
        <v>1362</v>
      </c>
      <c r="W92" s="230"/>
      <c r="X92" s="230"/>
      <c r="Y92" s="230"/>
      <c r="Z92" s="102"/>
      <c r="AA92" s="102"/>
      <c r="AB92" s="102"/>
    </row>
    <row r="93">
      <c r="A93" s="102" t="s">
        <v>310</v>
      </c>
      <c r="B93" s="102" t="s">
        <v>9270</v>
      </c>
      <c r="C93" s="229" t="s">
        <v>9271</v>
      </c>
      <c r="D93" s="102" t="s">
        <v>9272</v>
      </c>
      <c r="E93" s="102" t="s">
        <v>564</v>
      </c>
      <c r="F93" s="102" t="s">
        <v>565</v>
      </c>
      <c r="G93" s="102" t="s">
        <v>282</v>
      </c>
      <c r="H93" s="102" t="s">
        <v>283</v>
      </c>
      <c r="I93" s="102" t="s">
        <v>318</v>
      </c>
      <c r="J93" s="102" t="s">
        <v>26</v>
      </c>
      <c r="L93" s="229" t="s">
        <v>9273</v>
      </c>
      <c r="M93" s="229" t="s">
        <v>9274</v>
      </c>
      <c r="N93" s="229" t="s">
        <v>5934</v>
      </c>
      <c r="O93" s="102">
        <v>3.0</v>
      </c>
      <c r="P93" s="102" t="s">
        <v>9275</v>
      </c>
      <c r="R93" s="102">
        <v>28800.0</v>
      </c>
      <c r="S93" s="230" t="str">
        <f>IF(ISNUMBER(MATCH(B93, 'Sprint 7'!B:B, 0)), "มาจาก Sprint 7", "")</f>
        <v/>
      </c>
      <c r="T93" s="230" t="str">
        <f t="array" ref="T93">IF(ISNUMBER(MATCH(B93, 'Sprint 7'!B:B, 0)), INDEX('Sprint 7'!J:J, MATCH(B93, 'Sprint 7'!B:B, 0)), "")</f>
        <v/>
      </c>
      <c r="V93" s="102" t="s">
        <v>8806</v>
      </c>
      <c r="W93" s="230"/>
      <c r="X93" s="230"/>
      <c r="Y93" s="102"/>
      <c r="Z93" s="102"/>
    </row>
    <row r="94">
      <c r="A94" s="102" t="s">
        <v>310</v>
      </c>
      <c r="B94" s="102" t="s">
        <v>8594</v>
      </c>
      <c r="C94" s="229" t="s">
        <v>8595</v>
      </c>
      <c r="D94" s="102" t="s">
        <v>8596</v>
      </c>
      <c r="E94" s="102" t="s">
        <v>584</v>
      </c>
      <c r="F94" s="102" t="s">
        <v>585</v>
      </c>
      <c r="G94" s="102" t="s">
        <v>353</v>
      </c>
      <c r="H94" s="102" t="s">
        <v>354</v>
      </c>
      <c r="I94" s="102" t="s">
        <v>284</v>
      </c>
      <c r="J94" s="102" t="s">
        <v>678</v>
      </c>
      <c r="L94" s="229" t="s">
        <v>8597</v>
      </c>
      <c r="M94" s="229" t="s">
        <v>9276</v>
      </c>
      <c r="N94" s="102"/>
      <c r="O94" s="102">
        <v>5.0</v>
      </c>
      <c r="P94" s="102"/>
      <c r="R94" s="102">
        <v>57600.0</v>
      </c>
      <c r="S94" s="230" t="str">
        <f>IF(ISNUMBER(MATCH(B94, 'Sprint 7'!B:B, 0)), "มาจาก Sprint 7", "")</f>
        <v>มาจาก Sprint 7</v>
      </c>
      <c r="T94" s="230" t="str">
        <f t="array" ref="T94">IF(ISNUMBER(MATCH(B94, 'Sprint 7'!B:B, 0)), INDEX('Sprint 7'!J:J, MATCH(B94, 'Sprint 7'!B:B, 0)), "")</f>
        <v>To Do</v>
      </c>
      <c r="V94" s="102" t="s">
        <v>8981</v>
      </c>
      <c r="W94" s="230"/>
      <c r="X94" s="230"/>
      <c r="Y94" s="230"/>
      <c r="Z94" s="102"/>
      <c r="AA94" s="102"/>
    </row>
    <row r="95">
      <c r="A95" s="102" t="s">
        <v>310</v>
      </c>
      <c r="B95" s="102" t="s">
        <v>9277</v>
      </c>
      <c r="C95" s="229" t="s">
        <v>9278</v>
      </c>
      <c r="D95" s="102" t="s">
        <v>9279</v>
      </c>
      <c r="E95" s="102" t="s">
        <v>564</v>
      </c>
      <c r="F95" s="102" t="s">
        <v>565</v>
      </c>
      <c r="G95" s="102" t="s">
        <v>353</v>
      </c>
      <c r="H95" s="102" t="s">
        <v>354</v>
      </c>
      <c r="I95" s="102" t="s">
        <v>284</v>
      </c>
      <c r="J95" s="102" t="s">
        <v>678</v>
      </c>
      <c r="L95" s="229" t="s">
        <v>9280</v>
      </c>
      <c r="M95" s="229" t="s">
        <v>9281</v>
      </c>
      <c r="N95" s="229" t="s">
        <v>8987</v>
      </c>
      <c r="O95" s="102">
        <v>2.0</v>
      </c>
      <c r="P95" s="102"/>
      <c r="R95" s="102">
        <v>14400.0</v>
      </c>
      <c r="S95" s="230" t="str">
        <f>IF(ISNUMBER(MATCH(B95, 'Sprint 7'!B:B, 0)), "มาจาก Sprint 7", "")</f>
        <v>มาจาก Sprint 7</v>
      </c>
      <c r="T95" s="230" t="str">
        <f t="array" ref="T95">IF(ISNUMBER(MATCH(B95, 'Sprint 7'!B:B, 0)), INDEX('Sprint 7'!J:J, MATCH(B95, 'Sprint 7'!B:B, 0)), "")</f>
        <v>To Do</v>
      </c>
      <c r="V95" s="102" t="s">
        <v>8981</v>
      </c>
      <c r="W95" s="230"/>
      <c r="X95" s="230"/>
      <c r="Y95" s="230"/>
      <c r="Z95" s="102"/>
      <c r="AA95" s="102"/>
    </row>
    <row r="96">
      <c r="A96" s="102" t="s">
        <v>310</v>
      </c>
      <c r="B96" s="102" t="s">
        <v>8598</v>
      </c>
      <c r="C96" s="229" t="s">
        <v>8599</v>
      </c>
      <c r="D96" s="102" t="s">
        <v>8600</v>
      </c>
      <c r="E96" s="102" t="s">
        <v>556</v>
      </c>
      <c r="F96" s="102" t="s">
        <v>557</v>
      </c>
      <c r="G96" s="102" t="s">
        <v>353</v>
      </c>
      <c r="H96" s="102" t="s">
        <v>354</v>
      </c>
      <c r="I96" s="102" t="s">
        <v>284</v>
      </c>
      <c r="J96" s="102" t="s">
        <v>454</v>
      </c>
      <c r="L96" s="229" t="s">
        <v>8601</v>
      </c>
      <c r="M96" s="229" t="s">
        <v>9211</v>
      </c>
      <c r="N96" s="229" t="s">
        <v>8602</v>
      </c>
      <c r="O96" s="102">
        <v>2.0</v>
      </c>
      <c r="P96" s="102"/>
      <c r="R96" s="102">
        <v>14400.0</v>
      </c>
      <c r="S96" s="230" t="str">
        <f>IF(ISNUMBER(MATCH(B96, 'Sprint 7'!B:B, 0)), "มาจาก Sprint 7", "")</f>
        <v>มาจาก Sprint 7</v>
      </c>
      <c r="T96" s="230" t="str">
        <f t="array" ref="T96">IF(ISNUMBER(MATCH(B96, 'Sprint 7'!B:B, 0)), INDEX('Sprint 7'!J:J, MATCH(B96, 'Sprint 7'!B:B, 0)), "")</f>
        <v>To Do</v>
      </c>
      <c r="V96" s="102" t="s">
        <v>8981</v>
      </c>
      <c r="W96" s="102"/>
      <c r="X96" s="102"/>
      <c r="Y96" s="102"/>
      <c r="Z96" s="102"/>
    </row>
    <row r="97">
      <c r="A97" s="102" t="s">
        <v>276</v>
      </c>
      <c r="B97" s="102" t="s">
        <v>9282</v>
      </c>
      <c r="C97" s="229" t="s">
        <v>9283</v>
      </c>
      <c r="D97" s="102" t="s">
        <v>9284</v>
      </c>
      <c r="E97" s="102" t="s">
        <v>391</v>
      </c>
      <c r="F97" s="102" t="s">
        <v>392</v>
      </c>
      <c r="G97" s="102" t="s">
        <v>391</v>
      </c>
      <c r="H97" s="102" t="s">
        <v>392</v>
      </c>
      <c r="I97" s="102" t="s">
        <v>284</v>
      </c>
      <c r="J97" s="102" t="s">
        <v>26</v>
      </c>
      <c r="L97" s="229" t="s">
        <v>9285</v>
      </c>
      <c r="M97" s="229" t="s">
        <v>9286</v>
      </c>
      <c r="N97" s="102"/>
      <c r="O97" s="102"/>
      <c r="P97" s="102"/>
      <c r="R97" s="230"/>
      <c r="S97" s="230" t="str">
        <f>IF(ISNUMBER(MATCH(B97, 'Sprint 7'!B:B, 0)), "มาจาก Sprint 7", "")</f>
        <v>มาจาก Sprint 7</v>
      </c>
      <c r="T97" s="230" t="str">
        <f t="array" ref="T97">IF(ISNUMBER(MATCH(B97, 'Sprint 7'!B:B, 0)), INDEX('Sprint 7'!J:J, MATCH(B97, 'Sprint 7'!B:B, 0)), "")</f>
        <v>In Progress</v>
      </c>
      <c r="V97" s="102" t="s">
        <v>7695</v>
      </c>
      <c r="W97" s="102" t="s">
        <v>7696</v>
      </c>
      <c r="X97" s="102" t="s">
        <v>5944</v>
      </c>
      <c r="Y97" s="102" t="s">
        <v>5919</v>
      </c>
      <c r="Z97" s="102"/>
    </row>
    <row r="98">
      <c r="A98" s="102" t="s">
        <v>276</v>
      </c>
      <c r="B98" s="102" t="s">
        <v>9287</v>
      </c>
      <c r="C98" s="229" t="s">
        <v>9288</v>
      </c>
      <c r="D98" s="102" t="s">
        <v>9284</v>
      </c>
      <c r="E98" s="102" t="s">
        <v>391</v>
      </c>
      <c r="F98" s="102" t="s">
        <v>392</v>
      </c>
      <c r="G98" s="102" t="s">
        <v>391</v>
      </c>
      <c r="H98" s="102" t="s">
        <v>392</v>
      </c>
      <c r="I98" s="102" t="s">
        <v>284</v>
      </c>
      <c r="J98" s="102" t="s">
        <v>26</v>
      </c>
      <c r="L98" s="229" t="s">
        <v>9285</v>
      </c>
      <c r="M98" s="229" t="s">
        <v>9289</v>
      </c>
      <c r="N98" s="102"/>
      <c r="O98" s="102"/>
      <c r="P98" s="102"/>
      <c r="R98" s="230"/>
      <c r="S98" s="230" t="str">
        <f>IF(ISNUMBER(MATCH(B98, 'Sprint 7'!B:B, 0)), "มาจาก Sprint 7", "")</f>
        <v>มาจาก Sprint 7</v>
      </c>
      <c r="T98" s="230" t="str">
        <f t="array" ref="T98">IF(ISNUMBER(MATCH(B98, 'Sprint 7'!B:B, 0)), INDEX('Sprint 7'!J:J, MATCH(B98, 'Sprint 7'!B:B, 0)), "")</f>
        <v>In Progress</v>
      </c>
      <c r="V98" s="102" t="s">
        <v>7695</v>
      </c>
      <c r="W98" s="102" t="s">
        <v>7696</v>
      </c>
      <c r="X98" s="102" t="s">
        <v>5944</v>
      </c>
      <c r="Y98" s="102" t="s">
        <v>5919</v>
      </c>
      <c r="Z98" s="102"/>
    </row>
    <row r="99">
      <c r="A99" s="102" t="s">
        <v>276</v>
      </c>
      <c r="B99" s="102" t="s">
        <v>9290</v>
      </c>
      <c r="C99" s="229" t="s">
        <v>9291</v>
      </c>
      <c r="D99" s="102" t="s">
        <v>9284</v>
      </c>
      <c r="E99" s="102" t="s">
        <v>391</v>
      </c>
      <c r="F99" s="102" t="s">
        <v>392</v>
      </c>
      <c r="G99" s="102" t="s">
        <v>391</v>
      </c>
      <c r="H99" s="102" t="s">
        <v>392</v>
      </c>
      <c r="I99" s="102" t="s">
        <v>284</v>
      </c>
      <c r="J99" s="102" t="s">
        <v>26</v>
      </c>
      <c r="L99" s="229" t="s">
        <v>9285</v>
      </c>
      <c r="M99" s="229" t="s">
        <v>9292</v>
      </c>
      <c r="N99" s="102"/>
      <c r="O99" s="102"/>
      <c r="P99" s="102"/>
      <c r="R99" s="230"/>
      <c r="S99" s="230" t="str">
        <f>IF(ISNUMBER(MATCH(B99, 'Sprint 7'!B:B, 0)), "มาจาก Sprint 7", "")</f>
        <v>มาจาก Sprint 7</v>
      </c>
      <c r="T99" s="230" t="str">
        <f t="array" ref="T99">IF(ISNUMBER(MATCH(B99, 'Sprint 7'!B:B, 0)), INDEX('Sprint 7'!J:J, MATCH(B99, 'Sprint 7'!B:B, 0)), "")</f>
        <v>In Progress</v>
      </c>
      <c r="V99" s="102" t="s">
        <v>7695</v>
      </c>
      <c r="W99" s="102" t="s">
        <v>7696</v>
      </c>
      <c r="X99" s="102" t="s">
        <v>5944</v>
      </c>
      <c r="Y99" s="102" t="s">
        <v>5919</v>
      </c>
      <c r="Z99" s="102"/>
    </row>
    <row r="100">
      <c r="A100" s="102" t="s">
        <v>276</v>
      </c>
      <c r="B100" s="102" t="s">
        <v>9293</v>
      </c>
      <c r="C100" s="229" t="s">
        <v>9294</v>
      </c>
      <c r="D100" s="102" t="s">
        <v>9284</v>
      </c>
      <c r="E100" s="102" t="s">
        <v>391</v>
      </c>
      <c r="F100" s="102" t="s">
        <v>392</v>
      </c>
      <c r="G100" s="102" t="s">
        <v>391</v>
      </c>
      <c r="H100" s="102" t="s">
        <v>392</v>
      </c>
      <c r="I100" s="102" t="s">
        <v>284</v>
      </c>
      <c r="J100" s="102" t="s">
        <v>26</v>
      </c>
      <c r="L100" s="229" t="s">
        <v>9285</v>
      </c>
      <c r="M100" s="229" t="s">
        <v>9295</v>
      </c>
      <c r="N100" s="102"/>
      <c r="O100" s="102"/>
      <c r="P100" s="102"/>
      <c r="R100" s="230"/>
      <c r="S100" s="230" t="str">
        <f>IF(ISNUMBER(MATCH(B100, 'Sprint 7'!B:B, 0)), "มาจาก Sprint 7", "")</f>
        <v>มาจาก Sprint 7</v>
      </c>
      <c r="T100" s="230" t="str">
        <f t="array" ref="T100">IF(ISNUMBER(MATCH(B100, 'Sprint 7'!B:B, 0)), INDEX('Sprint 7'!J:J, MATCH(B100, 'Sprint 7'!B:B, 0)), "")</f>
        <v>In Progress</v>
      </c>
      <c r="V100" s="102" t="s">
        <v>7695</v>
      </c>
      <c r="W100" s="102" t="s">
        <v>7696</v>
      </c>
      <c r="X100" s="102" t="s">
        <v>5944</v>
      </c>
      <c r="Y100" s="102" t="s">
        <v>5919</v>
      </c>
      <c r="Z100" s="102"/>
    </row>
    <row r="101">
      <c r="A101" s="102" t="s">
        <v>276</v>
      </c>
      <c r="B101" s="102" t="s">
        <v>9296</v>
      </c>
      <c r="C101" s="229" t="s">
        <v>9297</v>
      </c>
      <c r="D101" s="102" t="s">
        <v>9284</v>
      </c>
      <c r="E101" s="102" t="s">
        <v>391</v>
      </c>
      <c r="F101" s="102" t="s">
        <v>392</v>
      </c>
      <c r="G101" s="102" t="s">
        <v>391</v>
      </c>
      <c r="H101" s="102" t="s">
        <v>392</v>
      </c>
      <c r="I101" s="102" t="s">
        <v>284</v>
      </c>
      <c r="J101" s="102" t="s">
        <v>26</v>
      </c>
      <c r="L101" s="229" t="s">
        <v>9298</v>
      </c>
      <c r="M101" s="229" t="s">
        <v>9299</v>
      </c>
      <c r="N101" s="102"/>
      <c r="O101" s="102"/>
      <c r="P101" s="102"/>
      <c r="R101" s="230"/>
      <c r="S101" s="230" t="str">
        <f>IF(ISNUMBER(MATCH(B101, 'Sprint 7'!B:B, 0)), "มาจาก Sprint 7", "")</f>
        <v>มาจาก Sprint 7</v>
      </c>
      <c r="T101" s="230" t="str">
        <f t="array" ref="T101">IF(ISNUMBER(MATCH(B101, 'Sprint 7'!B:B, 0)), INDEX('Sprint 7'!J:J, MATCH(B101, 'Sprint 7'!B:B, 0)), "")</f>
        <v>In Progress</v>
      </c>
      <c r="V101" s="102" t="s">
        <v>7695</v>
      </c>
      <c r="W101" s="102" t="s">
        <v>7696</v>
      </c>
      <c r="X101" s="102" t="s">
        <v>5944</v>
      </c>
      <c r="Y101" s="102" t="s">
        <v>5919</v>
      </c>
      <c r="Z101" s="102"/>
    </row>
    <row r="102">
      <c r="A102" s="102" t="s">
        <v>332</v>
      </c>
      <c r="B102" s="102" t="s">
        <v>9300</v>
      </c>
      <c r="C102" s="229" t="s">
        <v>9301</v>
      </c>
      <c r="D102" s="102" t="s">
        <v>9302</v>
      </c>
      <c r="E102" s="102" t="s">
        <v>9102</v>
      </c>
      <c r="F102" s="102" t="s">
        <v>6861</v>
      </c>
      <c r="G102" s="102" t="s">
        <v>3288</v>
      </c>
      <c r="H102" s="102" t="s">
        <v>3289</v>
      </c>
      <c r="I102" s="102" t="s">
        <v>284</v>
      </c>
      <c r="J102" s="102" t="s">
        <v>336</v>
      </c>
      <c r="L102" s="229" t="s">
        <v>9303</v>
      </c>
      <c r="M102" s="229" t="s">
        <v>9304</v>
      </c>
      <c r="N102" s="229" t="s">
        <v>5925</v>
      </c>
      <c r="O102" s="102"/>
      <c r="P102" s="102"/>
      <c r="R102" s="230"/>
      <c r="S102" s="230" t="str">
        <f>IF(ISNUMBER(MATCH(B102, 'Sprint 7'!B:B, 0)), "มาจาก Sprint 7", "")</f>
        <v>มาจาก Sprint 7</v>
      </c>
      <c r="T102" s="230" t="str">
        <f t="array" ref="T102">IF(ISNUMBER(MATCH(B102, 'Sprint 7'!B:B, 0)), INDEX('Sprint 7'!J:J, MATCH(B102, 'Sprint 7'!B:B, 0)), "")</f>
        <v>Open</v>
      </c>
      <c r="V102" s="102" t="s">
        <v>5944</v>
      </c>
      <c r="W102" s="102" t="s">
        <v>5919</v>
      </c>
      <c r="X102" s="102"/>
      <c r="Y102" s="102"/>
      <c r="Z102" s="102"/>
    </row>
    <row r="103">
      <c r="A103" s="102" t="s">
        <v>276</v>
      </c>
      <c r="B103" s="102" t="s">
        <v>9305</v>
      </c>
      <c r="C103" s="229" t="s">
        <v>9306</v>
      </c>
      <c r="D103" s="102" t="s">
        <v>9307</v>
      </c>
      <c r="E103" s="102" t="s">
        <v>521</v>
      </c>
      <c r="F103" s="102" t="s">
        <v>522</v>
      </c>
      <c r="G103" s="102" t="s">
        <v>521</v>
      </c>
      <c r="H103" s="102" t="s">
        <v>522</v>
      </c>
      <c r="I103" s="102" t="s">
        <v>284</v>
      </c>
      <c r="J103" s="102" t="s">
        <v>26</v>
      </c>
      <c r="L103" s="229" t="s">
        <v>9308</v>
      </c>
      <c r="M103" s="229" t="s">
        <v>9309</v>
      </c>
      <c r="N103" s="102"/>
      <c r="O103" s="102"/>
      <c r="P103" s="102"/>
      <c r="R103" s="230"/>
      <c r="S103" s="230" t="str">
        <f>IF(ISNUMBER(MATCH(B103, 'Sprint 7'!B:B, 0)), "มาจาก Sprint 7", "")</f>
        <v>มาจาก Sprint 7</v>
      </c>
      <c r="T103" s="230" t="str">
        <f t="array" ref="T103">IF(ISNUMBER(MATCH(B103, 'Sprint 7'!B:B, 0)), INDEX('Sprint 7'!J:J, MATCH(B103, 'Sprint 7'!B:B, 0)), "")</f>
        <v>In Progress</v>
      </c>
      <c r="V103" s="102" t="s">
        <v>7695</v>
      </c>
      <c r="W103" s="102" t="s">
        <v>7696</v>
      </c>
      <c r="X103" s="102" t="s">
        <v>5944</v>
      </c>
      <c r="Y103" s="102" t="s">
        <v>5919</v>
      </c>
      <c r="Z103" s="102"/>
    </row>
    <row r="104">
      <c r="A104" s="102" t="s">
        <v>276</v>
      </c>
      <c r="B104" s="102" t="s">
        <v>9310</v>
      </c>
      <c r="C104" s="229" t="s">
        <v>9311</v>
      </c>
      <c r="D104" s="102" t="s">
        <v>9312</v>
      </c>
      <c r="E104" s="102" t="s">
        <v>521</v>
      </c>
      <c r="F104" s="102" t="s">
        <v>522</v>
      </c>
      <c r="G104" s="102" t="s">
        <v>521</v>
      </c>
      <c r="H104" s="102" t="s">
        <v>522</v>
      </c>
      <c r="I104" s="102" t="s">
        <v>284</v>
      </c>
      <c r="J104" s="102" t="s">
        <v>26</v>
      </c>
      <c r="L104" s="229" t="s">
        <v>9308</v>
      </c>
      <c r="M104" s="229" t="s">
        <v>9309</v>
      </c>
      <c r="N104" s="102"/>
      <c r="O104" s="102"/>
      <c r="P104" s="102"/>
      <c r="R104" s="230"/>
      <c r="S104" s="230" t="str">
        <f>IF(ISNUMBER(MATCH(B104, 'Sprint 7'!B:B, 0)), "มาจาก Sprint 7", "")</f>
        <v>มาจาก Sprint 7</v>
      </c>
      <c r="T104" s="230" t="str">
        <f t="array" ref="T104">IF(ISNUMBER(MATCH(B104, 'Sprint 7'!B:B, 0)), INDEX('Sprint 7'!J:J, MATCH(B104, 'Sprint 7'!B:B, 0)), "")</f>
        <v>In Progress</v>
      </c>
      <c r="V104" s="102" t="s">
        <v>7695</v>
      </c>
      <c r="W104" s="102" t="s">
        <v>7696</v>
      </c>
      <c r="X104" s="102" t="s">
        <v>5944</v>
      </c>
      <c r="Y104" s="102" t="s">
        <v>5919</v>
      </c>
      <c r="Z104" s="102"/>
    </row>
    <row r="105">
      <c r="A105" s="102" t="s">
        <v>276</v>
      </c>
      <c r="B105" s="102" t="s">
        <v>9313</v>
      </c>
      <c r="C105" s="229" t="s">
        <v>9314</v>
      </c>
      <c r="D105" s="102" t="s">
        <v>1567</v>
      </c>
      <c r="E105" s="102" t="s">
        <v>3288</v>
      </c>
      <c r="F105" s="102" t="s">
        <v>3289</v>
      </c>
      <c r="G105" s="102" t="s">
        <v>3288</v>
      </c>
      <c r="H105" s="102" t="s">
        <v>3289</v>
      </c>
      <c r="I105" s="102" t="s">
        <v>284</v>
      </c>
      <c r="J105" s="102" t="s">
        <v>26</v>
      </c>
      <c r="L105" s="229" t="s">
        <v>9315</v>
      </c>
      <c r="M105" s="229" t="s">
        <v>9316</v>
      </c>
      <c r="N105" s="102"/>
      <c r="O105" s="102"/>
      <c r="P105" s="102"/>
      <c r="R105" s="230"/>
      <c r="S105" s="230" t="str">
        <f>IF(ISNUMBER(MATCH(B105, 'Sprint 7'!B:B, 0)), "มาจาก Sprint 7", "")</f>
        <v>มาจาก Sprint 7</v>
      </c>
      <c r="T105" s="230" t="str">
        <f t="array" ref="T105">IF(ISNUMBER(MATCH(B105, 'Sprint 7'!B:B, 0)), INDEX('Sprint 7'!J:J, MATCH(B105, 'Sprint 7'!B:B, 0)), "")</f>
        <v>In Progress</v>
      </c>
      <c r="V105" s="102" t="s">
        <v>7695</v>
      </c>
      <c r="W105" s="102" t="s">
        <v>7696</v>
      </c>
      <c r="X105" s="102" t="s">
        <v>5944</v>
      </c>
      <c r="Y105" s="102" t="s">
        <v>5919</v>
      </c>
      <c r="Z105" s="102"/>
    </row>
    <row r="106">
      <c r="A106" s="102" t="s">
        <v>276</v>
      </c>
      <c r="B106" s="102" t="s">
        <v>9317</v>
      </c>
      <c r="C106" s="229" t="s">
        <v>9318</v>
      </c>
      <c r="D106" s="102" t="s">
        <v>1567</v>
      </c>
      <c r="E106" s="102" t="s">
        <v>3288</v>
      </c>
      <c r="F106" s="102" t="s">
        <v>3289</v>
      </c>
      <c r="G106" s="102" t="s">
        <v>3288</v>
      </c>
      <c r="H106" s="102" t="s">
        <v>3289</v>
      </c>
      <c r="I106" s="102" t="s">
        <v>284</v>
      </c>
      <c r="J106" s="102" t="s">
        <v>26</v>
      </c>
      <c r="L106" s="229" t="s">
        <v>9315</v>
      </c>
      <c r="M106" s="229" t="s">
        <v>9319</v>
      </c>
      <c r="N106" s="102"/>
      <c r="O106" s="102"/>
      <c r="R106" s="230"/>
      <c r="S106" s="230" t="str">
        <f>IF(ISNUMBER(MATCH(B106, 'Sprint 7'!B:B, 0)), "มาจาก Sprint 7", "")</f>
        <v>มาจาก Sprint 7</v>
      </c>
      <c r="T106" s="230" t="str">
        <f t="array" ref="T106">IF(ISNUMBER(MATCH(B106, 'Sprint 7'!B:B, 0)), INDEX('Sprint 7'!J:J, MATCH(B106, 'Sprint 7'!B:B, 0)), "")</f>
        <v>In Progress</v>
      </c>
      <c r="V106" s="102" t="s">
        <v>7695</v>
      </c>
      <c r="W106" s="102" t="s">
        <v>7696</v>
      </c>
      <c r="X106" s="102" t="s">
        <v>5944</v>
      </c>
      <c r="Y106" s="102" t="s">
        <v>5919</v>
      </c>
      <c r="Z106" s="102"/>
    </row>
    <row r="107">
      <c r="A107" s="102" t="s">
        <v>332</v>
      </c>
      <c r="B107" s="102" t="s">
        <v>9320</v>
      </c>
      <c r="C107" s="229" t="s">
        <v>9321</v>
      </c>
      <c r="D107" s="102" t="s">
        <v>9322</v>
      </c>
      <c r="E107" s="102" t="s">
        <v>9102</v>
      </c>
      <c r="F107" s="102" t="s">
        <v>6861</v>
      </c>
      <c r="G107" s="102" t="s">
        <v>3288</v>
      </c>
      <c r="H107" s="102" t="s">
        <v>3289</v>
      </c>
      <c r="I107" s="102" t="s">
        <v>515</v>
      </c>
      <c r="J107" s="102" t="s">
        <v>336</v>
      </c>
      <c r="L107" s="229" t="s">
        <v>9323</v>
      </c>
      <c r="M107" s="229" t="s">
        <v>9324</v>
      </c>
      <c r="N107" s="102"/>
      <c r="O107" s="102"/>
      <c r="P107" s="102"/>
      <c r="R107" s="230"/>
      <c r="S107" s="230" t="str">
        <f>IF(ISNUMBER(MATCH(B107, 'Sprint 7'!B:B, 0)), "มาจาก Sprint 7", "")</f>
        <v/>
      </c>
      <c r="T107" s="230" t="str">
        <f t="array" ref="T107">IF(ISNUMBER(MATCH(B107, 'Sprint 7'!B:B, 0)), INDEX('Sprint 7'!J:J, MATCH(B107, 'Sprint 7'!B:B, 0)), "")</f>
        <v/>
      </c>
      <c r="V107" s="102" t="s">
        <v>5919</v>
      </c>
      <c r="W107" s="102"/>
      <c r="X107" s="102"/>
      <c r="Y107" s="102"/>
      <c r="Z107" s="102"/>
    </row>
    <row r="108">
      <c r="A108" s="102" t="s">
        <v>276</v>
      </c>
      <c r="B108" s="102" t="s">
        <v>9325</v>
      </c>
      <c r="C108" s="229" t="s">
        <v>9326</v>
      </c>
      <c r="D108" s="102" t="s">
        <v>9327</v>
      </c>
      <c r="E108" s="102"/>
      <c r="F108" s="102"/>
      <c r="G108" s="102" t="s">
        <v>353</v>
      </c>
      <c r="H108" s="102" t="s">
        <v>354</v>
      </c>
      <c r="I108" s="102" t="s">
        <v>284</v>
      </c>
      <c r="J108" s="102" t="s">
        <v>63</v>
      </c>
      <c r="L108" s="229" t="s">
        <v>9328</v>
      </c>
      <c r="M108" s="229" t="s">
        <v>9328</v>
      </c>
      <c r="N108" s="102"/>
      <c r="O108" s="102"/>
      <c r="P108" s="102"/>
      <c r="R108" s="230"/>
      <c r="S108" s="230" t="str">
        <f>IF(ISNUMBER(MATCH(B108, 'Sprint 7'!B:B, 0)), "มาจาก Sprint 7", "")</f>
        <v>มาจาก Sprint 7</v>
      </c>
      <c r="T108" s="230" t="str">
        <f t="array" ref="T108">IF(ISNUMBER(MATCH(B108, 'Sprint 7'!B:B, 0)), INDEX('Sprint 7'!J:J, MATCH(B108, 'Sprint 7'!B:B, 0)), "")</f>
        <v>To Do</v>
      </c>
      <c r="V108" s="102" t="s">
        <v>7695</v>
      </c>
      <c r="W108" s="102" t="s">
        <v>7696</v>
      </c>
      <c r="X108" s="102" t="s">
        <v>5944</v>
      </c>
      <c r="Y108" s="102" t="s">
        <v>5919</v>
      </c>
      <c r="Z108" s="102"/>
    </row>
    <row r="109">
      <c r="A109" s="102" t="s">
        <v>276</v>
      </c>
      <c r="B109" s="102" t="s">
        <v>9329</v>
      </c>
      <c r="C109" s="229" t="s">
        <v>9330</v>
      </c>
      <c r="D109" s="102" t="s">
        <v>9331</v>
      </c>
      <c r="E109" s="102"/>
      <c r="F109" s="102"/>
      <c r="G109" s="102" t="s">
        <v>353</v>
      </c>
      <c r="H109" s="102" t="s">
        <v>354</v>
      </c>
      <c r="I109" s="102" t="s">
        <v>284</v>
      </c>
      <c r="J109" s="102" t="s">
        <v>26</v>
      </c>
      <c r="L109" s="229" t="s">
        <v>9332</v>
      </c>
      <c r="M109" s="229" t="s">
        <v>9333</v>
      </c>
      <c r="N109" s="102"/>
      <c r="O109" s="102"/>
      <c r="P109" s="102" t="s">
        <v>593</v>
      </c>
      <c r="R109" s="230"/>
      <c r="S109" s="230" t="str">
        <f>IF(ISNUMBER(MATCH(B109, 'Sprint 7'!B:B, 0)), "มาจาก Sprint 7", "")</f>
        <v>มาจาก Sprint 7</v>
      </c>
      <c r="T109" s="230" t="str">
        <f t="array" ref="T109">IF(ISNUMBER(MATCH(B109, 'Sprint 7'!B:B, 0)), INDEX('Sprint 7'!J:J, MATCH(B109, 'Sprint 7'!B:B, 0)), "")</f>
        <v>Done</v>
      </c>
      <c r="V109" s="102" t="s">
        <v>7695</v>
      </c>
      <c r="W109" s="102" t="s">
        <v>7696</v>
      </c>
      <c r="X109" s="102" t="s">
        <v>5944</v>
      </c>
      <c r="Y109" s="102" t="s">
        <v>5919</v>
      </c>
      <c r="Z109" s="102"/>
    </row>
    <row r="110">
      <c r="A110" s="102" t="s">
        <v>332</v>
      </c>
      <c r="B110" s="102" t="s">
        <v>9334</v>
      </c>
      <c r="C110" s="229" t="s">
        <v>9335</v>
      </c>
      <c r="D110" s="102" t="s">
        <v>9336</v>
      </c>
      <c r="E110" s="102" t="s">
        <v>9102</v>
      </c>
      <c r="F110" s="102" t="s">
        <v>6861</v>
      </c>
      <c r="G110" s="102" t="s">
        <v>3288</v>
      </c>
      <c r="H110" s="102" t="s">
        <v>3289</v>
      </c>
      <c r="I110" s="102" t="s">
        <v>284</v>
      </c>
      <c r="J110" s="102" t="s">
        <v>336</v>
      </c>
      <c r="L110" s="229" t="s">
        <v>9337</v>
      </c>
      <c r="M110" s="229" t="s">
        <v>9338</v>
      </c>
      <c r="N110" s="102"/>
      <c r="O110" s="102"/>
      <c r="P110" s="102"/>
      <c r="R110" s="230"/>
      <c r="S110" s="230" t="str">
        <f>IF(ISNUMBER(MATCH(B110, 'Sprint 7'!B:B, 0)), "มาจาก Sprint 7", "")</f>
        <v>มาจาก Sprint 7</v>
      </c>
      <c r="T110" s="230" t="str">
        <f t="array" ref="T110">IF(ISNUMBER(MATCH(B110, 'Sprint 7'!B:B, 0)), INDEX('Sprint 7'!J:J, MATCH(B110, 'Sprint 7'!B:B, 0)), "")</f>
        <v>Fixing</v>
      </c>
      <c r="V110" s="102" t="s">
        <v>5944</v>
      </c>
      <c r="W110" s="102" t="s">
        <v>5919</v>
      </c>
      <c r="X110" s="230"/>
      <c r="Y110" s="102"/>
      <c r="Z110" s="102"/>
    </row>
    <row r="111">
      <c r="A111" s="102" t="s">
        <v>332</v>
      </c>
      <c r="B111" s="102" t="s">
        <v>9339</v>
      </c>
      <c r="C111" s="229" t="s">
        <v>9340</v>
      </c>
      <c r="D111" s="102" t="s">
        <v>9341</v>
      </c>
      <c r="E111" s="102" t="s">
        <v>9102</v>
      </c>
      <c r="F111" s="102" t="s">
        <v>6861</v>
      </c>
      <c r="G111" s="102" t="s">
        <v>3288</v>
      </c>
      <c r="H111" s="102" t="s">
        <v>3289</v>
      </c>
      <c r="I111" s="102" t="s">
        <v>648</v>
      </c>
      <c r="J111" s="102" t="s">
        <v>336</v>
      </c>
      <c r="L111" s="229" t="s">
        <v>9342</v>
      </c>
      <c r="M111" s="229" t="s">
        <v>9343</v>
      </c>
      <c r="N111" s="102"/>
      <c r="O111" s="102"/>
      <c r="P111" s="102"/>
      <c r="R111" s="230"/>
      <c r="S111" s="230" t="str">
        <f>IF(ISNUMBER(MATCH(B111, 'Sprint 7'!B:B, 0)), "มาจาก Sprint 7", "")</f>
        <v>มาจาก Sprint 7</v>
      </c>
      <c r="T111" s="230" t="str">
        <f t="array" ref="T111">IF(ISNUMBER(MATCH(B111, 'Sprint 7'!B:B, 0)), INDEX('Sprint 7'!J:J, MATCH(B111, 'Sprint 7'!B:B, 0)), "")</f>
        <v>Fixing</v>
      </c>
      <c r="V111" s="102" t="s">
        <v>5944</v>
      </c>
      <c r="W111" s="102" t="s">
        <v>5919</v>
      </c>
      <c r="X111" s="230"/>
      <c r="Y111" s="230"/>
      <c r="Z111" s="102"/>
    </row>
    <row r="112">
      <c r="A112" s="102" t="s">
        <v>332</v>
      </c>
      <c r="B112" s="102" t="s">
        <v>9344</v>
      </c>
      <c r="C112" s="229" t="s">
        <v>9345</v>
      </c>
      <c r="D112" s="102" t="s">
        <v>9346</v>
      </c>
      <c r="E112" s="102" t="s">
        <v>9102</v>
      </c>
      <c r="F112" s="102" t="s">
        <v>6861</v>
      </c>
      <c r="G112" s="102" t="s">
        <v>3288</v>
      </c>
      <c r="H112" s="102" t="s">
        <v>3289</v>
      </c>
      <c r="I112" s="102" t="s">
        <v>648</v>
      </c>
      <c r="J112" s="102" t="s">
        <v>336</v>
      </c>
      <c r="L112" s="229" t="s">
        <v>9347</v>
      </c>
      <c r="M112" s="229" t="s">
        <v>9348</v>
      </c>
      <c r="O112" s="102"/>
      <c r="P112" s="102"/>
      <c r="R112" s="230"/>
      <c r="S112" s="230" t="str">
        <f>IF(ISNUMBER(MATCH(B112, 'Sprint 7'!B:B, 0)), "มาจาก Sprint 7", "")</f>
        <v>มาจาก Sprint 7</v>
      </c>
      <c r="T112" s="230" t="str">
        <f t="array" ref="T112">IF(ISNUMBER(MATCH(B112, 'Sprint 7'!B:B, 0)), INDEX('Sprint 7'!J:J, MATCH(B112, 'Sprint 7'!B:B, 0)), "")</f>
        <v>Fixing</v>
      </c>
      <c r="V112" s="102" t="s">
        <v>5944</v>
      </c>
      <c r="W112" s="102" t="s">
        <v>5919</v>
      </c>
      <c r="X112" s="102"/>
      <c r="Y112" s="102"/>
      <c r="Z112" s="102"/>
    </row>
    <row r="113">
      <c r="A113" s="102" t="s">
        <v>276</v>
      </c>
      <c r="B113" s="102" t="s">
        <v>9349</v>
      </c>
      <c r="C113" s="229" t="s">
        <v>9350</v>
      </c>
      <c r="D113" s="102" t="s">
        <v>4345</v>
      </c>
      <c r="E113" s="102" t="s">
        <v>391</v>
      </c>
      <c r="F113" s="102" t="s">
        <v>392</v>
      </c>
      <c r="G113" s="102" t="s">
        <v>391</v>
      </c>
      <c r="H113" s="102" t="s">
        <v>392</v>
      </c>
      <c r="I113" s="102" t="s">
        <v>284</v>
      </c>
      <c r="J113" s="102" t="s">
        <v>26</v>
      </c>
      <c r="L113" s="229" t="s">
        <v>9351</v>
      </c>
      <c r="M113" s="229" t="s">
        <v>9351</v>
      </c>
      <c r="O113" s="102"/>
      <c r="P113" s="102"/>
      <c r="R113" s="230"/>
      <c r="S113" s="230" t="str">
        <f>IF(ISNUMBER(MATCH(B113, 'Sprint 7'!B:B, 0)), "มาจาก Sprint 7", "")</f>
        <v>มาจาก Sprint 7</v>
      </c>
      <c r="T113" s="230" t="str">
        <f t="array" ref="T113">IF(ISNUMBER(MATCH(B113, 'Sprint 7'!B:B, 0)), INDEX('Sprint 7'!J:J, MATCH(B113, 'Sprint 7'!B:B, 0)), "")</f>
        <v>Done</v>
      </c>
      <c r="V113" s="102" t="s">
        <v>7695</v>
      </c>
      <c r="W113" s="102" t="s">
        <v>7696</v>
      </c>
      <c r="X113" s="102" t="s">
        <v>5944</v>
      </c>
      <c r="Y113" s="102" t="s">
        <v>5919</v>
      </c>
      <c r="Z113" s="102"/>
    </row>
    <row r="114">
      <c r="A114" s="102" t="s">
        <v>332</v>
      </c>
      <c r="B114" s="102" t="s">
        <v>9352</v>
      </c>
      <c r="C114" s="229" t="s">
        <v>9353</v>
      </c>
      <c r="D114" s="102" t="s">
        <v>9354</v>
      </c>
      <c r="E114" s="102" t="s">
        <v>353</v>
      </c>
      <c r="F114" s="102" t="s">
        <v>354</v>
      </c>
      <c r="G114" s="102" t="s">
        <v>3288</v>
      </c>
      <c r="H114" s="102" t="s">
        <v>3289</v>
      </c>
      <c r="I114" s="102" t="s">
        <v>648</v>
      </c>
      <c r="J114" s="102" t="s">
        <v>336</v>
      </c>
      <c r="L114" s="229" t="s">
        <v>9355</v>
      </c>
      <c r="M114" s="229" t="s">
        <v>9356</v>
      </c>
      <c r="O114" s="102"/>
      <c r="P114" s="102"/>
      <c r="R114" s="230"/>
      <c r="S114" s="230" t="str">
        <f>IF(ISNUMBER(MATCH(B114, 'Sprint 7'!B:B, 0)), "มาจาก Sprint 7", "")</f>
        <v>มาจาก Sprint 7</v>
      </c>
      <c r="T114" s="230" t="str">
        <f t="array" ref="T114">IF(ISNUMBER(MATCH(B114, 'Sprint 7'!B:B, 0)), INDEX('Sprint 7'!J:J, MATCH(B114, 'Sprint 7'!B:B, 0)), "")</f>
        <v>Resolved</v>
      </c>
      <c r="V114" s="102" t="s">
        <v>5944</v>
      </c>
      <c r="W114" s="102" t="s">
        <v>5919</v>
      </c>
      <c r="X114" s="230"/>
      <c r="Y114" s="230"/>
      <c r="Z114" s="102"/>
    </row>
    <row r="115">
      <c r="A115" s="102" t="s">
        <v>276</v>
      </c>
      <c r="B115" s="102" t="s">
        <v>9357</v>
      </c>
      <c r="C115" s="229" t="s">
        <v>9358</v>
      </c>
      <c r="D115" s="102" t="s">
        <v>1567</v>
      </c>
      <c r="E115" s="102" t="s">
        <v>3288</v>
      </c>
      <c r="F115" s="102" t="s">
        <v>3289</v>
      </c>
      <c r="G115" s="102" t="s">
        <v>3288</v>
      </c>
      <c r="H115" s="102" t="s">
        <v>3289</v>
      </c>
      <c r="I115" s="102" t="s">
        <v>284</v>
      </c>
      <c r="J115" s="102" t="s">
        <v>26</v>
      </c>
      <c r="L115" s="229" t="s">
        <v>9359</v>
      </c>
      <c r="M115" s="229" t="s">
        <v>9316</v>
      </c>
      <c r="O115" s="102"/>
      <c r="R115" s="230"/>
      <c r="S115" s="230" t="str">
        <f>IF(ISNUMBER(MATCH(B115, 'Sprint 7'!B:B, 0)), "มาจาก Sprint 7", "")</f>
        <v>มาจาก Sprint 7</v>
      </c>
      <c r="T115" s="230" t="str">
        <f t="array" ref="T115">IF(ISNUMBER(MATCH(B115, 'Sprint 7'!B:B, 0)), INDEX('Sprint 7'!J:J, MATCH(B115, 'Sprint 7'!B:B, 0)), "")</f>
        <v>In Progress</v>
      </c>
      <c r="V115" s="102" t="s">
        <v>5944</v>
      </c>
      <c r="W115" s="102" t="s">
        <v>5919</v>
      </c>
      <c r="X115" s="230"/>
      <c r="Y115" s="230"/>
      <c r="Z115" s="102"/>
    </row>
    <row r="116">
      <c r="A116" s="102" t="s">
        <v>1459</v>
      </c>
      <c r="B116" s="102" t="s">
        <v>9360</v>
      </c>
      <c r="C116" s="229" t="s">
        <v>9361</v>
      </c>
      <c r="D116" s="102" t="s">
        <v>9362</v>
      </c>
      <c r="E116" s="102" t="s">
        <v>3288</v>
      </c>
      <c r="F116" s="102" t="s">
        <v>3289</v>
      </c>
      <c r="G116" s="102" t="s">
        <v>3288</v>
      </c>
      <c r="H116" s="102" t="s">
        <v>3289</v>
      </c>
      <c r="I116" s="102" t="s">
        <v>284</v>
      </c>
      <c r="J116" s="102" t="s">
        <v>26</v>
      </c>
      <c r="L116" s="229" t="s">
        <v>9363</v>
      </c>
      <c r="M116" s="229" t="s">
        <v>9364</v>
      </c>
      <c r="O116" s="102"/>
      <c r="P116" s="102"/>
      <c r="R116" s="230"/>
      <c r="S116" s="230" t="str">
        <f>IF(ISNUMBER(MATCH(B116, 'Sprint 7'!B:B, 0)), "มาจาก Sprint 7", "")</f>
        <v>มาจาก Sprint 7</v>
      </c>
      <c r="T116" s="230" t="str">
        <f t="array" ref="T116">IF(ISNUMBER(MATCH(B116, 'Sprint 7'!B:B, 0)), INDEX('Sprint 7'!J:J, MATCH(B116, 'Sprint 7'!B:B, 0)), "")</f>
        <v>In Progress</v>
      </c>
      <c r="V116" s="102" t="s">
        <v>5944</v>
      </c>
      <c r="W116" s="102" t="s">
        <v>5919</v>
      </c>
      <c r="X116" s="230"/>
      <c r="Y116" s="230"/>
      <c r="Z116" s="102"/>
      <c r="AA116" s="102"/>
      <c r="AB116" s="102"/>
    </row>
    <row r="117">
      <c r="A117" s="102" t="s">
        <v>1465</v>
      </c>
      <c r="B117" s="102" t="s">
        <v>9365</v>
      </c>
      <c r="C117" s="229" t="s">
        <v>9366</v>
      </c>
      <c r="D117" s="102" t="s">
        <v>9367</v>
      </c>
      <c r="E117" s="102" t="s">
        <v>3288</v>
      </c>
      <c r="F117" s="102" t="s">
        <v>3289</v>
      </c>
      <c r="G117" s="102" t="s">
        <v>3288</v>
      </c>
      <c r="H117" s="102" t="s">
        <v>3289</v>
      </c>
      <c r="I117" s="102" t="s">
        <v>284</v>
      </c>
      <c r="J117" s="102" t="s">
        <v>26</v>
      </c>
      <c r="L117" s="229" t="s">
        <v>9368</v>
      </c>
      <c r="M117" s="229" t="s">
        <v>9364</v>
      </c>
      <c r="O117" s="102"/>
      <c r="R117" s="230"/>
      <c r="S117" s="230" t="str">
        <f>IF(ISNUMBER(MATCH(B117, 'Sprint 7'!B:B, 0)), "มาจาก Sprint 7", "")</f>
        <v>มาจาก Sprint 7</v>
      </c>
      <c r="T117" s="230" t="str">
        <f t="array" ref="T117">IF(ISNUMBER(MATCH(B117, 'Sprint 7'!B:B, 0)), INDEX('Sprint 7'!J:J, MATCH(B117, 'Sprint 7'!B:B, 0)), "")</f>
        <v>To Do</v>
      </c>
      <c r="V117" s="102" t="s">
        <v>5944</v>
      </c>
      <c r="W117" s="102" t="s">
        <v>5919</v>
      </c>
      <c r="X117" s="230"/>
      <c r="Y117" s="230"/>
      <c r="Z117" s="102"/>
    </row>
    <row r="118">
      <c r="A118" s="102" t="s">
        <v>4306</v>
      </c>
      <c r="B118" s="102" t="s">
        <v>9369</v>
      </c>
      <c r="C118" s="229" t="s">
        <v>9370</v>
      </c>
      <c r="D118" s="102" t="s">
        <v>9371</v>
      </c>
      <c r="E118" s="102" t="s">
        <v>3288</v>
      </c>
      <c r="F118" s="102" t="s">
        <v>3289</v>
      </c>
      <c r="G118" s="102" t="s">
        <v>3288</v>
      </c>
      <c r="H118" s="102" t="s">
        <v>3289</v>
      </c>
      <c r="I118" s="102" t="s">
        <v>284</v>
      </c>
      <c r="J118" s="102" t="s">
        <v>26</v>
      </c>
      <c r="L118" s="229" t="s">
        <v>9368</v>
      </c>
      <c r="M118" s="229" t="s">
        <v>9364</v>
      </c>
      <c r="O118" s="102"/>
      <c r="P118" s="102"/>
      <c r="R118" s="230"/>
      <c r="S118" s="230" t="str">
        <f>IF(ISNUMBER(MATCH(B118, 'Sprint 7'!B:B, 0)), "มาจาก Sprint 7", "")</f>
        <v>มาจาก Sprint 7</v>
      </c>
      <c r="T118" s="230" t="str">
        <f t="array" ref="T118">IF(ISNUMBER(MATCH(B118, 'Sprint 7'!B:B, 0)), INDEX('Sprint 7'!J:J, MATCH(B118, 'Sprint 7'!B:B, 0)), "")</f>
        <v>To Do</v>
      </c>
      <c r="V118" s="102" t="s">
        <v>5944</v>
      </c>
      <c r="W118" s="102" t="s">
        <v>5919</v>
      </c>
      <c r="X118" s="230"/>
      <c r="Y118" s="102"/>
      <c r="Z118" s="102"/>
    </row>
    <row r="119">
      <c r="A119" s="102" t="s">
        <v>276</v>
      </c>
      <c r="B119" s="102" t="s">
        <v>7640</v>
      </c>
      <c r="C119" s="229" t="s">
        <v>7641</v>
      </c>
      <c r="D119" s="102" t="s">
        <v>7642</v>
      </c>
      <c r="E119" s="102" t="s">
        <v>391</v>
      </c>
      <c r="F119" s="102" t="s">
        <v>392</v>
      </c>
      <c r="G119" s="102" t="s">
        <v>391</v>
      </c>
      <c r="H119" s="102" t="s">
        <v>392</v>
      </c>
      <c r="I119" s="102" t="s">
        <v>284</v>
      </c>
      <c r="J119" s="102" t="s">
        <v>34</v>
      </c>
      <c r="L119" s="229" t="s">
        <v>7643</v>
      </c>
      <c r="M119" s="229" t="s">
        <v>8013</v>
      </c>
      <c r="N119" s="102"/>
      <c r="O119" s="102"/>
      <c r="P119" s="102"/>
      <c r="R119" s="230"/>
      <c r="S119" s="230" t="str">
        <f>IF(ISNUMBER(MATCH(B119, 'Sprint 7'!B:B, 0)), "มาจาก Sprint 7", "")</f>
        <v>มาจาก Sprint 7</v>
      </c>
      <c r="T119" s="230" t="str">
        <f t="array" ref="T119">IF(ISNUMBER(MATCH(B119, 'Sprint 7'!B:B, 0)), INDEX('Sprint 7'!J:J, MATCH(B119, 'Sprint 7'!B:B, 0)), "")</f>
        <v>To Do</v>
      </c>
      <c r="V119" s="102" t="s">
        <v>5944</v>
      </c>
      <c r="W119" s="102" t="s">
        <v>5919</v>
      </c>
      <c r="X119" s="230"/>
      <c r="Y119" s="102"/>
      <c r="Z119" s="102"/>
      <c r="AA119" s="102"/>
      <c r="AB119" s="102"/>
    </row>
    <row r="120">
      <c r="A120" s="102" t="s">
        <v>276</v>
      </c>
      <c r="B120" s="102" t="s">
        <v>7644</v>
      </c>
      <c r="C120" s="229" t="s">
        <v>7645</v>
      </c>
      <c r="D120" s="102" t="s">
        <v>7646</v>
      </c>
      <c r="E120" s="102" t="s">
        <v>391</v>
      </c>
      <c r="F120" s="102" t="s">
        <v>392</v>
      </c>
      <c r="G120" s="102" t="s">
        <v>391</v>
      </c>
      <c r="H120" s="102" t="s">
        <v>392</v>
      </c>
      <c r="I120" s="102" t="s">
        <v>284</v>
      </c>
      <c r="J120" s="102" t="s">
        <v>34</v>
      </c>
      <c r="L120" s="229" t="s">
        <v>7643</v>
      </c>
      <c r="M120" s="229" t="s">
        <v>7647</v>
      </c>
      <c r="N120" s="102"/>
      <c r="O120" s="102"/>
      <c r="P120" s="102"/>
      <c r="R120" s="230"/>
      <c r="S120" s="230" t="str">
        <f>IF(ISNUMBER(MATCH(B120, 'Sprint 7'!B:B, 0)), "มาจาก Sprint 7", "")</f>
        <v>มาจาก Sprint 7</v>
      </c>
      <c r="T120" s="230" t="str">
        <f t="array" ref="T120">IF(ISNUMBER(MATCH(B120, 'Sprint 7'!B:B, 0)), INDEX('Sprint 7'!J:J, MATCH(B120, 'Sprint 7'!B:B, 0)), "")</f>
        <v>To Do</v>
      </c>
      <c r="V120" s="102" t="s">
        <v>5944</v>
      </c>
      <c r="W120" s="102" t="s">
        <v>5919</v>
      </c>
      <c r="X120" s="230"/>
      <c r="Y120" s="102"/>
      <c r="Z120" s="102"/>
    </row>
    <row r="121">
      <c r="A121" s="102" t="s">
        <v>276</v>
      </c>
      <c r="B121" s="102" t="s">
        <v>7648</v>
      </c>
      <c r="C121" s="229" t="s">
        <v>7649</v>
      </c>
      <c r="D121" s="102" t="s">
        <v>7650</v>
      </c>
      <c r="E121" s="102" t="s">
        <v>391</v>
      </c>
      <c r="F121" s="102" t="s">
        <v>392</v>
      </c>
      <c r="G121" s="102" t="s">
        <v>391</v>
      </c>
      <c r="H121" s="102" t="s">
        <v>392</v>
      </c>
      <c r="I121" s="102" t="s">
        <v>284</v>
      </c>
      <c r="J121" s="102" t="s">
        <v>34</v>
      </c>
      <c r="L121" s="229" t="s">
        <v>7643</v>
      </c>
      <c r="M121" s="229" t="s">
        <v>8014</v>
      </c>
      <c r="N121" s="102"/>
      <c r="O121" s="102"/>
      <c r="P121" s="102"/>
      <c r="R121" s="230"/>
      <c r="S121" s="230" t="str">
        <f>IF(ISNUMBER(MATCH(B121, 'Sprint 7'!B:B, 0)), "มาจาก Sprint 7", "")</f>
        <v>มาจาก Sprint 7</v>
      </c>
      <c r="T121" s="230" t="str">
        <f t="array" ref="T121">IF(ISNUMBER(MATCH(B121, 'Sprint 7'!B:B, 0)), INDEX('Sprint 7'!J:J, MATCH(B121, 'Sprint 7'!B:B, 0)), "")</f>
        <v>To Do</v>
      </c>
      <c r="V121" s="102" t="s">
        <v>5944</v>
      </c>
      <c r="W121" s="102" t="s">
        <v>5919</v>
      </c>
      <c r="X121" s="230"/>
      <c r="Y121" s="102"/>
      <c r="Z121" s="102"/>
    </row>
    <row r="122">
      <c r="A122" s="102" t="s">
        <v>276</v>
      </c>
      <c r="B122" s="102" t="s">
        <v>7651</v>
      </c>
      <c r="C122" s="229" t="s">
        <v>7652</v>
      </c>
      <c r="D122" s="102" t="s">
        <v>8015</v>
      </c>
      <c r="E122" s="102"/>
      <c r="F122" s="102"/>
      <c r="G122" s="102" t="s">
        <v>391</v>
      </c>
      <c r="H122" s="102" t="s">
        <v>392</v>
      </c>
      <c r="I122" s="102" t="s">
        <v>284</v>
      </c>
      <c r="J122" s="102" t="s">
        <v>63</v>
      </c>
      <c r="L122" s="229" t="s">
        <v>7654</v>
      </c>
      <c r="M122" s="229" t="s">
        <v>8016</v>
      </c>
      <c r="N122" s="102"/>
      <c r="O122" s="102"/>
      <c r="P122" s="102"/>
      <c r="R122" s="230"/>
      <c r="S122" s="230" t="str">
        <f>IF(ISNUMBER(MATCH(B122, 'Sprint 7'!B:B, 0)), "มาจาก Sprint 7", "")</f>
        <v>มาจาก Sprint 7</v>
      </c>
      <c r="T122" s="230" t="str">
        <f t="array" ref="T122">IF(ISNUMBER(MATCH(B122, 'Sprint 7'!B:B, 0)), INDEX('Sprint 7'!J:J, MATCH(B122, 'Sprint 7'!B:B, 0)), "")</f>
        <v>To Do</v>
      </c>
      <c r="V122" s="102" t="s">
        <v>5944</v>
      </c>
      <c r="W122" s="102" t="s">
        <v>5919</v>
      </c>
      <c r="X122" s="230"/>
      <c r="Y122" s="102"/>
      <c r="Z122" s="102"/>
    </row>
    <row r="123">
      <c r="A123" s="102" t="s">
        <v>276</v>
      </c>
      <c r="B123" s="102" t="s">
        <v>7656</v>
      </c>
      <c r="C123" s="229" t="s">
        <v>7657</v>
      </c>
      <c r="D123" s="102" t="s">
        <v>7658</v>
      </c>
      <c r="E123" s="102" t="s">
        <v>391</v>
      </c>
      <c r="F123" s="102" t="s">
        <v>392</v>
      </c>
      <c r="G123" s="102" t="s">
        <v>391</v>
      </c>
      <c r="H123" s="102" t="s">
        <v>392</v>
      </c>
      <c r="I123" s="102" t="s">
        <v>284</v>
      </c>
      <c r="J123" s="102" t="s">
        <v>34</v>
      </c>
      <c r="L123" s="229" t="s">
        <v>7654</v>
      </c>
      <c r="M123" s="229" t="s">
        <v>8017</v>
      </c>
      <c r="N123" s="102"/>
      <c r="O123" s="102"/>
      <c r="P123" s="102"/>
      <c r="R123" s="230"/>
      <c r="S123" s="230" t="str">
        <f>IF(ISNUMBER(MATCH(B123, 'Sprint 7'!B:B, 0)), "มาจาก Sprint 7", "")</f>
        <v>มาจาก Sprint 7</v>
      </c>
      <c r="T123" s="230" t="str">
        <f t="array" ref="T123">IF(ISNUMBER(MATCH(B123, 'Sprint 7'!B:B, 0)), INDEX('Sprint 7'!J:J, MATCH(B123, 'Sprint 7'!B:B, 0)), "")</f>
        <v>In Progress</v>
      </c>
      <c r="V123" s="102" t="s">
        <v>5944</v>
      </c>
      <c r="W123" s="102" t="s">
        <v>5919</v>
      </c>
      <c r="X123" s="230"/>
      <c r="Y123" s="102"/>
      <c r="Z123" s="102"/>
    </row>
    <row r="124">
      <c r="A124" s="102" t="s">
        <v>276</v>
      </c>
      <c r="B124" s="102" t="s">
        <v>7659</v>
      </c>
      <c r="C124" s="229" t="s">
        <v>7660</v>
      </c>
      <c r="D124" s="102" t="s">
        <v>7661</v>
      </c>
      <c r="E124" s="102" t="s">
        <v>391</v>
      </c>
      <c r="F124" s="102" t="s">
        <v>392</v>
      </c>
      <c r="G124" s="102" t="s">
        <v>391</v>
      </c>
      <c r="H124" s="102" t="s">
        <v>392</v>
      </c>
      <c r="I124" s="102" t="s">
        <v>284</v>
      </c>
      <c r="J124" s="102" t="s">
        <v>34</v>
      </c>
      <c r="L124" s="229" t="s">
        <v>7654</v>
      </c>
      <c r="M124" s="229" t="s">
        <v>8018</v>
      </c>
      <c r="N124" s="102"/>
      <c r="O124" s="102"/>
      <c r="P124" s="102"/>
      <c r="R124" s="230"/>
      <c r="S124" s="230" t="str">
        <f>IF(ISNUMBER(MATCH(B124, 'Sprint 7'!B:B, 0)), "มาจาก Sprint 7", "")</f>
        <v>มาจาก Sprint 7</v>
      </c>
      <c r="T124" s="230" t="str">
        <f t="array" ref="T124">IF(ISNUMBER(MATCH(B124, 'Sprint 7'!B:B, 0)), INDEX('Sprint 7'!J:J, MATCH(B124, 'Sprint 7'!B:B, 0)), "")</f>
        <v>In Progress</v>
      </c>
      <c r="V124" s="102" t="s">
        <v>5944</v>
      </c>
      <c r="W124" s="102" t="s">
        <v>5919</v>
      </c>
      <c r="X124" s="230"/>
      <c r="Y124" s="102"/>
      <c r="Z124" s="102"/>
    </row>
    <row r="125">
      <c r="A125" s="102" t="s">
        <v>276</v>
      </c>
      <c r="B125" s="102" t="s">
        <v>7662</v>
      </c>
      <c r="C125" s="229" t="s">
        <v>7663</v>
      </c>
      <c r="D125" s="102" t="s">
        <v>7664</v>
      </c>
      <c r="E125" s="102" t="s">
        <v>391</v>
      </c>
      <c r="F125" s="102" t="s">
        <v>392</v>
      </c>
      <c r="G125" s="102" t="s">
        <v>391</v>
      </c>
      <c r="H125" s="102" t="s">
        <v>392</v>
      </c>
      <c r="I125" s="102" t="s">
        <v>284</v>
      </c>
      <c r="J125" s="102" t="s">
        <v>34</v>
      </c>
      <c r="L125" s="229" t="s">
        <v>7654</v>
      </c>
      <c r="M125" s="229" t="s">
        <v>8019</v>
      </c>
      <c r="N125" s="102"/>
      <c r="O125" s="102"/>
      <c r="P125" s="102"/>
      <c r="R125" s="230"/>
      <c r="S125" s="230" t="str">
        <f>IF(ISNUMBER(MATCH(B125, 'Sprint 7'!B:B, 0)), "มาจาก Sprint 7", "")</f>
        <v>มาจาก Sprint 7</v>
      </c>
      <c r="T125" s="230" t="str">
        <f t="array" ref="T125">IF(ISNUMBER(MATCH(B125, 'Sprint 7'!B:B, 0)), INDEX('Sprint 7'!J:J, MATCH(B125, 'Sprint 7'!B:B, 0)), "")</f>
        <v>In Progress</v>
      </c>
      <c r="V125" s="102" t="s">
        <v>5944</v>
      </c>
      <c r="W125" s="102" t="s">
        <v>5919</v>
      </c>
      <c r="X125" s="230"/>
      <c r="Y125" s="102"/>
      <c r="Z125" s="102"/>
      <c r="AA125" s="102"/>
      <c r="AB125" s="102"/>
    </row>
    <row r="126">
      <c r="A126" s="102" t="s">
        <v>276</v>
      </c>
      <c r="B126" s="102" t="s">
        <v>7666</v>
      </c>
      <c r="C126" s="229" t="s">
        <v>7667</v>
      </c>
      <c r="D126" s="102" t="s">
        <v>7668</v>
      </c>
      <c r="E126" s="102" t="s">
        <v>391</v>
      </c>
      <c r="F126" s="102" t="s">
        <v>392</v>
      </c>
      <c r="G126" s="102" t="s">
        <v>391</v>
      </c>
      <c r="H126" s="102" t="s">
        <v>392</v>
      </c>
      <c r="I126" s="102" t="s">
        <v>284</v>
      </c>
      <c r="J126" s="102" t="s">
        <v>34</v>
      </c>
      <c r="L126" s="229" t="s">
        <v>7669</v>
      </c>
      <c r="M126" s="229" t="s">
        <v>8020</v>
      </c>
      <c r="N126" s="102"/>
      <c r="O126" s="102"/>
      <c r="P126" s="102"/>
      <c r="Q126" s="102"/>
      <c r="R126" s="230"/>
      <c r="S126" s="230" t="str">
        <f>IF(ISNUMBER(MATCH(B126, 'Sprint 7'!B:B, 0)), "มาจาก Sprint 7", "")</f>
        <v>มาจาก Sprint 7</v>
      </c>
      <c r="T126" s="230" t="str">
        <f t="array" ref="T126">IF(ISNUMBER(MATCH(B126, 'Sprint 7'!B:B, 0)), INDEX('Sprint 7'!J:J, MATCH(B126, 'Sprint 7'!B:B, 0)), "")</f>
        <v>In Progress</v>
      </c>
      <c r="V126" s="102" t="s">
        <v>5944</v>
      </c>
      <c r="W126" s="102" t="s">
        <v>5919</v>
      </c>
      <c r="X126" s="230"/>
      <c r="Y126" s="102"/>
      <c r="Z126" s="102"/>
      <c r="AA126" s="102"/>
      <c r="AB126" s="102"/>
    </row>
    <row r="127">
      <c r="A127" s="102" t="s">
        <v>276</v>
      </c>
      <c r="B127" s="102" t="s">
        <v>8021</v>
      </c>
      <c r="C127" s="229" t="s">
        <v>8022</v>
      </c>
      <c r="D127" s="102" t="s">
        <v>4345</v>
      </c>
      <c r="E127" s="102" t="s">
        <v>391</v>
      </c>
      <c r="F127" s="102" t="s">
        <v>392</v>
      </c>
      <c r="G127" s="102" t="s">
        <v>391</v>
      </c>
      <c r="H127" s="102" t="s">
        <v>392</v>
      </c>
      <c r="I127" s="102" t="s">
        <v>284</v>
      </c>
      <c r="J127" s="102" t="s">
        <v>63</v>
      </c>
      <c r="L127" s="229" t="s">
        <v>7669</v>
      </c>
      <c r="M127" s="229" t="s">
        <v>9372</v>
      </c>
      <c r="N127" s="102"/>
      <c r="O127" s="102"/>
      <c r="P127" s="102"/>
      <c r="R127" s="230"/>
      <c r="S127" s="230" t="str">
        <f>IF(ISNUMBER(MATCH(B127, 'Sprint 7'!B:B, 0)), "มาจาก Sprint 7", "")</f>
        <v/>
      </c>
      <c r="T127" s="230" t="str">
        <f t="array" ref="T127">IF(ISNUMBER(MATCH(B127, 'Sprint 7'!B:B, 0)), INDEX('Sprint 7'!J:J, MATCH(B127, 'Sprint 7'!B:B, 0)), "")</f>
        <v/>
      </c>
      <c r="V127" s="102" t="s">
        <v>5919</v>
      </c>
      <c r="W127" s="102"/>
      <c r="X127" s="230"/>
      <c r="Y127" s="102"/>
      <c r="Z127" s="102"/>
    </row>
    <row r="128">
      <c r="A128" s="102" t="s">
        <v>276</v>
      </c>
      <c r="B128" s="102" t="s">
        <v>7670</v>
      </c>
      <c r="C128" s="229" t="s">
        <v>7671</v>
      </c>
      <c r="D128" s="102" t="s">
        <v>7672</v>
      </c>
      <c r="E128" s="102" t="s">
        <v>391</v>
      </c>
      <c r="F128" s="102" t="s">
        <v>392</v>
      </c>
      <c r="G128" s="102" t="s">
        <v>391</v>
      </c>
      <c r="H128" s="102" t="s">
        <v>392</v>
      </c>
      <c r="I128" s="102" t="s">
        <v>284</v>
      </c>
      <c r="J128" s="102" t="s">
        <v>34</v>
      </c>
      <c r="L128" s="229" t="s">
        <v>7669</v>
      </c>
      <c r="M128" s="229" t="s">
        <v>8020</v>
      </c>
      <c r="O128" s="102"/>
      <c r="R128" s="230"/>
      <c r="S128" s="230" t="str">
        <f>IF(ISNUMBER(MATCH(B128, 'Sprint 7'!B:B, 0)), "มาจาก Sprint 7", "")</f>
        <v>มาจาก Sprint 7</v>
      </c>
      <c r="T128" s="230" t="str">
        <f t="array" ref="T128">IF(ISNUMBER(MATCH(B128, 'Sprint 7'!B:B, 0)), INDEX('Sprint 7'!J:J, MATCH(B128, 'Sprint 7'!B:B, 0)), "")</f>
        <v>In Progress</v>
      </c>
      <c r="V128" s="102" t="s">
        <v>5944</v>
      </c>
      <c r="W128" s="102" t="s">
        <v>5919</v>
      </c>
      <c r="X128" s="230"/>
      <c r="Y128" s="230"/>
      <c r="Z128" s="102"/>
      <c r="AA128" s="102"/>
      <c r="AB128" s="102"/>
    </row>
    <row r="129">
      <c r="A129" s="102" t="s">
        <v>276</v>
      </c>
      <c r="B129" s="102" t="s">
        <v>7673</v>
      </c>
      <c r="C129" s="229" t="s">
        <v>7674</v>
      </c>
      <c r="D129" s="102" t="s">
        <v>7675</v>
      </c>
      <c r="E129" s="102" t="s">
        <v>391</v>
      </c>
      <c r="F129" s="102" t="s">
        <v>392</v>
      </c>
      <c r="G129" s="102" t="s">
        <v>391</v>
      </c>
      <c r="H129" s="102" t="s">
        <v>392</v>
      </c>
      <c r="I129" s="102" t="s">
        <v>284</v>
      </c>
      <c r="J129" s="102" t="s">
        <v>34</v>
      </c>
      <c r="L129" s="229" t="s">
        <v>7676</v>
      </c>
      <c r="M129" s="229" t="s">
        <v>8020</v>
      </c>
      <c r="O129" s="102"/>
      <c r="P129" s="102"/>
      <c r="Q129" s="102"/>
      <c r="R129" s="230"/>
      <c r="S129" s="230" t="str">
        <f>IF(ISNUMBER(MATCH(B129, 'Sprint 7'!B:B, 0)), "มาจาก Sprint 7", "")</f>
        <v>มาจาก Sprint 7</v>
      </c>
      <c r="T129" s="230" t="str">
        <f t="array" ref="T129">IF(ISNUMBER(MATCH(B129, 'Sprint 7'!B:B, 0)), INDEX('Sprint 7'!J:J, MATCH(B129, 'Sprint 7'!B:B, 0)), "")</f>
        <v>In Progress</v>
      </c>
      <c r="V129" s="102" t="s">
        <v>5944</v>
      </c>
      <c r="W129" s="102" t="s">
        <v>5919</v>
      </c>
      <c r="X129" s="230"/>
      <c r="Y129" s="102"/>
      <c r="Z129" s="102"/>
      <c r="AA129" s="102"/>
      <c r="AB129" s="102"/>
    </row>
    <row r="130">
      <c r="A130" s="102" t="s">
        <v>276</v>
      </c>
      <c r="B130" s="102" t="s">
        <v>7677</v>
      </c>
      <c r="C130" s="229" t="s">
        <v>7678</v>
      </c>
      <c r="D130" s="102" t="s">
        <v>7679</v>
      </c>
      <c r="E130" s="102" t="s">
        <v>391</v>
      </c>
      <c r="F130" s="102" t="s">
        <v>392</v>
      </c>
      <c r="G130" s="102" t="s">
        <v>391</v>
      </c>
      <c r="H130" s="102" t="s">
        <v>392</v>
      </c>
      <c r="I130" s="102" t="s">
        <v>284</v>
      </c>
      <c r="J130" s="102" t="s">
        <v>34</v>
      </c>
      <c r="L130" s="229" t="s">
        <v>7676</v>
      </c>
      <c r="M130" s="229" t="s">
        <v>8020</v>
      </c>
      <c r="N130" s="102"/>
      <c r="O130" s="102"/>
      <c r="P130" s="102"/>
      <c r="R130" s="230"/>
      <c r="S130" s="230" t="str">
        <f>IF(ISNUMBER(MATCH(B130, 'Sprint 7'!B:B, 0)), "มาจาก Sprint 7", "")</f>
        <v>มาจาก Sprint 7</v>
      </c>
      <c r="T130" s="230" t="str">
        <f t="array" ref="T130">IF(ISNUMBER(MATCH(B130, 'Sprint 7'!B:B, 0)), INDEX('Sprint 7'!J:J, MATCH(B130, 'Sprint 7'!B:B, 0)), "")</f>
        <v>In Progress</v>
      </c>
      <c r="V130" s="102" t="s">
        <v>5944</v>
      </c>
      <c r="W130" s="102" t="s">
        <v>5919</v>
      </c>
      <c r="X130" s="230"/>
      <c r="Y130" s="102"/>
      <c r="Z130" s="102"/>
      <c r="AA130" s="102"/>
    </row>
    <row r="131">
      <c r="A131" s="102" t="s">
        <v>276</v>
      </c>
      <c r="B131" s="102" t="s">
        <v>7680</v>
      </c>
      <c r="C131" s="229" t="s">
        <v>7681</v>
      </c>
      <c r="D131" s="102" t="s">
        <v>7682</v>
      </c>
      <c r="E131" s="102" t="s">
        <v>391</v>
      </c>
      <c r="F131" s="102" t="s">
        <v>392</v>
      </c>
      <c r="G131" s="102" t="s">
        <v>391</v>
      </c>
      <c r="H131" s="102" t="s">
        <v>392</v>
      </c>
      <c r="I131" s="102" t="s">
        <v>284</v>
      </c>
      <c r="J131" s="102" t="s">
        <v>34</v>
      </c>
      <c r="L131" s="229" t="s">
        <v>7683</v>
      </c>
      <c r="M131" s="229" t="s">
        <v>8023</v>
      </c>
      <c r="O131" s="102"/>
      <c r="P131" s="102"/>
      <c r="R131" s="230"/>
      <c r="S131" s="230" t="str">
        <f>IF(ISNUMBER(MATCH(B131, 'Sprint 7'!B:B, 0)), "มาจาก Sprint 7", "")</f>
        <v>มาจาก Sprint 7</v>
      </c>
      <c r="T131" s="230" t="str">
        <f t="array" ref="T131">IF(ISNUMBER(MATCH(B131, 'Sprint 7'!B:B, 0)), INDEX('Sprint 7'!J:J, MATCH(B131, 'Sprint 7'!B:B, 0)), "")</f>
        <v>In Progress</v>
      </c>
      <c r="V131" s="102" t="s">
        <v>5944</v>
      </c>
      <c r="W131" s="102" t="s">
        <v>5919</v>
      </c>
      <c r="X131" s="230"/>
      <c r="Y131" s="230"/>
      <c r="Z131" s="102"/>
      <c r="AA131" s="102"/>
      <c r="AB131" s="102"/>
    </row>
    <row r="132">
      <c r="A132" s="102" t="s">
        <v>276</v>
      </c>
      <c r="B132" s="102" t="s">
        <v>7684</v>
      </c>
      <c r="C132" s="229" t="s">
        <v>7685</v>
      </c>
      <c r="D132" s="102" t="s">
        <v>7686</v>
      </c>
      <c r="E132" s="102" t="s">
        <v>391</v>
      </c>
      <c r="F132" s="102" t="s">
        <v>392</v>
      </c>
      <c r="G132" s="102" t="s">
        <v>391</v>
      </c>
      <c r="H132" s="102" t="s">
        <v>392</v>
      </c>
      <c r="I132" s="102" t="s">
        <v>284</v>
      </c>
      <c r="J132" s="102" t="s">
        <v>34</v>
      </c>
      <c r="L132" s="229" t="s">
        <v>7683</v>
      </c>
      <c r="M132" s="229" t="s">
        <v>8023</v>
      </c>
      <c r="O132" s="102"/>
      <c r="P132" s="102"/>
      <c r="Q132" s="102"/>
      <c r="R132" s="230"/>
      <c r="S132" s="230" t="str">
        <f>IF(ISNUMBER(MATCH(B132, 'Sprint 7'!B:B, 0)), "มาจาก Sprint 7", "")</f>
        <v>มาจาก Sprint 7</v>
      </c>
      <c r="T132" s="230" t="str">
        <f t="array" ref="T132">IF(ISNUMBER(MATCH(B132, 'Sprint 7'!B:B, 0)), INDEX('Sprint 7'!J:J, MATCH(B132, 'Sprint 7'!B:B, 0)), "")</f>
        <v>In Progress</v>
      </c>
      <c r="V132" s="102" t="s">
        <v>5944</v>
      </c>
      <c r="W132" s="102" t="s">
        <v>5919</v>
      </c>
      <c r="X132" s="230"/>
      <c r="Y132" s="102"/>
      <c r="Z132" s="102"/>
      <c r="AA132" s="102"/>
      <c r="AB132" s="102"/>
    </row>
    <row r="133">
      <c r="A133" s="102" t="s">
        <v>276</v>
      </c>
      <c r="B133" s="102" t="s">
        <v>7687</v>
      </c>
      <c r="C133" s="229" t="s">
        <v>7688</v>
      </c>
      <c r="D133" s="102" t="s">
        <v>7689</v>
      </c>
      <c r="E133" s="102" t="s">
        <v>391</v>
      </c>
      <c r="F133" s="102" t="s">
        <v>392</v>
      </c>
      <c r="G133" s="102" t="s">
        <v>391</v>
      </c>
      <c r="H133" s="102" t="s">
        <v>392</v>
      </c>
      <c r="I133" s="102" t="s">
        <v>284</v>
      </c>
      <c r="J133" s="102" t="s">
        <v>34</v>
      </c>
      <c r="L133" s="229" t="s">
        <v>7690</v>
      </c>
      <c r="M133" s="229" t="s">
        <v>8023</v>
      </c>
      <c r="N133" s="102"/>
      <c r="O133" s="102"/>
      <c r="P133" s="102"/>
      <c r="R133" s="230"/>
      <c r="S133" s="230" t="str">
        <f>IF(ISNUMBER(MATCH(B133, 'Sprint 7'!B:B, 0)), "มาจาก Sprint 7", "")</f>
        <v>มาจาก Sprint 7</v>
      </c>
      <c r="T133" s="230" t="str">
        <f t="array" ref="T133">IF(ISNUMBER(MATCH(B133, 'Sprint 7'!B:B, 0)), INDEX('Sprint 7'!J:J, MATCH(B133, 'Sprint 7'!B:B, 0)), "")</f>
        <v>In Progress</v>
      </c>
      <c r="V133" s="102" t="s">
        <v>5944</v>
      </c>
      <c r="W133" s="102" t="s">
        <v>5919</v>
      </c>
      <c r="X133" s="102"/>
      <c r="Y133" s="102"/>
      <c r="Z133" s="102"/>
      <c r="AA133" s="102"/>
    </row>
    <row r="134">
      <c r="A134" s="102" t="s">
        <v>276</v>
      </c>
      <c r="B134" s="102" t="s">
        <v>7691</v>
      </c>
      <c r="C134" s="229" t="s">
        <v>7692</v>
      </c>
      <c r="D134" s="102" t="s">
        <v>4345</v>
      </c>
      <c r="E134" s="102" t="s">
        <v>391</v>
      </c>
      <c r="F134" s="102" t="s">
        <v>392</v>
      </c>
      <c r="G134" s="102" t="s">
        <v>391</v>
      </c>
      <c r="H134" s="102" t="s">
        <v>392</v>
      </c>
      <c r="I134" s="102" t="s">
        <v>284</v>
      </c>
      <c r="J134" s="102" t="s">
        <v>63</v>
      </c>
      <c r="L134" s="229" t="s">
        <v>7693</v>
      </c>
      <c r="M134" s="229" t="s">
        <v>7693</v>
      </c>
      <c r="O134" s="102"/>
      <c r="P134" s="102"/>
      <c r="R134" s="230"/>
      <c r="S134" s="230" t="str">
        <f>IF(ISNUMBER(MATCH(B134, 'Sprint 7'!B:B, 0)), "มาจาก Sprint 7", "")</f>
        <v>มาจาก Sprint 7</v>
      </c>
      <c r="T134" s="230" t="str">
        <f t="array" ref="T134">IF(ISNUMBER(MATCH(B134, 'Sprint 7'!B:B, 0)), INDEX('Sprint 7'!J:J, MATCH(B134, 'Sprint 7'!B:B, 0)), "")</f>
        <v>To Do</v>
      </c>
      <c r="V134" s="102" t="s">
        <v>7695</v>
      </c>
      <c r="W134" s="102" t="s">
        <v>7696</v>
      </c>
      <c r="X134" s="102" t="s">
        <v>5944</v>
      </c>
      <c r="Y134" s="102" t="s">
        <v>5919</v>
      </c>
      <c r="Z134" s="102"/>
    </row>
    <row r="135">
      <c r="A135" s="102" t="s">
        <v>276</v>
      </c>
      <c r="B135" s="102" t="s">
        <v>6462</v>
      </c>
      <c r="C135" s="229" t="s">
        <v>6463</v>
      </c>
      <c r="D135" s="102" t="s">
        <v>4345</v>
      </c>
      <c r="E135" s="102" t="s">
        <v>280</v>
      </c>
      <c r="F135" s="102" t="s">
        <v>281</v>
      </c>
      <c r="G135" s="102" t="s">
        <v>391</v>
      </c>
      <c r="H135" s="102" t="s">
        <v>392</v>
      </c>
      <c r="I135" s="102" t="s">
        <v>284</v>
      </c>
      <c r="J135" s="102" t="s">
        <v>63</v>
      </c>
      <c r="L135" s="229" t="s">
        <v>6464</v>
      </c>
      <c r="M135" s="229" t="s">
        <v>6464</v>
      </c>
      <c r="N135" s="102"/>
      <c r="O135" s="102"/>
      <c r="P135" s="102"/>
      <c r="R135" s="230"/>
      <c r="S135" s="230" t="str">
        <f>IF(ISNUMBER(MATCH(B135, 'Sprint 7'!B:B, 0)), "มาจาก Sprint 7", "")</f>
        <v>มาจาก Sprint 7</v>
      </c>
      <c r="T135" s="230" t="str">
        <f t="array" ref="T135">IF(ISNUMBER(MATCH(B135, 'Sprint 7'!B:B, 0)), INDEX('Sprint 7'!J:J, MATCH(B135, 'Sprint 7'!B:B, 0)), "")</f>
        <v>To Do</v>
      </c>
      <c r="V135" s="102" t="s">
        <v>5944</v>
      </c>
      <c r="W135" s="102" t="s">
        <v>5919</v>
      </c>
      <c r="X135" s="230"/>
      <c r="Y135" s="102"/>
      <c r="Z135" s="102"/>
    </row>
    <row r="136">
      <c r="A136" s="102" t="s">
        <v>276</v>
      </c>
      <c r="B136" s="102" t="s">
        <v>8603</v>
      </c>
      <c r="C136" s="229" t="s">
        <v>8604</v>
      </c>
      <c r="D136" s="102" t="s">
        <v>4345</v>
      </c>
      <c r="E136" s="102" t="s">
        <v>521</v>
      </c>
      <c r="F136" s="102" t="s">
        <v>522</v>
      </c>
      <c r="G136" s="102" t="s">
        <v>391</v>
      </c>
      <c r="H136" s="102" t="s">
        <v>392</v>
      </c>
      <c r="I136" s="102" t="s">
        <v>284</v>
      </c>
      <c r="J136" s="102" t="s">
        <v>63</v>
      </c>
      <c r="L136" s="229" t="s">
        <v>6464</v>
      </c>
      <c r="M136" s="229" t="s">
        <v>6464</v>
      </c>
      <c r="N136" s="102"/>
      <c r="O136" s="102"/>
      <c r="P136" s="102"/>
      <c r="R136" s="230"/>
      <c r="S136" s="230" t="str">
        <f>IF(ISNUMBER(MATCH(B136, 'Sprint 7'!B:B, 0)), "มาจาก Sprint 7", "")</f>
        <v/>
      </c>
      <c r="T136" s="230" t="str">
        <f t="array" ref="T136">IF(ISNUMBER(MATCH(B136, 'Sprint 7'!B:B, 0)), INDEX('Sprint 7'!J:J, MATCH(B136, 'Sprint 7'!B:B, 0)), "")</f>
        <v/>
      </c>
      <c r="V136" s="102" t="s">
        <v>5919</v>
      </c>
      <c r="W136" s="102"/>
      <c r="X136" s="230"/>
      <c r="Y136" s="102"/>
      <c r="Z136" s="102"/>
    </row>
    <row r="137">
      <c r="A137" s="102" t="s">
        <v>276</v>
      </c>
      <c r="B137" s="102" t="s">
        <v>8024</v>
      </c>
      <c r="C137" s="229" t="s">
        <v>8025</v>
      </c>
      <c r="D137" s="102" t="s">
        <v>8026</v>
      </c>
      <c r="E137" s="102" t="s">
        <v>521</v>
      </c>
      <c r="F137" s="102" t="s">
        <v>522</v>
      </c>
      <c r="G137" s="102" t="s">
        <v>391</v>
      </c>
      <c r="H137" s="102" t="s">
        <v>392</v>
      </c>
      <c r="I137" s="102" t="s">
        <v>284</v>
      </c>
      <c r="J137" s="102" t="s">
        <v>26</v>
      </c>
      <c r="L137" s="229" t="s">
        <v>7700</v>
      </c>
      <c r="M137" s="229" t="s">
        <v>9373</v>
      </c>
      <c r="N137" s="102"/>
      <c r="O137" s="102"/>
      <c r="P137" s="102"/>
      <c r="R137" s="230"/>
      <c r="S137" s="230" t="str">
        <f>IF(ISNUMBER(MATCH(B137, 'Sprint 7'!B:B, 0)), "มาจาก Sprint 7", "")</f>
        <v>มาจาก Sprint 7</v>
      </c>
      <c r="T137" s="230" t="str">
        <f t="array" ref="T137">IF(ISNUMBER(MATCH(B137, 'Sprint 7'!B:B, 0)), INDEX('Sprint 7'!J:J, MATCH(B137, 'Sprint 7'!B:B, 0)), "")</f>
        <v>Done</v>
      </c>
      <c r="V137" s="102" t="s">
        <v>5944</v>
      </c>
      <c r="W137" s="102" t="s">
        <v>5919</v>
      </c>
      <c r="X137" s="230"/>
      <c r="Y137" s="102"/>
      <c r="Z137" s="102"/>
    </row>
    <row r="138">
      <c r="A138" s="102" t="s">
        <v>276</v>
      </c>
      <c r="B138" s="102" t="s">
        <v>7697</v>
      </c>
      <c r="C138" s="229" t="s">
        <v>7698</v>
      </c>
      <c r="D138" s="102" t="s">
        <v>4345</v>
      </c>
      <c r="E138" s="102" t="s">
        <v>391</v>
      </c>
      <c r="F138" s="102" t="s">
        <v>392</v>
      </c>
      <c r="G138" s="102" t="s">
        <v>391</v>
      </c>
      <c r="H138" s="102" t="s">
        <v>392</v>
      </c>
      <c r="I138" s="102" t="s">
        <v>284</v>
      </c>
      <c r="J138" s="102" t="s">
        <v>63</v>
      </c>
      <c r="L138" s="229" t="s">
        <v>7700</v>
      </c>
      <c r="M138" s="229" t="s">
        <v>7700</v>
      </c>
      <c r="O138" s="102"/>
      <c r="P138" s="102"/>
      <c r="R138" s="230"/>
      <c r="S138" s="230" t="str">
        <f>IF(ISNUMBER(MATCH(B138, 'Sprint 7'!B:B, 0)), "มาจาก Sprint 7", "")</f>
        <v>มาจาก Sprint 7</v>
      </c>
      <c r="T138" s="230" t="str">
        <f t="array" ref="T138">IF(ISNUMBER(MATCH(B138, 'Sprint 7'!B:B, 0)), INDEX('Sprint 7'!J:J, MATCH(B138, 'Sprint 7'!B:B, 0)), "")</f>
        <v>To Do</v>
      </c>
      <c r="V138" s="102" t="s">
        <v>5944</v>
      </c>
      <c r="W138" s="102" t="s">
        <v>5919</v>
      </c>
      <c r="X138" s="230"/>
      <c r="Y138" s="102"/>
      <c r="Z138" s="102"/>
    </row>
    <row r="139">
      <c r="A139" s="102" t="s">
        <v>276</v>
      </c>
      <c r="B139" s="102" t="s">
        <v>8028</v>
      </c>
      <c r="C139" s="229" t="s">
        <v>8029</v>
      </c>
      <c r="D139" s="102" t="s">
        <v>8030</v>
      </c>
      <c r="E139" s="102" t="s">
        <v>521</v>
      </c>
      <c r="F139" s="102" t="s">
        <v>522</v>
      </c>
      <c r="G139" s="102" t="s">
        <v>391</v>
      </c>
      <c r="H139" s="102" t="s">
        <v>392</v>
      </c>
      <c r="I139" s="102" t="s">
        <v>284</v>
      </c>
      <c r="J139" s="102" t="s">
        <v>26</v>
      </c>
      <c r="L139" s="229" t="s">
        <v>8031</v>
      </c>
      <c r="M139" s="229" t="s">
        <v>9374</v>
      </c>
      <c r="N139" s="102"/>
      <c r="O139" s="102"/>
      <c r="P139" s="102"/>
      <c r="R139" s="230"/>
      <c r="S139" s="230" t="str">
        <f>IF(ISNUMBER(MATCH(B139, 'Sprint 7'!B:B, 0)), "มาจาก Sprint 7", "")</f>
        <v>มาจาก Sprint 7</v>
      </c>
      <c r="T139" s="230" t="str">
        <f t="array" ref="T139">IF(ISNUMBER(MATCH(B139, 'Sprint 7'!B:B, 0)), INDEX('Sprint 7'!J:J, MATCH(B139, 'Sprint 7'!B:B, 0)), "")</f>
        <v>Done</v>
      </c>
      <c r="V139" s="102" t="s">
        <v>5944</v>
      </c>
      <c r="W139" s="102" t="s">
        <v>5919</v>
      </c>
      <c r="X139" s="230"/>
      <c r="Y139" s="102"/>
      <c r="Z139" s="102"/>
    </row>
    <row r="140">
      <c r="A140" s="102" t="s">
        <v>276</v>
      </c>
      <c r="B140" s="102" t="s">
        <v>9375</v>
      </c>
      <c r="C140" s="229" t="s">
        <v>9376</v>
      </c>
      <c r="D140" s="102" t="s">
        <v>9377</v>
      </c>
      <c r="E140" s="102" t="s">
        <v>521</v>
      </c>
      <c r="F140" s="102" t="s">
        <v>522</v>
      </c>
      <c r="G140" s="102" t="s">
        <v>391</v>
      </c>
      <c r="H140" s="102" t="s">
        <v>392</v>
      </c>
      <c r="I140" s="102" t="s">
        <v>284</v>
      </c>
      <c r="J140" s="102" t="s">
        <v>34</v>
      </c>
      <c r="L140" s="229" t="s">
        <v>9027</v>
      </c>
      <c r="M140" s="229" t="s">
        <v>9182</v>
      </c>
      <c r="N140" s="102"/>
      <c r="O140" s="102"/>
      <c r="P140" s="102"/>
      <c r="R140" s="230"/>
      <c r="S140" s="230" t="str">
        <f>IF(ISNUMBER(MATCH(B140, 'Sprint 7'!B:B, 0)), "มาจาก Sprint 7", "")</f>
        <v>มาจาก Sprint 7</v>
      </c>
      <c r="T140" s="230" t="str">
        <f t="array" ref="T140">IF(ISNUMBER(MATCH(B140, 'Sprint 7'!B:B, 0)), INDEX('Sprint 7'!J:J, MATCH(B140, 'Sprint 7'!B:B, 0)), "")</f>
        <v>To Do</v>
      </c>
      <c r="V140" s="102" t="s">
        <v>8754</v>
      </c>
      <c r="W140" s="102" t="s">
        <v>8755</v>
      </c>
      <c r="X140" s="230"/>
      <c r="Y140" s="102"/>
      <c r="Z140" s="102"/>
    </row>
    <row r="141">
      <c r="A141" s="102" t="s">
        <v>276</v>
      </c>
      <c r="B141" s="102" t="s">
        <v>9024</v>
      </c>
      <c r="C141" s="229" t="s">
        <v>9025</v>
      </c>
      <c r="D141" s="102" t="s">
        <v>4345</v>
      </c>
      <c r="E141" s="102"/>
      <c r="F141" s="102"/>
      <c r="G141" s="102" t="s">
        <v>391</v>
      </c>
      <c r="H141" s="102" t="s">
        <v>392</v>
      </c>
      <c r="I141" s="102" t="s">
        <v>284</v>
      </c>
      <c r="J141" s="102" t="s">
        <v>63</v>
      </c>
      <c r="L141" s="229" t="s">
        <v>9027</v>
      </c>
      <c r="M141" s="229" t="s">
        <v>9027</v>
      </c>
      <c r="O141" s="102"/>
      <c r="P141" s="102"/>
      <c r="R141" s="230"/>
      <c r="S141" s="230" t="str">
        <f>IF(ISNUMBER(MATCH(B141, 'Sprint 7'!B:B, 0)), "มาจาก Sprint 7", "")</f>
        <v>มาจาก Sprint 7</v>
      </c>
      <c r="T141" s="230" t="str">
        <f t="array" ref="T141">IF(ISNUMBER(MATCH(B141, 'Sprint 7'!B:B, 0)), INDEX('Sprint 7'!J:J, MATCH(B141, 'Sprint 7'!B:B, 0)), "")</f>
        <v>To Do</v>
      </c>
      <c r="V141" s="102" t="s">
        <v>8754</v>
      </c>
      <c r="W141" s="102" t="s">
        <v>8755</v>
      </c>
      <c r="X141" s="230"/>
      <c r="Y141" s="102"/>
      <c r="Z141" s="102"/>
      <c r="AA141" s="102"/>
    </row>
    <row r="142">
      <c r="A142" s="102" t="s">
        <v>276</v>
      </c>
      <c r="B142" s="102" t="s">
        <v>9028</v>
      </c>
      <c r="C142" s="229" t="s">
        <v>9029</v>
      </c>
      <c r="D142" s="102" t="s">
        <v>4345</v>
      </c>
      <c r="E142" s="102"/>
      <c r="F142" s="102"/>
      <c r="G142" s="102" t="s">
        <v>391</v>
      </c>
      <c r="H142" s="102" t="s">
        <v>392</v>
      </c>
      <c r="I142" s="102" t="s">
        <v>284</v>
      </c>
      <c r="J142" s="102" t="s">
        <v>63</v>
      </c>
      <c r="L142" s="229" t="s">
        <v>9027</v>
      </c>
      <c r="M142" s="229" t="s">
        <v>9027</v>
      </c>
      <c r="N142" s="102"/>
      <c r="O142" s="102"/>
      <c r="P142" s="102"/>
      <c r="R142" s="102"/>
      <c r="S142" s="230" t="str">
        <f>IF(ISNUMBER(MATCH(B142, 'Sprint 7'!B:B, 0)), "มาจาก Sprint 7", "")</f>
        <v>มาจาก Sprint 7</v>
      </c>
      <c r="T142" s="230" t="str">
        <f t="array" ref="T142">IF(ISNUMBER(MATCH(B142, 'Sprint 7'!B:B, 0)), INDEX('Sprint 7'!J:J, MATCH(B142, 'Sprint 7'!B:B, 0)), "")</f>
        <v>To Do</v>
      </c>
      <c r="V142" s="102" t="s">
        <v>8754</v>
      </c>
      <c r="W142" s="102" t="s">
        <v>8755</v>
      </c>
      <c r="X142" s="230"/>
      <c r="Y142" s="102"/>
      <c r="Z142" s="102"/>
    </row>
    <row r="143">
      <c r="A143" s="102" t="s">
        <v>310</v>
      </c>
      <c r="B143" s="102" t="s">
        <v>8605</v>
      </c>
      <c r="C143" s="229" t="s">
        <v>8606</v>
      </c>
      <c r="D143" s="102" t="s">
        <v>8607</v>
      </c>
      <c r="E143" s="102" t="s">
        <v>513</v>
      </c>
      <c r="F143" s="102" t="s">
        <v>514</v>
      </c>
      <c r="G143" s="102" t="s">
        <v>353</v>
      </c>
      <c r="H143" s="102" t="s">
        <v>354</v>
      </c>
      <c r="I143" s="102" t="s">
        <v>284</v>
      </c>
      <c r="J143" s="102" t="s">
        <v>454</v>
      </c>
      <c r="L143" s="229" t="s">
        <v>8608</v>
      </c>
      <c r="M143" s="229" t="s">
        <v>9378</v>
      </c>
      <c r="N143" s="229" t="s">
        <v>6481</v>
      </c>
      <c r="O143" s="102">
        <v>5.0</v>
      </c>
      <c r="P143" s="102"/>
      <c r="R143" s="102">
        <v>0.0</v>
      </c>
      <c r="S143" s="230" t="str">
        <f>IF(ISNUMBER(MATCH(B143, 'Sprint 7'!B:B, 0)), "มาจาก Sprint 7", "")</f>
        <v>มาจาก Sprint 7</v>
      </c>
      <c r="T143" s="230" t="str">
        <f t="array" ref="T143">IF(ISNUMBER(MATCH(B143, 'Sprint 7'!B:B, 0)), INDEX('Sprint 7'!J:J, MATCH(B143, 'Sprint 7'!B:B, 0)), "")</f>
        <v>Ready to Staging</v>
      </c>
      <c r="U143" s="102">
        <v>57600.0</v>
      </c>
      <c r="V143" s="102" t="s">
        <v>5944</v>
      </c>
      <c r="W143" s="102" t="s">
        <v>5919</v>
      </c>
      <c r="X143" s="230"/>
      <c r="Y143" s="102"/>
      <c r="Z143" s="102"/>
      <c r="AA143" s="102"/>
    </row>
    <row r="144">
      <c r="A144" s="102" t="s">
        <v>310</v>
      </c>
      <c r="B144" s="102" t="s">
        <v>9379</v>
      </c>
      <c r="C144" s="229" t="s">
        <v>9380</v>
      </c>
      <c r="D144" s="102" t="s">
        <v>9381</v>
      </c>
      <c r="E144" s="102" t="s">
        <v>353</v>
      </c>
      <c r="F144" s="102" t="s">
        <v>354</v>
      </c>
      <c r="G144" s="102" t="s">
        <v>353</v>
      </c>
      <c r="H144" s="102" t="s">
        <v>354</v>
      </c>
      <c r="I144" s="102" t="s">
        <v>284</v>
      </c>
      <c r="J144" s="102" t="s">
        <v>63</v>
      </c>
      <c r="L144" s="229" t="s">
        <v>9382</v>
      </c>
      <c r="M144" s="229" t="s">
        <v>9383</v>
      </c>
      <c r="N144" s="102"/>
      <c r="O144" s="102">
        <v>1.0</v>
      </c>
      <c r="P144" s="102"/>
      <c r="R144" s="230"/>
      <c r="S144" s="230" t="str">
        <f>IF(ISNUMBER(MATCH(B144, 'Sprint 7'!B:B, 0)), "มาจาก Sprint 7", "")</f>
        <v>มาจาก Sprint 7</v>
      </c>
      <c r="T144" s="230" t="str">
        <f t="array" ref="T144">IF(ISNUMBER(MATCH(B144, 'Sprint 7'!B:B, 0)), INDEX('Sprint 7'!J:J, MATCH(B144, 'Sprint 7'!B:B, 0)), "")</f>
        <v>To Do</v>
      </c>
      <c r="V144" s="102" t="s">
        <v>8981</v>
      </c>
      <c r="W144" s="230"/>
      <c r="X144" s="230"/>
      <c r="Y144" s="230"/>
      <c r="Z144" s="102"/>
      <c r="AA144" s="102"/>
    </row>
    <row r="145">
      <c r="A145" s="102" t="s">
        <v>310</v>
      </c>
      <c r="B145" s="102" t="s">
        <v>7702</v>
      </c>
      <c r="C145" s="229" t="s">
        <v>7703</v>
      </c>
      <c r="D145" s="102" t="s">
        <v>7704</v>
      </c>
      <c r="E145" s="102" t="s">
        <v>584</v>
      </c>
      <c r="F145" s="102" t="s">
        <v>585</v>
      </c>
      <c r="G145" s="102" t="s">
        <v>282</v>
      </c>
      <c r="H145" s="102" t="s">
        <v>283</v>
      </c>
      <c r="I145" s="102" t="s">
        <v>284</v>
      </c>
      <c r="J145" s="102" t="s">
        <v>454</v>
      </c>
      <c r="L145" s="229" t="s">
        <v>7705</v>
      </c>
      <c r="M145" s="229" t="s">
        <v>9384</v>
      </c>
      <c r="N145" s="229" t="s">
        <v>6456</v>
      </c>
      <c r="O145" s="102">
        <v>3.0</v>
      </c>
      <c r="P145" s="102" t="s">
        <v>5912</v>
      </c>
      <c r="Q145" s="102"/>
      <c r="R145" s="102">
        <v>21600.0</v>
      </c>
      <c r="S145" s="230" t="str">
        <f>IF(ISNUMBER(MATCH(B145, 'Sprint 7'!B:B, 0)), "มาจาก Sprint 7", "")</f>
        <v/>
      </c>
      <c r="T145" s="230" t="str">
        <f t="array" ref="T145">IF(ISNUMBER(MATCH(B145, 'Sprint 7'!B:B, 0)), INDEX('Sprint 7'!J:J, MATCH(B145, 'Sprint 7'!B:B, 0)), "")</f>
        <v/>
      </c>
      <c r="V145" s="102" t="s">
        <v>5919</v>
      </c>
      <c r="W145" s="102"/>
      <c r="X145" s="230"/>
      <c r="Y145" s="230"/>
      <c r="Z145" s="102"/>
      <c r="AA145" s="102"/>
      <c r="AB145" s="102"/>
    </row>
    <row r="146">
      <c r="A146" s="102" t="s">
        <v>310</v>
      </c>
      <c r="B146" s="102" t="s">
        <v>6466</v>
      </c>
      <c r="C146" s="229" t="s">
        <v>6467</v>
      </c>
      <c r="D146" s="102" t="s">
        <v>6468</v>
      </c>
      <c r="E146" s="102" t="s">
        <v>304</v>
      </c>
      <c r="F146" s="102" t="s">
        <v>305</v>
      </c>
      <c r="G146" s="102" t="s">
        <v>353</v>
      </c>
      <c r="H146" s="102" t="s">
        <v>354</v>
      </c>
      <c r="I146" s="102" t="s">
        <v>284</v>
      </c>
      <c r="J146" s="102" t="s">
        <v>454</v>
      </c>
      <c r="L146" s="229" t="s">
        <v>6469</v>
      </c>
      <c r="M146" s="229" t="s">
        <v>9385</v>
      </c>
      <c r="N146" s="229" t="s">
        <v>6471</v>
      </c>
      <c r="O146" s="102">
        <v>3.0</v>
      </c>
      <c r="P146" s="102" t="s">
        <v>3197</v>
      </c>
      <c r="Q146" s="102" t="s">
        <v>593</v>
      </c>
      <c r="R146" s="102">
        <v>0.0</v>
      </c>
      <c r="S146" s="230" t="str">
        <f>IF(ISNUMBER(MATCH(B146, 'Sprint 7'!B:B, 0)), "มาจาก Sprint 7", "")</f>
        <v>มาจาก Sprint 7</v>
      </c>
      <c r="T146" s="230" t="str">
        <f t="array" ref="T146">IF(ISNUMBER(MATCH(B146, 'Sprint 7'!B:B, 0)), INDEX('Sprint 7'!J:J, MATCH(B146, 'Sprint 7'!B:B, 0)), "")</f>
        <v>Ready to Staging</v>
      </c>
      <c r="U146" s="102">
        <v>18000.0</v>
      </c>
      <c r="V146" s="102" t="s">
        <v>5944</v>
      </c>
      <c r="W146" s="102" t="s">
        <v>5919</v>
      </c>
      <c r="X146" s="230"/>
      <c r="Y146" s="230"/>
      <c r="Z146" s="102"/>
      <c r="AA146" s="102"/>
    </row>
    <row r="147">
      <c r="A147" s="102" t="s">
        <v>310</v>
      </c>
      <c r="B147" s="102" t="s">
        <v>7706</v>
      </c>
      <c r="C147" s="229" t="s">
        <v>7707</v>
      </c>
      <c r="D147" s="102" t="s">
        <v>8610</v>
      </c>
      <c r="E147" s="102" t="s">
        <v>353</v>
      </c>
      <c r="F147" s="102" t="s">
        <v>354</v>
      </c>
      <c r="G147" s="102" t="s">
        <v>353</v>
      </c>
      <c r="H147" s="102" t="s">
        <v>354</v>
      </c>
      <c r="I147" s="102" t="s">
        <v>515</v>
      </c>
      <c r="J147" s="102" t="s">
        <v>34</v>
      </c>
      <c r="L147" s="229" t="s">
        <v>7709</v>
      </c>
      <c r="M147" s="229" t="s">
        <v>9216</v>
      </c>
      <c r="O147" s="102">
        <v>5.0</v>
      </c>
      <c r="R147" s="102">
        <v>57600.0</v>
      </c>
      <c r="S147" s="230" t="str">
        <f>IF(ISNUMBER(MATCH(B147, 'Sprint 7'!B:B, 0)), "มาจาก Sprint 7", "")</f>
        <v/>
      </c>
      <c r="T147" s="230" t="str">
        <f t="array" ref="T147">IF(ISNUMBER(MATCH(B147, 'Sprint 7'!B:B, 0)), INDEX('Sprint 7'!J:J, MATCH(B147, 'Sprint 7'!B:B, 0)), "")</f>
        <v/>
      </c>
      <c r="V147" s="102" t="s">
        <v>5919</v>
      </c>
      <c r="W147" s="102"/>
      <c r="X147" s="102"/>
      <c r="Y147" s="102"/>
      <c r="Z147" s="102"/>
      <c r="AA147" s="102"/>
    </row>
    <row r="148">
      <c r="A148" s="102" t="s">
        <v>276</v>
      </c>
      <c r="B148" s="102" t="s">
        <v>9386</v>
      </c>
      <c r="C148" s="229" t="s">
        <v>9387</v>
      </c>
      <c r="D148" s="102" t="s">
        <v>9388</v>
      </c>
      <c r="E148" s="102" t="s">
        <v>391</v>
      </c>
      <c r="F148" s="102" t="s">
        <v>392</v>
      </c>
      <c r="G148" s="102" t="s">
        <v>391</v>
      </c>
      <c r="H148" s="102" t="s">
        <v>392</v>
      </c>
      <c r="I148" s="102" t="s">
        <v>284</v>
      </c>
      <c r="J148" s="102" t="s">
        <v>26</v>
      </c>
      <c r="L148" s="229" t="s">
        <v>9389</v>
      </c>
      <c r="M148" s="229" t="s">
        <v>9390</v>
      </c>
      <c r="O148" s="230"/>
      <c r="R148" s="230"/>
      <c r="S148" s="230" t="str">
        <f>IF(ISNUMBER(MATCH(B148, 'Sprint 7'!B:B, 0)), "มาจาก Sprint 7", "")</f>
        <v>มาจาก Sprint 7</v>
      </c>
      <c r="T148" s="230" t="str">
        <f t="array" ref="T148">IF(ISNUMBER(MATCH(B148, 'Sprint 7'!B:B, 0)), INDEX('Sprint 7'!J:J, MATCH(B148, 'Sprint 7'!B:B, 0)), "")</f>
        <v>In Progress</v>
      </c>
      <c r="V148" s="102" t="s">
        <v>7695</v>
      </c>
      <c r="W148" s="102" t="s">
        <v>7696</v>
      </c>
      <c r="X148" s="102" t="s">
        <v>5944</v>
      </c>
      <c r="Y148" s="102" t="s">
        <v>5919</v>
      </c>
      <c r="Z148" s="102"/>
      <c r="AA148" s="102"/>
      <c r="AB148" s="102"/>
    </row>
    <row r="149">
      <c r="A149" s="102" t="s">
        <v>276</v>
      </c>
      <c r="B149" s="102" t="s">
        <v>9391</v>
      </c>
      <c r="C149" s="229" t="s">
        <v>9392</v>
      </c>
      <c r="D149" s="102" t="s">
        <v>9393</v>
      </c>
      <c r="E149" s="102" t="s">
        <v>391</v>
      </c>
      <c r="F149" s="102" t="s">
        <v>392</v>
      </c>
      <c r="G149" s="102" t="s">
        <v>391</v>
      </c>
      <c r="H149" s="102" t="s">
        <v>392</v>
      </c>
      <c r="I149" s="102" t="s">
        <v>284</v>
      </c>
      <c r="J149" s="102" t="s">
        <v>26</v>
      </c>
      <c r="L149" s="229" t="s">
        <v>9394</v>
      </c>
      <c r="M149" s="229" t="s">
        <v>9390</v>
      </c>
      <c r="O149" s="230"/>
      <c r="R149" s="230"/>
      <c r="S149" s="230" t="str">
        <f>IF(ISNUMBER(MATCH(B149, 'Sprint 7'!B:B, 0)), "มาจาก Sprint 7", "")</f>
        <v>มาจาก Sprint 7</v>
      </c>
      <c r="T149" s="230" t="str">
        <f t="array" ref="T149">IF(ISNUMBER(MATCH(B149, 'Sprint 7'!B:B, 0)), INDEX('Sprint 7'!J:J, MATCH(B149, 'Sprint 7'!B:B, 0)), "")</f>
        <v>In Progress</v>
      </c>
      <c r="V149" s="102" t="s">
        <v>7695</v>
      </c>
      <c r="W149" s="102" t="s">
        <v>7696</v>
      </c>
      <c r="X149" s="102" t="s">
        <v>5944</v>
      </c>
      <c r="Y149" s="102" t="s">
        <v>5919</v>
      </c>
      <c r="Z149" s="102"/>
      <c r="AA149" s="102"/>
      <c r="AB149" s="102"/>
    </row>
    <row r="150">
      <c r="A150" s="102" t="s">
        <v>276</v>
      </c>
      <c r="B150" s="102" t="s">
        <v>9395</v>
      </c>
      <c r="C150" s="229" t="s">
        <v>9396</v>
      </c>
      <c r="D150" s="102" t="s">
        <v>9397</v>
      </c>
      <c r="E150" s="102" t="s">
        <v>391</v>
      </c>
      <c r="F150" s="102" t="s">
        <v>392</v>
      </c>
      <c r="G150" s="102" t="s">
        <v>391</v>
      </c>
      <c r="H150" s="102" t="s">
        <v>392</v>
      </c>
      <c r="I150" s="102" t="s">
        <v>284</v>
      </c>
      <c r="J150" s="102" t="s">
        <v>34</v>
      </c>
      <c r="L150" s="229" t="s">
        <v>9398</v>
      </c>
      <c r="M150" s="229" t="s">
        <v>9399</v>
      </c>
      <c r="O150" s="230"/>
      <c r="R150" s="230"/>
      <c r="S150" s="230" t="str">
        <f>IF(ISNUMBER(MATCH(B150, 'Sprint 7'!B:B, 0)), "มาจาก Sprint 7", "")</f>
        <v>มาจาก Sprint 7</v>
      </c>
      <c r="T150" s="230" t="str">
        <f t="array" ref="T150">IF(ISNUMBER(MATCH(B150, 'Sprint 7'!B:B, 0)), INDEX('Sprint 7'!J:J, MATCH(B150, 'Sprint 7'!B:B, 0)), "")</f>
        <v>In Progress</v>
      </c>
      <c r="V150" s="102" t="s">
        <v>7695</v>
      </c>
      <c r="W150" s="102" t="s">
        <v>7696</v>
      </c>
      <c r="X150" s="102" t="s">
        <v>5944</v>
      </c>
      <c r="Y150" s="102" t="s">
        <v>5919</v>
      </c>
      <c r="Z150" s="102"/>
      <c r="AA150" s="102"/>
      <c r="AB150" s="102"/>
    </row>
    <row r="151">
      <c r="A151" s="102" t="s">
        <v>276</v>
      </c>
      <c r="B151" s="102" t="s">
        <v>9400</v>
      </c>
      <c r="C151" s="229" t="s">
        <v>9401</v>
      </c>
      <c r="D151" s="102" t="s">
        <v>9402</v>
      </c>
      <c r="E151" s="102" t="s">
        <v>391</v>
      </c>
      <c r="F151" s="102" t="s">
        <v>392</v>
      </c>
      <c r="G151" s="102" t="s">
        <v>391</v>
      </c>
      <c r="H151" s="102" t="s">
        <v>392</v>
      </c>
      <c r="I151" s="102" t="s">
        <v>284</v>
      </c>
      <c r="J151" s="102" t="s">
        <v>34</v>
      </c>
      <c r="L151" s="229" t="s">
        <v>9403</v>
      </c>
      <c r="M151" s="229" t="s">
        <v>9399</v>
      </c>
      <c r="O151" s="102"/>
      <c r="P151" s="102"/>
      <c r="R151" s="230"/>
      <c r="S151" s="230" t="str">
        <f>IF(ISNUMBER(MATCH(B151, 'Sprint 7'!B:B, 0)), "มาจาก Sprint 7", "")</f>
        <v>มาจาก Sprint 7</v>
      </c>
      <c r="T151" s="230" t="str">
        <f t="array" ref="T151">IF(ISNUMBER(MATCH(B151, 'Sprint 7'!B:B, 0)), INDEX('Sprint 7'!J:J, MATCH(B151, 'Sprint 7'!B:B, 0)), "")</f>
        <v>In Progress</v>
      </c>
      <c r="V151" s="102" t="s">
        <v>7695</v>
      </c>
      <c r="W151" s="102" t="s">
        <v>7696</v>
      </c>
      <c r="X151" s="102" t="s">
        <v>5944</v>
      </c>
      <c r="Y151" s="102" t="s">
        <v>5919</v>
      </c>
      <c r="Z151" s="102"/>
      <c r="AA151" s="102"/>
      <c r="AB151" s="102"/>
    </row>
    <row r="152">
      <c r="A152" s="102" t="s">
        <v>310</v>
      </c>
      <c r="B152" s="102" t="s">
        <v>9404</v>
      </c>
      <c r="C152" s="229" t="s">
        <v>9405</v>
      </c>
      <c r="D152" s="102" t="s">
        <v>9406</v>
      </c>
      <c r="E152" s="102" t="s">
        <v>314</v>
      </c>
      <c r="F152" s="102" t="s">
        <v>315</v>
      </c>
      <c r="G152" s="102" t="s">
        <v>314</v>
      </c>
      <c r="H152" s="102" t="s">
        <v>315</v>
      </c>
      <c r="I152" s="102" t="s">
        <v>284</v>
      </c>
      <c r="J152" s="102" t="s">
        <v>26</v>
      </c>
      <c r="L152" s="229" t="s">
        <v>9407</v>
      </c>
      <c r="M152" s="229" t="s">
        <v>9408</v>
      </c>
      <c r="N152" s="102"/>
      <c r="O152" s="102">
        <v>3.0</v>
      </c>
      <c r="P152" s="102" t="s">
        <v>593</v>
      </c>
      <c r="Q152" s="102"/>
      <c r="R152" s="102">
        <v>14400.0</v>
      </c>
      <c r="S152" s="230" t="str">
        <f>IF(ISNUMBER(MATCH(B152, 'Sprint 7'!B:B, 0)), "มาจาก Sprint 7", "")</f>
        <v>มาจาก Sprint 7</v>
      </c>
      <c r="T152" s="230" t="str">
        <f t="array" ref="T152">IF(ISNUMBER(MATCH(B152, 'Sprint 7'!B:B, 0)), INDEX('Sprint 7'!J:J, MATCH(B152, 'Sprint 7'!B:B, 0)), "")</f>
        <v>In Progress</v>
      </c>
      <c r="U152" s="231" t="s">
        <v>3539</v>
      </c>
      <c r="V152" s="102" t="s">
        <v>9409</v>
      </c>
      <c r="W152" s="102" t="s">
        <v>1362</v>
      </c>
      <c r="X152" s="230"/>
      <c r="Y152" s="230"/>
      <c r="Z152" s="102"/>
      <c r="AA152" s="102"/>
      <c r="AB152" s="102"/>
    </row>
    <row r="153">
      <c r="A153" s="102" t="s">
        <v>310</v>
      </c>
      <c r="B153" s="102" t="s">
        <v>8612</v>
      </c>
      <c r="C153" s="229" t="s">
        <v>8613</v>
      </c>
      <c r="D153" s="102" t="s">
        <v>8614</v>
      </c>
      <c r="E153" s="102" t="s">
        <v>304</v>
      </c>
      <c r="F153" s="102" t="s">
        <v>305</v>
      </c>
      <c r="G153" s="102" t="s">
        <v>314</v>
      </c>
      <c r="H153" s="102" t="s">
        <v>315</v>
      </c>
      <c r="I153" s="102" t="s">
        <v>284</v>
      </c>
      <c r="J153" s="102" t="s">
        <v>678</v>
      </c>
      <c r="L153" s="229" t="s">
        <v>8615</v>
      </c>
      <c r="M153" s="229" t="s">
        <v>8966</v>
      </c>
      <c r="N153" s="229" t="s">
        <v>8602</v>
      </c>
      <c r="O153" s="102">
        <v>5.0</v>
      </c>
      <c r="P153" s="102" t="s">
        <v>1305</v>
      </c>
      <c r="Q153" s="102" t="s">
        <v>593</v>
      </c>
      <c r="R153" s="102">
        <v>57600.0</v>
      </c>
      <c r="S153" s="230" t="str">
        <f>IF(ISNUMBER(MATCH(B153, 'Sprint 7'!B:B, 0)), "มาจาก Sprint 7", "")</f>
        <v/>
      </c>
      <c r="T153" s="230" t="str">
        <f t="array" ref="T153">IF(ISNUMBER(MATCH(B153, 'Sprint 7'!B:B, 0)), INDEX('Sprint 7'!J:J, MATCH(B153, 'Sprint 7'!B:B, 0)), "")</f>
        <v/>
      </c>
      <c r="U153" s="102" t="s">
        <v>9097</v>
      </c>
      <c r="V153" s="102" t="s">
        <v>1362</v>
      </c>
      <c r="W153" s="102" t="s">
        <v>1363</v>
      </c>
      <c r="X153" s="230"/>
      <c r="Y153" s="230"/>
      <c r="Z153" s="102"/>
      <c r="AA153" s="102"/>
      <c r="AB153" s="102"/>
    </row>
    <row r="154">
      <c r="A154" s="102" t="s">
        <v>310</v>
      </c>
      <c r="B154" s="102" t="s">
        <v>9410</v>
      </c>
      <c r="C154" s="229" t="s">
        <v>9411</v>
      </c>
      <c r="D154" s="102" t="s">
        <v>9412</v>
      </c>
      <c r="E154" s="102" t="s">
        <v>314</v>
      </c>
      <c r="F154" s="102" t="s">
        <v>315</v>
      </c>
      <c r="G154" s="102" t="s">
        <v>314</v>
      </c>
      <c r="H154" s="102" t="s">
        <v>315</v>
      </c>
      <c r="I154" s="102" t="s">
        <v>284</v>
      </c>
      <c r="J154" s="102" t="s">
        <v>26</v>
      </c>
      <c r="L154" s="229" t="s">
        <v>9413</v>
      </c>
      <c r="M154" s="229" t="s">
        <v>9408</v>
      </c>
      <c r="O154" s="102">
        <v>5.0</v>
      </c>
      <c r="P154" s="102" t="s">
        <v>593</v>
      </c>
      <c r="R154" s="102">
        <v>14400.0</v>
      </c>
      <c r="S154" s="230" t="str">
        <f>IF(ISNUMBER(MATCH(B154, 'Sprint 7'!B:B, 0)), "มาจาก Sprint 7", "")</f>
        <v>มาจาก Sprint 7</v>
      </c>
      <c r="T154" s="230" t="str">
        <f t="array" ref="T154">IF(ISNUMBER(MATCH(B154, 'Sprint 7'!B:B, 0)), INDEX('Sprint 7'!J:J, MATCH(B154, 'Sprint 7'!B:B, 0)), "")</f>
        <v>In Progress</v>
      </c>
      <c r="U154" s="231" t="s">
        <v>3539</v>
      </c>
      <c r="V154" s="102" t="s">
        <v>9409</v>
      </c>
      <c r="W154" s="102" t="s">
        <v>1362</v>
      </c>
      <c r="X154" s="230"/>
      <c r="Y154" s="230"/>
      <c r="Z154" s="102"/>
      <c r="AA154" s="102"/>
      <c r="AB154" s="102"/>
    </row>
    <row r="155">
      <c r="A155" s="102" t="s">
        <v>310</v>
      </c>
      <c r="B155" s="102" t="s">
        <v>9414</v>
      </c>
      <c r="C155" s="229" t="s">
        <v>9415</v>
      </c>
      <c r="D155" s="102" t="s">
        <v>9416</v>
      </c>
      <c r="E155" s="102" t="s">
        <v>495</v>
      </c>
      <c r="F155" s="102" t="s">
        <v>496</v>
      </c>
      <c r="G155" s="102" t="s">
        <v>304</v>
      </c>
      <c r="H155" s="102" t="s">
        <v>305</v>
      </c>
      <c r="I155" s="102" t="s">
        <v>284</v>
      </c>
      <c r="J155" s="102" t="s">
        <v>26</v>
      </c>
      <c r="L155" s="229" t="s">
        <v>9417</v>
      </c>
      <c r="M155" s="229" t="s">
        <v>9182</v>
      </c>
      <c r="N155" s="102"/>
      <c r="O155" s="102">
        <v>5.0</v>
      </c>
      <c r="P155" s="102" t="s">
        <v>538</v>
      </c>
      <c r="R155" s="102">
        <v>57600.0</v>
      </c>
      <c r="S155" s="230" t="str">
        <f>IF(ISNUMBER(MATCH(B155, 'Sprint 7'!B:B, 0)), "มาจาก Sprint 7", "")</f>
        <v>มาจาก Sprint 7</v>
      </c>
      <c r="T155" s="230" t="str">
        <f t="array" ref="T155">IF(ISNUMBER(MATCH(B155, 'Sprint 7'!B:B, 0)), INDEX('Sprint 7'!J:J, MATCH(B155, 'Sprint 7'!B:B, 0)), "")</f>
        <v>To Do</v>
      </c>
      <c r="V155" s="102" t="s">
        <v>8754</v>
      </c>
      <c r="W155" s="102" t="s">
        <v>8755</v>
      </c>
      <c r="X155" s="230"/>
      <c r="Y155" s="230"/>
      <c r="Z155" s="102"/>
      <c r="AA155" s="102"/>
      <c r="AB155" s="102"/>
    </row>
    <row r="156">
      <c r="A156" s="102" t="s">
        <v>332</v>
      </c>
      <c r="B156" s="102" t="s">
        <v>9038</v>
      </c>
      <c r="C156" s="229" t="s">
        <v>9039</v>
      </c>
      <c r="D156" s="102" t="s">
        <v>9040</v>
      </c>
      <c r="E156" s="102" t="s">
        <v>304</v>
      </c>
      <c r="F156" s="102" t="s">
        <v>305</v>
      </c>
      <c r="G156" s="102" t="s">
        <v>304</v>
      </c>
      <c r="H156" s="102" t="s">
        <v>305</v>
      </c>
      <c r="I156" s="102" t="s">
        <v>284</v>
      </c>
      <c r="J156" s="102" t="s">
        <v>922</v>
      </c>
      <c r="L156" s="229" t="s">
        <v>9041</v>
      </c>
      <c r="M156" s="229" t="s">
        <v>9418</v>
      </c>
      <c r="N156" s="229" t="s">
        <v>8047</v>
      </c>
      <c r="O156" s="102">
        <v>1.0</v>
      </c>
      <c r="P156" s="102" t="s">
        <v>1808</v>
      </c>
      <c r="R156" s="102"/>
      <c r="S156" s="230" t="str">
        <f>IF(ISNUMBER(MATCH(B156, 'Sprint 7'!B:B, 0)), "มาจาก Sprint 7", "")</f>
        <v>มาจาก Sprint 7</v>
      </c>
      <c r="T156" s="230" t="str">
        <f t="array" ref="T156">IF(ISNUMBER(MATCH(B156, 'Sprint 7'!B:B, 0)), INDEX('Sprint 7'!J:J, MATCH(B156, 'Sprint 7'!B:B, 0)), "")</f>
        <v>Resolved</v>
      </c>
      <c r="V156" s="102" t="s">
        <v>8754</v>
      </c>
      <c r="W156" s="102" t="s">
        <v>8755</v>
      </c>
      <c r="X156" s="230"/>
      <c r="Y156" s="230"/>
      <c r="Z156" s="102"/>
      <c r="AA156" s="102"/>
      <c r="AB156" s="102"/>
    </row>
    <row r="157">
      <c r="A157" s="102" t="s">
        <v>310</v>
      </c>
      <c r="B157" s="102" t="s">
        <v>9043</v>
      </c>
      <c r="C157" s="229" t="s">
        <v>9044</v>
      </c>
      <c r="D157" s="102" t="s">
        <v>9045</v>
      </c>
      <c r="E157" s="102" t="s">
        <v>304</v>
      </c>
      <c r="F157" s="102" t="s">
        <v>305</v>
      </c>
      <c r="G157" s="102" t="s">
        <v>304</v>
      </c>
      <c r="H157" s="102" t="s">
        <v>305</v>
      </c>
      <c r="I157" s="102" t="s">
        <v>284</v>
      </c>
      <c r="J157" s="102" t="s">
        <v>678</v>
      </c>
      <c r="L157" s="229" t="s">
        <v>9046</v>
      </c>
      <c r="M157" s="229" t="s">
        <v>9418</v>
      </c>
      <c r="N157" s="229" t="s">
        <v>8047</v>
      </c>
      <c r="O157" s="102">
        <v>1.0</v>
      </c>
      <c r="P157" s="102" t="s">
        <v>1808</v>
      </c>
      <c r="R157" s="102">
        <v>0.0</v>
      </c>
      <c r="S157" s="230" t="str">
        <f>IF(ISNUMBER(MATCH(B157, 'Sprint 7'!B:B, 0)), "มาจาก Sprint 7", "")</f>
        <v>มาจาก Sprint 7</v>
      </c>
      <c r="T157" s="230" t="str">
        <f t="array" ref="T157">IF(ISNUMBER(MATCH(B157, 'Sprint 7'!B:B, 0)), INDEX('Sprint 7'!J:J, MATCH(B157, 'Sprint 7'!B:B, 0)), "")</f>
        <v>Ready to Staging</v>
      </c>
      <c r="U157" s="102">
        <v>3600.0</v>
      </c>
      <c r="V157" s="102" t="s">
        <v>8754</v>
      </c>
      <c r="W157" s="102" t="s">
        <v>8755</v>
      </c>
      <c r="X157" s="230"/>
      <c r="Y157" s="230"/>
      <c r="Z157" s="102"/>
      <c r="AA157" s="102"/>
      <c r="AB157" s="102"/>
    </row>
    <row r="158">
      <c r="A158" s="102" t="s">
        <v>310</v>
      </c>
      <c r="B158" s="102" t="s">
        <v>9047</v>
      </c>
      <c r="C158" s="229" t="s">
        <v>9048</v>
      </c>
      <c r="D158" s="102" t="s">
        <v>9049</v>
      </c>
      <c r="E158" s="102" t="s">
        <v>304</v>
      </c>
      <c r="F158" s="102" t="s">
        <v>305</v>
      </c>
      <c r="G158" s="102" t="s">
        <v>304</v>
      </c>
      <c r="H158" s="102" t="s">
        <v>305</v>
      </c>
      <c r="I158" s="102" t="s">
        <v>284</v>
      </c>
      <c r="J158" s="102" t="s">
        <v>678</v>
      </c>
      <c r="L158" s="229" t="s">
        <v>9050</v>
      </c>
      <c r="M158" s="229" t="s">
        <v>9418</v>
      </c>
      <c r="N158" s="229" t="s">
        <v>8047</v>
      </c>
      <c r="O158" s="102">
        <v>2.0</v>
      </c>
      <c r="P158" s="102" t="s">
        <v>1808</v>
      </c>
      <c r="R158" s="102">
        <v>0.0</v>
      </c>
      <c r="S158" s="230" t="str">
        <f>IF(ISNUMBER(MATCH(B158, 'Sprint 7'!B:B, 0)), "มาจาก Sprint 7", "")</f>
        <v>มาจาก Sprint 7</v>
      </c>
      <c r="T158" s="230" t="str">
        <f t="array" ref="T158">IF(ISNUMBER(MATCH(B158, 'Sprint 7'!B:B, 0)), INDEX('Sprint 7'!J:J, MATCH(B158, 'Sprint 7'!B:B, 0)), "")</f>
        <v>Ready to Staging</v>
      </c>
      <c r="U158" s="102">
        <v>7200.0</v>
      </c>
      <c r="V158" s="102" t="s">
        <v>8754</v>
      </c>
      <c r="W158" s="102" t="s">
        <v>8755</v>
      </c>
      <c r="X158" s="230"/>
      <c r="Y158" s="230"/>
      <c r="Z158" s="102"/>
      <c r="AA158" s="102"/>
      <c r="AB158" s="102"/>
    </row>
    <row r="159">
      <c r="A159" s="102" t="s">
        <v>310</v>
      </c>
      <c r="B159" s="102" t="s">
        <v>9051</v>
      </c>
      <c r="C159" s="229" t="s">
        <v>9052</v>
      </c>
      <c r="D159" s="102" t="s">
        <v>9053</v>
      </c>
      <c r="E159" s="102" t="s">
        <v>513</v>
      </c>
      <c r="F159" s="102" t="s">
        <v>514</v>
      </c>
      <c r="G159" s="102" t="s">
        <v>314</v>
      </c>
      <c r="H159" s="102" t="s">
        <v>315</v>
      </c>
      <c r="I159" s="102" t="s">
        <v>284</v>
      </c>
      <c r="J159" s="102" t="s">
        <v>63</v>
      </c>
      <c r="L159" s="229" t="s">
        <v>9054</v>
      </c>
      <c r="M159" s="229" t="s">
        <v>9419</v>
      </c>
      <c r="N159" s="229" t="s">
        <v>7743</v>
      </c>
      <c r="O159" s="102">
        <v>1.0</v>
      </c>
      <c r="P159" s="102" t="s">
        <v>593</v>
      </c>
      <c r="R159" s="230"/>
      <c r="S159" s="230" t="str">
        <f>IF(ISNUMBER(MATCH(B159, 'Sprint 7'!B:B, 0)), "มาจาก Sprint 7", "")</f>
        <v>มาจาก Sprint 7</v>
      </c>
      <c r="T159" s="230" t="str">
        <f t="array" ref="T159">IF(ISNUMBER(MATCH(B159, 'Sprint 7'!B:B, 0)), INDEX('Sprint 7'!J:J, MATCH(B159, 'Sprint 7'!B:B, 0)), "")</f>
        <v>To Do</v>
      </c>
      <c r="V159" s="102" t="s">
        <v>4968</v>
      </c>
      <c r="W159" s="102" t="s">
        <v>8806</v>
      </c>
      <c r="X159" s="230"/>
      <c r="Y159" s="230"/>
      <c r="Z159" s="102"/>
      <c r="AA159" s="102"/>
      <c r="AB159" s="102"/>
    </row>
    <row r="160">
      <c r="A160" s="102" t="s">
        <v>310</v>
      </c>
      <c r="B160" s="102" t="s">
        <v>9055</v>
      </c>
      <c r="C160" s="229" t="s">
        <v>9056</v>
      </c>
      <c r="D160" s="102" t="s">
        <v>9057</v>
      </c>
      <c r="E160" s="102" t="s">
        <v>513</v>
      </c>
      <c r="F160" s="102" t="s">
        <v>514</v>
      </c>
      <c r="G160" s="102" t="s">
        <v>314</v>
      </c>
      <c r="H160" s="102" t="s">
        <v>315</v>
      </c>
      <c r="I160" s="102" t="s">
        <v>284</v>
      </c>
      <c r="J160" s="102" t="s">
        <v>63</v>
      </c>
      <c r="L160" s="229" t="s">
        <v>9058</v>
      </c>
      <c r="M160" s="229" t="s">
        <v>9420</v>
      </c>
      <c r="N160" s="229" t="s">
        <v>6990</v>
      </c>
      <c r="O160" s="102">
        <v>3.0</v>
      </c>
      <c r="P160" s="102" t="s">
        <v>593</v>
      </c>
      <c r="R160" s="230"/>
      <c r="S160" s="230" t="str">
        <f>IF(ISNUMBER(MATCH(B160, 'Sprint 7'!B:B, 0)), "มาจาก Sprint 7", "")</f>
        <v>มาจาก Sprint 7</v>
      </c>
      <c r="T160" s="230" t="str">
        <f t="array" ref="T160">IF(ISNUMBER(MATCH(B160, 'Sprint 7'!B:B, 0)), INDEX('Sprint 7'!J:J, MATCH(B160, 'Sprint 7'!B:B, 0)), "")</f>
        <v>To Do</v>
      </c>
      <c r="V160" s="102" t="s">
        <v>4968</v>
      </c>
      <c r="W160" s="102" t="s">
        <v>8806</v>
      </c>
      <c r="X160" s="230"/>
      <c r="Y160" s="230"/>
      <c r="Z160" s="102"/>
      <c r="AA160" s="102"/>
      <c r="AB160" s="102"/>
    </row>
    <row r="161">
      <c r="A161" s="102" t="s">
        <v>310</v>
      </c>
      <c r="B161" s="102" t="s">
        <v>9060</v>
      </c>
      <c r="C161" s="229" t="s">
        <v>9061</v>
      </c>
      <c r="D161" s="102" t="s">
        <v>9062</v>
      </c>
      <c r="E161" s="102" t="s">
        <v>513</v>
      </c>
      <c r="F161" s="102" t="s">
        <v>514</v>
      </c>
      <c r="G161" s="102" t="s">
        <v>314</v>
      </c>
      <c r="H161" s="102" t="s">
        <v>315</v>
      </c>
      <c r="I161" s="102" t="s">
        <v>284</v>
      </c>
      <c r="J161" s="102" t="s">
        <v>63</v>
      </c>
      <c r="L161" s="229" t="s">
        <v>9063</v>
      </c>
      <c r="M161" s="229" t="s">
        <v>9421</v>
      </c>
      <c r="N161" s="229" t="s">
        <v>8698</v>
      </c>
      <c r="O161" s="102">
        <v>1.0</v>
      </c>
      <c r="P161" s="102" t="s">
        <v>593</v>
      </c>
      <c r="R161" s="230"/>
      <c r="S161" s="230" t="str">
        <f>IF(ISNUMBER(MATCH(B161, 'Sprint 7'!B:B, 0)), "มาจาก Sprint 7", "")</f>
        <v>มาจาก Sprint 7</v>
      </c>
      <c r="T161" s="230" t="str">
        <f t="array" ref="T161">IF(ISNUMBER(MATCH(B161, 'Sprint 7'!B:B, 0)), INDEX('Sprint 7'!J:J, MATCH(B161, 'Sprint 7'!B:B, 0)), "")</f>
        <v>To Do</v>
      </c>
      <c r="V161" s="102" t="s">
        <v>4968</v>
      </c>
      <c r="W161" s="102" t="s">
        <v>8806</v>
      </c>
      <c r="X161" s="230"/>
      <c r="Y161" s="230"/>
      <c r="Z161" s="102"/>
      <c r="AA161" s="102"/>
      <c r="AB161" s="102"/>
    </row>
    <row r="162">
      <c r="A162" s="102" t="s">
        <v>310</v>
      </c>
      <c r="B162" s="102" t="s">
        <v>9422</v>
      </c>
      <c r="C162" s="229" t="s">
        <v>9423</v>
      </c>
      <c r="D162" s="102" t="s">
        <v>9424</v>
      </c>
      <c r="E162" s="102" t="s">
        <v>513</v>
      </c>
      <c r="F162" s="102" t="s">
        <v>514</v>
      </c>
      <c r="G162" s="102" t="s">
        <v>314</v>
      </c>
      <c r="H162" s="102" t="s">
        <v>315</v>
      </c>
      <c r="I162" s="102" t="s">
        <v>284</v>
      </c>
      <c r="J162" s="102" t="s">
        <v>26</v>
      </c>
      <c r="L162" s="229" t="s">
        <v>9425</v>
      </c>
      <c r="M162" s="229" t="s">
        <v>9421</v>
      </c>
      <c r="N162" s="229" t="s">
        <v>8698</v>
      </c>
      <c r="O162" s="102">
        <v>3.0</v>
      </c>
      <c r="P162" s="102" t="s">
        <v>593</v>
      </c>
      <c r="R162" s="230"/>
      <c r="S162" s="230" t="str">
        <f>IF(ISNUMBER(MATCH(B162, 'Sprint 7'!B:B, 0)), "มาจาก Sprint 7", "")</f>
        <v>มาจาก Sprint 7</v>
      </c>
      <c r="T162" s="230" t="str">
        <f t="array" ref="T162">IF(ISNUMBER(MATCH(B162, 'Sprint 7'!B:B, 0)), INDEX('Sprint 7'!J:J, MATCH(B162, 'Sprint 7'!B:B, 0)), "")</f>
        <v>To Do</v>
      </c>
      <c r="V162" s="102" t="s">
        <v>4968</v>
      </c>
      <c r="W162" s="102" t="s">
        <v>8806</v>
      </c>
      <c r="X162" s="230"/>
      <c r="Y162" s="230"/>
      <c r="Z162" s="102"/>
      <c r="AA162" s="102"/>
      <c r="AB162" s="102"/>
    </row>
    <row r="163">
      <c r="A163" s="102" t="s">
        <v>310</v>
      </c>
      <c r="B163" s="102" t="s">
        <v>8626</v>
      </c>
      <c r="C163" s="229" t="s">
        <v>8627</v>
      </c>
      <c r="D163" s="102" t="s">
        <v>8628</v>
      </c>
      <c r="E163" s="102" t="s">
        <v>584</v>
      </c>
      <c r="F163" s="102" t="s">
        <v>585</v>
      </c>
      <c r="G163" s="102" t="s">
        <v>353</v>
      </c>
      <c r="H163" s="102" t="s">
        <v>354</v>
      </c>
      <c r="I163" s="102" t="s">
        <v>284</v>
      </c>
      <c r="J163" s="102" t="s">
        <v>454</v>
      </c>
      <c r="L163" s="229" t="s">
        <v>8629</v>
      </c>
      <c r="M163" s="229" t="s">
        <v>9426</v>
      </c>
      <c r="N163" s="229" t="s">
        <v>7761</v>
      </c>
      <c r="O163" s="102">
        <v>8.0</v>
      </c>
      <c r="R163" s="102">
        <v>0.0</v>
      </c>
      <c r="S163" s="230" t="str">
        <f>IF(ISNUMBER(MATCH(B163, 'Sprint 7'!B:B, 0)), "มาจาก Sprint 7", "")</f>
        <v>มาจาก Sprint 7</v>
      </c>
      <c r="T163" s="230" t="str">
        <f t="array" ref="T163">IF(ISNUMBER(MATCH(B163, 'Sprint 7'!B:B, 0)), INDEX('Sprint 7'!J:J, MATCH(B163, 'Sprint 7'!B:B, 0)), "")</f>
        <v>Ready to Staging</v>
      </c>
      <c r="U163" s="102">
        <v>86400.0</v>
      </c>
      <c r="V163" s="102" t="s">
        <v>5944</v>
      </c>
      <c r="W163" s="102" t="s">
        <v>5919</v>
      </c>
      <c r="X163" s="230"/>
      <c r="Y163" s="230"/>
      <c r="Z163" s="102"/>
      <c r="AA163" s="102"/>
      <c r="AB163" s="102"/>
    </row>
    <row r="164">
      <c r="A164" s="102" t="s">
        <v>310</v>
      </c>
      <c r="B164" s="102" t="s">
        <v>8630</v>
      </c>
      <c r="C164" s="229" t="s">
        <v>8631</v>
      </c>
      <c r="D164" s="102" t="s">
        <v>8632</v>
      </c>
      <c r="E164" s="102" t="s">
        <v>6315</v>
      </c>
      <c r="F164" s="102" t="s">
        <v>6316</v>
      </c>
      <c r="G164" s="102" t="s">
        <v>353</v>
      </c>
      <c r="H164" s="102" t="s">
        <v>354</v>
      </c>
      <c r="I164" s="102" t="s">
        <v>284</v>
      </c>
      <c r="J164" s="102" t="s">
        <v>454</v>
      </c>
      <c r="L164" s="229" t="s">
        <v>8633</v>
      </c>
      <c r="M164" s="229" t="s">
        <v>9427</v>
      </c>
      <c r="N164" s="229" t="s">
        <v>6481</v>
      </c>
      <c r="O164" s="102">
        <v>5.0</v>
      </c>
      <c r="R164" s="102"/>
      <c r="S164" s="230" t="str">
        <f>IF(ISNUMBER(MATCH(B164, 'Sprint 7'!B:B, 0)), "มาจาก Sprint 7", "")</f>
        <v>มาจาก Sprint 7</v>
      </c>
      <c r="T164" s="230" t="str">
        <f t="array" ref="T164">IF(ISNUMBER(MATCH(B164, 'Sprint 7'!B:B, 0)), INDEX('Sprint 7'!J:J, MATCH(B164, 'Sprint 7'!B:B, 0)), "")</f>
        <v>In Review</v>
      </c>
      <c r="V164" s="102" t="s">
        <v>5944</v>
      </c>
      <c r="W164" s="102" t="s">
        <v>5919</v>
      </c>
      <c r="X164" s="230"/>
      <c r="Y164" s="102"/>
      <c r="Z164" s="102"/>
      <c r="AA164" s="102"/>
      <c r="AB164" s="102"/>
    </row>
    <row r="165">
      <c r="A165" s="102" t="s">
        <v>310</v>
      </c>
      <c r="B165" s="102" t="s">
        <v>8634</v>
      </c>
      <c r="C165" s="229" t="s">
        <v>8635</v>
      </c>
      <c r="D165" s="102" t="s">
        <v>8636</v>
      </c>
      <c r="E165" s="102" t="s">
        <v>6315</v>
      </c>
      <c r="F165" s="102" t="s">
        <v>6316</v>
      </c>
      <c r="G165" s="102" t="s">
        <v>353</v>
      </c>
      <c r="H165" s="102" t="s">
        <v>354</v>
      </c>
      <c r="I165" s="102" t="s">
        <v>284</v>
      </c>
      <c r="J165" s="102" t="s">
        <v>454</v>
      </c>
      <c r="L165" s="229" t="s">
        <v>8637</v>
      </c>
      <c r="M165" s="229" t="s">
        <v>9428</v>
      </c>
      <c r="N165" s="229" t="s">
        <v>7735</v>
      </c>
      <c r="O165" s="102">
        <v>8.0</v>
      </c>
      <c r="P165" s="102"/>
      <c r="R165" s="102">
        <v>0.0</v>
      </c>
      <c r="S165" s="230" t="str">
        <f>IF(ISNUMBER(MATCH(B165, 'Sprint 7'!B:B, 0)), "มาจาก Sprint 7", "")</f>
        <v>มาจาก Sprint 7</v>
      </c>
      <c r="T165" s="230" t="str">
        <f t="array" ref="T165">IF(ISNUMBER(MATCH(B165, 'Sprint 7'!B:B, 0)), INDEX('Sprint 7'!J:J, MATCH(B165, 'Sprint 7'!B:B, 0)), "")</f>
        <v>Ready to Staging</v>
      </c>
      <c r="V165" s="102" t="s">
        <v>5944</v>
      </c>
      <c r="W165" s="102" t="s">
        <v>5919</v>
      </c>
      <c r="X165" s="230"/>
      <c r="Y165" s="102"/>
      <c r="Z165" s="102"/>
      <c r="AA165" s="102"/>
      <c r="AB165" s="102"/>
    </row>
    <row r="166">
      <c r="A166" s="102" t="s">
        <v>310</v>
      </c>
      <c r="B166" s="102" t="s">
        <v>8638</v>
      </c>
      <c r="C166" s="229" t="s">
        <v>8639</v>
      </c>
      <c r="D166" s="102" t="s">
        <v>8640</v>
      </c>
      <c r="E166" s="102" t="s">
        <v>584</v>
      </c>
      <c r="F166" s="102" t="s">
        <v>585</v>
      </c>
      <c r="G166" s="102" t="s">
        <v>353</v>
      </c>
      <c r="H166" s="102" t="s">
        <v>354</v>
      </c>
      <c r="I166" s="102" t="s">
        <v>284</v>
      </c>
      <c r="J166" s="102" t="s">
        <v>454</v>
      </c>
      <c r="L166" s="229" t="s">
        <v>8641</v>
      </c>
      <c r="M166" s="229" t="s">
        <v>9209</v>
      </c>
      <c r="N166" s="229" t="s">
        <v>7735</v>
      </c>
      <c r="O166" s="102">
        <v>8.0</v>
      </c>
      <c r="P166" s="102"/>
      <c r="R166" s="102">
        <v>0.0</v>
      </c>
      <c r="S166" s="230" t="str">
        <f>IF(ISNUMBER(MATCH(B166, 'Sprint 7'!B:B, 0)), "มาจาก Sprint 7", "")</f>
        <v>มาจาก Sprint 7</v>
      </c>
      <c r="T166" s="230" t="str">
        <f t="array" ref="T166">IF(ISNUMBER(MATCH(B166, 'Sprint 7'!B:B, 0)), INDEX('Sprint 7'!J:J, MATCH(B166, 'Sprint 7'!B:B, 0)), "")</f>
        <v>Ready To Test</v>
      </c>
      <c r="U166" s="102">
        <v>57600.0</v>
      </c>
      <c r="V166" s="102" t="s">
        <v>5944</v>
      </c>
      <c r="W166" s="102" t="s">
        <v>5919</v>
      </c>
      <c r="X166" s="230"/>
      <c r="Y166" s="230"/>
      <c r="Z166" s="102"/>
      <c r="AA166" s="102"/>
      <c r="AB166" s="102"/>
    </row>
    <row r="167">
      <c r="A167" s="102" t="s">
        <v>630</v>
      </c>
      <c r="B167" s="102" t="s">
        <v>8034</v>
      </c>
      <c r="C167" s="229" t="s">
        <v>8035</v>
      </c>
      <c r="D167" s="102" t="s">
        <v>8036</v>
      </c>
      <c r="E167" s="102"/>
      <c r="F167" s="102"/>
      <c r="G167" s="102" t="s">
        <v>353</v>
      </c>
      <c r="H167" s="102" t="s">
        <v>354</v>
      </c>
      <c r="I167" s="102" t="s">
        <v>284</v>
      </c>
      <c r="J167" s="102" t="s">
        <v>63</v>
      </c>
      <c r="L167" s="229" t="s">
        <v>8037</v>
      </c>
      <c r="M167" s="229" t="s">
        <v>9429</v>
      </c>
      <c r="N167" s="102"/>
      <c r="O167" s="102"/>
      <c r="P167" s="102"/>
      <c r="R167" s="230"/>
      <c r="S167" s="230" t="str">
        <f>IF(ISNUMBER(MATCH(B167, 'Sprint 7'!B:B, 0)), "มาจาก Sprint 7", "")</f>
        <v>มาจาก Sprint 7</v>
      </c>
      <c r="T167" s="230" t="str">
        <f t="array" ref="T167">IF(ISNUMBER(MATCH(B167, 'Sprint 7'!B:B, 0)), INDEX('Sprint 7'!J:J, MATCH(B167, 'Sprint 7'!B:B, 0)), "")</f>
        <v>To Do</v>
      </c>
      <c r="V167" s="102" t="s">
        <v>8981</v>
      </c>
      <c r="W167" s="230"/>
      <c r="X167" s="230"/>
      <c r="Y167" s="102"/>
      <c r="Z167" s="102"/>
      <c r="AA167" s="102"/>
    </row>
    <row r="168">
      <c r="A168" s="102" t="s">
        <v>310</v>
      </c>
      <c r="B168" s="102" t="s">
        <v>9430</v>
      </c>
      <c r="C168" s="229" t="s">
        <v>9431</v>
      </c>
      <c r="D168" s="102" t="s">
        <v>9432</v>
      </c>
      <c r="E168" s="102"/>
      <c r="F168" s="102"/>
      <c r="G168" s="102" t="s">
        <v>353</v>
      </c>
      <c r="H168" s="102" t="s">
        <v>354</v>
      </c>
      <c r="I168" s="102" t="s">
        <v>284</v>
      </c>
      <c r="J168" s="102" t="s">
        <v>63</v>
      </c>
      <c r="L168" s="229" t="s">
        <v>9433</v>
      </c>
      <c r="M168" s="229" t="s">
        <v>9434</v>
      </c>
      <c r="O168" s="102">
        <v>3.0</v>
      </c>
      <c r="P168" s="102"/>
      <c r="R168" s="230"/>
      <c r="S168" s="230" t="str">
        <f>IF(ISNUMBER(MATCH(B168, 'Sprint 7'!B:B, 0)), "มาจาก Sprint 7", "")</f>
        <v>มาจาก Sprint 7</v>
      </c>
      <c r="T168" s="230" t="str">
        <f t="array" ref="T168">IF(ISNUMBER(MATCH(B168, 'Sprint 7'!B:B, 0)), INDEX('Sprint 7'!J:J, MATCH(B168, 'Sprint 7'!B:B, 0)), "")</f>
        <v>To Do</v>
      </c>
      <c r="V168" s="102" t="s">
        <v>8981</v>
      </c>
      <c r="W168" s="230"/>
      <c r="X168" s="230"/>
      <c r="Y168" s="102"/>
      <c r="Z168" s="102"/>
      <c r="AA168" s="102"/>
      <c r="AB168" s="102"/>
    </row>
    <row r="169">
      <c r="A169" s="102" t="s">
        <v>310</v>
      </c>
      <c r="B169" s="102" t="s">
        <v>9435</v>
      </c>
      <c r="C169" s="229" t="s">
        <v>9436</v>
      </c>
      <c r="D169" s="102" t="s">
        <v>9437</v>
      </c>
      <c r="E169" s="102"/>
      <c r="F169" s="102"/>
      <c r="G169" s="102" t="s">
        <v>353</v>
      </c>
      <c r="H169" s="102" t="s">
        <v>354</v>
      </c>
      <c r="I169" s="102" t="s">
        <v>284</v>
      </c>
      <c r="J169" s="102" t="s">
        <v>63</v>
      </c>
      <c r="L169" s="229" t="s">
        <v>9438</v>
      </c>
      <c r="M169" s="229" t="s">
        <v>9434</v>
      </c>
      <c r="O169" s="102">
        <v>5.0</v>
      </c>
      <c r="P169" s="102"/>
      <c r="R169" s="230"/>
      <c r="S169" s="230" t="str">
        <f>IF(ISNUMBER(MATCH(B169, 'Sprint 7'!B:B, 0)), "มาจาก Sprint 7", "")</f>
        <v>มาจาก Sprint 7</v>
      </c>
      <c r="T169" s="230" t="str">
        <f t="array" ref="T169">IF(ISNUMBER(MATCH(B169, 'Sprint 7'!B:B, 0)), INDEX('Sprint 7'!J:J, MATCH(B169, 'Sprint 7'!B:B, 0)), "")</f>
        <v>To Do</v>
      </c>
      <c r="V169" s="102" t="s">
        <v>8981</v>
      </c>
      <c r="W169" s="102"/>
      <c r="X169" s="230"/>
      <c r="Y169" s="230"/>
      <c r="Z169" s="102"/>
      <c r="AA169" s="102"/>
      <c r="AB169" s="102"/>
    </row>
    <row r="170">
      <c r="A170" s="102" t="s">
        <v>310</v>
      </c>
      <c r="B170" s="102" t="s">
        <v>6472</v>
      </c>
      <c r="C170" s="229" t="s">
        <v>6473</v>
      </c>
      <c r="D170" s="102" t="s">
        <v>6474</v>
      </c>
      <c r="E170" s="102" t="s">
        <v>282</v>
      </c>
      <c r="F170" s="102" t="s">
        <v>283</v>
      </c>
      <c r="G170" s="102" t="s">
        <v>282</v>
      </c>
      <c r="H170" s="102" t="s">
        <v>283</v>
      </c>
      <c r="I170" s="102" t="s">
        <v>284</v>
      </c>
      <c r="J170" s="102" t="s">
        <v>454</v>
      </c>
      <c r="L170" s="229" t="s">
        <v>6475</v>
      </c>
      <c r="M170" s="229" t="s">
        <v>9439</v>
      </c>
      <c r="O170" s="102">
        <v>0.0</v>
      </c>
      <c r="P170" s="102"/>
      <c r="R170" s="230"/>
      <c r="S170" s="230" t="str">
        <f>IF(ISNUMBER(MATCH(B170, 'Sprint 7'!B:B, 0)), "มาจาก Sprint 7", "")</f>
        <v>มาจาก Sprint 7</v>
      </c>
      <c r="T170" s="230" t="str">
        <f t="array" ref="T170">IF(ISNUMBER(MATCH(B170, 'Sprint 7'!B:B, 0)), INDEX('Sprint 7'!J:J, MATCH(B170, 'Sprint 7'!B:B, 0)), "")</f>
        <v>Ready To Test</v>
      </c>
      <c r="V170" s="102" t="s">
        <v>5944</v>
      </c>
      <c r="W170" s="102" t="s">
        <v>5919</v>
      </c>
      <c r="X170" s="230"/>
      <c r="Y170" s="102"/>
      <c r="Z170" s="102"/>
      <c r="AA170" s="102"/>
    </row>
    <row r="171">
      <c r="A171" s="102" t="s">
        <v>310</v>
      </c>
      <c r="B171" s="102" t="s">
        <v>8040</v>
      </c>
      <c r="C171" s="229" t="s">
        <v>8041</v>
      </c>
      <c r="D171" s="102" t="s">
        <v>8042</v>
      </c>
      <c r="E171" s="102" t="s">
        <v>9102</v>
      </c>
      <c r="F171" s="102" t="s">
        <v>6861</v>
      </c>
      <c r="G171" s="102" t="s">
        <v>282</v>
      </c>
      <c r="H171" s="102" t="s">
        <v>283</v>
      </c>
      <c r="I171" s="102" t="s">
        <v>284</v>
      </c>
      <c r="J171" s="102" t="s">
        <v>454</v>
      </c>
      <c r="L171" s="229" t="s">
        <v>7714</v>
      </c>
      <c r="M171" s="229" t="s">
        <v>9439</v>
      </c>
      <c r="N171" s="102"/>
      <c r="O171" s="102">
        <v>5.0</v>
      </c>
      <c r="P171" s="102" t="s">
        <v>504</v>
      </c>
      <c r="R171" s="102"/>
      <c r="S171" s="230" t="str">
        <f>IF(ISNUMBER(MATCH(B171, 'Sprint 7'!B:B, 0)), "มาจาก Sprint 7", "")</f>
        <v>มาจาก Sprint 7</v>
      </c>
      <c r="T171" s="230" t="str">
        <f t="array" ref="T171">IF(ISNUMBER(MATCH(B171, 'Sprint 7'!B:B, 0)), INDEX('Sprint 7'!J:J, MATCH(B171, 'Sprint 7'!B:B, 0)), "")</f>
        <v>Ready To Test</v>
      </c>
      <c r="V171" s="102" t="s">
        <v>5944</v>
      </c>
      <c r="W171" s="102" t="s">
        <v>5919</v>
      </c>
      <c r="X171" s="230"/>
      <c r="Y171" s="102"/>
      <c r="Z171" s="102"/>
      <c r="AA171" s="102"/>
      <c r="AB171" s="102"/>
    </row>
    <row r="172">
      <c r="A172" s="102" t="s">
        <v>310</v>
      </c>
      <c r="B172" s="102" t="s">
        <v>7711</v>
      </c>
      <c r="C172" s="229" t="s">
        <v>7712</v>
      </c>
      <c r="D172" s="102" t="s">
        <v>7713</v>
      </c>
      <c r="E172" s="102" t="s">
        <v>556</v>
      </c>
      <c r="F172" s="102" t="s">
        <v>557</v>
      </c>
      <c r="G172" s="102" t="s">
        <v>282</v>
      </c>
      <c r="H172" s="102" t="s">
        <v>283</v>
      </c>
      <c r="I172" s="102" t="s">
        <v>284</v>
      </c>
      <c r="J172" s="102" t="s">
        <v>454</v>
      </c>
      <c r="L172" s="229" t="s">
        <v>7714</v>
      </c>
      <c r="M172" s="229" t="s">
        <v>9439</v>
      </c>
      <c r="N172" s="229" t="s">
        <v>6471</v>
      </c>
      <c r="O172" s="102">
        <v>5.0</v>
      </c>
      <c r="P172" s="102" t="s">
        <v>504</v>
      </c>
      <c r="R172" s="102">
        <v>0.0</v>
      </c>
      <c r="S172" s="230" t="str">
        <f>IF(ISNUMBER(MATCH(B172, 'Sprint 7'!B:B, 0)), "มาจาก Sprint 7", "")</f>
        <v>มาจาก Sprint 7</v>
      </c>
      <c r="T172" s="230" t="str">
        <f t="array" ref="T172">IF(ISNUMBER(MATCH(B172, 'Sprint 7'!B:B, 0)), INDEX('Sprint 7'!J:J, MATCH(B172, 'Sprint 7'!B:B, 0)), "")</f>
        <v>Ready To Test</v>
      </c>
      <c r="U172" s="102">
        <v>57600.0</v>
      </c>
      <c r="V172" s="102" t="s">
        <v>5944</v>
      </c>
      <c r="W172" s="102" t="s">
        <v>5919</v>
      </c>
      <c r="X172" s="230"/>
      <c r="Y172" s="102"/>
      <c r="Z172" s="102"/>
      <c r="AA172" s="102"/>
    </row>
    <row r="173">
      <c r="A173" s="102" t="s">
        <v>310</v>
      </c>
      <c r="B173" s="102" t="s">
        <v>8044</v>
      </c>
      <c r="C173" s="229" t="s">
        <v>8045</v>
      </c>
      <c r="D173" s="102" t="s">
        <v>8046</v>
      </c>
      <c r="E173" s="102" t="s">
        <v>556</v>
      </c>
      <c r="F173" s="102" t="s">
        <v>557</v>
      </c>
      <c r="G173" s="102" t="s">
        <v>282</v>
      </c>
      <c r="H173" s="102" t="s">
        <v>283</v>
      </c>
      <c r="I173" s="102" t="s">
        <v>284</v>
      </c>
      <c r="J173" s="102" t="s">
        <v>454</v>
      </c>
      <c r="L173" s="229" t="s">
        <v>7714</v>
      </c>
      <c r="M173" s="229" t="s">
        <v>9439</v>
      </c>
      <c r="N173" s="229" t="s">
        <v>8047</v>
      </c>
      <c r="O173" s="102">
        <v>5.0</v>
      </c>
      <c r="P173" s="102" t="s">
        <v>504</v>
      </c>
      <c r="R173" s="102">
        <v>0.0</v>
      </c>
      <c r="S173" s="230" t="str">
        <f>IF(ISNUMBER(MATCH(B173, 'Sprint 7'!B:B, 0)), "มาจาก Sprint 7", "")</f>
        <v>มาจาก Sprint 7</v>
      </c>
      <c r="T173" s="230" t="str">
        <f t="array" ref="T173">IF(ISNUMBER(MATCH(B173, 'Sprint 7'!B:B, 0)), INDEX('Sprint 7'!J:J, MATCH(B173, 'Sprint 7'!B:B, 0)), "")</f>
        <v>Ready To Test</v>
      </c>
      <c r="U173" s="102">
        <v>57600.0</v>
      </c>
      <c r="V173" s="102" t="s">
        <v>5944</v>
      </c>
      <c r="W173" s="102" t="s">
        <v>5919</v>
      </c>
      <c r="X173" s="230"/>
      <c r="Y173" s="102"/>
      <c r="Z173" s="102"/>
      <c r="AA173" s="102"/>
    </row>
    <row r="174">
      <c r="A174" s="102" t="s">
        <v>310</v>
      </c>
      <c r="B174" s="102" t="s">
        <v>7716</v>
      </c>
      <c r="C174" s="229" t="s">
        <v>7717</v>
      </c>
      <c r="D174" s="102" t="s">
        <v>7718</v>
      </c>
      <c r="E174" s="102" t="s">
        <v>564</v>
      </c>
      <c r="F174" s="102" t="s">
        <v>565</v>
      </c>
      <c r="G174" s="102" t="s">
        <v>282</v>
      </c>
      <c r="H174" s="102" t="s">
        <v>283</v>
      </c>
      <c r="I174" s="102" t="s">
        <v>284</v>
      </c>
      <c r="J174" s="102" t="s">
        <v>454</v>
      </c>
      <c r="L174" s="229" t="s">
        <v>7719</v>
      </c>
      <c r="M174" s="229" t="s">
        <v>9439</v>
      </c>
      <c r="N174" s="229" t="s">
        <v>7720</v>
      </c>
      <c r="O174" s="102">
        <v>2.0</v>
      </c>
      <c r="P174" s="102" t="s">
        <v>504</v>
      </c>
      <c r="R174" s="102">
        <v>0.0</v>
      </c>
      <c r="S174" s="230" t="str">
        <f>IF(ISNUMBER(MATCH(B174, 'Sprint 7'!B:B, 0)), "มาจาก Sprint 7", "")</f>
        <v>มาจาก Sprint 7</v>
      </c>
      <c r="T174" s="230" t="str">
        <f t="array" ref="T174">IF(ISNUMBER(MATCH(B174, 'Sprint 7'!B:B, 0)), INDEX('Sprint 7'!J:J, MATCH(B174, 'Sprint 7'!B:B, 0)), "")</f>
        <v>Ready To Test</v>
      </c>
      <c r="U174" s="102">
        <v>10800.0</v>
      </c>
      <c r="V174" s="102" t="s">
        <v>5944</v>
      </c>
      <c r="W174" s="102" t="s">
        <v>5919</v>
      </c>
      <c r="X174" s="230"/>
      <c r="Y174" s="102"/>
      <c r="Z174" s="102"/>
      <c r="AA174" s="102"/>
    </row>
    <row r="175">
      <c r="A175" s="102" t="s">
        <v>310</v>
      </c>
      <c r="B175" s="102" t="s">
        <v>7721</v>
      </c>
      <c r="C175" s="229" t="s">
        <v>7722</v>
      </c>
      <c r="D175" s="102" t="s">
        <v>7723</v>
      </c>
      <c r="E175" s="102" t="s">
        <v>564</v>
      </c>
      <c r="F175" s="102" t="s">
        <v>565</v>
      </c>
      <c r="G175" s="102" t="s">
        <v>282</v>
      </c>
      <c r="H175" s="102" t="s">
        <v>283</v>
      </c>
      <c r="I175" s="102" t="s">
        <v>284</v>
      </c>
      <c r="J175" s="102" t="s">
        <v>454</v>
      </c>
      <c r="L175" s="229" t="s">
        <v>7724</v>
      </c>
      <c r="M175" s="229" t="s">
        <v>9440</v>
      </c>
      <c r="N175" s="229" t="s">
        <v>7726</v>
      </c>
      <c r="O175" s="102">
        <v>3.0</v>
      </c>
      <c r="P175" s="102" t="s">
        <v>504</v>
      </c>
      <c r="R175" s="102">
        <v>0.0</v>
      </c>
      <c r="S175" s="230" t="str">
        <f>IF(ISNUMBER(MATCH(B175, 'Sprint 7'!B:B, 0)), "มาจาก Sprint 7", "")</f>
        <v>มาจาก Sprint 7</v>
      </c>
      <c r="T175" s="230" t="str">
        <f t="array" ref="T175">IF(ISNUMBER(MATCH(B175, 'Sprint 7'!B:B, 0)), INDEX('Sprint 7'!J:J, MATCH(B175, 'Sprint 7'!B:B, 0)), "")</f>
        <v>Ready To Test</v>
      </c>
      <c r="U175" s="102">
        <v>28800.0</v>
      </c>
      <c r="V175" s="102" t="s">
        <v>5944</v>
      </c>
      <c r="W175" s="102" t="s">
        <v>5919</v>
      </c>
      <c r="X175" s="230"/>
      <c r="Y175" s="102"/>
      <c r="Z175" s="102"/>
      <c r="AA175" s="102"/>
      <c r="AB175" s="102"/>
    </row>
    <row r="176">
      <c r="A176" s="102" t="s">
        <v>310</v>
      </c>
      <c r="B176" s="102" t="s">
        <v>7727</v>
      </c>
      <c r="C176" s="229" t="s">
        <v>7728</v>
      </c>
      <c r="D176" s="102" t="s">
        <v>7729</v>
      </c>
      <c r="E176" s="102" t="s">
        <v>564</v>
      </c>
      <c r="F176" s="102" t="s">
        <v>565</v>
      </c>
      <c r="G176" s="102" t="s">
        <v>282</v>
      </c>
      <c r="H176" s="102" t="s">
        <v>283</v>
      </c>
      <c r="I176" s="102" t="s">
        <v>284</v>
      </c>
      <c r="J176" s="102" t="s">
        <v>454</v>
      </c>
      <c r="L176" s="229" t="s">
        <v>7730</v>
      </c>
      <c r="M176" s="229" t="s">
        <v>9439</v>
      </c>
      <c r="N176" s="229" t="s">
        <v>7720</v>
      </c>
      <c r="O176" s="102">
        <v>2.0</v>
      </c>
      <c r="P176" s="102" t="s">
        <v>504</v>
      </c>
      <c r="R176" s="102">
        <v>0.0</v>
      </c>
      <c r="S176" s="230" t="str">
        <f>IF(ISNUMBER(MATCH(B176, 'Sprint 7'!B:B, 0)), "มาจาก Sprint 7", "")</f>
        <v>มาจาก Sprint 7</v>
      </c>
      <c r="T176" s="230" t="str">
        <f t="array" ref="T176">IF(ISNUMBER(MATCH(B176, 'Sprint 7'!B:B, 0)), INDEX('Sprint 7'!J:J, MATCH(B176, 'Sprint 7'!B:B, 0)), "")</f>
        <v>Ready To Test</v>
      </c>
      <c r="U176" s="102">
        <v>10800.0</v>
      </c>
      <c r="V176" s="102" t="s">
        <v>5944</v>
      </c>
      <c r="W176" s="102" t="s">
        <v>5919</v>
      </c>
      <c r="X176" s="230"/>
      <c r="Y176" s="102"/>
      <c r="Z176" s="102"/>
      <c r="AA176" s="102"/>
      <c r="AB176" s="102"/>
    </row>
    <row r="177">
      <c r="A177" s="102" t="s">
        <v>310</v>
      </c>
      <c r="B177" s="102" t="s">
        <v>7731</v>
      </c>
      <c r="C177" s="229" t="s">
        <v>7732</v>
      </c>
      <c r="D177" s="102" t="s">
        <v>7733</v>
      </c>
      <c r="E177" s="102" t="s">
        <v>564</v>
      </c>
      <c r="F177" s="102" t="s">
        <v>565</v>
      </c>
      <c r="G177" s="102" t="s">
        <v>282</v>
      </c>
      <c r="H177" s="102" t="s">
        <v>283</v>
      </c>
      <c r="I177" s="102" t="s">
        <v>284</v>
      </c>
      <c r="J177" s="102" t="s">
        <v>454</v>
      </c>
      <c r="L177" s="229" t="s">
        <v>7734</v>
      </c>
      <c r="M177" s="229" t="s">
        <v>9439</v>
      </c>
      <c r="N177" s="229" t="s">
        <v>7735</v>
      </c>
      <c r="O177" s="102">
        <v>2.0</v>
      </c>
      <c r="P177" s="102" t="s">
        <v>504</v>
      </c>
      <c r="S177" s="230" t="str">
        <f>IF(ISNUMBER(MATCH(B177, 'Sprint 7'!B:B, 0)), "มาจาก Sprint 7", "")</f>
        <v>มาจาก Sprint 7</v>
      </c>
      <c r="T177" s="230" t="str">
        <f t="array" ref="T177">IF(ISNUMBER(MATCH(B177, 'Sprint 7'!B:B, 0)), INDEX('Sprint 7'!J:J, MATCH(B177, 'Sprint 7'!B:B, 0)), "")</f>
        <v>Ready To Test</v>
      </c>
      <c r="U177" s="102">
        <v>10800.0</v>
      </c>
      <c r="V177" s="102" t="s">
        <v>5944</v>
      </c>
      <c r="W177" s="102" t="s">
        <v>5919</v>
      </c>
      <c r="X177" s="102"/>
      <c r="Y177" s="102"/>
      <c r="Z177" s="102"/>
      <c r="AA177" s="102"/>
      <c r="AB177" s="102"/>
    </row>
    <row r="178">
      <c r="A178" s="102" t="s">
        <v>276</v>
      </c>
      <c r="B178" s="102" t="s">
        <v>9441</v>
      </c>
      <c r="C178" s="229" t="s">
        <v>9442</v>
      </c>
      <c r="D178" s="102" t="s">
        <v>9443</v>
      </c>
      <c r="E178" s="102" t="s">
        <v>391</v>
      </c>
      <c r="F178" s="102" t="s">
        <v>392</v>
      </c>
      <c r="G178" s="102" t="s">
        <v>391</v>
      </c>
      <c r="H178" s="102" t="s">
        <v>392</v>
      </c>
      <c r="I178" s="102" t="s">
        <v>284</v>
      </c>
      <c r="J178" s="102" t="s">
        <v>26</v>
      </c>
      <c r="L178" s="229" t="s">
        <v>9444</v>
      </c>
      <c r="M178" s="229" t="s">
        <v>9445</v>
      </c>
      <c r="N178" s="102"/>
      <c r="O178" s="102"/>
      <c r="P178" s="102"/>
      <c r="R178" s="230"/>
      <c r="S178" s="230" t="str">
        <f>IF(ISNUMBER(MATCH(B178, 'Sprint 7'!B:B, 0)), "มาจาก Sprint 7", "")</f>
        <v>มาจาก Sprint 7</v>
      </c>
      <c r="T178" s="230" t="str">
        <f t="array" ref="T178">IF(ISNUMBER(MATCH(B178, 'Sprint 7'!B:B, 0)), INDEX('Sprint 7'!J:J, MATCH(B178, 'Sprint 7'!B:B, 0)), "")</f>
        <v>Done</v>
      </c>
      <c r="V178" s="102" t="s">
        <v>7695</v>
      </c>
      <c r="W178" s="102" t="s">
        <v>7696</v>
      </c>
      <c r="X178" s="102" t="s">
        <v>5944</v>
      </c>
      <c r="Y178" s="102" t="s">
        <v>5919</v>
      </c>
      <c r="Z178" s="102"/>
      <c r="AA178" s="102"/>
      <c r="AB178" s="102"/>
    </row>
    <row r="179">
      <c r="A179" s="102" t="s">
        <v>332</v>
      </c>
      <c r="B179" s="102" t="s">
        <v>9446</v>
      </c>
      <c r="C179" s="229" t="s">
        <v>9447</v>
      </c>
      <c r="D179" s="102" t="s">
        <v>9448</v>
      </c>
      <c r="E179" s="102" t="s">
        <v>282</v>
      </c>
      <c r="F179" s="102" t="s">
        <v>283</v>
      </c>
      <c r="G179" s="102" t="s">
        <v>316</v>
      </c>
      <c r="H179" s="102" t="s">
        <v>317</v>
      </c>
      <c r="I179" s="102" t="s">
        <v>284</v>
      </c>
      <c r="J179" s="102" t="s">
        <v>9449</v>
      </c>
      <c r="L179" s="229" t="s">
        <v>9450</v>
      </c>
      <c r="M179" s="229" t="s">
        <v>9451</v>
      </c>
      <c r="N179" s="229" t="s">
        <v>7735</v>
      </c>
      <c r="O179" s="102"/>
      <c r="P179" s="102"/>
      <c r="R179" s="230"/>
      <c r="S179" s="230" t="str">
        <f>IF(ISNUMBER(MATCH(B179, 'Sprint 7'!B:B, 0)), "มาจาก Sprint 7", "")</f>
        <v/>
      </c>
      <c r="T179" s="230" t="str">
        <f t="array" ref="T179">IF(ISNUMBER(MATCH(B179, 'Sprint 7'!B:B, 0)), INDEX('Sprint 7'!J:J, MATCH(B179, 'Sprint 7'!B:B, 0)), "")</f>
        <v/>
      </c>
      <c r="V179" s="102" t="s">
        <v>8806</v>
      </c>
      <c r="W179" s="102"/>
      <c r="X179" s="102"/>
      <c r="Y179" s="102"/>
      <c r="Z179" s="102"/>
      <c r="AA179" s="102"/>
      <c r="AB179" s="102"/>
    </row>
    <row r="180">
      <c r="A180" s="102" t="s">
        <v>310</v>
      </c>
      <c r="B180" s="102" t="s">
        <v>9452</v>
      </c>
      <c r="C180" s="229" t="s">
        <v>9453</v>
      </c>
      <c r="D180" s="102" t="s">
        <v>9454</v>
      </c>
      <c r="E180" s="102" t="s">
        <v>304</v>
      </c>
      <c r="F180" s="102" t="s">
        <v>305</v>
      </c>
      <c r="G180" s="102" t="s">
        <v>282</v>
      </c>
      <c r="H180" s="102" t="s">
        <v>283</v>
      </c>
      <c r="I180" s="102" t="s">
        <v>284</v>
      </c>
      <c r="J180" s="102" t="s">
        <v>26</v>
      </c>
      <c r="L180" s="229" t="s">
        <v>9455</v>
      </c>
      <c r="M180" s="229" t="s">
        <v>9286</v>
      </c>
      <c r="N180" s="102"/>
      <c r="O180" s="102">
        <v>2.0</v>
      </c>
      <c r="P180" s="102"/>
      <c r="Q180" s="102"/>
      <c r="R180" s="102"/>
      <c r="S180" s="230" t="str">
        <f>IF(ISNUMBER(MATCH(B180, 'Sprint 7'!B:B, 0)), "มาจาก Sprint 7", "")</f>
        <v>มาจาก Sprint 7</v>
      </c>
      <c r="T180" s="230" t="str">
        <f t="array" ref="T180">IF(ISNUMBER(MATCH(B180, 'Sprint 7'!B:B, 0)), INDEX('Sprint 7'!J:J, MATCH(B180, 'Sprint 7'!B:B, 0)), "")</f>
        <v>Ready To Test</v>
      </c>
      <c r="V180" s="102" t="s">
        <v>7695</v>
      </c>
      <c r="W180" s="102" t="s">
        <v>7696</v>
      </c>
      <c r="X180" s="102" t="s">
        <v>5944</v>
      </c>
      <c r="Y180" s="102" t="s">
        <v>5919</v>
      </c>
      <c r="Z180" s="102"/>
      <c r="AA180" s="102"/>
      <c r="AB180" s="102"/>
    </row>
    <row r="181">
      <c r="A181" s="102" t="s">
        <v>310</v>
      </c>
      <c r="B181" s="102" t="s">
        <v>9456</v>
      </c>
      <c r="C181" s="229" t="s">
        <v>9457</v>
      </c>
      <c r="D181" s="102" t="s">
        <v>9458</v>
      </c>
      <c r="E181" s="102" t="s">
        <v>304</v>
      </c>
      <c r="F181" s="102" t="s">
        <v>305</v>
      </c>
      <c r="G181" s="102" t="s">
        <v>282</v>
      </c>
      <c r="H181" s="102" t="s">
        <v>283</v>
      </c>
      <c r="I181" s="102" t="s">
        <v>284</v>
      </c>
      <c r="J181" s="102" t="s">
        <v>26</v>
      </c>
      <c r="L181" s="229" t="s">
        <v>9455</v>
      </c>
      <c r="M181" s="229" t="s">
        <v>9390</v>
      </c>
      <c r="N181" s="102"/>
      <c r="O181" s="102">
        <v>2.0</v>
      </c>
      <c r="P181" s="102" t="s">
        <v>7525</v>
      </c>
      <c r="Q181" s="102" t="s">
        <v>593</v>
      </c>
      <c r="R181" s="102">
        <v>0.0</v>
      </c>
      <c r="S181" s="230" t="str">
        <f>IF(ISNUMBER(MATCH(B181, 'Sprint 7'!B:B, 0)), "มาจาก Sprint 7", "")</f>
        <v>มาจาก Sprint 7</v>
      </c>
      <c r="T181" s="230" t="str">
        <f t="array" ref="T181">IF(ISNUMBER(MATCH(B181, 'Sprint 7'!B:B, 0)), INDEX('Sprint 7'!J:J, MATCH(B181, 'Sprint 7'!B:B, 0)), "")</f>
        <v>Ready To Test</v>
      </c>
      <c r="U181" s="102">
        <v>21600.0</v>
      </c>
      <c r="V181" s="102" t="s">
        <v>7695</v>
      </c>
      <c r="W181" s="102" t="s">
        <v>7696</v>
      </c>
      <c r="X181" s="102" t="s">
        <v>5944</v>
      </c>
      <c r="Y181" s="102" t="s">
        <v>5919</v>
      </c>
      <c r="Z181" s="102"/>
      <c r="AA181" s="102"/>
      <c r="AB181" s="102"/>
    </row>
    <row r="182">
      <c r="A182" s="102" t="s">
        <v>310</v>
      </c>
      <c r="B182" s="102" t="s">
        <v>7736</v>
      </c>
      <c r="C182" s="229" t="s">
        <v>7737</v>
      </c>
      <c r="D182" s="102" t="s">
        <v>7738</v>
      </c>
      <c r="E182" s="102" t="s">
        <v>495</v>
      </c>
      <c r="F182" s="102" t="s">
        <v>496</v>
      </c>
      <c r="G182" s="102" t="s">
        <v>282</v>
      </c>
      <c r="H182" s="102" t="s">
        <v>283</v>
      </c>
      <c r="I182" s="102" t="s">
        <v>284</v>
      </c>
      <c r="J182" s="102" t="s">
        <v>454</v>
      </c>
      <c r="L182" s="229" t="s">
        <v>7739</v>
      </c>
      <c r="M182" s="229" t="s">
        <v>9439</v>
      </c>
      <c r="N182" s="102"/>
      <c r="O182" s="102">
        <v>2.0</v>
      </c>
      <c r="P182" s="102" t="s">
        <v>504</v>
      </c>
      <c r="R182" s="102">
        <v>0.0</v>
      </c>
      <c r="S182" s="230" t="str">
        <f>IF(ISNUMBER(MATCH(B182, 'Sprint 7'!B:B, 0)), "มาจาก Sprint 7", "")</f>
        <v>มาจาก Sprint 7</v>
      </c>
      <c r="T182" s="230" t="str">
        <f t="array" ref="T182">IF(ISNUMBER(MATCH(B182, 'Sprint 7'!B:B, 0)), INDEX('Sprint 7'!J:J, MATCH(B182, 'Sprint 7'!B:B, 0)), "")</f>
        <v>Ready To Test</v>
      </c>
      <c r="U182" s="102">
        <v>28800.0</v>
      </c>
      <c r="V182" s="102" t="s">
        <v>5944</v>
      </c>
      <c r="W182" s="102" t="s">
        <v>5919</v>
      </c>
      <c r="X182" s="230"/>
      <c r="Y182" s="102"/>
      <c r="Z182" s="102"/>
      <c r="AA182" s="102"/>
      <c r="AB182" s="102"/>
    </row>
    <row r="183">
      <c r="A183" s="102" t="s">
        <v>310</v>
      </c>
      <c r="B183" s="102" t="s">
        <v>7740</v>
      </c>
      <c r="C183" s="229" t="s">
        <v>7741</v>
      </c>
      <c r="D183" s="102" t="s">
        <v>7742</v>
      </c>
      <c r="E183" s="102" t="s">
        <v>556</v>
      </c>
      <c r="F183" s="102" t="s">
        <v>557</v>
      </c>
      <c r="G183" s="102" t="s">
        <v>282</v>
      </c>
      <c r="H183" s="102" t="s">
        <v>283</v>
      </c>
      <c r="I183" s="102" t="s">
        <v>284</v>
      </c>
      <c r="J183" s="102" t="s">
        <v>454</v>
      </c>
      <c r="L183" s="229" t="s">
        <v>7739</v>
      </c>
      <c r="M183" s="229" t="s">
        <v>9439</v>
      </c>
      <c r="N183" s="229" t="s">
        <v>7743</v>
      </c>
      <c r="O183" s="102">
        <v>5.0</v>
      </c>
      <c r="P183" s="102" t="s">
        <v>504</v>
      </c>
      <c r="R183" s="102">
        <v>0.0</v>
      </c>
      <c r="S183" s="230" t="str">
        <f>IF(ISNUMBER(MATCH(B183, 'Sprint 7'!B:B, 0)), "มาจาก Sprint 7", "")</f>
        <v>มาจาก Sprint 7</v>
      </c>
      <c r="T183" s="230" t="str">
        <f t="array" ref="T183">IF(ISNUMBER(MATCH(B183, 'Sprint 7'!B:B, 0)), INDEX('Sprint 7'!J:J, MATCH(B183, 'Sprint 7'!B:B, 0)), "")</f>
        <v>Ready To Test</v>
      </c>
      <c r="U183" s="102">
        <v>57600.0</v>
      </c>
      <c r="V183" s="102" t="s">
        <v>5944</v>
      </c>
      <c r="W183" s="102" t="s">
        <v>5919</v>
      </c>
      <c r="X183" s="230"/>
      <c r="Y183" s="102"/>
      <c r="Z183" s="102"/>
      <c r="AA183" s="102"/>
      <c r="AB183" s="102"/>
    </row>
    <row r="184">
      <c r="A184" s="102" t="s">
        <v>310</v>
      </c>
      <c r="B184" s="102" t="s">
        <v>7744</v>
      </c>
      <c r="C184" s="229" t="s">
        <v>7745</v>
      </c>
      <c r="D184" s="102" t="s">
        <v>7746</v>
      </c>
      <c r="E184" s="102" t="s">
        <v>564</v>
      </c>
      <c r="F184" s="102" t="s">
        <v>565</v>
      </c>
      <c r="G184" s="102" t="s">
        <v>282</v>
      </c>
      <c r="H184" s="102" t="s">
        <v>283</v>
      </c>
      <c r="I184" s="102" t="s">
        <v>284</v>
      </c>
      <c r="J184" s="102" t="s">
        <v>454</v>
      </c>
      <c r="L184" s="229" t="s">
        <v>7739</v>
      </c>
      <c r="M184" s="229" t="s">
        <v>9439</v>
      </c>
      <c r="N184" s="229" t="s">
        <v>7735</v>
      </c>
      <c r="O184" s="102">
        <v>3.0</v>
      </c>
      <c r="P184" s="102" t="s">
        <v>504</v>
      </c>
      <c r="R184" s="102">
        <v>0.0</v>
      </c>
      <c r="S184" s="230" t="str">
        <f>IF(ISNUMBER(MATCH(B184, 'Sprint 7'!B:B, 0)), "มาจาก Sprint 7", "")</f>
        <v>มาจาก Sprint 7</v>
      </c>
      <c r="T184" s="230" t="str">
        <f t="array" ref="T184">IF(ISNUMBER(MATCH(B184, 'Sprint 7'!B:B, 0)), INDEX('Sprint 7'!J:J, MATCH(B184, 'Sprint 7'!B:B, 0)), "")</f>
        <v>Ready To Test</v>
      </c>
      <c r="U184" s="102">
        <v>28800.0</v>
      </c>
      <c r="V184" s="102" t="s">
        <v>5944</v>
      </c>
      <c r="W184" s="102" t="s">
        <v>5919</v>
      </c>
      <c r="X184" s="230"/>
      <c r="Y184" s="102"/>
      <c r="Z184" s="102"/>
      <c r="AA184" s="102"/>
      <c r="AB184" s="102"/>
    </row>
    <row r="185">
      <c r="A185" s="102" t="s">
        <v>310</v>
      </c>
      <c r="B185" s="102" t="s">
        <v>7747</v>
      </c>
      <c r="C185" s="229" t="s">
        <v>7748</v>
      </c>
      <c r="D185" s="102" t="s">
        <v>7749</v>
      </c>
      <c r="E185" s="102" t="s">
        <v>495</v>
      </c>
      <c r="F185" s="102" t="s">
        <v>496</v>
      </c>
      <c r="G185" s="102" t="s">
        <v>282</v>
      </c>
      <c r="H185" s="102" t="s">
        <v>283</v>
      </c>
      <c r="I185" s="102" t="s">
        <v>284</v>
      </c>
      <c r="J185" s="102" t="s">
        <v>454</v>
      </c>
      <c r="L185" s="229" t="s">
        <v>7739</v>
      </c>
      <c r="M185" s="229" t="s">
        <v>9439</v>
      </c>
      <c r="O185" s="102">
        <v>8.0</v>
      </c>
      <c r="P185" s="102" t="s">
        <v>504</v>
      </c>
      <c r="Q185" s="102"/>
      <c r="R185" s="102">
        <v>0.0</v>
      </c>
      <c r="S185" s="230" t="str">
        <f>IF(ISNUMBER(MATCH(B185, 'Sprint 7'!B:B, 0)), "มาจาก Sprint 7", "")</f>
        <v>มาจาก Sprint 7</v>
      </c>
      <c r="T185" s="230" t="str">
        <f t="array" ref="T185">IF(ISNUMBER(MATCH(B185, 'Sprint 7'!B:B, 0)), INDEX('Sprint 7'!J:J, MATCH(B185, 'Sprint 7'!B:B, 0)), "")</f>
        <v>Ready To Test</v>
      </c>
      <c r="U185" s="102">
        <v>86400.0</v>
      </c>
      <c r="V185" s="102" t="s">
        <v>5944</v>
      </c>
      <c r="W185" s="102" t="s">
        <v>5919</v>
      </c>
      <c r="X185" s="230"/>
      <c r="Y185" s="102"/>
      <c r="Z185" s="102"/>
      <c r="AA185" s="102"/>
      <c r="AB185" s="102"/>
    </row>
    <row r="186">
      <c r="A186" s="102" t="s">
        <v>310</v>
      </c>
      <c r="B186" s="102" t="s">
        <v>7750</v>
      </c>
      <c r="C186" s="229" t="s">
        <v>7751</v>
      </c>
      <c r="D186" s="102" t="s">
        <v>7752</v>
      </c>
      <c r="E186" s="102" t="s">
        <v>495</v>
      </c>
      <c r="F186" s="102" t="s">
        <v>496</v>
      </c>
      <c r="G186" s="102" t="s">
        <v>282</v>
      </c>
      <c r="H186" s="102" t="s">
        <v>283</v>
      </c>
      <c r="I186" s="102" t="s">
        <v>284</v>
      </c>
      <c r="J186" s="102" t="s">
        <v>454</v>
      </c>
      <c r="L186" s="229" t="s">
        <v>7753</v>
      </c>
      <c r="M186" s="229" t="s">
        <v>9439</v>
      </c>
      <c r="N186" s="102"/>
      <c r="O186" s="102">
        <v>5.0</v>
      </c>
      <c r="P186" s="102" t="s">
        <v>504</v>
      </c>
      <c r="R186" s="102">
        <v>0.0</v>
      </c>
      <c r="S186" s="230" t="str">
        <f>IF(ISNUMBER(MATCH(B186, 'Sprint 7'!B:B, 0)), "มาจาก Sprint 7", "")</f>
        <v>มาจาก Sprint 7</v>
      </c>
      <c r="T186" s="230" t="str">
        <f t="array" ref="T186">IF(ISNUMBER(MATCH(B186, 'Sprint 7'!B:B, 0)), INDEX('Sprint 7'!J:J, MATCH(B186, 'Sprint 7'!B:B, 0)), "")</f>
        <v>Ready To Test</v>
      </c>
      <c r="U186" s="102">
        <v>28800.0</v>
      </c>
      <c r="V186" s="102" t="s">
        <v>5944</v>
      </c>
      <c r="W186" s="102" t="s">
        <v>5919</v>
      </c>
      <c r="X186" s="230"/>
      <c r="Y186" s="102"/>
      <c r="Z186" s="102"/>
      <c r="AA186" s="102"/>
      <c r="AB186" s="102"/>
    </row>
    <row r="187">
      <c r="A187" s="102" t="s">
        <v>310</v>
      </c>
      <c r="B187" s="102" t="s">
        <v>7754</v>
      </c>
      <c r="C187" s="229" t="s">
        <v>7755</v>
      </c>
      <c r="D187" s="102" t="s">
        <v>7756</v>
      </c>
      <c r="E187" s="102" t="s">
        <v>556</v>
      </c>
      <c r="F187" s="102" t="s">
        <v>557</v>
      </c>
      <c r="G187" s="102" t="s">
        <v>282</v>
      </c>
      <c r="H187" s="102" t="s">
        <v>283</v>
      </c>
      <c r="I187" s="102" t="s">
        <v>284</v>
      </c>
      <c r="J187" s="102" t="s">
        <v>454</v>
      </c>
      <c r="L187" s="229" t="s">
        <v>7757</v>
      </c>
      <c r="M187" s="229" t="s">
        <v>9439</v>
      </c>
      <c r="N187" s="229" t="s">
        <v>7726</v>
      </c>
      <c r="O187" s="102">
        <v>3.0</v>
      </c>
      <c r="P187" s="102" t="s">
        <v>504</v>
      </c>
      <c r="R187" s="102">
        <v>0.0</v>
      </c>
      <c r="S187" s="230" t="str">
        <f>IF(ISNUMBER(MATCH(B187, 'Sprint 7'!B:B, 0)), "มาจาก Sprint 7", "")</f>
        <v>มาจาก Sprint 7</v>
      </c>
      <c r="T187" s="230" t="str">
        <f t="array" ref="T187">IF(ISNUMBER(MATCH(B187, 'Sprint 7'!B:B, 0)), INDEX('Sprint 7'!J:J, MATCH(B187, 'Sprint 7'!B:B, 0)), "")</f>
        <v>Ready To Test</v>
      </c>
      <c r="U187" s="102">
        <v>28800.0</v>
      </c>
      <c r="V187" s="102" t="s">
        <v>5944</v>
      </c>
      <c r="W187" s="102" t="s">
        <v>5919</v>
      </c>
      <c r="X187" s="230"/>
      <c r="Y187" s="102"/>
      <c r="Z187" s="102"/>
      <c r="AA187" s="102"/>
      <c r="AB187" s="102"/>
    </row>
    <row r="188">
      <c r="A188" s="102" t="s">
        <v>310</v>
      </c>
      <c r="B188" s="102" t="s">
        <v>7758</v>
      </c>
      <c r="C188" s="229" t="s">
        <v>7759</v>
      </c>
      <c r="D188" s="102" t="s">
        <v>7760</v>
      </c>
      <c r="E188" s="102" t="s">
        <v>564</v>
      </c>
      <c r="F188" s="102" t="s">
        <v>565</v>
      </c>
      <c r="G188" s="102" t="s">
        <v>282</v>
      </c>
      <c r="H188" s="102" t="s">
        <v>283</v>
      </c>
      <c r="I188" s="102" t="s">
        <v>284</v>
      </c>
      <c r="J188" s="102" t="s">
        <v>454</v>
      </c>
      <c r="L188" s="229" t="s">
        <v>7757</v>
      </c>
      <c r="M188" s="229" t="s">
        <v>9439</v>
      </c>
      <c r="N188" s="229" t="s">
        <v>7761</v>
      </c>
      <c r="O188" s="102">
        <v>3.0</v>
      </c>
      <c r="P188" s="102" t="s">
        <v>504</v>
      </c>
      <c r="Q188" s="102"/>
      <c r="R188" s="102">
        <v>0.0</v>
      </c>
      <c r="S188" s="230" t="str">
        <f>IF(ISNUMBER(MATCH(B188, 'Sprint 7'!B:B, 0)), "มาจาก Sprint 7", "")</f>
        <v>มาจาก Sprint 7</v>
      </c>
      <c r="T188" s="230" t="str">
        <f t="array" ref="T188">IF(ISNUMBER(MATCH(B188, 'Sprint 7'!B:B, 0)), INDEX('Sprint 7'!J:J, MATCH(B188, 'Sprint 7'!B:B, 0)), "")</f>
        <v>Ready To Test</v>
      </c>
      <c r="U188" s="102">
        <v>28800.0</v>
      </c>
      <c r="V188" s="102" t="s">
        <v>5944</v>
      </c>
      <c r="W188" s="102" t="s">
        <v>5919</v>
      </c>
      <c r="X188" s="230"/>
      <c r="Y188" s="102"/>
      <c r="Z188" s="102"/>
      <c r="AA188" s="102"/>
      <c r="AB188" s="102"/>
    </row>
    <row r="189">
      <c r="A189" s="102" t="s">
        <v>310</v>
      </c>
      <c r="B189" s="102" t="s">
        <v>7762</v>
      </c>
      <c r="C189" s="229" t="s">
        <v>7763</v>
      </c>
      <c r="D189" s="102" t="s">
        <v>7764</v>
      </c>
      <c r="E189" s="102" t="s">
        <v>304</v>
      </c>
      <c r="F189" s="102" t="s">
        <v>305</v>
      </c>
      <c r="G189" s="102" t="s">
        <v>282</v>
      </c>
      <c r="H189" s="102" t="s">
        <v>283</v>
      </c>
      <c r="I189" s="102" t="s">
        <v>284</v>
      </c>
      <c r="J189" s="102" t="s">
        <v>454</v>
      </c>
      <c r="L189" s="229" t="s">
        <v>7757</v>
      </c>
      <c r="M189" s="229" t="s">
        <v>9439</v>
      </c>
      <c r="N189" s="102"/>
      <c r="O189" s="102">
        <v>5.0</v>
      </c>
      <c r="P189" s="102" t="s">
        <v>504</v>
      </c>
      <c r="R189" s="102">
        <v>0.0</v>
      </c>
      <c r="S189" s="230" t="str">
        <f>IF(ISNUMBER(MATCH(B189, 'Sprint 7'!B:B, 0)), "มาจาก Sprint 7", "")</f>
        <v>มาจาก Sprint 7</v>
      </c>
      <c r="T189" s="230" t="str">
        <f t="array" ref="T189">IF(ISNUMBER(MATCH(B189, 'Sprint 7'!B:B, 0)), INDEX('Sprint 7'!J:J, MATCH(B189, 'Sprint 7'!B:B, 0)), "")</f>
        <v>Ready To Test</v>
      </c>
      <c r="U189" s="102">
        <v>86400.0</v>
      </c>
      <c r="V189" s="102" t="s">
        <v>5944</v>
      </c>
      <c r="W189" s="102" t="s">
        <v>5919</v>
      </c>
      <c r="X189" s="230"/>
      <c r="Y189" s="102"/>
      <c r="Z189" s="102"/>
      <c r="AA189" s="102"/>
      <c r="AB189" s="102"/>
    </row>
    <row r="190">
      <c r="A190" s="102" t="s">
        <v>310</v>
      </c>
      <c r="B190" s="102" t="s">
        <v>7765</v>
      </c>
      <c r="C190" s="229" t="s">
        <v>7766</v>
      </c>
      <c r="D190" s="102" t="s">
        <v>7767</v>
      </c>
      <c r="E190" s="102" t="s">
        <v>556</v>
      </c>
      <c r="F190" s="102" t="s">
        <v>557</v>
      </c>
      <c r="G190" s="102" t="s">
        <v>282</v>
      </c>
      <c r="H190" s="102" t="s">
        <v>283</v>
      </c>
      <c r="I190" s="102" t="s">
        <v>284</v>
      </c>
      <c r="J190" s="102" t="s">
        <v>454</v>
      </c>
      <c r="L190" s="229" t="s">
        <v>7757</v>
      </c>
      <c r="M190" s="229" t="s">
        <v>9439</v>
      </c>
      <c r="N190" s="229" t="s">
        <v>7720</v>
      </c>
      <c r="O190" s="102">
        <v>3.0</v>
      </c>
      <c r="P190" s="102" t="s">
        <v>504</v>
      </c>
      <c r="R190" s="102">
        <v>0.0</v>
      </c>
      <c r="S190" s="230" t="str">
        <f>IF(ISNUMBER(MATCH(B190, 'Sprint 7'!B:B, 0)), "มาจาก Sprint 7", "")</f>
        <v>มาจาก Sprint 7</v>
      </c>
      <c r="T190" s="230" t="str">
        <f t="array" ref="T190">IF(ISNUMBER(MATCH(B190, 'Sprint 7'!B:B, 0)), INDEX('Sprint 7'!J:J, MATCH(B190, 'Sprint 7'!B:B, 0)), "")</f>
        <v>Ready To Test</v>
      </c>
      <c r="U190" s="102">
        <v>28800.0</v>
      </c>
      <c r="V190" s="102" t="s">
        <v>5944</v>
      </c>
      <c r="W190" s="102" t="s">
        <v>5919</v>
      </c>
      <c r="X190" s="230"/>
      <c r="Y190" s="102"/>
      <c r="Z190" s="102"/>
      <c r="AA190" s="102"/>
      <c r="AB190" s="102"/>
    </row>
    <row r="191">
      <c r="A191" s="102" t="s">
        <v>310</v>
      </c>
      <c r="B191" s="102" t="s">
        <v>7768</v>
      </c>
      <c r="C191" s="229" t="s">
        <v>7769</v>
      </c>
      <c r="D191" s="102" t="s">
        <v>7770</v>
      </c>
      <c r="E191" s="102" t="s">
        <v>564</v>
      </c>
      <c r="F191" s="102" t="s">
        <v>565</v>
      </c>
      <c r="G191" s="102" t="s">
        <v>282</v>
      </c>
      <c r="H191" s="102" t="s">
        <v>283</v>
      </c>
      <c r="I191" s="102" t="s">
        <v>284</v>
      </c>
      <c r="J191" s="102" t="s">
        <v>454</v>
      </c>
      <c r="L191" s="229" t="s">
        <v>7771</v>
      </c>
      <c r="M191" s="229" t="s">
        <v>9439</v>
      </c>
      <c r="N191" s="229" t="s">
        <v>6471</v>
      </c>
      <c r="O191" s="102">
        <v>5.0</v>
      </c>
      <c r="P191" s="102" t="s">
        <v>504</v>
      </c>
      <c r="R191" s="102">
        <v>0.0</v>
      </c>
      <c r="S191" s="230" t="str">
        <f>IF(ISNUMBER(MATCH(B191, 'Sprint 7'!B:B, 0)), "มาจาก Sprint 7", "")</f>
        <v>มาจาก Sprint 7</v>
      </c>
      <c r="T191" s="230" t="str">
        <f t="array" ref="T191">IF(ISNUMBER(MATCH(B191, 'Sprint 7'!B:B, 0)), INDEX('Sprint 7'!J:J, MATCH(B191, 'Sprint 7'!B:B, 0)), "")</f>
        <v>Ready To Test</v>
      </c>
      <c r="U191" s="102">
        <v>43200.0</v>
      </c>
      <c r="V191" s="102" t="s">
        <v>5944</v>
      </c>
      <c r="W191" s="102" t="s">
        <v>5919</v>
      </c>
      <c r="X191" s="230"/>
      <c r="Y191" s="102"/>
      <c r="Z191" s="102"/>
      <c r="AA191" s="102"/>
      <c r="AB191" s="102"/>
    </row>
    <row r="192">
      <c r="A192" s="102" t="s">
        <v>276</v>
      </c>
      <c r="B192" s="102" t="s">
        <v>9459</v>
      </c>
      <c r="C192" s="229" t="s">
        <v>9460</v>
      </c>
      <c r="D192" s="102" t="s">
        <v>4345</v>
      </c>
      <c r="E192" s="102" t="s">
        <v>3288</v>
      </c>
      <c r="F192" s="102" t="s">
        <v>3289</v>
      </c>
      <c r="G192" s="102" t="s">
        <v>391</v>
      </c>
      <c r="H192" s="102" t="s">
        <v>392</v>
      </c>
      <c r="I192" s="102" t="s">
        <v>284</v>
      </c>
      <c r="J192" s="102" t="s">
        <v>26</v>
      </c>
      <c r="L192" s="229" t="s">
        <v>9461</v>
      </c>
      <c r="M192" s="229" t="s">
        <v>9462</v>
      </c>
      <c r="N192" s="102"/>
      <c r="O192" s="102"/>
      <c r="R192" s="230"/>
      <c r="S192" s="230" t="str">
        <f>IF(ISNUMBER(MATCH(B192, 'Sprint 7'!B:B, 0)), "มาจาก Sprint 7", "")</f>
        <v>มาจาก Sprint 7</v>
      </c>
      <c r="T192" s="230" t="str">
        <f t="array" ref="T192">IF(ISNUMBER(MATCH(B192, 'Sprint 7'!B:B, 0)), INDEX('Sprint 7'!J:J, MATCH(B192, 'Sprint 7'!B:B, 0)), "")</f>
        <v>Done</v>
      </c>
      <c r="V192" s="102" t="s">
        <v>5944</v>
      </c>
      <c r="W192" s="102" t="s">
        <v>5919</v>
      </c>
      <c r="X192" s="102"/>
      <c r="Y192" s="102"/>
      <c r="Z192" s="102"/>
      <c r="AA192" s="102"/>
      <c r="AB192" s="102"/>
    </row>
    <row r="193">
      <c r="A193" s="102" t="s">
        <v>276</v>
      </c>
      <c r="B193" s="102" t="s">
        <v>9463</v>
      </c>
      <c r="C193" s="229" t="s">
        <v>9464</v>
      </c>
      <c r="D193" s="102" t="s">
        <v>4345</v>
      </c>
      <c r="E193" s="102" t="s">
        <v>391</v>
      </c>
      <c r="F193" s="102" t="s">
        <v>392</v>
      </c>
      <c r="G193" s="102" t="s">
        <v>391</v>
      </c>
      <c r="H193" s="102" t="s">
        <v>392</v>
      </c>
      <c r="I193" s="102" t="s">
        <v>284</v>
      </c>
      <c r="J193" s="102" t="s">
        <v>26</v>
      </c>
      <c r="L193" s="229" t="s">
        <v>9465</v>
      </c>
      <c r="M193" s="229" t="s">
        <v>9466</v>
      </c>
      <c r="O193" s="102"/>
      <c r="P193" s="102"/>
      <c r="R193" s="230"/>
      <c r="S193" s="230" t="str">
        <f>IF(ISNUMBER(MATCH(B193, 'Sprint 7'!B:B, 0)), "มาจาก Sprint 7", "")</f>
        <v>มาจาก Sprint 7</v>
      </c>
      <c r="T193" s="230" t="str">
        <f t="array" ref="T193">IF(ISNUMBER(MATCH(B193, 'Sprint 7'!B:B, 0)), INDEX('Sprint 7'!J:J, MATCH(B193, 'Sprint 7'!B:B, 0)), "")</f>
        <v>Done</v>
      </c>
      <c r="V193" s="102" t="s">
        <v>7695</v>
      </c>
      <c r="W193" s="102" t="s">
        <v>7696</v>
      </c>
      <c r="X193" s="102" t="s">
        <v>5944</v>
      </c>
      <c r="Y193" s="102" t="s">
        <v>5919</v>
      </c>
      <c r="Z193" s="102"/>
      <c r="AA193" s="102"/>
    </row>
    <row r="194">
      <c r="A194" s="102" t="s">
        <v>276</v>
      </c>
      <c r="B194" s="102" t="s">
        <v>9467</v>
      </c>
      <c r="C194" s="229" t="s">
        <v>9468</v>
      </c>
      <c r="D194" s="102" t="s">
        <v>4345</v>
      </c>
      <c r="E194" s="102" t="s">
        <v>391</v>
      </c>
      <c r="F194" s="102" t="s">
        <v>392</v>
      </c>
      <c r="G194" s="102" t="s">
        <v>391</v>
      </c>
      <c r="H194" s="102" t="s">
        <v>392</v>
      </c>
      <c r="I194" s="102" t="s">
        <v>284</v>
      </c>
      <c r="J194" s="102" t="s">
        <v>26</v>
      </c>
      <c r="L194" s="229" t="s">
        <v>9465</v>
      </c>
      <c r="M194" s="229" t="s">
        <v>9466</v>
      </c>
      <c r="N194" s="102"/>
      <c r="O194" s="102"/>
      <c r="P194" s="102"/>
      <c r="Q194" s="102"/>
      <c r="R194" s="230"/>
      <c r="S194" s="230" t="str">
        <f>IF(ISNUMBER(MATCH(B194, 'Sprint 7'!B:B, 0)), "มาจาก Sprint 7", "")</f>
        <v>มาจาก Sprint 7</v>
      </c>
      <c r="T194" s="230" t="str">
        <f t="array" ref="T194">IF(ISNUMBER(MATCH(B194, 'Sprint 7'!B:B, 0)), INDEX('Sprint 7'!J:J, MATCH(B194, 'Sprint 7'!B:B, 0)), "")</f>
        <v>Done</v>
      </c>
      <c r="V194" s="102" t="s">
        <v>7695</v>
      </c>
      <c r="W194" s="102" t="s">
        <v>7696</v>
      </c>
      <c r="X194" s="102" t="s">
        <v>5944</v>
      </c>
      <c r="Y194" s="102" t="s">
        <v>5919</v>
      </c>
      <c r="Z194" s="102"/>
      <c r="AA194" s="102"/>
      <c r="AB194" s="102"/>
    </row>
    <row r="195">
      <c r="A195" s="102" t="s">
        <v>276</v>
      </c>
      <c r="B195" s="102" t="s">
        <v>9469</v>
      </c>
      <c r="C195" s="229" t="s">
        <v>9470</v>
      </c>
      <c r="D195" s="102" t="s">
        <v>9471</v>
      </c>
      <c r="E195" s="102" t="s">
        <v>391</v>
      </c>
      <c r="F195" s="102" t="s">
        <v>392</v>
      </c>
      <c r="G195" s="102" t="s">
        <v>391</v>
      </c>
      <c r="H195" s="102" t="s">
        <v>392</v>
      </c>
      <c r="I195" s="102" t="s">
        <v>284</v>
      </c>
      <c r="J195" s="102" t="s">
        <v>26</v>
      </c>
      <c r="L195" s="229" t="s">
        <v>9472</v>
      </c>
      <c r="M195" s="229" t="s">
        <v>9473</v>
      </c>
      <c r="N195" s="102"/>
      <c r="O195" s="102"/>
      <c r="P195" s="102"/>
      <c r="R195" s="230"/>
      <c r="S195" s="230" t="str">
        <f>IF(ISNUMBER(MATCH(B195, 'Sprint 7'!B:B, 0)), "มาจาก Sprint 7", "")</f>
        <v>มาจาก Sprint 7</v>
      </c>
      <c r="T195" s="230" t="str">
        <f t="array" ref="T195">IF(ISNUMBER(MATCH(B195, 'Sprint 7'!B:B, 0)), INDEX('Sprint 7'!J:J, MATCH(B195, 'Sprint 7'!B:B, 0)), "")</f>
        <v>Done</v>
      </c>
      <c r="V195" s="102" t="s">
        <v>7695</v>
      </c>
      <c r="W195" s="102" t="s">
        <v>7696</v>
      </c>
      <c r="X195" s="102" t="s">
        <v>5944</v>
      </c>
      <c r="Y195" s="102" t="s">
        <v>5919</v>
      </c>
      <c r="Z195" s="102"/>
      <c r="AA195" s="102"/>
    </row>
    <row r="196">
      <c r="A196" s="102" t="s">
        <v>276</v>
      </c>
      <c r="B196" s="102" t="s">
        <v>9474</v>
      </c>
      <c r="C196" s="229" t="s">
        <v>9475</v>
      </c>
      <c r="D196" s="102" t="s">
        <v>4345</v>
      </c>
      <c r="E196" s="102" t="s">
        <v>391</v>
      </c>
      <c r="F196" s="102" t="s">
        <v>392</v>
      </c>
      <c r="G196" s="102" t="s">
        <v>391</v>
      </c>
      <c r="H196" s="102" t="s">
        <v>392</v>
      </c>
      <c r="I196" s="102" t="s">
        <v>284</v>
      </c>
      <c r="J196" s="102" t="s">
        <v>26</v>
      </c>
      <c r="L196" s="229" t="s">
        <v>9472</v>
      </c>
      <c r="M196" s="229" t="s">
        <v>9466</v>
      </c>
      <c r="O196" s="102"/>
      <c r="P196" s="102"/>
      <c r="R196" s="230"/>
      <c r="S196" s="230" t="str">
        <f>IF(ISNUMBER(MATCH(B196, 'Sprint 7'!B:B, 0)), "มาจาก Sprint 7", "")</f>
        <v>มาจาก Sprint 7</v>
      </c>
      <c r="T196" s="230" t="str">
        <f t="array" ref="T196">IF(ISNUMBER(MATCH(B196, 'Sprint 7'!B:B, 0)), INDEX('Sprint 7'!J:J, MATCH(B196, 'Sprint 7'!B:B, 0)), "")</f>
        <v>Done</v>
      </c>
      <c r="V196" s="102" t="s">
        <v>7695</v>
      </c>
      <c r="W196" s="102" t="s">
        <v>7696</v>
      </c>
      <c r="X196" s="102" t="s">
        <v>5944</v>
      </c>
      <c r="Y196" s="102" t="s">
        <v>5919</v>
      </c>
      <c r="Z196" s="102"/>
    </row>
    <row r="197">
      <c r="A197" s="102" t="s">
        <v>276</v>
      </c>
      <c r="B197" s="102" t="s">
        <v>9476</v>
      </c>
      <c r="C197" s="229" t="s">
        <v>9477</v>
      </c>
      <c r="D197" s="102" t="s">
        <v>4345</v>
      </c>
      <c r="E197" s="102" t="s">
        <v>391</v>
      </c>
      <c r="F197" s="102" t="s">
        <v>392</v>
      </c>
      <c r="G197" s="102" t="s">
        <v>391</v>
      </c>
      <c r="H197" s="102" t="s">
        <v>392</v>
      </c>
      <c r="I197" s="102" t="s">
        <v>284</v>
      </c>
      <c r="J197" s="102" t="s">
        <v>26</v>
      </c>
      <c r="L197" s="229" t="s">
        <v>9472</v>
      </c>
      <c r="M197" s="229" t="s">
        <v>9466</v>
      </c>
      <c r="O197" s="102"/>
      <c r="P197" s="102"/>
      <c r="Q197" s="102"/>
      <c r="R197" s="230"/>
      <c r="S197" s="230" t="str">
        <f>IF(ISNUMBER(MATCH(B197, 'Sprint 7'!B:B, 0)), "มาจาก Sprint 7", "")</f>
        <v>มาจาก Sprint 7</v>
      </c>
      <c r="T197" s="230" t="str">
        <f t="array" ref="T197">IF(ISNUMBER(MATCH(B197, 'Sprint 7'!B:B, 0)), INDEX('Sprint 7'!J:J, MATCH(B197, 'Sprint 7'!B:B, 0)), "")</f>
        <v>Done</v>
      </c>
      <c r="V197" s="102" t="s">
        <v>7695</v>
      </c>
      <c r="W197" s="102" t="s">
        <v>7696</v>
      </c>
      <c r="X197" s="102" t="s">
        <v>5944</v>
      </c>
      <c r="Y197" s="102" t="s">
        <v>5919</v>
      </c>
      <c r="Z197" s="102"/>
    </row>
    <row r="198">
      <c r="A198" s="102" t="s">
        <v>276</v>
      </c>
      <c r="B198" s="102" t="s">
        <v>9478</v>
      </c>
      <c r="C198" s="229" t="s">
        <v>9479</v>
      </c>
      <c r="D198" s="102" t="s">
        <v>9480</v>
      </c>
      <c r="E198" s="102" t="s">
        <v>391</v>
      </c>
      <c r="F198" s="102" t="s">
        <v>392</v>
      </c>
      <c r="G198" s="102" t="s">
        <v>391</v>
      </c>
      <c r="H198" s="102" t="s">
        <v>392</v>
      </c>
      <c r="I198" s="102" t="s">
        <v>284</v>
      </c>
      <c r="J198" s="102" t="s">
        <v>26</v>
      </c>
      <c r="L198" s="229" t="s">
        <v>9481</v>
      </c>
      <c r="M198" s="229" t="s">
        <v>9482</v>
      </c>
      <c r="O198" s="102"/>
      <c r="P198" s="102"/>
      <c r="Q198" s="102"/>
      <c r="R198" s="230"/>
      <c r="S198" s="230" t="str">
        <f>IF(ISNUMBER(MATCH(B198, 'Sprint 7'!B:B, 0)), "มาจาก Sprint 7", "")</f>
        <v>มาจาก Sprint 7</v>
      </c>
      <c r="T198" s="230" t="str">
        <f t="array" ref="T198">IF(ISNUMBER(MATCH(B198, 'Sprint 7'!B:B, 0)), INDEX('Sprint 7'!J:J, MATCH(B198, 'Sprint 7'!B:B, 0)), "")</f>
        <v>Done</v>
      </c>
      <c r="V198" s="102" t="s">
        <v>7695</v>
      </c>
      <c r="W198" s="102" t="s">
        <v>7696</v>
      </c>
      <c r="X198" s="102" t="s">
        <v>5944</v>
      </c>
      <c r="Y198" s="102" t="s">
        <v>5919</v>
      </c>
      <c r="Z198" s="102"/>
    </row>
    <row r="199">
      <c r="A199" s="102" t="s">
        <v>276</v>
      </c>
      <c r="B199" s="102" t="s">
        <v>9483</v>
      </c>
      <c r="C199" s="229" t="s">
        <v>9484</v>
      </c>
      <c r="D199" s="102" t="s">
        <v>9485</v>
      </c>
      <c r="E199" s="102" t="s">
        <v>391</v>
      </c>
      <c r="F199" s="102" t="s">
        <v>392</v>
      </c>
      <c r="G199" s="102" t="s">
        <v>391</v>
      </c>
      <c r="H199" s="102" t="s">
        <v>392</v>
      </c>
      <c r="I199" s="102" t="s">
        <v>284</v>
      </c>
      <c r="J199" s="102" t="s">
        <v>26</v>
      </c>
      <c r="L199" s="229" t="s">
        <v>9481</v>
      </c>
      <c r="M199" s="229" t="s">
        <v>9486</v>
      </c>
      <c r="N199" s="102"/>
      <c r="O199" s="102"/>
      <c r="P199" s="102"/>
      <c r="R199" s="230"/>
      <c r="S199" s="230" t="str">
        <f>IF(ISNUMBER(MATCH(B199, 'Sprint 7'!B:B, 0)), "มาจาก Sprint 7", "")</f>
        <v>มาจาก Sprint 7</v>
      </c>
      <c r="T199" s="230" t="str">
        <f t="array" ref="T199">IF(ISNUMBER(MATCH(B199, 'Sprint 7'!B:B, 0)), INDEX('Sprint 7'!J:J, MATCH(B199, 'Sprint 7'!B:B, 0)), "")</f>
        <v>Done</v>
      </c>
      <c r="V199" s="102" t="s">
        <v>7695</v>
      </c>
      <c r="W199" s="102" t="s">
        <v>7696</v>
      </c>
      <c r="X199" s="102" t="s">
        <v>5944</v>
      </c>
      <c r="Y199" s="102" t="s">
        <v>5919</v>
      </c>
      <c r="Z199" s="102"/>
      <c r="AA199" s="102"/>
    </row>
    <row r="200">
      <c r="A200" s="102" t="s">
        <v>276</v>
      </c>
      <c r="B200" s="102" t="s">
        <v>9487</v>
      </c>
      <c r="C200" s="229" t="s">
        <v>9488</v>
      </c>
      <c r="D200" s="102" t="s">
        <v>9489</v>
      </c>
      <c r="E200" s="102" t="s">
        <v>521</v>
      </c>
      <c r="F200" s="102" t="s">
        <v>522</v>
      </c>
      <c r="G200" s="102" t="s">
        <v>391</v>
      </c>
      <c r="H200" s="102" t="s">
        <v>392</v>
      </c>
      <c r="I200" s="102" t="s">
        <v>284</v>
      </c>
      <c r="J200" s="102" t="s">
        <v>26</v>
      </c>
      <c r="L200" s="229" t="s">
        <v>9481</v>
      </c>
      <c r="M200" s="229" t="s">
        <v>9490</v>
      </c>
      <c r="O200" s="102"/>
      <c r="P200" s="102"/>
      <c r="Q200" s="102"/>
      <c r="R200" s="230"/>
      <c r="S200" s="230" t="str">
        <f>IF(ISNUMBER(MATCH(B200, 'Sprint 7'!B:B, 0)), "มาจาก Sprint 7", "")</f>
        <v>มาจาก Sprint 7</v>
      </c>
      <c r="T200" s="230" t="str">
        <f t="array" ref="T200">IF(ISNUMBER(MATCH(B200, 'Sprint 7'!B:B, 0)), INDEX('Sprint 7'!J:J, MATCH(B200, 'Sprint 7'!B:B, 0)), "")</f>
        <v>Done</v>
      </c>
      <c r="V200" s="102" t="s">
        <v>7695</v>
      </c>
      <c r="W200" s="102" t="s">
        <v>7696</v>
      </c>
      <c r="X200" s="102" t="s">
        <v>5944</v>
      </c>
      <c r="Y200" s="102" t="s">
        <v>5919</v>
      </c>
      <c r="Z200" s="102"/>
      <c r="AA200" s="102"/>
    </row>
    <row r="201">
      <c r="A201" s="102" t="s">
        <v>276</v>
      </c>
      <c r="B201" s="102" t="s">
        <v>9491</v>
      </c>
      <c r="C201" s="229" t="s">
        <v>9492</v>
      </c>
      <c r="D201" s="102" t="s">
        <v>9493</v>
      </c>
      <c r="E201" s="102" t="s">
        <v>521</v>
      </c>
      <c r="F201" s="102" t="s">
        <v>522</v>
      </c>
      <c r="G201" s="102" t="s">
        <v>391</v>
      </c>
      <c r="H201" s="102" t="s">
        <v>392</v>
      </c>
      <c r="I201" s="102" t="s">
        <v>284</v>
      </c>
      <c r="J201" s="102" t="s">
        <v>26</v>
      </c>
      <c r="L201" s="229" t="s">
        <v>9481</v>
      </c>
      <c r="M201" s="229" t="s">
        <v>9494</v>
      </c>
      <c r="N201" s="102"/>
      <c r="O201" s="102"/>
      <c r="P201" s="102"/>
      <c r="Q201" s="102"/>
      <c r="R201" s="230"/>
      <c r="S201" s="230" t="str">
        <f>IF(ISNUMBER(MATCH(B201, 'Sprint 7'!B:B, 0)), "มาจาก Sprint 7", "")</f>
        <v>มาจาก Sprint 7</v>
      </c>
      <c r="T201" s="230" t="str">
        <f t="array" ref="T201">IF(ISNUMBER(MATCH(B201, 'Sprint 7'!B:B, 0)), INDEX('Sprint 7'!J:J, MATCH(B201, 'Sprint 7'!B:B, 0)), "")</f>
        <v>Done</v>
      </c>
      <c r="V201" s="102" t="s">
        <v>7695</v>
      </c>
      <c r="W201" s="102" t="s">
        <v>7696</v>
      </c>
      <c r="X201" s="102" t="s">
        <v>5944</v>
      </c>
      <c r="Y201" s="102" t="s">
        <v>5919</v>
      </c>
      <c r="Z201" s="102"/>
      <c r="AA201" s="102"/>
    </row>
    <row r="202">
      <c r="A202" s="102" t="s">
        <v>276</v>
      </c>
      <c r="B202" s="102" t="s">
        <v>9495</v>
      </c>
      <c r="C202" s="229" t="s">
        <v>9496</v>
      </c>
      <c r="D202" s="102" t="s">
        <v>9497</v>
      </c>
      <c r="E202" s="102" t="s">
        <v>3288</v>
      </c>
      <c r="F202" s="102" t="s">
        <v>3289</v>
      </c>
      <c r="G202" s="102" t="s">
        <v>391</v>
      </c>
      <c r="H202" s="102" t="s">
        <v>392</v>
      </c>
      <c r="I202" s="102" t="s">
        <v>284</v>
      </c>
      <c r="J202" s="102" t="s">
        <v>26</v>
      </c>
      <c r="L202" s="229" t="s">
        <v>9498</v>
      </c>
      <c r="M202" s="229" t="s">
        <v>9499</v>
      </c>
      <c r="N202" s="102"/>
      <c r="O202" s="102"/>
      <c r="P202" s="102"/>
      <c r="Q202" s="102"/>
      <c r="R202" s="230"/>
      <c r="S202" s="230" t="str">
        <f>IF(ISNUMBER(MATCH(B202, 'Sprint 7'!B:B, 0)), "มาจาก Sprint 7", "")</f>
        <v>มาจาก Sprint 7</v>
      </c>
      <c r="T202" s="230" t="str">
        <f t="array" ref="T202">IF(ISNUMBER(MATCH(B202, 'Sprint 7'!B:B, 0)), INDEX('Sprint 7'!J:J, MATCH(B202, 'Sprint 7'!B:B, 0)), "")</f>
        <v>Done</v>
      </c>
      <c r="V202" s="102" t="s">
        <v>7695</v>
      </c>
      <c r="W202" s="102" t="s">
        <v>7696</v>
      </c>
      <c r="X202" s="102" t="s">
        <v>5944</v>
      </c>
      <c r="Y202" s="102" t="s">
        <v>5919</v>
      </c>
      <c r="Z202" s="102"/>
      <c r="AA202" s="102"/>
    </row>
    <row r="203">
      <c r="A203" s="102" t="s">
        <v>276</v>
      </c>
      <c r="B203" s="102" t="s">
        <v>9500</v>
      </c>
      <c r="C203" s="229" t="s">
        <v>9501</v>
      </c>
      <c r="D203" s="102" t="s">
        <v>9502</v>
      </c>
      <c r="E203" s="102" t="s">
        <v>3288</v>
      </c>
      <c r="F203" s="102" t="s">
        <v>3289</v>
      </c>
      <c r="G203" s="102" t="s">
        <v>391</v>
      </c>
      <c r="H203" s="102" t="s">
        <v>392</v>
      </c>
      <c r="I203" s="102" t="s">
        <v>284</v>
      </c>
      <c r="J203" s="102" t="s">
        <v>26</v>
      </c>
      <c r="L203" s="229" t="s">
        <v>9503</v>
      </c>
      <c r="M203" s="229" t="s">
        <v>9499</v>
      </c>
      <c r="N203" s="102"/>
      <c r="O203" s="102"/>
      <c r="P203" s="102"/>
      <c r="Q203" s="102"/>
      <c r="R203" s="230"/>
      <c r="S203" s="230" t="str">
        <f>IF(ISNUMBER(MATCH(B203, 'Sprint 7'!B:B, 0)), "มาจาก Sprint 7", "")</f>
        <v>มาจาก Sprint 7</v>
      </c>
      <c r="T203" s="230" t="str">
        <f t="array" ref="T203">IF(ISNUMBER(MATCH(B203, 'Sprint 7'!B:B, 0)), INDEX('Sprint 7'!J:J, MATCH(B203, 'Sprint 7'!B:B, 0)), "")</f>
        <v>Done</v>
      </c>
      <c r="V203" s="102" t="s">
        <v>7695</v>
      </c>
      <c r="W203" s="102" t="s">
        <v>7696</v>
      </c>
      <c r="X203" s="102" t="s">
        <v>5944</v>
      </c>
      <c r="Y203" s="102" t="s">
        <v>5919</v>
      </c>
      <c r="Z203" s="102"/>
      <c r="AA203" s="102"/>
    </row>
    <row r="204">
      <c r="A204" s="102" t="s">
        <v>332</v>
      </c>
      <c r="B204" s="102" t="s">
        <v>9504</v>
      </c>
      <c r="C204" s="229" t="s">
        <v>9505</v>
      </c>
      <c r="D204" s="102" t="s">
        <v>9506</v>
      </c>
      <c r="E204" s="102" t="s">
        <v>282</v>
      </c>
      <c r="F204" s="102" t="s">
        <v>283</v>
      </c>
      <c r="G204" s="102" t="s">
        <v>316</v>
      </c>
      <c r="H204" s="102" t="s">
        <v>317</v>
      </c>
      <c r="I204" s="102" t="s">
        <v>515</v>
      </c>
      <c r="J204" s="102" t="s">
        <v>336</v>
      </c>
      <c r="L204" s="229" t="s">
        <v>9507</v>
      </c>
      <c r="M204" s="229" t="s">
        <v>9508</v>
      </c>
      <c r="N204" s="229" t="s">
        <v>9509</v>
      </c>
      <c r="O204" s="102"/>
      <c r="P204" s="102" t="s">
        <v>368</v>
      </c>
      <c r="Q204" s="102"/>
      <c r="R204" s="230"/>
      <c r="S204" s="230" t="str">
        <f>IF(ISNUMBER(MATCH(B204, 'Sprint 7'!B:B, 0)), "มาจาก Sprint 7", "")</f>
        <v/>
      </c>
      <c r="T204" s="230" t="str">
        <f t="array" ref="T204">IF(ISNUMBER(MATCH(B204, 'Sprint 7'!B:B, 0)), INDEX('Sprint 7'!J:J, MATCH(B204, 'Sprint 7'!B:B, 0)), "")</f>
        <v/>
      </c>
      <c r="V204" s="102" t="s">
        <v>8806</v>
      </c>
      <c r="W204" s="102"/>
      <c r="X204" s="102"/>
      <c r="Y204" s="102"/>
      <c r="Z204" s="102"/>
      <c r="AA204" s="102"/>
    </row>
    <row r="205">
      <c r="A205" s="102" t="s">
        <v>310</v>
      </c>
      <c r="B205" s="102" t="s">
        <v>9510</v>
      </c>
      <c r="C205" s="229" t="s">
        <v>9511</v>
      </c>
      <c r="D205" s="102" t="s">
        <v>9512</v>
      </c>
      <c r="E205" s="102" t="s">
        <v>304</v>
      </c>
      <c r="F205" s="102" t="s">
        <v>305</v>
      </c>
      <c r="G205" s="102" t="s">
        <v>353</v>
      </c>
      <c r="H205" s="102" t="s">
        <v>354</v>
      </c>
      <c r="I205" s="102" t="s">
        <v>284</v>
      </c>
      <c r="J205" s="102" t="s">
        <v>26</v>
      </c>
      <c r="L205" s="229" t="s">
        <v>9513</v>
      </c>
      <c r="M205" s="229" t="s">
        <v>9514</v>
      </c>
      <c r="O205" s="102">
        <v>2.0</v>
      </c>
      <c r="P205" s="102"/>
      <c r="Q205" s="102"/>
      <c r="R205" s="102"/>
      <c r="S205" s="230" t="str">
        <f>IF(ISNUMBER(MATCH(B205, 'Sprint 7'!B:B, 0)), "มาจาก Sprint 7", "")</f>
        <v>มาจาก Sprint 7</v>
      </c>
      <c r="T205" s="230" t="str">
        <f t="array" ref="T205">IF(ISNUMBER(MATCH(B205, 'Sprint 7'!B:B, 0)), INDEX('Sprint 7'!J:J, MATCH(B205, 'Sprint 7'!B:B, 0)), "")</f>
        <v>Ready To Test</v>
      </c>
      <c r="V205" s="102" t="s">
        <v>7695</v>
      </c>
      <c r="W205" s="102" t="s">
        <v>7696</v>
      </c>
      <c r="X205" s="102" t="s">
        <v>5944</v>
      </c>
      <c r="Y205" s="102" t="s">
        <v>5919</v>
      </c>
      <c r="Z205" s="102"/>
      <c r="AA205" s="102"/>
    </row>
    <row r="206">
      <c r="A206" s="102" t="s">
        <v>310</v>
      </c>
      <c r="B206" s="102" t="s">
        <v>9515</v>
      </c>
      <c r="C206" s="229" t="s">
        <v>9516</v>
      </c>
      <c r="D206" s="102" t="s">
        <v>9517</v>
      </c>
      <c r="E206" s="102" t="s">
        <v>495</v>
      </c>
      <c r="F206" s="102" t="s">
        <v>496</v>
      </c>
      <c r="G206" s="102" t="s">
        <v>304</v>
      </c>
      <c r="H206" s="102" t="s">
        <v>305</v>
      </c>
      <c r="I206" s="102" t="s">
        <v>515</v>
      </c>
      <c r="J206" s="102" t="s">
        <v>26</v>
      </c>
      <c r="L206" s="229" t="s">
        <v>9518</v>
      </c>
      <c r="M206" s="229" t="s">
        <v>9519</v>
      </c>
      <c r="O206" s="102">
        <v>5.0</v>
      </c>
      <c r="P206" s="102" t="s">
        <v>538</v>
      </c>
      <c r="Q206" s="102"/>
      <c r="R206" s="102">
        <v>0.0</v>
      </c>
      <c r="S206" s="230" t="str">
        <f>IF(ISNUMBER(MATCH(B206, 'Sprint 7'!B:B, 0)), "มาจาก Sprint 7", "")</f>
        <v>มาจาก Sprint 7</v>
      </c>
      <c r="T206" s="230" t="str">
        <f t="array" ref="T206">IF(ISNUMBER(MATCH(B206, 'Sprint 7'!B:B, 0)), INDEX('Sprint 7'!J:J, MATCH(B206, 'Sprint 7'!B:B, 0)), "")</f>
        <v>Ready To Test</v>
      </c>
      <c r="U206" s="102">
        <v>57600.0</v>
      </c>
      <c r="V206" s="102" t="s">
        <v>5944</v>
      </c>
      <c r="W206" s="102" t="s">
        <v>5919</v>
      </c>
      <c r="X206" s="102"/>
      <c r="Y206" s="102"/>
      <c r="Z206" s="102"/>
      <c r="AA206" s="102"/>
    </row>
    <row r="207">
      <c r="A207" s="102" t="s">
        <v>310</v>
      </c>
      <c r="B207" s="102" t="s">
        <v>7772</v>
      </c>
      <c r="C207" s="229" t="s">
        <v>7773</v>
      </c>
      <c r="D207" s="102" t="s">
        <v>7774</v>
      </c>
      <c r="E207" s="102" t="s">
        <v>282</v>
      </c>
      <c r="F207" s="102" t="s">
        <v>283</v>
      </c>
      <c r="G207" s="102" t="s">
        <v>282</v>
      </c>
      <c r="H207" s="102" t="s">
        <v>283</v>
      </c>
      <c r="I207" s="102" t="s">
        <v>648</v>
      </c>
      <c r="J207" s="102" t="s">
        <v>26</v>
      </c>
      <c r="L207" s="229" t="s">
        <v>7775</v>
      </c>
      <c r="M207" s="229" t="s">
        <v>9520</v>
      </c>
      <c r="O207" s="102">
        <v>1.0</v>
      </c>
      <c r="P207" s="102"/>
      <c r="Q207" s="102"/>
      <c r="R207" s="230"/>
      <c r="S207" s="230" t="str">
        <f>IF(ISNUMBER(MATCH(B207, 'Sprint 7'!B:B, 0)), "มาจาก Sprint 7", "")</f>
        <v>มาจาก Sprint 7</v>
      </c>
      <c r="T207" s="230" t="str">
        <f t="array" ref="T207">IF(ISNUMBER(MATCH(B207, 'Sprint 7'!B:B, 0)), INDEX('Sprint 7'!J:J, MATCH(B207, 'Sprint 7'!B:B, 0)), "")</f>
        <v>To Do</v>
      </c>
      <c r="V207" s="102" t="s">
        <v>7695</v>
      </c>
      <c r="W207" s="102" t="s">
        <v>7696</v>
      </c>
      <c r="X207" s="102" t="s">
        <v>5944</v>
      </c>
      <c r="Y207" s="102" t="s">
        <v>5919</v>
      </c>
      <c r="Z207" s="102"/>
      <c r="AA207" s="102"/>
      <c r="AB207" s="102"/>
      <c r="AC207" s="102"/>
    </row>
    <row r="208">
      <c r="A208" s="102" t="s">
        <v>310</v>
      </c>
      <c r="B208" s="102" t="s">
        <v>9521</v>
      </c>
      <c r="C208" s="229" t="s">
        <v>9522</v>
      </c>
      <c r="D208" s="102" t="s">
        <v>9523</v>
      </c>
      <c r="E208" s="102" t="s">
        <v>353</v>
      </c>
      <c r="F208" s="102" t="s">
        <v>354</v>
      </c>
      <c r="G208" s="102" t="s">
        <v>353</v>
      </c>
      <c r="H208" s="102" t="s">
        <v>354</v>
      </c>
      <c r="I208" s="102" t="s">
        <v>284</v>
      </c>
      <c r="J208" s="102" t="s">
        <v>26</v>
      </c>
      <c r="L208" s="229" t="s">
        <v>9524</v>
      </c>
      <c r="M208" s="229" t="s">
        <v>9216</v>
      </c>
      <c r="O208" s="102">
        <v>1.0</v>
      </c>
      <c r="P208" s="102" t="s">
        <v>593</v>
      </c>
      <c r="R208" s="102">
        <v>3600.0</v>
      </c>
      <c r="S208" s="230" t="str">
        <f>IF(ISNUMBER(MATCH(B208, 'Sprint 7'!B:B, 0)), "มาจาก Sprint 7", "")</f>
        <v>มาจาก Sprint 7</v>
      </c>
      <c r="T208" s="230" t="str">
        <f t="array" ref="T208">IF(ISNUMBER(MATCH(B208, 'Sprint 7'!B:B, 0)), INDEX('Sprint 7'!J:J, MATCH(B208, 'Sprint 7'!B:B, 0)), "")</f>
        <v>In Progress</v>
      </c>
      <c r="U208" s="102" t="s">
        <v>3949</v>
      </c>
      <c r="V208" s="102" t="s">
        <v>7695</v>
      </c>
      <c r="W208" s="102" t="s">
        <v>7696</v>
      </c>
      <c r="X208" s="102" t="s">
        <v>5944</v>
      </c>
      <c r="Y208" s="102" t="s">
        <v>5919</v>
      </c>
      <c r="Z208" s="102"/>
      <c r="AA208" s="102"/>
      <c r="AB208" s="102"/>
      <c r="AC208" s="102"/>
    </row>
    <row r="209">
      <c r="A209" s="102" t="s">
        <v>310</v>
      </c>
      <c r="B209" s="102" t="s">
        <v>9525</v>
      </c>
      <c r="C209" s="229" t="s">
        <v>9526</v>
      </c>
      <c r="D209" s="102" t="s">
        <v>9527</v>
      </c>
      <c r="E209" s="102" t="s">
        <v>304</v>
      </c>
      <c r="F209" s="102" t="s">
        <v>305</v>
      </c>
      <c r="G209" s="102" t="s">
        <v>353</v>
      </c>
      <c r="H209" s="102" t="s">
        <v>354</v>
      </c>
      <c r="I209" s="102" t="s">
        <v>515</v>
      </c>
      <c r="J209" s="102" t="s">
        <v>26</v>
      </c>
      <c r="L209" s="229" t="s">
        <v>9528</v>
      </c>
      <c r="M209" s="229" t="s">
        <v>9529</v>
      </c>
      <c r="O209" s="102">
        <v>2.0</v>
      </c>
      <c r="P209" s="102"/>
      <c r="Q209" s="102"/>
      <c r="R209" s="102">
        <v>0.0</v>
      </c>
      <c r="S209" s="230" t="str">
        <f>IF(ISNUMBER(MATCH(B209, 'Sprint 7'!B:B, 0)), "มาจาก Sprint 7", "")</f>
        <v>มาจาก Sprint 7</v>
      </c>
      <c r="T209" s="230" t="str">
        <f t="array" ref="T209">IF(ISNUMBER(MATCH(B209, 'Sprint 7'!B:B, 0)), INDEX('Sprint 7'!J:J, MATCH(B209, 'Sprint 7'!B:B, 0)), "")</f>
        <v>Ready To Test</v>
      </c>
      <c r="U209" s="102">
        <v>7200.0</v>
      </c>
      <c r="V209" s="102" t="s">
        <v>7695</v>
      </c>
      <c r="W209" s="102" t="s">
        <v>7696</v>
      </c>
      <c r="X209" s="102" t="s">
        <v>5944</v>
      </c>
      <c r="Y209" s="102" t="s">
        <v>5919</v>
      </c>
      <c r="Z209" s="102"/>
      <c r="AA209" s="102"/>
    </row>
    <row r="210">
      <c r="A210" s="102" t="s">
        <v>310</v>
      </c>
      <c r="B210" s="102" t="s">
        <v>9530</v>
      </c>
      <c r="C210" s="229" t="s">
        <v>9531</v>
      </c>
      <c r="D210" s="102" t="s">
        <v>9532</v>
      </c>
      <c r="E210" s="102" t="s">
        <v>304</v>
      </c>
      <c r="F210" s="102" t="s">
        <v>305</v>
      </c>
      <c r="G210" s="102" t="s">
        <v>353</v>
      </c>
      <c r="H210" s="102" t="s">
        <v>354</v>
      </c>
      <c r="I210" s="102" t="s">
        <v>515</v>
      </c>
      <c r="J210" s="102" t="s">
        <v>26</v>
      </c>
      <c r="L210" s="229" t="s">
        <v>9533</v>
      </c>
      <c r="M210" s="229" t="s">
        <v>9390</v>
      </c>
      <c r="O210" s="102">
        <v>2.0</v>
      </c>
      <c r="P210" s="102" t="s">
        <v>7525</v>
      </c>
      <c r="R210" s="102">
        <v>0.0</v>
      </c>
      <c r="S210" s="230" t="str">
        <f>IF(ISNUMBER(MATCH(B210, 'Sprint 7'!B:B, 0)), "มาจาก Sprint 7", "")</f>
        <v>มาจาก Sprint 7</v>
      </c>
      <c r="T210" s="230" t="str">
        <f t="array" ref="T210">IF(ISNUMBER(MATCH(B210, 'Sprint 7'!B:B, 0)), INDEX('Sprint 7'!J:J, MATCH(B210, 'Sprint 7'!B:B, 0)), "")</f>
        <v>Ready To Test</v>
      </c>
      <c r="U210" s="102">
        <v>10800.0</v>
      </c>
      <c r="V210" s="102" t="s">
        <v>7695</v>
      </c>
      <c r="W210" s="102" t="s">
        <v>7696</v>
      </c>
      <c r="X210" s="102" t="s">
        <v>5944</v>
      </c>
      <c r="Y210" s="102" t="s">
        <v>5919</v>
      </c>
      <c r="Z210" s="102"/>
      <c r="AA210" s="102"/>
      <c r="AB210" s="102"/>
      <c r="AC210" s="102"/>
    </row>
    <row r="211">
      <c r="A211" s="102" t="s">
        <v>310</v>
      </c>
      <c r="B211" s="102" t="s">
        <v>9534</v>
      </c>
      <c r="C211" s="229" t="s">
        <v>9535</v>
      </c>
      <c r="D211" s="102" t="s">
        <v>9536</v>
      </c>
      <c r="E211" s="102" t="s">
        <v>9102</v>
      </c>
      <c r="F211" s="102" t="s">
        <v>6861</v>
      </c>
      <c r="G211" s="102" t="s">
        <v>353</v>
      </c>
      <c r="H211" s="102" t="s">
        <v>354</v>
      </c>
      <c r="I211" s="102" t="s">
        <v>318</v>
      </c>
      <c r="J211" s="102" t="s">
        <v>26</v>
      </c>
      <c r="L211" s="229" t="s">
        <v>9537</v>
      </c>
      <c r="M211" s="229" t="s">
        <v>9538</v>
      </c>
      <c r="N211" s="102"/>
      <c r="O211" s="102">
        <v>5.0</v>
      </c>
      <c r="P211" s="102" t="s">
        <v>538</v>
      </c>
      <c r="Q211" s="102"/>
      <c r="R211" s="102"/>
      <c r="S211" s="230" t="str">
        <f>IF(ISNUMBER(MATCH(B211, 'Sprint 7'!B:B, 0)), "มาจาก Sprint 7", "")</f>
        <v>มาจาก Sprint 7</v>
      </c>
      <c r="T211" s="230" t="str">
        <f t="array" ref="T211">IF(ISNUMBER(MATCH(B211, 'Sprint 7'!B:B, 0)), INDEX('Sprint 7'!J:J, MATCH(B211, 'Sprint 7'!B:B, 0)), "")</f>
        <v>Ready To Test</v>
      </c>
      <c r="U211" s="102"/>
      <c r="V211" s="102" t="s">
        <v>7695</v>
      </c>
      <c r="W211" s="102" t="s">
        <v>7696</v>
      </c>
      <c r="X211" s="102" t="s">
        <v>5944</v>
      </c>
      <c r="Y211" s="102" t="s">
        <v>5919</v>
      </c>
      <c r="Z211" s="102"/>
      <c r="AA211" s="102"/>
      <c r="AB211" s="102"/>
      <c r="AC211" s="102"/>
    </row>
    <row r="212">
      <c r="A212" s="102" t="s">
        <v>310</v>
      </c>
      <c r="B212" s="102" t="s">
        <v>9539</v>
      </c>
      <c r="C212" s="229" t="s">
        <v>9540</v>
      </c>
      <c r="D212" s="102" t="s">
        <v>9541</v>
      </c>
      <c r="E212" s="102" t="s">
        <v>556</v>
      </c>
      <c r="F212" s="102" t="s">
        <v>557</v>
      </c>
      <c r="G212" s="102" t="s">
        <v>353</v>
      </c>
      <c r="H212" s="102" t="s">
        <v>354</v>
      </c>
      <c r="I212" s="102" t="s">
        <v>318</v>
      </c>
      <c r="J212" s="102" t="s">
        <v>26</v>
      </c>
      <c r="L212" s="229" t="s">
        <v>9542</v>
      </c>
      <c r="M212" s="229" t="s">
        <v>9543</v>
      </c>
      <c r="N212" s="229" t="s">
        <v>9544</v>
      </c>
      <c r="O212" s="102">
        <v>3.0</v>
      </c>
      <c r="P212" s="102" t="s">
        <v>6872</v>
      </c>
      <c r="R212" s="102">
        <v>0.0</v>
      </c>
      <c r="S212" s="230" t="str">
        <f>IF(ISNUMBER(MATCH(B212, 'Sprint 7'!B:B, 0)), "มาจาก Sprint 7", "")</f>
        <v>มาจาก Sprint 7</v>
      </c>
      <c r="T212" s="230" t="str">
        <f t="array" ref="T212">IF(ISNUMBER(MATCH(B212, 'Sprint 7'!B:B, 0)), INDEX('Sprint 7'!J:J, MATCH(B212, 'Sprint 7'!B:B, 0)), "")</f>
        <v>Ready To Test</v>
      </c>
      <c r="U212" s="102">
        <v>28800.0</v>
      </c>
      <c r="V212" s="102" t="s">
        <v>7695</v>
      </c>
      <c r="W212" s="102" t="s">
        <v>7696</v>
      </c>
      <c r="X212" s="102" t="s">
        <v>5944</v>
      </c>
      <c r="Y212" s="102" t="s">
        <v>5919</v>
      </c>
      <c r="Z212" s="102"/>
      <c r="AA212" s="102"/>
      <c r="AB212" s="102"/>
      <c r="AC212" s="102"/>
    </row>
    <row r="213">
      <c r="A213" s="102" t="s">
        <v>310</v>
      </c>
      <c r="B213" s="102" t="s">
        <v>9545</v>
      </c>
      <c r="C213" s="229" t="s">
        <v>9546</v>
      </c>
      <c r="D213" s="102" t="s">
        <v>9547</v>
      </c>
      <c r="E213" s="102" t="s">
        <v>9102</v>
      </c>
      <c r="F213" s="102" t="s">
        <v>6861</v>
      </c>
      <c r="G213" s="102" t="s">
        <v>353</v>
      </c>
      <c r="H213" s="102" t="s">
        <v>354</v>
      </c>
      <c r="I213" s="102" t="s">
        <v>318</v>
      </c>
      <c r="J213" s="102" t="s">
        <v>26</v>
      </c>
      <c r="L213" s="229" t="s">
        <v>9548</v>
      </c>
      <c r="M213" s="229" t="s">
        <v>9549</v>
      </c>
      <c r="N213" s="229" t="s">
        <v>7735</v>
      </c>
      <c r="O213" s="102">
        <v>5.0</v>
      </c>
      <c r="P213" s="102"/>
      <c r="R213" s="102"/>
      <c r="S213" s="230" t="str">
        <f>IF(ISNUMBER(MATCH(B213, 'Sprint 7'!B:B, 0)), "มาจาก Sprint 7", "")</f>
        <v>มาจาก Sprint 7</v>
      </c>
      <c r="T213" s="230" t="str">
        <f t="array" ref="T213">IF(ISNUMBER(MATCH(B213, 'Sprint 7'!B:B, 0)), INDEX('Sprint 7'!J:J, MATCH(B213, 'Sprint 7'!B:B, 0)), "")</f>
        <v>Ready To Test</v>
      </c>
      <c r="U213" s="102"/>
      <c r="V213" s="102" t="s">
        <v>7695</v>
      </c>
      <c r="W213" s="102" t="s">
        <v>7696</v>
      </c>
      <c r="X213" s="102" t="s">
        <v>5944</v>
      </c>
      <c r="Y213" s="102" t="s">
        <v>5919</v>
      </c>
      <c r="Z213" s="102"/>
      <c r="AA213" s="102"/>
      <c r="AB213" s="102"/>
      <c r="AC213" s="102"/>
    </row>
    <row r="214">
      <c r="A214" s="102" t="s">
        <v>310</v>
      </c>
      <c r="B214" s="102" t="s">
        <v>9550</v>
      </c>
      <c r="C214" s="229" t="s">
        <v>9551</v>
      </c>
      <c r="D214" s="102" t="s">
        <v>9552</v>
      </c>
      <c r="E214" s="102" t="s">
        <v>556</v>
      </c>
      <c r="F214" s="102" t="s">
        <v>557</v>
      </c>
      <c r="G214" s="102" t="s">
        <v>353</v>
      </c>
      <c r="H214" s="102" t="s">
        <v>354</v>
      </c>
      <c r="I214" s="102" t="s">
        <v>318</v>
      </c>
      <c r="J214" s="102" t="s">
        <v>26</v>
      </c>
      <c r="L214" s="229" t="s">
        <v>9553</v>
      </c>
      <c r="M214" s="229" t="s">
        <v>9549</v>
      </c>
      <c r="N214" s="229" t="s">
        <v>9554</v>
      </c>
      <c r="O214" s="102">
        <v>8.0</v>
      </c>
      <c r="P214" s="102"/>
      <c r="Q214" s="102"/>
      <c r="R214" s="102">
        <v>0.0</v>
      </c>
      <c r="S214" s="230" t="str">
        <f>IF(ISNUMBER(MATCH(B214, 'Sprint 7'!B:B, 0)), "มาจาก Sprint 7", "")</f>
        <v>มาจาก Sprint 7</v>
      </c>
      <c r="T214" s="230" t="str">
        <f t="array" ref="T214">IF(ISNUMBER(MATCH(B214, 'Sprint 7'!B:B, 0)), INDEX('Sprint 7'!J:J, MATCH(B214, 'Sprint 7'!B:B, 0)), "")</f>
        <v>Ready To Test</v>
      </c>
      <c r="U214" s="102">
        <v>86400.0</v>
      </c>
      <c r="V214" s="102" t="s">
        <v>7695</v>
      </c>
      <c r="W214" s="102" t="s">
        <v>7696</v>
      </c>
      <c r="X214" s="102" t="s">
        <v>5944</v>
      </c>
      <c r="Y214" s="102" t="s">
        <v>5919</v>
      </c>
      <c r="Z214" s="102"/>
      <c r="AA214" s="102"/>
      <c r="AB214" s="102"/>
      <c r="AC214" s="102"/>
    </row>
    <row r="215">
      <c r="A215" s="102" t="s">
        <v>310</v>
      </c>
      <c r="B215" s="102" t="s">
        <v>9555</v>
      </c>
      <c r="C215" s="229" t="s">
        <v>9556</v>
      </c>
      <c r="D215" s="102" t="s">
        <v>9557</v>
      </c>
      <c r="E215" s="102" t="s">
        <v>564</v>
      </c>
      <c r="F215" s="102" t="s">
        <v>565</v>
      </c>
      <c r="G215" s="102" t="s">
        <v>282</v>
      </c>
      <c r="H215" s="102" t="s">
        <v>283</v>
      </c>
      <c r="I215" s="102" t="s">
        <v>318</v>
      </c>
      <c r="J215" s="102" t="s">
        <v>26</v>
      </c>
      <c r="L215" s="229" t="s">
        <v>9558</v>
      </c>
      <c r="M215" s="229" t="s">
        <v>9559</v>
      </c>
      <c r="N215" s="229" t="s">
        <v>9554</v>
      </c>
      <c r="O215" s="102">
        <v>8.0</v>
      </c>
      <c r="P215" s="102"/>
      <c r="Q215" s="102"/>
      <c r="R215" s="102">
        <v>0.0</v>
      </c>
      <c r="S215" s="230" t="str">
        <f>IF(ISNUMBER(MATCH(B215, 'Sprint 7'!B:B, 0)), "มาจาก Sprint 7", "")</f>
        <v>มาจาก Sprint 7</v>
      </c>
      <c r="T215" s="230" t="str">
        <f t="array" ref="T215">IF(ISNUMBER(MATCH(B215, 'Sprint 7'!B:B, 0)), INDEX('Sprint 7'!J:J, MATCH(B215, 'Sprint 7'!B:B, 0)), "")</f>
        <v>Ready To Test</v>
      </c>
      <c r="U215" s="102">
        <v>86400.0</v>
      </c>
      <c r="V215" s="102" t="s">
        <v>7695</v>
      </c>
      <c r="W215" s="102" t="s">
        <v>7696</v>
      </c>
      <c r="X215" s="102" t="s">
        <v>5944</v>
      </c>
      <c r="Y215" s="102" t="s">
        <v>5919</v>
      </c>
      <c r="Z215" s="102"/>
      <c r="AA215" s="102"/>
      <c r="AB215" s="102"/>
      <c r="AC215" s="102"/>
    </row>
    <row r="216">
      <c r="A216" s="102" t="s">
        <v>310</v>
      </c>
      <c r="B216" s="102" t="s">
        <v>9560</v>
      </c>
      <c r="C216" s="229" t="s">
        <v>9561</v>
      </c>
      <c r="D216" s="102" t="s">
        <v>9562</v>
      </c>
      <c r="E216" s="102" t="s">
        <v>495</v>
      </c>
      <c r="F216" s="102" t="s">
        <v>496</v>
      </c>
      <c r="G216" s="102" t="s">
        <v>282</v>
      </c>
      <c r="H216" s="102" t="s">
        <v>283</v>
      </c>
      <c r="I216" s="102" t="s">
        <v>515</v>
      </c>
      <c r="J216" s="102" t="s">
        <v>26</v>
      </c>
      <c r="L216" s="229" t="s">
        <v>9563</v>
      </c>
      <c r="M216" s="229" t="s">
        <v>9564</v>
      </c>
      <c r="O216" s="102">
        <v>2.0</v>
      </c>
      <c r="P216" s="102"/>
      <c r="Q216" s="102"/>
      <c r="R216" s="102">
        <v>0.0</v>
      </c>
      <c r="S216" s="230" t="str">
        <f>IF(ISNUMBER(MATCH(B216, 'Sprint 7'!B:B, 0)), "มาจาก Sprint 7", "")</f>
        <v>มาจาก Sprint 7</v>
      </c>
      <c r="T216" s="230" t="str">
        <f t="array" ref="T216">IF(ISNUMBER(MATCH(B216, 'Sprint 7'!B:B, 0)), INDEX('Sprint 7'!J:J, MATCH(B216, 'Sprint 7'!B:B, 0)), "")</f>
        <v>Ready To Test</v>
      </c>
      <c r="U216" s="102">
        <v>28800.0</v>
      </c>
      <c r="V216" s="102" t="s">
        <v>7695</v>
      </c>
      <c r="W216" s="102" t="s">
        <v>7696</v>
      </c>
      <c r="X216" s="102" t="s">
        <v>5944</v>
      </c>
      <c r="Y216" s="102" t="s">
        <v>5919</v>
      </c>
      <c r="Z216" s="102"/>
      <c r="AA216" s="102"/>
      <c r="AB216" s="102"/>
      <c r="AC216" s="102"/>
    </row>
    <row r="217">
      <c r="A217" s="102" t="s">
        <v>310</v>
      </c>
      <c r="B217" s="102" t="s">
        <v>9565</v>
      </c>
      <c r="C217" s="229" t="s">
        <v>9566</v>
      </c>
      <c r="D217" s="102" t="s">
        <v>9567</v>
      </c>
      <c r="E217" s="102" t="s">
        <v>495</v>
      </c>
      <c r="F217" s="102" t="s">
        <v>496</v>
      </c>
      <c r="G217" s="102" t="s">
        <v>282</v>
      </c>
      <c r="H217" s="102" t="s">
        <v>283</v>
      </c>
      <c r="I217" s="102" t="s">
        <v>515</v>
      </c>
      <c r="J217" s="102" t="s">
        <v>26</v>
      </c>
      <c r="L217" s="229" t="s">
        <v>9563</v>
      </c>
      <c r="M217" s="229" t="s">
        <v>9299</v>
      </c>
      <c r="N217" s="102"/>
      <c r="O217" s="102">
        <v>3.0</v>
      </c>
      <c r="P217" s="102" t="s">
        <v>777</v>
      </c>
      <c r="R217" s="102">
        <v>0.0</v>
      </c>
      <c r="S217" s="230" t="str">
        <f>IF(ISNUMBER(MATCH(B217, 'Sprint 7'!B:B, 0)), "มาจาก Sprint 7", "")</f>
        <v>มาจาก Sprint 7</v>
      </c>
      <c r="T217" s="230" t="str">
        <f t="array" ref="T217">IF(ISNUMBER(MATCH(B217, 'Sprint 7'!B:B, 0)), INDEX('Sprint 7'!J:J, MATCH(B217, 'Sprint 7'!B:B, 0)), "")</f>
        <v>Ready To Test</v>
      </c>
      <c r="U217" s="102">
        <v>36000.0</v>
      </c>
      <c r="V217" s="102" t="s">
        <v>7695</v>
      </c>
      <c r="W217" s="102" t="s">
        <v>7696</v>
      </c>
      <c r="X217" s="102" t="s">
        <v>5944</v>
      </c>
      <c r="Y217" s="102" t="s">
        <v>5919</v>
      </c>
      <c r="Z217" s="102"/>
      <c r="AA217" s="102"/>
      <c r="AB217" s="102"/>
      <c r="AC217" s="102"/>
      <c r="AD217" s="102"/>
    </row>
    <row r="218">
      <c r="A218" s="102" t="s">
        <v>310</v>
      </c>
      <c r="B218" s="102" t="s">
        <v>9568</v>
      </c>
      <c r="C218" s="229" t="s">
        <v>9569</v>
      </c>
      <c r="D218" s="102" t="s">
        <v>9570</v>
      </c>
      <c r="E218" s="102" t="s">
        <v>564</v>
      </c>
      <c r="F218" s="102" t="s">
        <v>565</v>
      </c>
      <c r="G218" s="102" t="s">
        <v>282</v>
      </c>
      <c r="H218" s="102" t="s">
        <v>283</v>
      </c>
      <c r="I218" s="102" t="s">
        <v>318</v>
      </c>
      <c r="J218" s="102" t="s">
        <v>26</v>
      </c>
      <c r="L218" s="229" t="s">
        <v>9563</v>
      </c>
      <c r="M218" s="229" t="s">
        <v>9559</v>
      </c>
      <c r="N218" s="229" t="s">
        <v>9544</v>
      </c>
      <c r="O218" s="102">
        <v>5.0</v>
      </c>
      <c r="P218" s="102" t="s">
        <v>7525</v>
      </c>
      <c r="Q218" s="102"/>
      <c r="R218" s="102">
        <v>0.0</v>
      </c>
      <c r="S218" s="230" t="str">
        <f>IF(ISNUMBER(MATCH(B218, 'Sprint 7'!B:B, 0)), "มาจาก Sprint 7", "")</f>
        <v>มาจาก Sprint 7</v>
      </c>
      <c r="T218" s="230" t="str">
        <f t="array" ref="T218">IF(ISNUMBER(MATCH(B218, 'Sprint 7'!B:B, 0)), INDEX('Sprint 7'!J:J, MATCH(B218, 'Sprint 7'!B:B, 0)), "")</f>
        <v>Ready To Test</v>
      </c>
      <c r="U218" s="102">
        <v>57600.0</v>
      </c>
      <c r="V218" s="102" t="s">
        <v>7695</v>
      </c>
      <c r="W218" s="102" t="s">
        <v>7696</v>
      </c>
      <c r="X218" s="102" t="s">
        <v>5944</v>
      </c>
      <c r="Y218" s="102" t="s">
        <v>5919</v>
      </c>
      <c r="Z218" s="102"/>
      <c r="AA218" s="102"/>
      <c r="AB218" s="102"/>
      <c r="AC218" s="102"/>
      <c r="AD218" s="102"/>
    </row>
    <row r="219">
      <c r="A219" s="102" t="s">
        <v>310</v>
      </c>
      <c r="B219" s="102" t="s">
        <v>9571</v>
      </c>
      <c r="C219" s="229" t="s">
        <v>9572</v>
      </c>
      <c r="D219" s="102" t="s">
        <v>9573</v>
      </c>
      <c r="E219" s="102" t="s">
        <v>282</v>
      </c>
      <c r="F219" s="102" t="s">
        <v>283</v>
      </c>
      <c r="G219" s="102" t="s">
        <v>304</v>
      </c>
      <c r="H219" s="102" t="s">
        <v>305</v>
      </c>
      <c r="I219" s="102" t="s">
        <v>515</v>
      </c>
      <c r="J219" s="102" t="s">
        <v>26</v>
      </c>
      <c r="L219" s="229" t="s">
        <v>9574</v>
      </c>
      <c r="M219" s="229" t="s">
        <v>9145</v>
      </c>
      <c r="N219" s="229" t="s">
        <v>9575</v>
      </c>
      <c r="O219" s="102">
        <v>3.0</v>
      </c>
      <c r="P219" s="102" t="s">
        <v>593</v>
      </c>
      <c r="Q219" s="102" t="s">
        <v>5907</v>
      </c>
      <c r="S219" s="230" t="str">
        <f>IF(ISNUMBER(MATCH(B219, 'Sprint 7'!B:B, 0)), "มาจาก Sprint 7", "")</f>
        <v>มาจาก Sprint 7</v>
      </c>
      <c r="T219" s="230" t="str">
        <f t="array" ref="T219">IF(ISNUMBER(MATCH(B219, 'Sprint 7'!B:B, 0)), INDEX('Sprint 7'!J:J, MATCH(B219, 'Sprint 7'!B:B, 0)), "")</f>
        <v>Ready to Staging</v>
      </c>
      <c r="U219" s="102">
        <v>144000.0</v>
      </c>
      <c r="V219" s="102" t="s">
        <v>7695</v>
      </c>
      <c r="W219" s="102" t="s">
        <v>9184</v>
      </c>
      <c r="X219" s="102" t="s">
        <v>8754</v>
      </c>
      <c r="Y219" s="102" t="s">
        <v>8755</v>
      </c>
      <c r="Z219" s="102"/>
      <c r="AA219" s="102"/>
      <c r="AB219" s="102"/>
      <c r="AC219" s="102"/>
    </row>
    <row r="220">
      <c r="A220" s="102" t="s">
        <v>310</v>
      </c>
      <c r="B220" s="102" t="s">
        <v>5940</v>
      </c>
      <c r="C220" s="229" t="s">
        <v>5941</v>
      </c>
      <c r="D220" s="102" t="s">
        <v>5942</v>
      </c>
      <c r="E220" s="102" t="s">
        <v>513</v>
      </c>
      <c r="F220" s="102" t="s">
        <v>514</v>
      </c>
      <c r="G220" s="102" t="s">
        <v>282</v>
      </c>
      <c r="H220" s="102" t="s">
        <v>283</v>
      </c>
      <c r="I220" s="102" t="s">
        <v>284</v>
      </c>
      <c r="J220" s="102" t="s">
        <v>454</v>
      </c>
      <c r="L220" s="229" t="s">
        <v>5943</v>
      </c>
      <c r="M220" s="229" t="s">
        <v>9576</v>
      </c>
      <c r="N220" s="102"/>
      <c r="O220" s="102">
        <v>3.0</v>
      </c>
      <c r="R220" s="102">
        <v>0.0</v>
      </c>
      <c r="S220" s="230" t="str">
        <f>IF(ISNUMBER(MATCH(B220, 'Sprint 7'!B:B, 0)), "มาจาก Sprint 7", "")</f>
        <v>มาจาก Sprint 7</v>
      </c>
      <c r="T220" s="230" t="str">
        <f t="array" ref="T220">IF(ISNUMBER(MATCH(B220, 'Sprint 7'!B:B, 0)), INDEX('Sprint 7'!J:J, MATCH(B220, 'Sprint 7'!B:B, 0)), "")</f>
        <v>In Review</v>
      </c>
      <c r="U220" s="102">
        <v>28800.0</v>
      </c>
      <c r="V220" s="102" t="s">
        <v>5944</v>
      </c>
      <c r="W220" s="102" t="s">
        <v>5919</v>
      </c>
      <c r="X220" s="230"/>
      <c r="Y220" s="230"/>
      <c r="Z220" s="102"/>
      <c r="AA220" s="102"/>
      <c r="AB220" s="102"/>
      <c r="AC220" s="102"/>
      <c r="AD220" s="102"/>
    </row>
    <row r="221">
      <c r="A221" s="102" t="s">
        <v>310</v>
      </c>
      <c r="B221" s="102" t="s">
        <v>8656</v>
      </c>
      <c r="C221" s="229" t="s">
        <v>8657</v>
      </c>
      <c r="D221" s="102" t="s">
        <v>8658</v>
      </c>
      <c r="E221" s="102" t="s">
        <v>495</v>
      </c>
      <c r="F221" s="102" t="s">
        <v>496</v>
      </c>
      <c r="G221" s="102" t="s">
        <v>282</v>
      </c>
      <c r="H221" s="102" t="s">
        <v>283</v>
      </c>
      <c r="I221" s="102" t="s">
        <v>284</v>
      </c>
      <c r="J221" s="102" t="s">
        <v>454</v>
      </c>
      <c r="L221" s="229" t="s">
        <v>8659</v>
      </c>
      <c r="M221" s="229" t="s">
        <v>9577</v>
      </c>
      <c r="N221" s="102"/>
      <c r="O221" s="102">
        <v>2.0</v>
      </c>
      <c r="P221" s="102"/>
      <c r="Q221" s="102"/>
      <c r="R221" s="102">
        <v>7200.0</v>
      </c>
      <c r="S221" s="230" t="str">
        <f>IF(ISNUMBER(MATCH(B221, 'Sprint 7'!B:B, 0)), "มาจาก Sprint 7", "")</f>
        <v/>
      </c>
      <c r="T221" s="230" t="str">
        <f t="array" ref="T221">IF(ISNUMBER(MATCH(B221, 'Sprint 7'!B:B, 0)), INDEX('Sprint 7'!J:J, MATCH(B221, 'Sprint 7'!B:B, 0)), "")</f>
        <v/>
      </c>
      <c r="V221" s="102" t="s">
        <v>5919</v>
      </c>
      <c r="W221" s="230"/>
      <c r="X221" s="230"/>
      <c r="Y221" s="230"/>
      <c r="Z221" s="102"/>
      <c r="AA221" s="102"/>
      <c r="AB221" s="102"/>
      <c r="AC221" s="102"/>
      <c r="AD221" s="102"/>
    </row>
    <row r="222">
      <c r="A222" s="102" t="s">
        <v>310</v>
      </c>
      <c r="B222" s="102" t="s">
        <v>8053</v>
      </c>
      <c r="C222" s="229" t="s">
        <v>8054</v>
      </c>
      <c r="D222" s="102" t="s">
        <v>8055</v>
      </c>
      <c r="E222" s="102" t="s">
        <v>495</v>
      </c>
      <c r="F222" s="102" t="s">
        <v>496</v>
      </c>
      <c r="G222" s="102" t="s">
        <v>282</v>
      </c>
      <c r="H222" s="102" t="s">
        <v>283</v>
      </c>
      <c r="I222" s="102" t="s">
        <v>284</v>
      </c>
      <c r="J222" s="102" t="s">
        <v>454</v>
      </c>
      <c r="L222" s="229" t="s">
        <v>8056</v>
      </c>
      <c r="M222" s="229" t="s">
        <v>9578</v>
      </c>
      <c r="O222" s="102">
        <v>5.0</v>
      </c>
      <c r="P222" s="102" t="s">
        <v>777</v>
      </c>
      <c r="R222" s="102">
        <v>57600.0</v>
      </c>
      <c r="S222" s="230" t="str">
        <f>IF(ISNUMBER(MATCH(B222, 'Sprint 7'!B:B, 0)), "มาจาก Sprint 7", "")</f>
        <v/>
      </c>
      <c r="T222" s="230" t="str">
        <f t="array" ref="T222">IF(ISNUMBER(MATCH(B222, 'Sprint 7'!B:B, 0)), INDEX('Sprint 7'!J:J, MATCH(B222, 'Sprint 7'!B:B, 0)), "")</f>
        <v/>
      </c>
      <c r="V222" s="102" t="s">
        <v>5919</v>
      </c>
      <c r="W222" s="102"/>
      <c r="X222" s="230"/>
      <c r="Y222" s="102"/>
      <c r="Z222" s="102"/>
      <c r="AA222" s="102"/>
      <c r="AB222" s="102"/>
      <c r="AC222" s="102"/>
    </row>
    <row r="223">
      <c r="A223" s="102" t="s">
        <v>310</v>
      </c>
      <c r="B223" s="102" t="s">
        <v>8058</v>
      </c>
      <c r="C223" s="229" t="s">
        <v>8059</v>
      </c>
      <c r="D223" s="102" t="s">
        <v>8060</v>
      </c>
      <c r="E223" s="102" t="s">
        <v>495</v>
      </c>
      <c r="F223" s="102" t="s">
        <v>496</v>
      </c>
      <c r="G223" s="102" t="s">
        <v>282</v>
      </c>
      <c r="H223" s="102" t="s">
        <v>283</v>
      </c>
      <c r="I223" s="102" t="s">
        <v>284</v>
      </c>
      <c r="J223" s="102" t="s">
        <v>454</v>
      </c>
      <c r="L223" s="229" t="s">
        <v>8061</v>
      </c>
      <c r="M223" s="229" t="s">
        <v>9385</v>
      </c>
      <c r="N223" s="102"/>
      <c r="O223" s="102">
        <v>2.0</v>
      </c>
      <c r="P223" s="102" t="s">
        <v>3197</v>
      </c>
      <c r="Q223" s="102"/>
      <c r="R223" s="102">
        <v>0.0</v>
      </c>
      <c r="S223" s="230" t="str">
        <f>IF(ISNUMBER(MATCH(B223, 'Sprint 7'!B:B, 0)), "มาจาก Sprint 7", "")</f>
        <v>มาจาก Sprint 7</v>
      </c>
      <c r="T223" s="230" t="str">
        <f t="array" ref="T223">IF(ISNUMBER(MATCH(B223, 'Sprint 7'!B:B, 0)), INDEX('Sprint 7'!J:J, MATCH(B223, 'Sprint 7'!B:B, 0)), "")</f>
        <v>Ready to Staging</v>
      </c>
      <c r="U223" s="102">
        <v>3600.0</v>
      </c>
      <c r="V223" s="102" t="s">
        <v>5944</v>
      </c>
      <c r="W223" s="102" t="s">
        <v>5919</v>
      </c>
      <c r="X223" s="230"/>
      <c r="Y223" s="102"/>
      <c r="Z223" s="102"/>
      <c r="AA223" s="102"/>
      <c r="AB223" s="102"/>
      <c r="AC223" s="102"/>
    </row>
    <row r="224">
      <c r="A224" s="102" t="s">
        <v>310</v>
      </c>
      <c r="B224" s="102" t="s">
        <v>8062</v>
      </c>
      <c r="C224" s="229" t="s">
        <v>8063</v>
      </c>
      <c r="D224" s="102" t="s">
        <v>8064</v>
      </c>
      <c r="E224" s="102" t="s">
        <v>495</v>
      </c>
      <c r="F224" s="102" t="s">
        <v>496</v>
      </c>
      <c r="G224" s="102" t="s">
        <v>282</v>
      </c>
      <c r="H224" s="102" t="s">
        <v>283</v>
      </c>
      <c r="I224" s="102" t="s">
        <v>284</v>
      </c>
      <c r="J224" s="102" t="s">
        <v>454</v>
      </c>
      <c r="L224" s="229" t="s">
        <v>8065</v>
      </c>
      <c r="M224" s="229" t="s">
        <v>9385</v>
      </c>
      <c r="N224" s="102"/>
      <c r="O224" s="102">
        <v>2.0</v>
      </c>
      <c r="P224" s="102" t="s">
        <v>3197</v>
      </c>
      <c r="Q224" s="102"/>
      <c r="R224" s="102">
        <v>0.0</v>
      </c>
      <c r="S224" s="230" t="str">
        <f>IF(ISNUMBER(MATCH(B224, 'Sprint 7'!B:B, 0)), "มาจาก Sprint 7", "")</f>
        <v>มาจาก Sprint 7</v>
      </c>
      <c r="T224" s="230" t="str">
        <f t="array" ref="T224">IF(ISNUMBER(MATCH(B224, 'Sprint 7'!B:B, 0)), INDEX('Sprint 7'!J:J, MATCH(B224, 'Sprint 7'!B:B, 0)), "")</f>
        <v>Ready to Staging</v>
      </c>
      <c r="U224" s="102">
        <v>14400.0</v>
      </c>
      <c r="V224" s="102" t="s">
        <v>5944</v>
      </c>
      <c r="W224" s="102" t="s">
        <v>5919</v>
      </c>
      <c r="X224" s="230"/>
      <c r="Y224" s="102"/>
      <c r="Z224" s="102"/>
      <c r="AA224" s="102"/>
      <c r="AB224" s="102"/>
      <c r="AC224" s="102"/>
    </row>
    <row r="225">
      <c r="A225" s="102" t="s">
        <v>332</v>
      </c>
      <c r="B225" s="102" t="s">
        <v>8661</v>
      </c>
      <c r="C225" s="229" t="s">
        <v>8662</v>
      </c>
      <c r="D225" s="102" t="s">
        <v>8663</v>
      </c>
      <c r="E225" s="102" t="s">
        <v>282</v>
      </c>
      <c r="F225" s="102" t="s">
        <v>283</v>
      </c>
      <c r="G225" s="102" t="s">
        <v>316</v>
      </c>
      <c r="H225" s="102" t="s">
        <v>317</v>
      </c>
      <c r="I225" s="102" t="s">
        <v>284</v>
      </c>
      <c r="J225" s="102" t="s">
        <v>2231</v>
      </c>
      <c r="L225" s="229" t="s">
        <v>8664</v>
      </c>
      <c r="M225" s="229" t="s">
        <v>9579</v>
      </c>
      <c r="N225" s="229" t="s">
        <v>8666</v>
      </c>
      <c r="O225" s="102"/>
      <c r="P225" s="102" t="s">
        <v>7229</v>
      </c>
      <c r="Q225" s="102"/>
      <c r="R225" s="102"/>
      <c r="S225" s="230" t="str">
        <f>IF(ISNUMBER(MATCH(B225, 'Sprint 7'!B:B, 0)), "มาจาก Sprint 7", "")</f>
        <v/>
      </c>
      <c r="T225" s="230" t="str">
        <f t="array" ref="T225">IF(ISNUMBER(MATCH(B225, 'Sprint 7'!B:B, 0)), INDEX('Sprint 7'!J:J, MATCH(B225, 'Sprint 7'!B:B, 0)), "")</f>
        <v/>
      </c>
      <c r="V225" s="102" t="s">
        <v>8806</v>
      </c>
      <c r="W225" s="102"/>
      <c r="X225" s="102"/>
      <c r="Y225" s="102"/>
      <c r="Z225" s="102"/>
      <c r="AA225" s="102"/>
    </row>
    <row r="226">
      <c r="A226" s="102" t="s">
        <v>310</v>
      </c>
      <c r="B226" s="102" t="s">
        <v>9580</v>
      </c>
      <c r="C226" s="229" t="s">
        <v>9581</v>
      </c>
      <c r="D226" s="102" t="s">
        <v>9582</v>
      </c>
      <c r="E226" s="102" t="s">
        <v>353</v>
      </c>
      <c r="F226" s="102" t="s">
        <v>354</v>
      </c>
      <c r="G226" s="102" t="s">
        <v>353</v>
      </c>
      <c r="H226" s="102" t="s">
        <v>354</v>
      </c>
      <c r="I226" s="102" t="s">
        <v>284</v>
      </c>
      <c r="J226" s="102" t="s">
        <v>26</v>
      </c>
      <c r="L226" s="229" t="s">
        <v>9583</v>
      </c>
      <c r="M226" s="229" t="s">
        <v>9584</v>
      </c>
      <c r="O226" s="102">
        <v>3.0</v>
      </c>
      <c r="P226" s="102"/>
      <c r="Q226" s="102"/>
      <c r="R226" s="102">
        <v>0.0</v>
      </c>
      <c r="S226" s="230" t="str">
        <f>IF(ISNUMBER(MATCH(B226, 'Sprint 7'!B:B, 0)), "มาจาก Sprint 7", "")</f>
        <v>มาจาก Sprint 7</v>
      </c>
      <c r="T226" s="230" t="str">
        <f t="array" ref="T226">IF(ISNUMBER(MATCH(B226, 'Sprint 7'!B:B, 0)), INDEX('Sprint 7'!J:J, MATCH(B226, 'Sprint 7'!B:B, 0)), "")</f>
        <v>Ready To Test</v>
      </c>
      <c r="U226" s="102">
        <v>28800.0</v>
      </c>
      <c r="V226" s="102" t="s">
        <v>7695</v>
      </c>
      <c r="W226" s="102" t="s">
        <v>9183</v>
      </c>
      <c r="X226" s="102" t="s">
        <v>9184</v>
      </c>
      <c r="Y226" s="102" t="s">
        <v>8754</v>
      </c>
      <c r="Z226" s="102" t="s">
        <v>8755</v>
      </c>
      <c r="AA226" s="102"/>
      <c r="AB226" s="102"/>
      <c r="AC226" s="102"/>
    </row>
    <row r="227">
      <c r="A227" s="102" t="s">
        <v>4410</v>
      </c>
      <c r="B227" s="102" t="s">
        <v>9075</v>
      </c>
      <c r="C227" s="229" t="s">
        <v>9076</v>
      </c>
      <c r="D227" s="102" t="s">
        <v>9077</v>
      </c>
      <c r="E227" s="102" t="s">
        <v>353</v>
      </c>
      <c r="F227" s="102" t="s">
        <v>354</v>
      </c>
      <c r="G227" s="102" t="s">
        <v>353</v>
      </c>
      <c r="H227" s="102" t="s">
        <v>354</v>
      </c>
      <c r="I227" s="102" t="s">
        <v>284</v>
      </c>
      <c r="J227" s="102" t="s">
        <v>34</v>
      </c>
      <c r="L227" s="229" t="s">
        <v>9078</v>
      </c>
      <c r="M227" s="229" t="s">
        <v>9585</v>
      </c>
      <c r="N227" s="102"/>
      <c r="O227" s="102">
        <v>5.0</v>
      </c>
      <c r="P227" s="102"/>
      <c r="R227" s="230"/>
      <c r="S227" s="230" t="str">
        <f>IF(ISNUMBER(MATCH(B227, 'Sprint 7'!B:B, 0)), "มาจาก Sprint 7", "")</f>
        <v>มาจาก Sprint 7</v>
      </c>
      <c r="T227" s="230" t="str">
        <f t="array" ref="T227">IF(ISNUMBER(MATCH(B227, 'Sprint 7'!B:B, 0)), INDEX('Sprint 7'!J:J, MATCH(B227, 'Sprint 7'!B:B, 0)), "")</f>
        <v>In Progress</v>
      </c>
      <c r="V227" s="102" t="s">
        <v>9079</v>
      </c>
      <c r="W227" s="102" t="s">
        <v>9080</v>
      </c>
      <c r="X227" s="102" t="s">
        <v>4967</v>
      </c>
      <c r="Y227" s="102" t="s">
        <v>4968</v>
      </c>
      <c r="Z227" s="102" t="s">
        <v>8806</v>
      </c>
      <c r="AA227" s="102"/>
      <c r="AB227" s="102"/>
      <c r="AC227" s="102"/>
    </row>
    <row r="228">
      <c r="A228" s="102" t="s">
        <v>310</v>
      </c>
      <c r="B228" s="102" t="s">
        <v>8677</v>
      </c>
      <c r="C228" s="229" t="s">
        <v>8678</v>
      </c>
      <c r="D228" s="102" t="s">
        <v>8679</v>
      </c>
      <c r="E228" s="102" t="s">
        <v>495</v>
      </c>
      <c r="F228" s="102" t="s">
        <v>496</v>
      </c>
      <c r="G228" s="102" t="s">
        <v>314</v>
      </c>
      <c r="H228" s="102" t="s">
        <v>315</v>
      </c>
      <c r="I228" s="102" t="s">
        <v>284</v>
      </c>
      <c r="J228" s="102" t="s">
        <v>678</v>
      </c>
      <c r="L228" s="229" t="s">
        <v>8680</v>
      </c>
      <c r="M228" s="229" t="s">
        <v>8966</v>
      </c>
      <c r="N228" s="229" t="s">
        <v>7606</v>
      </c>
      <c r="O228" s="102">
        <v>5.0</v>
      </c>
      <c r="P228" s="102" t="s">
        <v>1305</v>
      </c>
      <c r="R228" s="102">
        <v>72000.0</v>
      </c>
      <c r="S228" s="230" t="str">
        <f>IF(ISNUMBER(MATCH(B228, 'Sprint 7'!B:B, 0)), "มาจาก Sprint 7", "")</f>
        <v/>
      </c>
      <c r="T228" s="230" t="str">
        <f t="array" ref="T228">IF(ISNUMBER(MATCH(B228, 'Sprint 7'!B:B, 0)), INDEX('Sprint 7'!J:J, MATCH(B228, 'Sprint 7'!B:B, 0)), "")</f>
        <v/>
      </c>
      <c r="V228" s="102" t="s">
        <v>1362</v>
      </c>
      <c r="W228" s="102" t="s">
        <v>1363</v>
      </c>
      <c r="X228" s="102"/>
      <c r="Y228" s="102"/>
      <c r="Z228" s="102"/>
      <c r="AA228" s="102"/>
      <c r="AB228" s="102"/>
      <c r="AC228" s="102"/>
    </row>
    <row r="229">
      <c r="A229" s="102" t="s">
        <v>310</v>
      </c>
      <c r="B229" s="102" t="s">
        <v>8681</v>
      </c>
      <c r="C229" s="229" t="s">
        <v>8682</v>
      </c>
      <c r="D229" s="102" t="s">
        <v>8683</v>
      </c>
      <c r="E229" s="102" t="s">
        <v>6315</v>
      </c>
      <c r="F229" s="102" t="s">
        <v>6316</v>
      </c>
      <c r="G229" s="102" t="s">
        <v>314</v>
      </c>
      <c r="H229" s="102" t="s">
        <v>315</v>
      </c>
      <c r="I229" s="102" t="s">
        <v>284</v>
      </c>
      <c r="J229" s="102" t="s">
        <v>678</v>
      </c>
      <c r="L229" s="229" t="s">
        <v>8684</v>
      </c>
      <c r="M229" s="229" t="s">
        <v>8966</v>
      </c>
      <c r="N229" s="229" t="s">
        <v>8685</v>
      </c>
      <c r="O229" s="102">
        <v>5.0</v>
      </c>
      <c r="P229" s="102" t="s">
        <v>1305</v>
      </c>
      <c r="R229" s="102">
        <v>57600.0</v>
      </c>
      <c r="S229" s="230" t="str">
        <f>IF(ISNUMBER(MATCH(B229, 'Sprint 7'!B:B, 0)), "มาจาก Sprint 7", "")</f>
        <v/>
      </c>
      <c r="T229" s="230" t="str">
        <f t="array" ref="T229">IF(ISNUMBER(MATCH(B229, 'Sprint 7'!B:B, 0)), INDEX('Sprint 7'!J:J, MATCH(B229, 'Sprint 7'!B:B, 0)), "")</f>
        <v/>
      </c>
      <c r="U229" s="102" t="s">
        <v>9097</v>
      </c>
      <c r="V229" s="102" t="s">
        <v>1362</v>
      </c>
      <c r="W229" s="102" t="s">
        <v>1363</v>
      </c>
      <c r="X229" s="102"/>
      <c r="Y229" s="102"/>
      <c r="Z229" s="102"/>
      <c r="AA229" s="102"/>
      <c r="AB229" s="102"/>
      <c r="AC229" s="102"/>
    </row>
    <row r="230">
      <c r="A230" s="102" t="s">
        <v>310</v>
      </c>
      <c r="B230" s="102" t="s">
        <v>8686</v>
      </c>
      <c r="C230" s="229" t="s">
        <v>8687</v>
      </c>
      <c r="D230" s="102" t="s">
        <v>8688</v>
      </c>
      <c r="E230" s="102" t="s">
        <v>314</v>
      </c>
      <c r="F230" s="102" t="s">
        <v>315</v>
      </c>
      <c r="G230" s="102" t="s">
        <v>314</v>
      </c>
      <c r="H230" s="102" t="s">
        <v>315</v>
      </c>
      <c r="I230" s="102" t="s">
        <v>284</v>
      </c>
      <c r="J230" s="102" t="s">
        <v>454</v>
      </c>
      <c r="L230" s="229" t="s">
        <v>8689</v>
      </c>
      <c r="M230" s="229" t="s">
        <v>9265</v>
      </c>
      <c r="N230" s="102"/>
      <c r="O230" s="102">
        <v>2.0</v>
      </c>
      <c r="P230" s="102" t="s">
        <v>1305</v>
      </c>
      <c r="R230" s="102">
        <v>7200.0</v>
      </c>
      <c r="S230" s="230" t="str">
        <f>IF(ISNUMBER(MATCH(B230, 'Sprint 7'!B:B, 0)), "มาจาก Sprint 7", "")</f>
        <v/>
      </c>
      <c r="T230" s="230" t="str">
        <f t="array" ref="T230">IF(ISNUMBER(MATCH(B230, 'Sprint 7'!B:B, 0)), INDEX('Sprint 7'!J:J, MATCH(B230, 'Sprint 7'!B:B, 0)), "")</f>
        <v/>
      </c>
      <c r="V230" s="102" t="s">
        <v>5919</v>
      </c>
      <c r="W230" s="230"/>
      <c r="X230" s="102"/>
      <c r="Y230" s="102"/>
      <c r="Z230" s="102"/>
      <c r="AA230" s="102"/>
      <c r="AB230" s="102"/>
      <c r="AC230" s="102"/>
    </row>
    <row r="231">
      <c r="A231" s="102" t="s">
        <v>332</v>
      </c>
      <c r="B231" s="102" t="s">
        <v>9586</v>
      </c>
      <c r="C231" s="229" t="s">
        <v>9587</v>
      </c>
      <c r="D231" s="102" t="s">
        <v>9588</v>
      </c>
      <c r="E231" s="102" t="s">
        <v>282</v>
      </c>
      <c r="F231" s="102" t="s">
        <v>283</v>
      </c>
      <c r="G231" s="102" t="s">
        <v>316</v>
      </c>
      <c r="H231" s="102" t="s">
        <v>317</v>
      </c>
      <c r="I231" s="102" t="s">
        <v>515</v>
      </c>
      <c r="J231" s="102" t="s">
        <v>9449</v>
      </c>
      <c r="L231" s="229" t="s">
        <v>9589</v>
      </c>
      <c r="M231" s="229" t="s">
        <v>9590</v>
      </c>
      <c r="N231" s="229" t="s">
        <v>9591</v>
      </c>
      <c r="O231" s="102">
        <v>8.0</v>
      </c>
      <c r="P231" s="102"/>
      <c r="R231" s="230"/>
      <c r="S231" s="230" t="str">
        <f>IF(ISNUMBER(MATCH(B231, 'Sprint 7'!B:B, 0)), "มาจาก Sprint 7", "")</f>
        <v/>
      </c>
      <c r="T231" s="230" t="str">
        <f t="array" ref="T231">IF(ISNUMBER(MATCH(B231, 'Sprint 7'!B:B, 0)), INDEX('Sprint 7'!J:J, MATCH(B231, 'Sprint 7'!B:B, 0)), "")</f>
        <v/>
      </c>
      <c r="V231" s="102" t="s">
        <v>8806</v>
      </c>
      <c r="W231" s="230"/>
      <c r="X231" s="102"/>
      <c r="Y231" s="102"/>
      <c r="Z231" s="102"/>
      <c r="AA231" s="102"/>
      <c r="AB231" s="102"/>
      <c r="AC231" s="102"/>
    </row>
    <row r="232">
      <c r="A232" s="102" t="s">
        <v>310</v>
      </c>
      <c r="B232" s="102" t="s">
        <v>8677</v>
      </c>
      <c r="C232" s="229" t="s">
        <v>8678</v>
      </c>
      <c r="D232" s="102" t="s">
        <v>8679</v>
      </c>
      <c r="E232" s="102" t="s">
        <v>495</v>
      </c>
      <c r="F232" s="102" t="s">
        <v>496</v>
      </c>
      <c r="G232" s="102" t="s">
        <v>314</v>
      </c>
      <c r="H232" s="102" t="s">
        <v>315</v>
      </c>
      <c r="I232" s="102" t="s">
        <v>284</v>
      </c>
      <c r="J232" s="102" t="s">
        <v>678</v>
      </c>
      <c r="L232" s="229" t="s">
        <v>8680</v>
      </c>
      <c r="M232" s="229" t="s">
        <v>8966</v>
      </c>
      <c r="N232" s="229" t="s">
        <v>7606</v>
      </c>
      <c r="O232" s="102">
        <v>5.0</v>
      </c>
      <c r="P232" s="102" t="s">
        <v>1305</v>
      </c>
      <c r="Q232" s="102"/>
      <c r="R232" s="102">
        <v>72000.0</v>
      </c>
      <c r="S232" s="230" t="str">
        <f>IF(ISNUMBER(MATCH(B232, 'Sprint 7'!B:B, 0)), "มาจาก Sprint 7", "")</f>
        <v/>
      </c>
      <c r="T232" s="230" t="str">
        <f t="array" ref="T232">IF(ISNUMBER(MATCH(B232, 'Sprint 7'!B:B, 0)), INDEX('Sprint 7'!J:J, MATCH(B232, 'Sprint 7'!B:B, 0)), "")</f>
        <v/>
      </c>
      <c r="V232" s="102" t="s">
        <v>1362</v>
      </c>
      <c r="W232" s="102" t="s">
        <v>1363</v>
      </c>
      <c r="X232" s="230"/>
      <c r="Y232" s="102"/>
      <c r="Z232" s="102"/>
      <c r="AA232" s="102"/>
      <c r="AB232" s="102"/>
      <c r="AC232" s="102"/>
    </row>
    <row r="233">
      <c r="A233" s="102" t="s">
        <v>310</v>
      </c>
      <c r="B233" s="102" t="s">
        <v>8681</v>
      </c>
      <c r="C233" s="229" t="s">
        <v>8682</v>
      </c>
      <c r="D233" s="102" t="s">
        <v>8683</v>
      </c>
      <c r="E233" s="102" t="s">
        <v>6315</v>
      </c>
      <c r="F233" s="102" t="s">
        <v>6316</v>
      </c>
      <c r="G233" s="102" t="s">
        <v>314</v>
      </c>
      <c r="H233" s="102" t="s">
        <v>315</v>
      </c>
      <c r="I233" s="102" t="s">
        <v>284</v>
      </c>
      <c r="J233" s="102" t="s">
        <v>678</v>
      </c>
      <c r="L233" s="229" t="s">
        <v>8684</v>
      </c>
      <c r="M233" s="229" t="s">
        <v>8966</v>
      </c>
      <c r="N233" s="229" t="s">
        <v>8685</v>
      </c>
      <c r="O233" s="102">
        <v>5.0</v>
      </c>
      <c r="P233" s="102" t="s">
        <v>1305</v>
      </c>
      <c r="R233" s="102">
        <v>57600.0</v>
      </c>
      <c r="S233" s="230" t="str">
        <f>IF(ISNUMBER(MATCH(B233, 'Sprint 7'!B:B, 0)), "มาจาก Sprint 7", "")</f>
        <v/>
      </c>
      <c r="T233" s="230" t="str">
        <f t="array" ref="T233">IF(ISNUMBER(MATCH(B233, 'Sprint 7'!B:B, 0)), INDEX('Sprint 7'!J:J, MATCH(B233, 'Sprint 7'!B:B, 0)), "")</f>
        <v/>
      </c>
      <c r="U233" s="102" t="s">
        <v>9097</v>
      </c>
      <c r="V233" s="102" t="s">
        <v>1362</v>
      </c>
      <c r="W233" s="102" t="s">
        <v>1363</v>
      </c>
      <c r="X233" s="230"/>
      <c r="Y233" s="230"/>
      <c r="Z233" s="102"/>
      <c r="AA233" s="102"/>
      <c r="AB233" s="102"/>
      <c r="AC233" s="102"/>
    </row>
    <row r="234">
      <c r="A234" s="102" t="s">
        <v>310</v>
      </c>
      <c r="B234" s="102" t="s">
        <v>8686</v>
      </c>
      <c r="C234" s="229" t="s">
        <v>8687</v>
      </c>
      <c r="D234" s="102" t="s">
        <v>8688</v>
      </c>
      <c r="E234" s="102" t="s">
        <v>314</v>
      </c>
      <c r="F234" s="102" t="s">
        <v>315</v>
      </c>
      <c r="G234" s="102" t="s">
        <v>314</v>
      </c>
      <c r="H234" s="102" t="s">
        <v>315</v>
      </c>
      <c r="I234" s="102" t="s">
        <v>284</v>
      </c>
      <c r="J234" s="102" t="s">
        <v>454</v>
      </c>
      <c r="L234" s="229" t="s">
        <v>8689</v>
      </c>
      <c r="M234" s="229" t="s">
        <v>9265</v>
      </c>
      <c r="N234" s="102"/>
      <c r="O234" s="102">
        <v>2.0</v>
      </c>
      <c r="P234" s="102" t="s">
        <v>1305</v>
      </c>
      <c r="R234" s="102">
        <v>7200.0</v>
      </c>
      <c r="S234" s="230" t="str">
        <f>IF(ISNUMBER(MATCH(B234, 'Sprint 7'!B:B, 0)), "มาจาก Sprint 7", "")</f>
        <v/>
      </c>
      <c r="T234" s="230" t="str">
        <f t="array" ref="T234">IF(ISNUMBER(MATCH(B234, 'Sprint 7'!B:B, 0)), INDEX('Sprint 7'!J:J, MATCH(B234, 'Sprint 7'!B:B, 0)), "")</f>
        <v/>
      </c>
      <c r="V234" s="102" t="s">
        <v>5919</v>
      </c>
      <c r="W234" s="230"/>
      <c r="X234" s="230"/>
      <c r="Y234" s="230"/>
      <c r="Z234" s="102"/>
    </row>
    <row r="235">
      <c r="A235" s="102" t="s">
        <v>332</v>
      </c>
      <c r="B235" s="102" t="s">
        <v>9586</v>
      </c>
      <c r="C235" s="229" t="s">
        <v>9587</v>
      </c>
      <c r="D235" s="102" t="s">
        <v>9588</v>
      </c>
      <c r="E235" s="102" t="s">
        <v>282</v>
      </c>
      <c r="F235" s="102" t="s">
        <v>283</v>
      </c>
      <c r="G235" s="102" t="s">
        <v>316</v>
      </c>
      <c r="H235" s="102" t="s">
        <v>317</v>
      </c>
      <c r="I235" s="102" t="s">
        <v>515</v>
      </c>
      <c r="J235" s="102" t="s">
        <v>9449</v>
      </c>
      <c r="L235" s="229" t="s">
        <v>9589</v>
      </c>
      <c r="M235" s="229" t="s">
        <v>9590</v>
      </c>
      <c r="N235" s="229" t="s">
        <v>9591</v>
      </c>
      <c r="O235" s="102">
        <v>8.0</v>
      </c>
      <c r="P235" s="102"/>
      <c r="R235" s="230"/>
      <c r="S235" s="230" t="str">
        <f>IF(ISNUMBER(MATCH(B235, 'Sprint 7'!B:B, 0)), "มาจาก Sprint 7", "")</f>
        <v/>
      </c>
      <c r="T235" s="230" t="str">
        <f t="array" ref="T235">IF(ISNUMBER(MATCH(B235, 'Sprint 7'!B:B, 0)), INDEX('Sprint 7'!J:J, MATCH(B235, 'Sprint 7'!B:B, 0)), "")</f>
        <v/>
      </c>
      <c r="V235" s="102" t="s">
        <v>8806</v>
      </c>
      <c r="W235" s="230"/>
      <c r="X235" s="230"/>
      <c r="Y235" s="102"/>
      <c r="Z235" s="102"/>
      <c r="AA235" s="102"/>
      <c r="AB235" s="102"/>
      <c r="AC235" s="102"/>
      <c r="AD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L236" s="102"/>
      <c r="M236" s="102"/>
      <c r="N236" s="102"/>
      <c r="O236" s="230"/>
      <c r="P236" s="102"/>
      <c r="R236" s="230"/>
      <c r="S236" s="230" t="str">
        <f>IF(ISNUMBER(MATCH(A236, 'Sprint 6'!A:A, 0)), "มาจาก Sprint 6", "")</f>
        <v/>
      </c>
      <c r="T236" s="230" t="str">
        <f t="array" ref="T236">IF(ISNUMBER(MATCH(A236, 'Sprint 6'!A:A, 0)), INDEX('Sprint 6'!I:I, MATCH(A236, 'Sprint 6'!A:A, 0)), "")</f>
        <v/>
      </c>
      <c r="U236" s="230"/>
      <c r="V236" s="230"/>
      <c r="W236" s="230"/>
      <c r="X236" s="230"/>
      <c r="Y236" s="230"/>
      <c r="Z236" s="102"/>
      <c r="AA236" s="102"/>
      <c r="AB236" s="102"/>
      <c r="AC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L237" s="102"/>
      <c r="M237" s="102"/>
      <c r="O237" s="102"/>
      <c r="P237" s="102"/>
      <c r="R237" s="230"/>
      <c r="S237" s="230" t="str">
        <f>IF(ISNUMBER(MATCH(A237, 'Sprint 6'!A:A, 0)), "มาจาก Sprint 6", "")</f>
        <v/>
      </c>
      <c r="T237" s="230" t="str">
        <f t="array" ref="T237">IF(ISNUMBER(MATCH(A237, 'Sprint 6'!A:A, 0)), INDEX('Sprint 6'!I:I, MATCH(A237, 'Sprint 6'!A:A, 0)), "")</f>
        <v/>
      </c>
      <c r="V237" s="102"/>
      <c r="W237" s="230"/>
      <c r="X237" s="230"/>
      <c r="Y237" s="102"/>
      <c r="Z237" s="102"/>
      <c r="AA237" s="102"/>
      <c r="AB237" s="102"/>
      <c r="AC237" s="102"/>
      <c r="AD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L238" s="102"/>
      <c r="M238" s="102"/>
      <c r="N238" s="102"/>
      <c r="O238" s="230"/>
      <c r="P238" s="102"/>
      <c r="R238" s="230"/>
      <c r="S238" s="230" t="str">
        <f>IF(ISNUMBER(MATCH(A238, 'Sprint 6'!A:A, 0)), "มาจาก Sprint 6", "")</f>
        <v/>
      </c>
      <c r="T238" s="230" t="str">
        <f t="array" ref="T238">IF(ISNUMBER(MATCH(A238, 'Sprint 6'!A:A, 0)), INDEX('Sprint 6'!I:I, MATCH(A238, 'Sprint 6'!A:A, 0)), "")</f>
        <v/>
      </c>
      <c r="U238" s="230"/>
      <c r="V238" s="230"/>
      <c r="W238" s="230"/>
      <c r="X238" s="230"/>
      <c r="Y238" s="230"/>
      <c r="Z238" s="102"/>
      <c r="AA238" s="102"/>
      <c r="AB238" s="102"/>
      <c r="AC238" s="102"/>
      <c r="AD238" s="102"/>
      <c r="AE238" s="102"/>
      <c r="AF238" s="102"/>
      <c r="AG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L239" s="102"/>
      <c r="M239" s="102"/>
      <c r="N239" s="102"/>
      <c r="O239" s="102"/>
      <c r="R239" s="230"/>
      <c r="S239" s="230" t="str">
        <f>IF(ISNUMBER(MATCH(A239, 'Sprint 6'!A:A, 0)), "มาจาก Sprint 6", "")</f>
        <v/>
      </c>
      <c r="T239" s="230" t="str">
        <f t="array" ref="T239">IF(ISNUMBER(MATCH(A239, 'Sprint 6'!A:A, 0)), INDEX('Sprint 6'!I:I, MATCH(A239, 'Sprint 6'!A:A, 0)), "")</f>
        <v/>
      </c>
      <c r="U239" s="230"/>
      <c r="V239" s="230"/>
      <c r="W239" s="230"/>
      <c r="X239" s="230"/>
      <c r="Y239" s="230"/>
      <c r="Z239" s="102"/>
      <c r="AA239" s="102"/>
      <c r="AB239" s="102"/>
      <c r="AC239" s="102"/>
      <c r="AD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L240" s="102"/>
      <c r="M240" s="102"/>
      <c r="N240" s="102"/>
      <c r="O240" s="230"/>
      <c r="R240" s="230"/>
      <c r="S240" s="230" t="str">
        <f>IF(ISNUMBER(MATCH(A240, 'Sprint 6'!A:A, 0)), "มาจาก Sprint 6", "")</f>
        <v/>
      </c>
      <c r="T240" s="230" t="str">
        <f t="array" ref="T240">IF(ISNUMBER(MATCH(A240, 'Sprint 6'!A:A, 0)), INDEX('Sprint 6'!I:I, MATCH(A240, 'Sprint 6'!A:A, 0)), "")</f>
        <v/>
      </c>
      <c r="U240" s="230"/>
      <c r="V240" s="230"/>
      <c r="W240" s="230"/>
      <c r="X240" s="230"/>
      <c r="Y240" s="230"/>
      <c r="Z240" s="102"/>
      <c r="AA240" s="102"/>
      <c r="AB240" s="102"/>
      <c r="AC240" s="102"/>
      <c r="AD240" s="102"/>
      <c r="AE240" s="102"/>
      <c r="AF240" s="102"/>
      <c r="AG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L241" s="102"/>
      <c r="M241" s="102"/>
      <c r="N241" s="102"/>
      <c r="O241" s="102"/>
      <c r="P241" s="102"/>
      <c r="R241" s="230"/>
      <c r="S241" s="230" t="str">
        <f>IF(ISNUMBER(MATCH(A241, 'Sprint 6'!A:A, 0)), "มาจาก Sprint 6", "")</f>
        <v/>
      </c>
      <c r="T241" s="230" t="str">
        <f t="array" ref="T241">IF(ISNUMBER(MATCH(A241, 'Sprint 6'!A:A, 0)), INDEX('Sprint 6'!I:I, MATCH(A241, 'Sprint 6'!A:A, 0)), "")</f>
        <v/>
      </c>
      <c r="U241" s="230"/>
      <c r="V241" s="230"/>
      <c r="W241" s="230"/>
      <c r="X241" s="230"/>
      <c r="Y241" s="230"/>
      <c r="Z241" s="102"/>
      <c r="AA241" s="102"/>
      <c r="AB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L242" s="102"/>
      <c r="M242" s="102"/>
      <c r="N242" s="102"/>
      <c r="O242" s="230"/>
      <c r="R242" s="230"/>
      <c r="S242" s="230" t="str">
        <f>IF(ISNUMBER(MATCH(A242, 'Sprint 6'!A:A, 0)), "มาจาก Sprint 6", "")</f>
        <v/>
      </c>
      <c r="T242" s="230" t="str">
        <f t="array" ref="T242">IF(ISNUMBER(MATCH(A242, 'Sprint 6'!A:A, 0)), INDEX('Sprint 6'!I:I, MATCH(A242, 'Sprint 6'!A:A, 0)), "")</f>
        <v/>
      </c>
      <c r="U242" s="230"/>
      <c r="V242" s="230"/>
      <c r="W242" s="230"/>
      <c r="X242" s="230"/>
      <c r="Y242" s="230"/>
      <c r="Z242" s="102"/>
      <c r="AA242" s="102"/>
      <c r="AB242" s="102"/>
      <c r="AC242" s="102"/>
    </row>
    <row r="243">
      <c r="O243" s="230"/>
      <c r="R243" s="230"/>
      <c r="S243" s="230"/>
      <c r="T243" s="230"/>
      <c r="U243" s="230"/>
      <c r="V243" s="230"/>
      <c r="W243" s="230"/>
      <c r="X243" s="230"/>
      <c r="Y243" s="230"/>
    </row>
    <row r="244">
      <c r="O244" s="230"/>
      <c r="R244" s="230"/>
      <c r="S244" s="230"/>
      <c r="T244" s="230"/>
      <c r="U244" s="230"/>
      <c r="V244" s="230"/>
      <c r="W244" s="230"/>
      <c r="X244" s="230"/>
      <c r="Y244" s="230"/>
    </row>
    <row r="245">
      <c r="O245" s="230"/>
      <c r="R245" s="230"/>
      <c r="S245" s="230"/>
      <c r="T245" s="230"/>
      <c r="U245" s="230"/>
      <c r="V245" s="230"/>
      <c r="W245" s="230"/>
      <c r="X245" s="230"/>
      <c r="Y245" s="230"/>
    </row>
    <row r="246">
      <c r="O246" s="230"/>
      <c r="R246" s="230"/>
      <c r="S246" s="230"/>
      <c r="T246" s="230"/>
      <c r="U246" s="230"/>
      <c r="V246" s="230"/>
      <c r="W246" s="230"/>
      <c r="X246" s="230"/>
      <c r="Y246" s="230"/>
    </row>
    <row r="247">
      <c r="O247" s="230"/>
      <c r="R247" s="230"/>
      <c r="S247" s="230"/>
      <c r="T247" s="230"/>
      <c r="U247" s="230"/>
      <c r="V247" s="230"/>
      <c r="W247" s="230"/>
      <c r="X247" s="230"/>
      <c r="Y247" s="230"/>
    </row>
    <row r="248">
      <c r="O248" s="230"/>
      <c r="R248" s="230"/>
      <c r="S248" s="230"/>
      <c r="T248" s="230"/>
      <c r="U248" s="230"/>
      <c r="V248" s="230"/>
      <c r="W248" s="230"/>
      <c r="X248" s="230"/>
      <c r="Y248" s="230"/>
    </row>
    <row r="249">
      <c r="O249" s="230"/>
      <c r="R249" s="230"/>
      <c r="S249" s="230"/>
      <c r="T249" s="230"/>
      <c r="U249" s="230"/>
      <c r="V249" s="230"/>
      <c r="W249" s="230"/>
      <c r="X249" s="230"/>
      <c r="Y249" s="230"/>
    </row>
    <row r="250">
      <c r="O250" s="230"/>
      <c r="R250" s="230"/>
      <c r="S250" s="230"/>
      <c r="T250" s="230"/>
      <c r="U250" s="230"/>
      <c r="V250" s="230"/>
      <c r="W250" s="230"/>
      <c r="X250" s="230"/>
      <c r="Y250" s="230"/>
    </row>
    <row r="251">
      <c r="O251" s="230"/>
      <c r="R251" s="230"/>
      <c r="S251" s="230"/>
      <c r="T251" s="230"/>
      <c r="U251" s="230"/>
      <c r="V251" s="230"/>
      <c r="W251" s="230"/>
      <c r="X251" s="230"/>
      <c r="Y251" s="230"/>
    </row>
    <row r="252">
      <c r="O252" s="230"/>
      <c r="R252" s="230"/>
      <c r="S252" s="230"/>
      <c r="T252" s="230"/>
      <c r="U252" s="230"/>
      <c r="V252" s="230"/>
      <c r="W252" s="230"/>
      <c r="X252" s="230"/>
      <c r="Y252" s="230"/>
    </row>
    <row r="253">
      <c r="O253" s="230"/>
      <c r="R253" s="230"/>
      <c r="S253" s="230"/>
      <c r="T253" s="230"/>
      <c r="U253" s="230"/>
      <c r="V253" s="230"/>
      <c r="W253" s="230"/>
      <c r="X253" s="230"/>
      <c r="Y253" s="230"/>
    </row>
    <row r="254">
      <c r="O254" s="230"/>
      <c r="R254" s="230"/>
      <c r="S254" s="230"/>
      <c r="T254" s="230"/>
      <c r="U254" s="230"/>
      <c r="V254" s="230"/>
      <c r="W254" s="230"/>
      <c r="X254" s="230"/>
      <c r="Y254" s="230"/>
    </row>
    <row r="255">
      <c r="O255" s="230"/>
      <c r="R255" s="230"/>
      <c r="S255" s="230"/>
      <c r="T255" s="230"/>
      <c r="U255" s="230"/>
      <c r="V255" s="230"/>
      <c r="W255" s="230"/>
      <c r="X255" s="230"/>
      <c r="Y255" s="230"/>
    </row>
    <row r="256">
      <c r="O256" s="230"/>
      <c r="R256" s="230"/>
      <c r="S256" s="230"/>
      <c r="T256" s="230"/>
      <c r="U256" s="230"/>
      <c r="V256" s="230"/>
      <c r="W256" s="230"/>
      <c r="X256" s="230"/>
      <c r="Y256" s="230"/>
    </row>
    <row r="257">
      <c r="O257" s="230"/>
      <c r="R257" s="230"/>
      <c r="S257" s="230"/>
      <c r="T257" s="230"/>
      <c r="U257" s="230"/>
      <c r="V257" s="230"/>
      <c r="W257" s="230"/>
      <c r="X257" s="230"/>
      <c r="Y257" s="230"/>
    </row>
    <row r="258">
      <c r="O258" s="230"/>
      <c r="R258" s="230"/>
      <c r="S258" s="230"/>
      <c r="T258" s="230"/>
      <c r="U258" s="230"/>
      <c r="V258" s="230"/>
      <c r="W258" s="230"/>
      <c r="X258" s="230"/>
      <c r="Y258" s="230"/>
    </row>
    <row r="259">
      <c r="O259" s="230"/>
      <c r="R259" s="230"/>
      <c r="S259" s="230"/>
      <c r="T259" s="230"/>
      <c r="U259" s="230"/>
      <c r="V259" s="230"/>
      <c r="W259" s="230"/>
      <c r="X259" s="230"/>
      <c r="Y259" s="230"/>
    </row>
    <row r="260">
      <c r="O260" s="230"/>
      <c r="R260" s="230"/>
      <c r="S260" s="230"/>
      <c r="T260" s="230"/>
      <c r="U260" s="230"/>
      <c r="V260" s="230"/>
      <c r="W260" s="230"/>
      <c r="X260" s="230"/>
      <c r="Y260" s="230"/>
    </row>
    <row r="261">
      <c r="O261" s="230"/>
      <c r="R261" s="230"/>
      <c r="S261" s="230"/>
      <c r="T261" s="230"/>
      <c r="U261" s="230"/>
      <c r="V261" s="230"/>
      <c r="W261" s="230"/>
      <c r="X261" s="230"/>
      <c r="Y261" s="230"/>
    </row>
    <row r="262">
      <c r="O262" s="230"/>
      <c r="R262" s="230"/>
      <c r="S262" s="230"/>
      <c r="T262" s="230"/>
      <c r="U262" s="230"/>
      <c r="V262" s="230"/>
      <c r="W262" s="230"/>
      <c r="X262" s="230"/>
      <c r="Y262" s="230"/>
    </row>
    <row r="263">
      <c r="O263" s="230"/>
      <c r="R263" s="230"/>
      <c r="S263" s="230"/>
      <c r="T263" s="230"/>
      <c r="U263" s="230"/>
      <c r="V263" s="230"/>
      <c r="W263" s="230"/>
      <c r="X263" s="230"/>
      <c r="Y263" s="230"/>
    </row>
    <row r="264">
      <c r="O264" s="230"/>
      <c r="R264" s="230"/>
      <c r="S264" s="230"/>
      <c r="T264" s="230"/>
      <c r="U264" s="230"/>
      <c r="V264" s="230"/>
      <c r="W264" s="230"/>
      <c r="X264" s="230"/>
      <c r="Y264" s="230"/>
    </row>
    <row r="265">
      <c r="O265" s="230"/>
      <c r="R265" s="230"/>
      <c r="S265" s="230"/>
      <c r="T265" s="230"/>
      <c r="U265" s="230"/>
      <c r="V265" s="230"/>
      <c r="W265" s="230"/>
      <c r="X265" s="230"/>
      <c r="Y265" s="230"/>
    </row>
    <row r="266">
      <c r="O266" s="230"/>
      <c r="R266" s="230"/>
      <c r="S266" s="230"/>
      <c r="T266" s="230"/>
      <c r="U266" s="230"/>
      <c r="V266" s="230"/>
      <c r="W266" s="230"/>
      <c r="X266" s="230"/>
      <c r="Y266" s="230"/>
    </row>
    <row r="267">
      <c r="O267" s="230"/>
      <c r="R267" s="230"/>
      <c r="S267" s="230"/>
      <c r="T267" s="230"/>
      <c r="U267" s="230"/>
      <c r="V267" s="230"/>
      <c r="W267" s="230"/>
      <c r="X267" s="230"/>
      <c r="Y267" s="230"/>
    </row>
    <row r="268">
      <c r="O268" s="230"/>
      <c r="R268" s="230"/>
      <c r="S268" s="230"/>
      <c r="T268" s="230"/>
      <c r="U268" s="230"/>
      <c r="V268" s="230"/>
      <c r="W268" s="230"/>
      <c r="X268" s="230"/>
      <c r="Y268" s="230"/>
    </row>
    <row r="269">
      <c r="O269" s="230"/>
      <c r="R269" s="230"/>
      <c r="S269" s="230"/>
      <c r="T269" s="230"/>
      <c r="U269" s="230"/>
      <c r="V269" s="230"/>
      <c r="W269" s="230"/>
      <c r="X269" s="230"/>
      <c r="Y269" s="230"/>
    </row>
    <row r="270">
      <c r="O270" s="230"/>
      <c r="R270" s="230"/>
      <c r="S270" s="230"/>
      <c r="T270" s="230"/>
      <c r="U270" s="230"/>
      <c r="V270" s="230"/>
      <c r="W270" s="230"/>
      <c r="X270" s="230"/>
      <c r="Y270" s="230"/>
    </row>
    <row r="271">
      <c r="O271" s="230"/>
      <c r="R271" s="230"/>
      <c r="S271" s="230"/>
      <c r="T271" s="230"/>
      <c r="U271" s="230"/>
      <c r="V271" s="230"/>
      <c r="W271" s="230"/>
      <c r="X271" s="230"/>
      <c r="Y271" s="230"/>
    </row>
    <row r="272">
      <c r="O272" s="230"/>
      <c r="R272" s="230"/>
      <c r="S272" s="230"/>
      <c r="T272" s="230"/>
      <c r="U272" s="230"/>
      <c r="V272" s="230"/>
      <c r="W272" s="230"/>
      <c r="X272" s="230"/>
      <c r="Y272" s="230"/>
    </row>
    <row r="273">
      <c r="O273" s="230"/>
      <c r="R273" s="230"/>
      <c r="S273" s="230"/>
      <c r="T273" s="230"/>
      <c r="U273" s="230"/>
      <c r="V273" s="230"/>
      <c r="W273" s="230"/>
      <c r="X273" s="230"/>
      <c r="Y273" s="230"/>
    </row>
    <row r="274">
      <c r="O274" s="230"/>
      <c r="R274" s="230"/>
      <c r="S274" s="230"/>
      <c r="T274" s="230"/>
      <c r="U274" s="230"/>
      <c r="V274" s="230"/>
      <c r="W274" s="230"/>
      <c r="X274" s="230"/>
      <c r="Y274" s="230"/>
    </row>
    <row r="275">
      <c r="O275" s="230"/>
      <c r="R275" s="230"/>
      <c r="S275" s="230"/>
      <c r="T275" s="230"/>
      <c r="U275" s="230"/>
      <c r="V275" s="230"/>
      <c r="W275" s="230"/>
      <c r="X275" s="230"/>
      <c r="Y275" s="230"/>
    </row>
    <row r="276">
      <c r="O276" s="230"/>
      <c r="R276" s="230"/>
      <c r="S276" s="230"/>
      <c r="T276" s="230"/>
      <c r="U276" s="230"/>
      <c r="V276" s="230"/>
      <c r="W276" s="230"/>
      <c r="X276" s="230"/>
      <c r="Y276" s="230"/>
    </row>
    <row r="277">
      <c r="O277" s="230"/>
      <c r="R277" s="230"/>
      <c r="S277" s="230"/>
      <c r="T277" s="230"/>
      <c r="U277" s="230"/>
      <c r="V277" s="230"/>
      <c r="W277" s="230"/>
      <c r="X277" s="230"/>
      <c r="Y277" s="230"/>
    </row>
    <row r="278">
      <c r="O278" s="230"/>
      <c r="R278" s="230"/>
      <c r="S278" s="230"/>
      <c r="T278" s="230"/>
      <c r="U278" s="230"/>
      <c r="V278" s="230"/>
      <c r="W278" s="230"/>
      <c r="X278" s="230"/>
      <c r="Y278" s="230"/>
    </row>
    <row r="279">
      <c r="O279" s="230"/>
      <c r="R279" s="230"/>
      <c r="S279" s="230"/>
      <c r="T279" s="230"/>
      <c r="U279" s="230"/>
      <c r="V279" s="230"/>
      <c r="W279" s="230"/>
      <c r="X279" s="230"/>
      <c r="Y279" s="230"/>
    </row>
    <row r="280">
      <c r="O280" s="230"/>
      <c r="R280" s="230"/>
      <c r="S280" s="230"/>
      <c r="T280" s="230"/>
      <c r="U280" s="230"/>
      <c r="V280" s="230"/>
      <c r="W280" s="230"/>
      <c r="X280" s="230"/>
      <c r="Y280" s="230"/>
    </row>
    <row r="281">
      <c r="O281" s="230"/>
      <c r="R281" s="230"/>
      <c r="S281" s="230"/>
      <c r="T281" s="230"/>
      <c r="U281" s="230"/>
      <c r="V281" s="230"/>
      <c r="W281" s="230"/>
      <c r="X281" s="230"/>
      <c r="Y281" s="230"/>
    </row>
    <row r="282">
      <c r="O282" s="230"/>
      <c r="R282" s="230"/>
      <c r="S282" s="230"/>
      <c r="T282" s="230"/>
      <c r="U282" s="230"/>
      <c r="V282" s="230"/>
      <c r="W282" s="230"/>
      <c r="X282" s="230"/>
      <c r="Y282" s="230"/>
    </row>
    <row r="283">
      <c r="O283" s="230"/>
      <c r="R283" s="230"/>
      <c r="S283" s="230"/>
      <c r="T283" s="230"/>
      <c r="U283" s="230"/>
      <c r="V283" s="230"/>
      <c r="W283" s="230"/>
      <c r="X283" s="230"/>
      <c r="Y283" s="230"/>
    </row>
    <row r="284">
      <c r="O284" s="230"/>
      <c r="R284" s="230"/>
      <c r="S284" s="230"/>
      <c r="T284" s="230"/>
      <c r="U284" s="230"/>
      <c r="V284" s="230"/>
      <c r="W284" s="230"/>
      <c r="X284" s="230"/>
      <c r="Y284" s="230"/>
    </row>
    <row r="285">
      <c r="O285" s="230"/>
      <c r="R285" s="230"/>
      <c r="S285" s="230"/>
      <c r="T285" s="230"/>
      <c r="U285" s="230"/>
      <c r="V285" s="230"/>
      <c r="W285" s="230"/>
      <c r="X285" s="230"/>
      <c r="Y285" s="230"/>
    </row>
    <row r="286">
      <c r="O286" s="230"/>
      <c r="R286" s="230"/>
      <c r="S286" s="230"/>
      <c r="T286" s="230"/>
      <c r="U286" s="230"/>
      <c r="V286" s="230"/>
      <c r="W286" s="230"/>
      <c r="X286" s="230"/>
      <c r="Y286" s="230"/>
    </row>
    <row r="287">
      <c r="O287" s="230"/>
      <c r="R287" s="230"/>
      <c r="S287" s="230"/>
      <c r="T287" s="230"/>
      <c r="U287" s="230"/>
      <c r="V287" s="230"/>
      <c r="W287" s="230"/>
      <c r="X287" s="230"/>
      <c r="Y287" s="230"/>
    </row>
    <row r="288">
      <c r="O288" s="230"/>
      <c r="R288" s="230"/>
      <c r="S288" s="230"/>
      <c r="T288" s="230"/>
      <c r="U288" s="230"/>
      <c r="V288" s="230"/>
      <c r="W288" s="230"/>
      <c r="X288" s="230"/>
      <c r="Y288" s="230"/>
    </row>
    <row r="289">
      <c r="O289" s="230"/>
      <c r="R289" s="230"/>
      <c r="S289" s="230"/>
      <c r="T289" s="230"/>
      <c r="U289" s="230"/>
      <c r="V289" s="230"/>
      <c r="W289" s="230"/>
      <c r="X289" s="230"/>
      <c r="Y289" s="230"/>
    </row>
    <row r="290">
      <c r="O290" s="230"/>
      <c r="R290" s="230"/>
      <c r="S290" s="230"/>
      <c r="T290" s="230"/>
      <c r="U290" s="230"/>
      <c r="V290" s="230"/>
      <c r="W290" s="230"/>
      <c r="X290" s="230"/>
      <c r="Y290" s="230"/>
    </row>
    <row r="291">
      <c r="O291" s="230"/>
      <c r="R291" s="230"/>
      <c r="S291" s="230"/>
      <c r="T291" s="230"/>
      <c r="U291" s="230"/>
      <c r="V291" s="230"/>
      <c r="W291" s="230"/>
      <c r="X291" s="230"/>
      <c r="Y291" s="230"/>
    </row>
    <row r="292">
      <c r="O292" s="230"/>
      <c r="R292" s="230"/>
      <c r="S292" s="230"/>
      <c r="T292" s="230"/>
      <c r="U292" s="230"/>
      <c r="V292" s="230"/>
      <c r="W292" s="230"/>
      <c r="X292" s="230"/>
      <c r="Y292" s="230"/>
    </row>
    <row r="293">
      <c r="O293" s="230"/>
      <c r="R293" s="230"/>
      <c r="S293" s="230"/>
      <c r="T293" s="230"/>
      <c r="U293" s="230"/>
      <c r="V293" s="230"/>
      <c r="W293" s="230"/>
      <c r="X293" s="230"/>
      <c r="Y293" s="230"/>
    </row>
    <row r="294">
      <c r="O294" s="230"/>
      <c r="R294" s="230"/>
      <c r="S294" s="230"/>
      <c r="T294" s="230"/>
      <c r="U294" s="230"/>
      <c r="V294" s="230"/>
      <c r="W294" s="230"/>
      <c r="X294" s="230"/>
      <c r="Y294" s="230"/>
    </row>
    <row r="295">
      <c r="O295" s="230"/>
      <c r="R295" s="230"/>
      <c r="S295" s="230"/>
      <c r="T295" s="230"/>
      <c r="U295" s="230"/>
      <c r="V295" s="230"/>
      <c r="W295" s="230"/>
      <c r="X295" s="230"/>
      <c r="Y295" s="230"/>
    </row>
    <row r="296">
      <c r="O296" s="230"/>
      <c r="R296" s="230"/>
      <c r="S296" s="230"/>
      <c r="T296" s="230"/>
      <c r="U296" s="230"/>
      <c r="V296" s="230"/>
      <c r="W296" s="230"/>
      <c r="X296" s="230"/>
      <c r="Y296" s="230"/>
    </row>
    <row r="297">
      <c r="O297" s="230"/>
      <c r="R297" s="230"/>
      <c r="S297" s="230"/>
      <c r="T297" s="230"/>
      <c r="U297" s="230"/>
      <c r="V297" s="230"/>
      <c r="W297" s="230"/>
      <c r="X297" s="230"/>
      <c r="Y297" s="230"/>
    </row>
    <row r="298">
      <c r="O298" s="230"/>
      <c r="R298" s="230"/>
      <c r="S298" s="230"/>
      <c r="T298" s="230"/>
      <c r="U298" s="230"/>
      <c r="V298" s="230"/>
      <c r="W298" s="230"/>
      <c r="X298" s="230"/>
      <c r="Y298" s="230"/>
    </row>
    <row r="299">
      <c r="O299" s="230"/>
      <c r="R299" s="230"/>
      <c r="S299" s="230"/>
      <c r="T299" s="230"/>
      <c r="U299" s="230"/>
      <c r="V299" s="230"/>
      <c r="W299" s="230"/>
      <c r="X299" s="230"/>
      <c r="Y299" s="230"/>
    </row>
    <row r="300">
      <c r="O300" s="230"/>
      <c r="R300" s="230"/>
      <c r="S300" s="230"/>
      <c r="T300" s="230"/>
      <c r="U300" s="230"/>
      <c r="V300" s="230"/>
      <c r="W300" s="230"/>
      <c r="X300" s="230"/>
      <c r="Y300" s="230"/>
    </row>
    <row r="301">
      <c r="O301" s="230"/>
      <c r="R301" s="230"/>
      <c r="S301" s="230"/>
      <c r="T301" s="230"/>
      <c r="U301" s="230"/>
      <c r="V301" s="230"/>
      <c r="W301" s="230"/>
      <c r="X301" s="230"/>
      <c r="Y301" s="230"/>
    </row>
    <row r="302">
      <c r="O302" s="230"/>
      <c r="R302" s="230"/>
      <c r="S302" s="230"/>
      <c r="T302" s="230"/>
      <c r="U302" s="230"/>
      <c r="V302" s="230"/>
      <c r="W302" s="230"/>
      <c r="X302" s="230"/>
      <c r="Y302" s="230"/>
    </row>
    <row r="303">
      <c r="O303" s="230"/>
      <c r="R303" s="230"/>
      <c r="S303" s="230"/>
      <c r="T303" s="230"/>
      <c r="U303" s="230"/>
      <c r="V303" s="230"/>
      <c r="W303" s="230"/>
      <c r="X303" s="230"/>
      <c r="Y303" s="230"/>
    </row>
    <row r="304">
      <c r="O304" s="230"/>
      <c r="R304" s="230"/>
      <c r="S304" s="230"/>
      <c r="T304" s="230"/>
      <c r="U304" s="230"/>
      <c r="V304" s="230"/>
      <c r="W304" s="230"/>
      <c r="X304" s="230"/>
      <c r="Y304" s="230"/>
    </row>
    <row r="305">
      <c r="O305" s="230"/>
      <c r="R305" s="230"/>
      <c r="S305" s="230"/>
      <c r="T305" s="230"/>
      <c r="U305" s="230"/>
      <c r="V305" s="230"/>
      <c r="W305" s="230"/>
      <c r="X305" s="230"/>
      <c r="Y305" s="230"/>
    </row>
    <row r="306">
      <c r="O306" s="230"/>
      <c r="R306" s="230"/>
      <c r="S306" s="230"/>
      <c r="T306" s="230"/>
      <c r="U306" s="230"/>
      <c r="V306" s="230"/>
      <c r="W306" s="230"/>
      <c r="X306" s="230"/>
      <c r="Y306" s="230"/>
    </row>
    <row r="307">
      <c r="O307" s="230"/>
      <c r="R307" s="230"/>
      <c r="S307" s="230"/>
      <c r="T307" s="230"/>
      <c r="U307" s="230"/>
      <c r="V307" s="230"/>
      <c r="W307" s="230"/>
      <c r="X307" s="230"/>
      <c r="Y307" s="230"/>
    </row>
    <row r="308">
      <c r="O308" s="230"/>
      <c r="R308" s="230"/>
      <c r="S308" s="230"/>
      <c r="T308" s="230"/>
      <c r="U308" s="230"/>
      <c r="V308" s="230"/>
      <c r="W308" s="230"/>
      <c r="X308" s="230"/>
      <c r="Y308" s="230"/>
    </row>
    <row r="309">
      <c r="O309" s="230"/>
      <c r="R309" s="230"/>
      <c r="S309" s="230"/>
      <c r="T309" s="230"/>
      <c r="U309" s="230"/>
      <c r="V309" s="230"/>
      <c r="W309" s="230"/>
      <c r="X309" s="230"/>
      <c r="Y309" s="230"/>
    </row>
    <row r="310">
      <c r="O310" s="230"/>
      <c r="R310" s="230"/>
      <c r="S310" s="230"/>
      <c r="T310" s="230"/>
      <c r="U310" s="230"/>
      <c r="V310" s="230"/>
      <c r="W310" s="230"/>
      <c r="X310" s="230"/>
      <c r="Y310" s="230"/>
    </row>
    <row r="311">
      <c r="O311" s="230"/>
      <c r="R311" s="230"/>
      <c r="S311" s="230"/>
      <c r="T311" s="230"/>
      <c r="U311" s="230"/>
      <c r="V311" s="230"/>
      <c r="W311" s="230"/>
      <c r="X311" s="230"/>
      <c r="Y311" s="230"/>
    </row>
    <row r="312">
      <c r="O312" s="230"/>
      <c r="R312" s="230"/>
      <c r="S312" s="230"/>
      <c r="T312" s="230"/>
      <c r="U312" s="230"/>
      <c r="V312" s="230"/>
      <c r="W312" s="230"/>
      <c r="X312" s="230"/>
      <c r="Y312" s="230"/>
    </row>
    <row r="313">
      <c r="O313" s="230"/>
      <c r="R313" s="230"/>
      <c r="S313" s="230"/>
      <c r="T313" s="230"/>
      <c r="U313" s="230"/>
      <c r="V313" s="230"/>
      <c r="W313" s="230"/>
      <c r="X313" s="230"/>
      <c r="Y313" s="230"/>
    </row>
    <row r="314">
      <c r="O314" s="230"/>
      <c r="R314" s="230"/>
      <c r="S314" s="230"/>
      <c r="T314" s="230"/>
      <c r="U314" s="230"/>
      <c r="V314" s="230"/>
      <c r="W314" s="230"/>
      <c r="X314" s="230"/>
      <c r="Y314" s="230"/>
    </row>
    <row r="315">
      <c r="O315" s="230"/>
      <c r="R315" s="230"/>
      <c r="S315" s="230"/>
      <c r="T315" s="230"/>
      <c r="U315" s="230"/>
      <c r="V315" s="230"/>
      <c r="W315" s="230"/>
      <c r="X315" s="230"/>
      <c r="Y315" s="230"/>
    </row>
    <row r="316">
      <c r="O316" s="230"/>
      <c r="R316" s="230"/>
      <c r="S316" s="230"/>
      <c r="T316" s="230"/>
      <c r="U316" s="230"/>
      <c r="V316" s="230"/>
      <c r="W316" s="230"/>
      <c r="X316" s="230"/>
      <c r="Y316" s="230"/>
    </row>
    <row r="317">
      <c r="O317" s="230"/>
      <c r="R317" s="230"/>
      <c r="S317" s="230"/>
      <c r="T317" s="230"/>
      <c r="U317" s="230"/>
      <c r="V317" s="230"/>
      <c r="W317" s="230"/>
      <c r="X317" s="230"/>
      <c r="Y317" s="230"/>
    </row>
    <row r="318">
      <c r="O318" s="230"/>
      <c r="R318" s="230"/>
      <c r="S318" s="230"/>
      <c r="T318" s="230"/>
      <c r="U318" s="230"/>
      <c r="V318" s="230"/>
      <c r="W318" s="230"/>
      <c r="X318" s="230"/>
      <c r="Y318" s="230"/>
    </row>
    <row r="319">
      <c r="O319" s="230"/>
      <c r="R319" s="230"/>
      <c r="S319" s="230"/>
      <c r="T319" s="230"/>
      <c r="U319" s="230"/>
      <c r="V319" s="230"/>
      <c r="W319" s="230"/>
      <c r="X319" s="230"/>
      <c r="Y319" s="230"/>
    </row>
    <row r="320">
      <c r="O320" s="230"/>
      <c r="R320" s="230"/>
      <c r="S320" s="230"/>
      <c r="T320" s="230"/>
      <c r="U320" s="230"/>
      <c r="V320" s="230"/>
      <c r="W320" s="230"/>
      <c r="X320" s="230"/>
      <c r="Y320" s="230"/>
    </row>
    <row r="321">
      <c r="O321" s="230"/>
      <c r="R321" s="230"/>
      <c r="S321" s="230"/>
      <c r="T321" s="230"/>
      <c r="U321" s="230"/>
      <c r="V321" s="230"/>
      <c r="W321" s="230"/>
      <c r="X321" s="230"/>
      <c r="Y321" s="230"/>
    </row>
    <row r="322">
      <c r="O322" s="230"/>
      <c r="R322" s="230"/>
      <c r="S322" s="230"/>
      <c r="T322" s="230"/>
      <c r="U322" s="230"/>
      <c r="V322" s="230"/>
      <c r="W322" s="230"/>
      <c r="X322" s="230"/>
      <c r="Y322" s="230"/>
    </row>
    <row r="323">
      <c r="O323" s="230"/>
      <c r="R323" s="230"/>
      <c r="S323" s="230"/>
      <c r="T323" s="230"/>
      <c r="U323" s="230"/>
      <c r="V323" s="230"/>
      <c r="W323" s="230"/>
      <c r="X323" s="230"/>
      <c r="Y323" s="230"/>
    </row>
    <row r="324">
      <c r="O324" s="230"/>
      <c r="R324" s="230"/>
      <c r="S324" s="230"/>
      <c r="T324" s="230"/>
      <c r="U324" s="230"/>
      <c r="V324" s="230"/>
      <c r="W324" s="230"/>
      <c r="X324" s="230"/>
      <c r="Y324" s="230"/>
    </row>
    <row r="325">
      <c r="O325" s="230"/>
      <c r="R325" s="230"/>
      <c r="S325" s="230"/>
      <c r="T325" s="230"/>
      <c r="U325" s="230"/>
      <c r="V325" s="230"/>
      <c r="W325" s="230"/>
      <c r="X325" s="230"/>
      <c r="Y325" s="230"/>
    </row>
    <row r="326">
      <c r="O326" s="230"/>
      <c r="R326" s="230"/>
      <c r="S326" s="230"/>
      <c r="T326" s="230"/>
      <c r="U326" s="230"/>
      <c r="V326" s="230"/>
      <c r="W326" s="230"/>
      <c r="X326" s="230"/>
      <c r="Y326" s="230"/>
    </row>
    <row r="327">
      <c r="O327" s="230"/>
      <c r="R327" s="230"/>
      <c r="S327" s="230"/>
      <c r="T327" s="230"/>
      <c r="U327" s="230"/>
      <c r="V327" s="230"/>
      <c r="W327" s="230"/>
      <c r="X327" s="230"/>
      <c r="Y327" s="230"/>
    </row>
    <row r="328">
      <c r="O328" s="230"/>
      <c r="R328" s="230"/>
      <c r="S328" s="230"/>
      <c r="T328" s="230"/>
      <c r="U328" s="230"/>
      <c r="V328" s="230"/>
      <c r="W328" s="230"/>
      <c r="X328" s="230"/>
      <c r="Y328" s="230"/>
    </row>
    <row r="329">
      <c r="O329" s="230"/>
      <c r="R329" s="230"/>
      <c r="S329" s="230"/>
      <c r="T329" s="230"/>
      <c r="U329" s="230"/>
      <c r="V329" s="230"/>
      <c r="W329" s="230"/>
      <c r="X329" s="230"/>
      <c r="Y329" s="230"/>
    </row>
    <row r="330">
      <c r="O330" s="230"/>
      <c r="R330" s="230"/>
      <c r="S330" s="230"/>
      <c r="T330" s="230"/>
      <c r="U330" s="230"/>
      <c r="V330" s="230"/>
      <c r="W330" s="230"/>
      <c r="X330" s="230"/>
      <c r="Y330" s="230"/>
    </row>
    <row r="331">
      <c r="O331" s="230"/>
      <c r="R331" s="230"/>
      <c r="S331" s="230"/>
      <c r="T331" s="230"/>
      <c r="U331" s="230"/>
      <c r="V331" s="230"/>
      <c r="W331" s="230"/>
      <c r="X331" s="230"/>
      <c r="Y331" s="230"/>
    </row>
    <row r="332">
      <c r="O332" s="230"/>
      <c r="R332" s="230"/>
      <c r="S332" s="230"/>
      <c r="T332" s="230"/>
      <c r="U332" s="230"/>
      <c r="V332" s="230"/>
      <c r="W332" s="230"/>
      <c r="X332" s="230"/>
      <c r="Y332" s="230"/>
    </row>
    <row r="333">
      <c r="O333" s="230"/>
      <c r="R333" s="230"/>
      <c r="S333" s="230"/>
      <c r="T333" s="230"/>
      <c r="U333" s="230"/>
      <c r="V333" s="230"/>
      <c r="W333" s="230"/>
      <c r="X333" s="230"/>
      <c r="Y333" s="230"/>
    </row>
    <row r="334">
      <c r="O334" s="230"/>
      <c r="R334" s="230"/>
      <c r="S334" s="230"/>
      <c r="T334" s="230"/>
      <c r="U334" s="230"/>
      <c r="V334" s="230"/>
      <c r="W334" s="230"/>
      <c r="X334" s="230"/>
      <c r="Y334" s="230"/>
    </row>
    <row r="335">
      <c r="O335" s="230"/>
      <c r="R335" s="230"/>
      <c r="S335" s="230"/>
      <c r="T335" s="230"/>
      <c r="U335" s="230"/>
      <c r="V335" s="230"/>
      <c r="W335" s="230"/>
      <c r="X335" s="230"/>
      <c r="Y335" s="230"/>
    </row>
    <row r="336">
      <c r="O336" s="230"/>
      <c r="R336" s="230"/>
      <c r="S336" s="230"/>
      <c r="T336" s="230"/>
      <c r="U336" s="230"/>
      <c r="V336" s="230"/>
      <c r="W336" s="230"/>
      <c r="X336" s="230"/>
      <c r="Y336" s="230"/>
    </row>
    <row r="337">
      <c r="O337" s="230"/>
      <c r="R337" s="230"/>
      <c r="S337" s="230"/>
      <c r="T337" s="230"/>
      <c r="U337" s="230"/>
      <c r="V337" s="230"/>
      <c r="W337" s="230"/>
      <c r="X337" s="230"/>
      <c r="Y337" s="230"/>
    </row>
    <row r="338">
      <c r="O338" s="230"/>
      <c r="R338" s="230"/>
      <c r="S338" s="230"/>
      <c r="T338" s="230"/>
      <c r="U338" s="230"/>
      <c r="V338" s="230"/>
      <c r="W338" s="230"/>
      <c r="X338" s="230"/>
      <c r="Y338" s="230"/>
    </row>
    <row r="339">
      <c r="O339" s="230"/>
      <c r="R339" s="230"/>
      <c r="S339" s="230"/>
      <c r="T339" s="230"/>
      <c r="U339" s="230"/>
      <c r="V339" s="230"/>
      <c r="W339" s="230"/>
      <c r="X339" s="230"/>
      <c r="Y339" s="230"/>
    </row>
    <row r="340">
      <c r="O340" s="230"/>
      <c r="R340" s="230"/>
      <c r="S340" s="230"/>
      <c r="T340" s="230"/>
      <c r="U340" s="230"/>
      <c r="V340" s="230"/>
      <c r="W340" s="230"/>
      <c r="X340" s="230"/>
      <c r="Y340" s="230"/>
    </row>
    <row r="341">
      <c r="O341" s="230"/>
      <c r="R341" s="230"/>
      <c r="S341" s="230"/>
      <c r="T341" s="230"/>
      <c r="U341" s="230"/>
      <c r="V341" s="230"/>
      <c r="W341" s="230"/>
      <c r="X341" s="230"/>
      <c r="Y341" s="230"/>
    </row>
    <row r="342">
      <c r="O342" s="230"/>
      <c r="R342" s="230"/>
      <c r="S342" s="230"/>
      <c r="T342" s="230"/>
      <c r="U342" s="230"/>
      <c r="V342" s="230"/>
      <c r="W342" s="230"/>
      <c r="X342" s="230"/>
      <c r="Y342" s="230"/>
    </row>
    <row r="343">
      <c r="O343" s="230"/>
      <c r="R343" s="230"/>
      <c r="S343" s="230"/>
      <c r="T343" s="230"/>
      <c r="U343" s="230"/>
      <c r="V343" s="230"/>
      <c r="W343" s="230"/>
      <c r="X343" s="230"/>
      <c r="Y343" s="230"/>
    </row>
    <row r="344">
      <c r="O344" s="230"/>
      <c r="R344" s="230"/>
      <c r="S344" s="230"/>
      <c r="T344" s="230"/>
      <c r="U344" s="230"/>
      <c r="V344" s="230"/>
      <c r="W344" s="230"/>
      <c r="X344" s="230"/>
      <c r="Y344" s="230"/>
    </row>
    <row r="345">
      <c r="O345" s="230"/>
      <c r="R345" s="230"/>
      <c r="S345" s="230"/>
      <c r="T345" s="230"/>
      <c r="U345" s="230"/>
      <c r="V345" s="230"/>
      <c r="W345" s="230"/>
      <c r="X345" s="230"/>
      <c r="Y345" s="230"/>
    </row>
    <row r="346">
      <c r="O346" s="230"/>
      <c r="R346" s="230"/>
      <c r="S346" s="230"/>
      <c r="T346" s="230"/>
      <c r="U346" s="230"/>
      <c r="V346" s="230"/>
      <c r="W346" s="230"/>
      <c r="X346" s="230"/>
      <c r="Y346" s="230"/>
    </row>
    <row r="347">
      <c r="O347" s="230"/>
      <c r="R347" s="230"/>
      <c r="S347" s="230"/>
      <c r="T347" s="230"/>
      <c r="U347" s="230"/>
      <c r="V347" s="230"/>
      <c r="W347" s="230"/>
      <c r="X347" s="230"/>
      <c r="Y347" s="230"/>
    </row>
    <row r="348">
      <c r="O348" s="230"/>
      <c r="R348" s="230"/>
      <c r="S348" s="230"/>
      <c r="T348" s="230"/>
      <c r="U348" s="230"/>
      <c r="V348" s="230"/>
      <c r="W348" s="230"/>
      <c r="X348" s="230"/>
      <c r="Y348" s="230"/>
    </row>
    <row r="349">
      <c r="O349" s="230"/>
      <c r="R349" s="230"/>
      <c r="S349" s="230"/>
      <c r="T349" s="230"/>
      <c r="U349" s="230"/>
      <c r="V349" s="230"/>
      <c r="W349" s="230"/>
      <c r="X349" s="230"/>
      <c r="Y349" s="230"/>
    </row>
    <row r="350">
      <c r="O350" s="230"/>
      <c r="R350" s="230"/>
      <c r="S350" s="230"/>
      <c r="T350" s="230"/>
      <c r="U350" s="230"/>
      <c r="V350" s="230"/>
      <c r="W350" s="230"/>
      <c r="X350" s="230"/>
      <c r="Y350" s="230"/>
    </row>
    <row r="351">
      <c r="O351" s="230"/>
      <c r="R351" s="230"/>
      <c r="S351" s="230"/>
      <c r="T351" s="230"/>
      <c r="U351" s="230"/>
      <c r="V351" s="230"/>
      <c r="W351" s="230"/>
      <c r="X351" s="230"/>
      <c r="Y351" s="230"/>
    </row>
    <row r="352">
      <c r="O352" s="230"/>
      <c r="R352" s="230"/>
      <c r="S352" s="230"/>
      <c r="T352" s="230"/>
      <c r="U352" s="230"/>
      <c r="V352" s="230"/>
      <c r="W352" s="230"/>
      <c r="X352" s="230"/>
      <c r="Y352" s="230"/>
    </row>
    <row r="353">
      <c r="O353" s="230"/>
      <c r="R353" s="230"/>
      <c r="S353" s="230"/>
      <c r="T353" s="230"/>
      <c r="U353" s="230"/>
      <c r="V353" s="230"/>
      <c r="W353" s="230"/>
      <c r="X353" s="230"/>
      <c r="Y353" s="230"/>
    </row>
    <row r="354">
      <c r="O354" s="230"/>
      <c r="R354" s="230"/>
      <c r="S354" s="230"/>
      <c r="T354" s="230"/>
      <c r="U354" s="230"/>
      <c r="V354" s="230"/>
      <c r="W354" s="230"/>
      <c r="X354" s="230"/>
      <c r="Y354" s="230"/>
    </row>
    <row r="355">
      <c r="O355" s="230"/>
      <c r="R355" s="230"/>
      <c r="S355" s="230"/>
      <c r="T355" s="230"/>
      <c r="U355" s="230"/>
      <c r="V355" s="230"/>
      <c r="W355" s="230"/>
      <c r="X355" s="230"/>
      <c r="Y355" s="230"/>
    </row>
    <row r="356">
      <c r="O356" s="230"/>
      <c r="R356" s="230"/>
      <c r="S356" s="230"/>
      <c r="T356" s="230"/>
      <c r="U356" s="230"/>
      <c r="V356" s="230"/>
      <c r="W356" s="230"/>
      <c r="X356" s="230"/>
      <c r="Y356" s="230"/>
    </row>
    <row r="357">
      <c r="O357" s="230"/>
      <c r="R357" s="230"/>
      <c r="S357" s="230"/>
      <c r="T357" s="230"/>
      <c r="U357" s="230"/>
      <c r="V357" s="230"/>
      <c r="W357" s="230"/>
      <c r="X357" s="230"/>
      <c r="Y357" s="230"/>
    </row>
    <row r="358">
      <c r="O358" s="230"/>
      <c r="R358" s="230"/>
      <c r="S358" s="230"/>
      <c r="T358" s="230"/>
      <c r="U358" s="230"/>
      <c r="V358" s="230"/>
      <c r="W358" s="230"/>
      <c r="X358" s="230"/>
      <c r="Y358" s="230"/>
    </row>
    <row r="359">
      <c r="O359" s="230"/>
      <c r="R359" s="230"/>
      <c r="S359" s="230"/>
      <c r="T359" s="230"/>
      <c r="U359" s="230"/>
      <c r="V359" s="230"/>
      <c r="W359" s="230"/>
      <c r="X359" s="230"/>
      <c r="Y359" s="230"/>
    </row>
    <row r="360">
      <c r="O360" s="230"/>
      <c r="R360" s="230"/>
      <c r="S360" s="230"/>
      <c r="T360" s="230"/>
      <c r="U360" s="230"/>
      <c r="V360" s="230"/>
      <c r="W360" s="230"/>
      <c r="X360" s="230"/>
      <c r="Y360" s="230"/>
    </row>
    <row r="361">
      <c r="O361" s="230"/>
      <c r="R361" s="230"/>
      <c r="S361" s="230"/>
      <c r="T361" s="230"/>
      <c r="U361" s="230"/>
      <c r="V361" s="230"/>
      <c r="W361" s="230"/>
      <c r="X361" s="230"/>
      <c r="Y361" s="230"/>
    </row>
    <row r="362">
      <c r="O362" s="230"/>
      <c r="R362" s="230"/>
      <c r="S362" s="230"/>
      <c r="T362" s="230"/>
      <c r="U362" s="230"/>
      <c r="V362" s="230"/>
      <c r="W362" s="230"/>
      <c r="X362" s="230"/>
      <c r="Y362" s="230"/>
    </row>
    <row r="363">
      <c r="O363" s="230"/>
      <c r="R363" s="230"/>
      <c r="S363" s="230"/>
      <c r="T363" s="230"/>
      <c r="U363" s="230"/>
      <c r="V363" s="230"/>
      <c r="W363" s="230"/>
      <c r="X363" s="230"/>
      <c r="Y363" s="230"/>
    </row>
    <row r="364">
      <c r="O364" s="230"/>
      <c r="R364" s="230"/>
      <c r="S364" s="230"/>
      <c r="T364" s="230"/>
      <c r="U364" s="230"/>
      <c r="V364" s="230"/>
      <c r="W364" s="230"/>
      <c r="X364" s="230"/>
      <c r="Y364" s="230"/>
    </row>
    <row r="365">
      <c r="O365" s="230"/>
      <c r="R365" s="230"/>
      <c r="S365" s="230"/>
      <c r="T365" s="230"/>
      <c r="U365" s="230"/>
      <c r="V365" s="230"/>
      <c r="W365" s="230"/>
      <c r="X365" s="230"/>
      <c r="Y365" s="230"/>
    </row>
    <row r="366">
      <c r="O366" s="230"/>
      <c r="R366" s="230"/>
      <c r="S366" s="230"/>
      <c r="T366" s="230"/>
      <c r="U366" s="230"/>
      <c r="V366" s="230"/>
      <c r="W366" s="230"/>
      <c r="X366" s="230"/>
      <c r="Y366" s="230"/>
    </row>
    <row r="367">
      <c r="O367" s="230"/>
      <c r="R367" s="230"/>
      <c r="S367" s="230"/>
      <c r="T367" s="230"/>
      <c r="U367" s="230"/>
      <c r="V367" s="230"/>
      <c r="W367" s="230"/>
      <c r="X367" s="230"/>
      <c r="Y367" s="230"/>
    </row>
    <row r="368">
      <c r="O368" s="230"/>
      <c r="R368" s="230"/>
      <c r="S368" s="230"/>
      <c r="T368" s="230"/>
      <c r="U368" s="230"/>
      <c r="V368" s="230"/>
      <c r="W368" s="230"/>
      <c r="X368" s="230"/>
      <c r="Y368" s="230"/>
    </row>
    <row r="369">
      <c r="O369" s="230"/>
      <c r="R369" s="230"/>
      <c r="S369" s="230"/>
      <c r="T369" s="230"/>
      <c r="U369" s="230"/>
      <c r="V369" s="230"/>
      <c r="W369" s="230"/>
      <c r="X369" s="230"/>
      <c r="Y369" s="230"/>
    </row>
    <row r="370">
      <c r="O370" s="230"/>
      <c r="R370" s="230"/>
      <c r="S370" s="230"/>
      <c r="T370" s="230"/>
      <c r="U370" s="230"/>
      <c r="V370" s="230"/>
      <c r="W370" s="230"/>
      <c r="X370" s="230"/>
      <c r="Y370" s="230"/>
    </row>
    <row r="371">
      <c r="O371" s="230"/>
      <c r="R371" s="230"/>
      <c r="S371" s="230"/>
      <c r="T371" s="230"/>
      <c r="U371" s="230"/>
      <c r="V371" s="230"/>
      <c r="W371" s="230"/>
      <c r="X371" s="230"/>
      <c r="Y371" s="230"/>
    </row>
    <row r="372">
      <c r="O372" s="230"/>
      <c r="R372" s="230"/>
      <c r="S372" s="230"/>
      <c r="T372" s="230"/>
      <c r="U372" s="230"/>
      <c r="V372" s="230"/>
      <c r="W372" s="230"/>
      <c r="X372" s="230"/>
      <c r="Y372" s="230"/>
    </row>
    <row r="373">
      <c r="O373" s="230"/>
      <c r="R373" s="230"/>
      <c r="S373" s="230"/>
      <c r="T373" s="230"/>
      <c r="U373" s="230"/>
      <c r="V373" s="230"/>
      <c r="W373" s="230"/>
      <c r="X373" s="230"/>
      <c r="Y373" s="230"/>
    </row>
    <row r="374">
      <c r="O374" s="230"/>
      <c r="R374" s="230"/>
      <c r="S374" s="230"/>
      <c r="T374" s="230"/>
      <c r="U374" s="230"/>
      <c r="V374" s="230"/>
      <c r="W374" s="230"/>
      <c r="X374" s="230"/>
      <c r="Y374" s="230"/>
    </row>
    <row r="375">
      <c r="O375" s="230"/>
      <c r="R375" s="230"/>
      <c r="S375" s="230"/>
      <c r="T375" s="230"/>
      <c r="U375" s="230"/>
      <c r="V375" s="230"/>
      <c r="W375" s="230"/>
      <c r="X375" s="230"/>
      <c r="Y375" s="230"/>
    </row>
    <row r="376">
      <c r="O376" s="230"/>
      <c r="R376" s="230"/>
      <c r="S376" s="230"/>
      <c r="T376" s="230"/>
      <c r="U376" s="230"/>
      <c r="V376" s="230"/>
      <c r="W376" s="230"/>
      <c r="X376" s="230"/>
      <c r="Y376" s="230"/>
    </row>
    <row r="377">
      <c r="O377" s="230"/>
      <c r="R377" s="230"/>
      <c r="S377" s="230"/>
      <c r="T377" s="230"/>
      <c r="U377" s="230"/>
      <c r="V377" s="230"/>
      <c r="W377" s="230"/>
      <c r="X377" s="230"/>
      <c r="Y377" s="230"/>
    </row>
    <row r="378">
      <c r="O378" s="230"/>
      <c r="R378" s="230"/>
      <c r="S378" s="230"/>
      <c r="T378" s="230"/>
      <c r="U378" s="230"/>
      <c r="V378" s="230"/>
      <c r="W378" s="230"/>
      <c r="X378" s="230"/>
      <c r="Y378" s="230"/>
    </row>
    <row r="379">
      <c r="O379" s="230"/>
      <c r="R379" s="230"/>
      <c r="S379" s="230"/>
      <c r="T379" s="230"/>
      <c r="U379" s="230"/>
      <c r="V379" s="230"/>
      <c r="W379" s="230"/>
      <c r="X379" s="230"/>
      <c r="Y379" s="230"/>
    </row>
    <row r="380">
      <c r="O380" s="230"/>
      <c r="R380" s="230"/>
      <c r="S380" s="230"/>
      <c r="T380" s="230"/>
      <c r="U380" s="230"/>
      <c r="V380" s="230"/>
      <c r="W380" s="230"/>
      <c r="X380" s="230"/>
      <c r="Y380" s="230"/>
    </row>
    <row r="381">
      <c r="O381" s="230"/>
      <c r="R381" s="230"/>
      <c r="S381" s="230"/>
      <c r="T381" s="230"/>
      <c r="U381" s="230"/>
      <c r="V381" s="230"/>
      <c r="W381" s="230"/>
      <c r="X381" s="230"/>
      <c r="Y381" s="230"/>
    </row>
    <row r="382">
      <c r="O382" s="230"/>
      <c r="R382" s="230"/>
      <c r="S382" s="230"/>
      <c r="T382" s="230"/>
      <c r="U382" s="230"/>
      <c r="V382" s="230"/>
      <c r="W382" s="230"/>
      <c r="X382" s="230"/>
      <c r="Y382" s="230"/>
    </row>
    <row r="383">
      <c r="O383" s="230"/>
      <c r="R383" s="230"/>
      <c r="S383" s="230"/>
      <c r="T383" s="230"/>
      <c r="U383" s="230"/>
      <c r="V383" s="230"/>
      <c r="W383" s="230"/>
      <c r="X383" s="230"/>
      <c r="Y383" s="230"/>
    </row>
    <row r="384">
      <c r="O384" s="230"/>
      <c r="R384" s="230"/>
      <c r="S384" s="230"/>
      <c r="T384" s="230"/>
      <c r="U384" s="230"/>
      <c r="V384" s="230"/>
      <c r="W384" s="230"/>
      <c r="X384" s="230"/>
      <c r="Y384" s="230"/>
    </row>
    <row r="385">
      <c r="O385" s="230"/>
      <c r="R385" s="230"/>
      <c r="S385" s="230"/>
      <c r="T385" s="230"/>
      <c r="U385" s="230"/>
      <c r="V385" s="230"/>
      <c r="W385" s="230"/>
      <c r="X385" s="230"/>
      <c r="Y385" s="230"/>
    </row>
    <row r="386">
      <c r="O386" s="230"/>
      <c r="R386" s="230"/>
      <c r="S386" s="230"/>
      <c r="T386" s="230"/>
      <c r="U386" s="230"/>
      <c r="V386" s="230"/>
      <c r="W386" s="230"/>
      <c r="X386" s="230"/>
      <c r="Y386" s="230"/>
    </row>
    <row r="387">
      <c r="O387" s="230"/>
      <c r="R387" s="230"/>
      <c r="S387" s="230"/>
      <c r="T387" s="230"/>
      <c r="U387" s="230"/>
      <c r="V387" s="230"/>
      <c r="W387" s="230"/>
      <c r="X387" s="230"/>
      <c r="Y387" s="230"/>
    </row>
    <row r="388">
      <c r="O388" s="230"/>
      <c r="R388" s="230"/>
      <c r="S388" s="230"/>
      <c r="T388" s="230"/>
      <c r="U388" s="230"/>
      <c r="V388" s="230"/>
      <c r="W388" s="230"/>
      <c r="X388" s="230"/>
      <c r="Y388" s="230"/>
    </row>
    <row r="389">
      <c r="O389" s="230"/>
      <c r="R389" s="230"/>
      <c r="S389" s="230"/>
      <c r="T389" s="230"/>
      <c r="U389" s="230"/>
      <c r="V389" s="230"/>
      <c r="W389" s="230"/>
      <c r="X389" s="230"/>
      <c r="Y389" s="230"/>
    </row>
    <row r="390">
      <c r="O390" s="230"/>
      <c r="R390" s="230"/>
      <c r="S390" s="230"/>
      <c r="T390" s="230"/>
      <c r="U390" s="230"/>
      <c r="V390" s="230"/>
      <c r="W390" s="230"/>
      <c r="X390" s="230"/>
      <c r="Y390" s="230"/>
    </row>
    <row r="391">
      <c r="O391" s="230"/>
      <c r="R391" s="230"/>
      <c r="S391" s="230"/>
      <c r="T391" s="230"/>
      <c r="U391" s="230"/>
      <c r="V391" s="230"/>
      <c r="W391" s="230"/>
      <c r="X391" s="230"/>
      <c r="Y391" s="230"/>
    </row>
    <row r="392">
      <c r="O392" s="230"/>
      <c r="R392" s="230"/>
      <c r="S392" s="230"/>
      <c r="T392" s="230"/>
      <c r="U392" s="230"/>
      <c r="V392" s="230"/>
      <c r="W392" s="230"/>
      <c r="X392" s="230"/>
      <c r="Y392" s="230"/>
    </row>
    <row r="393">
      <c r="O393" s="230"/>
      <c r="R393" s="230"/>
      <c r="S393" s="230"/>
      <c r="T393" s="230"/>
      <c r="U393" s="230"/>
      <c r="V393" s="230"/>
      <c r="W393" s="230"/>
      <c r="X393" s="230"/>
      <c r="Y393" s="230"/>
    </row>
    <row r="394">
      <c r="O394" s="230"/>
      <c r="R394" s="230"/>
      <c r="S394" s="230"/>
      <c r="T394" s="230"/>
      <c r="U394" s="230"/>
      <c r="V394" s="230"/>
      <c r="W394" s="230"/>
      <c r="X394" s="230"/>
      <c r="Y394" s="230"/>
    </row>
    <row r="395">
      <c r="O395" s="230"/>
      <c r="R395" s="230"/>
      <c r="S395" s="230"/>
      <c r="T395" s="230"/>
      <c r="U395" s="230"/>
      <c r="V395" s="230"/>
      <c r="W395" s="230"/>
      <c r="X395" s="230"/>
      <c r="Y395" s="230"/>
    </row>
    <row r="396">
      <c r="O396" s="230"/>
      <c r="R396" s="230"/>
      <c r="S396" s="230"/>
      <c r="T396" s="230"/>
      <c r="U396" s="230"/>
      <c r="V396" s="230"/>
      <c r="W396" s="230"/>
      <c r="X396" s="230"/>
      <c r="Y396" s="230"/>
    </row>
    <row r="397">
      <c r="O397" s="230"/>
      <c r="R397" s="230"/>
      <c r="S397" s="230"/>
      <c r="T397" s="230"/>
      <c r="U397" s="230"/>
      <c r="V397" s="230"/>
      <c r="W397" s="230"/>
      <c r="X397" s="230"/>
      <c r="Y397" s="230"/>
    </row>
    <row r="398">
      <c r="O398" s="230"/>
      <c r="R398" s="230"/>
      <c r="S398" s="230"/>
      <c r="T398" s="230"/>
      <c r="U398" s="230"/>
      <c r="V398" s="230"/>
      <c r="W398" s="230"/>
      <c r="X398" s="230"/>
      <c r="Y398" s="230"/>
    </row>
    <row r="399">
      <c r="O399" s="230"/>
      <c r="R399" s="230"/>
      <c r="S399" s="230"/>
      <c r="T399" s="230"/>
      <c r="U399" s="230"/>
      <c r="V399" s="230"/>
      <c r="W399" s="230"/>
      <c r="X399" s="230"/>
      <c r="Y399" s="230"/>
    </row>
    <row r="400">
      <c r="O400" s="230"/>
      <c r="R400" s="230"/>
      <c r="S400" s="230"/>
      <c r="T400" s="230"/>
      <c r="U400" s="230"/>
      <c r="V400" s="230"/>
      <c r="W400" s="230"/>
      <c r="X400" s="230"/>
      <c r="Y400" s="230"/>
    </row>
    <row r="401">
      <c r="O401" s="230"/>
      <c r="R401" s="230"/>
      <c r="S401" s="230"/>
      <c r="T401" s="230"/>
      <c r="U401" s="230"/>
      <c r="V401" s="230"/>
      <c r="W401" s="230"/>
      <c r="X401" s="230"/>
      <c r="Y401" s="230"/>
    </row>
    <row r="402">
      <c r="O402" s="230"/>
      <c r="R402" s="230"/>
      <c r="S402" s="230"/>
      <c r="T402" s="230"/>
      <c r="U402" s="230"/>
      <c r="V402" s="230"/>
      <c r="W402" s="230"/>
      <c r="X402" s="230"/>
      <c r="Y402" s="230"/>
    </row>
    <row r="403">
      <c r="O403" s="230"/>
      <c r="R403" s="230"/>
      <c r="S403" s="230"/>
      <c r="T403" s="230"/>
      <c r="U403" s="230"/>
      <c r="V403" s="230"/>
      <c r="W403" s="230"/>
      <c r="X403" s="230"/>
      <c r="Y403" s="230"/>
    </row>
    <row r="404">
      <c r="O404" s="230"/>
      <c r="R404" s="230"/>
      <c r="S404" s="230"/>
      <c r="T404" s="230"/>
      <c r="U404" s="230"/>
      <c r="V404" s="230"/>
      <c r="W404" s="230"/>
      <c r="X404" s="230"/>
      <c r="Y404" s="230"/>
    </row>
    <row r="405">
      <c r="O405" s="230"/>
      <c r="R405" s="230"/>
      <c r="S405" s="230"/>
      <c r="T405" s="230"/>
      <c r="U405" s="230"/>
      <c r="V405" s="230"/>
      <c r="W405" s="230"/>
      <c r="X405" s="230"/>
      <c r="Y405" s="230"/>
    </row>
    <row r="406">
      <c r="O406" s="230"/>
      <c r="R406" s="230"/>
      <c r="S406" s="230"/>
      <c r="T406" s="230"/>
      <c r="U406" s="230"/>
      <c r="V406" s="230"/>
      <c r="W406" s="230"/>
      <c r="X406" s="230"/>
      <c r="Y406" s="230"/>
    </row>
    <row r="407">
      <c r="O407" s="230"/>
      <c r="R407" s="230"/>
      <c r="S407" s="230"/>
      <c r="T407" s="230"/>
      <c r="U407" s="230"/>
      <c r="V407" s="230"/>
      <c r="W407" s="230"/>
      <c r="X407" s="230"/>
      <c r="Y407" s="230"/>
    </row>
    <row r="408">
      <c r="O408" s="230"/>
      <c r="R408" s="230"/>
      <c r="S408" s="230"/>
      <c r="T408" s="230"/>
      <c r="U408" s="230"/>
      <c r="V408" s="230"/>
      <c r="W408" s="230"/>
      <c r="X408" s="230"/>
      <c r="Y408" s="230"/>
    </row>
    <row r="409">
      <c r="O409" s="230"/>
      <c r="R409" s="230"/>
      <c r="S409" s="230"/>
      <c r="T409" s="230"/>
      <c r="U409" s="230"/>
      <c r="V409" s="230"/>
      <c r="W409" s="230"/>
      <c r="X409" s="230"/>
      <c r="Y409" s="230"/>
    </row>
    <row r="410">
      <c r="O410" s="230"/>
      <c r="R410" s="230"/>
      <c r="S410" s="230"/>
      <c r="T410" s="230"/>
      <c r="U410" s="230"/>
      <c r="V410" s="230"/>
      <c r="W410" s="230"/>
      <c r="X410" s="230"/>
      <c r="Y410" s="230"/>
    </row>
    <row r="411">
      <c r="O411" s="230"/>
      <c r="R411" s="230"/>
      <c r="S411" s="230"/>
      <c r="T411" s="230"/>
      <c r="U411" s="230"/>
      <c r="V411" s="230"/>
      <c r="W411" s="230"/>
      <c r="X411" s="230"/>
      <c r="Y411" s="230"/>
    </row>
    <row r="412">
      <c r="O412" s="230"/>
      <c r="R412" s="230"/>
      <c r="S412" s="230"/>
      <c r="T412" s="230"/>
      <c r="U412" s="230"/>
      <c r="V412" s="230"/>
      <c r="W412" s="230"/>
      <c r="X412" s="230"/>
      <c r="Y412" s="230"/>
    </row>
    <row r="413">
      <c r="O413" s="230"/>
      <c r="R413" s="230"/>
      <c r="S413" s="230"/>
      <c r="T413" s="230"/>
      <c r="U413" s="230"/>
      <c r="V413" s="230"/>
      <c r="W413" s="230"/>
      <c r="X413" s="230"/>
      <c r="Y413" s="230"/>
    </row>
    <row r="414">
      <c r="O414" s="230"/>
      <c r="R414" s="230"/>
      <c r="S414" s="230"/>
      <c r="T414" s="230"/>
      <c r="U414" s="230"/>
      <c r="V414" s="230"/>
      <c r="W414" s="230"/>
      <c r="X414" s="230"/>
      <c r="Y414" s="230"/>
    </row>
    <row r="415">
      <c r="O415" s="230"/>
      <c r="R415" s="230"/>
      <c r="S415" s="230"/>
      <c r="T415" s="230"/>
      <c r="U415" s="230"/>
      <c r="V415" s="230"/>
      <c r="W415" s="230"/>
      <c r="X415" s="230"/>
      <c r="Y415" s="230"/>
    </row>
    <row r="416">
      <c r="O416" s="230"/>
      <c r="R416" s="230"/>
      <c r="S416" s="230"/>
      <c r="T416" s="230"/>
      <c r="U416" s="230"/>
      <c r="V416" s="230"/>
      <c r="W416" s="230"/>
      <c r="X416" s="230"/>
      <c r="Y416" s="230"/>
    </row>
    <row r="417">
      <c r="O417" s="230"/>
      <c r="R417" s="230"/>
      <c r="S417" s="230"/>
      <c r="T417" s="230"/>
      <c r="U417" s="230"/>
      <c r="V417" s="230"/>
      <c r="W417" s="230"/>
      <c r="X417" s="230"/>
      <c r="Y417" s="230"/>
    </row>
    <row r="418">
      <c r="O418" s="230"/>
      <c r="R418" s="230"/>
      <c r="S418" s="230"/>
      <c r="T418" s="230"/>
      <c r="U418" s="230"/>
      <c r="V418" s="230"/>
      <c r="W418" s="230"/>
      <c r="X418" s="230"/>
      <c r="Y418" s="230"/>
    </row>
    <row r="419">
      <c r="O419" s="230"/>
      <c r="R419" s="230"/>
      <c r="S419" s="230"/>
      <c r="T419" s="230"/>
      <c r="U419" s="230"/>
      <c r="V419" s="230"/>
      <c r="W419" s="230"/>
      <c r="X419" s="230"/>
      <c r="Y419" s="230"/>
    </row>
    <row r="420">
      <c r="O420" s="230"/>
      <c r="R420" s="230"/>
      <c r="S420" s="230"/>
      <c r="T420" s="230"/>
      <c r="U420" s="230"/>
      <c r="V420" s="230"/>
      <c r="W420" s="230"/>
      <c r="X420" s="230"/>
      <c r="Y420" s="230"/>
    </row>
    <row r="421">
      <c r="O421" s="230"/>
      <c r="R421" s="230"/>
      <c r="S421" s="230"/>
      <c r="T421" s="230"/>
      <c r="U421" s="230"/>
      <c r="V421" s="230"/>
      <c r="W421" s="230"/>
      <c r="X421" s="230"/>
      <c r="Y421" s="230"/>
    </row>
    <row r="422">
      <c r="O422" s="230"/>
      <c r="R422" s="230"/>
      <c r="S422" s="230"/>
      <c r="T422" s="230"/>
      <c r="U422" s="230"/>
      <c r="V422" s="230"/>
      <c r="W422" s="230"/>
      <c r="X422" s="230"/>
      <c r="Y422" s="230"/>
    </row>
    <row r="423">
      <c r="O423" s="230"/>
      <c r="R423" s="230"/>
      <c r="S423" s="230"/>
      <c r="T423" s="230"/>
      <c r="U423" s="230"/>
      <c r="V423" s="230"/>
      <c r="W423" s="230"/>
      <c r="X423" s="230"/>
      <c r="Y423" s="230"/>
    </row>
    <row r="424">
      <c r="O424" s="230"/>
      <c r="R424" s="230"/>
      <c r="S424" s="230"/>
      <c r="T424" s="230"/>
      <c r="U424" s="230"/>
      <c r="V424" s="230"/>
      <c r="W424" s="230"/>
      <c r="X424" s="230"/>
      <c r="Y424" s="230"/>
    </row>
    <row r="425">
      <c r="O425" s="230"/>
      <c r="R425" s="230"/>
      <c r="S425" s="230"/>
      <c r="T425" s="230"/>
      <c r="U425" s="230"/>
      <c r="V425" s="230"/>
      <c r="W425" s="230"/>
      <c r="X425" s="230"/>
      <c r="Y425" s="230"/>
    </row>
    <row r="426">
      <c r="O426" s="230"/>
      <c r="R426" s="230"/>
      <c r="S426" s="230"/>
      <c r="T426" s="230"/>
      <c r="U426" s="230"/>
      <c r="V426" s="230"/>
      <c r="W426" s="230"/>
      <c r="X426" s="230"/>
      <c r="Y426" s="230"/>
    </row>
    <row r="427">
      <c r="O427" s="230"/>
      <c r="R427" s="230"/>
      <c r="S427" s="230"/>
      <c r="T427" s="230"/>
      <c r="U427" s="230"/>
      <c r="V427" s="230"/>
      <c r="W427" s="230"/>
      <c r="X427" s="230"/>
      <c r="Y427" s="230"/>
    </row>
    <row r="428">
      <c r="O428" s="230"/>
      <c r="R428" s="230"/>
      <c r="S428" s="230"/>
      <c r="T428" s="230"/>
      <c r="U428" s="230"/>
      <c r="V428" s="230"/>
      <c r="W428" s="230"/>
      <c r="X428" s="230"/>
      <c r="Y428" s="230"/>
    </row>
    <row r="429">
      <c r="O429" s="230"/>
      <c r="R429" s="230"/>
      <c r="S429" s="230"/>
      <c r="T429" s="230"/>
      <c r="U429" s="230"/>
      <c r="V429" s="230"/>
      <c r="W429" s="230"/>
      <c r="X429" s="230"/>
      <c r="Y429" s="230"/>
    </row>
    <row r="430">
      <c r="O430" s="230"/>
      <c r="R430" s="230"/>
      <c r="S430" s="230"/>
      <c r="T430" s="230"/>
      <c r="U430" s="230"/>
      <c r="V430" s="230"/>
      <c r="W430" s="230"/>
      <c r="X430" s="230"/>
      <c r="Y430" s="230"/>
    </row>
    <row r="431">
      <c r="O431" s="230"/>
      <c r="R431" s="230"/>
      <c r="S431" s="230"/>
      <c r="T431" s="230"/>
      <c r="U431" s="230"/>
      <c r="V431" s="230"/>
      <c r="W431" s="230"/>
      <c r="X431" s="230"/>
      <c r="Y431" s="230"/>
    </row>
    <row r="432">
      <c r="O432" s="230"/>
      <c r="R432" s="230"/>
      <c r="S432" s="230"/>
      <c r="T432" s="230"/>
      <c r="U432" s="230"/>
      <c r="V432" s="230"/>
      <c r="W432" s="230"/>
      <c r="X432" s="230"/>
      <c r="Y432" s="230"/>
    </row>
    <row r="433">
      <c r="O433" s="230"/>
      <c r="R433" s="230"/>
      <c r="S433" s="230"/>
      <c r="T433" s="230"/>
      <c r="U433" s="230"/>
      <c r="V433" s="230"/>
      <c r="W433" s="230"/>
      <c r="X433" s="230"/>
      <c r="Y433" s="230"/>
    </row>
    <row r="434">
      <c r="O434" s="230"/>
      <c r="R434" s="230"/>
      <c r="S434" s="230"/>
      <c r="T434" s="230"/>
      <c r="U434" s="230"/>
      <c r="V434" s="230"/>
      <c r="W434" s="230"/>
      <c r="X434" s="230"/>
      <c r="Y434" s="230"/>
    </row>
    <row r="435">
      <c r="O435" s="230"/>
      <c r="R435" s="230"/>
      <c r="S435" s="230"/>
      <c r="T435" s="230"/>
      <c r="U435" s="230"/>
      <c r="V435" s="230"/>
      <c r="W435" s="230"/>
      <c r="X435" s="230"/>
      <c r="Y435" s="230"/>
    </row>
    <row r="436">
      <c r="O436" s="230"/>
      <c r="R436" s="230"/>
      <c r="S436" s="230"/>
      <c r="T436" s="230"/>
      <c r="U436" s="230"/>
      <c r="V436" s="230"/>
      <c r="W436" s="230"/>
      <c r="X436" s="230"/>
      <c r="Y436" s="230"/>
    </row>
    <row r="437">
      <c r="O437" s="230"/>
      <c r="R437" s="230"/>
      <c r="S437" s="230"/>
      <c r="T437" s="230"/>
      <c r="U437" s="230"/>
      <c r="V437" s="230"/>
      <c r="W437" s="230"/>
      <c r="X437" s="230"/>
      <c r="Y437" s="230"/>
    </row>
    <row r="438">
      <c r="O438" s="230"/>
      <c r="R438" s="230"/>
      <c r="S438" s="230"/>
      <c r="T438" s="230"/>
      <c r="U438" s="230"/>
      <c r="V438" s="230"/>
      <c r="W438" s="230"/>
      <c r="X438" s="230"/>
      <c r="Y438" s="230"/>
    </row>
    <row r="439">
      <c r="O439" s="230"/>
      <c r="R439" s="230"/>
      <c r="S439" s="230"/>
      <c r="T439" s="230"/>
      <c r="U439" s="230"/>
      <c r="V439" s="230"/>
      <c r="W439" s="230"/>
      <c r="X439" s="230"/>
      <c r="Y439" s="230"/>
    </row>
    <row r="440">
      <c r="O440" s="230"/>
      <c r="R440" s="230"/>
      <c r="S440" s="230"/>
      <c r="T440" s="230"/>
      <c r="U440" s="230"/>
      <c r="V440" s="230"/>
      <c r="W440" s="230"/>
      <c r="X440" s="230"/>
      <c r="Y440" s="230"/>
    </row>
    <row r="441">
      <c r="O441" s="230"/>
      <c r="R441" s="230"/>
      <c r="S441" s="230"/>
      <c r="T441" s="230"/>
      <c r="U441" s="230"/>
      <c r="V441" s="230"/>
      <c r="W441" s="230"/>
      <c r="X441" s="230"/>
      <c r="Y441" s="230"/>
    </row>
    <row r="442">
      <c r="O442" s="230"/>
      <c r="R442" s="230"/>
      <c r="S442" s="230"/>
      <c r="T442" s="230"/>
      <c r="U442" s="230"/>
      <c r="V442" s="230"/>
      <c r="W442" s="230"/>
      <c r="X442" s="230"/>
      <c r="Y442" s="230"/>
    </row>
    <row r="443">
      <c r="O443" s="230"/>
      <c r="R443" s="230"/>
      <c r="S443" s="230"/>
      <c r="T443" s="230"/>
      <c r="U443" s="230"/>
      <c r="V443" s="230"/>
      <c r="W443" s="230"/>
      <c r="X443" s="230"/>
      <c r="Y443" s="230"/>
    </row>
    <row r="444">
      <c r="O444" s="230"/>
      <c r="R444" s="230"/>
      <c r="S444" s="230"/>
      <c r="T444" s="230"/>
      <c r="U444" s="230"/>
      <c r="V444" s="230"/>
      <c r="W444" s="230"/>
      <c r="X444" s="230"/>
      <c r="Y444" s="230"/>
    </row>
    <row r="445">
      <c r="O445" s="230"/>
      <c r="R445" s="230"/>
      <c r="S445" s="230"/>
      <c r="T445" s="230"/>
      <c r="U445" s="230"/>
      <c r="V445" s="230"/>
      <c r="W445" s="230"/>
      <c r="X445" s="230"/>
      <c r="Y445" s="230"/>
    </row>
    <row r="446">
      <c r="O446" s="230"/>
      <c r="R446" s="230"/>
      <c r="S446" s="230"/>
      <c r="T446" s="230"/>
      <c r="U446" s="230"/>
      <c r="V446" s="230"/>
      <c r="W446" s="230"/>
      <c r="X446" s="230"/>
      <c r="Y446" s="230"/>
    </row>
    <row r="447">
      <c r="O447" s="230"/>
      <c r="R447" s="230"/>
      <c r="S447" s="230"/>
      <c r="T447" s="230"/>
      <c r="U447" s="230"/>
      <c r="V447" s="230"/>
      <c r="W447" s="230"/>
      <c r="X447" s="230"/>
      <c r="Y447" s="230"/>
    </row>
    <row r="448">
      <c r="O448" s="230"/>
      <c r="R448" s="230"/>
      <c r="S448" s="230"/>
      <c r="T448" s="230"/>
      <c r="U448" s="230"/>
      <c r="V448" s="230"/>
      <c r="W448" s="230"/>
      <c r="X448" s="230"/>
      <c r="Y448" s="230"/>
    </row>
    <row r="449">
      <c r="O449" s="230"/>
      <c r="R449" s="230"/>
      <c r="S449" s="230"/>
      <c r="T449" s="230"/>
      <c r="U449" s="230"/>
      <c r="V449" s="230"/>
      <c r="W449" s="230"/>
      <c r="X449" s="230"/>
      <c r="Y449" s="230"/>
    </row>
    <row r="450">
      <c r="O450" s="230"/>
      <c r="R450" s="230"/>
      <c r="S450" s="230"/>
      <c r="T450" s="230"/>
      <c r="U450" s="230"/>
      <c r="V450" s="230"/>
      <c r="W450" s="230"/>
      <c r="X450" s="230"/>
      <c r="Y450" s="230"/>
    </row>
    <row r="451">
      <c r="O451" s="230"/>
      <c r="R451" s="230"/>
      <c r="S451" s="230"/>
      <c r="T451" s="230"/>
      <c r="U451" s="230"/>
      <c r="V451" s="230"/>
      <c r="W451" s="230"/>
      <c r="X451" s="230"/>
      <c r="Y451" s="230"/>
    </row>
    <row r="452">
      <c r="O452" s="230"/>
      <c r="R452" s="230"/>
      <c r="S452" s="230"/>
      <c r="T452" s="230"/>
      <c r="U452" s="230"/>
      <c r="V452" s="230"/>
      <c r="W452" s="230"/>
      <c r="X452" s="230"/>
      <c r="Y452" s="230"/>
    </row>
    <row r="453">
      <c r="O453" s="230"/>
      <c r="R453" s="230"/>
      <c r="S453" s="230"/>
      <c r="T453" s="230"/>
      <c r="U453" s="230"/>
      <c r="V453" s="230"/>
      <c r="W453" s="230"/>
      <c r="X453" s="230"/>
      <c r="Y453" s="230"/>
    </row>
    <row r="454">
      <c r="O454" s="230"/>
      <c r="R454" s="230"/>
      <c r="S454" s="230"/>
      <c r="T454" s="230"/>
      <c r="U454" s="230"/>
      <c r="V454" s="230"/>
      <c r="W454" s="230"/>
      <c r="X454" s="230"/>
      <c r="Y454" s="230"/>
    </row>
    <row r="455">
      <c r="O455" s="230"/>
      <c r="R455" s="230"/>
      <c r="S455" s="230"/>
      <c r="T455" s="230"/>
      <c r="U455" s="230"/>
      <c r="V455" s="230"/>
      <c r="W455" s="230"/>
      <c r="X455" s="230"/>
      <c r="Y455" s="230"/>
    </row>
    <row r="456">
      <c r="O456" s="230"/>
      <c r="R456" s="230"/>
      <c r="S456" s="230"/>
      <c r="T456" s="230"/>
      <c r="U456" s="230"/>
      <c r="V456" s="230"/>
      <c r="W456" s="230"/>
      <c r="X456" s="230"/>
      <c r="Y456" s="230"/>
    </row>
    <row r="457">
      <c r="O457" s="230"/>
      <c r="R457" s="230"/>
      <c r="S457" s="230"/>
      <c r="T457" s="230"/>
      <c r="U457" s="230"/>
      <c r="V457" s="230"/>
      <c r="W457" s="230"/>
      <c r="X457" s="230"/>
      <c r="Y457" s="230"/>
    </row>
    <row r="458">
      <c r="O458" s="230"/>
      <c r="R458" s="230"/>
      <c r="S458" s="230"/>
      <c r="T458" s="230"/>
      <c r="U458" s="230"/>
      <c r="V458" s="230"/>
      <c r="W458" s="230"/>
      <c r="X458" s="230"/>
      <c r="Y458" s="230"/>
    </row>
    <row r="459">
      <c r="O459" s="230"/>
      <c r="R459" s="230"/>
      <c r="S459" s="230"/>
      <c r="T459" s="230"/>
      <c r="U459" s="230"/>
      <c r="V459" s="230"/>
      <c r="W459" s="230"/>
      <c r="X459" s="230"/>
      <c r="Y459" s="230"/>
    </row>
    <row r="460">
      <c r="O460" s="230"/>
      <c r="R460" s="230"/>
      <c r="S460" s="230"/>
      <c r="T460" s="230"/>
      <c r="U460" s="230"/>
      <c r="V460" s="230"/>
      <c r="W460" s="230"/>
      <c r="X460" s="230"/>
      <c r="Y460" s="230"/>
    </row>
    <row r="461">
      <c r="O461" s="230"/>
      <c r="R461" s="230"/>
      <c r="S461" s="230"/>
      <c r="T461" s="230"/>
      <c r="U461" s="230"/>
      <c r="V461" s="230"/>
      <c r="W461" s="230"/>
      <c r="X461" s="230"/>
      <c r="Y461" s="230"/>
    </row>
    <row r="462">
      <c r="O462" s="230"/>
      <c r="R462" s="230"/>
      <c r="S462" s="230"/>
      <c r="T462" s="230"/>
      <c r="U462" s="230"/>
      <c r="V462" s="230"/>
      <c r="W462" s="230"/>
      <c r="X462" s="230"/>
      <c r="Y462" s="230"/>
    </row>
    <row r="463">
      <c r="O463" s="230"/>
      <c r="R463" s="230"/>
      <c r="S463" s="230"/>
      <c r="T463" s="230"/>
      <c r="U463" s="230"/>
      <c r="V463" s="230"/>
      <c r="W463" s="230"/>
      <c r="X463" s="230"/>
      <c r="Y463" s="230"/>
    </row>
    <row r="464">
      <c r="O464" s="230"/>
      <c r="R464" s="230"/>
      <c r="S464" s="230"/>
      <c r="T464" s="230"/>
      <c r="U464" s="230"/>
      <c r="V464" s="230"/>
      <c r="W464" s="230"/>
      <c r="X464" s="230"/>
      <c r="Y464" s="230"/>
    </row>
    <row r="465">
      <c r="O465" s="230"/>
      <c r="R465" s="230"/>
      <c r="S465" s="230"/>
      <c r="T465" s="230"/>
      <c r="U465" s="230"/>
      <c r="V465" s="230"/>
      <c r="W465" s="230"/>
      <c r="X465" s="230"/>
      <c r="Y465" s="230"/>
    </row>
    <row r="466">
      <c r="O466" s="230"/>
      <c r="R466" s="230"/>
      <c r="S466" s="230"/>
      <c r="T466" s="230"/>
      <c r="U466" s="230"/>
      <c r="V466" s="230"/>
      <c r="W466" s="230"/>
      <c r="X466" s="230"/>
      <c r="Y466" s="230"/>
    </row>
    <row r="467">
      <c r="O467" s="230"/>
      <c r="R467" s="230"/>
      <c r="S467" s="230"/>
      <c r="T467" s="230"/>
      <c r="U467" s="230"/>
      <c r="V467" s="230"/>
      <c r="W467" s="230"/>
      <c r="X467" s="230"/>
      <c r="Y467" s="230"/>
    </row>
    <row r="468">
      <c r="O468" s="230"/>
      <c r="R468" s="230"/>
      <c r="S468" s="230"/>
      <c r="T468" s="230"/>
      <c r="U468" s="230"/>
      <c r="V468" s="230"/>
      <c r="W468" s="230"/>
      <c r="X468" s="230"/>
      <c r="Y468" s="230"/>
    </row>
    <row r="469">
      <c r="O469" s="230"/>
      <c r="R469" s="230"/>
      <c r="S469" s="230"/>
      <c r="T469" s="230"/>
      <c r="U469" s="230"/>
      <c r="V469" s="230"/>
      <c r="W469" s="230"/>
      <c r="X469" s="230"/>
      <c r="Y469" s="230"/>
    </row>
    <row r="470">
      <c r="O470" s="230"/>
      <c r="R470" s="230"/>
      <c r="S470" s="230"/>
      <c r="T470" s="230"/>
      <c r="U470" s="230"/>
      <c r="V470" s="230"/>
      <c r="W470" s="230"/>
      <c r="X470" s="230"/>
      <c r="Y470" s="230"/>
    </row>
    <row r="471">
      <c r="O471" s="230"/>
      <c r="R471" s="230"/>
      <c r="S471" s="230"/>
      <c r="T471" s="230"/>
      <c r="U471" s="230"/>
      <c r="V471" s="230"/>
      <c r="W471" s="230"/>
      <c r="X471" s="230"/>
      <c r="Y471" s="230"/>
    </row>
    <row r="472">
      <c r="O472" s="230"/>
      <c r="R472" s="230"/>
      <c r="S472" s="230"/>
      <c r="T472" s="230"/>
      <c r="U472" s="230"/>
      <c r="V472" s="230"/>
      <c r="W472" s="230"/>
      <c r="X472" s="230"/>
      <c r="Y472" s="230"/>
    </row>
    <row r="473">
      <c r="O473" s="230"/>
      <c r="R473" s="230"/>
      <c r="S473" s="230"/>
      <c r="T473" s="230"/>
      <c r="U473" s="230"/>
      <c r="V473" s="230"/>
      <c r="W473" s="230"/>
      <c r="X473" s="230"/>
      <c r="Y473" s="230"/>
    </row>
    <row r="474">
      <c r="O474" s="230"/>
      <c r="R474" s="230"/>
      <c r="S474" s="230"/>
      <c r="T474" s="230"/>
      <c r="U474" s="230"/>
      <c r="V474" s="230"/>
      <c r="W474" s="230"/>
      <c r="X474" s="230"/>
      <c r="Y474" s="230"/>
    </row>
    <row r="475">
      <c r="O475" s="230"/>
      <c r="R475" s="230"/>
      <c r="S475" s="230"/>
      <c r="T475" s="230"/>
      <c r="U475" s="230"/>
      <c r="V475" s="230"/>
      <c r="W475" s="230"/>
      <c r="X475" s="230"/>
      <c r="Y475" s="230"/>
    </row>
    <row r="476">
      <c r="O476" s="230"/>
      <c r="R476" s="230"/>
      <c r="S476" s="230"/>
      <c r="T476" s="230"/>
      <c r="U476" s="230"/>
      <c r="V476" s="230"/>
      <c r="W476" s="230"/>
      <c r="X476" s="230"/>
      <c r="Y476" s="230"/>
    </row>
    <row r="477">
      <c r="O477" s="230"/>
      <c r="R477" s="230"/>
      <c r="S477" s="230"/>
      <c r="T477" s="230"/>
      <c r="U477" s="230"/>
      <c r="V477" s="230"/>
      <c r="W477" s="230"/>
      <c r="X477" s="230"/>
      <c r="Y477" s="230"/>
    </row>
    <row r="478">
      <c r="O478" s="230"/>
      <c r="R478" s="230"/>
      <c r="S478" s="230"/>
      <c r="T478" s="230"/>
      <c r="U478" s="230"/>
      <c r="V478" s="230"/>
      <c r="W478" s="230"/>
      <c r="X478" s="230"/>
      <c r="Y478" s="230"/>
    </row>
    <row r="479">
      <c r="O479" s="230"/>
      <c r="R479" s="230"/>
      <c r="S479" s="230"/>
      <c r="T479" s="230"/>
      <c r="U479" s="230"/>
      <c r="V479" s="230"/>
      <c r="W479" s="230"/>
      <c r="X479" s="230"/>
      <c r="Y479" s="230"/>
    </row>
    <row r="480">
      <c r="O480" s="230"/>
      <c r="R480" s="230"/>
      <c r="S480" s="230"/>
      <c r="T480" s="230"/>
      <c r="U480" s="230"/>
      <c r="V480" s="230"/>
      <c r="W480" s="230"/>
      <c r="X480" s="230"/>
      <c r="Y480" s="230"/>
    </row>
    <row r="481">
      <c r="O481" s="230"/>
      <c r="R481" s="230"/>
      <c r="S481" s="230"/>
      <c r="T481" s="230"/>
      <c r="U481" s="230"/>
      <c r="V481" s="230"/>
      <c r="W481" s="230"/>
      <c r="X481" s="230"/>
      <c r="Y481" s="230"/>
    </row>
    <row r="482">
      <c r="O482" s="230"/>
      <c r="R482" s="230"/>
      <c r="S482" s="230"/>
      <c r="T482" s="230"/>
      <c r="U482" s="230"/>
      <c r="V482" s="230"/>
      <c r="W482" s="230"/>
      <c r="X482" s="230"/>
      <c r="Y482" s="230"/>
    </row>
    <row r="483">
      <c r="O483" s="230"/>
      <c r="R483" s="230"/>
      <c r="S483" s="230"/>
      <c r="T483" s="230"/>
      <c r="U483" s="230"/>
      <c r="V483" s="230"/>
      <c r="W483" s="230"/>
      <c r="X483" s="230"/>
      <c r="Y483" s="230"/>
    </row>
    <row r="484">
      <c r="O484" s="230"/>
      <c r="R484" s="230"/>
      <c r="S484" s="230"/>
      <c r="T484" s="230"/>
      <c r="U484" s="230"/>
      <c r="V484" s="230"/>
      <c r="W484" s="230"/>
      <c r="X484" s="230"/>
      <c r="Y484" s="230"/>
    </row>
    <row r="485">
      <c r="O485" s="230"/>
      <c r="R485" s="230"/>
      <c r="S485" s="230"/>
      <c r="T485" s="230"/>
      <c r="U485" s="230"/>
      <c r="V485" s="230"/>
      <c r="W485" s="230"/>
      <c r="X485" s="230"/>
      <c r="Y485" s="230"/>
    </row>
    <row r="486">
      <c r="O486" s="230"/>
      <c r="R486" s="230"/>
      <c r="S486" s="230"/>
      <c r="T486" s="230"/>
      <c r="U486" s="230"/>
      <c r="V486" s="230"/>
      <c r="W486" s="230"/>
      <c r="X486" s="230"/>
      <c r="Y486" s="230"/>
    </row>
    <row r="487">
      <c r="O487" s="230"/>
      <c r="R487" s="230"/>
      <c r="S487" s="230"/>
      <c r="T487" s="230"/>
      <c r="U487" s="230"/>
      <c r="V487" s="230"/>
      <c r="W487" s="230"/>
      <c r="X487" s="230"/>
      <c r="Y487" s="230"/>
    </row>
    <row r="488">
      <c r="O488" s="230"/>
      <c r="R488" s="230"/>
      <c r="S488" s="230"/>
      <c r="T488" s="230"/>
      <c r="U488" s="230"/>
      <c r="V488" s="230"/>
      <c r="W488" s="230"/>
      <c r="X488" s="230"/>
      <c r="Y488" s="230"/>
    </row>
    <row r="489">
      <c r="O489" s="230"/>
      <c r="R489" s="230"/>
      <c r="S489" s="230"/>
      <c r="T489" s="230"/>
      <c r="U489" s="230"/>
      <c r="V489" s="230"/>
      <c r="W489" s="230"/>
      <c r="X489" s="230"/>
      <c r="Y489" s="230"/>
    </row>
    <row r="490">
      <c r="O490" s="230"/>
      <c r="R490" s="230"/>
      <c r="S490" s="230"/>
      <c r="T490" s="230"/>
      <c r="U490" s="230"/>
      <c r="V490" s="230"/>
      <c r="W490" s="230"/>
      <c r="X490" s="230"/>
      <c r="Y490" s="230"/>
    </row>
    <row r="491">
      <c r="O491" s="230"/>
      <c r="R491" s="230"/>
      <c r="S491" s="230"/>
      <c r="T491" s="230"/>
      <c r="U491" s="230"/>
      <c r="V491" s="230"/>
      <c r="W491" s="230"/>
      <c r="X491" s="230"/>
      <c r="Y491" s="230"/>
    </row>
    <row r="492">
      <c r="O492" s="230"/>
      <c r="R492" s="230"/>
      <c r="S492" s="230"/>
      <c r="T492" s="230"/>
      <c r="U492" s="230"/>
      <c r="V492" s="230"/>
      <c r="W492" s="230"/>
      <c r="X492" s="230"/>
      <c r="Y492" s="230"/>
    </row>
    <row r="493">
      <c r="O493" s="230"/>
      <c r="R493" s="230"/>
      <c r="S493" s="230"/>
      <c r="T493" s="230"/>
      <c r="U493" s="230"/>
      <c r="V493" s="230"/>
      <c r="W493" s="230"/>
      <c r="X493" s="230"/>
      <c r="Y493" s="230"/>
    </row>
    <row r="494">
      <c r="O494" s="230"/>
      <c r="R494" s="230"/>
      <c r="S494" s="230"/>
      <c r="T494" s="230"/>
      <c r="U494" s="230"/>
      <c r="V494" s="230"/>
      <c r="W494" s="230"/>
      <c r="X494" s="230"/>
      <c r="Y494" s="230"/>
    </row>
    <row r="495">
      <c r="O495" s="230"/>
      <c r="R495" s="230"/>
      <c r="S495" s="230"/>
      <c r="T495" s="230"/>
      <c r="U495" s="230"/>
      <c r="V495" s="230"/>
      <c r="W495" s="230"/>
      <c r="X495" s="230"/>
      <c r="Y495" s="230"/>
    </row>
    <row r="496">
      <c r="O496" s="230"/>
      <c r="R496" s="230"/>
      <c r="S496" s="230"/>
      <c r="T496" s="230"/>
      <c r="U496" s="230"/>
      <c r="V496" s="230"/>
      <c r="W496" s="230"/>
      <c r="X496" s="230"/>
      <c r="Y496" s="230"/>
    </row>
    <row r="497">
      <c r="O497" s="230"/>
      <c r="R497" s="230"/>
      <c r="S497" s="230"/>
      <c r="T497" s="230"/>
      <c r="U497" s="230"/>
      <c r="V497" s="230"/>
      <c r="W497" s="230"/>
      <c r="X497" s="230"/>
      <c r="Y497" s="230"/>
    </row>
    <row r="498">
      <c r="O498" s="230"/>
      <c r="R498" s="230"/>
      <c r="S498" s="230"/>
      <c r="T498" s="230"/>
      <c r="U498" s="230"/>
      <c r="V498" s="230"/>
      <c r="W498" s="230"/>
      <c r="X498" s="230"/>
      <c r="Y498" s="230"/>
    </row>
    <row r="499">
      <c r="O499" s="230"/>
      <c r="R499" s="230"/>
      <c r="S499" s="230"/>
      <c r="T499" s="230"/>
      <c r="U499" s="230"/>
      <c r="V499" s="230"/>
      <c r="W499" s="230"/>
      <c r="X499" s="230"/>
      <c r="Y499" s="230"/>
    </row>
    <row r="500">
      <c r="O500" s="230"/>
      <c r="R500" s="230"/>
      <c r="S500" s="230"/>
      <c r="T500" s="230"/>
      <c r="U500" s="230"/>
      <c r="V500" s="230"/>
      <c r="W500" s="230"/>
      <c r="X500" s="230"/>
      <c r="Y500" s="230"/>
    </row>
    <row r="501">
      <c r="O501" s="230"/>
      <c r="R501" s="230"/>
      <c r="S501" s="230"/>
      <c r="T501" s="230"/>
      <c r="U501" s="230"/>
      <c r="V501" s="230"/>
      <c r="W501" s="230"/>
      <c r="X501" s="230"/>
      <c r="Y501" s="230"/>
    </row>
    <row r="502">
      <c r="O502" s="230"/>
      <c r="R502" s="230"/>
      <c r="S502" s="230"/>
      <c r="T502" s="230"/>
      <c r="U502" s="230"/>
      <c r="V502" s="230"/>
      <c r="W502" s="230"/>
      <c r="X502" s="230"/>
      <c r="Y502" s="230"/>
    </row>
    <row r="503">
      <c r="O503" s="230"/>
      <c r="R503" s="230"/>
      <c r="S503" s="230"/>
      <c r="T503" s="230"/>
      <c r="U503" s="230"/>
      <c r="V503" s="230"/>
      <c r="W503" s="230"/>
      <c r="X503" s="230"/>
      <c r="Y503" s="230"/>
    </row>
    <row r="504">
      <c r="O504" s="230"/>
      <c r="R504" s="230"/>
      <c r="S504" s="230"/>
      <c r="T504" s="230"/>
      <c r="U504" s="230"/>
      <c r="V504" s="230"/>
      <c r="W504" s="230"/>
      <c r="X504" s="230"/>
      <c r="Y504" s="230"/>
    </row>
    <row r="505">
      <c r="O505" s="230"/>
      <c r="R505" s="230"/>
      <c r="S505" s="230"/>
      <c r="T505" s="230"/>
      <c r="U505" s="230"/>
      <c r="V505" s="230"/>
      <c r="W505" s="230"/>
      <c r="X505" s="230"/>
      <c r="Y505" s="230"/>
    </row>
    <row r="506">
      <c r="O506" s="230"/>
      <c r="R506" s="230"/>
      <c r="S506" s="230"/>
      <c r="T506" s="230"/>
      <c r="U506" s="230"/>
      <c r="V506" s="230"/>
      <c r="W506" s="230"/>
      <c r="X506" s="230"/>
      <c r="Y506" s="230"/>
    </row>
    <row r="507">
      <c r="O507" s="230"/>
      <c r="R507" s="230"/>
      <c r="S507" s="230"/>
      <c r="T507" s="230"/>
      <c r="U507" s="230"/>
      <c r="V507" s="230"/>
      <c r="W507" s="230"/>
      <c r="X507" s="230"/>
      <c r="Y507" s="230"/>
    </row>
    <row r="508">
      <c r="O508" s="230"/>
      <c r="R508" s="230"/>
      <c r="S508" s="230"/>
      <c r="T508" s="230"/>
      <c r="U508" s="230"/>
      <c r="V508" s="230"/>
      <c r="W508" s="230"/>
      <c r="X508" s="230"/>
      <c r="Y508" s="230"/>
    </row>
    <row r="509">
      <c r="O509" s="230"/>
      <c r="R509" s="230"/>
      <c r="S509" s="230"/>
      <c r="T509" s="230"/>
      <c r="U509" s="230"/>
      <c r="V509" s="230"/>
      <c r="W509" s="230"/>
      <c r="X509" s="230"/>
      <c r="Y509" s="230"/>
    </row>
    <row r="510">
      <c r="O510" s="230"/>
      <c r="R510" s="230"/>
      <c r="S510" s="230"/>
      <c r="T510" s="230"/>
      <c r="U510" s="230"/>
      <c r="V510" s="230"/>
      <c r="W510" s="230"/>
      <c r="X510" s="230"/>
      <c r="Y510" s="230"/>
    </row>
    <row r="511">
      <c r="O511" s="230"/>
      <c r="R511" s="230"/>
      <c r="S511" s="230"/>
      <c r="T511" s="230"/>
      <c r="U511" s="230"/>
      <c r="V511" s="230"/>
      <c r="W511" s="230"/>
      <c r="X511" s="230"/>
      <c r="Y511" s="230"/>
    </row>
    <row r="512">
      <c r="O512" s="230"/>
      <c r="R512" s="230"/>
      <c r="S512" s="230"/>
      <c r="T512" s="230"/>
      <c r="U512" s="230"/>
      <c r="V512" s="230"/>
      <c r="W512" s="230"/>
      <c r="X512" s="230"/>
      <c r="Y512" s="230"/>
    </row>
    <row r="513">
      <c r="O513" s="230"/>
      <c r="R513" s="230"/>
      <c r="S513" s="230"/>
      <c r="T513" s="230"/>
      <c r="U513" s="230"/>
      <c r="V513" s="230"/>
      <c r="W513" s="230"/>
      <c r="X513" s="230"/>
      <c r="Y513" s="230"/>
    </row>
    <row r="514">
      <c r="O514" s="230"/>
      <c r="R514" s="230"/>
      <c r="S514" s="230"/>
      <c r="T514" s="230"/>
      <c r="U514" s="230"/>
      <c r="V514" s="230"/>
      <c r="W514" s="230"/>
      <c r="X514" s="230"/>
      <c r="Y514" s="230"/>
    </row>
    <row r="515">
      <c r="O515" s="230"/>
      <c r="R515" s="230"/>
      <c r="S515" s="230"/>
      <c r="T515" s="230"/>
      <c r="U515" s="230"/>
      <c r="V515" s="230"/>
      <c r="W515" s="230"/>
      <c r="X515" s="230"/>
      <c r="Y515" s="230"/>
    </row>
    <row r="516">
      <c r="O516" s="230"/>
      <c r="R516" s="230"/>
      <c r="S516" s="230"/>
      <c r="T516" s="230"/>
      <c r="U516" s="230"/>
      <c r="V516" s="230"/>
      <c r="W516" s="230"/>
      <c r="X516" s="230"/>
      <c r="Y516" s="230"/>
    </row>
    <row r="517">
      <c r="O517" s="230"/>
      <c r="R517" s="230"/>
      <c r="S517" s="230"/>
      <c r="T517" s="230"/>
      <c r="U517" s="230"/>
      <c r="V517" s="230"/>
      <c r="W517" s="230"/>
      <c r="X517" s="230"/>
      <c r="Y517" s="230"/>
    </row>
    <row r="518">
      <c r="O518" s="230"/>
      <c r="R518" s="230"/>
      <c r="S518" s="230"/>
      <c r="T518" s="230"/>
      <c r="U518" s="230"/>
      <c r="V518" s="230"/>
      <c r="W518" s="230"/>
      <c r="X518" s="230"/>
      <c r="Y518" s="230"/>
    </row>
    <row r="519">
      <c r="O519" s="230"/>
      <c r="R519" s="230"/>
      <c r="S519" s="230"/>
      <c r="T519" s="230"/>
      <c r="U519" s="230"/>
      <c r="V519" s="230"/>
      <c r="W519" s="230"/>
      <c r="X519" s="230"/>
      <c r="Y519" s="230"/>
    </row>
    <row r="520">
      <c r="O520" s="230"/>
      <c r="R520" s="230"/>
      <c r="S520" s="230"/>
      <c r="T520" s="230"/>
      <c r="U520" s="230"/>
      <c r="V520" s="230"/>
      <c r="W520" s="230"/>
      <c r="X520" s="230"/>
      <c r="Y520" s="230"/>
    </row>
    <row r="521">
      <c r="O521" s="230"/>
      <c r="R521" s="230"/>
      <c r="S521" s="230"/>
      <c r="T521" s="230"/>
      <c r="U521" s="230"/>
      <c r="V521" s="230"/>
      <c r="W521" s="230"/>
      <c r="X521" s="230"/>
      <c r="Y521" s="230"/>
    </row>
    <row r="522">
      <c r="O522" s="230"/>
      <c r="R522" s="230"/>
      <c r="S522" s="230"/>
      <c r="T522" s="230"/>
      <c r="U522" s="230"/>
      <c r="V522" s="230"/>
      <c r="W522" s="230"/>
      <c r="X522" s="230"/>
      <c r="Y522" s="230"/>
    </row>
    <row r="523">
      <c r="O523" s="230"/>
      <c r="R523" s="230"/>
      <c r="S523" s="230"/>
      <c r="T523" s="230"/>
      <c r="U523" s="230"/>
      <c r="V523" s="230"/>
      <c r="W523" s="230"/>
      <c r="X523" s="230"/>
      <c r="Y523" s="230"/>
    </row>
    <row r="524">
      <c r="O524" s="230"/>
      <c r="R524" s="230"/>
      <c r="S524" s="230"/>
      <c r="T524" s="230"/>
      <c r="U524" s="230"/>
      <c r="V524" s="230"/>
      <c r="W524" s="230"/>
      <c r="X524" s="230"/>
      <c r="Y524" s="230"/>
    </row>
    <row r="525">
      <c r="O525" s="230"/>
      <c r="R525" s="230"/>
      <c r="S525" s="230"/>
      <c r="T525" s="230"/>
      <c r="U525" s="230"/>
      <c r="V525" s="230"/>
      <c r="W525" s="230"/>
      <c r="X525" s="230"/>
      <c r="Y525" s="230"/>
    </row>
    <row r="526">
      <c r="O526" s="230"/>
      <c r="R526" s="230"/>
      <c r="S526" s="230"/>
      <c r="T526" s="230"/>
      <c r="U526" s="230"/>
      <c r="V526" s="230"/>
      <c r="W526" s="230"/>
      <c r="X526" s="230"/>
      <c r="Y526" s="230"/>
    </row>
    <row r="527">
      <c r="O527" s="230"/>
      <c r="R527" s="230"/>
      <c r="S527" s="230"/>
      <c r="T527" s="230"/>
      <c r="U527" s="230"/>
      <c r="V527" s="230"/>
      <c r="W527" s="230"/>
      <c r="X527" s="230"/>
      <c r="Y527" s="230"/>
    </row>
    <row r="528">
      <c r="O528" s="230"/>
      <c r="R528" s="230"/>
      <c r="S528" s="230"/>
      <c r="T528" s="230"/>
      <c r="U528" s="230"/>
      <c r="V528" s="230"/>
      <c r="W528" s="230"/>
      <c r="X528" s="230"/>
      <c r="Y528" s="230"/>
    </row>
    <row r="529">
      <c r="O529" s="230"/>
      <c r="R529" s="230"/>
      <c r="S529" s="230"/>
      <c r="T529" s="230"/>
      <c r="U529" s="230"/>
      <c r="V529" s="230"/>
      <c r="W529" s="230"/>
      <c r="X529" s="230"/>
      <c r="Y529" s="230"/>
    </row>
    <row r="530">
      <c r="O530" s="230"/>
      <c r="R530" s="230"/>
      <c r="S530" s="230"/>
      <c r="T530" s="230"/>
      <c r="U530" s="230"/>
      <c r="V530" s="230"/>
      <c r="W530" s="230"/>
      <c r="X530" s="230"/>
      <c r="Y530" s="230"/>
    </row>
    <row r="531">
      <c r="O531" s="230"/>
      <c r="R531" s="230"/>
      <c r="S531" s="230"/>
      <c r="T531" s="230"/>
      <c r="U531" s="230"/>
      <c r="V531" s="230"/>
      <c r="W531" s="230"/>
      <c r="X531" s="230"/>
      <c r="Y531" s="230"/>
    </row>
    <row r="532">
      <c r="O532" s="230"/>
      <c r="R532" s="230"/>
      <c r="S532" s="230"/>
      <c r="T532" s="230"/>
      <c r="U532" s="230"/>
      <c r="V532" s="230"/>
      <c r="W532" s="230"/>
      <c r="X532" s="230"/>
      <c r="Y532" s="230"/>
    </row>
    <row r="533">
      <c r="O533" s="230"/>
      <c r="R533" s="230"/>
      <c r="S533" s="230"/>
      <c r="T533" s="230"/>
      <c r="U533" s="230"/>
      <c r="V533" s="230"/>
      <c r="W533" s="230"/>
      <c r="X533" s="230"/>
      <c r="Y533" s="230"/>
    </row>
    <row r="534">
      <c r="O534" s="230"/>
      <c r="R534" s="230"/>
      <c r="S534" s="230"/>
      <c r="T534" s="230"/>
      <c r="U534" s="230"/>
      <c r="V534" s="230"/>
      <c r="W534" s="230"/>
      <c r="X534" s="230"/>
      <c r="Y534" s="230"/>
    </row>
    <row r="535">
      <c r="O535" s="230"/>
      <c r="R535" s="230"/>
      <c r="S535" s="230"/>
      <c r="T535" s="230"/>
      <c r="U535" s="230"/>
      <c r="V535" s="230"/>
      <c r="W535" s="230"/>
      <c r="X535" s="230"/>
      <c r="Y535" s="230"/>
    </row>
    <row r="536">
      <c r="O536" s="230"/>
      <c r="R536" s="230"/>
      <c r="S536" s="230"/>
      <c r="T536" s="230"/>
      <c r="U536" s="230"/>
      <c r="V536" s="230"/>
      <c r="W536" s="230"/>
      <c r="X536" s="230"/>
      <c r="Y536" s="230"/>
    </row>
    <row r="537">
      <c r="O537" s="230"/>
      <c r="R537" s="230"/>
      <c r="S537" s="230"/>
      <c r="T537" s="230"/>
      <c r="U537" s="230"/>
      <c r="V537" s="230"/>
      <c r="W537" s="230"/>
      <c r="X537" s="230"/>
      <c r="Y537" s="230"/>
    </row>
    <row r="538">
      <c r="O538" s="230"/>
      <c r="R538" s="230"/>
      <c r="S538" s="230"/>
      <c r="T538" s="230"/>
      <c r="U538" s="230"/>
      <c r="V538" s="230"/>
      <c r="W538" s="230"/>
      <c r="X538" s="230"/>
      <c r="Y538" s="230"/>
    </row>
    <row r="539">
      <c r="O539" s="230"/>
      <c r="R539" s="230"/>
      <c r="S539" s="230"/>
      <c r="T539" s="230"/>
      <c r="U539" s="230"/>
      <c r="V539" s="230"/>
      <c r="W539" s="230"/>
      <c r="X539" s="230"/>
      <c r="Y539" s="230"/>
    </row>
    <row r="540">
      <c r="O540" s="230"/>
      <c r="R540" s="230"/>
      <c r="S540" s="230"/>
      <c r="T540" s="230"/>
      <c r="U540" s="230"/>
      <c r="V540" s="230"/>
      <c r="W540" s="230"/>
      <c r="X540" s="230"/>
      <c r="Y540" s="230"/>
    </row>
    <row r="541">
      <c r="O541" s="230"/>
      <c r="R541" s="230"/>
      <c r="S541" s="230"/>
      <c r="T541" s="230"/>
      <c r="U541" s="230"/>
      <c r="V541" s="230"/>
      <c r="W541" s="230"/>
      <c r="X541" s="230"/>
      <c r="Y541" s="230"/>
    </row>
    <row r="542">
      <c r="O542" s="230"/>
      <c r="R542" s="230"/>
      <c r="S542" s="230"/>
      <c r="T542" s="230"/>
      <c r="U542" s="230"/>
      <c r="V542" s="230"/>
      <c r="W542" s="230"/>
      <c r="X542" s="230"/>
      <c r="Y542" s="230"/>
    </row>
    <row r="543">
      <c r="O543" s="230"/>
      <c r="R543" s="230"/>
      <c r="S543" s="230"/>
      <c r="T543" s="230"/>
      <c r="U543" s="230"/>
      <c r="V543" s="230"/>
      <c r="W543" s="230"/>
      <c r="X543" s="230"/>
      <c r="Y543" s="230"/>
    </row>
    <row r="544">
      <c r="O544" s="230"/>
      <c r="R544" s="230"/>
      <c r="S544" s="230"/>
      <c r="T544" s="230"/>
      <c r="U544" s="230"/>
      <c r="V544" s="230"/>
      <c r="W544" s="230"/>
      <c r="X544" s="230"/>
      <c r="Y544" s="230"/>
    </row>
    <row r="545">
      <c r="O545" s="230"/>
      <c r="R545" s="230"/>
      <c r="S545" s="230"/>
      <c r="T545" s="230"/>
      <c r="U545" s="230"/>
      <c r="V545" s="230"/>
      <c r="W545" s="230"/>
      <c r="X545" s="230"/>
      <c r="Y545" s="230"/>
    </row>
    <row r="546">
      <c r="O546" s="230"/>
      <c r="R546" s="230"/>
      <c r="S546" s="230"/>
      <c r="T546" s="230"/>
      <c r="U546" s="230"/>
      <c r="V546" s="230"/>
      <c r="W546" s="230"/>
      <c r="X546" s="230"/>
      <c r="Y546" s="230"/>
    </row>
    <row r="547">
      <c r="O547" s="230"/>
      <c r="R547" s="230"/>
      <c r="S547" s="230"/>
      <c r="T547" s="230"/>
      <c r="U547" s="230"/>
      <c r="V547" s="230"/>
      <c r="W547" s="230"/>
      <c r="X547" s="230"/>
      <c r="Y547" s="230"/>
    </row>
    <row r="548">
      <c r="O548" s="230"/>
      <c r="R548" s="230"/>
      <c r="S548" s="230"/>
      <c r="T548" s="230"/>
      <c r="U548" s="230"/>
      <c r="V548" s="230"/>
      <c r="W548" s="230"/>
      <c r="X548" s="230"/>
      <c r="Y548" s="230"/>
    </row>
    <row r="549">
      <c r="O549" s="230"/>
      <c r="R549" s="230"/>
      <c r="S549" s="230"/>
      <c r="T549" s="230"/>
      <c r="U549" s="230"/>
      <c r="V549" s="230"/>
      <c r="W549" s="230"/>
      <c r="X549" s="230"/>
      <c r="Y549" s="230"/>
    </row>
    <row r="550">
      <c r="O550" s="230"/>
      <c r="R550" s="230"/>
      <c r="S550" s="230"/>
      <c r="T550" s="230"/>
      <c r="U550" s="230"/>
      <c r="V550" s="230"/>
      <c r="W550" s="230"/>
      <c r="X550" s="230"/>
      <c r="Y550" s="230"/>
    </row>
    <row r="551">
      <c r="O551" s="230"/>
      <c r="R551" s="230"/>
      <c r="S551" s="230"/>
      <c r="T551" s="230"/>
      <c r="U551" s="230"/>
      <c r="V551" s="230"/>
      <c r="W551" s="230"/>
      <c r="X551" s="230"/>
      <c r="Y551" s="230"/>
    </row>
    <row r="552">
      <c r="O552" s="230"/>
      <c r="R552" s="230"/>
      <c r="S552" s="230"/>
      <c r="T552" s="230"/>
      <c r="U552" s="230"/>
      <c r="V552" s="230"/>
      <c r="W552" s="230"/>
      <c r="X552" s="230"/>
      <c r="Y552" s="230"/>
    </row>
    <row r="553">
      <c r="O553" s="230"/>
      <c r="R553" s="230"/>
      <c r="S553" s="230"/>
      <c r="T553" s="230"/>
      <c r="U553" s="230"/>
      <c r="V553" s="230"/>
      <c r="W553" s="230"/>
      <c r="X553" s="230"/>
      <c r="Y553" s="230"/>
    </row>
    <row r="554">
      <c r="O554" s="230"/>
      <c r="R554" s="230"/>
      <c r="S554" s="230"/>
      <c r="T554" s="230"/>
      <c r="U554" s="230"/>
      <c r="V554" s="230"/>
      <c r="W554" s="230"/>
      <c r="X554" s="230"/>
      <c r="Y554" s="230"/>
    </row>
    <row r="555">
      <c r="O555" s="230"/>
      <c r="R555" s="230"/>
      <c r="S555" s="230"/>
      <c r="T555" s="230"/>
      <c r="U555" s="230"/>
      <c r="V555" s="230"/>
      <c r="W555" s="230"/>
      <c r="X555" s="230"/>
      <c r="Y555" s="230"/>
    </row>
    <row r="556">
      <c r="O556" s="230"/>
      <c r="R556" s="230"/>
      <c r="S556" s="230"/>
      <c r="T556" s="230"/>
      <c r="U556" s="230"/>
      <c r="V556" s="230"/>
      <c r="W556" s="230"/>
      <c r="X556" s="230"/>
      <c r="Y556" s="230"/>
    </row>
    <row r="557">
      <c r="O557" s="230"/>
      <c r="R557" s="230"/>
      <c r="S557" s="230"/>
      <c r="T557" s="230"/>
      <c r="U557" s="230"/>
      <c r="V557" s="230"/>
      <c r="W557" s="230"/>
      <c r="X557" s="230"/>
      <c r="Y557" s="230"/>
    </row>
    <row r="558">
      <c r="O558" s="230"/>
      <c r="R558" s="230"/>
      <c r="S558" s="230"/>
      <c r="T558" s="230"/>
      <c r="U558" s="230"/>
      <c r="V558" s="230"/>
      <c r="W558" s="230"/>
      <c r="X558" s="230"/>
      <c r="Y558" s="230"/>
    </row>
    <row r="559">
      <c r="O559" s="230"/>
      <c r="R559" s="230"/>
      <c r="S559" s="230"/>
      <c r="T559" s="230"/>
      <c r="U559" s="230"/>
      <c r="V559" s="230"/>
      <c r="W559" s="230"/>
      <c r="X559" s="230"/>
      <c r="Y559" s="230"/>
    </row>
    <row r="560">
      <c r="O560" s="230"/>
      <c r="R560" s="230"/>
      <c r="S560" s="230"/>
      <c r="T560" s="230"/>
      <c r="U560" s="230"/>
      <c r="V560" s="230"/>
      <c r="W560" s="230"/>
      <c r="X560" s="230"/>
      <c r="Y560" s="230"/>
    </row>
    <row r="561">
      <c r="O561" s="230"/>
      <c r="R561" s="230"/>
      <c r="S561" s="230"/>
      <c r="T561" s="230"/>
      <c r="U561" s="230"/>
      <c r="V561" s="230"/>
      <c r="W561" s="230"/>
      <c r="X561" s="230"/>
      <c r="Y561" s="230"/>
    </row>
    <row r="562">
      <c r="O562" s="230"/>
      <c r="R562" s="230"/>
      <c r="S562" s="230"/>
      <c r="T562" s="230"/>
      <c r="U562" s="230"/>
      <c r="V562" s="230"/>
      <c r="W562" s="230"/>
      <c r="X562" s="230"/>
      <c r="Y562" s="230"/>
    </row>
    <row r="563">
      <c r="O563" s="230"/>
      <c r="R563" s="230"/>
      <c r="S563" s="230"/>
      <c r="T563" s="230"/>
      <c r="U563" s="230"/>
      <c r="V563" s="230"/>
      <c r="W563" s="230"/>
      <c r="X563" s="230"/>
      <c r="Y563" s="230"/>
    </row>
    <row r="564">
      <c r="O564" s="230"/>
      <c r="R564" s="230"/>
      <c r="S564" s="230"/>
      <c r="T564" s="230"/>
      <c r="U564" s="230"/>
      <c r="V564" s="230"/>
      <c r="W564" s="230"/>
      <c r="X564" s="230"/>
      <c r="Y564" s="230"/>
    </row>
    <row r="565">
      <c r="O565" s="230"/>
      <c r="R565" s="230"/>
      <c r="S565" s="230"/>
      <c r="T565" s="230"/>
      <c r="U565" s="230"/>
      <c r="V565" s="230"/>
      <c r="W565" s="230"/>
      <c r="X565" s="230"/>
      <c r="Y565" s="230"/>
    </row>
    <row r="566">
      <c r="O566" s="230"/>
      <c r="R566" s="230"/>
      <c r="S566" s="230"/>
      <c r="T566" s="230"/>
      <c r="U566" s="230"/>
      <c r="V566" s="230"/>
      <c r="W566" s="230"/>
      <c r="X566" s="230"/>
      <c r="Y566" s="230"/>
    </row>
    <row r="567">
      <c r="O567" s="230"/>
      <c r="R567" s="230"/>
      <c r="S567" s="230"/>
      <c r="T567" s="230"/>
      <c r="U567" s="230"/>
      <c r="V567" s="230"/>
      <c r="W567" s="230"/>
      <c r="X567" s="230"/>
      <c r="Y567" s="230"/>
    </row>
    <row r="568">
      <c r="O568" s="230"/>
      <c r="R568" s="230"/>
      <c r="S568" s="230"/>
      <c r="T568" s="230"/>
      <c r="U568" s="230"/>
      <c r="V568" s="230"/>
      <c r="W568" s="230"/>
      <c r="X568" s="230"/>
      <c r="Y568" s="230"/>
    </row>
    <row r="569">
      <c r="O569" s="230"/>
      <c r="R569" s="230"/>
      <c r="S569" s="230"/>
      <c r="T569" s="230"/>
      <c r="U569" s="230"/>
      <c r="V569" s="230"/>
      <c r="W569" s="230"/>
      <c r="X569" s="230"/>
      <c r="Y569" s="230"/>
    </row>
    <row r="570">
      <c r="O570" s="230"/>
      <c r="R570" s="230"/>
      <c r="S570" s="230"/>
      <c r="T570" s="230"/>
      <c r="U570" s="230"/>
      <c r="V570" s="230"/>
      <c r="W570" s="230"/>
      <c r="X570" s="230"/>
      <c r="Y570" s="230"/>
    </row>
    <row r="571">
      <c r="O571" s="230"/>
      <c r="R571" s="230"/>
      <c r="S571" s="230"/>
      <c r="T571" s="230"/>
      <c r="U571" s="230"/>
      <c r="V571" s="230"/>
      <c r="W571" s="230"/>
      <c r="X571" s="230"/>
      <c r="Y571" s="230"/>
    </row>
    <row r="572">
      <c r="O572" s="230"/>
      <c r="R572" s="230"/>
      <c r="S572" s="230"/>
      <c r="T572" s="230"/>
      <c r="U572" s="230"/>
      <c r="V572" s="230"/>
      <c r="W572" s="230"/>
      <c r="X572" s="230"/>
      <c r="Y572" s="230"/>
    </row>
    <row r="573">
      <c r="O573" s="230"/>
      <c r="R573" s="230"/>
      <c r="S573" s="230"/>
      <c r="T573" s="230"/>
      <c r="U573" s="230"/>
      <c r="V573" s="230"/>
      <c r="W573" s="230"/>
      <c r="X573" s="230"/>
      <c r="Y573" s="230"/>
    </row>
    <row r="574">
      <c r="O574" s="230"/>
      <c r="R574" s="230"/>
      <c r="S574" s="230"/>
      <c r="T574" s="230"/>
      <c r="U574" s="230"/>
      <c r="V574" s="230"/>
      <c r="W574" s="230"/>
      <c r="X574" s="230"/>
      <c r="Y574" s="230"/>
    </row>
    <row r="575">
      <c r="O575" s="230"/>
      <c r="R575" s="230"/>
      <c r="S575" s="230"/>
      <c r="T575" s="230"/>
      <c r="U575" s="230"/>
      <c r="V575" s="230"/>
      <c r="W575" s="230"/>
      <c r="X575" s="230"/>
      <c r="Y575" s="230"/>
    </row>
    <row r="576">
      <c r="O576" s="230"/>
      <c r="R576" s="230"/>
      <c r="S576" s="230"/>
      <c r="T576" s="230"/>
      <c r="U576" s="230"/>
      <c r="V576" s="230"/>
      <c r="W576" s="230"/>
      <c r="X576" s="230"/>
      <c r="Y576" s="230"/>
    </row>
    <row r="577">
      <c r="O577" s="230"/>
      <c r="R577" s="230"/>
      <c r="S577" s="230"/>
      <c r="T577" s="230"/>
      <c r="U577" s="230"/>
      <c r="V577" s="230"/>
      <c r="W577" s="230"/>
      <c r="X577" s="230"/>
      <c r="Y577" s="230"/>
    </row>
    <row r="578">
      <c r="O578" s="230"/>
      <c r="R578" s="230"/>
      <c r="S578" s="230"/>
      <c r="T578" s="230"/>
      <c r="U578" s="230"/>
      <c r="V578" s="230"/>
      <c r="W578" s="230"/>
      <c r="X578" s="230"/>
      <c r="Y578" s="230"/>
    </row>
    <row r="579">
      <c r="O579" s="230"/>
      <c r="R579" s="230"/>
      <c r="S579" s="230"/>
      <c r="T579" s="230"/>
      <c r="U579" s="230"/>
      <c r="V579" s="230"/>
      <c r="W579" s="230"/>
      <c r="X579" s="230"/>
      <c r="Y579" s="230"/>
    </row>
    <row r="580">
      <c r="O580" s="230"/>
      <c r="R580" s="230"/>
      <c r="S580" s="230"/>
      <c r="T580" s="230"/>
      <c r="U580" s="230"/>
      <c r="V580" s="230"/>
      <c r="W580" s="230"/>
      <c r="X580" s="230"/>
      <c r="Y580" s="230"/>
    </row>
    <row r="581">
      <c r="O581" s="230"/>
      <c r="R581" s="230"/>
      <c r="S581" s="230"/>
      <c r="T581" s="230"/>
      <c r="U581" s="230"/>
      <c r="V581" s="230"/>
      <c r="W581" s="230"/>
      <c r="X581" s="230"/>
      <c r="Y581" s="230"/>
    </row>
    <row r="582">
      <c r="O582" s="230"/>
      <c r="R582" s="230"/>
      <c r="S582" s="230"/>
      <c r="T582" s="230"/>
      <c r="U582" s="230"/>
      <c r="V582" s="230"/>
      <c r="W582" s="230"/>
      <c r="X582" s="230"/>
      <c r="Y582" s="230"/>
    </row>
    <row r="583">
      <c r="O583" s="230"/>
      <c r="R583" s="230"/>
      <c r="S583" s="230"/>
      <c r="T583" s="230"/>
      <c r="U583" s="230"/>
      <c r="V583" s="230"/>
      <c r="W583" s="230"/>
      <c r="X583" s="230"/>
      <c r="Y583" s="230"/>
    </row>
    <row r="584">
      <c r="O584" s="230"/>
      <c r="R584" s="230"/>
      <c r="S584" s="230"/>
      <c r="T584" s="230"/>
      <c r="U584" s="230"/>
      <c r="V584" s="230"/>
      <c r="W584" s="230"/>
      <c r="X584" s="230"/>
      <c r="Y584" s="230"/>
    </row>
    <row r="585">
      <c r="O585" s="230"/>
      <c r="R585" s="230"/>
      <c r="S585" s="230"/>
      <c r="T585" s="230"/>
      <c r="U585" s="230"/>
      <c r="V585" s="230"/>
      <c r="W585" s="230"/>
      <c r="X585" s="230"/>
      <c r="Y585" s="230"/>
    </row>
    <row r="586">
      <c r="O586" s="230"/>
      <c r="R586" s="230"/>
      <c r="S586" s="230"/>
      <c r="T586" s="230"/>
      <c r="U586" s="230"/>
      <c r="V586" s="230"/>
      <c r="W586" s="230"/>
      <c r="X586" s="230"/>
      <c r="Y586" s="230"/>
    </row>
    <row r="587">
      <c r="O587" s="230"/>
      <c r="R587" s="230"/>
      <c r="S587" s="230"/>
      <c r="T587" s="230"/>
      <c r="U587" s="230"/>
      <c r="V587" s="230"/>
      <c r="W587" s="230"/>
      <c r="X587" s="230"/>
      <c r="Y587" s="230"/>
    </row>
    <row r="588">
      <c r="O588" s="230"/>
      <c r="R588" s="230"/>
      <c r="S588" s="230"/>
      <c r="T588" s="230"/>
      <c r="U588" s="230"/>
      <c r="V588" s="230"/>
      <c r="W588" s="230"/>
      <c r="X588" s="230"/>
      <c r="Y588" s="230"/>
    </row>
    <row r="589">
      <c r="O589" s="230"/>
      <c r="R589" s="230"/>
      <c r="S589" s="230"/>
      <c r="T589" s="230"/>
      <c r="U589" s="230"/>
      <c r="V589" s="230"/>
      <c r="W589" s="230"/>
      <c r="X589" s="230"/>
      <c r="Y589" s="230"/>
    </row>
    <row r="590">
      <c r="O590" s="230"/>
      <c r="R590" s="230"/>
      <c r="S590" s="230"/>
      <c r="T590" s="230"/>
      <c r="U590" s="230"/>
      <c r="V590" s="230"/>
      <c r="W590" s="230"/>
      <c r="X590" s="230"/>
      <c r="Y590" s="230"/>
    </row>
    <row r="591">
      <c r="O591" s="230"/>
      <c r="R591" s="230"/>
      <c r="S591" s="230"/>
      <c r="T591" s="230"/>
      <c r="U591" s="230"/>
      <c r="V591" s="230"/>
      <c r="W591" s="230"/>
      <c r="X591" s="230"/>
      <c r="Y591" s="230"/>
    </row>
    <row r="592">
      <c r="O592" s="230"/>
      <c r="R592" s="230"/>
      <c r="S592" s="230"/>
      <c r="T592" s="230"/>
      <c r="U592" s="230"/>
      <c r="V592" s="230"/>
      <c r="W592" s="230"/>
      <c r="X592" s="230"/>
      <c r="Y592" s="230"/>
    </row>
    <row r="593">
      <c r="O593" s="230"/>
      <c r="R593" s="230"/>
      <c r="S593" s="230"/>
      <c r="T593" s="230"/>
      <c r="U593" s="230"/>
      <c r="V593" s="230"/>
      <c r="W593" s="230"/>
      <c r="X593" s="230"/>
      <c r="Y593" s="230"/>
    </row>
    <row r="594">
      <c r="O594" s="230"/>
      <c r="R594" s="230"/>
      <c r="S594" s="230"/>
      <c r="T594" s="230"/>
      <c r="U594" s="230"/>
      <c r="V594" s="230"/>
      <c r="W594" s="230"/>
      <c r="X594" s="230"/>
      <c r="Y594" s="230"/>
    </row>
    <row r="595">
      <c r="O595" s="230"/>
      <c r="R595" s="230"/>
      <c r="S595" s="230"/>
      <c r="T595" s="230"/>
      <c r="U595" s="230"/>
      <c r="V595" s="230"/>
      <c r="W595" s="230"/>
      <c r="X595" s="230"/>
      <c r="Y595" s="230"/>
    </row>
    <row r="596">
      <c r="O596" s="230"/>
      <c r="R596" s="230"/>
      <c r="S596" s="230"/>
      <c r="T596" s="230"/>
      <c r="U596" s="230"/>
      <c r="V596" s="230"/>
      <c r="W596" s="230"/>
      <c r="X596" s="230"/>
      <c r="Y596" s="230"/>
    </row>
    <row r="597">
      <c r="O597" s="230"/>
      <c r="R597" s="230"/>
      <c r="S597" s="230"/>
      <c r="T597" s="230"/>
      <c r="U597" s="230"/>
      <c r="V597" s="230"/>
      <c r="W597" s="230"/>
      <c r="X597" s="230"/>
      <c r="Y597" s="230"/>
    </row>
    <row r="598">
      <c r="O598" s="230"/>
      <c r="R598" s="230"/>
      <c r="S598" s="230"/>
      <c r="T598" s="230"/>
      <c r="U598" s="230"/>
      <c r="V598" s="230"/>
      <c r="W598" s="230"/>
      <c r="X598" s="230"/>
      <c r="Y598" s="230"/>
    </row>
    <row r="599">
      <c r="O599" s="230"/>
      <c r="R599" s="230"/>
      <c r="S599" s="230"/>
      <c r="T599" s="230"/>
      <c r="U599" s="230"/>
      <c r="V599" s="230"/>
      <c r="W599" s="230"/>
      <c r="X599" s="230"/>
      <c r="Y599" s="230"/>
    </row>
    <row r="600">
      <c r="O600" s="230"/>
      <c r="R600" s="230"/>
      <c r="S600" s="230"/>
      <c r="T600" s="230"/>
      <c r="U600" s="230"/>
      <c r="V600" s="230"/>
      <c r="W600" s="230"/>
      <c r="X600" s="230"/>
      <c r="Y600" s="230"/>
    </row>
    <row r="601">
      <c r="O601" s="230"/>
      <c r="R601" s="230"/>
      <c r="S601" s="230"/>
      <c r="T601" s="230"/>
      <c r="U601" s="230"/>
      <c r="V601" s="230"/>
      <c r="W601" s="230"/>
      <c r="X601" s="230"/>
      <c r="Y601" s="230"/>
    </row>
    <row r="602">
      <c r="O602" s="230"/>
      <c r="R602" s="230"/>
      <c r="S602" s="230"/>
      <c r="T602" s="230"/>
      <c r="U602" s="230"/>
      <c r="V602" s="230"/>
      <c r="W602" s="230"/>
      <c r="X602" s="230"/>
      <c r="Y602" s="230"/>
    </row>
    <row r="603">
      <c r="O603" s="230"/>
      <c r="R603" s="230"/>
      <c r="S603" s="230"/>
      <c r="T603" s="230"/>
      <c r="U603" s="230"/>
      <c r="V603" s="230"/>
      <c r="W603" s="230"/>
      <c r="X603" s="230"/>
      <c r="Y603" s="230"/>
    </row>
    <row r="604">
      <c r="O604" s="230"/>
      <c r="R604" s="230"/>
      <c r="S604" s="230"/>
      <c r="T604" s="230"/>
      <c r="U604" s="230"/>
      <c r="V604" s="230"/>
      <c r="W604" s="230"/>
      <c r="X604" s="230"/>
      <c r="Y604" s="230"/>
    </row>
    <row r="605">
      <c r="O605" s="230"/>
      <c r="R605" s="230"/>
      <c r="S605" s="230"/>
      <c r="T605" s="230"/>
      <c r="U605" s="230"/>
      <c r="V605" s="230"/>
      <c r="W605" s="230"/>
      <c r="X605" s="230"/>
      <c r="Y605" s="230"/>
    </row>
    <row r="606">
      <c r="O606" s="230"/>
      <c r="R606" s="230"/>
      <c r="S606" s="230"/>
      <c r="T606" s="230"/>
      <c r="U606" s="230"/>
      <c r="V606" s="230"/>
      <c r="W606" s="230"/>
      <c r="X606" s="230"/>
      <c r="Y606" s="230"/>
    </row>
    <row r="607">
      <c r="O607" s="230"/>
      <c r="R607" s="230"/>
      <c r="S607" s="230"/>
      <c r="T607" s="230"/>
      <c r="U607" s="230"/>
      <c r="V607" s="230"/>
      <c r="W607" s="230"/>
      <c r="X607" s="230"/>
      <c r="Y607" s="230"/>
    </row>
    <row r="608">
      <c r="O608" s="230"/>
      <c r="R608" s="230"/>
      <c r="S608" s="230"/>
      <c r="T608" s="230"/>
      <c r="U608" s="230"/>
      <c r="V608" s="230"/>
      <c r="W608" s="230"/>
      <c r="X608" s="230"/>
      <c r="Y608" s="230"/>
    </row>
    <row r="609">
      <c r="O609" s="230"/>
      <c r="R609" s="230"/>
      <c r="S609" s="230"/>
      <c r="T609" s="230"/>
      <c r="U609" s="230"/>
      <c r="V609" s="230"/>
      <c r="W609" s="230"/>
      <c r="X609" s="230"/>
      <c r="Y609" s="230"/>
    </row>
    <row r="610">
      <c r="O610" s="230"/>
      <c r="R610" s="230"/>
      <c r="S610" s="230"/>
      <c r="T610" s="230"/>
      <c r="U610" s="230"/>
      <c r="V610" s="230"/>
      <c r="W610" s="230"/>
      <c r="X610" s="230"/>
      <c r="Y610" s="230"/>
    </row>
    <row r="611">
      <c r="O611" s="230"/>
      <c r="R611" s="230"/>
      <c r="S611" s="230"/>
      <c r="T611" s="230"/>
      <c r="U611" s="230"/>
      <c r="V611" s="230"/>
      <c r="W611" s="230"/>
      <c r="X611" s="230"/>
      <c r="Y611" s="230"/>
    </row>
    <row r="612">
      <c r="O612" s="230"/>
      <c r="R612" s="230"/>
      <c r="S612" s="230"/>
      <c r="T612" s="230"/>
      <c r="U612" s="230"/>
      <c r="V612" s="230"/>
      <c r="W612" s="230"/>
      <c r="X612" s="230"/>
      <c r="Y612" s="230"/>
    </row>
    <row r="613">
      <c r="O613" s="230"/>
      <c r="R613" s="230"/>
      <c r="S613" s="230"/>
      <c r="T613" s="230"/>
      <c r="U613" s="230"/>
      <c r="V613" s="230"/>
      <c r="W613" s="230"/>
      <c r="X613" s="230"/>
      <c r="Y613" s="230"/>
    </row>
    <row r="614">
      <c r="O614" s="230"/>
      <c r="R614" s="230"/>
      <c r="S614" s="230"/>
      <c r="T614" s="230"/>
      <c r="U614" s="230"/>
      <c r="V614" s="230"/>
      <c r="W614" s="230"/>
      <c r="X614" s="230"/>
      <c r="Y614" s="230"/>
    </row>
    <row r="615">
      <c r="O615" s="230"/>
      <c r="R615" s="230"/>
      <c r="S615" s="230"/>
      <c r="T615" s="230"/>
      <c r="U615" s="230"/>
      <c r="V615" s="230"/>
      <c r="W615" s="230"/>
      <c r="X615" s="230"/>
      <c r="Y615" s="230"/>
    </row>
    <row r="616">
      <c r="O616" s="230"/>
      <c r="R616" s="230"/>
      <c r="S616" s="230"/>
      <c r="T616" s="230"/>
      <c r="U616" s="230"/>
      <c r="V616" s="230"/>
      <c r="W616" s="230"/>
      <c r="X616" s="230"/>
      <c r="Y616" s="230"/>
    </row>
    <row r="617">
      <c r="O617" s="230"/>
      <c r="R617" s="230"/>
      <c r="S617" s="230"/>
      <c r="T617" s="230"/>
      <c r="U617" s="230"/>
      <c r="V617" s="230"/>
      <c r="W617" s="230"/>
      <c r="X617" s="230"/>
      <c r="Y617" s="230"/>
    </row>
    <row r="618">
      <c r="O618" s="230"/>
      <c r="R618" s="230"/>
      <c r="S618" s="230"/>
      <c r="T618" s="230"/>
      <c r="U618" s="230"/>
      <c r="V618" s="230"/>
      <c r="W618" s="230"/>
      <c r="X618" s="230"/>
      <c r="Y618" s="230"/>
    </row>
    <row r="619">
      <c r="O619" s="230"/>
      <c r="R619" s="230"/>
      <c r="S619" s="230"/>
      <c r="T619" s="230"/>
      <c r="U619" s="230"/>
      <c r="V619" s="230"/>
      <c r="W619" s="230"/>
      <c r="X619" s="230"/>
      <c r="Y619" s="230"/>
    </row>
    <row r="620">
      <c r="O620" s="230"/>
      <c r="R620" s="230"/>
      <c r="S620" s="230"/>
      <c r="T620" s="230"/>
      <c r="U620" s="230"/>
      <c r="V620" s="230"/>
      <c r="W620" s="230"/>
      <c r="X620" s="230"/>
      <c r="Y620" s="230"/>
    </row>
    <row r="621">
      <c r="O621" s="230"/>
      <c r="R621" s="230"/>
      <c r="S621" s="230"/>
      <c r="T621" s="230"/>
      <c r="U621" s="230"/>
      <c r="V621" s="230"/>
      <c r="W621" s="230"/>
      <c r="X621" s="230"/>
      <c r="Y621" s="230"/>
    </row>
    <row r="622">
      <c r="O622" s="230"/>
      <c r="R622" s="230"/>
      <c r="S622" s="230"/>
      <c r="T622" s="230"/>
      <c r="U622" s="230"/>
      <c r="V622" s="230"/>
      <c r="W622" s="230"/>
      <c r="X622" s="230"/>
      <c r="Y622" s="230"/>
    </row>
    <row r="623">
      <c r="O623" s="230"/>
      <c r="R623" s="230"/>
      <c r="S623" s="230"/>
      <c r="T623" s="230"/>
      <c r="U623" s="230"/>
      <c r="V623" s="230"/>
      <c r="W623" s="230"/>
      <c r="X623" s="230"/>
      <c r="Y623" s="230"/>
    </row>
    <row r="624">
      <c r="O624" s="230"/>
      <c r="R624" s="230"/>
      <c r="S624" s="230"/>
      <c r="T624" s="230"/>
      <c r="U624" s="230"/>
      <c r="V624" s="230"/>
      <c r="W624" s="230"/>
      <c r="X624" s="230"/>
      <c r="Y624" s="230"/>
    </row>
    <row r="625">
      <c r="O625" s="230"/>
      <c r="R625" s="230"/>
      <c r="S625" s="230"/>
      <c r="T625" s="230"/>
      <c r="U625" s="230"/>
      <c r="V625" s="230"/>
      <c r="W625" s="230"/>
      <c r="X625" s="230"/>
      <c r="Y625" s="230"/>
    </row>
    <row r="626">
      <c r="O626" s="230"/>
      <c r="R626" s="230"/>
      <c r="S626" s="230"/>
      <c r="T626" s="230"/>
      <c r="U626" s="230"/>
      <c r="V626" s="230"/>
      <c r="W626" s="230"/>
      <c r="X626" s="230"/>
      <c r="Y626" s="230"/>
    </row>
    <row r="627">
      <c r="O627" s="230"/>
      <c r="R627" s="230"/>
      <c r="S627" s="230"/>
      <c r="T627" s="230"/>
      <c r="U627" s="230"/>
      <c r="V627" s="230"/>
      <c r="W627" s="230"/>
      <c r="X627" s="230"/>
      <c r="Y627" s="230"/>
    </row>
    <row r="628">
      <c r="O628" s="230"/>
      <c r="R628" s="230"/>
      <c r="S628" s="230"/>
      <c r="T628" s="230"/>
      <c r="U628" s="230"/>
      <c r="V628" s="230"/>
      <c r="W628" s="230"/>
      <c r="X628" s="230"/>
      <c r="Y628" s="230"/>
    </row>
    <row r="629">
      <c r="O629" s="230"/>
      <c r="R629" s="230"/>
      <c r="S629" s="230"/>
      <c r="T629" s="230"/>
      <c r="U629" s="230"/>
      <c r="V629" s="230"/>
      <c r="W629" s="230"/>
      <c r="X629" s="230"/>
      <c r="Y629" s="230"/>
    </row>
    <row r="630">
      <c r="O630" s="230"/>
      <c r="R630" s="230"/>
      <c r="S630" s="230"/>
      <c r="T630" s="230"/>
      <c r="U630" s="230"/>
      <c r="V630" s="230"/>
      <c r="W630" s="230"/>
      <c r="X630" s="230"/>
      <c r="Y630" s="230"/>
    </row>
    <row r="631">
      <c r="O631" s="230"/>
      <c r="R631" s="230"/>
      <c r="S631" s="230"/>
      <c r="T631" s="230"/>
      <c r="U631" s="230"/>
      <c r="V631" s="230"/>
      <c r="W631" s="230"/>
      <c r="X631" s="230"/>
      <c r="Y631" s="230"/>
    </row>
    <row r="632">
      <c r="O632" s="230"/>
      <c r="R632" s="230"/>
      <c r="S632" s="230"/>
      <c r="T632" s="230"/>
      <c r="U632" s="230"/>
      <c r="V632" s="230"/>
      <c r="W632" s="230"/>
      <c r="X632" s="230"/>
      <c r="Y632" s="230"/>
    </row>
    <row r="633">
      <c r="O633" s="230"/>
      <c r="R633" s="230"/>
      <c r="S633" s="230"/>
      <c r="T633" s="230"/>
      <c r="U633" s="230"/>
      <c r="V633" s="230"/>
      <c r="W633" s="230"/>
      <c r="X633" s="230"/>
      <c r="Y633" s="230"/>
    </row>
    <row r="634">
      <c r="O634" s="230"/>
      <c r="R634" s="230"/>
      <c r="S634" s="230"/>
      <c r="T634" s="230"/>
      <c r="U634" s="230"/>
      <c r="V634" s="230"/>
      <c r="W634" s="230"/>
      <c r="X634" s="230"/>
      <c r="Y634" s="230"/>
    </row>
    <row r="635">
      <c r="O635" s="230"/>
      <c r="R635" s="230"/>
      <c r="S635" s="230"/>
      <c r="T635" s="230"/>
      <c r="U635" s="230"/>
      <c r="V635" s="230"/>
      <c r="W635" s="230"/>
      <c r="X635" s="230"/>
      <c r="Y635" s="230"/>
    </row>
    <row r="636">
      <c r="O636" s="230"/>
      <c r="R636" s="230"/>
      <c r="S636" s="230"/>
      <c r="T636" s="230"/>
      <c r="U636" s="230"/>
      <c r="V636" s="230"/>
      <c r="W636" s="230"/>
      <c r="X636" s="230"/>
      <c r="Y636" s="230"/>
    </row>
    <row r="637">
      <c r="O637" s="230"/>
      <c r="R637" s="230"/>
      <c r="S637" s="230"/>
      <c r="T637" s="230"/>
      <c r="U637" s="230"/>
      <c r="V637" s="230"/>
      <c r="W637" s="230"/>
      <c r="X637" s="230"/>
      <c r="Y637" s="230"/>
    </row>
    <row r="638">
      <c r="O638" s="230"/>
      <c r="R638" s="230"/>
      <c r="S638" s="230"/>
      <c r="T638" s="230"/>
      <c r="U638" s="230"/>
      <c r="V638" s="230"/>
      <c r="W638" s="230"/>
      <c r="X638" s="230"/>
      <c r="Y638" s="230"/>
    </row>
    <row r="639">
      <c r="O639" s="230"/>
      <c r="R639" s="230"/>
      <c r="S639" s="230"/>
      <c r="T639" s="230"/>
      <c r="U639" s="230"/>
      <c r="V639" s="230"/>
      <c r="W639" s="230"/>
      <c r="X639" s="230"/>
      <c r="Y639" s="230"/>
    </row>
    <row r="640">
      <c r="O640" s="230"/>
      <c r="R640" s="230"/>
      <c r="S640" s="230"/>
      <c r="T640" s="230"/>
      <c r="U640" s="230"/>
      <c r="V640" s="230"/>
      <c r="W640" s="230"/>
      <c r="X640" s="230"/>
      <c r="Y640" s="230"/>
    </row>
    <row r="641">
      <c r="O641" s="230"/>
      <c r="R641" s="230"/>
      <c r="S641" s="230"/>
      <c r="T641" s="230"/>
      <c r="U641" s="230"/>
      <c r="V641" s="230"/>
      <c r="W641" s="230"/>
      <c r="X641" s="230"/>
      <c r="Y641" s="230"/>
    </row>
    <row r="642">
      <c r="O642" s="230"/>
      <c r="R642" s="230"/>
      <c r="S642" s="230"/>
      <c r="T642" s="230"/>
      <c r="U642" s="230"/>
      <c r="V642" s="230"/>
      <c r="W642" s="230"/>
      <c r="X642" s="230"/>
      <c r="Y642" s="230"/>
    </row>
    <row r="643">
      <c r="O643" s="230"/>
      <c r="R643" s="230"/>
      <c r="S643" s="230"/>
      <c r="T643" s="230"/>
      <c r="U643" s="230"/>
      <c r="V643" s="230"/>
      <c r="W643" s="230"/>
      <c r="X643" s="230"/>
      <c r="Y643" s="230"/>
    </row>
    <row r="644">
      <c r="O644" s="230"/>
      <c r="R644" s="230"/>
      <c r="S644" s="230"/>
      <c r="T644" s="230"/>
      <c r="U644" s="230"/>
      <c r="V644" s="230"/>
      <c r="W644" s="230"/>
      <c r="X644" s="230"/>
      <c r="Y644" s="230"/>
    </row>
    <row r="645">
      <c r="O645" s="230"/>
      <c r="R645" s="230"/>
      <c r="S645" s="230"/>
      <c r="T645" s="230"/>
      <c r="U645" s="230"/>
      <c r="V645" s="230"/>
      <c r="W645" s="230"/>
      <c r="X645" s="230"/>
      <c r="Y645" s="230"/>
    </row>
    <row r="646">
      <c r="O646" s="230"/>
      <c r="R646" s="230"/>
      <c r="S646" s="230"/>
      <c r="T646" s="230"/>
      <c r="U646" s="230"/>
      <c r="V646" s="230"/>
      <c r="W646" s="230"/>
      <c r="X646" s="230"/>
      <c r="Y646" s="230"/>
    </row>
    <row r="647">
      <c r="O647" s="230"/>
      <c r="R647" s="230"/>
      <c r="S647" s="230"/>
      <c r="T647" s="230"/>
      <c r="U647" s="230"/>
      <c r="V647" s="230"/>
      <c r="W647" s="230"/>
      <c r="X647" s="230"/>
      <c r="Y647" s="230"/>
    </row>
    <row r="648">
      <c r="O648" s="230"/>
      <c r="R648" s="230"/>
      <c r="S648" s="230"/>
      <c r="T648" s="230"/>
      <c r="U648" s="230"/>
      <c r="V648" s="230"/>
      <c r="W648" s="230"/>
      <c r="X648" s="230"/>
      <c r="Y648" s="230"/>
    </row>
    <row r="649">
      <c r="O649" s="230"/>
      <c r="R649" s="230"/>
      <c r="S649" s="230"/>
      <c r="T649" s="230"/>
      <c r="U649" s="230"/>
      <c r="V649" s="230"/>
      <c r="W649" s="230"/>
      <c r="X649" s="230"/>
      <c r="Y649" s="230"/>
    </row>
    <row r="650">
      <c r="O650" s="230"/>
      <c r="R650" s="230"/>
      <c r="S650" s="230"/>
      <c r="T650" s="230"/>
      <c r="U650" s="230"/>
      <c r="V650" s="230"/>
      <c r="W650" s="230"/>
      <c r="X650" s="230"/>
      <c r="Y650" s="230"/>
    </row>
    <row r="651">
      <c r="O651" s="230"/>
      <c r="R651" s="230"/>
      <c r="S651" s="230"/>
      <c r="T651" s="230"/>
      <c r="U651" s="230"/>
      <c r="V651" s="230"/>
      <c r="W651" s="230"/>
      <c r="X651" s="230"/>
      <c r="Y651" s="230"/>
    </row>
    <row r="652">
      <c r="O652" s="230"/>
      <c r="R652" s="230"/>
      <c r="S652" s="230"/>
      <c r="T652" s="230"/>
      <c r="U652" s="230"/>
      <c r="V652" s="230"/>
      <c r="W652" s="230"/>
      <c r="X652" s="230"/>
      <c r="Y652" s="230"/>
    </row>
    <row r="653">
      <c r="O653" s="230"/>
      <c r="R653" s="230"/>
      <c r="S653" s="230"/>
      <c r="T653" s="230"/>
      <c r="U653" s="230"/>
      <c r="V653" s="230"/>
      <c r="W653" s="230"/>
      <c r="X653" s="230"/>
      <c r="Y653" s="230"/>
    </row>
    <row r="654">
      <c r="O654" s="230"/>
      <c r="R654" s="230"/>
      <c r="S654" s="230"/>
      <c r="T654" s="230"/>
      <c r="U654" s="230"/>
      <c r="V654" s="230"/>
      <c r="W654" s="230"/>
      <c r="X654" s="230"/>
      <c r="Y654" s="230"/>
    </row>
    <row r="655">
      <c r="O655" s="230"/>
      <c r="R655" s="230"/>
      <c r="S655" s="230"/>
      <c r="T655" s="230"/>
      <c r="U655" s="230"/>
      <c r="V655" s="230"/>
      <c r="W655" s="230"/>
      <c r="X655" s="230"/>
      <c r="Y655" s="230"/>
    </row>
    <row r="656">
      <c r="O656" s="230"/>
      <c r="R656" s="230"/>
      <c r="S656" s="230"/>
      <c r="T656" s="230"/>
      <c r="U656" s="230"/>
      <c r="V656" s="230"/>
      <c r="W656" s="230"/>
      <c r="X656" s="230"/>
      <c r="Y656" s="230"/>
    </row>
    <row r="657">
      <c r="O657" s="230"/>
      <c r="R657" s="230"/>
      <c r="S657" s="230"/>
      <c r="T657" s="230"/>
      <c r="U657" s="230"/>
      <c r="V657" s="230"/>
      <c r="W657" s="230"/>
      <c r="X657" s="230"/>
      <c r="Y657" s="230"/>
    </row>
    <row r="658">
      <c r="O658" s="230"/>
      <c r="R658" s="230"/>
      <c r="S658" s="230"/>
      <c r="T658" s="230"/>
      <c r="U658" s="230"/>
      <c r="V658" s="230"/>
      <c r="W658" s="230"/>
      <c r="X658" s="230"/>
      <c r="Y658" s="230"/>
    </row>
    <row r="659">
      <c r="O659" s="230"/>
      <c r="R659" s="230"/>
      <c r="S659" s="230"/>
      <c r="T659" s="230"/>
      <c r="U659" s="230"/>
      <c r="V659" s="230"/>
      <c r="W659" s="230"/>
      <c r="X659" s="230"/>
      <c r="Y659" s="230"/>
    </row>
    <row r="660">
      <c r="O660" s="230"/>
      <c r="R660" s="230"/>
      <c r="S660" s="230"/>
      <c r="T660" s="230"/>
      <c r="U660" s="230"/>
      <c r="V660" s="230"/>
      <c r="W660" s="230"/>
      <c r="X660" s="230"/>
      <c r="Y660" s="230"/>
    </row>
    <row r="661">
      <c r="O661" s="230"/>
      <c r="R661" s="230"/>
      <c r="S661" s="230"/>
      <c r="T661" s="230"/>
      <c r="U661" s="230"/>
      <c r="V661" s="230"/>
      <c r="W661" s="230"/>
      <c r="X661" s="230"/>
      <c r="Y661" s="230"/>
    </row>
    <row r="662">
      <c r="O662" s="230"/>
      <c r="R662" s="230"/>
      <c r="S662" s="230"/>
      <c r="T662" s="230"/>
      <c r="U662" s="230"/>
      <c r="V662" s="230"/>
      <c r="W662" s="230"/>
      <c r="X662" s="230"/>
      <c r="Y662" s="230"/>
    </row>
    <row r="663">
      <c r="O663" s="230"/>
      <c r="R663" s="230"/>
      <c r="S663" s="230"/>
      <c r="T663" s="230"/>
      <c r="U663" s="230"/>
      <c r="V663" s="230"/>
      <c r="W663" s="230"/>
      <c r="X663" s="230"/>
      <c r="Y663" s="230"/>
    </row>
    <row r="664">
      <c r="O664" s="230"/>
      <c r="R664" s="230"/>
      <c r="S664" s="230"/>
      <c r="T664" s="230"/>
      <c r="U664" s="230"/>
      <c r="V664" s="230"/>
      <c r="W664" s="230"/>
      <c r="X664" s="230"/>
      <c r="Y664" s="230"/>
    </row>
    <row r="665">
      <c r="O665" s="230"/>
      <c r="R665" s="230"/>
      <c r="S665" s="230"/>
      <c r="T665" s="230"/>
      <c r="U665" s="230"/>
      <c r="V665" s="230"/>
      <c r="W665" s="230"/>
      <c r="X665" s="230"/>
      <c r="Y665" s="230"/>
    </row>
    <row r="666">
      <c r="O666" s="230"/>
      <c r="R666" s="230"/>
      <c r="S666" s="230"/>
      <c r="T666" s="230"/>
      <c r="U666" s="230"/>
      <c r="V666" s="230"/>
      <c r="W666" s="230"/>
      <c r="X666" s="230"/>
      <c r="Y666" s="230"/>
    </row>
    <row r="667">
      <c r="O667" s="230"/>
      <c r="R667" s="230"/>
      <c r="S667" s="230"/>
      <c r="T667" s="230"/>
      <c r="U667" s="230"/>
      <c r="V667" s="230"/>
      <c r="W667" s="230"/>
      <c r="X667" s="230"/>
      <c r="Y667" s="230"/>
    </row>
    <row r="668">
      <c r="O668" s="230"/>
      <c r="R668" s="230"/>
      <c r="S668" s="230"/>
      <c r="T668" s="230"/>
      <c r="U668" s="230"/>
      <c r="V668" s="230"/>
      <c r="W668" s="230"/>
      <c r="X668" s="230"/>
      <c r="Y668" s="230"/>
    </row>
    <row r="669">
      <c r="O669" s="230"/>
      <c r="R669" s="230"/>
      <c r="S669" s="230"/>
      <c r="T669" s="230"/>
      <c r="U669" s="230"/>
      <c r="V669" s="230"/>
      <c r="W669" s="230"/>
      <c r="X669" s="230"/>
      <c r="Y669" s="230"/>
    </row>
    <row r="670">
      <c r="O670" s="230"/>
      <c r="R670" s="230"/>
      <c r="S670" s="230"/>
      <c r="T670" s="230"/>
      <c r="U670" s="230"/>
      <c r="V670" s="230"/>
      <c r="W670" s="230"/>
      <c r="X670" s="230"/>
      <c r="Y670" s="230"/>
    </row>
    <row r="671">
      <c r="O671" s="230"/>
      <c r="R671" s="230"/>
      <c r="S671" s="230"/>
      <c r="T671" s="230"/>
      <c r="U671" s="230"/>
      <c r="V671" s="230"/>
      <c r="W671" s="230"/>
      <c r="X671" s="230"/>
      <c r="Y671" s="230"/>
    </row>
    <row r="672">
      <c r="O672" s="230"/>
      <c r="R672" s="230"/>
      <c r="S672" s="230"/>
      <c r="T672" s="230"/>
      <c r="U672" s="230"/>
      <c r="V672" s="230"/>
      <c r="W672" s="230"/>
      <c r="X672" s="230"/>
      <c r="Y672" s="230"/>
    </row>
    <row r="673">
      <c r="O673" s="230"/>
      <c r="R673" s="230"/>
      <c r="S673" s="230"/>
      <c r="T673" s="230"/>
      <c r="U673" s="230"/>
      <c r="V673" s="230"/>
      <c r="W673" s="230"/>
      <c r="X673" s="230"/>
      <c r="Y673" s="230"/>
    </row>
    <row r="674">
      <c r="O674" s="230"/>
      <c r="R674" s="230"/>
      <c r="S674" s="230"/>
      <c r="T674" s="230"/>
      <c r="U674" s="230"/>
      <c r="V674" s="230"/>
      <c r="W674" s="230"/>
      <c r="X674" s="230"/>
      <c r="Y674" s="230"/>
    </row>
    <row r="675">
      <c r="O675" s="230"/>
      <c r="R675" s="230"/>
      <c r="S675" s="230"/>
      <c r="T675" s="230"/>
      <c r="U675" s="230"/>
      <c r="V675" s="230"/>
      <c r="W675" s="230"/>
      <c r="X675" s="230"/>
      <c r="Y675" s="230"/>
    </row>
    <row r="676">
      <c r="O676" s="230"/>
      <c r="R676" s="230"/>
      <c r="S676" s="230"/>
      <c r="T676" s="230"/>
      <c r="U676" s="230"/>
      <c r="V676" s="230"/>
      <c r="W676" s="230"/>
      <c r="X676" s="230"/>
      <c r="Y676" s="230"/>
    </row>
    <row r="677">
      <c r="O677" s="230"/>
      <c r="R677" s="230"/>
      <c r="S677" s="230"/>
      <c r="T677" s="230"/>
      <c r="U677" s="230"/>
      <c r="V677" s="230"/>
      <c r="W677" s="230"/>
      <c r="X677" s="230"/>
      <c r="Y677" s="230"/>
    </row>
    <row r="678">
      <c r="O678" s="230"/>
      <c r="R678" s="230"/>
      <c r="S678" s="230"/>
      <c r="T678" s="230"/>
      <c r="U678" s="230"/>
      <c r="V678" s="230"/>
      <c r="W678" s="230"/>
      <c r="X678" s="230"/>
      <c r="Y678" s="230"/>
    </row>
    <row r="679">
      <c r="O679" s="230"/>
      <c r="R679" s="230"/>
      <c r="S679" s="230"/>
      <c r="T679" s="230"/>
      <c r="U679" s="230"/>
      <c r="V679" s="230"/>
      <c r="W679" s="230"/>
      <c r="X679" s="230"/>
      <c r="Y679" s="230"/>
    </row>
    <row r="680">
      <c r="O680" s="230"/>
      <c r="R680" s="230"/>
      <c r="S680" s="230"/>
      <c r="T680" s="230"/>
      <c r="U680" s="230"/>
      <c r="V680" s="230"/>
      <c r="W680" s="230"/>
      <c r="X680" s="230"/>
      <c r="Y680" s="230"/>
    </row>
    <row r="681">
      <c r="O681" s="230"/>
      <c r="R681" s="230"/>
      <c r="S681" s="230"/>
      <c r="T681" s="230"/>
      <c r="U681" s="230"/>
      <c r="V681" s="230"/>
      <c r="W681" s="230"/>
      <c r="X681" s="230"/>
      <c r="Y681" s="230"/>
    </row>
    <row r="682">
      <c r="O682" s="230"/>
      <c r="R682" s="230"/>
      <c r="S682" s="230"/>
      <c r="T682" s="230"/>
      <c r="U682" s="230"/>
      <c r="V682" s="230"/>
      <c r="W682" s="230"/>
      <c r="X682" s="230"/>
      <c r="Y682" s="230"/>
    </row>
    <row r="683">
      <c r="O683" s="230"/>
      <c r="R683" s="230"/>
      <c r="S683" s="230"/>
      <c r="T683" s="230"/>
      <c r="U683" s="230"/>
      <c r="V683" s="230"/>
      <c r="W683" s="230"/>
      <c r="X683" s="230"/>
      <c r="Y683" s="230"/>
    </row>
    <row r="684">
      <c r="O684" s="230"/>
      <c r="R684" s="230"/>
      <c r="S684" s="230"/>
      <c r="T684" s="230"/>
      <c r="U684" s="230"/>
      <c r="V684" s="230"/>
      <c r="W684" s="230"/>
      <c r="X684" s="230"/>
      <c r="Y684" s="230"/>
    </row>
    <row r="685">
      <c r="O685" s="230"/>
      <c r="R685" s="230"/>
      <c r="S685" s="230"/>
      <c r="T685" s="230"/>
      <c r="U685" s="230"/>
      <c r="V685" s="230"/>
      <c r="W685" s="230"/>
      <c r="X685" s="230"/>
      <c r="Y685" s="230"/>
    </row>
    <row r="686">
      <c r="O686" s="230"/>
      <c r="R686" s="230"/>
      <c r="S686" s="230"/>
      <c r="T686" s="230"/>
      <c r="U686" s="230"/>
      <c r="V686" s="230"/>
      <c r="W686" s="230"/>
      <c r="X686" s="230"/>
      <c r="Y686" s="230"/>
    </row>
    <row r="687">
      <c r="O687" s="230"/>
      <c r="R687" s="230"/>
      <c r="S687" s="230"/>
      <c r="T687" s="230"/>
      <c r="U687" s="230"/>
      <c r="V687" s="230"/>
      <c r="W687" s="230"/>
      <c r="X687" s="230"/>
      <c r="Y687" s="230"/>
    </row>
    <row r="688">
      <c r="O688" s="230"/>
      <c r="R688" s="230"/>
      <c r="S688" s="230"/>
      <c r="T688" s="230"/>
      <c r="U688" s="230"/>
      <c r="V688" s="230"/>
      <c r="W688" s="230"/>
      <c r="X688" s="230"/>
      <c r="Y688" s="230"/>
    </row>
    <row r="689">
      <c r="O689" s="230"/>
      <c r="R689" s="230"/>
      <c r="S689" s="230"/>
      <c r="T689" s="230"/>
      <c r="U689" s="230"/>
      <c r="V689" s="230"/>
      <c r="W689" s="230"/>
      <c r="X689" s="230"/>
      <c r="Y689" s="230"/>
    </row>
    <row r="690">
      <c r="O690" s="230"/>
      <c r="R690" s="230"/>
      <c r="S690" s="230"/>
      <c r="T690" s="230"/>
      <c r="U690" s="230"/>
      <c r="V690" s="230"/>
      <c r="W690" s="230"/>
      <c r="X690" s="230"/>
      <c r="Y690" s="230"/>
    </row>
    <row r="691">
      <c r="O691" s="230"/>
      <c r="R691" s="230"/>
      <c r="S691" s="230"/>
      <c r="T691" s="230"/>
      <c r="U691" s="230"/>
      <c r="V691" s="230"/>
      <c r="W691" s="230"/>
      <c r="X691" s="230"/>
      <c r="Y691" s="230"/>
    </row>
    <row r="692">
      <c r="O692" s="230"/>
      <c r="R692" s="230"/>
      <c r="S692" s="230"/>
      <c r="T692" s="230"/>
      <c r="U692" s="230"/>
      <c r="V692" s="230"/>
      <c r="W692" s="230"/>
      <c r="X692" s="230"/>
      <c r="Y692" s="230"/>
    </row>
    <row r="693">
      <c r="O693" s="230"/>
      <c r="R693" s="230"/>
      <c r="S693" s="230"/>
      <c r="T693" s="230"/>
      <c r="U693" s="230"/>
      <c r="V693" s="230"/>
      <c r="W693" s="230"/>
      <c r="X693" s="230"/>
      <c r="Y693" s="230"/>
    </row>
    <row r="694">
      <c r="O694" s="230"/>
      <c r="R694" s="230"/>
      <c r="S694" s="230"/>
      <c r="T694" s="230"/>
      <c r="U694" s="230"/>
      <c r="V694" s="230"/>
      <c r="W694" s="230"/>
      <c r="X694" s="230"/>
      <c r="Y694" s="230"/>
    </row>
    <row r="695">
      <c r="O695" s="230"/>
      <c r="R695" s="230"/>
      <c r="S695" s="230"/>
      <c r="T695" s="230"/>
      <c r="U695" s="230"/>
      <c r="V695" s="230"/>
      <c r="W695" s="230"/>
      <c r="X695" s="230"/>
      <c r="Y695" s="230"/>
    </row>
    <row r="696">
      <c r="O696" s="230"/>
      <c r="R696" s="230"/>
      <c r="S696" s="230"/>
      <c r="T696" s="230"/>
      <c r="U696" s="230"/>
      <c r="V696" s="230"/>
      <c r="W696" s="230"/>
      <c r="X696" s="230"/>
      <c r="Y696" s="230"/>
    </row>
    <row r="697">
      <c r="O697" s="230"/>
      <c r="R697" s="230"/>
      <c r="S697" s="230"/>
      <c r="T697" s="230"/>
      <c r="U697" s="230"/>
      <c r="V697" s="230"/>
      <c r="W697" s="230"/>
      <c r="X697" s="230"/>
      <c r="Y697" s="230"/>
    </row>
    <row r="698">
      <c r="O698" s="230"/>
      <c r="R698" s="230"/>
      <c r="S698" s="230"/>
      <c r="T698" s="230"/>
      <c r="U698" s="230"/>
      <c r="V698" s="230"/>
      <c r="W698" s="230"/>
      <c r="X698" s="230"/>
      <c r="Y698" s="230"/>
    </row>
    <row r="699">
      <c r="O699" s="230"/>
      <c r="R699" s="230"/>
      <c r="S699" s="230"/>
      <c r="T699" s="230"/>
      <c r="U699" s="230"/>
      <c r="V699" s="230"/>
      <c r="W699" s="230"/>
      <c r="X699" s="230"/>
      <c r="Y699" s="230"/>
    </row>
    <row r="700">
      <c r="O700" s="230"/>
      <c r="R700" s="230"/>
      <c r="S700" s="230"/>
      <c r="T700" s="230"/>
      <c r="U700" s="230"/>
      <c r="V700" s="230"/>
      <c r="W700" s="230"/>
      <c r="X700" s="230"/>
      <c r="Y700" s="230"/>
    </row>
    <row r="701">
      <c r="O701" s="230"/>
      <c r="R701" s="230"/>
      <c r="S701" s="230"/>
      <c r="T701" s="230"/>
      <c r="U701" s="230"/>
      <c r="V701" s="230"/>
      <c r="W701" s="230"/>
      <c r="X701" s="230"/>
      <c r="Y701" s="230"/>
    </row>
    <row r="702">
      <c r="O702" s="230"/>
      <c r="R702" s="230"/>
      <c r="S702" s="230"/>
      <c r="T702" s="230"/>
      <c r="U702" s="230"/>
      <c r="V702" s="230"/>
      <c r="W702" s="230"/>
      <c r="X702" s="230"/>
      <c r="Y702" s="230"/>
    </row>
    <row r="703">
      <c r="O703" s="230"/>
      <c r="R703" s="230"/>
      <c r="S703" s="230"/>
      <c r="T703" s="230"/>
      <c r="U703" s="230"/>
      <c r="V703" s="230"/>
      <c r="W703" s="230"/>
      <c r="X703" s="230"/>
      <c r="Y703" s="230"/>
    </row>
    <row r="704">
      <c r="O704" s="230"/>
      <c r="R704" s="230"/>
      <c r="S704" s="230"/>
      <c r="T704" s="230"/>
      <c r="U704" s="230"/>
      <c r="V704" s="230"/>
      <c r="W704" s="230"/>
      <c r="X704" s="230"/>
      <c r="Y704" s="230"/>
    </row>
    <row r="705">
      <c r="O705" s="230"/>
      <c r="R705" s="230"/>
      <c r="S705" s="230"/>
      <c r="T705" s="230"/>
      <c r="U705" s="230"/>
      <c r="V705" s="230"/>
      <c r="W705" s="230"/>
      <c r="X705" s="230"/>
      <c r="Y705" s="230"/>
    </row>
    <row r="706">
      <c r="O706" s="230"/>
      <c r="R706" s="230"/>
      <c r="S706" s="230"/>
      <c r="T706" s="230"/>
      <c r="U706" s="230"/>
      <c r="V706" s="230"/>
      <c r="W706" s="230"/>
      <c r="X706" s="230"/>
      <c r="Y706" s="230"/>
    </row>
    <row r="707">
      <c r="O707" s="230"/>
      <c r="R707" s="230"/>
      <c r="S707" s="230"/>
      <c r="T707" s="230"/>
      <c r="U707" s="230"/>
      <c r="V707" s="230"/>
      <c r="W707" s="230"/>
      <c r="X707" s="230"/>
      <c r="Y707" s="230"/>
    </row>
    <row r="708">
      <c r="O708" s="230"/>
      <c r="R708" s="230"/>
      <c r="S708" s="230"/>
      <c r="T708" s="230"/>
      <c r="U708" s="230"/>
      <c r="V708" s="230"/>
      <c r="W708" s="230"/>
      <c r="X708" s="230"/>
      <c r="Y708" s="230"/>
    </row>
    <row r="709">
      <c r="O709" s="230"/>
      <c r="R709" s="230"/>
      <c r="S709" s="230"/>
      <c r="T709" s="230"/>
      <c r="U709" s="230"/>
      <c r="V709" s="230"/>
      <c r="W709" s="230"/>
      <c r="X709" s="230"/>
      <c r="Y709" s="230"/>
    </row>
    <row r="710">
      <c r="O710" s="230"/>
      <c r="R710" s="230"/>
      <c r="S710" s="230"/>
      <c r="T710" s="230"/>
      <c r="U710" s="230"/>
      <c r="V710" s="230"/>
      <c r="W710" s="230"/>
      <c r="X710" s="230"/>
      <c r="Y710" s="230"/>
    </row>
    <row r="711">
      <c r="O711" s="230"/>
      <c r="R711" s="230"/>
      <c r="S711" s="230"/>
      <c r="T711" s="230"/>
      <c r="U711" s="230"/>
      <c r="V711" s="230"/>
      <c r="W711" s="230"/>
      <c r="X711" s="230"/>
      <c r="Y711" s="230"/>
    </row>
    <row r="712">
      <c r="O712" s="230"/>
      <c r="R712" s="230"/>
      <c r="S712" s="230"/>
      <c r="T712" s="230"/>
      <c r="U712" s="230"/>
      <c r="V712" s="230"/>
      <c r="W712" s="230"/>
      <c r="X712" s="230"/>
      <c r="Y712" s="230"/>
    </row>
    <row r="713">
      <c r="O713" s="230"/>
      <c r="R713" s="230"/>
      <c r="S713" s="230"/>
      <c r="T713" s="230"/>
      <c r="U713" s="230"/>
      <c r="V713" s="230"/>
      <c r="W713" s="230"/>
      <c r="X713" s="230"/>
      <c r="Y713" s="230"/>
    </row>
    <row r="714">
      <c r="O714" s="230"/>
      <c r="R714" s="230"/>
      <c r="S714" s="230"/>
      <c r="T714" s="230"/>
      <c r="U714" s="230"/>
      <c r="V714" s="230"/>
      <c r="W714" s="230"/>
      <c r="X714" s="230"/>
      <c r="Y714" s="230"/>
    </row>
    <row r="715">
      <c r="O715" s="230"/>
      <c r="R715" s="230"/>
      <c r="S715" s="230"/>
      <c r="T715" s="230"/>
      <c r="U715" s="230"/>
      <c r="V715" s="230"/>
      <c r="W715" s="230"/>
      <c r="X715" s="230"/>
      <c r="Y715" s="230"/>
    </row>
    <row r="716">
      <c r="O716" s="230"/>
      <c r="R716" s="230"/>
      <c r="S716" s="230"/>
      <c r="T716" s="230"/>
      <c r="U716" s="230"/>
      <c r="V716" s="230"/>
      <c r="W716" s="230"/>
      <c r="X716" s="230"/>
      <c r="Y716" s="230"/>
    </row>
    <row r="717">
      <c r="O717" s="230"/>
      <c r="R717" s="230"/>
      <c r="S717" s="230"/>
      <c r="T717" s="230"/>
      <c r="U717" s="230"/>
      <c r="V717" s="230"/>
      <c r="W717" s="230"/>
      <c r="X717" s="230"/>
      <c r="Y717" s="230"/>
    </row>
    <row r="718">
      <c r="O718" s="230"/>
      <c r="R718" s="230"/>
      <c r="S718" s="230"/>
      <c r="T718" s="230"/>
      <c r="U718" s="230"/>
      <c r="V718" s="230"/>
      <c r="W718" s="230"/>
      <c r="X718" s="230"/>
      <c r="Y718" s="230"/>
    </row>
    <row r="719">
      <c r="O719" s="230"/>
      <c r="R719" s="230"/>
      <c r="S719" s="230"/>
      <c r="T719" s="230"/>
      <c r="U719" s="230"/>
      <c r="V719" s="230"/>
      <c r="W719" s="230"/>
      <c r="X719" s="230"/>
      <c r="Y719" s="230"/>
    </row>
    <row r="720">
      <c r="O720" s="230"/>
      <c r="R720" s="230"/>
      <c r="S720" s="230"/>
      <c r="T720" s="230"/>
      <c r="U720" s="230"/>
      <c r="V720" s="230"/>
      <c r="W720" s="230"/>
      <c r="X720" s="230"/>
      <c r="Y720" s="230"/>
    </row>
    <row r="721">
      <c r="O721" s="230"/>
      <c r="R721" s="230"/>
      <c r="S721" s="230"/>
      <c r="T721" s="230"/>
      <c r="U721" s="230"/>
      <c r="V721" s="230"/>
      <c r="W721" s="230"/>
      <c r="X721" s="230"/>
      <c r="Y721" s="230"/>
    </row>
    <row r="722">
      <c r="O722" s="230"/>
      <c r="R722" s="230"/>
      <c r="S722" s="230"/>
      <c r="T722" s="230"/>
      <c r="U722" s="230"/>
      <c r="V722" s="230"/>
      <c r="W722" s="230"/>
      <c r="X722" s="230"/>
      <c r="Y722" s="230"/>
    </row>
    <row r="723">
      <c r="O723" s="230"/>
      <c r="R723" s="230"/>
      <c r="S723" s="230"/>
      <c r="T723" s="230"/>
      <c r="U723" s="230"/>
      <c r="V723" s="230"/>
      <c r="W723" s="230"/>
      <c r="X723" s="230"/>
      <c r="Y723" s="230"/>
    </row>
    <row r="724">
      <c r="O724" s="230"/>
      <c r="R724" s="230"/>
      <c r="S724" s="230"/>
      <c r="T724" s="230"/>
      <c r="U724" s="230"/>
      <c r="V724" s="230"/>
      <c r="W724" s="230"/>
      <c r="X724" s="230"/>
      <c r="Y724" s="230"/>
    </row>
    <row r="725">
      <c r="O725" s="230"/>
      <c r="R725" s="230"/>
      <c r="S725" s="230"/>
      <c r="T725" s="230"/>
      <c r="U725" s="230"/>
      <c r="V725" s="230"/>
      <c r="W725" s="230"/>
      <c r="X725" s="230"/>
      <c r="Y725" s="230"/>
    </row>
    <row r="726">
      <c r="O726" s="230"/>
      <c r="R726" s="230"/>
      <c r="S726" s="230"/>
      <c r="T726" s="230"/>
      <c r="U726" s="230"/>
      <c r="V726" s="230"/>
      <c r="W726" s="230"/>
      <c r="X726" s="230"/>
      <c r="Y726" s="230"/>
    </row>
    <row r="727">
      <c r="O727" s="230"/>
      <c r="R727" s="230"/>
      <c r="S727" s="230"/>
      <c r="T727" s="230"/>
      <c r="U727" s="230"/>
      <c r="V727" s="230"/>
      <c r="W727" s="230"/>
      <c r="X727" s="230"/>
      <c r="Y727" s="230"/>
    </row>
    <row r="728">
      <c r="O728" s="230"/>
      <c r="R728" s="230"/>
      <c r="S728" s="230"/>
      <c r="T728" s="230"/>
      <c r="U728" s="230"/>
      <c r="V728" s="230"/>
      <c r="W728" s="230"/>
      <c r="X728" s="230"/>
      <c r="Y728" s="230"/>
    </row>
    <row r="729">
      <c r="O729" s="230"/>
      <c r="R729" s="230"/>
      <c r="S729" s="230"/>
      <c r="T729" s="230"/>
      <c r="U729" s="230"/>
      <c r="V729" s="230"/>
      <c r="W729" s="230"/>
      <c r="X729" s="230"/>
      <c r="Y729" s="230"/>
    </row>
    <row r="730">
      <c r="O730" s="230"/>
      <c r="R730" s="230"/>
      <c r="S730" s="230"/>
      <c r="T730" s="230"/>
      <c r="U730" s="230"/>
      <c r="V730" s="230"/>
      <c r="W730" s="230"/>
      <c r="X730" s="230"/>
      <c r="Y730" s="230"/>
    </row>
    <row r="731">
      <c r="O731" s="230"/>
      <c r="R731" s="230"/>
      <c r="S731" s="230"/>
      <c r="T731" s="230"/>
      <c r="U731" s="230"/>
      <c r="V731" s="230"/>
      <c r="W731" s="230"/>
      <c r="X731" s="230"/>
      <c r="Y731" s="230"/>
    </row>
    <row r="732">
      <c r="O732" s="230"/>
      <c r="R732" s="230"/>
      <c r="S732" s="230"/>
      <c r="T732" s="230"/>
      <c r="U732" s="230"/>
      <c r="V732" s="230"/>
      <c r="W732" s="230"/>
      <c r="X732" s="230"/>
      <c r="Y732" s="230"/>
    </row>
    <row r="733">
      <c r="O733" s="230"/>
      <c r="R733" s="230"/>
      <c r="S733" s="230"/>
      <c r="T733" s="230"/>
      <c r="U733" s="230"/>
      <c r="V733" s="230"/>
      <c r="W733" s="230"/>
      <c r="X733" s="230"/>
      <c r="Y733" s="230"/>
    </row>
    <row r="734">
      <c r="O734" s="230"/>
      <c r="R734" s="230"/>
      <c r="S734" s="230"/>
      <c r="T734" s="230"/>
      <c r="U734" s="230"/>
      <c r="V734" s="230"/>
      <c r="W734" s="230"/>
      <c r="X734" s="230"/>
      <c r="Y734" s="230"/>
    </row>
    <row r="735">
      <c r="O735" s="230"/>
      <c r="R735" s="230"/>
      <c r="S735" s="230"/>
      <c r="T735" s="230"/>
      <c r="U735" s="230"/>
      <c r="V735" s="230"/>
      <c r="W735" s="230"/>
      <c r="X735" s="230"/>
      <c r="Y735" s="230"/>
    </row>
    <row r="736">
      <c r="O736" s="230"/>
      <c r="R736" s="230"/>
      <c r="S736" s="230"/>
      <c r="T736" s="230"/>
      <c r="U736" s="230"/>
      <c r="V736" s="230"/>
      <c r="W736" s="230"/>
      <c r="X736" s="230"/>
      <c r="Y736" s="230"/>
    </row>
    <row r="737">
      <c r="O737" s="230"/>
      <c r="R737" s="230"/>
      <c r="S737" s="230"/>
      <c r="T737" s="230"/>
      <c r="U737" s="230"/>
      <c r="V737" s="230"/>
      <c r="W737" s="230"/>
      <c r="X737" s="230"/>
      <c r="Y737" s="230"/>
    </row>
    <row r="738">
      <c r="O738" s="230"/>
      <c r="R738" s="230"/>
      <c r="S738" s="230"/>
      <c r="T738" s="230"/>
      <c r="U738" s="230"/>
      <c r="V738" s="230"/>
      <c r="W738" s="230"/>
      <c r="X738" s="230"/>
      <c r="Y738" s="230"/>
    </row>
    <row r="739">
      <c r="O739" s="230"/>
      <c r="R739" s="230"/>
      <c r="S739" s="230"/>
      <c r="T739" s="230"/>
      <c r="U739" s="230"/>
      <c r="V739" s="230"/>
      <c r="W739" s="230"/>
      <c r="X739" s="230"/>
      <c r="Y739" s="230"/>
    </row>
    <row r="740">
      <c r="O740" s="230"/>
      <c r="R740" s="230"/>
      <c r="S740" s="230"/>
      <c r="T740" s="230"/>
      <c r="U740" s="230"/>
      <c r="V740" s="230"/>
      <c r="W740" s="230"/>
      <c r="X740" s="230"/>
      <c r="Y740" s="230"/>
    </row>
    <row r="741">
      <c r="O741" s="230"/>
      <c r="R741" s="230"/>
      <c r="S741" s="230"/>
      <c r="T741" s="230"/>
      <c r="U741" s="230"/>
      <c r="V741" s="230"/>
      <c r="W741" s="230"/>
      <c r="X741" s="230"/>
      <c r="Y741" s="230"/>
    </row>
    <row r="742">
      <c r="O742" s="230"/>
      <c r="R742" s="230"/>
      <c r="S742" s="230"/>
      <c r="T742" s="230"/>
      <c r="U742" s="230"/>
      <c r="V742" s="230"/>
      <c r="W742" s="230"/>
      <c r="X742" s="230"/>
      <c r="Y742" s="230"/>
    </row>
    <row r="743">
      <c r="O743" s="230"/>
      <c r="R743" s="230"/>
      <c r="S743" s="230"/>
      <c r="T743" s="230"/>
      <c r="U743" s="230"/>
      <c r="V743" s="230"/>
      <c r="W743" s="230"/>
      <c r="X743" s="230"/>
      <c r="Y743" s="230"/>
    </row>
    <row r="744">
      <c r="O744" s="230"/>
      <c r="R744" s="230"/>
      <c r="S744" s="230"/>
      <c r="T744" s="230"/>
      <c r="U744" s="230"/>
      <c r="V744" s="230"/>
      <c r="W744" s="230"/>
      <c r="X744" s="230"/>
      <c r="Y744" s="230"/>
    </row>
    <row r="745">
      <c r="O745" s="230"/>
      <c r="R745" s="230"/>
      <c r="S745" s="230"/>
      <c r="T745" s="230"/>
      <c r="U745" s="230"/>
      <c r="V745" s="230"/>
      <c r="W745" s="230"/>
      <c r="X745" s="230"/>
      <c r="Y745" s="230"/>
    </row>
    <row r="746">
      <c r="O746" s="230"/>
      <c r="R746" s="230"/>
      <c r="S746" s="230"/>
      <c r="T746" s="230"/>
      <c r="U746" s="230"/>
      <c r="V746" s="230"/>
      <c r="W746" s="230"/>
      <c r="X746" s="230"/>
      <c r="Y746" s="230"/>
    </row>
    <row r="747">
      <c r="O747" s="230"/>
      <c r="R747" s="230"/>
      <c r="S747" s="230"/>
      <c r="T747" s="230"/>
      <c r="U747" s="230"/>
      <c r="V747" s="230"/>
      <c r="W747" s="230"/>
      <c r="X747" s="230"/>
      <c r="Y747" s="230"/>
    </row>
    <row r="748">
      <c r="O748" s="230"/>
      <c r="R748" s="230"/>
      <c r="S748" s="230"/>
      <c r="T748" s="230"/>
      <c r="U748" s="230"/>
      <c r="V748" s="230"/>
      <c r="W748" s="230"/>
      <c r="X748" s="230"/>
      <c r="Y748" s="230"/>
    </row>
    <row r="749">
      <c r="O749" s="230"/>
      <c r="R749" s="230"/>
      <c r="S749" s="230"/>
      <c r="T749" s="230"/>
      <c r="U749" s="230"/>
      <c r="V749" s="230"/>
      <c r="W749" s="230"/>
      <c r="X749" s="230"/>
      <c r="Y749" s="230"/>
    </row>
    <row r="750">
      <c r="O750" s="230"/>
      <c r="R750" s="230"/>
      <c r="S750" s="230"/>
      <c r="T750" s="230"/>
      <c r="U750" s="230"/>
      <c r="V750" s="230"/>
      <c r="W750" s="230"/>
      <c r="X750" s="230"/>
      <c r="Y750" s="230"/>
    </row>
    <row r="751">
      <c r="O751" s="230"/>
      <c r="R751" s="230"/>
      <c r="S751" s="230"/>
      <c r="T751" s="230"/>
      <c r="U751" s="230"/>
      <c r="V751" s="230"/>
      <c r="W751" s="230"/>
      <c r="X751" s="230"/>
      <c r="Y751" s="230"/>
    </row>
    <row r="752">
      <c r="O752" s="230"/>
      <c r="R752" s="230"/>
      <c r="S752" s="230"/>
      <c r="T752" s="230"/>
      <c r="U752" s="230"/>
      <c r="V752" s="230"/>
      <c r="W752" s="230"/>
      <c r="X752" s="230"/>
      <c r="Y752" s="230"/>
    </row>
    <row r="753">
      <c r="O753" s="230"/>
      <c r="R753" s="230"/>
      <c r="S753" s="230"/>
      <c r="T753" s="230"/>
      <c r="U753" s="230"/>
      <c r="V753" s="230"/>
      <c r="W753" s="230"/>
      <c r="X753" s="230"/>
      <c r="Y753" s="230"/>
    </row>
    <row r="754">
      <c r="O754" s="230"/>
      <c r="R754" s="230"/>
      <c r="S754" s="230"/>
      <c r="T754" s="230"/>
      <c r="U754" s="230"/>
      <c r="V754" s="230"/>
      <c r="W754" s="230"/>
      <c r="X754" s="230"/>
      <c r="Y754" s="230"/>
    </row>
    <row r="755">
      <c r="O755" s="230"/>
      <c r="R755" s="230"/>
      <c r="S755" s="230"/>
      <c r="T755" s="230"/>
      <c r="U755" s="230"/>
      <c r="V755" s="230"/>
      <c r="W755" s="230"/>
      <c r="X755" s="230"/>
      <c r="Y755" s="230"/>
    </row>
    <row r="756">
      <c r="O756" s="230"/>
      <c r="R756" s="230"/>
      <c r="S756" s="230"/>
      <c r="T756" s="230"/>
      <c r="U756" s="230"/>
      <c r="V756" s="230"/>
      <c r="W756" s="230"/>
      <c r="X756" s="230"/>
      <c r="Y756" s="230"/>
    </row>
    <row r="757">
      <c r="O757" s="230"/>
      <c r="R757" s="230"/>
      <c r="S757" s="230"/>
      <c r="T757" s="230"/>
      <c r="U757" s="230"/>
      <c r="V757" s="230"/>
      <c r="W757" s="230"/>
      <c r="X757" s="230"/>
      <c r="Y757" s="230"/>
    </row>
    <row r="758">
      <c r="O758" s="230"/>
      <c r="R758" s="230"/>
      <c r="S758" s="230"/>
      <c r="T758" s="230"/>
      <c r="U758" s="230"/>
      <c r="V758" s="230"/>
      <c r="W758" s="230"/>
      <c r="X758" s="230"/>
      <c r="Y758" s="230"/>
    </row>
    <row r="759">
      <c r="O759" s="230"/>
      <c r="R759" s="230"/>
      <c r="S759" s="230"/>
      <c r="T759" s="230"/>
      <c r="U759" s="230"/>
      <c r="V759" s="230"/>
      <c r="W759" s="230"/>
      <c r="X759" s="230"/>
      <c r="Y759" s="230"/>
    </row>
    <row r="760">
      <c r="O760" s="230"/>
      <c r="R760" s="230"/>
      <c r="S760" s="230"/>
      <c r="T760" s="230"/>
      <c r="U760" s="230"/>
      <c r="V760" s="230"/>
      <c r="W760" s="230"/>
      <c r="X760" s="230"/>
      <c r="Y760" s="230"/>
    </row>
    <row r="761">
      <c r="O761" s="230"/>
      <c r="R761" s="230"/>
      <c r="S761" s="230"/>
      <c r="T761" s="230"/>
      <c r="U761" s="230"/>
      <c r="V761" s="230"/>
      <c r="W761" s="230"/>
      <c r="X761" s="230"/>
      <c r="Y761" s="230"/>
    </row>
    <row r="762">
      <c r="O762" s="230"/>
      <c r="R762" s="230"/>
      <c r="S762" s="230"/>
      <c r="T762" s="230"/>
      <c r="U762" s="230"/>
      <c r="V762" s="230"/>
      <c r="W762" s="230"/>
      <c r="X762" s="230"/>
      <c r="Y762" s="230"/>
    </row>
    <row r="763">
      <c r="O763" s="230"/>
      <c r="R763" s="230"/>
      <c r="S763" s="230"/>
      <c r="T763" s="230"/>
      <c r="U763" s="230"/>
      <c r="V763" s="230"/>
      <c r="W763" s="230"/>
      <c r="X763" s="230"/>
      <c r="Y763" s="230"/>
    </row>
    <row r="764">
      <c r="O764" s="230"/>
      <c r="R764" s="230"/>
      <c r="S764" s="230"/>
      <c r="T764" s="230"/>
      <c r="U764" s="230"/>
      <c r="V764" s="230"/>
      <c r="W764" s="230"/>
      <c r="X764" s="230"/>
      <c r="Y764" s="230"/>
    </row>
    <row r="765">
      <c r="O765" s="230"/>
      <c r="R765" s="230"/>
      <c r="S765" s="230"/>
      <c r="T765" s="230"/>
      <c r="U765" s="230"/>
      <c r="V765" s="230"/>
      <c r="W765" s="230"/>
      <c r="X765" s="230"/>
      <c r="Y765" s="230"/>
    </row>
    <row r="766">
      <c r="O766" s="230"/>
      <c r="R766" s="230"/>
      <c r="S766" s="230"/>
      <c r="T766" s="230"/>
      <c r="U766" s="230"/>
      <c r="V766" s="230"/>
      <c r="W766" s="230"/>
      <c r="X766" s="230"/>
      <c r="Y766" s="230"/>
    </row>
    <row r="767">
      <c r="O767" s="230"/>
      <c r="R767" s="230"/>
      <c r="S767" s="230"/>
      <c r="T767" s="230"/>
      <c r="U767" s="230"/>
      <c r="V767" s="230"/>
      <c r="W767" s="230"/>
      <c r="X767" s="230"/>
      <c r="Y767" s="230"/>
    </row>
    <row r="768">
      <c r="O768" s="230"/>
      <c r="R768" s="230"/>
      <c r="S768" s="230"/>
      <c r="T768" s="230"/>
      <c r="U768" s="230"/>
      <c r="V768" s="230"/>
      <c r="W768" s="230"/>
      <c r="X768" s="230"/>
      <c r="Y768" s="230"/>
    </row>
    <row r="769">
      <c r="O769" s="230"/>
      <c r="R769" s="230"/>
      <c r="S769" s="230"/>
      <c r="T769" s="230"/>
      <c r="U769" s="230"/>
      <c r="V769" s="230"/>
      <c r="W769" s="230"/>
      <c r="X769" s="230"/>
      <c r="Y769" s="230"/>
    </row>
    <row r="770">
      <c r="O770" s="230"/>
      <c r="R770" s="230"/>
      <c r="S770" s="230"/>
      <c r="T770" s="230"/>
      <c r="U770" s="230"/>
      <c r="V770" s="230"/>
      <c r="W770" s="230"/>
      <c r="X770" s="230"/>
      <c r="Y770" s="230"/>
    </row>
    <row r="771">
      <c r="O771" s="230"/>
      <c r="R771" s="230"/>
      <c r="S771" s="230"/>
      <c r="T771" s="230"/>
      <c r="U771" s="230"/>
      <c r="V771" s="230"/>
      <c r="W771" s="230"/>
      <c r="X771" s="230"/>
      <c r="Y771" s="230"/>
    </row>
    <row r="772">
      <c r="O772" s="230"/>
      <c r="R772" s="230"/>
      <c r="S772" s="230"/>
      <c r="T772" s="230"/>
      <c r="U772" s="230"/>
      <c r="V772" s="230"/>
      <c r="W772" s="230"/>
      <c r="X772" s="230"/>
      <c r="Y772" s="230"/>
    </row>
    <row r="773">
      <c r="O773" s="230"/>
      <c r="R773" s="230"/>
      <c r="S773" s="230"/>
      <c r="T773" s="230"/>
      <c r="U773" s="230"/>
      <c r="V773" s="230"/>
      <c r="W773" s="230"/>
      <c r="X773" s="230"/>
      <c r="Y773" s="230"/>
    </row>
    <row r="774">
      <c r="O774" s="230"/>
      <c r="R774" s="230"/>
      <c r="S774" s="230"/>
      <c r="T774" s="230"/>
      <c r="U774" s="230"/>
      <c r="V774" s="230"/>
      <c r="W774" s="230"/>
      <c r="X774" s="230"/>
      <c r="Y774" s="230"/>
    </row>
    <row r="775">
      <c r="O775" s="230"/>
      <c r="R775" s="230"/>
      <c r="S775" s="230"/>
      <c r="T775" s="230"/>
      <c r="U775" s="230"/>
      <c r="V775" s="230"/>
      <c r="W775" s="230"/>
      <c r="X775" s="230"/>
      <c r="Y775" s="230"/>
    </row>
    <row r="776">
      <c r="O776" s="230"/>
      <c r="R776" s="230"/>
      <c r="S776" s="230"/>
      <c r="T776" s="230"/>
      <c r="U776" s="230"/>
      <c r="V776" s="230"/>
      <c r="W776" s="230"/>
      <c r="X776" s="230"/>
      <c r="Y776" s="230"/>
    </row>
    <row r="777">
      <c r="O777" s="230"/>
      <c r="R777" s="230"/>
      <c r="S777" s="230"/>
      <c r="T777" s="230"/>
      <c r="U777" s="230"/>
      <c r="V777" s="230"/>
      <c r="W777" s="230"/>
      <c r="X777" s="230"/>
      <c r="Y777" s="230"/>
    </row>
    <row r="778">
      <c r="O778" s="230"/>
      <c r="R778" s="230"/>
      <c r="S778" s="230"/>
      <c r="T778" s="230"/>
      <c r="U778" s="230"/>
      <c r="V778" s="230"/>
      <c r="W778" s="230"/>
      <c r="X778" s="230"/>
      <c r="Y778" s="230"/>
    </row>
    <row r="779">
      <c r="O779" s="230"/>
      <c r="R779" s="230"/>
      <c r="S779" s="230"/>
      <c r="T779" s="230"/>
      <c r="U779" s="230"/>
      <c r="V779" s="230"/>
      <c r="W779" s="230"/>
      <c r="X779" s="230"/>
      <c r="Y779" s="230"/>
    </row>
    <row r="780">
      <c r="O780" s="230"/>
      <c r="R780" s="230"/>
      <c r="S780" s="230"/>
      <c r="T780" s="230"/>
      <c r="U780" s="230"/>
      <c r="V780" s="230"/>
      <c r="W780" s="230"/>
      <c r="X780" s="230"/>
      <c r="Y780" s="230"/>
    </row>
    <row r="781">
      <c r="O781" s="230"/>
      <c r="R781" s="230"/>
      <c r="S781" s="230"/>
      <c r="T781" s="230"/>
      <c r="U781" s="230"/>
      <c r="V781" s="230"/>
      <c r="W781" s="230"/>
      <c r="X781" s="230"/>
      <c r="Y781" s="230"/>
    </row>
    <row r="782">
      <c r="O782" s="230"/>
      <c r="R782" s="230"/>
      <c r="S782" s="230"/>
      <c r="T782" s="230"/>
      <c r="U782" s="230"/>
      <c r="V782" s="230"/>
      <c r="W782" s="230"/>
      <c r="X782" s="230"/>
      <c r="Y782" s="230"/>
    </row>
    <row r="783">
      <c r="O783" s="230"/>
      <c r="R783" s="230"/>
      <c r="S783" s="230"/>
      <c r="T783" s="230"/>
      <c r="U783" s="230"/>
      <c r="V783" s="230"/>
      <c r="W783" s="230"/>
      <c r="X783" s="230"/>
      <c r="Y783" s="230"/>
    </row>
    <row r="784">
      <c r="O784" s="230"/>
      <c r="R784" s="230"/>
      <c r="S784" s="230"/>
      <c r="T784" s="230"/>
      <c r="U784" s="230"/>
      <c r="V784" s="230"/>
      <c r="W784" s="230"/>
      <c r="X784" s="230"/>
      <c r="Y784" s="230"/>
    </row>
    <row r="785">
      <c r="O785" s="230"/>
      <c r="R785" s="230"/>
      <c r="S785" s="230"/>
      <c r="T785" s="230"/>
      <c r="U785" s="230"/>
      <c r="V785" s="230"/>
      <c r="W785" s="230"/>
      <c r="X785" s="230"/>
      <c r="Y785" s="230"/>
    </row>
    <row r="786">
      <c r="O786" s="230"/>
      <c r="R786" s="230"/>
      <c r="S786" s="230"/>
      <c r="T786" s="230"/>
      <c r="U786" s="230"/>
      <c r="V786" s="230"/>
      <c r="W786" s="230"/>
      <c r="X786" s="230"/>
      <c r="Y786" s="230"/>
    </row>
    <row r="787">
      <c r="O787" s="230"/>
      <c r="R787" s="230"/>
      <c r="S787" s="230"/>
      <c r="T787" s="230"/>
      <c r="U787" s="230"/>
      <c r="V787" s="230"/>
      <c r="W787" s="230"/>
      <c r="X787" s="230"/>
      <c r="Y787" s="230"/>
    </row>
    <row r="788">
      <c r="O788" s="230"/>
      <c r="R788" s="230"/>
      <c r="S788" s="230"/>
      <c r="T788" s="230"/>
      <c r="U788" s="230"/>
      <c r="V788" s="230"/>
      <c r="W788" s="230"/>
      <c r="X788" s="230"/>
      <c r="Y788" s="230"/>
    </row>
    <row r="789">
      <c r="O789" s="230"/>
      <c r="R789" s="230"/>
      <c r="S789" s="230"/>
      <c r="T789" s="230"/>
      <c r="U789" s="230"/>
      <c r="V789" s="230"/>
      <c r="W789" s="230"/>
      <c r="X789" s="230"/>
      <c r="Y789" s="230"/>
    </row>
    <row r="790">
      <c r="O790" s="230"/>
      <c r="R790" s="230"/>
      <c r="S790" s="230"/>
      <c r="T790" s="230"/>
      <c r="U790" s="230"/>
      <c r="V790" s="230"/>
      <c r="W790" s="230"/>
      <c r="X790" s="230"/>
      <c r="Y790" s="230"/>
    </row>
    <row r="791">
      <c r="O791" s="230"/>
      <c r="R791" s="230"/>
      <c r="S791" s="230"/>
      <c r="T791" s="230"/>
      <c r="U791" s="230"/>
      <c r="V791" s="230"/>
      <c r="W791" s="230"/>
      <c r="X791" s="230"/>
      <c r="Y791" s="230"/>
    </row>
    <row r="792">
      <c r="O792" s="230"/>
      <c r="R792" s="230"/>
      <c r="S792" s="230"/>
      <c r="T792" s="230"/>
      <c r="U792" s="230"/>
      <c r="V792" s="230"/>
      <c r="W792" s="230"/>
      <c r="X792" s="230"/>
      <c r="Y792" s="230"/>
    </row>
    <row r="793">
      <c r="O793" s="230"/>
      <c r="R793" s="230"/>
      <c r="S793" s="230"/>
      <c r="T793" s="230"/>
      <c r="U793" s="230"/>
      <c r="V793" s="230"/>
      <c r="W793" s="230"/>
      <c r="X793" s="230"/>
      <c r="Y793" s="230"/>
    </row>
    <row r="794">
      <c r="O794" s="230"/>
      <c r="R794" s="230"/>
      <c r="S794" s="230"/>
      <c r="T794" s="230"/>
      <c r="U794" s="230"/>
      <c r="V794" s="230"/>
      <c r="W794" s="230"/>
      <c r="X794" s="230"/>
      <c r="Y794" s="230"/>
    </row>
    <row r="795">
      <c r="O795" s="230"/>
      <c r="R795" s="230"/>
      <c r="S795" s="230"/>
      <c r="T795" s="230"/>
      <c r="U795" s="230"/>
      <c r="V795" s="230"/>
      <c r="W795" s="230"/>
      <c r="X795" s="230"/>
      <c r="Y795" s="230"/>
    </row>
    <row r="796">
      <c r="O796" s="230"/>
      <c r="R796" s="230"/>
      <c r="S796" s="230"/>
      <c r="T796" s="230"/>
      <c r="U796" s="230"/>
      <c r="V796" s="230"/>
      <c r="W796" s="230"/>
      <c r="X796" s="230"/>
      <c r="Y796" s="230"/>
    </row>
    <row r="797">
      <c r="O797" s="230"/>
      <c r="R797" s="230"/>
      <c r="S797" s="230"/>
      <c r="T797" s="230"/>
      <c r="U797" s="230"/>
      <c r="V797" s="230"/>
      <c r="W797" s="230"/>
      <c r="X797" s="230"/>
      <c r="Y797" s="230"/>
    </row>
    <row r="798">
      <c r="O798" s="230"/>
      <c r="R798" s="230"/>
      <c r="S798" s="230"/>
      <c r="T798" s="230"/>
      <c r="U798" s="230"/>
      <c r="V798" s="230"/>
      <c r="W798" s="230"/>
      <c r="X798" s="230"/>
      <c r="Y798" s="230"/>
    </row>
    <row r="799">
      <c r="O799" s="230"/>
      <c r="R799" s="230"/>
      <c r="S799" s="230"/>
      <c r="T799" s="230"/>
      <c r="U799" s="230"/>
      <c r="V799" s="230"/>
      <c r="W799" s="230"/>
      <c r="X799" s="230"/>
      <c r="Y799" s="230"/>
    </row>
    <row r="800">
      <c r="O800" s="230"/>
      <c r="R800" s="230"/>
      <c r="S800" s="230"/>
      <c r="T800" s="230"/>
      <c r="U800" s="230"/>
      <c r="V800" s="230"/>
      <c r="W800" s="230"/>
      <c r="X800" s="230"/>
      <c r="Y800" s="230"/>
    </row>
    <row r="801">
      <c r="O801" s="230"/>
      <c r="R801" s="230"/>
      <c r="S801" s="230"/>
      <c r="T801" s="230"/>
      <c r="U801" s="230"/>
      <c r="V801" s="230"/>
      <c r="W801" s="230"/>
      <c r="X801" s="230"/>
      <c r="Y801" s="230"/>
    </row>
    <row r="802">
      <c r="O802" s="230"/>
      <c r="R802" s="230"/>
      <c r="S802" s="230"/>
      <c r="T802" s="230"/>
      <c r="U802" s="230"/>
      <c r="V802" s="230"/>
      <c r="W802" s="230"/>
      <c r="X802" s="230"/>
      <c r="Y802" s="230"/>
    </row>
    <row r="803">
      <c r="O803" s="230"/>
      <c r="R803" s="230"/>
      <c r="S803" s="230"/>
      <c r="T803" s="230"/>
      <c r="U803" s="230"/>
      <c r="V803" s="230"/>
      <c r="W803" s="230"/>
      <c r="X803" s="230"/>
      <c r="Y803" s="230"/>
    </row>
    <row r="804">
      <c r="O804" s="230"/>
      <c r="R804" s="230"/>
      <c r="S804" s="230"/>
      <c r="T804" s="230"/>
      <c r="U804" s="230"/>
      <c r="V804" s="230"/>
      <c r="W804" s="230"/>
      <c r="X804" s="230"/>
      <c r="Y804" s="230"/>
    </row>
    <row r="805">
      <c r="O805" s="230"/>
      <c r="R805" s="230"/>
      <c r="S805" s="230"/>
      <c r="T805" s="230"/>
      <c r="U805" s="230"/>
      <c r="V805" s="230"/>
      <c r="W805" s="230"/>
      <c r="X805" s="230"/>
      <c r="Y805" s="230"/>
    </row>
    <row r="806">
      <c r="O806" s="230"/>
      <c r="R806" s="230"/>
      <c r="S806" s="230"/>
      <c r="T806" s="230"/>
      <c r="U806" s="230"/>
      <c r="V806" s="230"/>
      <c r="W806" s="230"/>
      <c r="X806" s="230"/>
      <c r="Y806" s="230"/>
    </row>
    <row r="807">
      <c r="O807" s="230"/>
      <c r="R807" s="230"/>
      <c r="S807" s="230"/>
      <c r="T807" s="230"/>
      <c r="U807" s="230"/>
      <c r="V807" s="230"/>
      <c r="W807" s="230"/>
      <c r="X807" s="230"/>
      <c r="Y807" s="230"/>
    </row>
    <row r="808">
      <c r="O808" s="230"/>
      <c r="R808" s="230"/>
      <c r="S808" s="230"/>
      <c r="T808" s="230"/>
      <c r="U808" s="230"/>
      <c r="V808" s="230"/>
      <c r="W808" s="230"/>
      <c r="X808" s="230"/>
      <c r="Y808" s="230"/>
    </row>
    <row r="809">
      <c r="O809" s="230"/>
      <c r="R809" s="230"/>
      <c r="S809" s="230"/>
      <c r="T809" s="230"/>
      <c r="U809" s="230"/>
      <c r="V809" s="230"/>
      <c r="W809" s="230"/>
      <c r="X809" s="230"/>
      <c r="Y809" s="230"/>
    </row>
    <row r="810">
      <c r="O810" s="230"/>
      <c r="R810" s="230"/>
      <c r="S810" s="230"/>
      <c r="T810" s="230"/>
      <c r="U810" s="230"/>
      <c r="V810" s="230"/>
      <c r="W810" s="230"/>
      <c r="X810" s="230"/>
      <c r="Y810" s="230"/>
    </row>
    <row r="811">
      <c r="O811" s="230"/>
      <c r="R811" s="230"/>
      <c r="S811" s="230"/>
      <c r="T811" s="230"/>
      <c r="U811" s="230"/>
      <c r="V811" s="230"/>
      <c r="W811" s="230"/>
      <c r="X811" s="230"/>
      <c r="Y811" s="230"/>
    </row>
    <row r="812">
      <c r="O812" s="230"/>
      <c r="R812" s="230"/>
      <c r="S812" s="230"/>
      <c r="T812" s="230"/>
      <c r="U812" s="230"/>
      <c r="V812" s="230"/>
      <c r="W812" s="230"/>
      <c r="X812" s="230"/>
      <c r="Y812" s="230"/>
    </row>
    <row r="813">
      <c r="O813" s="230"/>
      <c r="R813" s="230"/>
      <c r="S813" s="230"/>
      <c r="T813" s="230"/>
      <c r="U813" s="230"/>
      <c r="V813" s="230"/>
      <c r="W813" s="230"/>
      <c r="X813" s="230"/>
      <c r="Y813" s="230"/>
    </row>
    <row r="814">
      <c r="O814" s="230"/>
      <c r="R814" s="230"/>
      <c r="S814" s="230"/>
      <c r="T814" s="230"/>
      <c r="U814" s="230"/>
      <c r="V814" s="230"/>
      <c r="W814" s="230"/>
      <c r="X814" s="230"/>
      <c r="Y814" s="230"/>
    </row>
    <row r="815">
      <c r="O815" s="230"/>
      <c r="R815" s="230"/>
      <c r="S815" s="230"/>
      <c r="T815" s="230"/>
      <c r="U815" s="230"/>
      <c r="V815" s="230"/>
      <c r="W815" s="230"/>
      <c r="X815" s="230"/>
      <c r="Y815" s="230"/>
    </row>
    <row r="816">
      <c r="O816" s="230"/>
      <c r="R816" s="230"/>
      <c r="S816" s="230"/>
      <c r="T816" s="230"/>
      <c r="U816" s="230"/>
      <c r="V816" s="230"/>
      <c r="W816" s="230"/>
      <c r="X816" s="230"/>
      <c r="Y816" s="230"/>
    </row>
    <row r="817">
      <c r="O817" s="230"/>
      <c r="R817" s="230"/>
      <c r="S817" s="230"/>
      <c r="T817" s="230"/>
      <c r="U817" s="230"/>
      <c r="V817" s="230"/>
      <c r="W817" s="230"/>
      <c r="X817" s="230"/>
      <c r="Y817" s="230"/>
    </row>
    <row r="818">
      <c r="O818" s="230"/>
      <c r="R818" s="230"/>
      <c r="S818" s="230"/>
      <c r="T818" s="230"/>
      <c r="U818" s="230"/>
      <c r="V818" s="230"/>
      <c r="W818" s="230"/>
      <c r="X818" s="230"/>
      <c r="Y818" s="230"/>
    </row>
    <row r="819">
      <c r="O819" s="230"/>
      <c r="R819" s="230"/>
      <c r="S819" s="230"/>
      <c r="T819" s="230"/>
      <c r="U819" s="230"/>
      <c r="V819" s="230"/>
      <c r="W819" s="230"/>
      <c r="X819" s="230"/>
      <c r="Y819" s="230"/>
    </row>
    <row r="820">
      <c r="O820" s="230"/>
      <c r="R820" s="230"/>
      <c r="S820" s="230"/>
      <c r="T820" s="230"/>
      <c r="U820" s="230"/>
      <c r="V820" s="230"/>
      <c r="W820" s="230"/>
      <c r="X820" s="230"/>
      <c r="Y820" s="230"/>
    </row>
    <row r="821">
      <c r="O821" s="230"/>
      <c r="R821" s="230"/>
      <c r="S821" s="230"/>
      <c r="T821" s="230"/>
      <c r="U821" s="230"/>
      <c r="V821" s="230"/>
      <c r="W821" s="230"/>
      <c r="X821" s="230"/>
      <c r="Y821" s="230"/>
    </row>
    <row r="822">
      <c r="O822" s="230"/>
      <c r="R822" s="230"/>
      <c r="S822" s="230"/>
      <c r="T822" s="230"/>
      <c r="U822" s="230"/>
      <c r="V822" s="230"/>
      <c r="W822" s="230"/>
      <c r="X822" s="230"/>
      <c r="Y822" s="230"/>
    </row>
    <row r="823">
      <c r="O823" s="230"/>
      <c r="R823" s="230"/>
      <c r="S823" s="230"/>
      <c r="T823" s="230"/>
      <c r="U823" s="230"/>
      <c r="V823" s="230"/>
      <c r="W823" s="230"/>
      <c r="X823" s="230"/>
      <c r="Y823" s="230"/>
    </row>
    <row r="824">
      <c r="O824" s="230"/>
      <c r="R824" s="230"/>
      <c r="S824" s="230"/>
      <c r="T824" s="230"/>
      <c r="U824" s="230"/>
      <c r="V824" s="230"/>
      <c r="W824" s="230"/>
      <c r="X824" s="230"/>
      <c r="Y824" s="230"/>
    </row>
    <row r="825">
      <c r="O825" s="230"/>
      <c r="R825" s="230"/>
      <c r="S825" s="230"/>
      <c r="T825" s="230"/>
      <c r="U825" s="230"/>
      <c r="V825" s="230"/>
      <c r="W825" s="230"/>
      <c r="X825" s="230"/>
      <c r="Y825" s="230"/>
    </row>
    <row r="826">
      <c r="O826" s="230"/>
      <c r="R826" s="230"/>
      <c r="S826" s="230"/>
      <c r="T826" s="230"/>
      <c r="U826" s="230"/>
      <c r="V826" s="230"/>
      <c r="W826" s="230"/>
      <c r="X826" s="230"/>
      <c r="Y826" s="230"/>
    </row>
    <row r="827">
      <c r="O827" s="230"/>
      <c r="R827" s="230"/>
      <c r="S827" s="230"/>
      <c r="T827" s="230"/>
      <c r="U827" s="230"/>
      <c r="V827" s="230"/>
      <c r="W827" s="230"/>
      <c r="X827" s="230"/>
      <c r="Y827" s="230"/>
    </row>
    <row r="828">
      <c r="O828" s="230"/>
      <c r="R828" s="230"/>
      <c r="S828" s="230"/>
      <c r="T828" s="230"/>
      <c r="U828" s="230"/>
      <c r="V828" s="230"/>
      <c r="W828" s="230"/>
      <c r="X828" s="230"/>
      <c r="Y828" s="230"/>
    </row>
    <row r="829">
      <c r="O829" s="230"/>
      <c r="R829" s="230"/>
      <c r="S829" s="230"/>
      <c r="T829" s="230"/>
      <c r="U829" s="230"/>
      <c r="V829" s="230"/>
      <c r="W829" s="230"/>
      <c r="X829" s="230"/>
      <c r="Y829" s="230"/>
    </row>
    <row r="830">
      <c r="O830" s="230"/>
      <c r="R830" s="230"/>
      <c r="S830" s="230"/>
      <c r="T830" s="230"/>
      <c r="U830" s="230"/>
      <c r="V830" s="230"/>
      <c r="W830" s="230"/>
      <c r="X830" s="230"/>
      <c r="Y830" s="230"/>
    </row>
    <row r="831">
      <c r="O831" s="230"/>
      <c r="R831" s="230"/>
      <c r="S831" s="230"/>
      <c r="T831" s="230"/>
      <c r="U831" s="230"/>
      <c r="V831" s="230"/>
      <c r="W831" s="230"/>
      <c r="X831" s="230"/>
      <c r="Y831" s="230"/>
    </row>
    <row r="832">
      <c r="O832" s="230"/>
      <c r="R832" s="230"/>
      <c r="S832" s="230"/>
      <c r="T832" s="230"/>
      <c r="U832" s="230"/>
      <c r="V832" s="230"/>
      <c r="W832" s="230"/>
      <c r="X832" s="230"/>
      <c r="Y832" s="230"/>
    </row>
    <row r="833">
      <c r="O833" s="230"/>
      <c r="R833" s="230"/>
      <c r="S833" s="230"/>
      <c r="T833" s="230"/>
      <c r="U833" s="230"/>
      <c r="V833" s="230"/>
      <c r="W833" s="230"/>
      <c r="X833" s="230"/>
      <c r="Y833" s="230"/>
    </row>
    <row r="834">
      <c r="O834" s="230"/>
      <c r="R834" s="230"/>
      <c r="S834" s="230"/>
      <c r="T834" s="230"/>
      <c r="U834" s="230"/>
      <c r="V834" s="230"/>
      <c r="W834" s="230"/>
      <c r="X834" s="230"/>
      <c r="Y834" s="230"/>
    </row>
    <row r="835">
      <c r="O835" s="230"/>
      <c r="R835" s="230"/>
      <c r="S835" s="230"/>
      <c r="T835" s="230"/>
      <c r="U835" s="230"/>
      <c r="V835" s="230"/>
      <c r="W835" s="230"/>
      <c r="X835" s="230"/>
      <c r="Y835" s="230"/>
    </row>
    <row r="836">
      <c r="O836" s="230"/>
      <c r="R836" s="230"/>
      <c r="S836" s="230"/>
      <c r="T836" s="230"/>
      <c r="U836" s="230"/>
      <c r="V836" s="230"/>
      <c r="W836" s="230"/>
      <c r="X836" s="230"/>
      <c r="Y836" s="230"/>
    </row>
    <row r="837">
      <c r="O837" s="230"/>
      <c r="R837" s="230"/>
      <c r="S837" s="230"/>
      <c r="T837" s="230"/>
      <c r="U837" s="230"/>
      <c r="V837" s="230"/>
      <c r="W837" s="230"/>
      <c r="X837" s="230"/>
      <c r="Y837" s="230"/>
    </row>
    <row r="838">
      <c r="O838" s="230"/>
      <c r="R838" s="230"/>
      <c r="S838" s="230"/>
      <c r="T838" s="230"/>
      <c r="U838" s="230"/>
      <c r="V838" s="230"/>
      <c r="W838" s="230"/>
      <c r="X838" s="230"/>
      <c r="Y838" s="230"/>
    </row>
    <row r="839">
      <c r="O839" s="230"/>
      <c r="R839" s="230"/>
      <c r="S839" s="230"/>
      <c r="T839" s="230"/>
      <c r="U839" s="230"/>
      <c r="V839" s="230"/>
      <c r="W839" s="230"/>
      <c r="X839" s="230"/>
      <c r="Y839" s="230"/>
    </row>
    <row r="840">
      <c r="O840" s="230"/>
      <c r="R840" s="230"/>
      <c r="S840" s="230"/>
      <c r="T840" s="230"/>
      <c r="U840" s="230"/>
      <c r="V840" s="230"/>
      <c r="W840" s="230"/>
      <c r="X840" s="230"/>
      <c r="Y840" s="230"/>
    </row>
    <row r="841">
      <c r="O841" s="230"/>
      <c r="R841" s="230"/>
      <c r="S841" s="230"/>
      <c r="T841" s="230"/>
      <c r="U841" s="230"/>
      <c r="V841" s="230"/>
      <c r="W841" s="230"/>
      <c r="X841" s="230"/>
      <c r="Y841" s="230"/>
    </row>
    <row r="842">
      <c r="O842" s="230"/>
      <c r="R842" s="230"/>
      <c r="S842" s="230"/>
      <c r="T842" s="230"/>
      <c r="U842" s="230"/>
      <c r="V842" s="230"/>
      <c r="W842" s="230"/>
      <c r="X842" s="230"/>
      <c r="Y842" s="230"/>
    </row>
    <row r="843">
      <c r="O843" s="230"/>
      <c r="R843" s="230"/>
      <c r="S843" s="230"/>
      <c r="T843" s="230"/>
      <c r="U843" s="230"/>
      <c r="V843" s="230"/>
      <c r="W843" s="230"/>
      <c r="X843" s="230"/>
      <c r="Y843" s="230"/>
    </row>
    <row r="844">
      <c r="O844" s="230"/>
      <c r="R844" s="230"/>
      <c r="S844" s="230"/>
      <c r="T844" s="230"/>
      <c r="U844" s="230"/>
      <c r="V844" s="230"/>
      <c r="W844" s="230"/>
      <c r="X844" s="230"/>
      <c r="Y844" s="230"/>
    </row>
    <row r="845">
      <c r="O845" s="230"/>
      <c r="R845" s="230"/>
      <c r="S845" s="230"/>
      <c r="T845" s="230"/>
      <c r="U845" s="230"/>
      <c r="V845" s="230"/>
      <c r="W845" s="230"/>
      <c r="X845" s="230"/>
      <c r="Y845" s="230"/>
    </row>
    <row r="846">
      <c r="O846" s="230"/>
      <c r="R846" s="230"/>
      <c r="S846" s="230"/>
      <c r="T846" s="230"/>
      <c r="U846" s="230"/>
      <c r="V846" s="230"/>
      <c r="W846" s="230"/>
      <c r="X846" s="230"/>
      <c r="Y846" s="230"/>
    </row>
    <row r="847">
      <c r="O847" s="230"/>
      <c r="R847" s="230"/>
      <c r="S847" s="230"/>
      <c r="T847" s="230"/>
      <c r="U847" s="230"/>
      <c r="V847" s="230"/>
      <c r="W847" s="230"/>
      <c r="X847" s="230"/>
      <c r="Y847" s="230"/>
    </row>
    <row r="848">
      <c r="O848" s="230"/>
      <c r="R848" s="230"/>
      <c r="S848" s="230"/>
      <c r="T848" s="230"/>
      <c r="U848" s="230"/>
      <c r="V848" s="230"/>
      <c r="W848" s="230"/>
      <c r="X848" s="230"/>
      <c r="Y848" s="230"/>
    </row>
    <row r="849">
      <c r="O849" s="230"/>
      <c r="R849" s="230"/>
      <c r="S849" s="230"/>
      <c r="T849" s="230"/>
      <c r="U849" s="230"/>
      <c r="V849" s="230"/>
      <c r="W849" s="230"/>
      <c r="X849" s="230"/>
      <c r="Y849" s="230"/>
    </row>
    <row r="850">
      <c r="O850" s="230"/>
      <c r="R850" s="230"/>
      <c r="S850" s="230"/>
      <c r="T850" s="230"/>
      <c r="U850" s="230"/>
      <c r="V850" s="230"/>
      <c r="W850" s="230"/>
      <c r="X850" s="230"/>
      <c r="Y850" s="230"/>
    </row>
    <row r="851">
      <c r="O851" s="230"/>
      <c r="R851" s="230"/>
      <c r="S851" s="230"/>
      <c r="T851" s="230"/>
      <c r="U851" s="230"/>
      <c r="V851" s="230"/>
      <c r="W851" s="230"/>
      <c r="X851" s="230"/>
      <c r="Y851" s="230"/>
    </row>
    <row r="852">
      <c r="O852" s="230"/>
      <c r="R852" s="230"/>
      <c r="S852" s="230"/>
      <c r="T852" s="230"/>
      <c r="U852" s="230"/>
      <c r="V852" s="230"/>
      <c r="W852" s="230"/>
      <c r="X852" s="230"/>
      <c r="Y852" s="230"/>
    </row>
    <row r="853">
      <c r="O853" s="230"/>
      <c r="R853" s="230"/>
      <c r="S853" s="230"/>
      <c r="T853" s="230"/>
      <c r="U853" s="230"/>
      <c r="V853" s="230"/>
      <c r="W853" s="230"/>
      <c r="X853" s="230"/>
      <c r="Y853" s="230"/>
    </row>
    <row r="854">
      <c r="O854" s="230"/>
      <c r="R854" s="230"/>
      <c r="S854" s="230"/>
      <c r="T854" s="230"/>
      <c r="U854" s="230"/>
      <c r="V854" s="230"/>
      <c r="W854" s="230"/>
      <c r="X854" s="230"/>
      <c r="Y854" s="230"/>
    </row>
    <row r="855">
      <c r="O855" s="230"/>
      <c r="R855" s="230"/>
      <c r="S855" s="230"/>
      <c r="T855" s="230"/>
      <c r="U855" s="230"/>
      <c r="V855" s="230"/>
      <c r="W855" s="230"/>
      <c r="X855" s="230"/>
      <c r="Y855" s="230"/>
    </row>
    <row r="856">
      <c r="O856" s="230"/>
      <c r="R856" s="230"/>
      <c r="S856" s="230"/>
      <c r="T856" s="230"/>
      <c r="U856" s="230"/>
      <c r="V856" s="230"/>
      <c r="W856" s="230"/>
      <c r="X856" s="230"/>
      <c r="Y856" s="230"/>
    </row>
    <row r="857">
      <c r="O857" s="230"/>
      <c r="R857" s="230"/>
      <c r="S857" s="230"/>
      <c r="T857" s="230"/>
      <c r="U857" s="230"/>
      <c r="V857" s="230"/>
      <c r="W857" s="230"/>
      <c r="X857" s="230"/>
      <c r="Y857" s="230"/>
    </row>
    <row r="858">
      <c r="O858" s="230"/>
      <c r="R858" s="230"/>
      <c r="S858" s="230"/>
      <c r="T858" s="230"/>
      <c r="U858" s="230"/>
      <c r="V858" s="230"/>
      <c r="W858" s="230"/>
      <c r="X858" s="230"/>
      <c r="Y858" s="230"/>
    </row>
    <row r="859">
      <c r="O859" s="230"/>
      <c r="R859" s="230"/>
      <c r="S859" s="230"/>
      <c r="T859" s="230"/>
      <c r="U859" s="230"/>
      <c r="V859" s="230"/>
      <c r="W859" s="230"/>
      <c r="X859" s="230"/>
      <c r="Y859" s="230"/>
    </row>
    <row r="860">
      <c r="O860" s="230"/>
      <c r="R860" s="230"/>
      <c r="S860" s="230"/>
      <c r="T860" s="230"/>
      <c r="U860" s="230"/>
      <c r="V860" s="230"/>
      <c r="W860" s="230"/>
      <c r="X860" s="230"/>
      <c r="Y860" s="230"/>
    </row>
    <row r="861">
      <c r="O861" s="230"/>
      <c r="R861" s="230"/>
      <c r="S861" s="230"/>
      <c r="T861" s="230"/>
      <c r="U861" s="230"/>
      <c r="V861" s="230"/>
      <c r="W861" s="230"/>
      <c r="X861" s="230"/>
      <c r="Y861" s="230"/>
    </row>
    <row r="862">
      <c r="O862" s="230"/>
      <c r="R862" s="230"/>
      <c r="S862" s="230"/>
      <c r="T862" s="230"/>
      <c r="U862" s="230"/>
      <c r="V862" s="230"/>
      <c r="W862" s="230"/>
      <c r="X862" s="230"/>
      <c r="Y862" s="230"/>
    </row>
    <row r="863">
      <c r="O863" s="230"/>
      <c r="R863" s="230"/>
      <c r="S863" s="230"/>
      <c r="T863" s="230"/>
      <c r="U863" s="230"/>
      <c r="V863" s="230"/>
      <c r="W863" s="230"/>
      <c r="X863" s="230"/>
      <c r="Y863" s="230"/>
    </row>
    <row r="864">
      <c r="O864" s="230"/>
      <c r="R864" s="230"/>
      <c r="S864" s="230"/>
      <c r="T864" s="230"/>
      <c r="U864" s="230"/>
      <c r="V864" s="230"/>
      <c r="W864" s="230"/>
      <c r="X864" s="230"/>
      <c r="Y864" s="230"/>
    </row>
    <row r="865">
      <c r="O865" s="230"/>
      <c r="R865" s="230"/>
      <c r="S865" s="230"/>
      <c r="T865" s="230"/>
      <c r="U865" s="230"/>
      <c r="V865" s="230"/>
      <c r="W865" s="230"/>
      <c r="X865" s="230"/>
      <c r="Y865" s="230"/>
    </row>
    <row r="866">
      <c r="O866" s="230"/>
      <c r="R866" s="230"/>
      <c r="S866" s="230"/>
      <c r="T866" s="230"/>
      <c r="U866" s="230"/>
      <c r="V866" s="230"/>
      <c r="W866" s="230"/>
      <c r="X866" s="230"/>
      <c r="Y866" s="230"/>
    </row>
    <row r="867">
      <c r="O867" s="230"/>
      <c r="R867" s="230"/>
      <c r="S867" s="230"/>
      <c r="T867" s="230"/>
      <c r="U867" s="230"/>
      <c r="V867" s="230"/>
      <c r="W867" s="230"/>
      <c r="X867" s="230"/>
      <c r="Y867" s="230"/>
    </row>
    <row r="868">
      <c r="O868" s="230"/>
      <c r="R868" s="230"/>
      <c r="S868" s="230"/>
      <c r="T868" s="230"/>
      <c r="U868" s="230"/>
      <c r="V868" s="230"/>
      <c r="W868" s="230"/>
      <c r="X868" s="230"/>
      <c r="Y868" s="230"/>
    </row>
    <row r="869">
      <c r="O869" s="230"/>
      <c r="R869" s="230"/>
      <c r="S869" s="230"/>
      <c r="T869" s="230"/>
      <c r="U869" s="230"/>
      <c r="V869" s="230"/>
      <c r="W869" s="230"/>
      <c r="X869" s="230"/>
      <c r="Y869" s="230"/>
    </row>
    <row r="870">
      <c r="O870" s="230"/>
      <c r="R870" s="230"/>
      <c r="S870" s="230"/>
      <c r="T870" s="230"/>
      <c r="U870" s="230"/>
      <c r="V870" s="230"/>
      <c r="W870" s="230"/>
      <c r="X870" s="230"/>
      <c r="Y870" s="230"/>
    </row>
    <row r="871">
      <c r="O871" s="230"/>
      <c r="R871" s="230"/>
      <c r="S871" s="230"/>
      <c r="T871" s="230"/>
      <c r="U871" s="230"/>
      <c r="V871" s="230"/>
      <c r="W871" s="230"/>
      <c r="X871" s="230"/>
      <c r="Y871" s="230"/>
    </row>
    <row r="872">
      <c r="O872" s="230"/>
      <c r="R872" s="230"/>
      <c r="S872" s="230"/>
      <c r="T872" s="230"/>
      <c r="U872" s="230"/>
      <c r="V872" s="230"/>
      <c r="W872" s="230"/>
      <c r="X872" s="230"/>
      <c r="Y872" s="230"/>
    </row>
    <row r="873">
      <c r="O873" s="230"/>
      <c r="R873" s="230"/>
      <c r="S873" s="230"/>
      <c r="T873" s="230"/>
      <c r="U873" s="230"/>
      <c r="V873" s="230"/>
      <c r="W873" s="230"/>
      <c r="X873" s="230"/>
      <c r="Y873" s="230"/>
    </row>
    <row r="874">
      <c r="O874" s="230"/>
      <c r="R874" s="230"/>
      <c r="S874" s="230"/>
      <c r="T874" s="230"/>
      <c r="U874" s="230"/>
      <c r="V874" s="230"/>
      <c r="W874" s="230"/>
      <c r="X874" s="230"/>
      <c r="Y874" s="230"/>
    </row>
    <row r="875">
      <c r="O875" s="230"/>
      <c r="R875" s="230"/>
      <c r="S875" s="230"/>
      <c r="T875" s="230"/>
      <c r="U875" s="230"/>
      <c r="V875" s="230"/>
      <c r="W875" s="230"/>
      <c r="X875" s="230"/>
      <c r="Y875" s="230"/>
    </row>
    <row r="876">
      <c r="O876" s="230"/>
      <c r="R876" s="230"/>
      <c r="S876" s="230"/>
      <c r="T876" s="230"/>
      <c r="U876" s="230"/>
      <c r="V876" s="230"/>
      <c r="W876" s="230"/>
      <c r="X876" s="230"/>
      <c r="Y876" s="230"/>
    </row>
    <row r="877">
      <c r="O877" s="230"/>
      <c r="R877" s="230"/>
      <c r="S877" s="230"/>
      <c r="T877" s="230"/>
      <c r="U877" s="230"/>
      <c r="V877" s="230"/>
      <c r="W877" s="230"/>
      <c r="X877" s="230"/>
      <c r="Y877" s="230"/>
    </row>
    <row r="878">
      <c r="O878" s="230"/>
      <c r="R878" s="230"/>
      <c r="S878" s="230"/>
      <c r="T878" s="230"/>
      <c r="U878" s="230"/>
      <c r="V878" s="230"/>
      <c r="W878" s="230"/>
      <c r="X878" s="230"/>
      <c r="Y878" s="230"/>
    </row>
    <row r="879">
      <c r="O879" s="230"/>
      <c r="R879" s="230"/>
      <c r="S879" s="230"/>
      <c r="T879" s="230"/>
      <c r="U879" s="230"/>
      <c r="V879" s="230"/>
      <c r="W879" s="230"/>
      <c r="X879" s="230"/>
      <c r="Y879" s="230"/>
    </row>
    <row r="880">
      <c r="O880" s="230"/>
      <c r="R880" s="230"/>
      <c r="S880" s="230"/>
      <c r="T880" s="230"/>
      <c r="U880" s="230"/>
      <c r="V880" s="230"/>
      <c r="W880" s="230"/>
      <c r="X880" s="230"/>
      <c r="Y880" s="230"/>
    </row>
    <row r="881">
      <c r="O881" s="230"/>
      <c r="R881" s="230"/>
      <c r="S881" s="230"/>
      <c r="T881" s="230"/>
      <c r="U881" s="230"/>
      <c r="V881" s="230"/>
      <c r="W881" s="230"/>
      <c r="X881" s="230"/>
      <c r="Y881" s="230"/>
    </row>
    <row r="882">
      <c r="O882" s="230"/>
      <c r="R882" s="230"/>
      <c r="S882" s="230"/>
      <c r="T882" s="230"/>
      <c r="U882" s="230"/>
      <c r="V882" s="230"/>
      <c r="W882" s="230"/>
      <c r="X882" s="230"/>
      <c r="Y882" s="230"/>
    </row>
    <row r="883">
      <c r="O883" s="230"/>
      <c r="R883" s="230"/>
      <c r="S883" s="230"/>
      <c r="T883" s="230"/>
      <c r="U883" s="230"/>
      <c r="V883" s="230"/>
      <c r="W883" s="230"/>
      <c r="X883" s="230"/>
      <c r="Y883" s="230"/>
    </row>
    <row r="884">
      <c r="O884" s="230"/>
      <c r="R884" s="230"/>
      <c r="S884" s="230"/>
      <c r="T884" s="230"/>
      <c r="U884" s="230"/>
      <c r="V884" s="230"/>
      <c r="W884" s="230"/>
      <c r="X884" s="230"/>
      <c r="Y884" s="230"/>
    </row>
    <row r="885">
      <c r="O885" s="230"/>
      <c r="R885" s="230"/>
      <c r="S885" s="230"/>
      <c r="T885" s="230"/>
      <c r="U885" s="230"/>
      <c r="V885" s="230"/>
      <c r="W885" s="230"/>
      <c r="X885" s="230"/>
      <c r="Y885" s="230"/>
    </row>
    <row r="886">
      <c r="O886" s="230"/>
      <c r="R886" s="230"/>
      <c r="S886" s="230"/>
      <c r="T886" s="230"/>
      <c r="U886" s="230"/>
      <c r="V886" s="230"/>
      <c r="W886" s="230"/>
      <c r="X886" s="230"/>
      <c r="Y886" s="230"/>
    </row>
    <row r="887">
      <c r="O887" s="230"/>
      <c r="R887" s="230"/>
      <c r="S887" s="230"/>
      <c r="T887" s="230"/>
      <c r="U887" s="230"/>
      <c r="V887" s="230"/>
      <c r="W887" s="230"/>
      <c r="X887" s="230"/>
      <c r="Y887" s="230"/>
    </row>
    <row r="888">
      <c r="O888" s="230"/>
      <c r="R888" s="230"/>
      <c r="S888" s="230"/>
      <c r="T888" s="230"/>
      <c r="U888" s="230"/>
      <c r="V888" s="230"/>
      <c r="W888" s="230"/>
      <c r="X888" s="230"/>
      <c r="Y888" s="230"/>
    </row>
    <row r="889">
      <c r="O889" s="230"/>
      <c r="R889" s="230"/>
      <c r="S889" s="230"/>
      <c r="T889" s="230"/>
      <c r="U889" s="230"/>
      <c r="V889" s="230"/>
      <c r="W889" s="230"/>
      <c r="X889" s="230"/>
      <c r="Y889" s="230"/>
    </row>
    <row r="890">
      <c r="O890" s="230"/>
      <c r="R890" s="230"/>
      <c r="S890" s="230"/>
      <c r="T890" s="230"/>
      <c r="U890" s="230"/>
      <c r="V890" s="230"/>
      <c r="W890" s="230"/>
      <c r="X890" s="230"/>
      <c r="Y890" s="230"/>
    </row>
    <row r="891">
      <c r="O891" s="230"/>
      <c r="R891" s="230"/>
      <c r="S891" s="230"/>
      <c r="T891" s="230"/>
      <c r="U891" s="230"/>
      <c r="V891" s="230"/>
      <c r="W891" s="230"/>
      <c r="X891" s="230"/>
      <c r="Y891" s="230"/>
    </row>
    <row r="892">
      <c r="O892" s="230"/>
      <c r="R892" s="230"/>
      <c r="S892" s="230"/>
      <c r="T892" s="230"/>
      <c r="U892" s="230"/>
      <c r="V892" s="230"/>
      <c r="W892" s="230"/>
      <c r="X892" s="230"/>
      <c r="Y892" s="230"/>
    </row>
    <row r="893">
      <c r="O893" s="230"/>
      <c r="R893" s="230"/>
      <c r="S893" s="230"/>
      <c r="T893" s="230"/>
      <c r="U893" s="230"/>
      <c r="V893" s="230"/>
      <c r="W893" s="230"/>
      <c r="X893" s="230"/>
      <c r="Y893" s="230"/>
    </row>
    <row r="894">
      <c r="O894" s="230"/>
      <c r="R894" s="230"/>
      <c r="S894" s="230"/>
      <c r="T894" s="230"/>
      <c r="U894" s="230"/>
      <c r="V894" s="230"/>
      <c r="W894" s="230"/>
      <c r="X894" s="230"/>
      <c r="Y894" s="230"/>
    </row>
    <row r="895">
      <c r="O895" s="230"/>
      <c r="R895" s="230"/>
      <c r="S895" s="230"/>
      <c r="T895" s="230"/>
      <c r="U895" s="230"/>
      <c r="V895" s="230"/>
      <c r="W895" s="230"/>
      <c r="X895" s="230"/>
      <c r="Y895" s="230"/>
    </row>
    <row r="896">
      <c r="O896" s="230"/>
      <c r="R896" s="230"/>
      <c r="S896" s="230"/>
      <c r="T896" s="230"/>
      <c r="U896" s="230"/>
      <c r="V896" s="230"/>
      <c r="W896" s="230"/>
      <c r="X896" s="230"/>
      <c r="Y896" s="230"/>
    </row>
    <row r="897">
      <c r="O897" s="230"/>
      <c r="R897" s="230"/>
      <c r="S897" s="230"/>
      <c r="T897" s="230"/>
      <c r="U897" s="230"/>
      <c r="V897" s="230"/>
      <c r="W897" s="230"/>
      <c r="X897" s="230"/>
      <c r="Y897" s="230"/>
    </row>
    <row r="898">
      <c r="O898" s="230"/>
      <c r="R898" s="230"/>
      <c r="S898" s="230"/>
      <c r="T898" s="230"/>
      <c r="U898" s="230"/>
      <c r="V898" s="230"/>
      <c r="W898" s="230"/>
      <c r="X898" s="230"/>
      <c r="Y898" s="230"/>
    </row>
    <row r="899">
      <c r="O899" s="230"/>
      <c r="R899" s="230"/>
      <c r="S899" s="230"/>
      <c r="T899" s="230"/>
      <c r="U899" s="230"/>
      <c r="V899" s="230"/>
      <c r="W899" s="230"/>
      <c r="X899" s="230"/>
      <c r="Y899" s="230"/>
    </row>
    <row r="900">
      <c r="O900" s="230"/>
      <c r="R900" s="230"/>
      <c r="S900" s="230"/>
      <c r="T900" s="230"/>
      <c r="U900" s="230"/>
      <c r="V900" s="230"/>
      <c r="W900" s="230"/>
      <c r="X900" s="230"/>
      <c r="Y900" s="230"/>
    </row>
    <row r="901">
      <c r="O901" s="230"/>
      <c r="R901" s="230"/>
      <c r="S901" s="230"/>
      <c r="T901" s="230"/>
      <c r="U901" s="230"/>
      <c r="V901" s="230"/>
      <c r="W901" s="230"/>
      <c r="X901" s="230"/>
      <c r="Y901" s="230"/>
    </row>
    <row r="902">
      <c r="O902" s="230"/>
      <c r="R902" s="230"/>
      <c r="S902" s="230"/>
      <c r="T902" s="230"/>
      <c r="U902" s="230"/>
      <c r="V902" s="230"/>
      <c r="W902" s="230"/>
      <c r="X902" s="230"/>
      <c r="Y902" s="230"/>
    </row>
    <row r="903">
      <c r="O903" s="230"/>
      <c r="R903" s="230"/>
      <c r="S903" s="230"/>
      <c r="T903" s="230"/>
      <c r="U903" s="230"/>
      <c r="V903" s="230"/>
      <c r="W903" s="230"/>
      <c r="X903" s="230"/>
      <c r="Y903" s="230"/>
    </row>
    <row r="904">
      <c r="O904" s="230"/>
      <c r="R904" s="230"/>
      <c r="S904" s="230"/>
      <c r="T904" s="230"/>
      <c r="U904" s="230"/>
      <c r="V904" s="230"/>
      <c r="W904" s="230"/>
      <c r="X904" s="230"/>
      <c r="Y904" s="230"/>
    </row>
    <row r="905">
      <c r="O905" s="230"/>
      <c r="R905" s="230"/>
      <c r="S905" s="230"/>
      <c r="T905" s="230"/>
      <c r="U905" s="230"/>
      <c r="V905" s="230"/>
      <c r="W905" s="230"/>
      <c r="X905" s="230"/>
      <c r="Y905" s="230"/>
    </row>
    <row r="906">
      <c r="O906" s="230"/>
      <c r="R906" s="230"/>
      <c r="S906" s="230"/>
      <c r="T906" s="230"/>
      <c r="U906" s="230"/>
      <c r="V906" s="230"/>
      <c r="W906" s="230"/>
      <c r="X906" s="230"/>
      <c r="Y906" s="230"/>
    </row>
    <row r="907">
      <c r="O907" s="230"/>
      <c r="R907" s="230"/>
      <c r="S907" s="230"/>
      <c r="T907" s="230"/>
      <c r="U907" s="230"/>
      <c r="V907" s="230"/>
      <c r="W907" s="230"/>
      <c r="X907" s="230"/>
      <c r="Y907" s="230"/>
    </row>
    <row r="908">
      <c r="O908" s="230"/>
      <c r="R908" s="230"/>
      <c r="S908" s="230"/>
      <c r="T908" s="230"/>
      <c r="U908" s="230"/>
      <c r="V908" s="230"/>
      <c r="W908" s="230"/>
      <c r="X908" s="230"/>
      <c r="Y908" s="230"/>
    </row>
    <row r="909">
      <c r="O909" s="230"/>
      <c r="R909" s="230"/>
      <c r="S909" s="230"/>
      <c r="T909" s="230"/>
      <c r="U909" s="230"/>
      <c r="V909" s="230"/>
      <c r="W909" s="230"/>
      <c r="X909" s="230"/>
      <c r="Y909" s="230"/>
    </row>
    <row r="910">
      <c r="O910" s="230"/>
      <c r="R910" s="230"/>
      <c r="S910" s="230"/>
      <c r="T910" s="230"/>
      <c r="U910" s="230"/>
      <c r="V910" s="230"/>
      <c r="W910" s="230"/>
      <c r="X910" s="230"/>
      <c r="Y910" s="230"/>
    </row>
    <row r="911">
      <c r="O911" s="230"/>
      <c r="R911" s="230"/>
      <c r="S911" s="230"/>
      <c r="T911" s="230"/>
      <c r="U911" s="230"/>
      <c r="V911" s="230"/>
      <c r="W911" s="230"/>
      <c r="X911" s="230"/>
      <c r="Y911" s="230"/>
    </row>
    <row r="912">
      <c r="O912" s="230"/>
      <c r="R912" s="230"/>
      <c r="S912" s="230"/>
      <c r="T912" s="230"/>
      <c r="U912" s="230"/>
      <c r="V912" s="230"/>
      <c r="W912" s="230"/>
      <c r="X912" s="230"/>
      <c r="Y912" s="230"/>
    </row>
    <row r="913">
      <c r="O913" s="230"/>
      <c r="R913" s="230"/>
      <c r="S913" s="230"/>
      <c r="T913" s="230"/>
      <c r="U913" s="230"/>
      <c r="V913" s="230"/>
      <c r="W913" s="230"/>
      <c r="X913" s="230"/>
      <c r="Y913" s="230"/>
    </row>
    <row r="914">
      <c r="O914" s="230"/>
      <c r="R914" s="230"/>
      <c r="S914" s="230"/>
      <c r="T914" s="230"/>
      <c r="U914" s="230"/>
      <c r="V914" s="230"/>
      <c r="W914" s="230"/>
      <c r="X914" s="230"/>
      <c r="Y914" s="230"/>
    </row>
    <row r="915">
      <c r="O915" s="230"/>
      <c r="R915" s="230"/>
      <c r="S915" s="230"/>
      <c r="T915" s="230"/>
      <c r="U915" s="230"/>
      <c r="V915" s="230"/>
      <c r="W915" s="230"/>
      <c r="X915" s="230"/>
      <c r="Y915" s="230"/>
    </row>
    <row r="916">
      <c r="O916" s="230"/>
      <c r="R916" s="230"/>
      <c r="S916" s="230"/>
      <c r="T916" s="230"/>
      <c r="U916" s="230"/>
      <c r="V916" s="230"/>
      <c r="W916" s="230"/>
      <c r="X916" s="230"/>
      <c r="Y916" s="230"/>
    </row>
    <row r="917">
      <c r="O917" s="230"/>
      <c r="R917" s="230"/>
      <c r="S917" s="230"/>
      <c r="T917" s="230"/>
      <c r="U917" s="230"/>
      <c r="V917" s="230"/>
      <c r="W917" s="230"/>
      <c r="X917" s="230"/>
      <c r="Y917" s="230"/>
    </row>
    <row r="918">
      <c r="O918" s="230"/>
      <c r="R918" s="230"/>
      <c r="S918" s="230"/>
      <c r="T918" s="230"/>
      <c r="U918" s="230"/>
      <c r="V918" s="230"/>
      <c r="W918" s="230"/>
      <c r="X918" s="230"/>
      <c r="Y918" s="230"/>
    </row>
    <row r="919">
      <c r="O919" s="230"/>
      <c r="R919" s="230"/>
      <c r="S919" s="230"/>
      <c r="T919" s="230"/>
      <c r="U919" s="230"/>
      <c r="V919" s="230"/>
      <c r="W919" s="230"/>
      <c r="X919" s="230"/>
      <c r="Y919" s="230"/>
    </row>
    <row r="920">
      <c r="O920" s="230"/>
      <c r="R920" s="230"/>
      <c r="S920" s="230"/>
      <c r="T920" s="230"/>
      <c r="U920" s="230"/>
      <c r="V920" s="230"/>
      <c r="W920" s="230"/>
      <c r="X920" s="230"/>
      <c r="Y920" s="230"/>
    </row>
    <row r="921">
      <c r="O921" s="230"/>
      <c r="R921" s="230"/>
      <c r="S921" s="230"/>
      <c r="T921" s="230"/>
      <c r="U921" s="230"/>
      <c r="V921" s="230"/>
      <c r="W921" s="230"/>
      <c r="X921" s="230"/>
      <c r="Y921" s="230"/>
    </row>
    <row r="922">
      <c r="O922" s="230"/>
      <c r="R922" s="230"/>
      <c r="S922" s="230"/>
      <c r="T922" s="230"/>
      <c r="U922" s="230"/>
      <c r="V922" s="230"/>
      <c r="W922" s="230"/>
      <c r="X922" s="230"/>
      <c r="Y922" s="230"/>
    </row>
    <row r="923">
      <c r="O923" s="230"/>
      <c r="R923" s="230"/>
      <c r="S923" s="230"/>
      <c r="T923" s="230"/>
      <c r="U923" s="230"/>
      <c r="V923" s="230"/>
      <c r="W923" s="230"/>
      <c r="X923" s="230"/>
      <c r="Y923" s="230"/>
    </row>
    <row r="924">
      <c r="O924" s="230"/>
      <c r="R924" s="230"/>
      <c r="S924" s="230"/>
      <c r="T924" s="230"/>
      <c r="U924" s="230"/>
      <c r="V924" s="230"/>
      <c r="W924" s="230"/>
      <c r="X924" s="230"/>
      <c r="Y924" s="230"/>
    </row>
    <row r="925">
      <c r="O925" s="230"/>
      <c r="R925" s="230"/>
      <c r="S925" s="230"/>
      <c r="T925" s="230"/>
      <c r="U925" s="230"/>
      <c r="V925" s="230"/>
      <c r="W925" s="230"/>
      <c r="X925" s="230"/>
      <c r="Y925" s="230"/>
    </row>
    <row r="926">
      <c r="O926" s="230"/>
      <c r="R926" s="230"/>
      <c r="S926" s="230"/>
      <c r="T926" s="230"/>
      <c r="U926" s="230"/>
      <c r="V926" s="230"/>
      <c r="W926" s="230"/>
      <c r="X926" s="230"/>
      <c r="Y926" s="230"/>
    </row>
    <row r="927">
      <c r="O927" s="230"/>
      <c r="R927" s="230"/>
      <c r="S927" s="230"/>
      <c r="T927" s="230"/>
      <c r="U927" s="230"/>
      <c r="V927" s="230"/>
      <c r="W927" s="230"/>
      <c r="X927" s="230"/>
      <c r="Y927" s="230"/>
    </row>
    <row r="928">
      <c r="O928" s="230"/>
      <c r="R928" s="230"/>
      <c r="S928" s="230"/>
      <c r="T928" s="230"/>
      <c r="U928" s="230"/>
      <c r="V928" s="230"/>
      <c r="W928" s="230"/>
      <c r="X928" s="230"/>
      <c r="Y928" s="230"/>
    </row>
    <row r="929">
      <c r="O929" s="230"/>
      <c r="R929" s="230"/>
      <c r="S929" s="230"/>
      <c r="T929" s="230"/>
      <c r="U929" s="230"/>
      <c r="V929" s="230"/>
      <c r="W929" s="230"/>
      <c r="X929" s="230"/>
      <c r="Y929" s="230"/>
    </row>
    <row r="930">
      <c r="O930" s="230"/>
      <c r="R930" s="230"/>
      <c r="S930" s="230"/>
      <c r="T930" s="230"/>
      <c r="U930" s="230"/>
      <c r="V930" s="230"/>
      <c r="W930" s="230"/>
      <c r="X930" s="230"/>
      <c r="Y930" s="230"/>
    </row>
    <row r="931">
      <c r="O931" s="230"/>
      <c r="R931" s="230"/>
      <c r="S931" s="230"/>
      <c r="T931" s="230"/>
      <c r="U931" s="230"/>
      <c r="V931" s="230"/>
      <c r="W931" s="230"/>
      <c r="X931" s="230"/>
      <c r="Y931" s="230"/>
    </row>
    <row r="932">
      <c r="O932" s="230"/>
      <c r="R932" s="230"/>
      <c r="S932" s="230"/>
      <c r="T932" s="230"/>
      <c r="U932" s="230"/>
      <c r="V932" s="230"/>
      <c r="W932" s="230"/>
      <c r="X932" s="230"/>
      <c r="Y932" s="230"/>
    </row>
    <row r="933">
      <c r="O933" s="230"/>
      <c r="R933" s="230"/>
      <c r="S933" s="230"/>
      <c r="T933" s="230"/>
      <c r="U933" s="230"/>
      <c r="V933" s="230"/>
      <c r="W933" s="230"/>
      <c r="X933" s="230"/>
      <c r="Y933" s="230"/>
    </row>
    <row r="934">
      <c r="O934" s="230"/>
      <c r="R934" s="230"/>
      <c r="S934" s="230"/>
      <c r="T934" s="230"/>
      <c r="U934" s="230"/>
      <c r="V934" s="230"/>
      <c r="W934" s="230"/>
      <c r="X934" s="230"/>
      <c r="Y934" s="230"/>
    </row>
    <row r="935">
      <c r="O935" s="230"/>
      <c r="R935" s="230"/>
      <c r="S935" s="230"/>
      <c r="T935" s="230"/>
      <c r="U935" s="230"/>
      <c r="V935" s="230"/>
      <c r="W935" s="230"/>
      <c r="X935" s="230"/>
      <c r="Y935" s="230"/>
    </row>
    <row r="936">
      <c r="O936" s="230"/>
      <c r="R936" s="230"/>
      <c r="S936" s="230"/>
      <c r="T936" s="230"/>
      <c r="U936" s="230"/>
      <c r="V936" s="230"/>
      <c r="W936" s="230"/>
      <c r="X936" s="230"/>
      <c r="Y936" s="230"/>
    </row>
    <row r="937">
      <c r="O937" s="230"/>
      <c r="R937" s="230"/>
      <c r="S937" s="230"/>
      <c r="T937" s="230"/>
      <c r="U937" s="230"/>
      <c r="V937" s="230"/>
      <c r="W937" s="230"/>
      <c r="X937" s="230"/>
      <c r="Y937" s="230"/>
    </row>
    <row r="938">
      <c r="O938" s="230"/>
      <c r="R938" s="230"/>
      <c r="S938" s="230"/>
      <c r="T938" s="230"/>
      <c r="U938" s="230"/>
      <c r="V938" s="230"/>
      <c r="W938" s="230"/>
      <c r="X938" s="230"/>
      <c r="Y938" s="230"/>
    </row>
    <row r="939">
      <c r="O939" s="230"/>
      <c r="R939" s="230"/>
      <c r="S939" s="230"/>
      <c r="T939" s="230"/>
      <c r="U939" s="230"/>
      <c r="V939" s="230"/>
      <c r="W939" s="230"/>
      <c r="X939" s="230"/>
      <c r="Y939" s="230"/>
    </row>
    <row r="940">
      <c r="O940" s="230"/>
      <c r="R940" s="230"/>
      <c r="S940" s="230"/>
      <c r="T940" s="230"/>
      <c r="U940" s="230"/>
      <c r="V940" s="230"/>
      <c r="W940" s="230"/>
      <c r="X940" s="230"/>
      <c r="Y940" s="230"/>
    </row>
    <row r="941">
      <c r="O941" s="230"/>
      <c r="R941" s="230"/>
      <c r="S941" s="230"/>
      <c r="T941" s="230"/>
      <c r="U941" s="230"/>
      <c r="V941" s="230"/>
      <c r="W941" s="230"/>
      <c r="X941" s="230"/>
      <c r="Y941" s="230"/>
    </row>
    <row r="942">
      <c r="O942" s="230"/>
      <c r="R942" s="230"/>
      <c r="S942" s="230"/>
      <c r="T942" s="230"/>
      <c r="U942" s="230"/>
      <c r="V942" s="230"/>
      <c r="W942" s="230"/>
      <c r="X942" s="230"/>
      <c r="Y942" s="230"/>
    </row>
    <row r="943">
      <c r="O943" s="230"/>
      <c r="R943" s="230"/>
      <c r="S943" s="230"/>
      <c r="T943" s="230"/>
      <c r="U943" s="230"/>
      <c r="V943" s="230"/>
      <c r="W943" s="230"/>
      <c r="X943" s="230"/>
      <c r="Y943" s="230"/>
    </row>
    <row r="944">
      <c r="O944" s="230"/>
      <c r="R944" s="230"/>
      <c r="S944" s="230"/>
      <c r="T944" s="230"/>
      <c r="U944" s="230"/>
      <c r="V944" s="230"/>
      <c r="W944" s="230"/>
      <c r="X944" s="230"/>
      <c r="Y944" s="230"/>
    </row>
    <row r="945">
      <c r="O945" s="230"/>
      <c r="R945" s="230"/>
      <c r="S945" s="230"/>
      <c r="T945" s="230"/>
      <c r="U945" s="230"/>
      <c r="V945" s="230"/>
      <c r="W945" s="230"/>
      <c r="X945" s="230"/>
      <c r="Y945" s="230"/>
    </row>
    <row r="946">
      <c r="O946" s="230"/>
      <c r="R946" s="230"/>
      <c r="S946" s="230"/>
      <c r="T946" s="230"/>
      <c r="U946" s="230"/>
      <c r="V946" s="230"/>
      <c r="W946" s="230"/>
      <c r="X946" s="230"/>
      <c r="Y946" s="230"/>
    </row>
    <row r="947">
      <c r="O947" s="230"/>
      <c r="R947" s="230"/>
      <c r="S947" s="230"/>
      <c r="T947" s="230"/>
      <c r="U947" s="230"/>
      <c r="V947" s="230"/>
      <c r="W947" s="230"/>
      <c r="X947" s="230"/>
      <c r="Y947" s="230"/>
    </row>
    <row r="948">
      <c r="O948" s="230"/>
      <c r="R948" s="230"/>
      <c r="S948" s="230"/>
      <c r="T948" s="230"/>
      <c r="U948" s="230"/>
      <c r="V948" s="230"/>
      <c r="W948" s="230"/>
      <c r="X948" s="230"/>
      <c r="Y948" s="230"/>
    </row>
    <row r="949">
      <c r="O949" s="230"/>
      <c r="R949" s="230"/>
      <c r="S949" s="230"/>
      <c r="T949" s="230"/>
      <c r="U949" s="230"/>
      <c r="V949" s="230"/>
      <c r="W949" s="230"/>
      <c r="X949" s="230"/>
      <c r="Y949" s="230"/>
    </row>
    <row r="950">
      <c r="O950" s="230"/>
      <c r="R950" s="230"/>
      <c r="S950" s="230"/>
      <c r="T950" s="230"/>
      <c r="U950" s="230"/>
      <c r="V950" s="230"/>
      <c r="W950" s="230"/>
      <c r="X950" s="230"/>
      <c r="Y950" s="230"/>
    </row>
    <row r="951">
      <c r="O951" s="230"/>
      <c r="R951" s="230"/>
      <c r="S951" s="230"/>
      <c r="T951" s="230"/>
      <c r="U951" s="230"/>
      <c r="V951" s="230"/>
      <c r="W951" s="230"/>
      <c r="X951" s="230"/>
      <c r="Y951" s="230"/>
    </row>
    <row r="952">
      <c r="O952" s="230"/>
      <c r="R952" s="230"/>
      <c r="S952" s="230"/>
      <c r="T952" s="230"/>
      <c r="U952" s="230"/>
      <c r="V952" s="230"/>
      <c r="W952" s="230"/>
      <c r="X952" s="230"/>
      <c r="Y952" s="230"/>
    </row>
    <row r="953">
      <c r="O953" s="230"/>
      <c r="R953" s="230"/>
      <c r="S953" s="230"/>
      <c r="T953" s="230"/>
      <c r="U953" s="230"/>
      <c r="V953" s="230"/>
      <c r="W953" s="230"/>
      <c r="X953" s="230"/>
      <c r="Y953" s="230"/>
    </row>
    <row r="954">
      <c r="O954" s="230"/>
      <c r="R954" s="230"/>
      <c r="S954" s="230"/>
      <c r="T954" s="230"/>
      <c r="U954" s="230"/>
      <c r="V954" s="230"/>
      <c r="W954" s="230"/>
      <c r="X954" s="230"/>
      <c r="Y954" s="230"/>
    </row>
    <row r="955">
      <c r="O955" s="230"/>
      <c r="R955" s="230"/>
      <c r="S955" s="230"/>
      <c r="T955" s="230"/>
      <c r="U955" s="230"/>
      <c r="V955" s="230"/>
      <c r="W955" s="230"/>
      <c r="X955" s="230"/>
      <c r="Y955" s="230"/>
    </row>
    <row r="956">
      <c r="O956" s="230"/>
      <c r="R956" s="230"/>
      <c r="S956" s="230"/>
      <c r="T956" s="230"/>
      <c r="U956" s="230"/>
      <c r="V956" s="230"/>
      <c r="W956" s="230"/>
      <c r="X956" s="230"/>
      <c r="Y956" s="230"/>
    </row>
    <row r="957">
      <c r="O957" s="230"/>
      <c r="R957" s="230"/>
      <c r="S957" s="230"/>
      <c r="T957" s="230"/>
      <c r="U957" s="230"/>
      <c r="V957" s="230"/>
      <c r="W957" s="230"/>
      <c r="X957" s="230"/>
      <c r="Y957" s="230"/>
    </row>
    <row r="958">
      <c r="O958" s="230"/>
      <c r="R958" s="230"/>
      <c r="S958" s="230"/>
      <c r="T958" s="230"/>
      <c r="U958" s="230"/>
      <c r="V958" s="230"/>
      <c r="W958" s="230"/>
      <c r="X958" s="230"/>
      <c r="Y958" s="230"/>
    </row>
    <row r="959">
      <c r="O959" s="230"/>
      <c r="R959" s="230"/>
      <c r="S959" s="230"/>
      <c r="T959" s="230"/>
      <c r="U959" s="230"/>
      <c r="V959" s="230"/>
      <c r="W959" s="230"/>
      <c r="X959" s="230"/>
      <c r="Y959" s="230"/>
    </row>
    <row r="960">
      <c r="O960" s="230"/>
      <c r="R960" s="230"/>
      <c r="S960" s="230"/>
      <c r="T960" s="230"/>
      <c r="U960" s="230"/>
      <c r="V960" s="230"/>
      <c r="W960" s="230"/>
      <c r="X960" s="230"/>
      <c r="Y960" s="230"/>
    </row>
    <row r="961">
      <c r="O961" s="230"/>
      <c r="R961" s="230"/>
      <c r="S961" s="230"/>
      <c r="T961" s="230"/>
      <c r="U961" s="230"/>
      <c r="V961" s="230"/>
      <c r="W961" s="230"/>
      <c r="X961" s="230"/>
      <c r="Y961" s="230"/>
    </row>
    <row r="962">
      <c r="O962" s="230"/>
      <c r="R962" s="230"/>
      <c r="S962" s="230"/>
      <c r="T962" s="230"/>
      <c r="U962" s="230"/>
      <c r="V962" s="230"/>
      <c r="W962" s="230"/>
      <c r="X962" s="230"/>
      <c r="Y962" s="230"/>
    </row>
    <row r="963">
      <c r="O963" s="230"/>
      <c r="R963" s="230"/>
      <c r="S963" s="230"/>
      <c r="T963" s="230"/>
      <c r="U963" s="230"/>
      <c r="V963" s="230"/>
      <c r="W963" s="230"/>
      <c r="X963" s="230"/>
      <c r="Y963" s="230"/>
    </row>
    <row r="964">
      <c r="O964" s="230"/>
      <c r="R964" s="230"/>
      <c r="S964" s="230"/>
      <c r="T964" s="230"/>
      <c r="U964" s="230"/>
      <c r="V964" s="230"/>
      <c r="W964" s="230"/>
      <c r="X964" s="230"/>
      <c r="Y964" s="230"/>
    </row>
    <row r="965">
      <c r="O965" s="230"/>
      <c r="R965" s="230"/>
      <c r="S965" s="230"/>
      <c r="T965" s="230"/>
      <c r="U965" s="230"/>
      <c r="V965" s="230"/>
      <c r="W965" s="230"/>
      <c r="X965" s="230"/>
      <c r="Y965" s="230"/>
    </row>
    <row r="966">
      <c r="O966" s="230"/>
      <c r="R966" s="230"/>
      <c r="S966" s="230"/>
      <c r="T966" s="230"/>
      <c r="U966" s="230"/>
      <c r="V966" s="230"/>
      <c r="W966" s="230"/>
      <c r="X966" s="230"/>
      <c r="Y966" s="230"/>
    </row>
    <row r="967">
      <c r="O967" s="230"/>
      <c r="R967" s="230"/>
      <c r="S967" s="230"/>
      <c r="T967" s="230"/>
      <c r="U967" s="230"/>
      <c r="V967" s="230"/>
      <c r="W967" s="230"/>
      <c r="X967" s="230"/>
      <c r="Y967" s="230"/>
    </row>
    <row r="968">
      <c r="O968" s="230"/>
      <c r="R968" s="230"/>
      <c r="S968" s="230"/>
      <c r="T968" s="230"/>
      <c r="U968" s="230"/>
      <c r="V968" s="230"/>
      <c r="W968" s="230"/>
      <c r="X968" s="230"/>
      <c r="Y968" s="230"/>
    </row>
    <row r="969">
      <c r="O969" s="230"/>
      <c r="R969" s="230"/>
      <c r="S969" s="230"/>
      <c r="T969" s="230"/>
      <c r="U969" s="230"/>
      <c r="V969" s="230"/>
      <c r="W969" s="230"/>
      <c r="X969" s="230"/>
      <c r="Y969" s="230"/>
    </row>
    <row r="970">
      <c r="O970" s="230"/>
      <c r="R970" s="230"/>
      <c r="S970" s="230"/>
      <c r="T970" s="230"/>
      <c r="U970" s="230"/>
      <c r="V970" s="230"/>
      <c r="W970" s="230"/>
      <c r="X970" s="230"/>
      <c r="Y970" s="230"/>
    </row>
    <row r="971">
      <c r="O971" s="230"/>
      <c r="R971" s="230"/>
      <c r="S971" s="230"/>
      <c r="T971" s="230"/>
      <c r="U971" s="230"/>
      <c r="V971" s="230"/>
      <c r="W971" s="230"/>
      <c r="X971" s="230"/>
      <c r="Y971" s="230"/>
    </row>
    <row r="972">
      <c r="O972" s="230"/>
      <c r="R972" s="230"/>
      <c r="S972" s="230"/>
      <c r="T972" s="230"/>
      <c r="U972" s="230"/>
      <c r="V972" s="230"/>
      <c r="W972" s="230"/>
      <c r="X972" s="230"/>
      <c r="Y972" s="230"/>
    </row>
    <row r="973">
      <c r="O973" s="230"/>
      <c r="R973" s="230"/>
      <c r="S973" s="230"/>
      <c r="T973" s="230"/>
      <c r="U973" s="230"/>
      <c r="V973" s="230"/>
      <c r="W973" s="230"/>
      <c r="X973" s="230"/>
      <c r="Y973" s="230"/>
    </row>
    <row r="974">
      <c r="O974" s="230"/>
      <c r="R974" s="230"/>
      <c r="S974" s="230"/>
      <c r="T974" s="230"/>
      <c r="U974" s="230"/>
      <c r="V974" s="230"/>
      <c r="W974" s="230"/>
      <c r="X974" s="230"/>
      <c r="Y974" s="230"/>
    </row>
    <row r="975">
      <c r="O975" s="230"/>
      <c r="R975" s="230"/>
      <c r="S975" s="230"/>
      <c r="T975" s="230"/>
      <c r="U975" s="230"/>
      <c r="V975" s="230"/>
      <c r="W975" s="230"/>
      <c r="X975" s="230"/>
      <c r="Y975" s="230"/>
    </row>
    <row r="976">
      <c r="O976" s="230"/>
      <c r="R976" s="230"/>
      <c r="S976" s="230"/>
      <c r="T976" s="230"/>
      <c r="U976" s="230"/>
      <c r="V976" s="230"/>
      <c r="W976" s="230"/>
      <c r="X976" s="230"/>
      <c r="Y976" s="230"/>
    </row>
    <row r="977">
      <c r="O977" s="230"/>
      <c r="R977" s="230"/>
      <c r="S977" s="230"/>
      <c r="T977" s="230"/>
      <c r="U977" s="230"/>
      <c r="V977" s="230"/>
      <c r="W977" s="230"/>
      <c r="X977" s="230"/>
      <c r="Y977" s="230"/>
    </row>
    <row r="978">
      <c r="O978" s="230"/>
      <c r="R978" s="230"/>
      <c r="S978" s="230"/>
      <c r="T978" s="230"/>
      <c r="U978" s="230"/>
      <c r="V978" s="230"/>
      <c r="W978" s="230"/>
      <c r="X978" s="230"/>
      <c r="Y978" s="230"/>
    </row>
    <row r="979">
      <c r="O979" s="230"/>
      <c r="R979" s="230"/>
      <c r="S979" s="230"/>
      <c r="T979" s="230"/>
      <c r="U979" s="230"/>
      <c r="V979" s="230"/>
      <c r="W979" s="230"/>
      <c r="X979" s="230"/>
      <c r="Y979" s="230"/>
    </row>
    <row r="980">
      <c r="O980" s="230"/>
      <c r="R980" s="230"/>
      <c r="S980" s="230"/>
      <c r="T980" s="230"/>
      <c r="U980" s="230"/>
      <c r="V980" s="230"/>
      <c r="W980" s="230"/>
      <c r="X980" s="230"/>
      <c r="Y980" s="230"/>
    </row>
    <row r="981">
      <c r="O981" s="230"/>
      <c r="R981" s="230"/>
      <c r="S981" s="230"/>
      <c r="T981" s="230"/>
      <c r="U981" s="230"/>
      <c r="V981" s="230"/>
      <c r="W981" s="230"/>
      <c r="X981" s="230"/>
      <c r="Y981" s="230"/>
    </row>
    <row r="982">
      <c r="O982" s="230"/>
      <c r="R982" s="230"/>
      <c r="S982" s="230"/>
      <c r="T982" s="230"/>
      <c r="U982" s="230"/>
      <c r="V982" s="230"/>
      <c r="W982" s="230"/>
      <c r="X982" s="230"/>
      <c r="Y982" s="230"/>
    </row>
    <row r="983">
      <c r="O983" s="230"/>
      <c r="R983" s="230"/>
      <c r="S983" s="230"/>
      <c r="T983" s="230"/>
      <c r="U983" s="230"/>
      <c r="V983" s="230"/>
      <c r="W983" s="230"/>
      <c r="X983" s="230"/>
      <c r="Y983" s="230"/>
    </row>
    <row r="984">
      <c r="O984" s="230"/>
      <c r="R984" s="230"/>
      <c r="S984" s="230"/>
      <c r="T984" s="230"/>
      <c r="U984" s="230"/>
      <c r="V984" s="230"/>
      <c r="W984" s="230"/>
      <c r="X984" s="230"/>
      <c r="Y984" s="230"/>
    </row>
    <row r="985">
      <c r="O985" s="230"/>
      <c r="R985" s="230"/>
      <c r="S985" s="230"/>
      <c r="T985" s="230"/>
      <c r="U985" s="230"/>
      <c r="V985" s="230"/>
      <c r="W985" s="230"/>
      <c r="X985" s="230"/>
      <c r="Y985" s="230"/>
    </row>
    <row r="986">
      <c r="O986" s="230"/>
      <c r="R986" s="230"/>
      <c r="S986" s="230"/>
      <c r="T986" s="230"/>
      <c r="U986" s="230"/>
      <c r="V986" s="230"/>
      <c r="W986" s="230"/>
      <c r="X986" s="230"/>
      <c r="Y986" s="230"/>
    </row>
    <row r="987">
      <c r="O987" s="230"/>
      <c r="R987" s="230"/>
      <c r="S987" s="230"/>
      <c r="T987" s="230"/>
      <c r="U987" s="230"/>
      <c r="V987" s="230"/>
      <c r="W987" s="230"/>
      <c r="X987" s="230"/>
      <c r="Y987" s="230"/>
    </row>
    <row r="988">
      <c r="O988" s="230"/>
      <c r="R988" s="230"/>
      <c r="S988" s="230"/>
      <c r="T988" s="230"/>
      <c r="U988" s="230"/>
      <c r="V988" s="230"/>
      <c r="W988" s="230"/>
      <c r="X988" s="230"/>
      <c r="Y988" s="230"/>
    </row>
    <row r="989">
      <c r="O989" s="230"/>
      <c r="R989" s="230"/>
      <c r="S989" s="230"/>
      <c r="T989" s="230"/>
      <c r="U989" s="230"/>
      <c r="V989" s="230"/>
      <c r="W989" s="230"/>
      <c r="X989" s="230"/>
      <c r="Y989" s="230"/>
    </row>
    <row r="990">
      <c r="O990" s="230"/>
      <c r="R990" s="230"/>
      <c r="S990" s="230"/>
      <c r="T990" s="230"/>
      <c r="U990" s="230"/>
      <c r="V990" s="230"/>
      <c r="W990" s="230"/>
      <c r="X990" s="230"/>
      <c r="Y990" s="230"/>
    </row>
    <row r="991">
      <c r="O991" s="230"/>
      <c r="R991" s="230"/>
      <c r="S991" s="230"/>
      <c r="T991" s="230"/>
      <c r="U991" s="230"/>
      <c r="V991" s="230"/>
      <c r="W991" s="230"/>
      <c r="X991" s="230"/>
      <c r="Y991" s="230"/>
    </row>
    <row r="992">
      <c r="O992" s="230"/>
      <c r="R992" s="230"/>
      <c r="S992" s="230"/>
      <c r="T992" s="230"/>
      <c r="U992" s="230"/>
      <c r="V992" s="230"/>
      <c r="W992" s="230"/>
      <c r="X992" s="230"/>
      <c r="Y992" s="230"/>
    </row>
    <row r="993">
      <c r="O993" s="230"/>
      <c r="R993" s="230"/>
      <c r="S993" s="230"/>
      <c r="T993" s="230"/>
      <c r="U993" s="230"/>
      <c r="V993" s="230"/>
      <c r="W993" s="230"/>
      <c r="X993" s="230"/>
      <c r="Y993" s="230"/>
    </row>
    <row r="994">
      <c r="O994" s="230"/>
      <c r="R994" s="230"/>
      <c r="S994" s="230"/>
      <c r="T994" s="230"/>
      <c r="U994" s="230"/>
      <c r="V994" s="230"/>
      <c r="W994" s="230"/>
      <c r="X994" s="230"/>
      <c r="Y994" s="230"/>
    </row>
    <row r="995">
      <c r="O995" s="230"/>
      <c r="R995" s="230"/>
      <c r="S995" s="230"/>
      <c r="T995" s="230"/>
      <c r="U995" s="230"/>
      <c r="V995" s="230"/>
      <c r="W995" s="230"/>
      <c r="X995" s="230"/>
      <c r="Y995" s="230"/>
    </row>
    <row r="996">
      <c r="O996" s="230"/>
      <c r="R996" s="230"/>
      <c r="S996" s="230"/>
      <c r="T996" s="230"/>
      <c r="U996" s="230"/>
      <c r="V996" s="230"/>
      <c r="W996" s="230"/>
      <c r="X996" s="230"/>
      <c r="Y996" s="230"/>
    </row>
    <row r="997">
      <c r="O997" s="230"/>
      <c r="R997" s="230"/>
      <c r="S997" s="230"/>
      <c r="T997" s="230"/>
      <c r="U997" s="230"/>
      <c r="V997" s="230"/>
      <c r="W997" s="230"/>
      <c r="X997" s="230"/>
      <c r="Y997" s="230"/>
    </row>
    <row r="998">
      <c r="O998" s="230"/>
      <c r="R998" s="230"/>
      <c r="S998" s="230"/>
      <c r="T998" s="230"/>
      <c r="U998" s="230"/>
      <c r="V998" s="230"/>
      <c r="W998" s="230"/>
      <c r="X998" s="230"/>
      <c r="Y998" s="230"/>
    </row>
    <row r="999">
      <c r="O999" s="230"/>
      <c r="R999" s="230"/>
      <c r="S999" s="230"/>
      <c r="T999" s="230"/>
      <c r="U999" s="230"/>
      <c r="V999" s="230"/>
      <c r="W999" s="230"/>
      <c r="X999" s="230"/>
      <c r="Y999" s="230"/>
    </row>
    <row r="1000">
      <c r="O1000" s="230"/>
      <c r="R1000" s="230"/>
      <c r="S1000" s="230"/>
      <c r="T1000" s="230"/>
      <c r="U1000" s="230"/>
      <c r="V1000" s="230"/>
      <c r="W1000" s="230"/>
      <c r="X1000" s="230"/>
      <c r="Y1000" s="230"/>
    </row>
    <row r="1001">
      <c r="O1001" s="230"/>
      <c r="R1001" s="230"/>
      <c r="S1001" s="230"/>
      <c r="T1001" s="230"/>
      <c r="U1001" s="230"/>
      <c r="V1001" s="230"/>
      <c r="W1001" s="230"/>
      <c r="X1001" s="230"/>
      <c r="Y1001" s="230"/>
    </row>
    <row r="1002">
      <c r="O1002" s="230"/>
      <c r="R1002" s="230"/>
      <c r="S1002" s="230"/>
      <c r="T1002" s="230"/>
      <c r="U1002" s="230"/>
      <c r="V1002" s="230"/>
      <c r="W1002" s="230"/>
      <c r="X1002" s="230"/>
      <c r="Y1002" s="230"/>
    </row>
    <row r="1003">
      <c r="O1003" s="230"/>
      <c r="R1003" s="230"/>
      <c r="S1003" s="230"/>
      <c r="T1003" s="230"/>
      <c r="U1003" s="230"/>
      <c r="V1003" s="230"/>
      <c r="W1003" s="230"/>
      <c r="X1003" s="230"/>
      <c r="Y1003" s="230"/>
    </row>
    <row r="1004">
      <c r="O1004" s="230"/>
      <c r="R1004" s="230"/>
      <c r="S1004" s="230"/>
      <c r="T1004" s="230"/>
      <c r="U1004" s="230"/>
      <c r="V1004" s="230"/>
      <c r="W1004" s="230"/>
      <c r="X1004" s="230"/>
      <c r="Y1004" s="230"/>
    </row>
    <row r="1005">
      <c r="O1005" s="230"/>
      <c r="R1005" s="230"/>
      <c r="S1005" s="230"/>
      <c r="T1005" s="230"/>
      <c r="U1005" s="230"/>
      <c r="V1005" s="230"/>
      <c r="W1005" s="230"/>
      <c r="X1005" s="230"/>
      <c r="Y1005" s="230"/>
    </row>
    <row r="1006">
      <c r="O1006" s="230"/>
      <c r="R1006" s="230"/>
      <c r="S1006" s="230"/>
      <c r="T1006" s="230"/>
      <c r="U1006" s="230"/>
      <c r="V1006" s="230"/>
      <c r="W1006" s="230"/>
      <c r="X1006" s="230"/>
      <c r="Y1006" s="230"/>
    </row>
    <row r="1007">
      <c r="O1007" s="230"/>
      <c r="R1007" s="230"/>
      <c r="S1007" s="230"/>
      <c r="T1007" s="230"/>
      <c r="U1007" s="230"/>
      <c r="V1007" s="230"/>
      <c r="W1007" s="230"/>
      <c r="X1007" s="230"/>
      <c r="Y1007" s="230"/>
    </row>
    <row r="1008">
      <c r="O1008" s="230"/>
      <c r="R1008" s="230"/>
      <c r="S1008" s="230"/>
      <c r="T1008" s="230"/>
      <c r="U1008" s="230"/>
      <c r="V1008" s="230"/>
      <c r="W1008" s="230"/>
      <c r="X1008" s="230"/>
      <c r="Y1008" s="230"/>
    </row>
    <row r="1009">
      <c r="O1009" s="230"/>
      <c r="R1009" s="230"/>
      <c r="S1009" s="230"/>
      <c r="T1009" s="230"/>
      <c r="U1009" s="230"/>
      <c r="V1009" s="230"/>
      <c r="W1009" s="230"/>
      <c r="X1009" s="230"/>
      <c r="Y1009" s="230"/>
    </row>
    <row r="1010">
      <c r="O1010" s="230"/>
      <c r="R1010" s="230"/>
      <c r="S1010" s="230"/>
      <c r="T1010" s="230"/>
      <c r="U1010" s="230"/>
      <c r="V1010" s="230"/>
      <c r="W1010" s="230"/>
      <c r="X1010" s="230"/>
      <c r="Y1010" s="230"/>
    </row>
    <row r="1011">
      <c r="O1011" s="230"/>
      <c r="R1011" s="230"/>
      <c r="S1011" s="230"/>
      <c r="T1011" s="230"/>
      <c r="U1011" s="230"/>
      <c r="V1011" s="230"/>
      <c r="W1011" s="230"/>
      <c r="X1011" s="230"/>
      <c r="Y1011" s="230"/>
    </row>
    <row r="1012">
      <c r="O1012" s="230"/>
      <c r="R1012" s="230"/>
      <c r="S1012" s="230"/>
      <c r="T1012" s="230"/>
      <c r="U1012" s="230"/>
      <c r="V1012" s="230"/>
      <c r="W1012" s="230"/>
      <c r="X1012" s="230"/>
      <c r="Y1012" s="230"/>
    </row>
    <row r="1013">
      <c r="O1013" s="230"/>
      <c r="R1013" s="230"/>
      <c r="S1013" s="230"/>
      <c r="T1013" s="230"/>
      <c r="U1013" s="230"/>
      <c r="V1013" s="230"/>
      <c r="W1013" s="230"/>
      <c r="X1013" s="230"/>
      <c r="Y1013" s="230"/>
    </row>
    <row r="1014">
      <c r="O1014" s="230"/>
      <c r="R1014" s="230"/>
      <c r="S1014" s="230"/>
      <c r="T1014" s="230"/>
      <c r="U1014" s="230"/>
      <c r="V1014" s="230"/>
      <c r="W1014" s="230"/>
      <c r="X1014" s="230"/>
      <c r="Y1014" s="230"/>
    </row>
    <row r="1015">
      <c r="O1015" s="230"/>
      <c r="R1015" s="230"/>
      <c r="S1015" s="230"/>
      <c r="T1015" s="230"/>
      <c r="U1015" s="230"/>
      <c r="V1015" s="230"/>
      <c r="W1015" s="230"/>
      <c r="X1015" s="230"/>
      <c r="Y1015" s="230"/>
    </row>
    <row r="1016">
      <c r="O1016" s="230"/>
      <c r="R1016" s="230"/>
      <c r="S1016" s="230"/>
      <c r="T1016" s="230"/>
      <c r="U1016" s="230"/>
      <c r="V1016" s="230"/>
      <c r="W1016" s="230"/>
      <c r="X1016" s="230"/>
      <c r="Y1016" s="230"/>
    </row>
    <row r="1017">
      <c r="O1017" s="230"/>
      <c r="R1017" s="230"/>
      <c r="S1017" s="230"/>
      <c r="T1017" s="230"/>
      <c r="U1017" s="230"/>
      <c r="V1017" s="230"/>
      <c r="W1017" s="230"/>
      <c r="X1017" s="230"/>
      <c r="Y1017" s="230"/>
    </row>
    <row r="1018">
      <c r="O1018" s="230"/>
      <c r="R1018" s="230"/>
      <c r="S1018" s="230"/>
      <c r="T1018" s="230"/>
      <c r="U1018" s="230"/>
      <c r="V1018" s="230"/>
      <c r="W1018" s="230"/>
      <c r="X1018" s="230"/>
      <c r="Y1018" s="230"/>
    </row>
    <row r="1019">
      <c r="O1019" s="230"/>
      <c r="R1019" s="230"/>
      <c r="S1019" s="230"/>
      <c r="T1019" s="230"/>
      <c r="U1019" s="230"/>
      <c r="V1019" s="230"/>
      <c r="W1019" s="230"/>
      <c r="X1019" s="230"/>
      <c r="Y1019" s="230"/>
    </row>
    <row r="1020">
      <c r="O1020" s="230"/>
      <c r="R1020" s="230"/>
      <c r="S1020" s="230"/>
      <c r="T1020" s="230"/>
      <c r="U1020" s="230"/>
      <c r="V1020" s="230"/>
      <c r="W1020" s="230"/>
      <c r="X1020" s="230"/>
      <c r="Y1020" s="230"/>
    </row>
    <row r="1021">
      <c r="O1021" s="230"/>
      <c r="R1021" s="230"/>
      <c r="S1021" s="230"/>
      <c r="T1021" s="230"/>
      <c r="U1021" s="230"/>
      <c r="V1021" s="230"/>
      <c r="W1021" s="230"/>
      <c r="X1021" s="230"/>
      <c r="Y1021" s="230"/>
    </row>
    <row r="1022">
      <c r="O1022" s="230"/>
      <c r="R1022" s="230"/>
      <c r="S1022" s="230"/>
      <c r="T1022" s="230"/>
      <c r="U1022" s="230"/>
      <c r="V1022" s="230"/>
      <c r="W1022" s="230"/>
      <c r="X1022" s="230"/>
      <c r="Y1022" s="230"/>
    </row>
    <row r="1023">
      <c r="O1023" s="230"/>
      <c r="R1023" s="230"/>
      <c r="S1023" s="230"/>
      <c r="T1023" s="230"/>
      <c r="U1023" s="230"/>
      <c r="V1023" s="230"/>
      <c r="W1023" s="230"/>
      <c r="X1023" s="230"/>
      <c r="Y1023" s="230"/>
    </row>
    <row r="1024">
      <c r="O1024" s="230"/>
      <c r="R1024" s="230"/>
      <c r="S1024" s="230"/>
      <c r="T1024" s="230"/>
      <c r="U1024" s="230"/>
      <c r="V1024" s="230"/>
      <c r="W1024" s="230"/>
      <c r="X1024" s="230"/>
      <c r="Y1024" s="230"/>
    </row>
    <row r="1025">
      <c r="O1025" s="230"/>
      <c r="R1025" s="230"/>
      <c r="S1025" s="230"/>
      <c r="T1025" s="230"/>
      <c r="U1025" s="230"/>
      <c r="V1025" s="230"/>
      <c r="W1025" s="230"/>
      <c r="X1025" s="230"/>
      <c r="Y1025" s="230"/>
    </row>
    <row r="1026">
      <c r="O1026" s="230"/>
      <c r="R1026" s="230"/>
      <c r="S1026" s="230"/>
      <c r="T1026" s="230"/>
      <c r="U1026" s="230"/>
      <c r="V1026" s="230"/>
      <c r="W1026" s="230"/>
      <c r="X1026" s="230"/>
      <c r="Y1026" s="230"/>
    </row>
    <row r="1027">
      <c r="O1027" s="230"/>
      <c r="R1027" s="230"/>
      <c r="S1027" s="230"/>
      <c r="T1027" s="230"/>
      <c r="U1027" s="230"/>
      <c r="V1027" s="230"/>
      <c r="W1027" s="230"/>
      <c r="X1027" s="230"/>
      <c r="Y1027" s="230"/>
    </row>
    <row r="1028">
      <c r="O1028" s="230"/>
      <c r="R1028" s="230"/>
      <c r="S1028" s="230"/>
      <c r="T1028" s="230"/>
      <c r="U1028" s="230"/>
      <c r="V1028" s="230"/>
      <c r="W1028" s="230"/>
      <c r="X1028" s="230"/>
      <c r="Y1028" s="230"/>
    </row>
    <row r="1029">
      <c r="O1029" s="230"/>
      <c r="R1029" s="230"/>
      <c r="S1029" s="230"/>
      <c r="T1029" s="230"/>
      <c r="U1029" s="230"/>
      <c r="V1029" s="230"/>
      <c r="W1029" s="230"/>
      <c r="X1029" s="230"/>
      <c r="Y1029" s="230"/>
    </row>
    <row r="1030">
      <c r="O1030" s="230"/>
      <c r="R1030" s="230"/>
      <c r="S1030" s="230"/>
      <c r="T1030" s="230"/>
      <c r="U1030" s="230"/>
      <c r="V1030" s="230"/>
      <c r="W1030" s="230"/>
      <c r="X1030" s="230"/>
      <c r="Y1030" s="230"/>
    </row>
    <row r="1031">
      <c r="O1031" s="230"/>
      <c r="R1031" s="230"/>
      <c r="S1031" s="230"/>
      <c r="T1031" s="230"/>
      <c r="U1031" s="230"/>
      <c r="V1031" s="230"/>
      <c r="W1031" s="230"/>
      <c r="X1031" s="230"/>
      <c r="Y1031" s="230"/>
    </row>
    <row r="1032">
      <c r="O1032" s="230"/>
      <c r="R1032" s="230"/>
      <c r="S1032" s="230"/>
      <c r="T1032" s="230"/>
      <c r="U1032" s="230"/>
      <c r="V1032" s="230"/>
      <c r="W1032" s="230"/>
      <c r="X1032" s="230"/>
      <c r="Y1032" s="230"/>
    </row>
    <row r="1033">
      <c r="O1033" s="230"/>
      <c r="R1033" s="230"/>
      <c r="S1033" s="230"/>
      <c r="T1033" s="230"/>
      <c r="U1033" s="230"/>
      <c r="V1033" s="230"/>
      <c r="W1033" s="230"/>
      <c r="X1033" s="230"/>
      <c r="Y1033" s="230"/>
    </row>
    <row r="1034">
      <c r="O1034" s="230"/>
      <c r="R1034" s="230"/>
      <c r="S1034" s="230"/>
      <c r="T1034" s="230"/>
      <c r="U1034" s="230"/>
      <c r="V1034" s="230"/>
      <c r="W1034" s="230"/>
      <c r="X1034" s="230"/>
      <c r="Y1034" s="230"/>
    </row>
    <row r="1035">
      <c r="O1035" s="230"/>
      <c r="R1035" s="230"/>
      <c r="S1035" s="230"/>
      <c r="T1035" s="230"/>
      <c r="U1035" s="230"/>
      <c r="V1035" s="230"/>
      <c r="W1035" s="230"/>
      <c r="X1035" s="230"/>
      <c r="Y1035" s="230"/>
    </row>
    <row r="1036">
      <c r="O1036" s="230"/>
      <c r="R1036" s="230"/>
      <c r="S1036" s="230"/>
      <c r="T1036" s="230"/>
      <c r="U1036" s="230"/>
      <c r="V1036" s="230"/>
      <c r="W1036" s="230"/>
      <c r="X1036" s="230"/>
      <c r="Y1036" s="230"/>
    </row>
    <row r="1037">
      <c r="O1037" s="230"/>
      <c r="R1037" s="230"/>
      <c r="S1037" s="230"/>
      <c r="T1037" s="230"/>
      <c r="U1037" s="230"/>
      <c r="V1037" s="230"/>
      <c r="W1037" s="230"/>
      <c r="X1037" s="230"/>
      <c r="Y1037" s="230"/>
    </row>
    <row r="1038">
      <c r="O1038" s="230"/>
      <c r="R1038" s="230"/>
      <c r="S1038" s="230"/>
      <c r="T1038" s="230"/>
      <c r="U1038" s="230"/>
      <c r="V1038" s="230"/>
      <c r="W1038" s="230"/>
      <c r="X1038" s="230"/>
      <c r="Y1038" s="230"/>
    </row>
    <row r="1039">
      <c r="O1039" s="230"/>
      <c r="R1039" s="230"/>
      <c r="S1039" s="230"/>
      <c r="T1039" s="230"/>
      <c r="U1039" s="230"/>
      <c r="V1039" s="230"/>
      <c r="W1039" s="230"/>
      <c r="X1039" s="230"/>
      <c r="Y1039" s="230"/>
    </row>
    <row r="1040">
      <c r="O1040" s="230"/>
      <c r="R1040" s="230"/>
      <c r="S1040" s="230"/>
      <c r="T1040" s="230"/>
      <c r="U1040" s="230"/>
      <c r="V1040" s="230"/>
      <c r="W1040" s="230"/>
      <c r="X1040" s="230"/>
      <c r="Y1040" s="230"/>
    </row>
    <row r="1041">
      <c r="O1041" s="230"/>
      <c r="R1041" s="230"/>
      <c r="S1041" s="230"/>
      <c r="T1041" s="230"/>
      <c r="U1041" s="230"/>
      <c r="V1041" s="230"/>
      <c r="W1041" s="230"/>
      <c r="X1041" s="230"/>
      <c r="Y1041" s="230"/>
    </row>
    <row r="1042">
      <c r="O1042" s="230"/>
      <c r="R1042" s="230"/>
      <c r="S1042" s="230"/>
      <c r="T1042" s="230"/>
      <c r="U1042" s="230"/>
      <c r="V1042" s="230"/>
      <c r="W1042" s="230"/>
      <c r="X1042" s="230"/>
      <c r="Y1042" s="230"/>
    </row>
    <row r="1043">
      <c r="O1043" s="230"/>
      <c r="R1043" s="230"/>
      <c r="S1043" s="230"/>
      <c r="T1043" s="230"/>
      <c r="U1043" s="230"/>
      <c r="V1043" s="230"/>
      <c r="W1043" s="230"/>
      <c r="X1043" s="230"/>
      <c r="Y1043" s="230"/>
    </row>
    <row r="1044">
      <c r="O1044" s="230"/>
      <c r="R1044" s="230"/>
      <c r="S1044" s="230"/>
      <c r="T1044" s="230"/>
      <c r="U1044" s="230"/>
      <c r="V1044" s="230"/>
      <c r="W1044" s="230"/>
      <c r="X1044" s="230"/>
      <c r="Y1044" s="230"/>
    </row>
    <row r="1045">
      <c r="O1045" s="230"/>
      <c r="R1045" s="230"/>
      <c r="S1045" s="230"/>
      <c r="T1045" s="230"/>
      <c r="U1045" s="230"/>
      <c r="V1045" s="230"/>
      <c r="W1045" s="230"/>
      <c r="X1045" s="230"/>
      <c r="Y1045" s="230"/>
    </row>
    <row r="1046">
      <c r="O1046" s="230"/>
      <c r="R1046" s="230"/>
      <c r="S1046" s="230"/>
      <c r="T1046" s="230"/>
      <c r="U1046" s="230"/>
      <c r="V1046" s="230"/>
      <c r="W1046" s="230"/>
      <c r="X1046" s="230"/>
      <c r="Y1046" s="230"/>
    </row>
    <row r="1047">
      <c r="O1047" s="230"/>
      <c r="R1047" s="230"/>
      <c r="S1047" s="230"/>
      <c r="T1047" s="230"/>
      <c r="U1047" s="230"/>
      <c r="V1047" s="230"/>
      <c r="W1047" s="230"/>
      <c r="X1047" s="230"/>
      <c r="Y1047" s="230"/>
    </row>
    <row r="1048">
      <c r="O1048" s="230"/>
      <c r="R1048" s="230"/>
      <c r="S1048" s="230"/>
      <c r="T1048" s="230"/>
      <c r="U1048" s="230"/>
      <c r="V1048" s="230"/>
      <c r="W1048" s="230"/>
      <c r="X1048" s="230"/>
      <c r="Y1048" s="230"/>
    </row>
    <row r="1049">
      <c r="O1049" s="230"/>
      <c r="R1049" s="230"/>
      <c r="S1049" s="230"/>
      <c r="T1049" s="230"/>
      <c r="U1049" s="230"/>
      <c r="V1049" s="230"/>
      <c r="W1049" s="230"/>
      <c r="X1049" s="230"/>
      <c r="Y1049" s="230"/>
    </row>
    <row r="1050">
      <c r="O1050" s="230"/>
      <c r="R1050" s="230"/>
      <c r="S1050" s="230"/>
      <c r="T1050" s="230"/>
      <c r="U1050" s="230"/>
      <c r="V1050" s="230"/>
      <c r="W1050" s="230"/>
      <c r="X1050" s="230"/>
      <c r="Y1050" s="230"/>
    </row>
    <row r="1051">
      <c r="O1051" s="230"/>
      <c r="R1051" s="230"/>
      <c r="S1051" s="230"/>
      <c r="T1051" s="230"/>
      <c r="U1051" s="230"/>
      <c r="V1051" s="230"/>
      <c r="W1051" s="230"/>
      <c r="X1051" s="230"/>
      <c r="Y1051" s="230"/>
    </row>
    <row r="1052">
      <c r="O1052" s="230"/>
      <c r="R1052" s="230"/>
      <c r="S1052" s="230"/>
      <c r="T1052" s="230"/>
      <c r="U1052" s="230"/>
      <c r="V1052" s="230"/>
      <c r="W1052" s="230"/>
      <c r="X1052" s="230"/>
      <c r="Y1052" s="230"/>
    </row>
    <row r="1053">
      <c r="O1053" s="230"/>
      <c r="R1053" s="230"/>
      <c r="S1053" s="230"/>
      <c r="T1053" s="230"/>
      <c r="U1053" s="230"/>
      <c r="V1053" s="230"/>
      <c r="W1053" s="230"/>
      <c r="X1053" s="230"/>
      <c r="Y1053" s="230"/>
    </row>
    <row r="1054">
      <c r="O1054" s="230"/>
      <c r="R1054" s="230"/>
      <c r="S1054" s="230"/>
      <c r="T1054" s="230"/>
      <c r="U1054" s="230"/>
      <c r="V1054" s="230"/>
      <c r="W1054" s="230"/>
      <c r="X1054" s="230"/>
      <c r="Y1054" s="230"/>
    </row>
    <row r="1055">
      <c r="O1055" s="230"/>
      <c r="R1055" s="230"/>
      <c r="S1055" s="230"/>
      <c r="T1055" s="230"/>
      <c r="U1055" s="230"/>
      <c r="V1055" s="230"/>
      <c r="W1055" s="230"/>
      <c r="X1055" s="230"/>
      <c r="Y1055" s="230"/>
    </row>
    <row r="1056">
      <c r="O1056" s="230"/>
      <c r="R1056" s="230"/>
      <c r="S1056" s="230"/>
      <c r="T1056" s="230"/>
      <c r="U1056" s="230"/>
      <c r="V1056" s="230"/>
      <c r="W1056" s="230"/>
      <c r="X1056" s="230"/>
      <c r="Y1056" s="230"/>
    </row>
    <row r="1057">
      <c r="O1057" s="230"/>
      <c r="R1057" s="230"/>
      <c r="S1057" s="230"/>
      <c r="T1057" s="230"/>
      <c r="U1057" s="230"/>
      <c r="V1057" s="230"/>
      <c r="W1057" s="230"/>
      <c r="X1057" s="230"/>
      <c r="Y1057" s="230"/>
    </row>
    <row r="1058">
      <c r="O1058" s="230"/>
      <c r="R1058" s="230"/>
      <c r="S1058" s="230"/>
      <c r="T1058" s="230"/>
      <c r="U1058" s="230"/>
      <c r="V1058" s="230"/>
      <c r="W1058" s="230"/>
      <c r="X1058" s="230"/>
      <c r="Y1058" s="230"/>
    </row>
    <row r="1059">
      <c r="O1059" s="230"/>
      <c r="R1059" s="230"/>
      <c r="S1059" s="230"/>
      <c r="T1059" s="230"/>
      <c r="U1059" s="230"/>
      <c r="V1059" s="230"/>
      <c r="W1059" s="230"/>
      <c r="X1059" s="230"/>
      <c r="Y1059" s="230"/>
    </row>
    <row r="1060">
      <c r="O1060" s="230"/>
      <c r="R1060" s="230"/>
      <c r="S1060" s="230"/>
      <c r="T1060" s="230"/>
      <c r="U1060" s="230"/>
      <c r="V1060" s="230"/>
      <c r="W1060" s="230"/>
      <c r="X1060" s="230"/>
      <c r="Y1060" s="230"/>
    </row>
    <row r="1061">
      <c r="O1061" s="230"/>
      <c r="R1061" s="230"/>
      <c r="S1061" s="230"/>
      <c r="T1061" s="230"/>
      <c r="U1061" s="230"/>
      <c r="V1061" s="230"/>
      <c r="W1061" s="230"/>
      <c r="X1061" s="230"/>
      <c r="Y1061" s="230"/>
    </row>
    <row r="1062">
      <c r="O1062" s="230"/>
      <c r="R1062" s="230"/>
      <c r="S1062" s="230"/>
      <c r="T1062" s="230"/>
      <c r="U1062" s="230"/>
      <c r="V1062" s="230"/>
      <c r="W1062" s="230"/>
      <c r="X1062" s="230"/>
      <c r="Y1062" s="230"/>
    </row>
    <row r="1063">
      <c r="O1063" s="230"/>
      <c r="R1063" s="230"/>
      <c r="S1063" s="230"/>
      <c r="T1063" s="230"/>
      <c r="U1063" s="230"/>
      <c r="V1063" s="230"/>
      <c r="W1063" s="230"/>
      <c r="X1063" s="230"/>
      <c r="Y1063" s="230"/>
    </row>
    <row r="1064">
      <c r="O1064" s="230"/>
      <c r="R1064" s="230"/>
      <c r="S1064" s="230"/>
      <c r="T1064" s="230"/>
      <c r="U1064" s="230"/>
      <c r="V1064" s="230"/>
      <c r="W1064" s="230"/>
      <c r="X1064" s="230"/>
      <c r="Y1064" s="230"/>
    </row>
    <row r="1065">
      <c r="O1065" s="230"/>
      <c r="R1065" s="230"/>
      <c r="S1065" s="230"/>
      <c r="T1065" s="230"/>
      <c r="U1065" s="230"/>
      <c r="V1065" s="230"/>
      <c r="W1065" s="230"/>
      <c r="X1065" s="230"/>
      <c r="Y1065" s="230"/>
    </row>
    <row r="1066">
      <c r="O1066" s="230"/>
      <c r="R1066" s="230"/>
      <c r="S1066" s="230"/>
      <c r="T1066" s="230"/>
      <c r="U1066" s="230"/>
      <c r="V1066" s="230"/>
      <c r="W1066" s="230"/>
      <c r="X1066" s="230"/>
      <c r="Y1066" s="230"/>
    </row>
    <row r="1067">
      <c r="O1067" s="230"/>
      <c r="R1067" s="230"/>
      <c r="S1067" s="230"/>
      <c r="T1067" s="230"/>
      <c r="U1067" s="230"/>
      <c r="V1067" s="230"/>
      <c r="W1067" s="230"/>
      <c r="X1067" s="230"/>
      <c r="Y1067" s="230"/>
    </row>
    <row r="1068">
      <c r="O1068" s="230"/>
      <c r="R1068" s="230"/>
      <c r="S1068" s="230"/>
      <c r="T1068" s="230"/>
      <c r="U1068" s="230"/>
      <c r="V1068" s="230"/>
      <c r="W1068" s="230"/>
      <c r="X1068" s="230"/>
      <c r="Y1068" s="230"/>
    </row>
    <row r="1069">
      <c r="O1069" s="230"/>
      <c r="R1069" s="230"/>
      <c r="S1069" s="230"/>
      <c r="T1069" s="230"/>
      <c r="U1069" s="230"/>
      <c r="V1069" s="230"/>
      <c r="W1069" s="230"/>
      <c r="X1069" s="230"/>
      <c r="Y1069" s="230"/>
    </row>
    <row r="1070">
      <c r="O1070" s="230"/>
      <c r="R1070" s="230"/>
      <c r="S1070" s="230"/>
      <c r="T1070" s="230"/>
      <c r="U1070" s="230"/>
      <c r="V1070" s="230"/>
      <c r="W1070" s="230"/>
      <c r="X1070" s="230"/>
      <c r="Y1070" s="230"/>
    </row>
    <row r="1071">
      <c r="O1071" s="230"/>
      <c r="R1071" s="230"/>
      <c r="S1071" s="230"/>
      <c r="T1071" s="230"/>
      <c r="U1071" s="230"/>
      <c r="V1071" s="230"/>
      <c r="W1071" s="230"/>
      <c r="X1071" s="230"/>
      <c r="Y1071" s="230"/>
    </row>
    <row r="1072">
      <c r="O1072" s="230"/>
      <c r="R1072" s="230"/>
      <c r="S1072" s="230"/>
      <c r="T1072" s="230"/>
      <c r="U1072" s="230"/>
      <c r="V1072" s="230"/>
      <c r="W1072" s="230"/>
      <c r="X1072" s="230"/>
      <c r="Y1072" s="230"/>
    </row>
    <row r="1073">
      <c r="O1073" s="230"/>
      <c r="R1073" s="230"/>
      <c r="S1073" s="230"/>
      <c r="T1073" s="230"/>
      <c r="U1073" s="230"/>
      <c r="V1073" s="230"/>
      <c r="W1073" s="230"/>
      <c r="X1073" s="230"/>
      <c r="Y1073" s="230"/>
    </row>
    <row r="1074">
      <c r="O1074" s="230"/>
      <c r="R1074" s="230"/>
      <c r="S1074" s="230"/>
      <c r="T1074" s="230"/>
      <c r="U1074" s="230"/>
      <c r="V1074" s="230"/>
      <c r="W1074" s="230"/>
      <c r="X1074" s="230"/>
      <c r="Y1074" s="230"/>
    </row>
    <row r="1075">
      <c r="O1075" s="230"/>
      <c r="R1075" s="230"/>
      <c r="S1075" s="230"/>
      <c r="T1075" s="230"/>
      <c r="U1075" s="230"/>
      <c r="V1075" s="230"/>
      <c r="W1075" s="230"/>
      <c r="X1075" s="230"/>
      <c r="Y1075" s="230"/>
    </row>
    <row r="1076">
      <c r="O1076" s="230"/>
      <c r="R1076" s="230"/>
      <c r="S1076" s="230"/>
      <c r="T1076" s="230"/>
      <c r="U1076" s="230"/>
      <c r="V1076" s="230"/>
      <c r="W1076" s="230"/>
      <c r="X1076" s="230"/>
      <c r="Y1076" s="230"/>
    </row>
    <row r="1077">
      <c r="O1077" s="230"/>
      <c r="R1077" s="230"/>
      <c r="S1077" s="230"/>
      <c r="T1077" s="230"/>
      <c r="U1077" s="230"/>
      <c r="V1077" s="230"/>
      <c r="W1077" s="230"/>
      <c r="X1077" s="230"/>
      <c r="Y1077" s="230"/>
    </row>
    <row r="1078">
      <c r="O1078" s="230"/>
      <c r="R1078" s="230"/>
      <c r="S1078" s="230"/>
      <c r="T1078" s="230"/>
      <c r="U1078" s="230"/>
      <c r="V1078" s="230"/>
      <c r="W1078" s="230"/>
      <c r="X1078" s="230"/>
      <c r="Y1078" s="230"/>
    </row>
    <row r="1079">
      <c r="O1079" s="230"/>
      <c r="R1079" s="230"/>
      <c r="S1079" s="230"/>
      <c r="T1079" s="230"/>
      <c r="U1079" s="230"/>
      <c r="V1079" s="230"/>
      <c r="W1079" s="230"/>
      <c r="X1079" s="230"/>
      <c r="Y1079" s="230"/>
    </row>
    <row r="1080">
      <c r="O1080" s="230"/>
      <c r="R1080" s="230"/>
      <c r="S1080" s="230"/>
      <c r="T1080" s="230"/>
      <c r="U1080" s="230"/>
      <c r="V1080" s="230"/>
      <c r="W1080" s="230"/>
      <c r="X1080" s="230"/>
      <c r="Y1080" s="230"/>
    </row>
    <row r="1081">
      <c r="O1081" s="230"/>
      <c r="R1081" s="230"/>
      <c r="S1081" s="230"/>
      <c r="T1081" s="230"/>
      <c r="U1081" s="230"/>
      <c r="V1081" s="230"/>
      <c r="W1081" s="230"/>
      <c r="X1081" s="230"/>
      <c r="Y1081" s="230"/>
    </row>
    <row r="1082">
      <c r="O1082" s="230"/>
      <c r="R1082" s="230"/>
      <c r="S1082" s="230"/>
      <c r="T1082" s="230"/>
      <c r="U1082" s="230"/>
      <c r="V1082" s="230"/>
      <c r="W1082" s="230"/>
      <c r="X1082" s="230"/>
      <c r="Y1082" s="230"/>
    </row>
    <row r="1083">
      <c r="O1083" s="230"/>
      <c r="R1083" s="230"/>
      <c r="S1083" s="230"/>
      <c r="T1083" s="230"/>
      <c r="U1083" s="230"/>
      <c r="V1083" s="230"/>
      <c r="W1083" s="230"/>
      <c r="X1083" s="230"/>
      <c r="Y1083" s="230"/>
    </row>
    <row r="1084">
      <c r="O1084" s="230"/>
      <c r="R1084" s="230"/>
      <c r="S1084" s="230"/>
      <c r="T1084" s="230"/>
      <c r="U1084" s="230"/>
      <c r="V1084" s="230"/>
      <c r="W1084" s="230"/>
      <c r="X1084" s="230"/>
      <c r="Y1084" s="230"/>
    </row>
    <row r="1085">
      <c r="O1085" s="230"/>
      <c r="R1085" s="230"/>
      <c r="S1085" s="230"/>
      <c r="T1085" s="230"/>
      <c r="U1085" s="230"/>
      <c r="V1085" s="230"/>
      <c r="W1085" s="230"/>
      <c r="X1085" s="230"/>
      <c r="Y1085" s="230"/>
    </row>
    <row r="1086">
      <c r="O1086" s="230"/>
      <c r="R1086" s="230"/>
      <c r="S1086" s="230"/>
      <c r="T1086" s="230"/>
      <c r="U1086" s="230"/>
      <c r="V1086" s="230"/>
      <c r="W1086" s="230"/>
      <c r="X1086" s="230"/>
      <c r="Y1086" s="230"/>
    </row>
    <row r="1087">
      <c r="O1087" s="230"/>
      <c r="R1087" s="230"/>
      <c r="S1087" s="230"/>
      <c r="T1087" s="230"/>
      <c r="U1087" s="230"/>
      <c r="V1087" s="230"/>
      <c r="W1087" s="230"/>
      <c r="X1087" s="230"/>
      <c r="Y1087" s="230"/>
    </row>
    <row r="1088">
      <c r="O1088" s="230"/>
      <c r="R1088" s="230"/>
      <c r="S1088" s="230"/>
      <c r="T1088" s="230"/>
      <c r="U1088" s="230"/>
      <c r="V1088" s="230"/>
      <c r="W1088" s="230"/>
      <c r="X1088" s="230"/>
      <c r="Y1088" s="230"/>
    </row>
    <row r="1089">
      <c r="O1089" s="230"/>
      <c r="R1089" s="230"/>
      <c r="S1089" s="230"/>
      <c r="T1089" s="230"/>
      <c r="U1089" s="230"/>
      <c r="V1089" s="230"/>
      <c r="W1089" s="230"/>
      <c r="X1089" s="230"/>
      <c r="Y1089" s="230"/>
    </row>
    <row r="1090">
      <c r="O1090" s="230"/>
      <c r="R1090" s="230"/>
      <c r="S1090" s="230"/>
      <c r="T1090" s="230"/>
      <c r="U1090" s="230"/>
      <c r="V1090" s="230"/>
      <c r="W1090" s="230"/>
      <c r="X1090" s="230"/>
      <c r="Y1090" s="230"/>
    </row>
    <row r="1091">
      <c r="O1091" s="230"/>
      <c r="R1091" s="230"/>
      <c r="S1091" s="230"/>
      <c r="T1091" s="230"/>
      <c r="U1091" s="230"/>
      <c r="V1091" s="230"/>
      <c r="W1091" s="230"/>
      <c r="X1091" s="230"/>
      <c r="Y1091" s="230"/>
    </row>
    <row r="1092">
      <c r="O1092" s="230"/>
      <c r="R1092" s="230"/>
      <c r="S1092" s="230"/>
      <c r="T1092" s="230"/>
      <c r="U1092" s="230"/>
      <c r="V1092" s="230"/>
      <c r="W1092" s="230"/>
      <c r="X1092" s="230"/>
      <c r="Y1092" s="230"/>
    </row>
    <row r="1093">
      <c r="O1093" s="230"/>
      <c r="R1093" s="230"/>
      <c r="S1093" s="230"/>
      <c r="T1093" s="230"/>
      <c r="U1093" s="230"/>
      <c r="V1093" s="230"/>
      <c r="W1093" s="230"/>
      <c r="X1093" s="230"/>
      <c r="Y1093" s="230"/>
    </row>
    <row r="1094">
      <c r="O1094" s="230"/>
      <c r="R1094" s="230"/>
      <c r="S1094" s="230"/>
      <c r="T1094" s="230"/>
      <c r="U1094" s="230"/>
      <c r="V1094" s="230"/>
      <c r="W1094" s="230"/>
      <c r="X1094" s="230"/>
      <c r="Y1094" s="230"/>
    </row>
    <row r="1095">
      <c r="O1095" s="230"/>
      <c r="R1095" s="230"/>
      <c r="S1095" s="230"/>
      <c r="T1095" s="230"/>
      <c r="U1095" s="230"/>
      <c r="V1095" s="230"/>
      <c r="W1095" s="230"/>
      <c r="X1095" s="230"/>
      <c r="Y1095" s="230"/>
    </row>
    <row r="1096">
      <c r="O1096" s="230"/>
      <c r="R1096" s="230"/>
      <c r="S1096" s="230"/>
      <c r="T1096" s="230"/>
      <c r="U1096" s="230"/>
      <c r="V1096" s="230"/>
      <c r="W1096" s="230"/>
      <c r="X1096" s="230"/>
      <c r="Y1096" s="230"/>
    </row>
    <row r="1097">
      <c r="O1097" s="230"/>
      <c r="R1097" s="230"/>
      <c r="S1097" s="230"/>
      <c r="T1097" s="230"/>
      <c r="U1097" s="230"/>
      <c r="V1097" s="230"/>
      <c r="W1097" s="230"/>
      <c r="X1097" s="230"/>
      <c r="Y1097" s="230"/>
    </row>
    <row r="1098">
      <c r="O1098" s="230"/>
      <c r="R1098" s="230"/>
      <c r="S1098" s="230"/>
      <c r="T1098" s="230"/>
      <c r="U1098" s="230"/>
      <c r="V1098" s="230"/>
      <c r="W1098" s="230"/>
      <c r="X1098" s="230"/>
      <c r="Y1098" s="230"/>
    </row>
    <row r="1099">
      <c r="O1099" s="230"/>
      <c r="R1099" s="230"/>
      <c r="S1099" s="230"/>
      <c r="T1099" s="230"/>
      <c r="U1099" s="230"/>
      <c r="V1099" s="230"/>
      <c r="W1099" s="230"/>
      <c r="X1099" s="230"/>
      <c r="Y1099" s="230"/>
    </row>
    <row r="1100">
      <c r="O1100" s="230"/>
      <c r="R1100" s="230"/>
      <c r="S1100" s="230"/>
      <c r="T1100" s="230"/>
      <c r="U1100" s="230"/>
      <c r="V1100" s="230"/>
      <c r="W1100" s="230"/>
      <c r="X1100" s="230"/>
      <c r="Y1100" s="230"/>
    </row>
    <row r="1101">
      <c r="O1101" s="230"/>
      <c r="R1101" s="230"/>
      <c r="S1101" s="230"/>
      <c r="T1101" s="230"/>
      <c r="U1101" s="230"/>
      <c r="V1101" s="230"/>
      <c r="W1101" s="230"/>
      <c r="X1101" s="230"/>
      <c r="Y1101" s="230"/>
    </row>
    <row r="1102">
      <c r="O1102" s="230"/>
      <c r="R1102" s="230"/>
      <c r="S1102" s="230"/>
      <c r="T1102" s="230"/>
      <c r="U1102" s="230"/>
      <c r="V1102" s="230"/>
      <c r="W1102" s="230"/>
      <c r="X1102" s="230"/>
      <c r="Y1102" s="230"/>
    </row>
    <row r="1103">
      <c r="O1103" s="230"/>
      <c r="R1103" s="230"/>
      <c r="S1103" s="230"/>
      <c r="T1103" s="230"/>
      <c r="U1103" s="230"/>
      <c r="V1103" s="230"/>
      <c r="W1103" s="230"/>
      <c r="X1103" s="230"/>
      <c r="Y1103" s="230"/>
    </row>
    <row r="1104">
      <c r="O1104" s="230"/>
      <c r="R1104" s="230"/>
      <c r="S1104" s="230"/>
      <c r="T1104" s="230"/>
      <c r="U1104" s="230"/>
      <c r="V1104" s="230"/>
      <c r="W1104" s="230"/>
      <c r="X1104" s="230"/>
      <c r="Y1104" s="230"/>
    </row>
    <row r="1105">
      <c r="O1105" s="230"/>
      <c r="R1105" s="230"/>
      <c r="S1105" s="230"/>
      <c r="T1105" s="230"/>
      <c r="U1105" s="230"/>
      <c r="V1105" s="230"/>
      <c r="W1105" s="230"/>
      <c r="X1105" s="230"/>
      <c r="Y1105" s="230"/>
    </row>
    <row r="1106">
      <c r="O1106" s="230"/>
      <c r="R1106" s="230"/>
      <c r="S1106" s="230"/>
      <c r="T1106" s="230"/>
      <c r="U1106" s="230"/>
      <c r="V1106" s="230"/>
      <c r="W1106" s="230"/>
      <c r="X1106" s="230"/>
      <c r="Y1106" s="230"/>
    </row>
    <row r="1107">
      <c r="O1107" s="230"/>
      <c r="R1107" s="230"/>
      <c r="S1107" s="230"/>
      <c r="T1107" s="230"/>
      <c r="U1107" s="230"/>
      <c r="V1107" s="230"/>
      <c r="W1107" s="230"/>
      <c r="X1107" s="230"/>
      <c r="Y1107" s="230"/>
    </row>
    <row r="1108">
      <c r="O1108" s="230"/>
      <c r="R1108" s="230"/>
      <c r="S1108" s="230"/>
      <c r="T1108" s="230"/>
      <c r="U1108" s="230"/>
      <c r="V1108" s="230"/>
      <c r="W1108" s="230"/>
      <c r="X1108" s="230"/>
      <c r="Y1108" s="230"/>
    </row>
    <row r="1109">
      <c r="O1109" s="230"/>
      <c r="R1109" s="230"/>
      <c r="S1109" s="230"/>
      <c r="T1109" s="230"/>
      <c r="U1109" s="230"/>
      <c r="V1109" s="230"/>
      <c r="W1109" s="230"/>
      <c r="X1109" s="230"/>
      <c r="Y1109" s="230"/>
    </row>
    <row r="1110">
      <c r="O1110" s="230"/>
      <c r="R1110" s="230"/>
      <c r="S1110" s="230"/>
      <c r="T1110" s="230"/>
      <c r="U1110" s="230"/>
      <c r="V1110" s="230"/>
      <c r="W1110" s="230"/>
      <c r="X1110" s="230"/>
      <c r="Y1110" s="230"/>
    </row>
    <row r="1111">
      <c r="O1111" s="230"/>
      <c r="R1111" s="230"/>
      <c r="S1111" s="230"/>
      <c r="T1111" s="230"/>
      <c r="U1111" s="230"/>
      <c r="V1111" s="230"/>
      <c r="W1111" s="230"/>
      <c r="X1111" s="230"/>
      <c r="Y1111" s="230"/>
    </row>
    <row r="1112">
      <c r="O1112" s="230"/>
      <c r="R1112" s="230"/>
      <c r="S1112" s="230"/>
      <c r="T1112" s="230"/>
      <c r="U1112" s="230"/>
      <c r="V1112" s="230"/>
      <c r="W1112" s="230"/>
      <c r="X1112" s="230"/>
      <c r="Y1112" s="230"/>
    </row>
    <row r="1113">
      <c r="O1113" s="230"/>
      <c r="R1113" s="230"/>
      <c r="S1113" s="230"/>
      <c r="T1113" s="230"/>
      <c r="U1113" s="230"/>
      <c r="V1113" s="230"/>
      <c r="W1113" s="230"/>
      <c r="X1113" s="230"/>
      <c r="Y1113" s="230"/>
    </row>
    <row r="1114">
      <c r="O1114" s="230"/>
      <c r="R1114" s="230"/>
      <c r="S1114" s="230"/>
      <c r="T1114" s="230"/>
      <c r="U1114" s="230"/>
      <c r="V1114" s="230"/>
      <c r="W1114" s="230"/>
      <c r="X1114" s="230"/>
      <c r="Y1114" s="230"/>
    </row>
    <row r="1115">
      <c r="O1115" s="230"/>
      <c r="R1115" s="230"/>
      <c r="S1115" s="230"/>
      <c r="T1115" s="230"/>
      <c r="U1115" s="230"/>
      <c r="V1115" s="230"/>
      <c r="W1115" s="230"/>
      <c r="X1115" s="230"/>
      <c r="Y1115" s="230"/>
    </row>
    <row r="1116">
      <c r="O1116" s="230"/>
      <c r="R1116" s="230"/>
      <c r="S1116" s="230"/>
      <c r="T1116" s="230"/>
      <c r="U1116" s="230"/>
      <c r="V1116" s="230"/>
      <c r="W1116" s="230"/>
      <c r="X1116" s="230"/>
      <c r="Y1116" s="230"/>
    </row>
    <row r="1117">
      <c r="O1117" s="230"/>
      <c r="R1117" s="230"/>
      <c r="S1117" s="230"/>
      <c r="T1117" s="230"/>
      <c r="U1117" s="230"/>
      <c r="V1117" s="230"/>
      <c r="W1117" s="230"/>
      <c r="X1117" s="230"/>
      <c r="Y1117" s="230"/>
    </row>
    <row r="1118">
      <c r="O1118" s="230"/>
      <c r="R1118" s="230"/>
      <c r="S1118" s="230"/>
      <c r="T1118" s="230"/>
      <c r="U1118" s="230"/>
      <c r="V1118" s="230"/>
      <c r="W1118" s="230"/>
      <c r="X1118" s="230"/>
      <c r="Y1118" s="230"/>
    </row>
    <row r="1119">
      <c r="O1119" s="230"/>
      <c r="R1119" s="230"/>
      <c r="S1119" s="230"/>
      <c r="T1119" s="230"/>
      <c r="U1119" s="230"/>
      <c r="V1119" s="230"/>
      <c r="W1119" s="230"/>
      <c r="X1119" s="230"/>
      <c r="Y1119" s="230"/>
    </row>
    <row r="1120">
      <c r="O1120" s="230"/>
      <c r="R1120" s="230"/>
      <c r="S1120" s="230"/>
      <c r="T1120" s="230"/>
      <c r="U1120" s="230"/>
      <c r="V1120" s="230"/>
      <c r="W1120" s="230"/>
      <c r="X1120" s="230"/>
      <c r="Y1120" s="230"/>
    </row>
    <row r="1121">
      <c r="O1121" s="230"/>
      <c r="R1121" s="230"/>
      <c r="S1121" s="230"/>
      <c r="T1121" s="230"/>
      <c r="U1121" s="230"/>
      <c r="V1121" s="230"/>
      <c r="W1121" s="230"/>
      <c r="X1121" s="230"/>
      <c r="Y1121" s="230"/>
    </row>
    <row r="1122">
      <c r="O1122" s="230"/>
      <c r="R1122" s="230"/>
      <c r="S1122" s="230"/>
      <c r="T1122" s="230"/>
      <c r="U1122" s="230"/>
      <c r="V1122" s="230"/>
      <c r="W1122" s="230"/>
      <c r="X1122" s="230"/>
      <c r="Y1122" s="230"/>
    </row>
    <row r="1123">
      <c r="O1123" s="230"/>
      <c r="R1123" s="230"/>
      <c r="S1123" s="230"/>
      <c r="T1123" s="230"/>
      <c r="U1123" s="230"/>
      <c r="V1123" s="230"/>
      <c r="W1123" s="230"/>
      <c r="X1123" s="230"/>
      <c r="Y1123" s="230"/>
    </row>
    <row r="1124">
      <c r="O1124" s="230"/>
      <c r="R1124" s="230"/>
      <c r="S1124" s="230"/>
      <c r="T1124" s="230"/>
      <c r="U1124" s="230"/>
      <c r="V1124" s="230"/>
      <c r="W1124" s="230"/>
      <c r="X1124" s="230"/>
      <c r="Y1124" s="230"/>
    </row>
    <row r="1125">
      <c r="O1125" s="230"/>
      <c r="R1125" s="230"/>
      <c r="S1125" s="230"/>
      <c r="T1125" s="230"/>
      <c r="U1125" s="230"/>
      <c r="V1125" s="230"/>
      <c r="W1125" s="230"/>
      <c r="X1125" s="230"/>
      <c r="Y1125" s="230"/>
    </row>
    <row r="1126">
      <c r="O1126" s="230"/>
      <c r="R1126" s="230"/>
      <c r="S1126" s="230"/>
      <c r="T1126" s="230"/>
      <c r="U1126" s="230"/>
      <c r="V1126" s="230"/>
      <c r="W1126" s="230"/>
      <c r="X1126" s="230"/>
      <c r="Y1126" s="230"/>
    </row>
    <row r="1127">
      <c r="O1127" s="230"/>
      <c r="R1127" s="230"/>
      <c r="S1127" s="230"/>
      <c r="T1127" s="230"/>
      <c r="U1127" s="230"/>
      <c r="V1127" s="230"/>
      <c r="W1127" s="230"/>
      <c r="X1127" s="230"/>
      <c r="Y1127" s="230"/>
    </row>
    <row r="1128">
      <c r="O1128" s="230"/>
      <c r="R1128" s="230"/>
      <c r="S1128" s="230"/>
      <c r="T1128" s="230"/>
      <c r="U1128" s="230"/>
      <c r="V1128" s="230"/>
      <c r="W1128" s="230"/>
      <c r="X1128" s="230"/>
      <c r="Y1128" s="230"/>
    </row>
    <row r="1129">
      <c r="O1129" s="230"/>
      <c r="R1129" s="230"/>
      <c r="S1129" s="230"/>
      <c r="T1129" s="230"/>
      <c r="U1129" s="230"/>
      <c r="V1129" s="230"/>
      <c r="W1129" s="230"/>
      <c r="X1129" s="230"/>
      <c r="Y1129" s="230"/>
    </row>
    <row r="1130">
      <c r="O1130" s="230"/>
      <c r="R1130" s="230"/>
      <c r="S1130" s="230"/>
      <c r="T1130" s="230"/>
      <c r="U1130" s="230"/>
      <c r="V1130" s="230"/>
      <c r="W1130" s="230"/>
      <c r="X1130" s="230"/>
      <c r="Y1130" s="230"/>
    </row>
    <row r="1131">
      <c r="O1131" s="230"/>
      <c r="R1131" s="230"/>
      <c r="S1131" s="230"/>
      <c r="T1131" s="230"/>
      <c r="U1131" s="230"/>
      <c r="V1131" s="230"/>
      <c r="W1131" s="230"/>
      <c r="X1131" s="230"/>
      <c r="Y1131" s="230"/>
    </row>
    <row r="1132">
      <c r="O1132" s="230"/>
      <c r="R1132" s="230"/>
      <c r="S1132" s="230"/>
      <c r="T1132" s="230"/>
      <c r="U1132" s="230"/>
      <c r="V1132" s="230"/>
      <c r="W1132" s="230"/>
      <c r="X1132" s="230"/>
      <c r="Y1132" s="230"/>
    </row>
    <row r="1133">
      <c r="O1133" s="230"/>
      <c r="R1133" s="230"/>
      <c r="S1133" s="230"/>
      <c r="T1133" s="230"/>
      <c r="U1133" s="230"/>
      <c r="V1133" s="230"/>
      <c r="W1133" s="230"/>
      <c r="X1133" s="230"/>
      <c r="Y1133" s="230"/>
    </row>
    <row r="1134">
      <c r="O1134" s="230"/>
      <c r="R1134" s="230"/>
      <c r="S1134" s="230"/>
      <c r="T1134" s="230"/>
      <c r="U1134" s="230"/>
      <c r="V1134" s="230"/>
      <c r="W1134" s="230"/>
      <c r="X1134" s="230"/>
      <c r="Y1134" s="230"/>
    </row>
    <row r="1135">
      <c r="O1135" s="230"/>
      <c r="R1135" s="230"/>
      <c r="S1135" s="230"/>
      <c r="T1135" s="230"/>
      <c r="U1135" s="230"/>
      <c r="V1135" s="230"/>
      <c r="W1135" s="230"/>
      <c r="X1135" s="230"/>
      <c r="Y1135" s="230"/>
    </row>
    <row r="1136">
      <c r="O1136" s="230"/>
      <c r="R1136" s="230"/>
      <c r="S1136" s="230"/>
      <c r="T1136" s="230"/>
      <c r="U1136" s="230"/>
      <c r="V1136" s="230"/>
      <c r="W1136" s="230"/>
      <c r="X1136" s="230"/>
      <c r="Y1136" s="230"/>
    </row>
    <row r="1137">
      <c r="O1137" s="230"/>
      <c r="R1137" s="230"/>
      <c r="S1137" s="230"/>
      <c r="T1137" s="230"/>
      <c r="U1137" s="230"/>
      <c r="V1137" s="230"/>
      <c r="W1137" s="230"/>
      <c r="X1137" s="230"/>
      <c r="Y1137" s="230"/>
    </row>
    <row r="1138">
      <c r="O1138" s="230"/>
      <c r="R1138" s="230"/>
      <c r="S1138" s="230"/>
      <c r="T1138" s="230"/>
      <c r="U1138" s="230"/>
      <c r="V1138" s="230"/>
      <c r="W1138" s="230"/>
      <c r="X1138" s="230"/>
      <c r="Y1138" s="230"/>
    </row>
    <row r="1139">
      <c r="O1139" s="230"/>
      <c r="R1139" s="230"/>
      <c r="S1139" s="230"/>
      <c r="T1139" s="230"/>
      <c r="U1139" s="230"/>
      <c r="V1139" s="230"/>
      <c r="W1139" s="230"/>
      <c r="X1139" s="230"/>
      <c r="Y1139" s="230"/>
    </row>
    <row r="1140">
      <c r="O1140" s="230"/>
      <c r="R1140" s="230"/>
      <c r="S1140" s="230"/>
      <c r="T1140" s="230"/>
      <c r="U1140" s="230"/>
      <c r="V1140" s="230"/>
      <c r="W1140" s="230"/>
      <c r="X1140" s="230"/>
      <c r="Y1140" s="230"/>
    </row>
    <row r="1141">
      <c r="O1141" s="230"/>
      <c r="R1141" s="230"/>
      <c r="S1141" s="230"/>
      <c r="T1141" s="230"/>
      <c r="U1141" s="230"/>
      <c r="V1141" s="230"/>
      <c r="W1141" s="230"/>
      <c r="X1141" s="230"/>
      <c r="Y1141" s="230"/>
    </row>
    <row r="1142">
      <c r="O1142" s="230"/>
      <c r="R1142" s="230"/>
      <c r="S1142" s="230"/>
      <c r="T1142" s="230"/>
      <c r="U1142" s="230"/>
      <c r="V1142" s="230"/>
      <c r="W1142" s="230"/>
      <c r="X1142" s="230"/>
      <c r="Y1142" s="230"/>
    </row>
    <row r="1143">
      <c r="O1143" s="230"/>
      <c r="R1143" s="230"/>
      <c r="S1143" s="230"/>
      <c r="T1143" s="230"/>
      <c r="U1143" s="230"/>
      <c r="V1143" s="230"/>
      <c r="W1143" s="230"/>
      <c r="X1143" s="230"/>
      <c r="Y1143" s="230"/>
    </row>
    <row r="1144">
      <c r="O1144" s="230"/>
      <c r="R1144" s="230"/>
      <c r="S1144" s="230"/>
      <c r="T1144" s="230"/>
      <c r="U1144" s="230"/>
      <c r="V1144" s="230"/>
      <c r="W1144" s="230"/>
      <c r="X1144" s="230"/>
      <c r="Y1144" s="230"/>
    </row>
    <row r="1145">
      <c r="O1145" s="230"/>
      <c r="R1145" s="230"/>
      <c r="S1145" s="230"/>
      <c r="T1145" s="230"/>
      <c r="U1145" s="230"/>
      <c r="V1145" s="230"/>
      <c r="W1145" s="230"/>
      <c r="X1145" s="230"/>
      <c r="Y1145" s="230"/>
    </row>
    <row r="1146">
      <c r="O1146" s="230"/>
      <c r="R1146" s="230"/>
      <c r="S1146" s="230"/>
      <c r="T1146" s="230"/>
      <c r="U1146" s="230"/>
      <c r="V1146" s="230"/>
      <c r="W1146" s="230"/>
      <c r="X1146" s="230"/>
      <c r="Y1146" s="230"/>
    </row>
    <row r="1147">
      <c r="O1147" s="230"/>
      <c r="R1147" s="230"/>
      <c r="S1147" s="230"/>
      <c r="T1147" s="230"/>
      <c r="U1147" s="230"/>
      <c r="V1147" s="230"/>
      <c r="W1147" s="230"/>
      <c r="X1147" s="230"/>
      <c r="Y1147" s="230"/>
    </row>
    <row r="1148">
      <c r="O1148" s="230"/>
      <c r="R1148" s="230"/>
      <c r="S1148" s="230"/>
      <c r="T1148" s="230"/>
      <c r="U1148" s="230"/>
      <c r="V1148" s="230"/>
      <c r="W1148" s="230"/>
      <c r="X1148" s="230"/>
      <c r="Y1148" s="230"/>
    </row>
    <row r="1149">
      <c r="O1149" s="230"/>
      <c r="R1149" s="230"/>
      <c r="S1149" s="230"/>
      <c r="T1149" s="230"/>
      <c r="U1149" s="230"/>
      <c r="V1149" s="230"/>
      <c r="W1149" s="230"/>
      <c r="X1149" s="230"/>
      <c r="Y1149" s="230"/>
    </row>
    <row r="1150">
      <c r="O1150" s="230"/>
      <c r="R1150" s="230"/>
      <c r="S1150" s="230"/>
      <c r="T1150" s="230"/>
      <c r="U1150" s="230"/>
      <c r="V1150" s="230"/>
      <c r="W1150" s="230"/>
      <c r="X1150" s="230"/>
      <c r="Y1150" s="230"/>
    </row>
    <row r="1151">
      <c r="O1151" s="230"/>
      <c r="R1151" s="230"/>
      <c r="S1151" s="230"/>
      <c r="T1151" s="230"/>
      <c r="U1151" s="230"/>
      <c r="V1151" s="230"/>
      <c r="W1151" s="230"/>
      <c r="X1151" s="230"/>
      <c r="Y1151" s="230"/>
    </row>
    <row r="1152">
      <c r="O1152" s="230"/>
      <c r="R1152" s="230"/>
      <c r="S1152" s="230"/>
      <c r="T1152" s="230"/>
      <c r="U1152" s="230"/>
      <c r="V1152" s="230"/>
      <c r="W1152" s="230"/>
      <c r="X1152" s="230"/>
      <c r="Y1152" s="230"/>
    </row>
    <row r="1153">
      <c r="O1153" s="230"/>
      <c r="R1153" s="230"/>
      <c r="S1153" s="230"/>
      <c r="T1153" s="230"/>
      <c r="U1153" s="230"/>
      <c r="V1153" s="230"/>
      <c r="W1153" s="230"/>
      <c r="X1153" s="230"/>
      <c r="Y1153" s="230"/>
    </row>
    <row r="1154">
      <c r="O1154" s="230"/>
      <c r="R1154" s="230"/>
      <c r="S1154" s="230"/>
      <c r="T1154" s="230"/>
      <c r="U1154" s="230"/>
      <c r="V1154" s="230"/>
      <c r="W1154" s="230"/>
      <c r="X1154" s="230"/>
      <c r="Y1154" s="230"/>
    </row>
    <row r="1155">
      <c r="O1155" s="230"/>
      <c r="R1155" s="230"/>
      <c r="S1155" s="230"/>
      <c r="T1155" s="230"/>
      <c r="U1155" s="230"/>
      <c r="V1155" s="230"/>
      <c r="W1155" s="230"/>
      <c r="X1155" s="230"/>
      <c r="Y1155" s="230"/>
    </row>
    <row r="1156">
      <c r="O1156" s="230"/>
      <c r="R1156" s="230"/>
      <c r="S1156" s="230"/>
      <c r="T1156" s="230"/>
      <c r="U1156" s="230"/>
      <c r="V1156" s="230"/>
      <c r="W1156" s="230"/>
      <c r="X1156" s="230"/>
      <c r="Y1156" s="230"/>
    </row>
    <row r="1157">
      <c r="O1157" s="230"/>
      <c r="R1157" s="230"/>
      <c r="S1157" s="230"/>
      <c r="T1157" s="230"/>
      <c r="U1157" s="230"/>
      <c r="V1157" s="230"/>
      <c r="W1157" s="230"/>
      <c r="X1157" s="230"/>
      <c r="Y1157" s="230"/>
    </row>
    <row r="1158">
      <c r="O1158" s="230"/>
      <c r="R1158" s="230"/>
      <c r="S1158" s="230"/>
      <c r="T1158" s="230"/>
      <c r="U1158" s="230"/>
      <c r="V1158" s="230"/>
      <c r="W1158" s="230"/>
      <c r="X1158" s="230"/>
      <c r="Y1158" s="230"/>
    </row>
    <row r="1159">
      <c r="O1159" s="230"/>
      <c r="R1159" s="230"/>
      <c r="S1159" s="230"/>
      <c r="T1159" s="230"/>
      <c r="U1159" s="230"/>
      <c r="V1159" s="230"/>
      <c r="W1159" s="230"/>
      <c r="X1159" s="230"/>
      <c r="Y1159" s="230"/>
    </row>
    <row r="1160">
      <c r="O1160" s="230"/>
      <c r="R1160" s="230"/>
      <c r="S1160" s="230"/>
      <c r="T1160" s="230"/>
      <c r="U1160" s="230"/>
      <c r="V1160" s="230"/>
      <c r="W1160" s="230"/>
      <c r="X1160" s="230"/>
      <c r="Y1160" s="230"/>
    </row>
    <row r="1161">
      <c r="O1161" s="230"/>
      <c r="R1161" s="230"/>
      <c r="S1161" s="230"/>
      <c r="T1161" s="230"/>
      <c r="U1161" s="230"/>
      <c r="V1161" s="230"/>
      <c r="W1161" s="230"/>
      <c r="X1161" s="230"/>
      <c r="Y1161" s="230"/>
    </row>
    <row r="1162">
      <c r="O1162" s="230"/>
      <c r="R1162" s="230"/>
      <c r="S1162" s="230"/>
      <c r="T1162" s="230"/>
      <c r="U1162" s="230"/>
      <c r="V1162" s="230"/>
      <c r="W1162" s="230"/>
      <c r="X1162" s="230"/>
      <c r="Y1162" s="230"/>
    </row>
    <row r="1163">
      <c r="O1163" s="230"/>
      <c r="R1163" s="230"/>
      <c r="S1163" s="230"/>
      <c r="T1163" s="230"/>
      <c r="U1163" s="230"/>
      <c r="V1163" s="230"/>
      <c r="W1163" s="230"/>
      <c r="X1163" s="230"/>
      <c r="Y1163" s="230"/>
    </row>
    <row r="1164">
      <c r="O1164" s="230"/>
      <c r="R1164" s="230"/>
      <c r="S1164" s="230"/>
      <c r="T1164" s="230"/>
      <c r="U1164" s="230"/>
      <c r="V1164" s="230"/>
      <c r="W1164" s="230"/>
      <c r="X1164" s="230"/>
      <c r="Y1164" s="230"/>
    </row>
    <row r="1165">
      <c r="O1165" s="230"/>
      <c r="R1165" s="230"/>
      <c r="S1165" s="230"/>
      <c r="T1165" s="230"/>
      <c r="U1165" s="230"/>
      <c r="V1165" s="230"/>
      <c r="W1165" s="230"/>
      <c r="X1165" s="230"/>
      <c r="Y1165" s="230"/>
    </row>
    <row r="1166">
      <c r="O1166" s="230"/>
      <c r="R1166" s="230"/>
      <c r="S1166" s="230"/>
      <c r="T1166" s="230"/>
      <c r="U1166" s="230"/>
      <c r="V1166" s="230"/>
      <c r="W1166" s="230"/>
      <c r="X1166" s="230"/>
      <c r="Y1166" s="230"/>
    </row>
    <row r="1167">
      <c r="O1167" s="230"/>
      <c r="R1167" s="230"/>
      <c r="S1167" s="230"/>
      <c r="T1167" s="230"/>
      <c r="U1167" s="230"/>
      <c r="V1167" s="230"/>
      <c r="W1167" s="230"/>
      <c r="X1167" s="230"/>
      <c r="Y1167" s="230"/>
    </row>
    <row r="1168">
      <c r="O1168" s="230"/>
      <c r="R1168" s="230"/>
      <c r="S1168" s="230"/>
      <c r="T1168" s="230"/>
      <c r="U1168" s="230"/>
      <c r="V1168" s="230"/>
      <c r="W1168" s="230"/>
      <c r="X1168" s="230"/>
      <c r="Y1168" s="230"/>
    </row>
    <row r="1169">
      <c r="O1169" s="230"/>
      <c r="R1169" s="230"/>
      <c r="S1169" s="230"/>
      <c r="T1169" s="230"/>
      <c r="U1169" s="230"/>
      <c r="V1169" s="230"/>
      <c r="W1169" s="230"/>
      <c r="X1169" s="230"/>
      <c r="Y1169" s="230"/>
    </row>
    <row r="1170">
      <c r="O1170" s="230"/>
      <c r="R1170" s="230"/>
      <c r="S1170" s="230"/>
      <c r="T1170" s="230"/>
      <c r="U1170" s="230"/>
      <c r="V1170" s="230"/>
      <c r="W1170" s="230"/>
      <c r="X1170" s="230"/>
      <c r="Y1170" s="230"/>
    </row>
    <row r="1171">
      <c r="O1171" s="230"/>
      <c r="R1171" s="230"/>
      <c r="S1171" s="230"/>
      <c r="T1171" s="230"/>
      <c r="U1171" s="230"/>
      <c r="V1171" s="230"/>
      <c r="W1171" s="230"/>
      <c r="X1171" s="230"/>
      <c r="Y1171" s="230"/>
    </row>
    <row r="1172">
      <c r="O1172" s="230"/>
      <c r="R1172" s="230"/>
      <c r="S1172" s="230"/>
      <c r="T1172" s="230"/>
      <c r="U1172" s="230"/>
      <c r="V1172" s="230"/>
      <c r="W1172" s="230"/>
      <c r="X1172" s="230"/>
      <c r="Y1172" s="230"/>
    </row>
    <row r="1173">
      <c r="O1173" s="230"/>
      <c r="R1173" s="230"/>
      <c r="S1173" s="230"/>
      <c r="T1173" s="230"/>
      <c r="U1173" s="230"/>
      <c r="V1173" s="230"/>
      <c r="W1173" s="230"/>
      <c r="X1173" s="230"/>
      <c r="Y1173" s="230"/>
    </row>
    <row r="1174">
      <c r="O1174" s="230"/>
      <c r="R1174" s="230"/>
      <c r="S1174" s="230"/>
      <c r="T1174" s="230"/>
      <c r="U1174" s="230"/>
      <c r="V1174" s="230"/>
      <c r="W1174" s="230"/>
      <c r="X1174" s="230"/>
      <c r="Y1174" s="230"/>
    </row>
    <row r="1175">
      <c r="O1175" s="230"/>
      <c r="R1175" s="230"/>
      <c r="S1175" s="230"/>
      <c r="T1175" s="230"/>
      <c r="U1175" s="230"/>
      <c r="V1175" s="230"/>
      <c r="W1175" s="230"/>
      <c r="X1175" s="230"/>
      <c r="Y1175" s="230"/>
    </row>
    <row r="1176">
      <c r="O1176" s="230"/>
      <c r="R1176" s="230"/>
      <c r="S1176" s="230"/>
      <c r="T1176" s="230"/>
      <c r="U1176" s="230"/>
      <c r="V1176" s="230"/>
      <c r="W1176" s="230"/>
      <c r="X1176" s="230"/>
      <c r="Y1176" s="230"/>
    </row>
    <row r="1177">
      <c r="O1177" s="230"/>
      <c r="R1177" s="230"/>
      <c r="S1177" s="230"/>
      <c r="T1177" s="230"/>
      <c r="U1177" s="230"/>
      <c r="V1177" s="230"/>
      <c r="W1177" s="230"/>
      <c r="X1177" s="230"/>
      <c r="Y1177" s="230"/>
    </row>
    <row r="1178">
      <c r="O1178" s="230"/>
      <c r="R1178" s="230"/>
      <c r="S1178" s="230"/>
      <c r="T1178" s="230"/>
      <c r="U1178" s="230"/>
      <c r="V1178" s="230"/>
      <c r="W1178" s="230"/>
      <c r="X1178" s="230"/>
      <c r="Y1178" s="230"/>
    </row>
    <row r="1179">
      <c r="O1179" s="230"/>
      <c r="R1179" s="230"/>
      <c r="S1179" s="230"/>
      <c r="T1179" s="230"/>
      <c r="U1179" s="230"/>
      <c r="V1179" s="230"/>
      <c r="W1179" s="230"/>
      <c r="X1179" s="230"/>
      <c r="Y1179" s="230"/>
    </row>
    <row r="1180">
      <c r="O1180" s="230"/>
      <c r="R1180" s="230"/>
      <c r="S1180" s="230"/>
      <c r="T1180" s="230"/>
      <c r="U1180" s="230"/>
      <c r="V1180" s="230"/>
      <c r="W1180" s="230"/>
      <c r="X1180" s="230"/>
      <c r="Y1180" s="230"/>
    </row>
    <row r="1181">
      <c r="O1181" s="230"/>
      <c r="R1181" s="230"/>
      <c r="S1181" s="230"/>
      <c r="T1181" s="230"/>
      <c r="U1181" s="230"/>
      <c r="V1181" s="230"/>
      <c r="W1181" s="230"/>
      <c r="X1181" s="230"/>
      <c r="Y1181" s="230"/>
    </row>
    <row r="1182">
      <c r="O1182" s="230"/>
      <c r="R1182" s="230"/>
      <c r="S1182" s="230"/>
      <c r="T1182" s="230"/>
      <c r="U1182" s="230"/>
      <c r="V1182" s="230"/>
      <c r="W1182" s="230"/>
      <c r="X1182" s="230"/>
      <c r="Y1182" s="230"/>
    </row>
    <row r="1183">
      <c r="O1183" s="230"/>
      <c r="R1183" s="230"/>
      <c r="S1183" s="230"/>
      <c r="T1183" s="230"/>
      <c r="U1183" s="230"/>
      <c r="V1183" s="230"/>
      <c r="W1183" s="230"/>
      <c r="X1183" s="230"/>
      <c r="Y1183" s="230"/>
    </row>
    <row r="1184">
      <c r="O1184" s="230"/>
      <c r="R1184" s="230"/>
      <c r="S1184" s="230"/>
      <c r="T1184" s="230"/>
      <c r="U1184" s="230"/>
      <c r="V1184" s="230"/>
      <c r="W1184" s="230"/>
      <c r="X1184" s="230"/>
      <c r="Y1184" s="230"/>
    </row>
    <row r="1185">
      <c r="O1185" s="230"/>
      <c r="R1185" s="230"/>
      <c r="S1185" s="230"/>
      <c r="T1185" s="230"/>
      <c r="U1185" s="230"/>
      <c r="V1185" s="230"/>
      <c r="W1185" s="230"/>
      <c r="X1185" s="230"/>
      <c r="Y1185" s="230"/>
    </row>
    <row r="1186">
      <c r="O1186" s="230"/>
      <c r="R1186" s="230"/>
      <c r="S1186" s="230"/>
      <c r="T1186" s="230"/>
      <c r="U1186" s="230"/>
      <c r="V1186" s="230"/>
      <c r="W1186" s="230"/>
      <c r="X1186" s="230"/>
      <c r="Y1186" s="230"/>
    </row>
    <row r="1187">
      <c r="O1187" s="230"/>
      <c r="R1187" s="230"/>
      <c r="S1187" s="230"/>
      <c r="T1187" s="230"/>
      <c r="U1187" s="230"/>
      <c r="V1187" s="230"/>
      <c r="W1187" s="230"/>
      <c r="X1187" s="230"/>
      <c r="Y1187" s="230"/>
    </row>
    <row r="1188">
      <c r="O1188" s="230"/>
      <c r="R1188" s="230"/>
      <c r="S1188" s="230"/>
      <c r="T1188" s="230"/>
      <c r="U1188" s="230"/>
      <c r="V1188" s="230"/>
      <c r="W1188" s="230"/>
      <c r="X1188" s="230"/>
      <c r="Y1188" s="230"/>
    </row>
    <row r="1189">
      <c r="O1189" s="230"/>
      <c r="R1189" s="230"/>
      <c r="S1189" s="230"/>
      <c r="T1189" s="230"/>
      <c r="U1189" s="230"/>
      <c r="V1189" s="230"/>
      <c r="W1189" s="230"/>
      <c r="X1189" s="230"/>
      <c r="Y1189" s="230"/>
    </row>
    <row r="1190">
      <c r="O1190" s="230"/>
      <c r="R1190" s="230"/>
      <c r="S1190" s="230"/>
      <c r="T1190" s="230"/>
      <c r="U1190" s="230"/>
      <c r="V1190" s="230"/>
      <c r="W1190" s="230"/>
      <c r="X1190" s="230"/>
      <c r="Y1190" s="230"/>
    </row>
    <row r="1191">
      <c r="O1191" s="230"/>
      <c r="R1191" s="230"/>
      <c r="S1191" s="230"/>
      <c r="T1191" s="230"/>
      <c r="U1191" s="230"/>
      <c r="V1191" s="230"/>
      <c r="W1191" s="230"/>
      <c r="X1191" s="230"/>
      <c r="Y1191" s="230"/>
    </row>
    <row r="1192">
      <c r="O1192" s="230"/>
      <c r="R1192" s="230"/>
      <c r="S1192" s="230"/>
      <c r="T1192" s="230"/>
      <c r="U1192" s="230"/>
      <c r="V1192" s="230"/>
      <c r="W1192" s="230"/>
      <c r="X1192" s="230"/>
      <c r="Y1192" s="230"/>
    </row>
    <row r="1193">
      <c r="O1193" s="230"/>
      <c r="R1193" s="230"/>
      <c r="S1193" s="230"/>
      <c r="T1193" s="230"/>
      <c r="U1193" s="230"/>
      <c r="V1193" s="230"/>
      <c r="W1193" s="230"/>
      <c r="X1193" s="230"/>
      <c r="Y1193" s="230"/>
    </row>
    <row r="1194">
      <c r="O1194" s="230"/>
      <c r="R1194" s="230"/>
      <c r="S1194" s="230"/>
      <c r="T1194" s="230"/>
      <c r="U1194" s="230"/>
      <c r="V1194" s="230"/>
      <c r="W1194" s="230"/>
      <c r="X1194" s="230"/>
      <c r="Y1194" s="230"/>
    </row>
    <row r="1195">
      <c r="O1195" s="230"/>
      <c r="R1195" s="230"/>
      <c r="S1195" s="230"/>
      <c r="T1195" s="230"/>
      <c r="U1195" s="230"/>
      <c r="V1195" s="230"/>
      <c r="W1195" s="230"/>
      <c r="X1195" s="230"/>
      <c r="Y1195" s="230"/>
    </row>
    <row r="1196">
      <c r="O1196" s="230"/>
      <c r="R1196" s="230"/>
      <c r="S1196" s="230"/>
      <c r="T1196" s="230"/>
      <c r="U1196" s="230"/>
      <c r="V1196" s="230"/>
      <c r="W1196" s="230"/>
      <c r="X1196" s="230"/>
      <c r="Y1196" s="230"/>
    </row>
    <row r="1197">
      <c r="O1197" s="230"/>
      <c r="R1197" s="230"/>
      <c r="S1197" s="230"/>
      <c r="T1197" s="230"/>
      <c r="U1197" s="230"/>
      <c r="V1197" s="230"/>
      <c r="W1197" s="230"/>
      <c r="X1197" s="230"/>
      <c r="Y1197" s="230"/>
    </row>
    <row r="1198">
      <c r="O1198" s="230"/>
      <c r="R1198" s="230"/>
      <c r="S1198" s="230"/>
      <c r="T1198" s="230"/>
      <c r="U1198" s="230"/>
      <c r="V1198" s="230"/>
      <c r="W1198" s="230"/>
      <c r="X1198" s="230"/>
      <c r="Y1198" s="230"/>
    </row>
    <row r="1199">
      <c r="O1199" s="230"/>
      <c r="R1199" s="230"/>
      <c r="S1199" s="230"/>
      <c r="T1199" s="230"/>
      <c r="U1199" s="230"/>
      <c r="V1199" s="230"/>
      <c r="W1199" s="230"/>
      <c r="X1199" s="230"/>
      <c r="Y1199" s="230"/>
    </row>
    <row r="1200">
      <c r="O1200" s="230"/>
      <c r="R1200" s="230"/>
      <c r="S1200" s="230"/>
      <c r="T1200" s="230"/>
      <c r="U1200" s="230"/>
      <c r="V1200" s="230"/>
      <c r="W1200" s="230"/>
      <c r="X1200" s="230"/>
      <c r="Y1200" s="230"/>
    </row>
    <row r="1201">
      <c r="O1201" s="230"/>
      <c r="R1201" s="230"/>
      <c r="S1201" s="230"/>
      <c r="T1201" s="230"/>
      <c r="U1201" s="230"/>
      <c r="V1201" s="230"/>
      <c r="W1201" s="230"/>
      <c r="X1201" s="230"/>
      <c r="Y1201" s="230"/>
    </row>
    <row r="1202">
      <c r="O1202" s="230"/>
      <c r="R1202" s="230"/>
      <c r="S1202" s="230"/>
      <c r="T1202" s="230"/>
      <c r="U1202" s="230"/>
      <c r="V1202" s="230"/>
      <c r="W1202" s="230"/>
      <c r="X1202" s="230"/>
      <c r="Y1202" s="230"/>
    </row>
    <row r="1203">
      <c r="O1203" s="230"/>
      <c r="R1203" s="230"/>
      <c r="S1203" s="230"/>
      <c r="T1203" s="230"/>
      <c r="U1203" s="230"/>
      <c r="V1203" s="230"/>
      <c r="W1203" s="230"/>
      <c r="X1203" s="230"/>
      <c r="Y1203" s="230"/>
    </row>
    <row r="1204">
      <c r="O1204" s="230"/>
      <c r="R1204" s="230"/>
      <c r="S1204" s="230"/>
      <c r="T1204" s="230"/>
      <c r="U1204" s="230"/>
      <c r="V1204" s="230"/>
      <c r="W1204" s="230"/>
      <c r="X1204" s="230"/>
      <c r="Y1204" s="230"/>
    </row>
    <row r="1205">
      <c r="O1205" s="230"/>
      <c r="R1205" s="230"/>
      <c r="S1205" s="230"/>
      <c r="T1205" s="230"/>
      <c r="U1205" s="230"/>
      <c r="V1205" s="230"/>
      <c r="W1205" s="230"/>
      <c r="X1205" s="230"/>
      <c r="Y1205" s="230"/>
    </row>
    <row r="1206">
      <c r="O1206" s="230"/>
      <c r="R1206" s="230"/>
      <c r="S1206" s="230"/>
      <c r="T1206" s="230"/>
      <c r="U1206" s="230"/>
      <c r="V1206" s="230"/>
      <c r="W1206" s="230"/>
      <c r="X1206" s="230"/>
      <c r="Y1206" s="230"/>
    </row>
    <row r="1207">
      <c r="O1207" s="230"/>
      <c r="R1207" s="230"/>
      <c r="S1207" s="230"/>
      <c r="T1207" s="230"/>
      <c r="U1207" s="230"/>
      <c r="V1207" s="230"/>
      <c r="W1207" s="230"/>
      <c r="X1207" s="230"/>
      <c r="Y1207" s="230"/>
    </row>
    <row r="1208">
      <c r="O1208" s="230"/>
      <c r="R1208" s="230"/>
      <c r="S1208" s="230"/>
      <c r="T1208" s="230"/>
      <c r="U1208" s="230"/>
      <c r="V1208" s="230"/>
      <c r="W1208" s="230"/>
      <c r="X1208" s="230"/>
      <c r="Y1208" s="230"/>
    </row>
    <row r="1209">
      <c r="O1209" s="230"/>
      <c r="R1209" s="230"/>
      <c r="S1209" s="230"/>
      <c r="T1209" s="230"/>
      <c r="U1209" s="230"/>
      <c r="V1209" s="230"/>
      <c r="W1209" s="230"/>
      <c r="X1209" s="230"/>
      <c r="Y1209" s="230"/>
    </row>
    <row r="1210">
      <c r="O1210" s="230"/>
      <c r="R1210" s="230"/>
      <c r="S1210" s="230"/>
      <c r="T1210" s="230"/>
      <c r="U1210" s="230"/>
      <c r="V1210" s="230"/>
      <c r="W1210" s="230"/>
      <c r="X1210" s="230"/>
      <c r="Y1210" s="230"/>
    </row>
    <row r="1211">
      <c r="O1211" s="230"/>
      <c r="R1211" s="230"/>
      <c r="S1211" s="230"/>
      <c r="T1211" s="230"/>
      <c r="U1211" s="230"/>
      <c r="V1211" s="230"/>
      <c r="W1211" s="230"/>
      <c r="X1211" s="230"/>
      <c r="Y1211" s="230"/>
    </row>
    <row r="1212">
      <c r="O1212" s="230"/>
      <c r="R1212" s="230"/>
      <c r="S1212" s="230"/>
      <c r="T1212" s="230"/>
      <c r="U1212" s="230"/>
      <c r="V1212" s="230"/>
      <c r="W1212" s="230"/>
      <c r="X1212" s="230"/>
      <c r="Y1212" s="230"/>
    </row>
    <row r="1213">
      <c r="O1213" s="230"/>
      <c r="R1213" s="230"/>
      <c r="S1213" s="230"/>
      <c r="T1213" s="230"/>
      <c r="U1213" s="230"/>
      <c r="V1213" s="230"/>
      <c r="W1213" s="230"/>
      <c r="X1213" s="230"/>
      <c r="Y1213" s="230"/>
    </row>
    <row r="1214">
      <c r="O1214" s="230"/>
      <c r="R1214" s="230"/>
      <c r="S1214" s="230"/>
      <c r="T1214" s="230"/>
      <c r="U1214" s="230"/>
      <c r="V1214" s="230"/>
      <c r="W1214" s="230"/>
      <c r="X1214" s="230"/>
      <c r="Y1214" s="230"/>
    </row>
    <row r="1215">
      <c r="O1215" s="230"/>
      <c r="R1215" s="230"/>
      <c r="S1215" s="230"/>
      <c r="T1215" s="230"/>
      <c r="U1215" s="230"/>
      <c r="V1215" s="230"/>
      <c r="W1215" s="230"/>
      <c r="X1215" s="230"/>
      <c r="Y1215" s="230"/>
    </row>
    <row r="1216">
      <c r="O1216" s="230"/>
      <c r="R1216" s="230"/>
      <c r="S1216" s="230"/>
      <c r="T1216" s="230"/>
      <c r="U1216" s="230"/>
      <c r="V1216" s="230"/>
      <c r="W1216" s="230"/>
      <c r="X1216" s="230"/>
      <c r="Y1216" s="230"/>
    </row>
    <row r="1217">
      <c r="O1217" s="230"/>
      <c r="R1217" s="230"/>
      <c r="S1217" s="230"/>
      <c r="T1217" s="230"/>
      <c r="U1217" s="230"/>
      <c r="V1217" s="230"/>
      <c r="W1217" s="230"/>
      <c r="X1217" s="230"/>
      <c r="Y1217" s="230"/>
    </row>
    <row r="1218">
      <c r="O1218" s="230"/>
      <c r="R1218" s="230"/>
      <c r="S1218" s="230"/>
      <c r="T1218" s="230"/>
      <c r="U1218" s="230"/>
      <c r="V1218" s="230"/>
      <c r="W1218" s="230"/>
      <c r="X1218" s="230"/>
      <c r="Y1218" s="230"/>
    </row>
    <row r="1219">
      <c r="O1219" s="230"/>
      <c r="R1219" s="230"/>
      <c r="S1219" s="230"/>
      <c r="T1219" s="230"/>
      <c r="U1219" s="230"/>
      <c r="V1219" s="230"/>
      <c r="W1219" s="230"/>
      <c r="X1219" s="230"/>
      <c r="Y1219" s="230"/>
    </row>
    <row r="1220">
      <c r="O1220" s="230"/>
      <c r="R1220" s="230"/>
      <c r="S1220" s="230"/>
      <c r="T1220" s="230"/>
      <c r="U1220" s="230"/>
      <c r="V1220" s="230"/>
      <c r="W1220" s="230"/>
      <c r="X1220" s="230"/>
      <c r="Y1220" s="230"/>
    </row>
    <row r="1221">
      <c r="O1221" s="230"/>
      <c r="R1221" s="230"/>
      <c r="S1221" s="230"/>
      <c r="T1221" s="230"/>
      <c r="U1221" s="230"/>
      <c r="V1221" s="230"/>
      <c r="W1221" s="230"/>
      <c r="X1221" s="230"/>
      <c r="Y1221" s="230"/>
    </row>
    <row r="1222">
      <c r="O1222" s="230"/>
      <c r="R1222" s="230"/>
      <c r="S1222" s="230"/>
      <c r="T1222" s="230"/>
      <c r="U1222" s="230"/>
      <c r="V1222" s="230"/>
      <c r="W1222" s="230"/>
      <c r="X1222" s="230"/>
      <c r="Y1222" s="230"/>
    </row>
    <row r="1223">
      <c r="O1223" s="230"/>
      <c r="R1223" s="230"/>
      <c r="S1223" s="230"/>
      <c r="T1223" s="230"/>
      <c r="U1223" s="230"/>
      <c r="V1223" s="230"/>
      <c r="W1223" s="230"/>
      <c r="X1223" s="230"/>
      <c r="Y1223" s="230"/>
    </row>
    <row r="1224">
      <c r="O1224" s="230"/>
      <c r="R1224" s="230"/>
      <c r="S1224" s="230"/>
      <c r="T1224" s="230"/>
      <c r="U1224" s="230"/>
      <c r="V1224" s="230"/>
      <c r="W1224" s="230"/>
      <c r="X1224" s="230"/>
      <c r="Y1224" s="230"/>
    </row>
    <row r="1225">
      <c r="O1225" s="230"/>
      <c r="R1225" s="230"/>
      <c r="S1225" s="230"/>
      <c r="T1225" s="230"/>
      <c r="U1225" s="230"/>
      <c r="V1225" s="230"/>
      <c r="W1225" s="230"/>
      <c r="X1225" s="230"/>
      <c r="Y1225" s="230"/>
    </row>
    <row r="1226">
      <c r="O1226" s="230"/>
      <c r="R1226" s="230"/>
      <c r="S1226" s="230"/>
      <c r="T1226" s="230"/>
      <c r="U1226" s="230"/>
      <c r="V1226" s="230"/>
      <c r="W1226" s="230"/>
      <c r="X1226" s="230"/>
      <c r="Y1226" s="230"/>
    </row>
    <row r="1227">
      <c r="O1227" s="230"/>
      <c r="R1227" s="230"/>
      <c r="S1227" s="230"/>
      <c r="T1227" s="230"/>
      <c r="U1227" s="230"/>
      <c r="V1227" s="230"/>
      <c r="W1227" s="230"/>
      <c r="X1227" s="230"/>
      <c r="Y1227" s="230"/>
    </row>
    <row r="1228">
      <c r="O1228" s="230"/>
      <c r="R1228" s="230"/>
      <c r="S1228" s="230"/>
      <c r="T1228" s="230"/>
      <c r="U1228" s="230"/>
      <c r="V1228" s="230"/>
      <c r="W1228" s="230"/>
      <c r="X1228" s="230"/>
      <c r="Y1228" s="230"/>
    </row>
    <row r="1229">
      <c r="O1229" s="230"/>
      <c r="R1229" s="230"/>
      <c r="S1229" s="230"/>
      <c r="T1229" s="230"/>
      <c r="U1229" s="230"/>
      <c r="V1229" s="230"/>
      <c r="W1229" s="230"/>
      <c r="X1229" s="230"/>
      <c r="Y1229" s="230"/>
    </row>
    <row r="1230">
      <c r="O1230" s="230"/>
      <c r="R1230" s="230"/>
      <c r="S1230" s="230"/>
      <c r="T1230" s="230"/>
      <c r="U1230" s="230"/>
      <c r="V1230" s="230"/>
      <c r="W1230" s="230"/>
      <c r="X1230" s="230"/>
      <c r="Y1230" s="230"/>
    </row>
    <row r="1231">
      <c r="O1231" s="230"/>
      <c r="R1231" s="230"/>
      <c r="S1231" s="230"/>
      <c r="T1231" s="230"/>
      <c r="U1231" s="230"/>
      <c r="V1231" s="230"/>
      <c r="W1231" s="230"/>
      <c r="X1231" s="230"/>
      <c r="Y1231" s="230"/>
    </row>
    <row r="1232">
      <c r="O1232" s="230"/>
      <c r="R1232" s="230"/>
      <c r="S1232" s="230"/>
      <c r="T1232" s="230"/>
      <c r="U1232" s="230"/>
      <c r="V1232" s="230"/>
      <c r="W1232" s="230"/>
      <c r="X1232" s="230"/>
      <c r="Y1232" s="230"/>
    </row>
    <row r="1233">
      <c r="O1233" s="230"/>
      <c r="R1233" s="230"/>
      <c r="S1233" s="230"/>
      <c r="T1233" s="230"/>
      <c r="U1233" s="230"/>
      <c r="V1233" s="230"/>
      <c r="W1233" s="230"/>
      <c r="X1233" s="230"/>
      <c r="Y1233" s="230"/>
    </row>
    <row r="1234">
      <c r="O1234" s="230"/>
      <c r="R1234" s="230"/>
      <c r="S1234" s="230"/>
      <c r="T1234" s="230"/>
      <c r="U1234" s="230"/>
      <c r="V1234" s="230"/>
      <c r="W1234" s="230"/>
      <c r="X1234" s="230"/>
      <c r="Y1234" s="230"/>
    </row>
    <row r="1235">
      <c r="O1235" s="230"/>
      <c r="R1235" s="230"/>
      <c r="S1235" s="230"/>
      <c r="T1235" s="230"/>
      <c r="U1235" s="230"/>
      <c r="V1235" s="230"/>
      <c r="W1235" s="230"/>
      <c r="X1235" s="230"/>
      <c r="Y1235" s="230"/>
    </row>
    <row r="1236">
      <c r="O1236" s="230"/>
      <c r="R1236" s="230"/>
      <c r="S1236" s="230"/>
      <c r="T1236" s="230"/>
      <c r="U1236" s="230"/>
      <c r="V1236" s="230"/>
      <c r="W1236" s="230"/>
      <c r="X1236" s="230"/>
      <c r="Y1236" s="230"/>
    </row>
    <row r="1237">
      <c r="O1237" s="230"/>
      <c r="R1237" s="230"/>
      <c r="S1237" s="230"/>
      <c r="T1237" s="230"/>
      <c r="U1237" s="230"/>
      <c r="V1237" s="230"/>
      <c r="W1237" s="230"/>
      <c r="X1237" s="230"/>
      <c r="Y1237" s="230"/>
    </row>
    <row r="1238">
      <c r="O1238" s="230"/>
      <c r="R1238" s="230"/>
      <c r="S1238" s="230"/>
      <c r="T1238" s="230"/>
      <c r="U1238" s="230"/>
      <c r="V1238" s="230"/>
      <c r="W1238" s="230"/>
      <c r="X1238" s="230"/>
      <c r="Y1238" s="230"/>
    </row>
    <row r="1239">
      <c r="O1239" s="230"/>
      <c r="R1239" s="230"/>
      <c r="S1239" s="230"/>
      <c r="T1239" s="230"/>
      <c r="U1239" s="230"/>
      <c r="V1239" s="230"/>
      <c r="W1239" s="230"/>
      <c r="X1239" s="230"/>
      <c r="Y1239" s="230"/>
    </row>
    <row r="1240">
      <c r="O1240" s="230"/>
      <c r="R1240" s="230"/>
      <c r="S1240" s="230"/>
      <c r="T1240" s="230"/>
      <c r="U1240" s="230"/>
      <c r="V1240" s="230"/>
      <c r="W1240" s="230"/>
      <c r="X1240" s="230"/>
      <c r="Y1240" s="230"/>
    </row>
    <row r="1241">
      <c r="O1241" s="230"/>
      <c r="R1241" s="230"/>
      <c r="S1241" s="230"/>
      <c r="T1241" s="230"/>
      <c r="U1241" s="230"/>
      <c r="V1241" s="230"/>
      <c r="W1241" s="230"/>
      <c r="X1241" s="230"/>
      <c r="Y1241" s="230"/>
    </row>
    <row r="1242">
      <c r="O1242" s="230"/>
      <c r="R1242" s="230"/>
      <c r="S1242" s="230"/>
      <c r="T1242" s="230"/>
      <c r="U1242" s="230"/>
      <c r="V1242" s="230"/>
      <c r="W1242" s="230"/>
      <c r="X1242" s="230"/>
      <c r="Y1242" s="230"/>
    </row>
    <row r="1243">
      <c r="O1243" s="230"/>
      <c r="R1243" s="230"/>
      <c r="S1243" s="230"/>
      <c r="T1243" s="230"/>
      <c r="U1243" s="230"/>
      <c r="V1243" s="230"/>
      <c r="W1243" s="230"/>
      <c r="X1243" s="230"/>
      <c r="Y1243" s="230"/>
    </row>
    <row r="1244">
      <c r="O1244" s="230"/>
      <c r="R1244" s="230"/>
      <c r="S1244" s="230"/>
      <c r="T1244" s="230"/>
      <c r="U1244" s="230"/>
      <c r="V1244" s="230"/>
      <c r="W1244" s="230"/>
      <c r="X1244" s="230"/>
      <c r="Y1244" s="230"/>
    </row>
    <row r="1245">
      <c r="O1245" s="230"/>
      <c r="R1245" s="230"/>
      <c r="S1245" s="230"/>
      <c r="T1245" s="230"/>
      <c r="U1245" s="230"/>
      <c r="V1245" s="230"/>
      <c r="W1245" s="230"/>
      <c r="X1245" s="230"/>
      <c r="Y1245" s="230"/>
    </row>
    <row r="1246">
      <c r="O1246" s="230"/>
      <c r="R1246" s="230"/>
      <c r="S1246" s="230"/>
      <c r="T1246" s="230"/>
      <c r="U1246" s="230"/>
      <c r="V1246" s="230"/>
      <c r="W1246" s="230"/>
      <c r="X1246" s="230"/>
      <c r="Y1246" s="230"/>
    </row>
    <row r="1247">
      <c r="O1247" s="230"/>
      <c r="R1247" s="230"/>
      <c r="S1247" s="230"/>
      <c r="T1247" s="230"/>
      <c r="U1247" s="230"/>
      <c r="V1247" s="230"/>
      <c r="W1247" s="230"/>
      <c r="X1247" s="230"/>
      <c r="Y1247" s="230"/>
    </row>
    <row r="1248">
      <c r="O1248" s="230"/>
      <c r="R1248" s="230"/>
      <c r="S1248" s="230"/>
      <c r="T1248" s="230"/>
      <c r="U1248" s="230"/>
      <c r="V1248" s="230"/>
      <c r="W1248" s="230"/>
      <c r="X1248" s="230"/>
      <c r="Y1248" s="230"/>
    </row>
    <row r="1249">
      <c r="O1249" s="230"/>
      <c r="R1249" s="230"/>
      <c r="S1249" s="230"/>
      <c r="T1249" s="230"/>
      <c r="U1249" s="230"/>
      <c r="V1249" s="230"/>
      <c r="W1249" s="230"/>
      <c r="X1249" s="230"/>
      <c r="Y1249" s="230"/>
    </row>
    <row r="1250">
      <c r="O1250" s="230"/>
      <c r="R1250" s="230"/>
      <c r="S1250" s="230"/>
      <c r="T1250" s="230"/>
      <c r="U1250" s="230"/>
      <c r="V1250" s="230"/>
      <c r="W1250" s="230"/>
      <c r="X1250" s="230"/>
      <c r="Y1250" s="230"/>
    </row>
    <row r="1251">
      <c r="O1251" s="230"/>
      <c r="R1251" s="230"/>
      <c r="S1251" s="230"/>
      <c r="T1251" s="230"/>
      <c r="U1251" s="230"/>
      <c r="V1251" s="230"/>
      <c r="W1251" s="230"/>
      <c r="X1251" s="230"/>
      <c r="Y1251" s="230"/>
    </row>
    <row r="1252">
      <c r="O1252" s="230"/>
      <c r="R1252" s="230"/>
      <c r="S1252" s="230"/>
      <c r="T1252" s="230"/>
      <c r="U1252" s="230"/>
      <c r="V1252" s="230"/>
      <c r="W1252" s="230"/>
      <c r="X1252" s="230"/>
      <c r="Y1252" s="230"/>
    </row>
    <row r="1253">
      <c r="O1253" s="230"/>
      <c r="R1253" s="230"/>
      <c r="S1253" s="230"/>
      <c r="T1253" s="230"/>
      <c r="U1253" s="230"/>
      <c r="V1253" s="230"/>
      <c r="W1253" s="230"/>
      <c r="X1253" s="230"/>
      <c r="Y1253" s="230"/>
    </row>
    <row r="1254">
      <c r="O1254" s="230"/>
      <c r="R1254" s="230"/>
      <c r="S1254" s="230"/>
      <c r="T1254" s="230"/>
      <c r="U1254" s="230"/>
      <c r="V1254" s="230"/>
      <c r="W1254" s="230"/>
      <c r="X1254" s="230"/>
      <c r="Y1254" s="230"/>
    </row>
    <row r="1255">
      <c r="O1255" s="230"/>
      <c r="R1255" s="230"/>
      <c r="S1255" s="230"/>
      <c r="T1255" s="230"/>
      <c r="U1255" s="230"/>
      <c r="V1255" s="230"/>
      <c r="W1255" s="230"/>
      <c r="X1255" s="230"/>
      <c r="Y1255" s="230"/>
    </row>
    <row r="1256">
      <c r="O1256" s="230"/>
      <c r="R1256" s="230"/>
      <c r="S1256" s="230"/>
      <c r="T1256" s="230"/>
      <c r="U1256" s="230"/>
      <c r="V1256" s="230"/>
      <c r="W1256" s="230"/>
      <c r="X1256" s="230"/>
      <c r="Y1256" s="230"/>
    </row>
    <row r="1257">
      <c r="O1257" s="230"/>
      <c r="R1257" s="230"/>
      <c r="S1257" s="230"/>
      <c r="T1257" s="230"/>
      <c r="U1257" s="230"/>
      <c r="V1257" s="230"/>
      <c r="W1257" s="230"/>
      <c r="X1257" s="230"/>
      <c r="Y1257" s="230"/>
    </row>
    <row r="1258">
      <c r="O1258" s="230"/>
      <c r="R1258" s="230"/>
      <c r="S1258" s="230"/>
      <c r="T1258" s="230"/>
      <c r="U1258" s="230"/>
      <c r="V1258" s="230"/>
      <c r="W1258" s="230"/>
      <c r="X1258" s="230"/>
      <c r="Y1258" s="230"/>
    </row>
    <row r="1259">
      <c r="O1259" s="230"/>
      <c r="R1259" s="230"/>
      <c r="S1259" s="230"/>
      <c r="T1259" s="230"/>
      <c r="U1259" s="230"/>
      <c r="V1259" s="230"/>
      <c r="W1259" s="230"/>
      <c r="X1259" s="230"/>
      <c r="Y1259" s="230"/>
    </row>
    <row r="1260">
      <c r="O1260" s="230"/>
      <c r="R1260" s="230"/>
      <c r="S1260" s="230"/>
      <c r="T1260" s="230"/>
      <c r="U1260" s="230"/>
      <c r="V1260" s="230"/>
      <c r="W1260" s="230"/>
      <c r="X1260" s="230"/>
      <c r="Y1260" s="230"/>
    </row>
    <row r="1261">
      <c r="O1261" s="230"/>
      <c r="R1261" s="230"/>
      <c r="S1261" s="230"/>
      <c r="T1261" s="230"/>
      <c r="U1261" s="230"/>
      <c r="V1261" s="230"/>
      <c r="W1261" s="230"/>
      <c r="X1261" s="230"/>
      <c r="Y1261" s="230"/>
    </row>
    <row r="1262">
      <c r="O1262" s="230"/>
      <c r="R1262" s="230"/>
      <c r="S1262" s="230"/>
      <c r="T1262" s="230"/>
      <c r="U1262" s="230"/>
      <c r="V1262" s="230"/>
      <c r="W1262" s="230"/>
      <c r="X1262" s="230"/>
      <c r="Y1262" s="230"/>
    </row>
    <row r="1263">
      <c r="O1263" s="230"/>
      <c r="R1263" s="230"/>
      <c r="S1263" s="230"/>
      <c r="T1263" s="230"/>
      <c r="U1263" s="230"/>
      <c r="V1263" s="230"/>
      <c r="W1263" s="230"/>
      <c r="X1263" s="230"/>
      <c r="Y1263" s="230"/>
    </row>
    <row r="1264">
      <c r="O1264" s="230"/>
      <c r="R1264" s="230"/>
      <c r="S1264" s="230"/>
      <c r="T1264" s="230"/>
      <c r="U1264" s="230"/>
      <c r="V1264" s="230"/>
      <c r="W1264" s="230"/>
      <c r="X1264" s="230"/>
      <c r="Y1264" s="230"/>
    </row>
    <row r="1265">
      <c r="O1265" s="230"/>
      <c r="R1265" s="230"/>
      <c r="S1265" s="230"/>
      <c r="T1265" s="230"/>
      <c r="U1265" s="230"/>
      <c r="V1265" s="230"/>
      <c r="W1265" s="230"/>
      <c r="X1265" s="230"/>
      <c r="Y1265" s="230"/>
    </row>
    <row r="1266">
      <c r="O1266" s="230"/>
      <c r="R1266" s="230"/>
      <c r="S1266" s="230"/>
      <c r="T1266" s="230"/>
      <c r="U1266" s="230"/>
      <c r="V1266" s="230"/>
      <c r="W1266" s="230"/>
      <c r="X1266" s="230"/>
      <c r="Y1266" s="230"/>
    </row>
    <row r="1267">
      <c r="O1267" s="230"/>
      <c r="R1267" s="230"/>
      <c r="S1267" s="230"/>
      <c r="T1267" s="230"/>
      <c r="U1267" s="230"/>
      <c r="V1267" s="230"/>
      <c r="W1267" s="230"/>
      <c r="X1267" s="230"/>
      <c r="Y1267" s="230"/>
    </row>
    <row r="1268">
      <c r="O1268" s="230"/>
      <c r="R1268" s="230"/>
      <c r="S1268" s="230"/>
      <c r="T1268" s="230"/>
      <c r="U1268" s="230"/>
      <c r="V1268" s="230"/>
      <c r="W1268" s="230"/>
      <c r="X1268" s="230"/>
      <c r="Y1268" s="230"/>
    </row>
    <row r="1269">
      <c r="O1269" s="230"/>
      <c r="R1269" s="230"/>
      <c r="S1269" s="230"/>
      <c r="T1269" s="230"/>
      <c r="U1269" s="230"/>
      <c r="V1269" s="230"/>
      <c r="W1269" s="230"/>
      <c r="X1269" s="230"/>
      <c r="Y1269" s="230"/>
    </row>
    <row r="1270">
      <c r="O1270" s="230"/>
      <c r="R1270" s="230"/>
      <c r="S1270" s="230"/>
      <c r="T1270" s="230"/>
      <c r="U1270" s="230"/>
      <c r="V1270" s="230"/>
      <c r="W1270" s="230"/>
      <c r="X1270" s="230"/>
      <c r="Y1270" s="230"/>
    </row>
    <row r="1271">
      <c r="O1271" s="230"/>
      <c r="R1271" s="230"/>
      <c r="S1271" s="230"/>
      <c r="T1271" s="230"/>
      <c r="U1271" s="230"/>
      <c r="V1271" s="230"/>
      <c r="W1271" s="230"/>
      <c r="X1271" s="230"/>
      <c r="Y1271" s="230"/>
    </row>
    <row r="1272">
      <c r="O1272" s="230"/>
      <c r="R1272" s="230"/>
      <c r="S1272" s="230"/>
      <c r="T1272" s="230"/>
      <c r="U1272" s="230"/>
      <c r="V1272" s="230"/>
      <c r="W1272" s="230"/>
      <c r="X1272" s="230"/>
      <c r="Y1272" s="230"/>
    </row>
    <row r="1273">
      <c r="O1273" s="230"/>
      <c r="R1273" s="230"/>
      <c r="S1273" s="230"/>
      <c r="T1273" s="230"/>
      <c r="U1273" s="230"/>
      <c r="V1273" s="230"/>
      <c r="W1273" s="230"/>
      <c r="X1273" s="230"/>
      <c r="Y1273" s="230"/>
    </row>
    <row r="1274">
      <c r="O1274" s="230"/>
      <c r="R1274" s="230"/>
      <c r="S1274" s="230"/>
      <c r="T1274" s="230"/>
      <c r="U1274" s="230"/>
      <c r="V1274" s="230"/>
      <c r="W1274" s="230"/>
      <c r="X1274" s="230"/>
      <c r="Y1274" s="230"/>
    </row>
    <row r="1275">
      <c r="O1275" s="230"/>
      <c r="R1275" s="230"/>
      <c r="S1275" s="230"/>
      <c r="T1275" s="230"/>
      <c r="U1275" s="230"/>
      <c r="V1275" s="230"/>
      <c r="W1275" s="230"/>
      <c r="X1275" s="230"/>
      <c r="Y1275" s="230"/>
    </row>
    <row r="1276">
      <c r="O1276" s="230"/>
      <c r="R1276" s="230"/>
      <c r="S1276" s="230"/>
      <c r="T1276" s="230"/>
      <c r="U1276" s="230"/>
      <c r="V1276" s="230"/>
      <c r="W1276" s="230"/>
      <c r="X1276" s="230"/>
      <c r="Y1276" s="230"/>
    </row>
    <row r="1277">
      <c r="O1277" s="230"/>
      <c r="R1277" s="230"/>
      <c r="S1277" s="230"/>
      <c r="T1277" s="230"/>
      <c r="U1277" s="230"/>
      <c r="V1277" s="230"/>
      <c r="W1277" s="230"/>
      <c r="X1277" s="230"/>
      <c r="Y1277" s="230"/>
    </row>
    <row r="1278">
      <c r="O1278" s="230"/>
      <c r="R1278" s="230"/>
      <c r="S1278" s="230"/>
      <c r="T1278" s="230"/>
      <c r="U1278" s="230"/>
      <c r="V1278" s="230"/>
      <c r="W1278" s="230"/>
      <c r="X1278" s="230"/>
      <c r="Y1278" s="230"/>
    </row>
    <row r="1279">
      <c r="O1279" s="230"/>
      <c r="R1279" s="230"/>
      <c r="S1279" s="230"/>
      <c r="T1279" s="230"/>
      <c r="U1279" s="230"/>
      <c r="V1279" s="230"/>
      <c r="W1279" s="230"/>
      <c r="X1279" s="230"/>
      <c r="Y1279" s="230"/>
    </row>
    <row r="1280">
      <c r="O1280" s="230"/>
      <c r="R1280" s="230"/>
      <c r="S1280" s="230"/>
      <c r="T1280" s="230"/>
      <c r="U1280" s="230"/>
      <c r="V1280" s="230"/>
      <c r="W1280" s="230"/>
      <c r="X1280" s="230"/>
      <c r="Y1280" s="230"/>
    </row>
    <row r="1281">
      <c r="O1281" s="230"/>
      <c r="R1281" s="230"/>
      <c r="S1281" s="230"/>
      <c r="T1281" s="230"/>
      <c r="U1281" s="230"/>
      <c r="V1281" s="230"/>
      <c r="W1281" s="230"/>
      <c r="X1281" s="230"/>
      <c r="Y1281" s="230"/>
    </row>
    <row r="1282">
      <c r="O1282" s="230"/>
      <c r="R1282" s="230"/>
      <c r="S1282" s="230"/>
      <c r="T1282" s="230"/>
      <c r="U1282" s="230"/>
      <c r="V1282" s="230"/>
      <c r="W1282" s="230"/>
      <c r="X1282" s="230"/>
      <c r="Y1282" s="230"/>
    </row>
    <row r="1283">
      <c r="O1283" s="230"/>
      <c r="R1283" s="230"/>
      <c r="S1283" s="230"/>
      <c r="T1283" s="230"/>
      <c r="U1283" s="230"/>
      <c r="V1283" s="230"/>
      <c r="W1283" s="230"/>
      <c r="X1283" s="230"/>
      <c r="Y1283" s="230"/>
    </row>
    <row r="1284">
      <c r="O1284" s="230"/>
      <c r="R1284" s="230"/>
      <c r="S1284" s="230"/>
      <c r="T1284" s="230"/>
      <c r="U1284" s="230"/>
      <c r="V1284" s="230"/>
      <c r="W1284" s="230"/>
      <c r="X1284" s="230"/>
      <c r="Y1284" s="230"/>
    </row>
    <row r="1285">
      <c r="O1285" s="230"/>
      <c r="R1285" s="230"/>
      <c r="S1285" s="230"/>
      <c r="T1285" s="230"/>
      <c r="U1285" s="230"/>
      <c r="V1285" s="230"/>
      <c r="W1285" s="230"/>
      <c r="X1285" s="230"/>
      <c r="Y1285" s="230"/>
    </row>
    <row r="1286">
      <c r="O1286" s="230"/>
      <c r="R1286" s="230"/>
      <c r="S1286" s="230"/>
      <c r="T1286" s="230"/>
      <c r="U1286" s="230"/>
      <c r="V1286" s="230"/>
      <c r="W1286" s="230"/>
      <c r="X1286" s="230"/>
      <c r="Y1286" s="230"/>
    </row>
    <row r="1287">
      <c r="O1287" s="230"/>
      <c r="R1287" s="230"/>
      <c r="S1287" s="230"/>
      <c r="T1287" s="230"/>
      <c r="U1287" s="230"/>
      <c r="V1287" s="230"/>
      <c r="W1287" s="230"/>
      <c r="X1287" s="230"/>
      <c r="Y1287" s="230"/>
    </row>
    <row r="1288">
      <c r="O1288" s="230"/>
      <c r="R1288" s="230"/>
      <c r="S1288" s="230"/>
      <c r="T1288" s="230"/>
      <c r="U1288" s="230"/>
      <c r="V1288" s="230"/>
      <c r="W1288" s="230"/>
      <c r="X1288" s="230"/>
      <c r="Y1288" s="230"/>
    </row>
    <row r="1289">
      <c r="O1289" s="230"/>
      <c r="R1289" s="230"/>
      <c r="S1289" s="230"/>
      <c r="T1289" s="230"/>
      <c r="U1289" s="230"/>
      <c r="V1289" s="230"/>
      <c r="W1289" s="230"/>
      <c r="X1289" s="230"/>
      <c r="Y1289" s="230"/>
    </row>
    <row r="1290">
      <c r="O1290" s="230"/>
      <c r="R1290" s="230"/>
      <c r="S1290" s="230"/>
      <c r="T1290" s="230"/>
      <c r="U1290" s="230"/>
      <c r="V1290" s="230"/>
      <c r="W1290" s="230"/>
      <c r="X1290" s="230"/>
      <c r="Y1290" s="230"/>
    </row>
    <row r="1291">
      <c r="O1291" s="230"/>
      <c r="R1291" s="230"/>
      <c r="S1291" s="230"/>
      <c r="T1291" s="230"/>
      <c r="U1291" s="230"/>
      <c r="V1291" s="230"/>
      <c r="W1291" s="230"/>
      <c r="X1291" s="230"/>
      <c r="Y1291" s="230"/>
    </row>
    <row r="1292">
      <c r="O1292" s="230"/>
      <c r="R1292" s="230"/>
      <c r="S1292" s="230"/>
      <c r="T1292" s="230"/>
      <c r="U1292" s="230"/>
      <c r="V1292" s="230"/>
      <c r="W1292" s="230"/>
      <c r="X1292" s="230"/>
      <c r="Y1292" s="230"/>
    </row>
    <row r="1293">
      <c r="O1293" s="230"/>
      <c r="R1293" s="230"/>
      <c r="S1293" s="230"/>
      <c r="T1293" s="230"/>
      <c r="U1293" s="230"/>
      <c r="V1293" s="230"/>
      <c r="W1293" s="230"/>
      <c r="X1293" s="230"/>
      <c r="Y1293" s="230"/>
    </row>
    <row r="1294">
      <c r="O1294" s="230"/>
      <c r="R1294" s="230"/>
      <c r="S1294" s="230"/>
      <c r="T1294" s="230"/>
      <c r="U1294" s="230"/>
      <c r="V1294" s="230"/>
      <c r="W1294" s="230"/>
      <c r="X1294" s="230"/>
      <c r="Y1294" s="230"/>
    </row>
    <row r="1295">
      <c r="O1295" s="230"/>
      <c r="R1295" s="230"/>
      <c r="S1295" s="230"/>
      <c r="T1295" s="230"/>
      <c r="U1295" s="230"/>
      <c r="V1295" s="230"/>
      <c r="W1295" s="230"/>
      <c r="X1295" s="230"/>
      <c r="Y1295" s="230"/>
    </row>
    <row r="1296">
      <c r="O1296" s="230"/>
      <c r="R1296" s="230"/>
      <c r="S1296" s="230"/>
      <c r="T1296" s="230"/>
      <c r="U1296" s="230"/>
      <c r="V1296" s="230"/>
      <c r="W1296" s="230"/>
      <c r="X1296" s="230"/>
      <c r="Y1296" s="230"/>
    </row>
    <row r="1297">
      <c r="O1297" s="230"/>
      <c r="R1297" s="230"/>
      <c r="S1297" s="230"/>
      <c r="T1297" s="230"/>
      <c r="U1297" s="230"/>
      <c r="V1297" s="230"/>
      <c r="W1297" s="230"/>
      <c r="X1297" s="230"/>
      <c r="Y1297" s="230"/>
    </row>
    <row r="1298">
      <c r="O1298" s="230"/>
      <c r="R1298" s="230"/>
      <c r="S1298" s="230"/>
      <c r="T1298" s="230"/>
      <c r="U1298" s="230"/>
      <c r="V1298" s="230"/>
      <c r="W1298" s="230"/>
      <c r="X1298" s="230"/>
      <c r="Y1298" s="230"/>
    </row>
    <row r="1299">
      <c r="O1299" s="230"/>
      <c r="R1299" s="230"/>
      <c r="S1299" s="230"/>
      <c r="T1299" s="230"/>
      <c r="U1299" s="230"/>
      <c r="V1299" s="230"/>
      <c r="W1299" s="230"/>
      <c r="X1299" s="230"/>
      <c r="Y1299" s="230"/>
    </row>
    <row r="1300">
      <c r="O1300" s="230"/>
      <c r="R1300" s="230"/>
      <c r="S1300" s="230"/>
      <c r="T1300" s="230"/>
      <c r="U1300" s="230"/>
      <c r="V1300" s="230"/>
      <c r="W1300" s="230"/>
      <c r="X1300" s="230"/>
      <c r="Y1300" s="230"/>
    </row>
    <row r="1301">
      <c r="O1301" s="230"/>
      <c r="R1301" s="230"/>
      <c r="S1301" s="230"/>
      <c r="T1301" s="230"/>
      <c r="U1301" s="230"/>
      <c r="V1301" s="230"/>
      <c r="W1301" s="230"/>
      <c r="X1301" s="230"/>
      <c r="Y1301" s="230"/>
    </row>
    <row r="1302">
      <c r="O1302" s="230"/>
      <c r="R1302" s="230"/>
      <c r="S1302" s="230"/>
      <c r="T1302" s="230"/>
      <c r="U1302" s="230"/>
      <c r="V1302" s="230"/>
      <c r="W1302" s="230"/>
      <c r="X1302" s="230"/>
      <c r="Y1302" s="230"/>
    </row>
    <row r="1303">
      <c r="O1303" s="230"/>
      <c r="R1303" s="230"/>
      <c r="S1303" s="230"/>
      <c r="T1303" s="230"/>
      <c r="U1303" s="230"/>
      <c r="V1303" s="230"/>
      <c r="W1303" s="230"/>
      <c r="X1303" s="230"/>
      <c r="Y1303" s="230"/>
    </row>
    <row r="1304">
      <c r="O1304" s="230"/>
      <c r="R1304" s="230"/>
      <c r="S1304" s="230"/>
      <c r="T1304" s="230"/>
      <c r="U1304" s="230"/>
      <c r="V1304" s="230"/>
      <c r="W1304" s="230"/>
      <c r="X1304" s="230"/>
      <c r="Y1304" s="230"/>
    </row>
    <row r="1305">
      <c r="O1305" s="230"/>
      <c r="R1305" s="230"/>
      <c r="S1305" s="230"/>
      <c r="T1305" s="230"/>
      <c r="U1305" s="230"/>
      <c r="V1305" s="230"/>
      <c r="W1305" s="230"/>
      <c r="X1305" s="230"/>
      <c r="Y1305" s="230"/>
    </row>
    <row r="1306">
      <c r="O1306" s="230"/>
      <c r="R1306" s="230"/>
      <c r="S1306" s="230"/>
      <c r="T1306" s="230"/>
      <c r="U1306" s="230"/>
      <c r="V1306" s="230"/>
      <c r="W1306" s="230"/>
      <c r="X1306" s="230"/>
      <c r="Y1306" s="230"/>
    </row>
    <row r="1307">
      <c r="O1307" s="230"/>
      <c r="R1307" s="230"/>
      <c r="S1307" s="230"/>
      <c r="T1307" s="230"/>
      <c r="U1307" s="230"/>
      <c r="V1307" s="230"/>
      <c r="W1307" s="230"/>
      <c r="X1307" s="230"/>
      <c r="Y1307" s="230"/>
    </row>
    <row r="1308">
      <c r="O1308" s="230"/>
      <c r="R1308" s="230"/>
      <c r="S1308" s="230"/>
      <c r="T1308" s="230"/>
      <c r="U1308" s="230"/>
      <c r="V1308" s="230"/>
      <c r="W1308" s="230"/>
      <c r="X1308" s="230"/>
      <c r="Y1308" s="230"/>
    </row>
    <row r="1309">
      <c r="O1309" s="230"/>
      <c r="R1309" s="230"/>
      <c r="S1309" s="230"/>
      <c r="T1309" s="230"/>
      <c r="U1309" s="230"/>
      <c r="V1309" s="230"/>
      <c r="W1309" s="230"/>
      <c r="X1309" s="230"/>
      <c r="Y1309" s="230"/>
    </row>
    <row r="1310">
      <c r="O1310" s="230"/>
      <c r="R1310" s="230"/>
      <c r="S1310" s="230"/>
      <c r="T1310" s="230"/>
      <c r="U1310" s="230"/>
      <c r="V1310" s="230"/>
      <c r="W1310" s="230"/>
      <c r="X1310" s="230"/>
      <c r="Y1310" s="230"/>
    </row>
    <row r="1311">
      <c r="O1311" s="230"/>
      <c r="R1311" s="230"/>
      <c r="S1311" s="230"/>
      <c r="T1311" s="230"/>
      <c r="U1311" s="230"/>
      <c r="V1311" s="230"/>
      <c r="W1311" s="230"/>
      <c r="X1311" s="230"/>
      <c r="Y1311" s="230"/>
    </row>
    <row r="1312">
      <c r="O1312" s="230"/>
      <c r="R1312" s="230"/>
      <c r="S1312" s="230"/>
      <c r="T1312" s="230"/>
      <c r="U1312" s="230"/>
      <c r="V1312" s="230"/>
      <c r="W1312" s="230"/>
      <c r="X1312" s="230"/>
      <c r="Y1312" s="230"/>
    </row>
    <row r="1313">
      <c r="O1313" s="230"/>
      <c r="R1313" s="230"/>
      <c r="S1313" s="230"/>
      <c r="T1313" s="230"/>
      <c r="U1313" s="230"/>
      <c r="V1313" s="230"/>
      <c r="W1313" s="230"/>
      <c r="X1313" s="230"/>
      <c r="Y1313" s="230"/>
    </row>
    <row r="1314">
      <c r="O1314" s="230"/>
      <c r="R1314" s="230"/>
      <c r="S1314" s="230"/>
      <c r="T1314" s="230"/>
      <c r="U1314" s="230"/>
      <c r="V1314" s="230"/>
      <c r="W1314" s="230"/>
      <c r="X1314" s="230"/>
      <c r="Y1314" s="230"/>
    </row>
    <row r="1315">
      <c r="O1315" s="230"/>
      <c r="R1315" s="230"/>
      <c r="S1315" s="230"/>
      <c r="T1315" s="230"/>
      <c r="U1315" s="230"/>
      <c r="V1315" s="230"/>
      <c r="W1315" s="230"/>
      <c r="X1315" s="230"/>
      <c r="Y1315" s="230"/>
    </row>
    <row r="1316">
      <c r="O1316" s="230"/>
      <c r="R1316" s="230"/>
      <c r="S1316" s="230"/>
      <c r="T1316" s="230"/>
      <c r="U1316" s="230"/>
      <c r="V1316" s="230"/>
      <c r="W1316" s="230"/>
      <c r="X1316" s="230"/>
      <c r="Y1316" s="230"/>
    </row>
    <row r="1317">
      <c r="O1317" s="230"/>
      <c r="R1317" s="230"/>
      <c r="S1317" s="230"/>
      <c r="T1317" s="230"/>
      <c r="U1317" s="230"/>
      <c r="V1317" s="230"/>
      <c r="W1317" s="230"/>
      <c r="X1317" s="230"/>
      <c r="Y1317" s="230"/>
    </row>
    <row r="1318">
      <c r="O1318" s="230"/>
      <c r="R1318" s="230"/>
      <c r="S1318" s="230"/>
      <c r="T1318" s="230"/>
      <c r="U1318" s="230"/>
      <c r="V1318" s="230"/>
      <c r="W1318" s="230"/>
      <c r="X1318" s="230"/>
      <c r="Y1318" s="230"/>
    </row>
    <row r="1319">
      <c r="O1319" s="230"/>
      <c r="R1319" s="230"/>
      <c r="S1319" s="230"/>
      <c r="T1319" s="230"/>
      <c r="U1319" s="230"/>
      <c r="V1319" s="230"/>
      <c r="W1319" s="230"/>
      <c r="X1319" s="230"/>
      <c r="Y1319" s="230"/>
    </row>
    <row r="1320">
      <c r="O1320" s="230"/>
      <c r="R1320" s="230"/>
      <c r="S1320" s="230"/>
      <c r="T1320" s="230"/>
      <c r="U1320" s="230"/>
      <c r="V1320" s="230"/>
      <c r="W1320" s="230"/>
      <c r="X1320" s="230"/>
      <c r="Y1320" s="230"/>
    </row>
    <row r="1321">
      <c r="O1321" s="230"/>
      <c r="R1321" s="230"/>
      <c r="S1321" s="230"/>
      <c r="T1321" s="230"/>
      <c r="U1321" s="230"/>
      <c r="V1321" s="230"/>
      <c r="W1321" s="230"/>
      <c r="X1321" s="230"/>
      <c r="Y1321" s="230"/>
    </row>
    <row r="1322">
      <c r="O1322" s="230"/>
      <c r="R1322" s="230"/>
      <c r="S1322" s="230"/>
      <c r="T1322" s="230"/>
      <c r="U1322" s="230"/>
      <c r="V1322" s="230"/>
      <c r="W1322" s="230"/>
      <c r="X1322" s="230"/>
      <c r="Y1322" s="230"/>
    </row>
    <row r="1323">
      <c r="O1323" s="230"/>
      <c r="R1323" s="230"/>
      <c r="S1323" s="230"/>
      <c r="T1323" s="230"/>
      <c r="U1323" s="230"/>
      <c r="V1323" s="230"/>
      <c r="W1323" s="230"/>
      <c r="X1323" s="230"/>
      <c r="Y1323" s="230"/>
    </row>
    <row r="1324">
      <c r="O1324" s="230"/>
      <c r="R1324" s="230"/>
      <c r="S1324" s="230"/>
      <c r="T1324" s="230"/>
      <c r="U1324" s="230"/>
      <c r="V1324" s="230"/>
      <c r="W1324" s="230"/>
      <c r="X1324" s="230"/>
      <c r="Y1324" s="230"/>
    </row>
    <row r="1325">
      <c r="O1325" s="230"/>
      <c r="R1325" s="230"/>
      <c r="S1325" s="230"/>
      <c r="T1325" s="230"/>
      <c r="U1325" s="230"/>
      <c r="V1325" s="230"/>
      <c r="W1325" s="230"/>
      <c r="X1325" s="230"/>
      <c r="Y1325" s="230"/>
    </row>
    <row r="1326">
      <c r="O1326" s="230"/>
      <c r="R1326" s="230"/>
      <c r="S1326" s="230"/>
      <c r="T1326" s="230"/>
      <c r="U1326" s="230"/>
      <c r="V1326" s="230"/>
      <c r="W1326" s="230"/>
      <c r="X1326" s="230"/>
      <c r="Y1326" s="230"/>
    </row>
    <row r="1327">
      <c r="O1327" s="230"/>
      <c r="R1327" s="230"/>
      <c r="S1327" s="230"/>
      <c r="T1327" s="230"/>
      <c r="U1327" s="230"/>
      <c r="V1327" s="230"/>
      <c r="W1327" s="230"/>
      <c r="X1327" s="230"/>
      <c r="Y1327" s="230"/>
    </row>
    <row r="1328">
      <c r="O1328" s="230"/>
      <c r="R1328" s="230"/>
      <c r="S1328" s="230"/>
      <c r="T1328" s="230"/>
      <c r="U1328" s="230"/>
      <c r="V1328" s="230"/>
      <c r="W1328" s="230"/>
      <c r="X1328" s="230"/>
      <c r="Y1328" s="230"/>
    </row>
    <row r="1329">
      <c r="O1329" s="230"/>
      <c r="R1329" s="230"/>
      <c r="S1329" s="230"/>
      <c r="T1329" s="230"/>
      <c r="U1329" s="230"/>
      <c r="V1329" s="230"/>
      <c r="W1329" s="230"/>
      <c r="X1329" s="230"/>
      <c r="Y1329" s="230"/>
    </row>
    <row r="1330">
      <c r="O1330" s="230"/>
      <c r="R1330" s="230"/>
      <c r="S1330" s="230"/>
      <c r="T1330" s="230"/>
      <c r="U1330" s="230"/>
      <c r="V1330" s="230"/>
      <c r="W1330" s="230"/>
      <c r="X1330" s="230"/>
      <c r="Y1330" s="230"/>
    </row>
    <row r="1331">
      <c r="O1331" s="230"/>
      <c r="R1331" s="230"/>
      <c r="S1331" s="230"/>
      <c r="T1331" s="230"/>
      <c r="U1331" s="230"/>
      <c r="V1331" s="230"/>
      <c r="W1331" s="230"/>
      <c r="X1331" s="230"/>
      <c r="Y1331" s="230"/>
    </row>
    <row r="1332">
      <c r="O1332" s="230"/>
      <c r="R1332" s="230"/>
      <c r="S1332" s="230"/>
      <c r="T1332" s="230"/>
      <c r="U1332" s="230"/>
      <c r="V1332" s="230"/>
      <c r="W1332" s="230"/>
      <c r="X1332" s="230"/>
      <c r="Y1332" s="230"/>
    </row>
    <row r="1333">
      <c r="O1333" s="230"/>
      <c r="R1333" s="230"/>
      <c r="S1333" s="230"/>
      <c r="T1333" s="230"/>
      <c r="U1333" s="230"/>
      <c r="V1333" s="230"/>
      <c r="W1333" s="230"/>
      <c r="X1333" s="230"/>
      <c r="Y1333" s="230"/>
    </row>
    <row r="1334">
      <c r="O1334" s="230"/>
      <c r="R1334" s="230"/>
      <c r="S1334" s="230"/>
      <c r="T1334" s="230"/>
      <c r="U1334" s="230"/>
      <c r="V1334" s="230"/>
      <c r="W1334" s="230"/>
      <c r="X1334" s="230"/>
      <c r="Y1334" s="230"/>
    </row>
    <row r="1335">
      <c r="O1335" s="230"/>
      <c r="R1335" s="230"/>
      <c r="S1335" s="230"/>
      <c r="T1335" s="230"/>
      <c r="U1335" s="230"/>
      <c r="V1335" s="230"/>
      <c r="W1335" s="230"/>
      <c r="X1335" s="230"/>
      <c r="Y1335" s="230"/>
    </row>
    <row r="1336">
      <c r="O1336" s="230"/>
      <c r="R1336" s="230"/>
      <c r="S1336" s="230"/>
      <c r="T1336" s="230"/>
      <c r="U1336" s="230"/>
      <c r="V1336" s="230"/>
      <c r="W1336" s="230"/>
      <c r="X1336" s="230"/>
      <c r="Y1336" s="230"/>
    </row>
    <row r="1337">
      <c r="O1337" s="230"/>
      <c r="R1337" s="230"/>
      <c r="S1337" s="230"/>
      <c r="T1337" s="230"/>
      <c r="U1337" s="230"/>
      <c r="V1337" s="230"/>
      <c r="W1337" s="230"/>
      <c r="X1337" s="230"/>
      <c r="Y1337" s="230"/>
    </row>
    <row r="1338">
      <c r="O1338" s="230"/>
      <c r="R1338" s="230"/>
      <c r="S1338" s="230"/>
      <c r="T1338" s="230"/>
      <c r="U1338" s="230"/>
      <c r="V1338" s="230"/>
      <c r="W1338" s="230"/>
      <c r="X1338" s="230"/>
      <c r="Y1338" s="230"/>
    </row>
    <row r="1339">
      <c r="O1339" s="230"/>
      <c r="R1339" s="230"/>
      <c r="S1339" s="230"/>
      <c r="T1339" s="230"/>
      <c r="U1339" s="230"/>
      <c r="V1339" s="230"/>
      <c r="W1339" s="230"/>
      <c r="X1339" s="230"/>
      <c r="Y1339" s="230"/>
    </row>
    <row r="1340">
      <c r="O1340" s="230"/>
      <c r="R1340" s="230"/>
      <c r="S1340" s="230"/>
      <c r="T1340" s="230"/>
      <c r="U1340" s="230"/>
      <c r="V1340" s="230"/>
      <c r="W1340" s="230"/>
      <c r="X1340" s="230"/>
      <c r="Y1340" s="230"/>
    </row>
    <row r="1341">
      <c r="O1341" s="230"/>
      <c r="R1341" s="230"/>
      <c r="S1341" s="230"/>
      <c r="T1341" s="230"/>
      <c r="U1341" s="230"/>
      <c r="V1341" s="230"/>
      <c r="W1341" s="230"/>
      <c r="X1341" s="230"/>
      <c r="Y1341" s="230"/>
    </row>
    <row r="1342">
      <c r="O1342" s="230"/>
      <c r="R1342" s="230"/>
      <c r="S1342" s="230"/>
      <c r="T1342" s="230"/>
      <c r="U1342" s="230"/>
      <c r="V1342" s="230"/>
      <c r="W1342" s="230"/>
      <c r="X1342" s="230"/>
      <c r="Y1342" s="230"/>
    </row>
    <row r="1343">
      <c r="O1343" s="230"/>
      <c r="R1343" s="230"/>
      <c r="S1343" s="230"/>
      <c r="T1343" s="230"/>
      <c r="U1343" s="230"/>
      <c r="V1343" s="230"/>
      <c r="W1343" s="230"/>
      <c r="X1343" s="230"/>
      <c r="Y1343" s="230"/>
    </row>
    <row r="1344">
      <c r="O1344" s="230"/>
      <c r="R1344" s="230"/>
      <c r="S1344" s="230"/>
      <c r="T1344" s="230"/>
      <c r="U1344" s="230"/>
      <c r="V1344" s="230"/>
      <c r="W1344" s="230"/>
      <c r="X1344" s="230"/>
      <c r="Y1344" s="230"/>
    </row>
    <row r="1345">
      <c r="O1345" s="230"/>
      <c r="R1345" s="230"/>
      <c r="S1345" s="230"/>
      <c r="T1345" s="230"/>
      <c r="U1345" s="230"/>
      <c r="V1345" s="230"/>
      <c r="W1345" s="230"/>
      <c r="X1345" s="230"/>
      <c r="Y1345" s="230"/>
    </row>
    <row r="1346">
      <c r="O1346" s="230"/>
      <c r="R1346" s="230"/>
      <c r="S1346" s="230"/>
      <c r="T1346" s="230"/>
      <c r="U1346" s="230"/>
      <c r="V1346" s="230"/>
      <c r="W1346" s="230"/>
      <c r="X1346" s="230"/>
      <c r="Y1346" s="230"/>
    </row>
    <row r="1347">
      <c r="O1347" s="230"/>
      <c r="R1347" s="230"/>
      <c r="S1347" s="230"/>
      <c r="T1347" s="230"/>
      <c r="U1347" s="230"/>
      <c r="V1347" s="230"/>
      <c r="W1347" s="230"/>
      <c r="X1347" s="230"/>
      <c r="Y1347" s="230"/>
    </row>
    <row r="1348">
      <c r="O1348" s="230"/>
      <c r="R1348" s="230"/>
      <c r="S1348" s="230"/>
      <c r="T1348" s="230"/>
      <c r="U1348" s="230"/>
      <c r="V1348" s="230"/>
      <c r="W1348" s="230"/>
      <c r="X1348" s="230"/>
      <c r="Y1348" s="230"/>
    </row>
    <row r="1349">
      <c r="O1349" s="230"/>
      <c r="R1349" s="230"/>
      <c r="S1349" s="230"/>
      <c r="T1349" s="230"/>
      <c r="U1349" s="230"/>
      <c r="V1349" s="230"/>
      <c r="W1349" s="230"/>
      <c r="X1349" s="230"/>
      <c r="Y1349" s="230"/>
    </row>
    <row r="1350">
      <c r="O1350" s="230"/>
      <c r="R1350" s="230"/>
      <c r="S1350" s="230"/>
      <c r="T1350" s="230"/>
      <c r="U1350" s="230"/>
      <c r="V1350" s="230"/>
      <c r="W1350" s="230"/>
      <c r="X1350" s="230"/>
      <c r="Y1350" s="230"/>
    </row>
    <row r="1351">
      <c r="O1351" s="230"/>
      <c r="R1351" s="230"/>
      <c r="S1351" s="230"/>
      <c r="T1351" s="230"/>
      <c r="U1351" s="230"/>
      <c r="V1351" s="230"/>
      <c r="W1351" s="230"/>
      <c r="X1351" s="230"/>
      <c r="Y1351" s="230"/>
    </row>
    <row r="1352">
      <c r="O1352" s="230"/>
      <c r="R1352" s="230"/>
      <c r="S1352" s="230"/>
      <c r="T1352" s="230"/>
      <c r="U1352" s="230"/>
      <c r="V1352" s="230"/>
      <c r="W1352" s="230"/>
      <c r="X1352" s="230"/>
      <c r="Y1352" s="230"/>
    </row>
    <row r="1353">
      <c r="O1353" s="230"/>
      <c r="R1353" s="230"/>
      <c r="S1353" s="230"/>
      <c r="T1353" s="230"/>
      <c r="U1353" s="230"/>
      <c r="V1353" s="230"/>
      <c r="W1353" s="230"/>
      <c r="X1353" s="230"/>
      <c r="Y1353" s="230"/>
    </row>
    <row r="1354">
      <c r="O1354" s="230"/>
      <c r="R1354" s="230"/>
      <c r="S1354" s="230"/>
      <c r="T1354" s="230"/>
      <c r="U1354" s="230"/>
      <c r="V1354" s="230"/>
      <c r="W1354" s="230"/>
      <c r="X1354" s="230"/>
      <c r="Y1354" s="230"/>
    </row>
    <row r="1355">
      <c r="O1355" s="230"/>
      <c r="R1355" s="230"/>
      <c r="S1355" s="230"/>
      <c r="T1355" s="230"/>
      <c r="U1355" s="230"/>
      <c r="V1355" s="230"/>
      <c r="W1355" s="230"/>
      <c r="X1355" s="230"/>
      <c r="Y1355" s="230"/>
    </row>
    <row r="1356">
      <c r="O1356" s="230"/>
      <c r="R1356" s="230"/>
      <c r="S1356" s="230"/>
      <c r="T1356" s="230"/>
      <c r="U1356" s="230"/>
      <c r="V1356" s="230"/>
      <c r="W1356" s="230"/>
      <c r="X1356" s="230"/>
      <c r="Y1356" s="230"/>
    </row>
    <row r="1357">
      <c r="O1357" s="230"/>
      <c r="R1357" s="230"/>
      <c r="S1357" s="230"/>
      <c r="T1357" s="230"/>
      <c r="U1357" s="230"/>
      <c r="V1357" s="230"/>
      <c r="W1357" s="230"/>
      <c r="X1357" s="230"/>
      <c r="Y1357" s="230"/>
    </row>
    <row r="1358">
      <c r="O1358" s="230"/>
      <c r="R1358" s="230"/>
      <c r="S1358" s="230"/>
      <c r="T1358" s="230"/>
      <c r="U1358" s="230"/>
      <c r="V1358" s="230"/>
      <c r="W1358" s="230"/>
      <c r="X1358" s="230"/>
      <c r="Y1358" s="230"/>
    </row>
    <row r="1359">
      <c r="O1359" s="230"/>
      <c r="R1359" s="230"/>
      <c r="S1359" s="230"/>
      <c r="T1359" s="230"/>
      <c r="U1359" s="230"/>
      <c r="V1359" s="230"/>
      <c r="W1359" s="230"/>
      <c r="X1359" s="230"/>
      <c r="Y1359" s="230"/>
    </row>
    <row r="1360">
      <c r="O1360" s="230"/>
      <c r="R1360" s="230"/>
      <c r="S1360" s="230"/>
      <c r="T1360" s="230"/>
      <c r="U1360" s="230"/>
      <c r="V1360" s="230"/>
      <c r="W1360" s="230"/>
      <c r="X1360" s="230"/>
      <c r="Y1360" s="230"/>
    </row>
    <row r="1361">
      <c r="O1361" s="230"/>
      <c r="R1361" s="230"/>
      <c r="S1361" s="230"/>
      <c r="T1361" s="230"/>
      <c r="U1361" s="230"/>
      <c r="V1361" s="230"/>
      <c r="W1361" s="230"/>
      <c r="X1361" s="230"/>
      <c r="Y1361" s="230"/>
    </row>
    <row r="1362">
      <c r="O1362" s="230"/>
      <c r="R1362" s="230"/>
      <c r="S1362" s="230"/>
      <c r="T1362" s="230"/>
      <c r="U1362" s="230"/>
      <c r="V1362" s="230"/>
      <c r="W1362" s="230"/>
      <c r="X1362" s="230"/>
      <c r="Y1362" s="230"/>
    </row>
    <row r="1363">
      <c r="O1363" s="230"/>
      <c r="R1363" s="230"/>
      <c r="S1363" s="230"/>
      <c r="T1363" s="230"/>
      <c r="U1363" s="230"/>
      <c r="V1363" s="230"/>
      <c r="W1363" s="230"/>
      <c r="X1363" s="230"/>
      <c r="Y1363" s="230"/>
    </row>
    <row r="1364">
      <c r="O1364" s="230"/>
      <c r="R1364" s="230"/>
      <c r="S1364" s="230"/>
      <c r="T1364" s="230"/>
      <c r="U1364" s="230"/>
      <c r="V1364" s="230"/>
      <c r="W1364" s="230"/>
      <c r="X1364" s="230"/>
      <c r="Y1364" s="230"/>
    </row>
    <row r="1365">
      <c r="O1365" s="230"/>
      <c r="R1365" s="230"/>
      <c r="S1365" s="230"/>
      <c r="T1365" s="230"/>
      <c r="U1365" s="230"/>
      <c r="V1365" s="230"/>
      <c r="W1365" s="230"/>
      <c r="X1365" s="230"/>
      <c r="Y1365" s="230"/>
    </row>
    <row r="1366">
      <c r="O1366" s="230"/>
      <c r="R1366" s="230"/>
      <c r="S1366" s="230"/>
      <c r="T1366" s="230"/>
      <c r="U1366" s="230"/>
      <c r="V1366" s="230"/>
      <c r="W1366" s="230"/>
      <c r="X1366" s="230"/>
      <c r="Y1366" s="230"/>
    </row>
    <row r="1367">
      <c r="O1367" s="230"/>
      <c r="R1367" s="230"/>
      <c r="S1367" s="230"/>
      <c r="T1367" s="230"/>
      <c r="U1367" s="230"/>
      <c r="V1367" s="230"/>
      <c r="W1367" s="230"/>
      <c r="X1367" s="230"/>
      <c r="Y1367" s="230"/>
    </row>
    <row r="1368">
      <c r="O1368" s="230"/>
      <c r="R1368" s="230"/>
      <c r="S1368" s="230"/>
      <c r="T1368" s="230"/>
      <c r="U1368" s="230"/>
      <c r="V1368" s="230"/>
      <c r="W1368" s="230"/>
      <c r="X1368" s="230"/>
      <c r="Y1368" s="230"/>
    </row>
    <row r="1369">
      <c r="O1369" s="230"/>
      <c r="R1369" s="230"/>
      <c r="S1369" s="230"/>
      <c r="T1369" s="230"/>
      <c r="U1369" s="230"/>
      <c r="V1369" s="230"/>
      <c r="W1369" s="230"/>
      <c r="X1369" s="230"/>
      <c r="Y1369" s="230"/>
    </row>
    <row r="1370">
      <c r="O1370" s="230"/>
      <c r="R1370" s="230"/>
      <c r="S1370" s="230"/>
      <c r="T1370" s="230"/>
      <c r="U1370" s="230"/>
      <c r="V1370" s="230"/>
      <c r="W1370" s="230"/>
      <c r="X1370" s="230"/>
      <c r="Y1370" s="230"/>
    </row>
    <row r="1371">
      <c r="O1371" s="230"/>
      <c r="R1371" s="230"/>
      <c r="S1371" s="230"/>
      <c r="T1371" s="230"/>
      <c r="U1371" s="230"/>
      <c r="V1371" s="230"/>
      <c r="W1371" s="230"/>
      <c r="X1371" s="230"/>
      <c r="Y1371" s="230"/>
    </row>
    <row r="1372">
      <c r="O1372" s="230"/>
      <c r="R1372" s="230"/>
      <c r="S1372" s="230"/>
      <c r="T1372" s="230"/>
      <c r="U1372" s="230"/>
      <c r="V1372" s="230"/>
      <c r="W1372" s="230"/>
      <c r="X1372" s="230"/>
      <c r="Y1372" s="230"/>
    </row>
    <row r="1373">
      <c r="O1373" s="230"/>
      <c r="R1373" s="230"/>
      <c r="S1373" s="230"/>
      <c r="T1373" s="230"/>
      <c r="U1373" s="230"/>
      <c r="V1373" s="230"/>
      <c r="W1373" s="230"/>
      <c r="X1373" s="230"/>
      <c r="Y1373" s="230"/>
    </row>
    <row r="1374">
      <c r="O1374" s="230"/>
      <c r="R1374" s="230"/>
      <c r="S1374" s="230"/>
      <c r="T1374" s="230"/>
      <c r="U1374" s="230"/>
      <c r="V1374" s="230"/>
      <c r="W1374" s="230"/>
      <c r="X1374" s="230"/>
      <c r="Y1374" s="230"/>
    </row>
    <row r="1375">
      <c r="O1375" s="230"/>
      <c r="R1375" s="230"/>
      <c r="S1375" s="230"/>
      <c r="T1375" s="230"/>
      <c r="U1375" s="230"/>
      <c r="V1375" s="230"/>
      <c r="W1375" s="230"/>
      <c r="X1375" s="230"/>
      <c r="Y1375" s="230"/>
    </row>
    <row r="1376">
      <c r="O1376" s="230"/>
      <c r="R1376" s="230"/>
      <c r="S1376" s="230"/>
      <c r="T1376" s="230"/>
      <c r="U1376" s="230"/>
      <c r="V1376" s="230"/>
      <c r="W1376" s="230"/>
      <c r="X1376" s="230"/>
      <c r="Y1376" s="230"/>
    </row>
    <row r="1377">
      <c r="O1377" s="230"/>
      <c r="R1377" s="230"/>
      <c r="S1377" s="230"/>
      <c r="T1377" s="230"/>
      <c r="U1377" s="230"/>
      <c r="V1377" s="230"/>
      <c r="W1377" s="230"/>
      <c r="X1377" s="230"/>
      <c r="Y1377" s="230"/>
    </row>
    <row r="1378">
      <c r="O1378" s="230"/>
      <c r="R1378" s="230"/>
      <c r="S1378" s="230"/>
      <c r="T1378" s="230"/>
      <c r="U1378" s="230"/>
      <c r="V1378" s="230"/>
      <c r="W1378" s="230"/>
      <c r="X1378" s="230"/>
      <c r="Y1378" s="230"/>
    </row>
    <row r="1379">
      <c r="O1379" s="230"/>
      <c r="R1379" s="230"/>
      <c r="S1379" s="230"/>
      <c r="T1379" s="230"/>
      <c r="U1379" s="230"/>
      <c r="V1379" s="230"/>
      <c r="W1379" s="230"/>
      <c r="X1379" s="230"/>
      <c r="Y1379" s="230"/>
    </row>
    <row r="1380">
      <c r="O1380" s="230"/>
      <c r="R1380" s="230"/>
      <c r="S1380" s="230"/>
      <c r="T1380" s="230"/>
      <c r="U1380" s="230"/>
      <c r="V1380" s="230"/>
      <c r="W1380" s="230"/>
      <c r="X1380" s="230"/>
      <c r="Y1380" s="230"/>
    </row>
    <row r="1381">
      <c r="O1381" s="230"/>
      <c r="R1381" s="230"/>
      <c r="S1381" s="230"/>
      <c r="T1381" s="230"/>
      <c r="U1381" s="230"/>
      <c r="V1381" s="230"/>
      <c r="W1381" s="230"/>
      <c r="X1381" s="230"/>
      <c r="Y1381" s="230"/>
    </row>
    <row r="1382">
      <c r="O1382" s="230"/>
      <c r="R1382" s="230"/>
      <c r="S1382" s="230"/>
      <c r="T1382" s="230"/>
      <c r="U1382" s="230"/>
      <c r="V1382" s="230"/>
      <c r="W1382" s="230"/>
      <c r="X1382" s="230"/>
      <c r="Y1382" s="230"/>
    </row>
    <row r="1383">
      <c r="O1383" s="230"/>
      <c r="R1383" s="230"/>
      <c r="S1383" s="230"/>
      <c r="T1383" s="230"/>
      <c r="U1383" s="230"/>
      <c r="V1383" s="230"/>
      <c r="W1383" s="230"/>
      <c r="X1383" s="230"/>
      <c r="Y1383" s="230"/>
    </row>
    <row r="1384">
      <c r="O1384" s="230"/>
      <c r="R1384" s="230"/>
      <c r="S1384" s="230"/>
      <c r="T1384" s="230"/>
      <c r="U1384" s="230"/>
      <c r="V1384" s="230"/>
      <c r="W1384" s="230"/>
      <c r="X1384" s="230"/>
      <c r="Y1384" s="230"/>
    </row>
    <row r="1385">
      <c r="O1385" s="230"/>
      <c r="R1385" s="230"/>
      <c r="S1385" s="230"/>
      <c r="T1385" s="230"/>
      <c r="U1385" s="230"/>
      <c r="V1385" s="230"/>
      <c r="W1385" s="230"/>
      <c r="X1385" s="230"/>
      <c r="Y1385" s="230"/>
    </row>
    <row r="1386">
      <c r="O1386" s="230"/>
      <c r="R1386" s="230"/>
      <c r="S1386" s="230"/>
      <c r="T1386" s="230"/>
      <c r="U1386" s="230"/>
      <c r="V1386" s="230"/>
      <c r="W1386" s="230"/>
      <c r="X1386" s="230"/>
      <c r="Y1386" s="230"/>
    </row>
    <row r="1387">
      <c r="O1387" s="230"/>
      <c r="R1387" s="230"/>
      <c r="S1387" s="230"/>
      <c r="T1387" s="230"/>
      <c r="U1387" s="230"/>
      <c r="V1387" s="230"/>
      <c r="W1387" s="230"/>
      <c r="X1387" s="230"/>
      <c r="Y1387" s="230"/>
    </row>
    <row r="1388">
      <c r="O1388" s="230"/>
      <c r="R1388" s="230"/>
      <c r="S1388" s="230"/>
      <c r="T1388" s="230"/>
      <c r="U1388" s="230"/>
      <c r="V1388" s="230"/>
      <c r="W1388" s="230"/>
      <c r="X1388" s="230"/>
      <c r="Y1388" s="230"/>
    </row>
    <row r="1389">
      <c r="O1389" s="230"/>
      <c r="R1389" s="230"/>
      <c r="S1389" s="230"/>
      <c r="T1389" s="230"/>
      <c r="U1389" s="230"/>
      <c r="V1389" s="230"/>
      <c r="W1389" s="230"/>
      <c r="X1389" s="230"/>
      <c r="Y1389" s="230"/>
    </row>
    <row r="1390">
      <c r="O1390" s="230"/>
      <c r="R1390" s="230"/>
      <c r="S1390" s="230"/>
      <c r="T1390" s="230"/>
      <c r="U1390" s="230"/>
      <c r="V1390" s="230"/>
      <c r="W1390" s="230"/>
      <c r="X1390" s="230"/>
      <c r="Y1390" s="230"/>
    </row>
    <row r="1391">
      <c r="O1391" s="230"/>
      <c r="R1391" s="230"/>
      <c r="S1391" s="230"/>
      <c r="T1391" s="230"/>
      <c r="U1391" s="230"/>
      <c r="V1391" s="230"/>
      <c r="W1391" s="230"/>
      <c r="X1391" s="230"/>
      <c r="Y1391" s="230"/>
    </row>
    <row r="1392">
      <c r="O1392" s="230"/>
      <c r="R1392" s="230"/>
      <c r="S1392" s="230"/>
      <c r="T1392" s="230"/>
      <c r="U1392" s="230"/>
      <c r="V1392" s="230"/>
      <c r="W1392" s="230"/>
      <c r="X1392" s="230"/>
      <c r="Y1392" s="230"/>
    </row>
    <row r="1393">
      <c r="O1393" s="230"/>
      <c r="R1393" s="230"/>
      <c r="S1393" s="230"/>
      <c r="T1393" s="230"/>
      <c r="U1393" s="230"/>
      <c r="V1393" s="230"/>
      <c r="W1393" s="230"/>
      <c r="X1393" s="230"/>
      <c r="Y1393" s="230"/>
    </row>
    <row r="1394">
      <c r="O1394" s="230"/>
      <c r="R1394" s="230"/>
      <c r="S1394" s="230"/>
      <c r="T1394" s="230"/>
      <c r="U1394" s="230"/>
      <c r="V1394" s="230"/>
      <c r="W1394" s="230"/>
      <c r="X1394" s="230"/>
      <c r="Y1394" s="230"/>
    </row>
    <row r="1395">
      <c r="O1395" s="230"/>
      <c r="R1395" s="230"/>
      <c r="S1395" s="230"/>
      <c r="T1395" s="230"/>
      <c r="U1395" s="230"/>
      <c r="V1395" s="230"/>
      <c r="W1395" s="230"/>
      <c r="X1395" s="230"/>
      <c r="Y1395" s="230"/>
    </row>
    <row r="1396">
      <c r="O1396" s="230"/>
      <c r="R1396" s="230"/>
      <c r="S1396" s="230"/>
      <c r="T1396" s="230"/>
      <c r="U1396" s="230"/>
      <c r="V1396" s="230"/>
      <c r="W1396" s="230"/>
      <c r="X1396" s="230"/>
      <c r="Y1396" s="230"/>
    </row>
    <row r="1397">
      <c r="O1397" s="230"/>
      <c r="R1397" s="230"/>
      <c r="S1397" s="230"/>
      <c r="T1397" s="230"/>
      <c r="U1397" s="230"/>
      <c r="V1397" s="230"/>
      <c r="W1397" s="230"/>
      <c r="X1397" s="230"/>
      <c r="Y1397" s="230"/>
    </row>
    <row r="1398">
      <c r="O1398" s="230"/>
      <c r="R1398" s="230"/>
      <c r="S1398" s="230"/>
      <c r="T1398" s="230"/>
      <c r="U1398" s="230"/>
      <c r="V1398" s="230"/>
      <c r="W1398" s="230"/>
      <c r="X1398" s="230"/>
      <c r="Y1398" s="230"/>
    </row>
    <row r="1399">
      <c r="O1399" s="230"/>
      <c r="R1399" s="230"/>
      <c r="S1399" s="230"/>
      <c r="T1399" s="230"/>
      <c r="U1399" s="230"/>
      <c r="V1399" s="230"/>
      <c r="W1399" s="230"/>
      <c r="X1399" s="230"/>
      <c r="Y1399" s="230"/>
    </row>
    <row r="1400">
      <c r="O1400" s="230"/>
      <c r="R1400" s="230"/>
      <c r="S1400" s="230"/>
      <c r="T1400" s="230"/>
      <c r="U1400" s="230"/>
      <c r="V1400" s="230"/>
      <c r="W1400" s="230"/>
      <c r="X1400" s="230"/>
      <c r="Y1400" s="230"/>
    </row>
    <row r="1401">
      <c r="O1401" s="230"/>
      <c r="R1401" s="230"/>
      <c r="S1401" s="230"/>
      <c r="T1401" s="230"/>
      <c r="U1401" s="230"/>
      <c r="V1401" s="230"/>
      <c r="W1401" s="230"/>
      <c r="X1401" s="230"/>
      <c r="Y1401" s="230"/>
    </row>
    <row r="1402">
      <c r="O1402" s="230"/>
      <c r="R1402" s="230"/>
      <c r="S1402" s="230"/>
      <c r="T1402" s="230"/>
      <c r="U1402" s="230"/>
      <c r="V1402" s="230"/>
      <c r="W1402" s="230"/>
      <c r="X1402" s="230"/>
      <c r="Y1402" s="230"/>
    </row>
    <row r="1403">
      <c r="O1403" s="230"/>
      <c r="R1403" s="230"/>
      <c r="S1403" s="230"/>
      <c r="T1403" s="230"/>
      <c r="U1403" s="230"/>
      <c r="V1403" s="230"/>
      <c r="W1403" s="230"/>
      <c r="X1403" s="230"/>
      <c r="Y1403" s="230"/>
    </row>
    <row r="1404">
      <c r="O1404" s="230"/>
      <c r="R1404" s="230"/>
      <c r="S1404" s="230"/>
      <c r="T1404" s="230"/>
      <c r="U1404" s="230"/>
      <c r="V1404" s="230"/>
      <c r="W1404" s="230"/>
      <c r="X1404" s="230"/>
      <c r="Y1404" s="230"/>
    </row>
    <row r="1405">
      <c r="O1405" s="230"/>
      <c r="R1405" s="230"/>
      <c r="S1405" s="230"/>
      <c r="T1405" s="230"/>
      <c r="U1405" s="230"/>
      <c r="V1405" s="230"/>
      <c r="W1405" s="230"/>
      <c r="X1405" s="230"/>
      <c r="Y1405" s="230"/>
    </row>
    <row r="1406">
      <c r="O1406" s="230"/>
      <c r="R1406" s="230"/>
      <c r="S1406" s="230"/>
      <c r="T1406" s="230"/>
      <c r="U1406" s="230"/>
      <c r="V1406" s="230"/>
      <c r="W1406" s="230"/>
      <c r="X1406" s="230"/>
      <c r="Y1406" s="230"/>
    </row>
    <row r="1407">
      <c r="O1407" s="230"/>
      <c r="R1407" s="230"/>
      <c r="S1407" s="230"/>
      <c r="T1407" s="230"/>
      <c r="U1407" s="230"/>
      <c r="V1407" s="230"/>
      <c r="W1407" s="230"/>
      <c r="X1407" s="230"/>
      <c r="Y1407" s="230"/>
    </row>
    <row r="1408">
      <c r="O1408" s="230"/>
      <c r="R1408" s="230"/>
      <c r="S1408" s="230"/>
      <c r="T1408" s="230"/>
      <c r="U1408" s="230"/>
      <c r="V1408" s="230"/>
      <c r="W1408" s="230"/>
      <c r="X1408" s="230"/>
      <c r="Y1408" s="230"/>
    </row>
    <row r="1409">
      <c r="O1409" s="230"/>
      <c r="R1409" s="230"/>
      <c r="S1409" s="230"/>
      <c r="T1409" s="230"/>
      <c r="U1409" s="230"/>
      <c r="V1409" s="230"/>
      <c r="W1409" s="230"/>
      <c r="X1409" s="230"/>
      <c r="Y1409" s="230"/>
    </row>
    <row r="1410">
      <c r="O1410" s="230"/>
      <c r="R1410" s="230"/>
      <c r="S1410" s="230"/>
      <c r="T1410" s="230"/>
      <c r="U1410" s="230"/>
      <c r="V1410" s="230"/>
      <c r="W1410" s="230"/>
      <c r="X1410" s="230"/>
      <c r="Y1410" s="230"/>
    </row>
    <row r="1411">
      <c r="O1411" s="230"/>
      <c r="R1411" s="230"/>
      <c r="S1411" s="230"/>
      <c r="T1411" s="230"/>
      <c r="U1411" s="230"/>
      <c r="V1411" s="230"/>
      <c r="W1411" s="230"/>
      <c r="X1411" s="230"/>
      <c r="Y1411" s="230"/>
    </row>
    <row r="1412">
      <c r="O1412" s="230"/>
      <c r="R1412" s="230"/>
      <c r="S1412" s="230"/>
      <c r="T1412" s="230"/>
      <c r="U1412" s="230"/>
      <c r="V1412" s="230"/>
      <c r="W1412" s="230"/>
      <c r="X1412" s="230"/>
      <c r="Y1412" s="230"/>
    </row>
    <row r="1413">
      <c r="O1413" s="230"/>
      <c r="R1413" s="230"/>
      <c r="S1413" s="230"/>
      <c r="T1413" s="230"/>
      <c r="U1413" s="230"/>
      <c r="V1413" s="230"/>
      <c r="W1413" s="230"/>
      <c r="X1413" s="230"/>
      <c r="Y1413" s="230"/>
    </row>
    <row r="1414">
      <c r="O1414" s="230"/>
      <c r="R1414" s="230"/>
      <c r="S1414" s="230"/>
      <c r="T1414" s="230"/>
      <c r="U1414" s="230"/>
      <c r="V1414" s="230"/>
      <c r="W1414" s="230"/>
      <c r="X1414" s="230"/>
      <c r="Y1414" s="230"/>
    </row>
    <row r="1415">
      <c r="O1415" s="230"/>
      <c r="R1415" s="230"/>
      <c r="S1415" s="230"/>
      <c r="T1415" s="230"/>
      <c r="U1415" s="230"/>
      <c r="V1415" s="230"/>
      <c r="W1415" s="230"/>
      <c r="X1415" s="230"/>
      <c r="Y1415" s="230"/>
    </row>
    <row r="1416">
      <c r="O1416" s="230"/>
      <c r="R1416" s="230"/>
      <c r="S1416" s="230"/>
      <c r="T1416" s="230"/>
      <c r="U1416" s="230"/>
      <c r="V1416" s="230"/>
      <c r="W1416" s="230"/>
      <c r="X1416" s="230"/>
      <c r="Y1416" s="230"/>
    </row>
    <row r="1417">
      <c r="O1417" s="230"/>
      <c r="R1417" s="230"/>
      <c r="S1417" s="230"/>
      <c r="T1417" s="230"/>
      <c r="U1417" s="230"/>
      <c r="V1417" s="230"/>
      <c r="W1417" s="230"/>
      <c r="X1417" s="230"/>
      <c r="Y1417" s="230"/>
    </row>
    <row r="1418">
      <c r="O1418" s="230"/>
      <c r="R1418" s="230"/>
      <c r="S1418" s="230"/>
      <c r="T1418" s="230"/>
      <c r="U1418" s="230"/>
      <c r="V1418" s="230"/>
      <c r="W1418" s="230"/>
      <c r="X1418" s="230"/>
      <c r="Y1418" s="230"/>
    </row>
    <row r="1419">
      <c r="O1419" s="230"/>
      <c r="R1419" s="230"/>
      <c r="S1419" s="230"/>
      <c r="T1419" s="230"/>
      <c r="U1419" s="230"/>
      <c r="V1419" s="230"/>
      <c r="W1419" s="230"/>
      <c r="X1419" s="230"/>
      <c r="Y1419" s="230"/>
    </row>
    <row r="1420">
      <c r="O1420" s="230"/>
      <c r="R1420" s="230"/>
      <c r="S1420" s="230"/>
      <c r="T1420" s="230"/>
      <c r="U1420" s="230"/>
      <c r="V1420" s="230"/>
      <c r="W1420" s="230"/>
      <c r="X1420" s="230"/>
      <c r="Y1420" s="230"/>
    </row>
    <row r="1421">
      <c r="O1421" s="230"/>
      <c r="R1421" s="230"/>
      <c r="S1421" s="230"/>
      <c r="T1421" s="230"/>
      <c r="U1421" s="230"/>
      <c r="V1421" s="230"/>
      <c r="W1421" s="230"/>
      <c r="X1421" s="230"/>
      <c r="Y1421" s="230"/>
    </row>
    <row r="1422">
      <c r="O1422" s="230"/>
      <c r="R1422" s="230"/>
      <c r="S1422" s="230"/>
      <c r="T1422" s="230"/>
      <c r="U1422" s="230"/>
      <c r="V1422" s="230"/>
      <c r="W1422" s="230"/>
      <c r="X1422" s="230"/>
      <c r="Y1422" s="230"/>
    </row>
    <row r="1423">
      <c r="O1423" s="230"/>
      <c r="R1423" s="230"/>
      <c r="S1423" s="230"/>
      <c r="T1423" s="230"/>
      <c r="U1423" s="230"/>
      <c r="V1423" s="230"/>
      <c r="W1423" s="230"/>
      <c r="X1423" s="230"/>
      <c r="Y1423" s="230"/>
    </row>
    <row r="1424">
      <c r="O1424" s="230"/>
      <c r="R1424" s="230"/>
      <c r="S1424" s="230"/>
      <c r="T1424" s="230"/>
      <c r="U1424" s="230"/>
      <c r="V1424" s="230"/>
      <c r="W1424" s="230"/>
      <c r="X1424" s="230"/>
      <c r="Y1424" s="230"/>
    </row>
    <row r="1425">
      <c r="O1425" s="230"/>
      <c r="R1425" s="230"/>
      <c r="S1425" s="230"/>
      <c r="T1425" s="230"/>
      <c r="U1425" s="230"/>
      <c r="V1425" s="230"/>
      <c r="W1425" s="230"/>
      <c r="X1425" s="230"/>
      <c r="Y1425" s="230"/>
    </row>
    <row r="1426">
      <c r="O1426" s="230"/>
      <c r="R1426" s="230"/>
      <c r="S1426" s="230"/>
      <c r="T1426" s="230"/>
      <c r="U1426" s="230"/>
      <c r="V1426" s="230"/>
      <c r="W1426" s="230"/>
      <c r="X1426" s="230"/>
      <c r="Y1426" s="230"/>
    </row>
    <row r="1427">
      <c r="O1427" s="230"/>
      <c r="R1427" s="230"/>
      <c r="S1427" s="230"/>
      <c r="T1427" s="230"/>
      <c r="U1427" s="230"/>
      <c r="V1427" s="230"/>
      <c r="W1427" s="230"/>
      <c r="X1427" s="230"/>
      <c r="Y1427" s="230"/>
    </row>
    <row r="1428">
      <c r="O1428" s="230"/>
      <c r="R1428" s="230"/>
      <c r="S1428" s="230"/>
      <c r="T1428" s="230"/>
      <c r="U1428" s="230"/>
      <c r="V1428" s="230"/>
      <c r="W1428" s="230"/>
      <c r="X1428" s="230"/>
      <c r="Y1428" s="230"/>
    </row>
    <row r="1429">
      <c r="O1429" s="230"/>
      <c r="R1429" s="230"/>
      <c r="S1429" s="230"/>
      <c r="T1429" s="230"/>
      <c r="U1429" s="230"/>
      <c r="V1429" s="230"/>
      <c r="W1429" s="230"/>
      <c r="X1429" s="230"/>
      <c r="Y1429" s="230"/>
    </row>
    <row r="1430">
      <c r="O1430" s="230"/>
      <c r="R1430" s="230"/>
      <c r="S1430" s="230"/>
      <c r="T1430" s="230"/>
      <c r="U1430" s="230"/>
      <c r="V1430" s="230"/>
      <c r="W1430" s="230"/>
      <c r="X1430" s="230"/>
      <c r="Y1430" s="230"/>
    </row>
    <row r="1431">
      <c r="O1431" s="230"/>
      <c r="R1431" s="230"/>
      <c r="S1431" s="230"/>
      <c r="T1431" s="230"/>
      <c r="U1431" s="230"/>
      <c r="V1431" s="230"/>
      <c r="W1431" s="230"/>
      <c r="X1431" s="230"/>
      <c r="Y1431" s="230"/>
    </row>
    <row r="1432">
      <c r="O1432" s="230"/>
      <c r="R1432" s="230"/>
      <c r="S1432" s="230"/>
      <c r="T1432" s="230"/>
      <c r="U1432" s="230"/>
      <c r="V1432" s="230"/>
      <c r="W1432" s="230"/>
      <c r="X1432" s="230"/>
      <c r="Y1432" s="230"/>
    </row>
    <row r="1433">
      <c r="O1433" s="230"/>
      <c r="R1433" s="230"/>
      <c r="S1433" s="230"/>
      <c r="T1433" s="230"/>
      <c r="U1433" s="230"/>
      <c r="V1433" s="230"/>
      <c r="W1433" s="230"/>
      <c r="X1433" s="230"/>
      <c r="Y1433" s="230"/>
    </row>
    <row r="1434">
      <c r="O1434" s="230"/>
      <c r="R1434" s="230"/>
      <c r="S1434" s="230"/>
      <c r="T1434" s="230"/>
      <c r="U1434" s="230"/>
      <c r="V1434" s="230"/>
      <c r="W1434" s="230"/>
      <c r="X1434" s="230"/>
      <c r="Y1434" s="230"/>
    </row>
    <row r="1435">
      <c r="O1435" s="230"/>
      <c r="R1435" s="230"/>
      <c r="S1435" s="230"/>
      <c r="T1435" s="230"/>
      <c r="U1435" s="230"/>
      <c r="V1435" s="230"/>
      <c r="W1435" s="230"/>
      <c r="X1435" s="230"/>
      <c r="Y1435" s="230"/>
    </row>
    <row r="1436">
      <c r="O1436" s="230"/>
      <c r="R1436" s="230"/>
      <c r="S1436" s="230"/>
      <c r="T1436" s="230"/>
      <c r="U1436" s="230"/>
      <c r="V1436" s="230"/>
      <c r="W1436" s="230"/>
      <c r="X1436" s="230"/>
      <c r="Y1436" s="230"/>
    </row>
    <row r="1437">
      <c r="O1437" s="230"/>
      <c r="R1437" s="230"/>
      <c r="S1437" s="230"/>
      <c r="T1437" s="230"/>
      <c r="U1437" s="230"/>
      <c r="V1437" s="230"/>
      <c r="W1437" s="230"/>
      <c r="X1437" s="230"/>
      <c r="Y1437" s="230"/>
    </row>
    <row r="1438">
      <c r="O1438" s="230"/>
      <c r="R1438" s="230"/>
      <c r="S1438" s="230"/>
      <c r="T1438" s="230"/>
      <c r="U1438" s="230"/>
      <c r="V1438" s="230"/>
      <c r="W1438" s="230"/>
      <c r="X1438" s="230"/>
      <c r="Y1438" s="230"/>
    </row>
    <row r="1439">
      <c r="O1439" s="230"/>
      <c r="R1439" s="230"/>
      <c r="S1439" s="230"/>
      <c r="T1439" s="230"/>
      <c r="U1439" s="230"/>
      <c r="V1439" s="230"/>
      <c r="W1439" s="230"/>
      <c r="X1439" s="230"/>
      <c r="Y1439" s="230"/>
    </row>
    <row r="1440">
      <c r="O1440" s="230"/>
      <c r="R1440" s="230"/>
      <c r="S1440" s="230"/>
      <c r="T1440" s="230"/>
      <c r="U1440" s="230"/>
      <c r="V1440" s="230"/>
      <c r="W1440" s="230"/>
      <c r="X1440" s="230"/>
      <c r="Y1440" s="230"/>
    </row>
    <row r="1441">
      <c r="O1441" s="230"/>
      <c r="R1441" s="230"/>
      <c r="S1441" s="230"/>
      <c r="T1441" s="230"/>
      <c r="U1441" s="230"/>
      <c r="V1441" s="230"/>
      <c r="W1441" s="230"/>
      <c r="X1441" s="230"/>
      <c r="Y1441" s="230"/>
    </row>
    <row r="1442">
      <c r="O1442" s="230"/>
      <c r="R1442" s="230"/>
      <c r="S1442" s="230"/>
      <c r="T1442" s="230"/>
      <c r="U1442" s="230"/>
      <c r="V1442" s="230"/>
      <c r="W1442" s="230"/>
      <c r="X1442" s="230"/>
      <c r="Y1442" s="230"/>
    </row>
    <row r="1443">
      <c r="O1443" s="230"/>
      <c r="R1443" s="230"/>
      <c r="S1443" s="230"/>
      <c r="T1443" s="230"/>
      <c r="U1443" s="230"/>
      <c r="V1443" s="230"/>
      <c r="W1443" s="230"/>
      <c r="X1443" s="230"/>
      <c r="Y1443" s="230"/>
    </row>
    <row r="1444">
      <c r="O1444" s="230"/>
      <c r="R1444" s="230"/>
      <c r="S1444" s="230"/>
      <c r="T1444" s="230"/>
      <c r="U1444" s="230"/>
      <c r="V1444" s="230"/>
      <c r="W1444" s="230"/>
      <c r="X1444" s="230"/>
      <c r="Y1444" s="230"/>
    </row>
    <row r="1445">
      <c r="O1445" s="230"/>
      <c r="R1445" s="230"/>
      <c r="S1445" s="230"/>
      <c r="T1445" s="230"/>
      <c r="U1445" s="230"/>
      <c r="V1445" s="230"/>
      <c r="W1445" s="230"/>
      <c r="X1445" s="230"/>
      <c r="Y1445" s="230"/>
    </row>
    <row r="1446">
      <c r="O1446" s="230"/>
      <c r="R1446" s="230"/>
      <c r="S1446" s="230"/>
      <c r="T1446" s="230"/>
      <c r="U1446" s="230"/>
      <c r="V1446" s="230"/>
      <c r="W1446" s="230"/>
      <c r="X1446" s="230"/>
      <c r="Y1446" s="230"/>
    </row>
    <row r="1447">
      <c r="O1447" s="230"/>
      <c r="R1447" s="230"/>
      <c r="S1447" s="230"/>
      <c r="T1447" s="230"/>
      <c r="U1447" s="230"/>
      <c r="V1447" s="230"/>
      <c r="W1447" s="230"/>
      <c r="X1447" s="230"/>
      <c r="Y1447" s="230"/>
    </row>
    <row r="1448">
      <c r="O1448" s="230"/>
      <c r="R1448" s="230"/>
      <c r="S1448" s="230"/>
      <c r="T1448" s="230"/>
      <c r="U1448" s="230"/>
      <c r="V1448" s="230"/>
      <c r="W1448" s="230"/>
      <c r="X1448" s="230"/>
      <c r="Y1448" s="230"/>
    </row>
    <row r="1449">
      <c r="O1449" s="230"/>
      <c r="R1449" s="230"/>
      <c r="S1449" s="230"/>
      <c r="T1449" s="230"/>
      <c r="U1449" s="230"/>
      <c r="V1449" s="230"/>
      <c r="W1449" s="230"/>
      <c r="X1449" s="230"/>
      <c r="Y1449" s="230"/>
    </row>
    <row r="1450">
      <c r="O1450" s="230"/>
      <c r="R1450" s="230"/>
      <c r="S1450" s="230"/>
      <c r="T1450" s="230"/>
      <c r="U1450" s="230"/>
      <c r="V1450" s="230"/>
      <c r="W1450" s="230"/>
      <c r="X1450" s="230"/>
      <c r="Y1450" s="230"/>
    </row>
    <row r="1451">
      <c r="O1451" s="230"/>
      <c r="R1451" s="230"/>
      <c r="S1451" s="230"/>
      <c r="T1451" s="230"/>
      <c r="U1451" s="230"/>
      <c r="V1451" s="230"/>
      <c r="W1451" s="230"/>
      <c r="X1451" s="230"/>
      <c r="Y1451" s="230"/>
    </row>
    <row r="1452">
      <c r="O1452" s="230"/>
      <c r="R1452" s="230"/>
      <c r="S1452" s="230"/>
      <c r="T1452" s="230"/>
      <c r="U1452" s="230"/>
      <c r="V1452" s="230"/>
      <c r="W1452" s="230"/>
      <c r="X1452" s="230"/>
      <c r="Y1452" s="230"/>
    </row>
    <row r="1453">
      <c r="O1453" s="230"/>
      <c r="R1453" s="230"/>
      <c r="S1453" s="230"/>
      <c r="T1453" s="230"/>
      <c r="U1453" s="230"/>
      <c r="V1453" s="230"/>
      <c r="W1453" s="230"/>
      <c r="X1453" s="230"/>
      <c r="Y1453" s="230"/>
    </row>
    <row r="1454">
      <c r="O1454" s="230"/>
      <c r="R1454" s="230"/>
      <c r="S1454" s="230"/>
      <c r="T1454" s="230"/>
      <c r="U1454" s="230"/>
      <c r="V1454" s="230"/>
      <c r="W1454" s="230"/>
      <c r="X1454" s="230"/>
      <c r="Y1454" s="230"/>
    </row>
    <row r="1455">
      <c r="O1455" s="230"/>
      <c r="R1455" s="230"/>
      <c r="S1455" s="230"/>
      <c r="T1455" s="230"/>
      <c r="U1455" s="230"/>
      <c r="V1455" s="230"/>
      <c r="W1455" s="230"/>
      <c r="X1455" s="230"/>
      <c r="Y1455" s="230"/>
    </row>
    <row r="1456">
      <c r="O1456" s="230"/>
      <c r="R1456" s="230"/>
      <c r="S1456" s="230"/>
      <c r="T1456" s="230"/>
      <c r="U1456" s="230"/>
      <c r="V1456" s="230"/>
      <c r="W1456" s="230"/>
      <c r="X1456" s="230"/>
      <c r="Y1456" s="230"/>
    </row>
    <row r="1457">
      <c r="O1457" s="230"/>
      <c r="R1457" s="230"/>
      <c r="S1457" s="230"/>
      <c r="T1457" s="230"/>
      <c r="U1457" s="230"/>
      <c r="V1457" s="230"/>
      <c r="W1457" s="230"/>
      <c r="X1457" s="230"/>
      <c r="Y1457" s="230"/>
    </row>
    <row r="1458">
      <c r="O1458" s="230"/>
      <c r="R1458" s="230"/>
      <c r="S1458" s="230"/>
      <c r="T1458" s="230"/>
      <c r="U1458" s="230"/>
      <c r="V1458" s="230"/>
      <c r="W1458" s="230"/>
      <c r="X1458" s="230"/>
      <c r="Y1458" s="230"/>
    </row>
    <row r="1459">
      <c r="O1459" s="230"/>
      <c r="R1459" s="230"/>
      <c r="S1459" s="230"/>
      <c r="T1459" s="230"/>
      <c r="U1459" s="230"/>
      <c r="V1459" s="230"/>
      <c r="W1459" s="230"/>
      <c r="X1459" s="230"/>
      <c r="Y1459" s="230"/>
    </row>
    <row r="1460">
      <c r="O1460" s="230"/>
      <c r="R1460" s="230"/>
      <c r="S1460" s="230"/>
      <c r="T1460" s="230"/>
      <c r="U1460" s="230"/>
      <c r="V1460" s="230"/>
      <c r="W1460" s="230"/>
      <c r="X1460" s="230"/>
      <c r="Y1460" s="230"/>
    </row>
    <row r="1461">
      <c r="O1461" s="230"/>
      <c r="R1461" s="230"/>
      <c r="S1461" s="230"/>
      <c r="T1461" s="230"/>
      <c r="U1461" s="230"/>
      <c r="V1461" s="230"/>
      <c r="W1461" s="230"/>
      <c r="X1461" s="230"/>
      <c r="Y1461" s="230"/>
    </row>
    <row r="1462">
      <c r="O1462" s="230"/>
      <c r="R1462" s="230"/>
      <c r="S1462" s="230"/>
      <c r="T1462" s="230"/>
      <c r="U1462" s="230"/>
      <c r="V1462" s="230"/>
      <c r="W1462" s="230"/>
      <c r="X1462" s="230"/>
      <c r="Y1462" s="230"/>
    </row>
    <row r="1463">
      <c r="O1463" s="230"/>
      <c r="R1463" s="230"/>
      <c r="S1463" s="230"/>
      <c r="T1463" s="230"/>
      <c r="U1463" s="230"/>
      <c r="V1463" s="230"/>
      <c r="W1463" s="230"/>
      <c r="X1463" s="230"/>
      <c r="Y1463" s="230"/>
    </row>
    <row r="1464">
      <c r="O1464" s="230"/>
      <c r="R1464" s="230"/>
      <c r="S1464" s="230"/>
      <c r="T1464" s="230"/>
      <c r="U1464" s="230"/>
      <c r="V1464" s="230"/>
      <c r="W1464" s="230"/>
      <c r="X1464" s="230"/>
      <c r="Y1464" s="230"/>
    </row>
    <row r="1465">
      <c r="O1465" s="230"/>
      <c r="R1465" s="230"/>
      <c r="S1465" s="230"/>
      <c r="T1465" s="230"/>
      <c r="U1465" s="230"/>
      <c r="V1465" s="230"/>
      <c r="W1465" s="230"/>
      <c r="X1465" s="230"/>
      <c r="Y1465" s="230"/>
    </row>
    <row r="1466">
      <c r="O1466" s="230"/>
      <c r="R1466" s="230"/>
      <c r="S1466" s="230"/>
      <c r="T1466" s="230"/>
      <c r="U1466" s="230"/>
      <c r="V1466" s="230"/>
      <c r="W1466" s="230"/>
      <c r="X1466" s="230"/>
      <c r="Y1466" s="230"/>
    </row>
    <row r="1467">
      <c r="O1467" s="230"/>
      <c r="R1467" s="230"/>
      <c r="S1467" s="230"/>
      <c r="T1467" s="230"/>
      <c r="U1467" s="230"/>
      <c r="V1467" s="230"/>
      <c r="W1467" s="230"/>
      <c r="X1467" s="230"/>
      <c r="Y1467" s="230"/>
    </row>
    <row r="1468">
      <c r="O1468" s="230"/>
      <c r="R1468" s="230"/>
      <c r="S1468" s="230"/>
      <c r="T1468" s="230"/>
      <c r="U1468" s="230"/>
      <c r="V1468" s="230"/>
      <c r="W1468" s="230"/>
      <c r="X1468" s="230"/>
      <c r="Y1468" s="230"/>
    </row>
    <row r="1469">
      <c r="O1469" s="230"/>
      <c r="R1469" s="230"/>
      <c r="S1469" s="230"/>
      <c r="T1469" s="230"/>
      <c r="U1469" s="230"/>
      <c r="V1469" s="230"/>
      <c r="W1469" s="230"/>
      <c r="X1469" s="230"/>
      <c r="Y1469" s="230"/>
    </row>
    <row r="1470">
      <c r="O1470" s="230"/>
      <c r="R1470" s="230"/>
      <c r="S1470" s="230"/>
      <c r="T1470" s="230"/>
      <c r="U1470" s="230"/>
      <c r="V1470" s="230"/>
      <c r="W1470" s="230"/>
      <c r="X1470" s="230"/>
      <c r="Y1470" s="230"/>
    </row>
    <row r="1471">
      <c r="O1471" s="230"/>
      <c r="R1471" s="230"/>
      <c r="S1471" s="230"/>
      <c r="T1471" s="230"/>
      <c r="U1471" s="230"/>
      <c r="V1471" s="230"/>
      <c r="W1471" s="230"/>
      <c r="X1471" s="230"/>
      <c r="Y1471" s="230"/>
    </row>
    <row r="1472">
      <c r="O1472" s="230"/>
      <c r="R1472" s="230"/>
      <c r="S1472" s="230"/>
      <c r="T1472" s="230"/>
      <c r="U1472" s="230"/>
      <c r="V1472" s="230"/>
      <c r="W1472" s="230"/>
      <c r="X1472" s="230"/>
      <c r="Y1472" s="230"/>
    </row>
    <row r="1473">
      <c r="O1473" s="230"/>
      <c r="R1473" s="230"/>
      <c r="S1473" s="230"/>
      <c r="T1473" s="230"/>
      <c r="U1473" s="230"/>
      <c r="V1473" s="230"/>
      <c r="W1473" s="230"/>
      <c r="X1473" s="230"/>
      <c r="Y1473" s="230"/>
    </row>
    <row r="1474">
      <c r="O1474" s="230"/>
      <c r="R1474" s="230"/>
      <c r="S1474" s="230"/>
      <c r="T1474" s="230"/>
      <c r="U1474" s="230"/>
      <c r="V1474" s="230"/>
      <c r="W1474" s="230"/>
      <c r="X1474" s="230"/>
      <c r="Y1474" s="230"/>
    </row>
    <row r="1475">
      <c r="O1475" s="230"/>
      <c r="R1475" s="230"/>
      <c r="S1475" s="230"/>
      <c r="T1475" s="230"/>
      <c r="U1475" s="230"/>
      <c r="V1475" s="230"/>
      <c r="W1475" s="230"/>
      <c r="X1475" s="230"/>
      <c r="Y1475" s="230"/>
    </row>
    <row r="1476">
      <c r="O1476" s="230"/>
      <c r="R1476" s="230"/>
      <c r="S1476" s="230"/>
      <c r="T1476" s="230"/>
      <c r="U1476" s="230"/>
      <c r="V1476" s="230"/>
      <c r="W1476" s="230"/>
      <c r="X1476" s="230"/>
      <c r="Y1476" s="230"/>
    </row>
    <row r="1477">
      <c r="O1477" s="230"/>
      <c r="R1477" s="230"/>
      <c r="S1477" s="230"/>
      <c r="T1477" s="230"/>
      <c r="U1477" s="230"/>
      <c r="V1477" s="230"/>
      <c r="W1477" s="230"/>
      <c r="X1477" s="230"/>
      <c r="Y1477" s="230"/>
    </row>
    <row r="1478">
      <c r="O1478" s="230"/>
      <c r="R1478" s="230"/>
      <c r="S1478" s="230"/>
      <c r="T1478" s="230"/>
      <c r="U1478" s="230"/>
      <c r="V1478" s="230"/>
      <c r="W1478" s="230"/>
      <c r="X1478" s="230"/>
      <c r="Y1478" s="230"/>
    </row>
    <row r="1479">
      <c r="O1479" s="230"/>
      <c r="R1479" s="230"/>
      <c r="S1479" s="230"/>
      <c r="T1479" s="230"/>
      <c r="U1479" s="230"/>
      <c r="V1479" s="230"/>
      <c r="W1479" s="230"/>
      <c r="X1479" s="230"/>
      <c r="Y1479" s="230"/>
    </row>
    <row r="1480">
      <c r="O1480" s="230"/>
      <c r="R1480" s="230"/>
      <c r="S1480" s="230"/>
      <c r="T1480" s="230"/>
      <c r="U1480" s="230"/>
      <c r="V1480" s="230"/>
      <c r="W1480" s="230"/>
      <c r="X1480" s="230"/>
      <c r="Y1480" s="230"/>
    </row>
    <row r="1481">
      <c r="O1481" s="230"/>
      <c r="R1481" s="230"/>
      <c r="S1481" s="230"/>
      <c r="T1481" s="230"/>
      <c r="U1481" s="230"/>
      <c r="V1481" s="230"/>
      <c r="W1481" s="230"/>
      <c r="X1481" s="230"/>
      <c r="Y1481" s="230"/>
    </row>
    <row r="1482">
      <c r="O1482" s="230"/>
      <c r="R1482" s="230"/>
      <c r="S1482" s="230"/>
      <c r="T1482" s="230"/>
      <c r="U1482" s="230"/>
      <c r="V1482" s="230"/>
      <c r="W1482" s="230"/>
      <c r="X1482" s="230"/>
      <c r="Y1482" s="230"/>
    </row>
    <row r="1483">
      <c r="O1483" s="230"/>
      <c r="R1483" s="230"/>
      <c r="S1483" s="230"/>
      <c r="T1483" s="230"/>
      <c r="U1483" s="230"/>
      <c r="V1483" s="230"/>
      <c r="W1483" s="230"/>
      <c r="X1483" s="230"/>
      <c r="Y1483" s="230"/>
    </row>
    <row r="1484">
      <c r="O1484" s="230"/>
      <c r="R1484" s="230"/>
      <c r="S1484" s="230"/>
      <c r="T1484" s="230"/>
      <c r="U1484" s="230"/>
      <c r="V1484" s="230"/>
      <c r="W1484" s="230"/>
      <c r="X1484" s="230"/>
      <c r="Y1484" s="230"/>
    </row>
    <row r="1485">
      <c r="O1485" s="230"/>
      <c r="R1485" s="230"/>
      <c r="S1485" s="230"/>
      <c r="T1485" s="230"/>
      <c r="U1485" s="230"/>
      <c r="V1485" s="230"/>
      <c r="W1485" s="230"/>
      <c r="X1485" s="230"/>
      <c r="Y1485" s="230"/>
    </row>
    <row r="1486">
      <c r="O1486" s="230"/>
      <c r="R1486" s="230"/>
      <c r="S1486" s="230"/>
      <c r="T1486" s="230"/>
      <c r="U1486" s="230"/>
      <c r="V1486" s="230"/>
      <c r="W1486" s="230"/>
      <c r="X1486" s="230"/>
      <c r="Y1486" s="230"/>
    </row>
    <row r="1487">
      <c r="O1487" s="230"/>
      <c r="R1487" s="230"/>
      <c r="S1487" s="230"/>
      <c r="T1487" s="230"/>
      <c r="U1487" s="230"/>
      <c r="V1487" s="230"/>
      <c r="W1487" s="230"/>
      <c r="X1487" s="230"/>
      <c r="Y1487" s="230"/>
    </row>
    <row r="1488">
      <c r="O1488" s="230"/>
      <c r="R1488" s="230"/>
      <c r="S1488" s="230"/>
      <c r="T1488" s="230"/>
      <c r="U1488" s="230"/>
      <c r="V1488" s="230"/>
      <c r="W1488" s="230"/>
      <c r="X1488" s="230"/>
      <c r="Y1488" s="230"/>
    </row>
    <row r="1489">
      <c r="O1489" s="230"/>
      <c r="R1489" s="230"/>
      <c r="S1489" s="230"/>
      <c r="T1489" s="230"/>
      <c r="U1489" s="230"/>
      <c r="V1489" s="230"/>
      <c r="W1489" s="230"/>
      <c r="X1489" s="230"/>
      <c r="Y1489" s="230"/>
    </row>
    <row r="1490">
      <c r="O1490" s="230"/>
      <c r="R1490" s="230"/>
      <c r="S1490" s="230"/>
      <c r="T1490" s="230"/>
      <c r="U1490" s="230"/>
      <c r="V1490" s="230"/>
      <c r="W1490" s="230"/>
      <c r="X1490" s="230"/>
      <c r="Y1490" s="230"/>
    </row>
    <row r="1491">
      <c r="O1491" s="230"/>
      <c r="R1491" s="230"/>
      <c r="S1491" s="230"/>
      <c r="T1491" s="230"/>
      <c r="U1491" s="230"/>
      <c r="V1491" s="230"/>
      <c r="W1491" s="230"/>
      <c r="X1491" s="230"/>
      <c r="Y1491" s="230"/>
    </row>
    <row r="1492">
      <c r="O1492" s="230"/>
      <c r="R1492" s="230"/>
      <c r="S1492" s="230"/>
      <c r="T1492" s="230"/>
      <c r="U1492" s="230"/>
      <c r="V1492" s="230"/>
      <c r="W1492" s="230"/>
      <c r="X1492" s="230"/>
      <c r="Y1492" s="230"/>
    </row>
    <row r="1493">
      <c r="O1493" s="230"/>
      <c r="R1493" s="230"/>
      <c r="S1493" s="230"/>
      <c r="T1493" s="230"/>
      <c r="U1493" s="230"/>
      <c r="V1493" s="230"/>
      <c r="W1493" s="230"/>
      <c r="X1493" s="230"/>
      <c r="Y1493" s="230"/>
    </row>
    <row r="1494">
      <c r="O1494" s="230"/>
      <c r="R1494" s="230"/>
      <c r="S1494" s="230"/>
      <c r="T1494" s="230"/>
      <c r="U1494" s="230"/>
      <c r="V1494" s="230"/>
      <c r="W1494" s="230"/>
      <c r="X1494" s="230"/>
      <c r="Y1494" s="230"/>
    </row>
    <row r="1495">
      <c r="O1495" s="230"/>
      <c r="R1495" s="230"/>
      <c r="S1495" s="230"/>
      <c r="T1495" s="230"/>
      <c r="U1495" s="230"/>
      <c r="V1495" s="230"/>
      <c r="W1495" s="230"/>
      <c r="X1495" s="230"/>
      <c r="Y1495" s="230"/>
    </row>
    <row r="1496">
      <c r="O1496" s="230"/>
      <c r="R1496" s="230"/>
      <c r="S1496" s="230"/>
      <c r="T1496" s="230"/>
      <c r="U1496" s="230"/>
      <c r="V1496" s="230"/>
      <c r="W1496" s="230"/>
      <c r="X1496" s="230"/>
      <c r="Y1496" s="230"/>
    </row>
    <row r="1497">
      <c r="O1497" s="230"/>
      <c r="R1497" s="230"/>
      <c r="S1497" s="230"/>
      <c r="T1497" s="230"/>
      <c r="U1497" s="230"/>
      <c r="V1497" s="230"/>
      <c r="W1497" s="230"/>
      <c r="X1497" s="230"/>
      <c r="Y1497" s="230"/>
    </row>
    <row r="1498">
      <c r="O1498" s="230"/>
      <c r="R1498" s="230"/>
      <c r="S1498" s="230"/>
      <c r="T1498" s="230"/>
      <c r="U1498" s="230"/>
      <c r="V1498" s="230"/>
      <c r="W1498" s="230"/>
      <c r="X1498" s="230"/>
      <c r="Y1498" s="230"/>
    </row>
    <row r="1499">
      <c r="O1499" s="230"/>
      <c r="R1499" s="230"/>
      <c r="S1499" s="230"/>
      <c r="T1499" s="230"/>
      <c r="U1499" s="230"/>
      <c r="V1499" s="230"/>
      <c r="W1499" s="230"/>
      <c r="X1499" s="230"/>
      <c r="Y1499" s="230"/>
    </row>
    <row r="1500">
      <c r="O1500" s="230"/>
      <c r="R1500" s="230"/>
      <c r="S1500" s="230"/>
      <c r="T1500" s="230"/>
      <c r="U1500" s="230"/>
      <c r="V1500" s="230"/>
      <c r="W1500" s="230"/>
      <c r="X1500" s="230"/>
      <c r="Y1500" s="230"/>
    </row>
    <row r="1501">
      <c r="O1501" s="230"/>
      <c r="R1501" s="230"/>
      <c r="S1501" s="230"/>
      <c r="T1501" s="230"/>
      <c r="U1501" s="230"/>
      <c r="V1501" s="230"/>
      <c r="W1501" s="230"/>
      <c r="X1501" s="230"/>
      <c r="Y1501" s="230"/>
    </row>
    <row r="1502">
      <c r="O1502" s="230"/>
      <c r="R1502" s="230"/>
      <c r="S1502" s="230"/>
      <c r="T1502" s="230"/>
      <c r="U1502" s="230"/>
      <c r="V1502" s="230"/>
      <c r="W1502" s="230"/>
      <c r="X1502" s="230"/>
      <c r="Y1502" s="230"/>
    </row>
    <row r="1503">
      <c r="O1503" s="230"/>
      <c r="R1503" s="230"/>
      <c r="S1503" s="230"/>
      <c r="T1503" s="230"/>
      <c r="U1503" s="230"/>
      <c r="V1503" s="230"/>
      <c r="W1503" s="230"/>
      <c r="X1503" s="230"/>
      <c r="Y1503" s="230"/>
    </row>
    <row r="1504">
      <c r="O1504" s="230"/>
      <c r="R1504" s="230"/>
      <c r="S1504" s="230"/>
      <c r="T1504" s="230"/>
      <c r="U1504" s="230"/>
      <c r="V1504" s="230"/>
      <c r="W1504" s="230"/>
      <c r="X1504" s="230"/>
      <c r="Y1504" s="230"/>
    </row>
    <row r="1505">
      <c r="O1505" s="230"/>
      <c r="R1505" s="230"/>
      <c r="S1505" s="230"/>
      <c r="T1505" s="230"/>
      <c r="U1505" s="230"/>
      <c r="V1505" s="230"/>
      <c r="W1505" s="230"/>
      <c r="X1505" s="230"/>
      <c r="Y1505" s="230"/>
    </row>
    <row r="1506">
      <c r="O1506" s="230"/>
      <c r="R1506" s="230"/>
      <c r="S1506" s="230"/>
      <c r="T1506" s="230"/>
      <c r="U1506" s="230"/>
      <c r="V1506" s="230"/>
      <c r="W1506" s="230"/>
      <c r="X1506" s="230"/>
      <c r="Y1506" s="230"/>
    </row>
    <row r="1507">
      <c r="O1507" s="230"/>
      <c r="R1507" s="230"/>
      <c r="S1507" s="230"/>
      <c r="T1507" s="230"/>
      <c r="U1507" s="230"/>
      <c r="V1507" s="230"/>
      <c r="W1507" s="230"/>
      <c r="X1507" s="230"/>
      <c r="Y1507" s="230"/>
    </row>
    <row r="1508">
      <c r="O1508" s="230"/>
      <c r="R1508" s="230"/>
      <c r="S1508" s="230"/>
      <c r="T1508" s="230"/>
      <c r="U1508" s="230"/>
      <c r="V1508" s="230"/>
      <c r="W1508" s="230"/>
      <c r="X1508" s="230"/>
      <c r="Y1508" s="230"/>
    </row>
    <row r="1509">
      <c r="O1509" s="230"/>
      <c r="R1509" s="230"/>
      <c r="S1509" s="230"/>
      <c r="T1509" s="230"/>
      <c r="U1509" s="230"/>
      <c r="V1509" s="230"/>
      <c r="W1509" s="230"/>
      <c r="X1509" s="230"/>
      <c r="Y1509" s="230"/>
    </row>
    <row r="1510">
      <c r="O1510" s="230"/>
      <c r="R1510" s="230"/>
      <c r="S1510" s="230"/>
      <c r="T1510" s="230"/>
      <c r="U1510" s="230"/>
      <c r="V1510" s="230"/>
      <c r="W1510" s="230"/>
      <c r="X1510" s="230"/>
      <c r="Y1510" s="230"/>
    </row>
    <row r="1511">
      <c r="O1511" s="230"/>
      <c r="R1511" s="230"/>
      <c r="S1511" s="230"/>
      <c r="T1511" s="230"/>
      <c r="U1511" s="230"/>
      <c r="V1511" s="230"/>
      <c r="W1511" s="230"/>
      <c r="X1511" s="230"/>
      <c r="Y1511" s="230"/>
    </row>
    <row r="1512">
      <c r="O1512" s="230"/>
      <c r="R1512" s="230"/>
      <c r="S1512" s="230"/>
      <c r="T1512" s="230"/>
      <c r="U1512" s="230"/>
      <c r="V1512" s="230"/>
      <c r="W1512" s="230"/>
      <c r="X1512" s="230"/>
      <c r="Y1512" s="230"/>
    </row>
    <row r="1513">
      <c r="O1513" s="230"/>
      <c r="R1513" s="230"/>
      <c r="S1513" s="230"/>
      <c r="T1513" s="230"/>
      <c r="U1513" s="230"/>
      <c r="V1513" s="230"/>
      <c r="W1513" s="230"/>
      <c r="X1513" s="230"/>
      <c r="Y1513" s="230"/>
    </row>
    <row r="1514">
      <c r="O1514" s="230"/>
      <c r="R1514" s="230"/>
      <c r="S1514" s="230"/>
      <c r="T1514" s="230"/>
      <c r="U1514" s="230"/>
      <c r="V1514" s="230"/>
      <c r="W1514" s="230"/>
      <c r="X1514" s="230"/>
      <c r="Y1514" s="230"/>
    </row>
    <row r="1515">
      <c r="O1515" s="230"/>
      <c r="R1515" s="230"/>
      <c r="S1515" s="230"/>
      <c r="T1515" s="230"/>
      <c r="U1515" s="230"/>
      <c r="V1515" s="230"/>
      <c r="W1515" s="230"/>
      <c r="X1515" s="230"/>
      <c r="Y1515" s="230"/>
    </row>
    <row r="1516">
      <c r="O1516" s="230"/>
      <c r="R1516" s="230"/>
      <c r="S1516" s="230"/>
      <c r="T1516" s="230"/>
      <c r="U1516" s="230"/>
      <c r="V1516" s="230"/>
      <c r="W1516" s="230"/>
      <c r="X1516" s="230"/>
      <c r="Y1516" s="230"/>
    </row>
    <row r="1517">
      <c r="O1517" s="230"/>
      <c r="R1517" s="230"/>
      <c r="S1517" s="230"/>
      <c r="T1517" s="230"/>
      <c r="U1517" s="230"/>
      <c r="V1517" s="230"/>
      <c r="W1517" s="230"/>
      <c r="X1517" s="230"/>
      <c r="Y1517" s="230"/>
    </row>
    <row r="1518">
      <c r="O1518" s="230"/>
      <c r="R1518" s="230"/>
      <c r="S1518" s="230"/>
      <c r="T1518" s="230"/>
      <c r="U1518" s="230"/>
      <c r="V1518" s="230"/>
      <c r="W1518" s="230"/>
      <c r="X1518" s="230"/>
      <c r="Y1518" s="230"/>
    </row>
    <row r="1519">
      <c r="O1519" s="230"/>
      <c r="R1519" s="230"/>
      <c r="S1519" s="230"/>
      <c r="T1519" s="230"/>
      <c r="U1519" s="230"/>
      <c r="V1519" s="230"/>
      <c r="W1519" s="230"/>
      <c r="X1519" s="230"/>
      <c r="Y1519" s="230"/>
    </row>
    <row r="1520">
      <c r="O1520" s="230"/>
      <c r="R1520" s="230"/>
      <c r="S1520" s="230"/>
      <c r="T1520" s="230"/>
      <c r="U1520" s="230"/>
      <c r="V1520" s="230"/>
      <c r="W1520" s="230"/>
      <c r="X1520" s="230"/>
      <c r="Y1520" s="230"/>
    </row>
    <row r="1521">
      <c r="O1521" s="230"/>
      <c r="R1521" s="230"/>
      <c r="S1521" s="230"/>
      <c r="T1521" s="230"/>
      <c r="U1521" s="230"/>
      <c r="V1521" s="230"/>
      <c r="W1521" s="230"/>
      <c r="X1521" s="230"/>
      <c r="Y1521" s="230"/>
    </row>
    <row r="1522">
      <c r="O1522" s="230"/>
      <c r="R1522" s="230"/>
      <c r="S1522" s="230"/>
      <c r="T1522" s="230"/>
      <c r="U1522" s="230"/>
      <c r="V1522" s="230"/>
      <c r="W1522" s="230"/>
      <c r="X1522" s="230"/>
      <c r="Y1522" s="230"/>
    </row>
    <row r="1523">
      <c r="O1523" s="230"/>
      <c r="R1523" s="230"/>
      <c r="S1523" s="230"/>
      <c r="T1523" s="230"/>
      <c r="U1523" s="230"/>
      <c r="V1523" s="230"/>
      <c r="W1523" s="230"/>
      <c r="X1523" s="230"/>
      <c r="Y1523" s="230"/>
    </row>
    <row r="1524">
      <c r="O1524" s="230"/>
      <c r="R1524" s="230"/>
      <c r="S1524" s="230"/>
      <c r="T1524" s="230"/>
      <c r="U1524" s="230"/>
      <c r="V1524" s="230"/>
      <c r="W1524" s="230"/>
      <c r="X1524" s="230"/>
      <c r="Y1524" s="230"/>
    </row>
    <row r="1525">
      <c r="O1525" s="230"/>
      <c r="R1525" s="230"/>
      <c r="S1525" s="230"/>
      <c r="T1525" s="230"/>
      <c r="U1525" s="230"/>
      <c r="V1525" s="230"/>
      <c r="W1525" s="230"/>
      <c r="X1525" s="230"/>
      <c r="Y1525" s="230"/>
    </row>
    <row r="1526">
      <c r="O1526" s="230"/>
      <c r="R1526" s="230"/>
      <c r="S1526" s="230"/>
      <c r="T1526" s="230"/>
      <c r="U1526" s="230"/>
      <c r="V1526" s="230"/>
      <c r="W1526" s="230"/>
      <c r="X1526" s="230"/>
      <c r="Y1526" s="230"/>
    </row>
    <row r="1527">
      <c r="O1527" s="230"/>
      <c r="R1527" s="230"/>
      <c r="S1527" s="230"/>
      <c r="T1527" s="230"/>
      <c r="U1527" s="230"/>
      <c r="V1527" s="230"/>
      <c r="W1527" s="230"/>
      <c r="X1527" s="230"/>
      <c r="Y1527" s="230"/>
    </row>
    <row r="1528">
      <c r="O1528" s="230"/>
      <c r="R1528" s="230"/>
      <c r="S1528" s="230"/>
      <c r="T1528" s="230"/>
      <c r="U1528" s="230"/>
      <c r="V1528" s="230"/>
      <c r="W1528" s="230"/>
      <c r="X1528" s="230"/>
      <c r="Y1528" s="230"/>
    </row>
    <row r="1529">
      <c r="O1529" s="230"/>
      <c r="R1529" s="230"/>
      <c r="S1529" s="230"/>
      <c r="T1529" s="230"/>
      <c r="U1529" s="230"/>
      <c r="V1529" s="230"/>
      <c r="W1529" s="230"/>
      <c r="X1529" s="230"/>
      <c r="Y1529" s="230"/>
    </row>
    <row r="1530">
      <c r="O1530" s="230"/>
      <c r="R1530" s="230"/>
      <c r="S1530" s="230"/>
      <c r="T1530" s="230"/>
      <c r="U1530" s="230"/>
      <c r="V1530" s="230"/>
      <c r="W1530" s="230"/>
      <c r="X1530" s="230"/>
      <c r="Y1530" s="230"/>
    </row>
    <row r="1531">
      <c r="O1531" s="230"/>
      <c r="R1531" s="230"/>
      <c r="S1531" s="230"/>
      <c r="T1531" s="230"/>
      <c r="U1531" s="230"/>
      <c r="V1531" s="230"/>
      <c r="W1531" s="230"/>
      <c r="X1531" s="230"/>
      <c r="Y1531" s="230"/>
    </row>
    <row r="1532">
      <c r="O1532" s="230"/>
      <c r="R1532" s="230"/>
      <c r="S1532" s="230"/>
      <c r="T1532" s="230"/>
      <c r="U1532" s="230"/>
      <c r="V1532" s="230"/>
      <c r="W1532" s="230"/>
      <c r="X1532" s="230"/>
      <c r="Y1532" s="230"/>
    </row>
    <row r="1533">
      <c r="O1533" s="230"/>
      <c r="R1533" s="230"/>
      <c r="S1533" s="230"/>
      <c r="T1533" s="230"/>
      <c r="U1533" s="230"/>
      <c r="V1533" s="230"/>
      <c r="W1533" s="230"/>
      <c r="X1533" s="230"/>
      <c r="Y1533" s="230"/>
    </row>
    <row r="1534">
      <c r="O1534" s="230"/>
      <c r="R1534" s="230"/>
      <c r="S1534" s="230"/>
      <c r="T1534" s="230"/>
      <c r="U1534" s="230"/>
      <c r="V1534" s="230"/>
      <c r="W1534" s="230"/>
      <c r="X1534" s="230"/>
      <c r="Y1534" s="230"/>
    </row>
    <row r="1535">
      <c r="O1535" s="230"/>
      <c r="R1535" s="230"/>
      <c r="S1535" s="230"/>
      <c r="T1535" s="230"/>
      <c r="U1535" s="230"/>
      <c r="V1535" s="230"/>
      <c r="W1535" s="230"/>
      <c r="X1535" s="230"/>
      <c r="Y1535" s="230"/>
    </row>
    <row r="1536">
      <c r="O1536" s="230"/>
      <c r="R1536" s="230"/>
      <c r="S1536" s="230"/>
      <c r="T1536" s="230"/>
      <c r="U1536" s="230"/>
      <c r="V1536" s="230"/>
      <c r="W1536" s="230"/>
      <c r="X1536" s="230"/>
      <c r="Y1536" s="230"/>
    </row>
    <row r="1537">
      <c r="O1537" s="230"/>
      <c r="R1537" s="230"/>
      <c r="S1537" s="230"/>
      <c r="T1537" s="230"/>
      <c r="U1537" s="230"/>
      <c r="V1537" s="230"/>
      <c r="W1537" s="230"/>
      <c r="X1537" s="230"/>
      <c r="Y1537" s="230"/>
    </row>
    <row r="1538">
      <c r="O1538" s="230"/>
      <c r="R1538" s="230"/>
      <c r="S1538" s="230"/>
      <c r="T1538" s="230"/>
      <c r="U1538" s="230"/>
      <c r="V1538" s="230"/>
      <c r="W1538" s="230"/>
      <c r="X1538" s="230"/>
      <c r="Y1538" s="230"/>
    </row>
    <row r="1539">
      <c r="O1539" s="230"/>
      <c r="R1539" s="230"/>
      <c r="S1539" s="230"/>
      <c r="T1539" s="230"/>
      <c r="U1539" s="230"/>
      <c r="V1539" s="230"/>
      <c r="W1539" s="230"/>
      <c r="X1539" s="230"/>
      <c r="Y1539" s="230"/>
    </row>
    <row r="1540">
      <c r="O1540" s="230"/>
      <c r="R1540" s="230"/>
      <c r="S1540" s="230"/>
      <c r="T1540" s="230"/>
      <c r="U1540" s="230"/>
      <c r="V1540" s="230"/>
      <c r="W1540" s="230"/>
      <c r="X1540" s="230"/>
      <c r="Y1540" s="230"/>
    </row>
    <row r="1541">
      <c r="O1541" s="230"/>
      <c r="R1541" s="230"/>
      <c r="S1541" s="230"/>
      <c r="T1541" s="230"/>
      <c r="U1541" s="230"/>
      <c r="V1541" s="230"/>
      <c r="W1541" s="230"/>
      <c r="X1541" s="230"/>
      <c r="Y1541" s="230"/>
    </row>
    <row r="1542">
      <c r="O1542" s="230"/>
      <c r="R1542" s="230"/>
      <c r="S1542" s="230"/>
      <c r="T1542" s="230"/>
      <c r="U1542" s="230"/>
      <c r="V1542" s="230"/>
      <c r="W1542" s="230"/>
      <c r="X1542" s="230"/>
      <c r="Y1542" s="230"/>
    </row>
    <row r="1543">
      <c r="O1543" s="230"/>
      <c r="R1543" s="230"/>
      <c r="S1543" s="230"/>
      <c r="T1543" s="230"/>
      <c r="U1543" s="230"/>
      <c r="V1543" s="230"/>
      <c r="W1543" s="230"/>
      <c r="X1543" s="230"/>
      <c r="Y1543" s="230"/>
    </row>
    <row r="1544">
      <c r="O1544" s="230"/>
      <c r="R1544" s="230"/>
      <c r="S1544" s="230"/>
      <c r="T1544" s="230"/>
      <c r="U1544" s="230"/>
      <c r="V1544" s="230"/>
      <c r="W1544" s="230"/>
      <c r="X1544" s="230"/>
      <c r="Y1544" s="230"/>
    </row>
    <row r="1545">
      <c r="O1545" s="230"/>
      <c r="R1545" s="230"/>
      <c r="S1545" s="230"/>
      <c r="T1545" s="230"/>
      <c r="U1545" s="230"/>
      <c r="V1545" s="230"/>
      <c r="W1545" s="230"/>
      <c r="X1545" s="230"/>
      <c r="Y1545" s="230"/>
    </row>
    <row r="1546">
      <c r="O1546" s="230"/>
      <c r="R1546" s="230"/>
      <c r="S1546" s="230"/>
      <c r="T1546" s="230"/>
      <c r="U1546" s="230"/>
      <c r="V1546" s="230"/>
      <c r="W1546" s="230"/>
      <c r="X1546" s="230"/>
      <c r="Y1546" s="230"/>
    </row>
    <row r="1547">
      <c r="O1547" s="230"/>
      <c r="R1547" s="230"/>
      <c r="S1547" s="230"/>
      <c r="T1547" s="230"/>
      <c r="U1547" s="230"/>
      <c r="V1547" s="230"/>
      <c r="W1547" s="230"/>
      <c r="X1547" s="230"/>
      <c r="Y1547" s="230"/>
    </row>
    <row r="1548">
      <c r="O1548" s="230"/>
      <c r="R1548" s="230"/>
      <c r="S1548" s="230"/>
      <c r="T1548" s="230"/>
      <c r="U1548" s="230"/>
      <c r="V1548" s="230"/>
      <c r="W1548" s="230"/>
      <c r="X1548" s="230"/>
      <c r="Y1548" s="230"/>
    </row>
    <row r="1549">
      <c r="O1549" s="230"/>
      <c r="R1549" s="230"/>
      <c r="S1549" s="230"/>
      <c r="T1549" s="230"/>
      <c r="U1549" s="230"/>
      <c r="V1549" s="230"/>
      <c r="W1549" s="230"/>
      <c r="X1549" s="230"/>
      <c r="Y1549" s="230"/>
    </row>
    <row r="1550">
      <c r="O1550" s="230"/>
      <c r="R1550" s="230"/>
      <c r="S1550" s="230"/>
      <c r="T1550" s="230"/>
      <c r="U1550" s="230"/>
      <c r="V1550" s="230"/>
      <c r="W1550" s="230"/>
      <c r="X1550" s="230"/>
      <c r="Y1550" s="230"/>
    </row>
    <row r="1551">
      <c r="O1551" s="230"/>
      <c r="R1551" s="230"/>
      <c r="S1551" s="230"/>
      <c r="T1551" s="230"/>
      <c r="U1551" s="230"/>
      <c r="V1551" s="230"/>
      <c r="W1551" s="230"/>
      <c r="X1551" s="230"/>
      <c r="Y1551" s="230"/>
    </row>
    <row r="1552">
      <c r="O1552" s="230"/>
      <c r="R1552" s="230"/>
      <c r="S1552" s="230"/>
      <c r="T1552" s="230"/>
      <c r="U1552" s="230"/>
      <c r="V1552" s="230"/>
      <c r="W1552" s="230"/>
      <c r="X1552" s="230"/>
      <c r="Y1552" s="230"/>
    </row>
    <row r="1553">
      <c r="O1553" s="230"/>
      <c r="R1553" s="230"/>
      <c r="S1553" s="230"/>
      <c r="T1553" s="230"/>
      <c r="U1553" s="230"/>
      <c r="V1553" s="230"/>
      <c r="W1553" s="230"/>
      <c r="X1553" s="230"/>
      <c r="Y1553" s="230"/>
    </row>
    <row r="1554">
      <c r="O1554" s="230"/>
      <c r="R1554" s="230"/>
      <c r="S1554" s="230"/>
      <c r="T1554" s="230"/>
      <c r="U1554" s="230"/>
      <c r="V1554" s="230"/>
      <c r="W1554" s="230"/>
      <c r="X1554" s="230"/>
      <c r="Y1554" s="230"/>
    </row>
    <row r="1555">
      <c r="O1555" s="230"/>
      <c r="R1555" s="230"/>
      <c r="S1555" s="230"/>
      <c r="T1555" s="230"/>
      <c r="U1555" s="230"/>
      <c r="V1555" s="230"/>
      <c r="W1555" s="230"/>
      <c r="X1555" s="230"/>
      <c r="Y1555" s="230"/>
    </row>
    <row r="1556">
      <c r="O1556" s="230"/>
      <c r="R1556" s="230"/>
      <c r="S1556" s="230"/>
      <c r="T1556" s="230"/>
      <c r="U1556" s="230"/>
      <c r="V1556" s="230"/>
      <c r="W1556" s="230"/>
      <c r="X1556" s="230"/>
      <c r="Y1556" s="230"/>
    </row>
    <row r="1557">
      <c r="O1557" s="230"/>
      <c r="R1557" s="230"/>
      <c r="S1557" s="230"/>
      <c r="T1557" s="230"/>
      <c r="U1557" s="230"/>
      <c r="V1557" s="230"/>
      <c r="W1557" s="230"/>
      <c r="X1557" s="230"/>
      <c r="Y1557" s="230"/>
    </row>
    <row r="1558">
      <c r="O1558" s="230"/>
      <c r="R1558" s="230"/>
      <c r="S1558" s="230"/>
      <c r="T1558" s="230"/>
      <c r="U1558" s="230"/>
      <c r="V1558" s="230"/>
      <c r="W1558" s="230"/>
      <c r="X1558" s="230"/>
      <c r="Y1558" s="230"/>
    </row>
    <row r="1559">
      <c r="O1559" s="230"/>
      <c r="R1559" s="230"/>
      <c r="S1559" s="230"/>
      <c r="T1559" s="230"/>
      <c r="U1559" s="230"/>
      <c r="V1559" s="230"/>
      <c r="W1559" s="230"/>
      <c r="X1559" s="230"/>
      <c r="Y1559" s="230"/>
    </row>
    <row r="1560">
      <c r="O1560" s="230"/>
      <c r="R1560" s="230"/>
      <c r="S1560" s="230"/>
      <c r="T1560" s="230"/>
      <c r="U1560" s="230"/>
      <c r="V1560" s="230"/>
      <c r="W1560" s="230"/>
      <c r="X1560" s="230"/>
      <c r="Y1560" s="230"/>
    </row>
    <row r="1561">
      <c r="O1561" s="230"/>
      <c r="R1561" s="230"/>
      <c r="S1561" s="230"/>
      <c r="T1561" s="230"/>
      <c r="U1561" s="230"/>
      <c r="V1561" s="230"/>
      <c r="W1561" s="230"/>
      <c r="X1561" s="230"/>
      <c r="Y1561" s="230"/>
    </row>
    <row r="1562">
      <c r="O1562" s="230"/>
      <c r="R1562" s="230"/>
      <c r="S1562" s="230"/>
      <c r="T1562" s="230"/>
      <c r="U1562" s="230"/>
      <c r="V1562" s="230"/>
      <c r="W1562" s="230"/>
      <c r="X1562" s="230"/>
      <c r="Y1562" s="230"/>
    </row>
    <row r="1563">
      <c r="O1563" s="230"/>
      <c r="R1563" s="230"/>
      <c r="S1563" s="230"/>
      <c r="T1563" s="230"/>
      <c r="U1563" s="230"/>
      <c r="V1563" s="230"/>
      <c r="W1563" s="230"/>
      <c r="X1563" s="230"/>
      <c r="Y1563" s="230"/>
    </row>
    <row r="1564">
      <c r="O1564" s="230"/>
      <c r="R1564" s="230"/>
      <c r="S1564" s="230"/>
      <c r="T1564" s="230"/>
      <c r="U1564" s="230"/>
      <c r="V1564" s="230"/>
      <c r="W1564" s="230"/>
      <c r="X1564" s="230"/>
      <c r="Y1564" s="230"/>
    </row>
    <row r="1565">
      <c r="O1565" s="230"/>
      <c r="R1565" s="230"/>
      <c r="S1565" s="230"/>
      <c r="T1565" s="230"/>
      <c r="U1565" s="230"/>
      <c r="V1565" s="230"/>
      <c r="W1565" s="230"/>
      <c r="X1565" s="230"/>
      <c r="Y1565" s="230"/>
    </row>
    <row r="1566">
      <c r="O1566" s="230"/>
      <c r="R1566" s="230"/>
      <c r="S1566" s="230"/>
      <c r="T1566" s="230"/>
      <c r="U1566" s="230"/>
      <c r="V1566" s="230"/>
      <c r="W1566" s="230"/>
      <c r="X1566" s="230"/>
      <c r="Y1566" s="230"/>
    </row>
    <row r="1567">
      <c r="O1567" s="230"/>
      <c r="R1567" s="230"/>
      <c r="S1567" s="230"/>
      <c r="T1567" s="230"/>
      <c r="U1567" s="230"/>
      <c r="V1567" s="230"/>
      <c r="W1567" s="230"/>
      <c r="X1567" s="230"/>
      <c r="Y1567" s="230"/>
    </row>
    <row r="1568">
      <c r="O1568" s="230"/>
      <c r="R1568" s="230"/>
      <c r="S1568" s="230"/>
      <c r="T1568" s="230"/>
      <c r="U1568" s="230"/>
      <c r="V1568" s="230"/>
      <c r="W1568" s="230"/>
      <c r="X1568" s="230"/>
      <c r="Y1568" s="230"/>
    </row>
    <row r="1569">
      <c r="O1569" s="230"/>
      <c r="R1569" s="230"/>
      <c r="S1569" s="230"/>
      <c r="T1569" s="230"/>
      <c r="U1569" s="230"/>
      <c r="V1569" s="230"/>
      <c r="W1569" s="230"/>
      <c r="X1569" s="230"/>
      <c r="Y1569" s="230"/>
    </row>
    <row r="1570">
      <c r="O1570" s="230"/>
      <c r="R1570" s="230"/>
      <c r="S1570" s="230"/>
      <c r="T1570" s="230"/>
      <c r="U1570" s="230"/>
      <c r="V1570" s="230"/>
      <c r="W1570" s="230"/>
      <c r="X1570" s="230"/>
      <c r="Y1570" s="230"/>
    </row>
    <row r="1571">
      <c r="O1571" s="230"/>
      <c r="R1571" s="230"/>
      <c r="S1571" s="230"/>
      <c r="T1571" s="230"/>
      <c r="U1571" s="230"/>
      <c r="V1571" s="230"/>
      <c r="W1571" s="230"/>
      <c r="X1571" s="230"/>
      <c r="Y1571" s="230"/>
    </row>
    <row r="1572">
      <c r="O1572" s="230"/>
      <c r="R1572" s="230"/>
      <c r="S1572" s="230"/>
      <c r="T1572" s="230"/>
      <c r="U1572" s="230"/>
      <c r="V1572" s="230"/>
      <c r="W1572" s="230"/>
      <c r="X1572" s="230"/>
      <c r="Y1572" s="230"/>
    </row>
    <row r="1573">
      <c r="O1573" s="230"/>
      <c r="R1573" s="230"/>
      <c r="S1573" s="230"/>
      <c r="T1573" s="230"/>
      <c r="U1573" s="230"/>
      <c r="V1573" s="230"/>
      <c r="W1573" s="230"/>
      <c r="X1573" s="230"/>
      <c r="Y1573" s="230"/>
    </row>
    <row r="1574">
      <c r="O1574" s="230"/>
      <c r="R1574" s="230"/>
      <c r="S1574" s="230"/>
      <c r="T1574" s="230"/>
      <c r="U1574" s="230"/>
      <c r="V1574" s="230"/>
      <c r="W1574" s="230"/>
      <c r="X1574" s="230"/>
      <c r="Y1574" s="230"/>
    </row>
    <row r="1575">
      <c r="O1575" s="230"/>
      <c r="R1575" s="230"/>
      <c r="S1575" s="230"/>
      <c r="T1575" s="230"/>
      <c r="U1575" s="230"/>
      <c r="V1575" s="230"/>
      <c r="W1575" s="230"/>
      <c r="X1575" s="230"/>
      <c r="Y1575" s="230"/>
    </row>
    <row r="1576">
      <c r="O1576" s="230"/>
      <c r="R1576" s="230"/>
      <c r="S1576" s="230"/>
      <c r="T1576" s="230"/>
      <c r="U1576" s="230"/>
      <c r="V1576" s="230"/>
      <c r="W1576" s="230"/>
      <c r="X1576" s="230"/>
      <c r="Y1576" s="230"/>
    </row>
    <row r="1577">
      <c r="O1577" s="230"/>
      <c r="R1577" s="230"/>
      <c r="S1577" s="230"/>
      <c r="T1577" s="230"/>
      <c r="U1577" s="230"/>
      <c r="V1577" s="230"/>
      <c r="W1577" s="230"/>
      <c r="X1577" s="230"/>
      <c r="Y1577" s="230"/>
    </row>
    <row r="1578">
      <c r="O1578" s="230"/>
      <c r="R1578" s="230"/>
      <c r="S1578" s="230"/>
      <c r="T1578" s="230"/>
      <c r="U1578" s="230"/>
      <c r="V1578" s="230"/>
      <c r="W1578" s="230"/>
      <c r="X1578" s="230"/>
      <c r="Y1578" s="230"/>
    </row>
    <row r="1579">
      <c r="O1579" s="230"/>
      <c r="R1579" s="230"/>
      <c r="S1579" s="230"/>
      <c r="T1579" s="230"/>
      <c r="U1579" s="230"/>
      <c r="V1579" s="230"/>
      <c r="W1579" s="230"/>
      <c r="X1579" s="230"/>
      <c r="Y1579" s="230"/>
    </row>
    <row r="1580">
      <c r="O1580" s="230"/>
      <c r="R1580" s="230"/>
      <c r="S1580" s="230"/>
      <c r="T1580" s="230"/>
      <c r="U1580" s="230"/>
      <c r="V1580" s="230"/>
      <c r="W1580" s="230"/>
      <c r="X1580" s="230"/>
      <c r="Y1580" s="230"/>
    </row>
    <row r="1581">
      <c r="O1581" s="230"/>
      <c r="R1581" s="230"/>
      <c r="S1581" s="230"/>
      <c r="T1581" s="230"/>
      <c r="U1581" s="230"/>
      <c r="V1581" s="230"/>
      <c r="W1581" s="230"/>
      <c r="X1581" s="230"/>
      <c r="Y1581" s="230"/>
    </row>
    <row r="1582">
      <c r="O1582" s="230"/>
      <c r="R1582" s="230"/>
      <c r="S1582" s="230"/>
      <c r="T1582" s="230"/>
      <c r="U1582" s="230"/>
      <c r="V1582" s="230"/>
      <c r="W1582" s="230"/>
      <c r="X1582" s="230"/>
      <c r="Y1582" s="230"/>
    </row>
    <row r="1583">
      <c r="O1583" s="230"/>
      <c r="R1583" s="230"/>
      <c r="S1583" s="230"/>
      <c r="T1583" s="230"/>
      <c r="U1583" s="230"/>
      <c r="V1583" s="230"/>
      <c r="W1583" s="230"/>
      <c r="X1583" s="230"/>
      <c r="Y1583" s="230"/>
    </row>
    <row r="1584">
      <c r="O1584" s="230"/>
      <c r="R1584" s="230"/>
      <c r="S1584" s="230"/>
      <c r="T1584" s="230"/>
      <c r="U1584" s="230"/>
      <c r="V1584" s="230"/>
      <c r="W1584" s="230"/>
      <c r="X1584" s="230"/>
      <c r="Y1584" s="230"/>
    </row>
    <row r="1585">
      <c r="O1585" s="230"/>
      <c r="R1585" s="230"/>
      <c r="S1585" s="230"/>
      <c r="T1585" s="230"/>
      <c r="U1585" s="230"/>
      <c r="V1585" s="230"/>
      <c r="W1585" s="230"/>
      <c r="X1585" s="230"/>
      <c r="Y1585" s="230"/>
    </row>
    <row r="1586">
      <c r="O1586" s="230"/>
      <c r="R1586" s="230"/>
      <c r="S1586" s="230"/>
      <c r="T1586" s="230"/>
      <c r="U1586" s="230"/>
      <c r="V1586" s="230"/>
      <c r="W1586" s="230"/>
      <c r="X1586" s="230"/>
      <c r="Y1586" s="230"/>
    </row>
    <row r="1587">
      <c r="O1587" s="230"/>
      <c r="R1587" s="230"/>
      <c r="S1587" s="230"/>
      <c r="T1587" s="230"/>
      <c r="U1587" s="230"/>
      <c r="V1587" s="230"/>
      <c r="W1587" s="230"/>
      <c r="X1587" s="230"/>
      <c r="Y1587" s="230"/>
    </row>
    <row r="1588">
      <c r="O1588" s="230"/>
      <c r="R1588" s="230"/>
      <c r="S1588" s="230"/>
      <c r="T1588" s="230"/>
      <c r="U1588" s="230"/>
      <c r="V1588" s="230"/>
      <c r="W1588" s="230"/>
      <c r="X1588" s="230"/>
      <c r="Y1588" s="230"/>
    </row>
    <row r="1589">
      <c r="O1589" s="230"/>
      <c r="R1589" s="230"/>
      <c r="S1589" s="230"/>
      <c r="T1589" s="230"/>
      <c r="U1589" s="230"/>
      <c r="V1589" s="230"/>
      <c r="W1589" s="230"/>
      <c r="X1589" s="230"/>
      <c r="Y1589" s="230"/>
    </row>
    <row r="1590">
      <c r="O1590" s="230"/>
      <c r="R1590" s="230"/>
      <c r="S1590" s="230"/>
      <c r="T1590" s="230"/>
      <c r="U1590" s="230"/>
      <c r="V1590" s="230"/>
      <c r="W1590" s="230"/>
      <c r="X1590" s="230"/>
      <c r="Y1590" s="230"/>
    </row>
    <row r="1591">
      <c r="O1591" s="230"/>
      <c r="R1591" s="230"/>
      <c r="S1591" s="230"/>
      <c r="T1591" s="230"/>
      <c r="U1591" s="230"/>
      <c r="V1591" s="230"/>
      <c r="W1591" s="230"/>
      <c r="X1591" s="230"/>
      <c r="Y1591" s="230"/>
    </row>
    <row r="1592">
      <c r="O1592" s="230"/>
      <c r="R1592" s="230"/>
      <c r="S1592" s="230"/>
      <c r="T1592" s="230"/>
      <c r="U1592" s="230"/>
      <c r="V1592" s="230"/>
      <c r="W1592" s="230"/>
      <c r="X1592" s="230"/>
      <c r="Y1592" s="230"/>
    </row>
    <row r="1593">
      <c r="O1593" s="230"/>
      <c r="R1593" s="230"/>
      <c r="S1593" s="230"/>
      <c r="T1593" s="230"/>
      <c r="U1593" s="230"/>
      <c r="V1593" s="230"/>
      <c r="W1593" s="230"/>
      <c r="X1593" s="230"/>
      <c r="Y1593" s="230"/>
    </row>
    <row r="1594">
      <c r="O1594" s="230"/>
      <c r="R1594" s="230"/>
      <c r="S1594" s="230"/>
      <c r="T1594" s="230"/>
      <c r="U1594" s="230"/>
      <c r="V1594" s="230"/>
      <c r="W1594" s="230"/>
      <c r="X1594" s="230"/>
      <c r="Y1594" s="230"/>
    </row>
    <row r="1595">
      <c r="O1595" s="230"/>
      <c r="R1595" s="230"/>
      <c r="S1595" s="230"/>
      <c r="T1595" s="230"/>
      <c r="U1595" s="230"/>
      <c r="V1595" s="230"/>
      <c r="W1595" s="230"/>
      <c r="X1595" s="230"/>
      <c r="Y1595" s="230"/>
    </row>
    <row r="1596">
      <c r="O1596" s="230"/>
      <c r="R1596" s="230"/>
      <c r="S1596" s="230"/>
      <c r="T1596" s="230"/>
      <c r="U1596" s="230"/>
      <c r="V1596" s="230"/>
      <c r="W1596" s="230"/>
      <c r="X1596" s="230"/>
      <c r="Y1596" s="230"/>
    </row>
    <row r="1597">
      <c r="O1597" s="230"/>
      <c r="R1597" s="230"/>
      <c r="S1597" s="230"/>
      <c r="T1597" s="230"/>
      <c r="U1597" s="230"/>
      <c r="V1597" s="230"/>
      <c r="W1597" s="230"/>
      <c r="X1597" s="230"/>
      <c r="Y1597" s="230"/>
    </row>
    <row r="1598">
      <c r="O1598" s="230"/>
      <c r="R1598" s="230"/>
      <c r="S1598" s="230"/>
      <c r="T1598" s="230"/>
      <c r="U1598" s="230"/>
      <c r="V1598" s="230"/>
      <c r="W1598" s="230"/>
      <c r="X1598" s="230"/>
      <c r="Y1598" s="230"/>
    </row>
    <row r="1599">
      <c r="O1599" s="230"/>
      <c r="R1599" s="230"/>
      <c r="S1599" s="230"/>
      <c r="T1599" s="230"/>
      <c r="U1599" s="230"/>
      <c r="V1599" s="230"/>
      <c r="W1599" s="230"/>
      <c r="X1599" s="230"/>
      <c r="Y1599" s="230"/>
    </row>
    <row r="1600">
      <c r="O1600" s="230"/>
      <c r="R1600" s="230"/>
      <c r="S1600" s="230"/>
      <c r="T1600" s="230"/>
      <c r="U1600" s="230"/>
      <c r="V1600" s="230"/>
      <c r="W1600" s="230"/>
      <c r="X1600" s="230"/>
      <c r="Y1600" s="230"/>
    </row>
    <row r="1601">
      <c r="O1601" s="230"/>
      <c r="R1601" s="230"/>
      <c r="S1601" s="230"/>
      <c r="T1601" s="230"/>
      <c r="U1601" s="230"/>
      <c r="V1601" s="230"/>
      <c r="W1601" s="230"/>
      <c r="X1601" s="230"/>
      <c r="Y1601" s="230"/>
    </row>
    <row r="1602">
      <c r="O1602" s="230"/>
      <c r="R1602" s="230"/>
      <c r="S1602" s="230"/>
      <c r="T1602" s="230"/>
      <c r="U1602" s="230"/>
      <c r="V1602" s="230"/>
      <c r="W1602" s="230"/>
      <c r="X1602" s="230"/>
      <c r="Y1602" s="230"/>
    </row>
    <row r="1603">
      <c r="O1603" s="230"/>
      <c r="R1603" s="230"/>
      <c r="S1603" s="230"/>
      <c r="T1603" s="230"/>
      <c r="U1603" s="230"/>
      <c r="V1603" s="230"/>
      <c r="W1603" s="230"/>
      <c r="X1603" s="230"/>
      <c r="Y1603" s="230"/>
    </row>
    <row r="1604">
      <c r="O1604" s="230"/>
      <c r="R1604" s="230"/>
      <c r="S1604" s="230"/>
      <c r="T1604" s="230"/>
      <c r="U1604" s="230"/>
      <c r="V1604" s="230"/>
      <c r="W1604" s="230"/>
      <c r="X1604" s="230"/>
      <c r="Y1604" s="230"/>
    </row>
    <row r="1605">
      <c r="O1605" s="230"/>
      <c r="R1605" s="230"/>
      <c r="S1605" s="230"/>
      <c r="T1605" s="230"/>
      <c r="U1605" s="230"/>
      <c r="V1605" s="230"/>
      <c r="W1605" s="230"/>
      <c r="X1605" s="230"/>
      <c r="Y1605" s="230"/>
    </row>
    <row r="1606">
      <c r="O1606" s="230"/>
      <c r="R1606" s="230"/>
      <c r="S1606" s="230"/>
      <c r="T1606" s="230"/>
      <c r="U1606" s="230"/>
      <c r="V1606" s="230"/>
      <c r="W1606" s="230"/>
      <c r="X1606" s="230"/>
      <c r="Y1606" s="230"/>
    </row>
    <row r="1607">
      <c r="O1607" s="230"/>
      <c r="R1607" s="230"/>
      <c r="S1607" s="230"/>
      <c r="T1607" s="230"/>
      <c r="U1607" s="230"/>
      <c r="V1607" s="230"/>
      <c r="W1607" s="230"/>
      <c r="X1607" s="230"/>
      <c r="Y1607" s="230"/>
    </row>
    <row r="1608">
      <c r="O1608" s="230"/>
      <c r="R1608" s="230"/>
      <c r="S1608" s="230"/>
      <c r="T1608" s="230"/>
      <c r="U1608" s="230"/>
      <c r="V1608" s="230"/>
      <c r="W1608" s="230"/>
      <c r="X1608" s="230"/>
      <c r="Y1608" s="230"/>
    </row>
    <row r="1609">
      <c r="O1609" s="230"/>
      <c r="R1609" s="230"/>
      <c r="S1609" s="230"/>
      <c r="T1609" s="230"/>
      <c r="U1609" s="230"/>
      <c r="V1609" s="230"/>
      <c r="W1609" s="230"/>
      <c r="X1609" s="230"/>
      <c r="Y1609" s="230"/>
    </row>
    <row r="1610">
      <c r="O1610" s="230"/>
      <c r="R1610" s="230"/>
      <c r="S1610" s="230"/>
      <c r="T1610" s="230"/>
      <c r="U1610" s="230"/>
      <c r="V1610" s="230"/>
      <c r="W1610" s="230"/>
      <c r="X1610" s="230"/>
      <c r="Y1610" s="230"/>
    </row>
    <row r="1611">
      <c r="O1611" s="230"/>
      <c r="R1611" s="230"/>
      <c r="S1611" s="230"/>
      <c r="T1611" s="230"/>
      <c r="U1611" s="230"/>
      <c r="V1611" s="230"/>
      <c r="W1611" s="230"/>
      <c r="X1611" s="230"/>
      <c r="Y1611" s="230"/>
    </row>
    <row r="1612">
      <c r="O1612" s="230"/>
      <c r="R1612" s="230"/>
      <c r="S1612" s="230"/>
      <c r="T1612" s="230"/>
      <c r="U1612" s="230"/>
      <c r="V1612" s="230"/>
      <c r="W1612" s="230"/>
      <c r="X1612" s="230"/>
      <c r="Y1612" s="230"/>
    </row>
    <row r="1613">
      <c r="O1613" s="230"/>
      <c r="R1613" s="230"/>
      <c r="S1613" s="230"/>
      <c r="T1613" s="230"/>
      <c r="U1613" s="230"/>
      <c r="V1613" s="230"/>
      <c r="W1613" s="230"/>
      <c r="X1613" s="230"/>
      <c r="Y1613" s="230"/>
    </row>
    <row r="1614">
      <c r="O1614" s="230"/>
      <c r="R1614" s="230"/>
      <c r="S1614" s="230"/>
      <c r="T1614" s="230"/>
      <c r="U1614" s="230"/>
      <c r="V1614" s="230"/>
      <c r="W1614" s="230"/>
      <c r="X1614" s="230"/>
      <c r="Y1614" s="230"/>
    </row>
    <row r="1615">
      <c r="O1615" s="230"/>
      <c r="R1615" s="230"/>
      <c r="S1615" s="230"/>
      <c r="T1615" s="230"/>
      <c r="U1615" s="230"/>
      <c r="V1615" s="230"/>
      <c r="W1615" s="230"/>
      <c r="X1615" s="230"/>
      <c r="Y1615" s="230"/>
    </row>
    <row r="1616">
      <c r="O1616" s="230"/>
      <c r="R1616" s="230"/>
      <c r="S1616" s="230"/>
      <c r="T1616" s="230"/>
      <c r="U1616" s="230"/>
      <c r="V1616" s="230"/>
      <c r="W1616" s="230"/>
      <c r="X1616" s="230"/>
      <c r="Y1616" s="230"/>
    </row>
    <row r="1617">
      <c r="O1617" s="230"/>
      <c r="R1617" s="230"/>
      <c r="S1617" s="230"/>
      <c r="T1617" s="230"/>
      <c r="U1617" s="230"/>
      <c r="V1617" s="230"/>
      <c r="W1617" s="230"/>
      <c r="X1617" s="230"/>
      <c r="Y1617" s="230"/>
    </row>
    <row r="1618">
      <c r="O1618" s="230"/>
      <c r="R1618" s="230"/>
      <c r="S1618" s="230"/>
      <c r="T1618" s="230"/>
      <c r="U1618" s="230"/>
      <c r="V1618" s="230"/>
      <c r="W1618" s="230"/>
      <c r="X1618" s="230"/>
      <c r="Y1618" s="230"/>
    </row>
    <row r="1619">
      <c r="O1619" s="230"/>
      <c r="R1619" s="230"/>
      <c r="S1619" s="230"/>
      <c r="T1619" s="230"/>
      <c r="U1619" s="230"/>
      <c r="V1619" s="230"/>
      <c r="W1619" s="230"/>
      <c r="X1619" s="230"/>
      <c r="Y1619" s="230"/>
    </row>
    <row r="1620">
      <c r="O1620" s="230"/>
      <c r="R1620" s="230"/>
      <c r="S1620" s="230"/>
      <c r="T1620" s="230"/>
      <c r="U1620" s="230"/>
      <c r="V1620" s="230"/>
      <c r="W1620" s="230"/>
      <c r="X1620" s="230"/>
      <c r="Y1620" s="230"/>
    </row>
    <row r="1621">
      <c r="O1621" s="230"/>
      <c r="R1621" s="230"/>
      <c r="S1621" s="230"/>
      <c r="T1621" s="230"/>
      <c r="U1621" s="230"/>
      <c r="V1621" s="230"/>
      <c r="W1621" s="230"/>
      <c r="X1621" s="230"/>
      <c r="Y1621" s="230"/>
    </row>
    <row r="1622">
      <c r="O1622" s="230"/>
      <c r="R1622" s="230"/>
      <c r="S1622" s="230"/>
      <c r="T1622" s="230"/>
      <c r="U1622" s="230"/>
      <c r="V1622" s="230"/>
      <c r="W1622" s="230"/>
      <c r="X1622" s="230"/>
      <c r="Y1622" s="230"/>
    </row>
    <row r="1623">
      <c r="O1623" s="230"/>
      <c r="R1623" s="230"/>
      <c r="S1623" s="230"/>
      <c r="T1623" s="230"/>
      <c r="U1623" s="230"/>
      <c r="V1623" s="230"/>
      <c r="W1623" s="230"/>
      <c r="X1623" s="230"/>
      <c r="Y1623" s="230"/>
    </row>
    <row r="1624">
      <c r="O1624" s="230"/>
      <c r="R1624" s="230"/>
      <c r="S1624" s="230"/>
      <c r="T1624" s="230"/>
      <c r="U1624" s="230"/>
      <c r="V1624" s="230"/>
      <c r="W1624" s="230"/>
      <c r="X1624" s="230"/>
      <c r="Y1624" s="230"/>
    </row>
    <row r="1625">
      <c r="O1625" s="230"/>
      <c r="R1625" s="230"/>
      <c r="S1625" s="230"/>
      <c r="T1625" s="230"/>
      <c r="U1625" s="230"/>
      <c r="V1625" s="230"/>
      <c r="W1625" s="230"/>
      <c r="X1625" s="230"/>
      <c r="Y1625" s="230"/>
    </row>
    <row r="1626">
      <c r="O1626" s="230"/>
      <c r="R1626" s="230"/>
      <c r="S1626" s="230"/>
      <c r="T1626" s="230"/>
      <c r="U1626" s="230"/>
      <c r="V1626" s="230"/>
      <c r="W1626" s="230"/>
      <c r="X1626" s="230"/>
      <c r="Y1626" s="230"/>
    </row>
    <row r="1627">
      <c r="O1627" s="230"/>
      <c r="R1627" s="230"/>
      <c r="S1627" s="230"/>
      <c r="T1627" s="230"/>
      <c r="U1627" s="230"/>
      <c r="V1627" s="230"/>
      <c r="W1627" s="230"/>
      <c r="X1627" s="230"/>
      <c r="Y1627" s="230"/>
    </row>
    <row r="1628">
      <c r="O1628" s="230"/>
      <c r="R1628" s="230"/>
      <c r="S1628" s="230"/>
      <c r="T1628" s="230"/>
      <c r="U1628" s="230"/>
      <c r="V1628" s="230"/>
      <c r="W1628" s="230"/>
      <c r="X1628" s="230"/>
      <c r="Y1628" s="230"/>
    </row>
    <row r="1629">
      <c r="O1629" s="230"/>
      <c r="R1629" s="230"/>
      <c r="S1629" s="230"/>
      <c r="T1629" s="230"/>
      <c r="U1629" s="230"/>
      <c r="V1629" s="230"/>
      <c r="W1629" s="230"/>
      <c r="X1629" s="230"/>
      <c r="Y1629" s="230"/>
    </row>
    <row r="1630">
      <c r="O1630" s="230"/>
      <c r="R1630" s="230"/>
      <c r="S1630" s="230"/>
      <c r="T1630" s="230"/>
      <c r="U1630" s="230"/>
      <c r="V1630" s="230"/>
      <c r="W1630" s="230"/>
      <c r="X1630" s="230"/>
      <c r="Y1630" s="230"/>
    </row>
    <row r="1631">
      <c r="O1631" s="230"/>
      <c r="R1631" s="230"/>
      <c r="S1631" s="230"/>
      <c r="T1631" s="230"/>
      <c r="U1631" s="230"/>
      <c r="V1631" s="230"/>
      <c r="W1631" s="230"/>
      <c r="X1631" s="230"/>
      <c r="Y1631" s="230"/>
    </row>
    <row r="1632">
      <c r="O1632" s="230"/>
      <c r="R1632" s="230"/>
      <c r="S1632" s="230"/>
      <c r="T1632" s="230"/>
      <c r="U1632" s="230"/>
      <c r="V1632" s="230"/>
      <c r="W1632" s="230"/>
      <c r="X1632" s="230"/>
      <c r="Y1632" s="230"/>
    </row>
    <row r="1633">
      <c r="O1633" s="230"/>
      <c r="R1633" s="230"/>
      <c r="S1633" s="230"/>
      <c r="T1633" s="230"/>
      <c r="U1633" s="230"/>
      <c r="V1633" s="230"/>
      <c r="W1633" s="230"/>
      <c r="X1633" s="230"/>
      <c r="Y1633" s="230"/>
    </row>
    <row r="1634">
      <c r="O1634" s="230"/>
      <c r="R1634" s="230"/>
      <c r="S1634" s="230"/>
      <c r="T1634" s="230"/>
      <c r="U1634" s="230"/>
      <c r="V1634" s="230"/>
      <c r="W1634" s="230"/>
      <c r="X1634" s="230"/>
      <c r="Y1634" s="230"/>
    </row>
    <row r="1635">
      <c r="O1635" s="230"/>
      <c r="R1635" s="230"/>
      <c r="S1635" s="230"/>
      <c r="T1635" s="230"/>
      <c r="U1635" s="230"/>
      <c r="V1635" s="230"/>
      <c r="W1635" s="230"/>
      <c r="X1635" s="230"/>
      <c r="Y1635" s="230"/>
    </row>
    <row r="1636">
      <c r="O1636" s="230"/>
      <c r="R1636" s="230"/>
      <c r="S1636" s="230"/>
      <c r="T1636" s="230"/>
      <c r="U1636" s="230"/>
      <c r="V1636" s="230"/>
      <c r="W1636" s="230"/>
      <c r="X1636" s="230"/>
      <c r="Y1636" s="230"/>
    </row>
    <row r="1637">
      <c r="O1637" s="230"/>
      <c r="R1637" s="230"/>
      <c r="S1637" s="230"/>
      <c r="T1637" s="230"/>
      <c r="U1637" s="230"/>
      <c r="V1637" s="230"/>
      <c r="W1637" s="230"/>
      <c r="X1637" s="230"/>
      <c r="Y1637" s="230"/>
    </row>
    <row r="1638">
      <c r="O1638" s="230"/>
      <c r="R1638" s="230"/>
      <c r="S1638" s="230"/>
      <c r="T1638" s="230"/>
      <c r="U1638" s="230"/>
      <c r="V1638" s="230"/>
      <c r="W1638" s="230"/>
      <c r="X1638" s="230"/>
      <c r="Y1638" s="230"/>
    </row>
    <row r="1639">
      <c r="O1639" s="230"/>
      <c r="R1639" s="230"/>
      <c r="S1639" s="230"/>
      <c r="T1639" s="230"/>
      <c r="U1639" s="230"/>
      <c r="V1639" s="230"/>
      <c r="W1639" s="230"/>
      <c r="X1639" s="230"/>
      <c r="Y1639" s="230"/>
    </row>
    <row r="1640">
      <c r="O1640" s="230"/>
      <c r="R1640" s="230"/>
      <c r="S1640" s="230"/>
      <c r="T1640" s="230"/>
      <c r="U1640" s="230"/>
      <c r="V1640" s="230"/>
      <c r="W1640" s="230"/>
      <c r="X1640" s="230"/>
      <c r="Y1640" s="230"/>
    </row>
    <row r="1641">
      <c r="O1641" s="230"/>
      <c r="R1641" s="230"/>
      <c r="S1641" s="230"/>
      <c r="T1641" s="230"/>
      <c r="U1641" s="230"/>
      <c r="V1641" s="230"/>
      <c r="W1641" s="230"/>
      <c r="X1641" s="230"/>
      <c r="Y1641" s="230"/>
    </row>
    <row r="1642">
      <c r="O1642" s="230"/>
      <c r="R1642" s="230"/>
      <c r="S1642" s="230"/>
      <c r="T1642" s="230"/>
      <c r="U1642" s="230"/>
      <c r="V1642" s="230"/>
      <c r="W1642" s="230"/>
      <c r="X1642" s="230"/>
      <c r="Y1642" s="230"/>
    </row>
    <row r="1643">
      <c r="O1643" s="230"/>
      <c r="R1643" s="230"/>
      <c r="S1643" s="230"/>
      <c r="T1643" s="230"/>
      <c r="U1643" s="230"/>
      <c r="V1643" s="230"/>
      <c r="W1643" s="230"/>
      <c r="X1643" s="230"/>
      <c r="Y1643" s="230"/>
    </row>
    <row r="1644">
      <c r="O1644" s="230"/>
      <c r="R1644" s="230"/>
      <c r="S1644" s="230"/>
      <c r="T1644" s="230"/>
      <c r="U1644" s="230"/>
      <c r="V1644" s="230"/>
      <c r="W1644" s="230"/>
      <c r="X1644" s="230"/>
      <c r="Y1644" s="230"/>
    </row>
    <row r="1645">
      <c r="O1645" s="230"/>
      <c r="R1645" s="230"/>
      <c r="S1645" s="230"/>
      <c r="T1645" s="230"/>
      <c r="U1645" s="230"/>
      <c r="V1645" s="230"/>
      <c r="W1645" s="230"/>
      <c r="X1645" s="230"/>
      <c r="Y1645" s="230"/>
    </row>
    <row r="1646">
      <c r="O1646" s="230"/>
      <c r="R1646" s="230"/>
      <c r="S1646" s="230"/>
      <c r="T1646" s="230"/>
      <c r="U1646" s="230"/>
      <c r="V1646" s="230"/>
      <c r="W1646" s="230"/>
      <c r="X1646" s="230"/>
      <c r="Y1646" s="230"/>
    </row>
    <row r="1647">
      <c r="O1647" s="230"/>
      <c r="R1647" s="230"/>
      <c r="S1647" s="230"/>
      <c r="T1647" s="230"/>
      <c r="U1647" s="230"/>
      <c r="V1647" s="230"/>
      <c r="W1647" s="230"/>
      <c r="X1647" s="230"/>
      <c r="Y1647" s="230"/>
    </row>
    <row r="1648">
      <c r="O1648" s="230"/>
      <c r="R1648" s="230"/>
      <c r="S1648" s="230"/>
      <c r="T1648" s="230"/>
      <c r="U1648" s="230"/>
      <c r="V1648" s="230"/>
      <c r="W1648" s="230"/>
      <c r="X1648" s="230"/>
      <c r="Y1648" s="230"/>
    </row>
    <row r="1649">
      <c r="O1649" s="230"/>
      <c r="R1649" s="230"/>
      <c r="S1649" s="230"/>
      <c r="T1649" s="230"/>
      <c r="U1649" s="230"/>
      <c r="V1649" s="230"/>
      <c r="W1649" s="230"/>
      <c r="X1649" s="230"/>
      <c r="Y1649" s="230"/>
    </row>
    <row r="1650">
      <c r="O1650" s="230"/>
      <c r="R1650" s="230"/>
      <c r="S1650" s="230"/>
      <c r="T1650" s="230"/>
      <c r="U1650" s="230"/>
      <c r="V1650" s="230"/>
      <c r="W1650" s="230"/>
      <c r="X1650" s="230"/>
      <c r="Y1650" s="230"/>
    </row>
    <row r="1651">
      <c r="O1651" s="230"/>
      <c r="R1651" s="230"/>
      <c r="S1651" s="230"/>
      <c r="T1651" s="230"/>
      <c r="U1651" s="230"/>
      <c r="V1651" s="230"/>
      <c r="W1651" s="230"/>
      <c r="X1651" s="230"/>
      <c r="Y1651" s="230"/>
    </row>
    <row r="1652">
      <c r="O1652" s="230"/>
      <c r="R1652" s="230"/>
      <c r="S1652" s="230"/>
      <c r="T1652" s="230"/>
      <c r="U1652" s="230"/>
      <c r="V1652" s="230"/>
      <c r="W1652" s="230"/>
      <c r="X1652" s="230"/>
      <c r="Y1652" s="230"/>
    </row>
    <row r="1653">
      <c r="O1653" s="230"/>
      <c r="R1653" s="230"/>
      <c r="S1653" s="230"/>
      <c r="T1653" s="230"/>
      <c r="U1653" s="230"/>
      <c r="V1653" s="230"/>
      <c r="W1653" s="230"/>
      <c r="X1653" s="230"/>
      <c r="Y1653" s="230"/>
    </row>
    <row r="1654">
      <c r="O1654" s="230"/>
      <c r="R1654" s="230"/>
      <c r="S1654" s="230"/>
      <c r="T1654" s="230"/>
      <c r="U1654" s="230"/>
      <c r="V1654" s="230"/>
      <c r="W1654" s="230"/>
      <c r="X1654" s="230"/>
      <c r="Y1654" s="230"/>
    </row>
    <row r="1655">
      <c r="O1655" s="230"/>
      <c r="R1655" s="230"/>
      <c r="S1655" s="230"/>
      <c r="T1655" s="230"/>
      <c r="U1655" s="230"/>
      <c r="V1655" s="230"/>
      <c r="W1655" s="230"/>
      <c r="X1655" s="230"/>
      <c r="Y1655" s="230"/>
    </row>
    <row r="1656">
      <c r="O1656" s="230"/>
      <c r="R1656" s="230"/>
      <c r="S1656" s="230"/>
      <c r="T1656" s="230"/>
      <c r="U1656" s="230"/>
      <c r="V1656" s="230"/>
      <c r="W1656" s="230"/>
      <c r="X1656" s="230"/>
      <c r="Y1656" s="230"/>
    </row>
    <row r="1657">
      <c r="O1657" s="230"/>
      <c r="R1657" s="230"/>
      <c r="S1657" s="230"/>
      <c r="T1657" s="230"/>
      <c r="U1657" s="230"/>
      <c r="V1657" s="230"/>
      <c r="W1657" s="230"/>
      <c r="X1657" s="230"/>
      <c r="Y1657" s="230"/>
    </row>
    <row r="1658">
      <c r="O1658" s="230"/>
      <c r="R1658" s="230"/>
      <c r="S1658" s="230"/>
      <c r="T1658" s="230"/>
      <c r="U1658" s="230"/>
      <c r="V1658" s="230"/>
      <c r="W1658" s="230"/>
      <c r="X1658" s="230"/>
      <c r="Y1658" s="230"/>
    </row>
    <row r="1659">
      <c r="O1659" s="230"/>
      <c r="R1659" s="230"/>
      <c r="S1659" s="230"/>
      <c r="T1659" s="230"/>
      <c r="U1659" s="230"/>
      <c r="V1659" s="230"/>
      <c r="W1659" s="230"/>
      <c r="X1659" s="230"/>
      <c r="Y1659" s="230"/>
    </row>
    <row r="1660">
      <c r="O1660" s="230"/>
      <c r="R1660" s="230"/>
      <c r="S1660" s="230"/>
      <c r="T1660" s="230"/>
      <c r="U1660" s="230"/>
      <c r="V1660" s="230"/>
      <c r="W1660" s="230"/>
      <c r="X1660" s="230"/>
      <c r="Y1660" s="230"/>
    </row>
    <row r="1661">
      <c r="O1661" s="230"/>
      <c r="R1661" s="230"/>
      <c r="S1661" s="230"/>
      <c r="T1661" s="230"/>
      <c r="U1661" s="230"/>
      <c r="V1661" s="230"/>
      <c r="W1661" s="230"/>
      <c r="X1661" s="230"/>
      <c r="Y1661" s="230"/>
    </row>
    <row r="1662">
      <c r="O1662" s="230"/>
      <c r="R1662" s="230"/>
      <c r="S1662" s="230"/>
      <c r="T1662" s="230"/>
      <c r="U1662" s="230"/>
      <c r="V1662" s="230"/>
      <c r="W1662" s="230"/>
      <c r="X1662" s="230"/>
      <c r="Y1662" s="230"/>
    </row>
    <row r="1663">
      <c r="O1663" s="230"/>
      <c r="R1663" s="230"/>
      <c r="S1663" s="230"/>
      <c r="T1663" s="230"/>
      <c r="U1663" s="230"/>
      <c r="V1663" s="230"/>
      <c r="W1663" s="230"/>
      <c r="X1663" s="230"/>
      <c r="Y1663" s="230"/>
    </row>
    <row r="1664">
      <c r="O1664" s="230"/>
      <c r="R1664" s="230"/>
      <c r="S1664" s="230"/>
      <c r="T1664" s="230"/>
      <c r="U1664" s="230"/>
      <c r="V1664" s="230"/>
      <c r="W1664" s="230"/>
      <c r="X1664" s="230"/>
      <c r="Y1664" s="230"/>
    </row>
    <row r="1665">
      <c r="O1665" s="230"/>
      <c r="R1665" s="230"/>
      <c r="S1665" s="230"/>
      <c r="T1665" s="230"/>
      <c r="U1665" s="230"/>
      <c r="V1665" s="230"/>
      <c r="W1665" s="230"/>
      <c r="X1665" s="230"/>
      <c r="Y1665" s="230"/>
    </row>
    <row r="1666">
      <c r="O1666" s="230"/>
      <c r="R1666" s="230"/>
      <c r="S1666" s="230"/>
      <c r="T1666" s="230"/>
      <c r="U1666" s="230"/>
      <c r="V1666" s="230"/>
      <c r="W1666" s="230"/>
      <c r="X1666" s="230"/>
      <c r="Y1666" s="230"/>
    </row>
    <row r="1667">
      <c r="O1667" s="230"/>
      <c r="R1667" s="230"/>
      <c r="S1667" s="230"/>
      <c r="T1667" s="230"/>
      <c r="U1667" s="230"/>
      <c r="V1667" s="230"/>
      <c r="W1667" s="230"/>
      <c r="X1667" s="230"/>
      <c r="Y1667" s="230"/>
    </row>
    <row r="1668">
      <c r="O1668" s="230"/>
      <c r="R1668" s="230"/>
      <c r="S1668" s="230"/>
      <c r="T1668" s="230"/>
      <c r="U1668" s="230"/>
      <c r="V1668" s="230"/>
      <c r="W1668" s="230"/>
      <c r="X1668" s="230"/>
      <c r="Y1668" s="230"/>
    </row>
    <row r="1669">
      <c r="O1669" s="230"/>
      <c r="R1669" s="230"/>
      <c r="S1669" s="230"/>
      <c r="T1669" s="230"/>
      <c r="U1669" s="230"/>
      <c r="V1669" s="230"/>
      <c r="W1669" s="230"/>
      <c r="X1669" s="230"/>
      <c r="Y1669" s="230"/>
    </row>
    <row r="1670">
      <c r="O1670" s="230"/>
      <c r="R1670" s="230"/>
      <c r="S1670" s="230"/>
      <c r="T1670" s="230"/>
      <c r="U1670" s="230"/>
      <c r="V1670" s="230"/>
      <c r="W1670" s="230"/>
      <c r="X1670" s="230"/>
      <c r="Y1670" s="230"/>
    </row>
    <row r="1671">
      <c r="O1671" s="230"/>
      <c r="R1671" s="230"/>
      <c r="S1671" s="230"/>
      <c r="T1671" s="230"/>
      <c r="U1671" s="230"/>
      <c r="V1671" s="230"/>
      <c r="W1671" s="230"/>
      <c r="X1671" s="230"/>
      <c r="Y1671" s="230"/>
    </row>
    <row r="1672">
      <c r="O1672" s="230"/>
      <c r="R1672" s="230"/>
      <c r="S1672" s="230"/>
      <c r="T1672" s="230"/>
      <c r="U1672" s="230"/>
      <c r="V1672" s="230"/>
      <c r="W1672" s="230"/>
      <c r="X1672" s="230"/>
      <c r="Y1672" s="230"/>
    </row>
    <row r="1673">
      <c r="O1673" s="230"/>
      <c r="R1673" s="230"/>
      <c r="S1673" s="230"/>
      <c r="T1673" s="230"/>
      <c r="U1673" s="230"/>
      <c r="V1673" s="230"/>
      <c r="W1673" s="230"/>
      <c r="X1673" s="230"/>
      <c r="Y1673" s="230"/>
    </row>
    <row r="1674">
      <c r="O1674" s="230"/>
      <c r="R1674" s="230"/>
      <c r="S1674" s="230"/>
      <c r="T1674" s="230"/>
      <c r="U1674" s="230"/>
      <c r="V1674" s="230"/>
      <c r="W1674" s="230"/>
      <c r="X1674" s="230"/>
      <c r="Y1674" s="230"/>
    </row>
    <row r="1675">
      <c r="O1675" s="230"/>
      <c r="R1675" s="230"/>
      <c r="S1675" s="230"/>
      <c r="T1675" s="230"/>
      <c r="U1675" s="230"/>
      <c r="V1675" s="230"/>
      <c r="W1675" s="230"/>
      <c r="X1675" s="230"/>
      <c r="Y1675" s="230"/>
    </row>
    <row r="1676">
      <c r="O1676" s="230"/>
      <c r="R1676" s="230"/>
      <c r="S1676" s="230"/>
      <c r="T1676" s="230"/>
      <c r="U1676" s="230"/>
      <c r="V1676" s="230"/>
      <c r="W1676" s="230"/>
      <c r="X1676" s="230"/>
      <c r="Y1676" s="230"/>
    </row>
    <row r="1677">
      <c r="O1677" s="230"/>
      <c r="R1677" s="230"/>
      <c r="S1677" s="230"/>
      <c r="T1677" s="230"/>
      <c r="U1677" s="230"/>
      <c r="V1677" s="230"/>
      <c r="W1677" s="230"/>
      <c r="X1677" s="230"/>
      <c r="Y1677" s="230"/>
    </row>
    <row r="1678">
      <c r="O1678" s="230"/>
      <c r="R1678" s="230"/>
      <c r="S1678" s="230"/>
      <c r="T1678" s="230"/>
      <c r="U1678" s="230"/>
      <c r="V1678" s="230"/>
      <c r="W1678" s="230"/>
      <c r="X1678" s="230"/>
      <c r="Y1678" s="230"/>
    </row>
    <row r="1679">
      <c r="O1679" s="230"/>
      <c r="R1679" s="230"/>
      <c r="S1679" s="230"/>
      <c r="T1679" s="230"/>
      <c r="U1679" s="230"/>
      <c r="V1679" s="230"/>
      <c r="W1679" s="230"/>
      <c r="X1679" s="230"/>
      <c r="Y1679" s="230"/>
    </row>
    <row r="1680">
      <c r="O1680" s="230"/>
      <c r="R1680" s="230"/>
      <c r="S1680" s="230"/>
      <c r="T1680" s="230"/>
      <c r="U1680" s="230"/>
      <c r="V1680" s="230"/>
      <c r="W1680" s="230"/>
      <c r="X1680" s="230"/>
      <c r="Y1680" s="230"/>
    </row>
    <row r="1681">
      <c r="O1681" s="230"/>
      <c r="R1681" s="230"/>
      <c r="S1681" s="230"/>
      <c r="T1681" s="230"/>
      <c r="U1681" s="230"/>
      <c r="V1681" s="230"/>
      <c r="W1681" s="230"/>
      <c r="X1681" s="230"/>
      <c r="Y1681" s="230"/>
    </row>
    <row r="1682">
      <c r="O1682" s="230"/>
      <c r="R1682" s="230"/>
      <c r="S1682" s="230"/>
      <c r="T1682" s="230"/>
      <c r="U1682" s="230"/>
      <c r="V1682" s="230"/>
      <c r="W1682" s="230"/>
      <c r="X1682" s="230"/>
      <c r="Y1682" s="230"/>
    </row>
    <row r="1683">
      <c r="O1683" s="230"/>
      <c r="R1683" s="230"/>
      <c r="S1683" s="230"/>
      <c r="T1683" s="230"/>
      <c r="U1683" s="230"/>
      <c r="V1683" s="230"/>
      <c r="W1683" s="230"/>
      <c r="X1683" s="230"/>
      <c r="Y1683" s="230"/>
    </row>
    <row r="1684">
      <c r="O1684" s="230"/>
      <c r="R1684" s="230"/>
      <c r="S1684" s="230"/>
      <c r="T1684" s="230"/>
      <c r="U1684" s="230"/>
      <c r="V1684" s="230"/>
      <c r="W1684" s="230"/>
      <c r="X1684" s="230"/>
      <c r="Y1684" s="230"/>
    </row>
    <row r="1685">
      <c r="O1685" s="230"/>
      <c r="R1685" s="230"/>
      <c r="S1685" s="230"/>
      <c r="T1685" s="230"/>
      <c r="U1685" s="230"/>
      <c r="V1685" s="230"/>
      <c r="W1685" s="230"/>
      <c r="X1685" s="230"/>
      <c r="Y1685" s="230"/>
    </row>
    <row r="1686">
      <c r="O1686" s="230"/>
      <c r="R1686" s="230"/>
      <c r="S1686" s="230"/>
      <c r="T1686" s="230"/>
      <c r="U1686" s="230"/>
      <c r="V1686" s="230"/>
      <c r="W1686" s="230"/>
      <c r="X1686" s="230"/>
      <c r="Y1686" s="230"/>
    </row>
    <row r="1687">
      <c r="O1687" s="230"/>
      <c r="R1687" s="230"/>
      <c r="S1687" s="230"/>
      <c r="T1687" s="230"/>
      <c r="U1687" s="230"/>
      <c r="V1687" s="230"/>
      <c r="W1687" s="230"/>
      <c r="X1687" s="230"/>
      <c r="Y1687" s="230"/>
    </row>
    <row r="1688">
      <c r="O1688" s="230"/>
      <c r="R1688" s="230"/>
      <c r="S1688" s="230"/>
      <c r="T1688" s="230"/>
      <c r="U1688" s="230"/>
      <c r="V1688" s="230"/>
      <c r="W1688" s="230"/>
      <c r="X1688" s="230"/>
      <c r="Y1688" s="230"/>
    </row>
    <row r="1689">
      <c r="O1689" s="230"/>
      <c r="R1689" s="230"/>
      <c r="S1689" s="230"/>
      <c r="T1689" s="230"/>
      <c r="U1689" s="230"/>
      <c r="V1689" s="230"/>
      <c r="W1689" s="230"/>
      <c r="X1689" s="230"/>
      <c r="Y1689" s="230"/>
    </row>
    <row r="1690">
      <c r="O1690" s="230"/>
      <c r="R1690" s="230"/>
      <c r="S1690" s="230"/>
      <c r="T1690" s="230"/>
      <c r="U1690" s="230"/>
      <c r="V1690" s="230"/>
      <c r="W1690" s="230"/>
      <c r="X1690" s="230"/>
      <c r="Y1690" s="230"/>
    </row>
    <row r="1691">
      <c r="O1691" s="230"/>
      <c r="R1691" s="230"/>
      <c r="S1691" s="230"/>
      <c r="T1691" s="230"/>
      <c r="U1691" s="230"/>
      <c r="V1691" s="230"/>
      <c r="W1691" s="230"/>
      <c r="X1691" s="230"/>
      <c r="Y1691" s="230"/>
    </row>
    <row r="1692">
      <c r="O1692" s="230"/>
      <c r="R1692" s="230"/>
      <c r="S1692" s="230"/>
      <c r="T1692" s="230"/>
      <c r="U1692" s="230"/>
      <c r="V1692" s="230"/>
      <c r="W1692" s="230"/>
      <c r="X1692" s="230"/>
      <c r="Y1692" s="230"/>
    </row>
    <row r="1693">
      <c r="O1693" s="230"/>
      <c r="R1693" s="230"/>
      <c r="S1693" s="230"/>
      <c r="T1693" s="230"/>
      <c r="U1693" s="230"/>
      <c r="V1693" s="230"/>
      <c r="W1693" s="230"/>
      <c r="X1693" s="230"/>
      <c r="Y1693" s="230"/>
    </row>
    <row r="1694">
      <c r="O1694" s="230"/>
      <c r="R1694" s="230"/>
      <c r="S1694" s="230"/>
      <c r="T1694" s="230"/>
      <c r="U1694" s="230"/>
      <c r="V1694" s="230"/>
      <c r="W1694" s="230"/>
      <c r="X1694" s="230"/>
      <c r="Y1694" s="230"/>
    </row>
    <row r="1695">
      <c r="O1695" s="230"/>
      <c r="R1695" s="230"/>
      <c r="S1695" s="230"/>
      <c r="T1695" s="230"/>
      <c r="U1695" s="230"/>
      <c r="V1695" s="230"/>
      <c r="W1695" s="230"/>
      <c r="X1695" s="230"/>
      <c r="Y1695" s="230"/>
    </row>
    <row r="1696">
      <c r="O1696" s="230"/>
      <c r="R1696" s="230"/>
      <c r="S1696" s="230"/>
      <c r="T1696" s="230"/>
      <c r="U1696" s="230"/>
      <c r="V1696" s="230"/>
      <c r="W1696" s="230"/>
      <c r="X1696" s="230"/>
      <c r="Y1696" s="230"/>
    </row>
    <row r="1697">
      <c r="O1697" s="230"/>
      <c r="R1697" s="230"/>
      <c r="S1697" s="230"/>
      <c r="T1697" s="230"/>
      <c r="U1697" s="230"/>
      <c r="V1697" s="230"/>
      <c r="W1697" s="230"/>
      <c r="X1697" s="230"/>
      <c r="Y1697" s="230"/>
    </row>
    <row r="1698">
      <c r="O1698" s="230"/>
      <c r="R1698" s="230"/>
      <c r="S1698" s="230"/>
      <c r="T1698" s="230"/>
      <c r="U1698" s="230"/>
      <c r="V1698" s="230"/>
      <c r="W1698" s="230"/>
      <c r="X1698" s="230"/>
      <c r="Y1698" s="230"/>
    </row>
    <row r="1699">
      <c r="O1699" s="230"/>
      <c r="R1699" s="230"/>
      <c r="S1699" s="230"/>
      <c r="T1699" s="230"/>
      <c r="U1699" s="230"/>
      <c r="V1699" s="230"/>
      <c r="W1699" s="230"/>
      <c r="X1699" s="230"/>
      <c r="Y1699" s="230"/>
    </row>
    <row r="1700">
      <c r="O1700" s="230"/>
      <c r="R1700" s="230"/>
      <c r="S1700" s="230"/>
      <c r="T1700" s="230"/>
      <c r="U1700" s="230"/>
      <c r="V1700" s="230"/>
      <c r="W1700" s="230"/>
      <c r="X1700" s="230"/>
      <c r="Y1700" s="230"/>
    </row>
    <row r="1701">
      <c r="O1701" s="230"/>
      <c r="R1701" s="230"/>
      <c r="S1701" s="230"/>
      <c r="T1701" s="230"/>
      <c r="U1701" s="230"/>
      <c r="V1701" s="230"/>
      <c r="W1701" s="230"/>
      <c r="X1701" s="230"/>
      <c r="Y1701" s="230"/>
    </row>
    <row r="1702">
      <c r="O1702" s="230"/>
      <c r="R1702" s="230"/>
      <c r="S1702" s="230"/>
      <c r="T1702" s="230"/>
      <c r="U1702" s="230"/>
      <c r="V1702" s="230"/>
      <c r="W1702" s="230"/>
      <c r="X1702" s="230"/>
      <c r="Y1702" s="230"/>
    </row>
    <row r="1703">
      <c r="O1703" s="230"/>
      <c r="R1703" s="230"/>
      <c r="S1703" s="230"/>
      <c r="T1703" s="230"/>
      <c r="U1703" s="230"/>
      <c r="V1703" s="230"/>
      <c r="W1703" s="230"/>
      <c r="X1703" s="230"/>
      <c r="Y1703" s="230"/>
    </row>
    <row r="1704">
      <c r="O1704" s="230"/>
      <c r="R1704" s="230"/>
      <c r="S1704" s="230"/>
      <c r="T1704" s="230"/>
      <c r="U1704" s="230"/>
      <c r="V1704" s="230"/>
      <c r="W1704" s="230"/>
      <c r="X1704" s="230"/>
      <c r="Y1704" s="230"/>
    </row>
    <row r="1705">
      <c r="O1705" s="230"/>
      <c r="R1705" s="230"/>
      <c r="S1705" s="230"/>
      <c r="T1705" s="230"/>
      <c r="U1705" s="230"/>
      <c r="V1705" s="230"/>
      <c r="W1705" s="230"/>
      <c r="X1705" s="230"/>
      <c r="Y1705" s="230"/>
    </row>
    <row r="1706">
      <c r="O1706" s="230"/>
      <c r="R1706" s="230"/>
      <c r="S1706" s="230"/>
      <c r="T1706" s="230"/>
      <c r="U1706" s="230"/>
      <c r="V1706" s="230"/>
      <c r="W1706" s="230"/>
      <c r="X1706" s="230"/>
      <c r="Y1706" s="230"/>
    </row>
    <row r="1707">
      <c r="O1707" s="230"/>
      <c r="R1707" s="230"/>
      <c r="S1707" s="230"/>
      <c r="T1707" s="230"/>
      <c r="U1707" s="230"/>
      <c r="V1707" s="230"/>
      <c r="W1707" s="230"/>
      <c r="X1707" s="230"/>
      <c r="Y1707" s="230"/>
    </row>
    <row r="1708">
      <c r="O1708" s="230"/>
      <c r="R1708" s="230"/>
      <c r="S1708" s="230"/>
      <c r="T1708" s="230"/>
      <c r="U1708" s="230"/>
      <c r="V1708" s="230"/>
      <c r="W1708" s="230"/>
      <c r="X1708" s="230"/>
      <c r="Y1708" s="230"/>
    </row>
    <row r="1709">
      <c r="O1709" s="230"/>
      <c r="R1709" s="230"/>
      <c r="S1709" s="230"/>
      <c r="T1709" s="230"/>
      <c r="U1709" s="230"/>
      <c r="V1709" s="230"/>
      <c r="W1709" s="230"/>
      <c r="X1709" s="230"/>
      <c r="Y1709" s="230"/>
    </row>
    <row r="1710">
      <c r="O1710" s="230"/>
      <c r="R1710" s="230"/>
      <c r="S1710" s="230"/>
      <c r="T1710" s="230"/>
      <c r="U1710" s="230"/>
      <c r="V1710" s="230"/>
      <c r="W1710" s="230"/>
      <c r="X1710" s="230"/>
      <c r="Y1710" s="230"/>
    </row>
    <row r="1711">
      <c r="O1711" s="230"/>
      <c r="R1711" s="230"/>
      <c r="S1711" s="230"/>
      <c r="T1711" s="230"/>
      <c r="U1711" s="230"/>
      <c r="V1711" s="230"/>
      <c r="W1711" s="230"/>
      <c r="X1711" s="230"/>
      <c r="Y1711" s="230"/>
    </row>
    <row r="1712">
      <c r="O1712" s="230"/>
      <c r="R1712" s="230"/>
      <c r="S1712" s="230"/>
      <c r="T1712" s="230"/>
      <c r="U1712" s="230"/>
      <c r="V1712" s="230"/>
      <c r="W1712" s="230"/>
      <c r="X1712" s="230"/>
      <c r="Y1712" s="230"/>
    </row>
    <row r="1713">
      <c r="O1713" s="230"/>
      <c r="R1713" s="230"/>
      <c r="S1713" s="230"/>
      <c r="T1713" s="230"/>
      <c r="U1713" s="230"/>
      <c r="V1713" s="230"/>
      <c r="W1713" s="230"/>
      <c r="X1713" s="230"/>
      <c r="Y1713" s="230"/>
    </row>
    <row r="1714">
      <c r="O1714" s="230"/>
      <c r="R1714" s="230"/>
      <c r="S1714" s="230"/>
      <c r="T1714" s="230"/>
      <c r="U1714" s="230"/>
      <c r="V1714" s="230"/>
      <c r="W1714" s="230"/>
      <c r="X1714" s="230"/>
      <c r="Y1714" s="230"/>
    </row>
    <row r="1715">
      <c r="O1715" s="230"/>
      <c r="R1715" s="230"/>
      <c r="S1715" s="230"/>
      <c r="T1715" s="230"/>
      <c r="U1715" s="230"/>
      <c r="V1715" s="230"/>
      <c r="W1715" s="230"/>
      <c r="X1715" s="230"/>
      <c r="Y1715" s="230"/>
    </row>
    <row r="1716">
      <c r="O1716" s="230"/>
      <c r="R1716" s="230"/>
      <c r="S1716" s="230"/>
      <c r="T1716" s="230"/>
      <c r="U1716" s="230"/>
      <c r="V1716" s="230"/>
      <c r="W1716" s="230"/>
      <c r="X1716" s="230"/>
      <c r="Y1716" s="230"/>
    </row>
    <row r="1717">
      <c r="O1717" s="230"/>
      <c r="R1717" s="230"/>
      <c r="S1717" s="230"/>
      <c r="T1717" s="230"/>
      <c r="U1717" s="230"/>
      <c r="V1717" s="230"/>
      <c r="W1717" s="230"/>
      <c r="X1717" s="230"/>
      <c r="Y1717" s="230"/>
    </row>
    <row r="1718">
      <c r="O1718" s="230"/>
      <c r="R1718" s="230"/>
      <c r="S1718" s="230"/>
      <c r="T1718" s="230"/>
      <c r="U1718" s="230"/>
      <c r="V1718" s="230"/>
      <c r="W1718" s="230"/>
      <c r="X1718" s="230"/>
      <c r="Y1718" s="230"/>
    </row>
    <row r="1719">
      <c r="O1719" s="230"/>
      <c r="R1719" s="230"/>
      <c r="S1719" s="230"/>
      <c r="T1719" s="230"/>
      <c r="U1719" s="230"/>
      <c r="V1719" s="230"/>
      <c r="W1719" s="230"/>
      <c r="X1719" s="230"/>
      <c r="Y1719" s="230"/>
    </row>
    <row r="1720">
      <c r="O1720" s="230"/>
      <c r="R1720" s="230"/>
      <c r="S1720" s="230"/>
      <c r="T1720" s="230"/>
      <c r="U1720" s="230"/>
      <c r="V1720" s="230"/>
      <c r="W1720" s="230"/>
      <c r="X1720" s="230"/>
      <c r="Y1720" s="230"/>
    </row>
    <row r="1721">
      <c r="O1721" s="230"/>
      <c r="R1721" s="230"/>
      <c r="S1721" s="230"/>
      <c r="T1721" s="230"/>
      <c r="U1721" s="230"/>
      <c r="V1721" s="230"/>
      <c r="W1721" s="230"/>
      <c r="X1721" s="230"/>
      <c r="Y1721" s="230"/>
    </row>
    <row r="1722">
      <c r="O1722" s="230"/>
      <c r="R1722" s="230"/>
      <c r="S1722" s="230"/>
      <c r="T1722" s="230"/>
      <c r="U1722" s="230"/>
      <c r="V1722" s="230"/>
      <c r="W1722" s="230"/>
      <c r="X1722" s="230"/>
      <c r="Y1722" s="230"/>
    </row>
    <row r="1723">
      <c r="O1723" s="230"/>
      <c r="R1723" s="230"/>
      <c r="S1723" s="230"/>
      <c r="T1723" s="230"/>
      <c r="U1723" s="230"/>
      <c r="V1723" s="230"/>
      <c r="W1723" s="230"/>
      <c r="X1723" s="230"/>
      <c r="Y1723" s="230"/>
    </row>
    <row r="1724">
      <c r="O1724" s="230"/>
      <c r="R1724" s="230"/>
      <c r="S1724" s="230"/>
      <c r="T1724" s="230"/>
      <c r="U1724" s="230"/>
      <c r="V1724" s="230"/>
      <c r="W1724" s="230"/>
      <c r="X1724" s="230"/>
      <c r="Y1724" s="230"/>
    </row>
    <row r="1725">
      <c r="O1725" s="230"/>
      <c r="R1725" s="230"/>
      <c r="S1725" s="230"/>
      <c r="T1725" s="230"/>
      <c r="U1725" s="230"/>
      <c r="V1725" s="230"/>
      <c r="W1725" s="230"/>
      <c r="X1725" s="230"/>
      <c r="Y1725" s="230"/>
    </row>
    <row r="1726">
      <c r="O1726" s="230"/>
      <c r="R1726" s="230"/>
      <c r="S1726" s="230"/>
      <c r="T1726" s="230"/>
      <c r="U1726" s="230"/>
      <c r="V1726" s="230"/>
      <c r="W1726" s="230"/>
      <c r="X1726" s="230"/>
      <c r="Y1726" s="230"/>
    </row>
    <row r="1727">
      <c r="O1727" s="230"/>
      <c r="R1727" s="230"/>
      <c r="S1727" s="230"/>
      <c r="T1727" s="230"/>
      <c r="U1727" s="230"/>
      <c r="V1727" s="230"/>
      <c r="W1727" s="230"/>
      <c r="X1727" s="230"/>
      <c r="Y1727" s="230"/>
    </row>
    <row r="1728">
      <c r="O1728" s="230"/>
      <c r="R1728" s="230"/>
      <c r="S1728" s="230"/>
      <c r="T1728" s="230"/>
      <c r="U1728" s="230"/>
      <c r="V1728" s="230"/>
      <c r="W1728" s="230"/>
      <c r="X1728" s="230"/>
      <c r="Y1728" s="230"/>
    </row>
    <row r="1729">
      <c r="O1729" s="230"/>
      <c r="R1729" s="230"/>
      <c r="S1729" s="230"/>
      <c r="T1729" s="230"/>
      <c r="U1729" s="230"/>
      <c r="V1729" s="230"/>
      <c r="W1729" s="230"/>
      <c r="X1729" s="230"/>
      <c r="Y1729" s="230"/>
    </row>
    <row r="1730">
      <c r="O1730" s="230"/>
      <c r="R1730" s="230"/>
      <c r="S1730" s="230"/>
      <c r="T1730" s="230"/>
      <c r="U1730" s="230"/>
      <c r="V1730" s="230"/>
      <c r="W1730" s="230"/>
      <c r="X1730" s="230"/>
      <c r="Y1730" s="230"/>
    </row>
    <row r="1731">
      <c r="O1731" s="230"/>
      <c r="R1731" s="230"/>
      <c r="S1731" s="230"/>
      <c r="T1731" s="230"/>
      <c r="U1731" s="230"/>
      <c r="V1731" s="230"/>
      <c r="W1731" s="230"/>
      <c r="X1731" s="230"/>
      <c r="Y1731" s="230"/>
    </row>
    <row r="1732">
      <c r="O1732" s="230"/>
      <c r="R1732" s="230"/>
      <c r="S1732" s="230"/>
      <c r="T1732" s="230"/>
      <c r="U1732" s="230"/>
      <c r="V1732" s="230"/>
      <c r="W1732" s="230"/>
      <c r="X1732" s="230"/>
      <c r="Y1732" s="230"/>
    </row>
    <row r="1733">
      <c r="O1733" s="230"/>
      <c r="R1733" s="230"/>
      <c r="S1733" s="230"/>
      <c r="T1733" s="230"/>
      <c r="U1733" s="230"/>
      <c r="V1733" s="230"/>
      <c r="W1733" s="230"/>
      <c r="X1733" s="230"/>
      <c r="Y1733" s="230"/>
    </row>
    <row r="1734">
      <c r="O1734" s="230"/>
      <c r="R1734" s="230"/>
      <c r="S1734" s="230"/>
      <c r="T1734" s="230"/>
      <c r="U1734" s="230"/>
      <c r="V1734" s="230"/>
      <c r="W1734" s="230"/>
      <c r="X1734" s="230"/>
      <c r="Y1734" s="230"/>
    </row>
    <row r="1735">
      <c r="O1735" s="230"/>
      <c r="R1735" s="230"/>
      <c r="S1735" s="230"/>
      <c r="T1735" s="230"/>
      <c r="U1735" s="230"/>
      <c r="V1735" s="230"/>
      <c r="W1735" s="230"/>
      <c r="X1735" s="230"/>
      <c r="Y1735" s="230"/>
    </row>
    <row r="1736">
      <c r="O1736" s="230"/>
      <c r="R1736" s="230"/>
      <c r="S1736" s="230"/>
      <c r="T1736" s="230"/>
      <c r="U1736" s="230"/>
      <c r="V1736" s="230"/>
      <c r="W1736" s="230"/>
      <c r="X1736" s="230"/>
      <c r="Y1736" s="230"/>
    </row>
    <row r="1737">
      <c r="O1737" s="230"/>
      <c r="R1737" s="230"/>
      <c r="S1737" s="230"/>
      <c r="T1737" s="230"/>
      <c r="U1737" s="230"/>
      <c r="V1737" s="230"/>
      <c r="W1737" s="230"/>
      <c r="X1737" s="230"/>
      <c r="Y1737" s="230"/>
    </row>
    <row r="1738">
      <c r="O1738" s="230"/>
      <c r="R1738" s="230"/>
      <c r="S1738" s="230"/>
      <c r="T1738" s="230"/>
      <c r="U1738" s="230"/>
      <c r="V1738" s="230"/>
      <c r="W1738" s="230"/>
      <c r="X1738" s="230"/>
      <c r="Y1738" s="230"/>
    </row>
    <row r="1739">
      <c r="O1739" s="230"/>
      <c r="R1739" s="230"/>
      <c r="S1739" s="230"/>
      <c r="T1739" s="230"/>
      <c r="U1739" s="230"/>
      <c r="V1739" s="230"/>
      <c r="W1739" s="230"/>
      <c r="X1739" s="230"/>
      <c r="Y1739" s="230"/>
    </row>
    <row r="1740">
      <c r="O1740" s="230"/>
      <c r="R1740" s="230"/>
      <c r="S1740" s="230"/>
      <c r="T1740" s="230"/>
      <c r="U1740" s="230"/>
      <c r="V1740" s="230"/>
      <c r="W1740" s="230"/>
      <c r="X1740" s="230"/>
      <c r="Y1740" s="230"/>
    </row>
    <row r="1741">
      <c r="O1741" s="230"/>
      <c r="R1741" s="230"/>
      <c r="S1741" s="230"/>
      <c r="T1741" s="230"/>
      <c r="U1741" s="230"/>
      <c r="V1741" s="230"/>
      <c r="W1741" s="230"/>
      <c r="X1741" s="230"/>
      <c r="Y1741" s="230"/>
    </row>
    <row r="1742">
      <c r="O1742" s="230"/>
      <c r="R1742" s="230"/>
      <c r="S1742" s="230"/>
      <c r="T1742" s="230"/>
      <c r="U1742" s="230"/>
      <c r="V1742" s="230"/>
      <c r="W1742" s="230"/>
      <c r="X1742" s="230"/>
      <c r="Y1742" s="230"/>
    </row>
    <row r="1743">
      <c r="O1743" s="230"/>
      <c r="R1743" s="230"/>
      <c r="S1743" s="230"/>
      <c r="T1743" s="230"/>
      <c r="U1743" s="230"/>
      <c r="V1743" s="230"/>
      <c r="W1743" s="230"/>
      <c r="X1743" s="230"/>
      <c r="Y1743" s="230"/>
    </row>
    <row r="1744">
      <c r="O1744" s="230"/>
      <c r="R1744" s="230"/>
      <c r="S1744" s="230"/>
      <c r="T1744" s="230"/>
      <c r="U1744" s="230"/>
      <c r="V1744" s="230"/>
      <c r="W1744" s="230"/>
      <c r="X1744" s="230"/>
      <c r="Y1744" s="230"/>
    </row>
    <row r="1745">
      <c r="O1745" s="230"/>
      <c r="R1745" s="230"/>
      <c r="S1745" s="230"/>
      <c r="T1745" s="230"/>
      <c r="U1745" s="230"/>
      <c r="V1745" s="230"/>
      <c r="W1745" s="230"/>
      <c r="X1745" s="230"/>
      <c r="Y1745" s="230"/>
    </row>
    <row r="1746">
      <c r="O1746" s="230"/>
      <c r="R1746" s="230"/>
      <c r="S1746" s="230"/>
      <c r="T1746" s="230"/>
      <c r="U1746" s="230"/>
      <c r="V1746" s="230"/>
      <c r="W1746" s="230"/>
      <c r="X1746" s="230"/>
      <c r="Y1746" s="230"/>
    </row>
    <row r="1747">
      <c r="O1747" s="230"/>
      <c r="R1747" s="230"/>
      <c r="S1747" s="230"/>
      <c r="T1747" s="230"/>
      <c r="U1747" s="230"/>
      <c r="V1747" s="230"/>
      <c r="W1747" s="230"/>
      <c r="X1747" s="230"/>
      <c r="Y1747" s="230"/>
    </row>
    <row r="1748">
      <c r="O1748" s="230"/>
      <c r="R1748" s="230"/>
      <c r="S1748" s="230"/>
      <c r="T1748" s="230"/>
      <c r="U1748" s="230"/>
      <c r="V1748" s="230"/>
      <c r="W1748" s="230"/>
      <c r="X1748" s="230"/>
      <c r="Y1748" s="230"/>
    </row>
    <row r="1749">
      <c r="O1749" s="230"/>
      <c r="R1749" s="230"/>
      <c r="S1749" s="230"/>
      <c r="T1749" s="230"/>
      <c r="U1749" s="230"/>
      <c r="V1749" s="230"/>
      <c r="W1749" s="230"/>
      <c r="X1749" s="230"/>
      <c r="Y1749" s="230"/>
    </row>
    <row r="1750">
      <c r="O1750" s="230"/>
      <c r="R1750" s="230"/>
      <c r="S1750" s="230"/>
      <c r="T1750" s="230"/>
      <c r="U1750" s="230"/>
      <c r="V1750" s="230"/>
      <c r="W1750" s="230"/>
      <c r="X1750" s="230"/>
      <c r="Y1750" s="230"/>
    </row>
    <row r="1751">
      <c r="O1751" s="230"/>
      <c r="R1751" s="230"/>
      <c r="S1751" s="230"/>
      <c r="T1751" s="230"/>
      <c r="U1751" s="230"/>
      <c r="V1751" s="230"/>
      <c r="W1751" s="230"/>
      <c r="X1751" s="230"/>
      <c r="Y1751" s="230"/>
    </row>
    <row r="1752">
      <c r="O1752" s="230"/>
      <c r="R1752" s="230"/>
      <c r="S1752" s="230"/>
      <c r="T1752" s="230"/>
      <c r="U1752" s="230"/>
      <c r="V1752" s="230"/>
      <c r="W1752" s="230"/>
      <c r="X1752" s="230"/>
      <c r="Y1752" s="230"/>
    </row>
    <row r="1753">
      <c r="O1753" s="230"/>
      <c r="R1753" s="230"/>
      <c r="S1753" s="230"/>
      <c r="T1753" s="230"/>
      <c r="U1753" s="230"/>
      <c r="V1753" s="230"/>
      <c r="W1753" s="230"/>
      <c r="X1753" s="230"/>
      <c r="Y1753" s="230"/>
    </row>
    <row r="1754">
      <c r="O1754" s="230"/>
      <c r="R1754" s="230"/>
      <c r="S1754" s="230"/>
      <c r="T1754" s="230"/>
      <c r="U1754" s="230"/>
      <c r="V1754" s="230"/>
      <c r="W1754" s="230"/>
      <c r="X1754" s="230"/>
      <c r="Y1754" s="230"/>
    </row>
    <row r="1755">
      <c r="O1755" s="230"/>
      <c r="R1755" s="230"/>
      <c r="S1755" s="230"/>
      <c r="T1755" s="230"/>
      <c r="U1755" s="230"/>
      <c r="V1755" s="230"/>
      <c r="W1755" s="230"/>
      <c r="X1755" s="230"/>
      <c r="Y1755" s="230"/>
    </row>
    <row r="1756">
      <c r="O1756" s="230"/>
      <c r="R1756" s="230"/>
      <c r="S1756" s="230"/>
      <c r="T1756" s="230"/>
      <c r="U1756" s="230"/>
      <c r="V1756" s="230"/>
      <c r="W1756" s="230"/>
      <c r="X1756" s="230"/>
      <c r="Y1756" s="230"/>
    </row>
    <row r="1757">
      <c r="O1757" s="230"/>
      <c r="R1757" s="230"/>
      <c r="S1757" s="230"/>
      <c r="T1757" s="230"/>
      <c r="U1757" s="230"/>
      <c r="V1757" s="230"/>
      <c r="W1757" s="230"/>
      <c r="X1757" s="230"/>
      <c r="Y1757" s="230"/>
    </row>
    <row r="1758">
      <c r="O1758" s="230"/>
      <c r="R1758" s="230"/>
      <c r="S1758" s="230"/>
      <c r="T1758" s="230"/>
      <c r="U1758" s="230"/>
      <c r="V1758" s="230"/>
      <c r="W1758" s="230"/>
      <c r="X1758" s="230"/>
      <c r="Y1758" s="230"/>
    </row>
    <row r="1759">
      <c r="O1759" s="230"/>
      <c r="R1759" s="230"/>
      <c r="S1759" s="230"/>
      <c r="T1759" s="230"/>
      <c r="U1759" s="230"/>
      <c r="V1759" s="230"/>
      <c r="W1759" s="230"/>
      <c r="X1759" s="230"/>
      <c r="Y1759" s="230"/>
    </row>
    <row r="1760">
      <c r="O1760" s="230"/>
      <c r="R1760" s="230"/>
      <c r="S1760" s="230"/>
      <c r="T1760" s="230"/>
      <c r="U1760" s="230"/>
      <c r="V1760" s="230"/>
      <c r="W1760" s="230"/>
      <c r="X1760" s="230"/>
      <c r="Y1760" s="230"/>
    </row>
    <row r="1761">
      <c r="O1761" s="230"/>
      <c r="R1761" s="230"/>
      <c r="S1761" s="230"/>
      <c r="T1761" s="230"/>
      <c r="U1761" s="230"/>
      <c r="V1761" s="230"/>
      <c r="W1761" s="230"/>
      <c r="X1761" s="230"/>
      <c r="Y1761" s="230"/>
    </row>
    <row r="1762">
      <c r="O1762" s="230"/>
      <c r="R1762" s="230"/>
      <c r="S1762" s="230"/>
      <c r="T1762" s="230"/>
      <c r="U1762" s="230"/>
      <c r="V1762" s="230"/>
      <c r="W1762" s="230"/>
      <c r="X1762" s="230"/>
      <c r="Y1762" s="230"/>
    </row>
    <row r="1763">
      <c r="O1763" s="230"/>
      <c r="R1763" s="230"/>
      <c r="S1763" s="230"/>
      <c r="T1763" s="230"/>
      <c r="U1763" s="230"/>
      <c r="V1763" s="230"/>
      <c r="W1763" s="230"/>
      <c r="X1763" s="230"/>
      <c r="Y1763" s="230"/>
    </row>
    <row r="1764">
      <c r="O1764" s="230"/>
      <c r="R1764" s="230"/>
      <c r="S1764" s="230"/>
      <c r="T1764" s="230"/>
      <c r="U1764" s="230"/>
      <c r="V1764" s="230"/>
      <c r="W1764" s="230"/>
      <c r="X1764" s="230"/>
      <c r="Y1764" s="230"/>
    </row>
    <row r="1765">
      <c r="O1765" s="230"/>
      <c r="R1765" s="230"/>
      <c r="S1765" s="230"/>
      <c r="T1765" s="230"/>
      <c r="U1765" s="230"/>
      <c r="V1765" s="230"/>
      <c r="W1765" s="230"/>
      <c r="X1765" s="230"/>
      <c r="Y1765" s="230"/>
    </row>
    <row r="1766">
      <c r="O1766" s="230"/>
      <c r="R1766" s="230"/>
      <c r="S1766" s="230"/>
      <c r="T1766" s="230"/>
      <c r="U1766" s="230"/>
      <c r="V1766" s="230"/>
      <c r="W1766" s="230"/>
      <c r="X1766" s="230"/>
      <c r="Y1766" s="230"/>
    </row>
    <row r="1767">
      <c r="O1767" s="230"/>
      <c r="R1767" s="230"/>
      <c r="S1767" s="230"/>
      <c r="T1767" s="230"/>
      <c r="U1767" s="230"/>
      <c r="V1767" s="230"/>
      <c r="W1767" s="230"/>
      <c r="X1767" s="230"/>
      <c r="Y1767" s="230"/>
    </row>
    <row r="1768">
      <c r="O1768" s="230"/>
      <c r="R1768" s="230"/>
      <c r="S1768" s="230"/>
      <c r="T1768" s="230"/>
      <c r="U1768" s="230"/>
      <c r="V1768" s="230"/>
      <c r="W1768" s="230"/>
      <c r="X1768" s="230"/>
      <c r="Y1768" s="230"/>
    </row>
    <row r="1769">
      <c r="O1769" s="230"/>
      <c r="R1769" s="230"/>
      <c r="S1769" s="230"/>
      <c r="T1769" s="230"/>
      <c r="U1769" s="230"/>
      <c r="V1769" s="230"/>
      <c r="W1769" s="230"/>
      <c r="X1769" s="230"/>
      <c r="Y1769" s="230"/>
    </row>
    <row r="1770">
      <c r="O1770" s="230"/>
      <c r="R1770" s="230"/>
      <c r="S1770" s="230"/>
      <c r="T1770" s="230"/>
      <c r="U1770" s="230"/>
      <c r="V1770" s="230"/>
      <c r="W1770" s="230"/>
      <c r="X1770" s="230"/>
      <c r="Y1770" s="230"/>
    </row>
    <row r="1771">
      <c r="O1771" s="230"/>
      <c r="R1771" s="230"/>
      <c r="S1771" s="230"/>
      <c r="T1771" s="230"/>
      <c r="U1771" s="230"/>
      <c r="V1771" s="230"/>
      <c r="W1771" s="230"/>
      <c r="X1771" s="230"/>
      <c r="Y1771" s="230"/>
    </row>
    <row r="1772">
      <c r="O1772" s="230"/>
      <c r="R1772" s="230"/>
      <c r="S1772" s="230"/>
      <c r="T1772" s="230"/>
      <c r="U1772" s="230"/>
      <c r="V1772" s="230"/>
      <c r="W1772" s="230"/>
      <c r="X1772" s="230"/>
      <c r="Y1772" s="230"/>
    </row>
    <row r="1773">
      <c r="O1773" s="230"/>
      <c r="R1773" s="230"/>
      <c r="S1773" s="230"/>
      <c r="T1773" s="230"/>
      <c r="U1773" s="230"/>
      <c r="V1773" s="230"/>
      <c r="W1773" s="230"/>
      <c r="X1773" s="230"/>
      <c r="Y1773" s="230"/>
    </row>
    <row r="1774">
      <c r="O1774" s="230"/>
      <c r="R1774" s="230"/>
      <c r="S1774" s="230"/>
      <c r="T1774" s="230"/>
      <c r="U1774" s="230"/>
      <c r="V1774" s="230"/>
      <c r="W1774" s="230"/>
      <c r="X1774" s="230"/>
      <c r="Y1774" s="230"/>
    </row>
    <row r="1775">
      <c r="O1775" s="230"/>
      <c r="R1775" s="230"/>
      <c r="S1775" s="230"/>
      <c r="T1775" s="230"/>
      <c r="U1775" s="230"/>
      <c r="V1775" s="230"/>
      <c r="W1775" s="230"/>
      <c r="X1775" s="230"/>
      <c r="Y1775" s="230"/>
    </row>
    <row r="1776">
      <c r="O1776" s="230"/>
      <c r="R1776" s="230"/>
      <c r="S1776" s="230"/>
      <c r="T1776" s="230"/>
      <c r="U1776" s="230"/>
      <c r="V1776" s="230"/>
      <c r="W1776" s="230"/>
      <c r="X1776" s="230"/>
      <c r="Y1776" s="230"/>
    </row>
    <row r="1777">
      <c r="O1777" s="230"/>
      <c r="R1777" s="230"/>
      <c r="S1777" s="230"/>
      <c r="T1777" s="230"/>
      <c r="U1777" s="230"/>
      <c r="V1777" s="230"/>
      <c r="W1777" s="230"/>
      <c r="X1777" s="230"/>
      <c r="Y1777" s="230"/>
    </row>
    <row r="1778">
      <c r="O1778" s="230"/>
      <c r="R1778" s="230"/>
      <c r="S1778" s="230"/>
      <c r="T1778" s="230"/>
      <c r="U1778" s="230"/>
      <c r="V1778" s="230"/>
      <c r="W1778" s="230"/>
      <c r="X1778" s="230"/>
      <c r="Y1778" s="230"/>
    </row>
    <row r="1779">
      <c r="O1779" s="230"/>
      <c r="R1779" s="230"/>
      <c r="S1779" s="230"/>
      <c r="T1779" s="230"/>
      <c r="U1779" s="230"/>
      <c r="V1779" s="230"/>
      <c r="W1779" s="230"/>
      <c r="X1779" s="230"/>
      <c r="Y1779" s="230"/>
    </row>
    <row r="1780">
      <c r="O1780" s="230"/>
      <c r="R1780" s="230"/>
      <c r="S1780" s="230"/>
      <c r="T1780" s="230"/>
      <c r="U1780" s="230"/>
      <c r="V1780" s="230"/>
      <c r="W1780" s="230"/>
      <c r="X1780" s="230"/>
      <c r="Y1780" s="230"/>
    </row>
    <row r="1781">
      <c r="O1781" s="230"/>
      <c r="R1781" s="230"/>
      <c r="S1781" s="230"/>
      <c r="T1781" s="230"/>
      <c r="U1781" s="230"/>
      <c r="V1781" s="230"/>
      <c r="W1781" s="230"/>
      <c r="X1781" s="230"/>
      <c r="Y1781" s="230"/>
    </row>
    <row r="1782">
      <c r="O1782" s="230"/>
      <c r="R1782" s="230"/>
      <c r="S1782" s="230"/>
      <c r="T1782" s="230"/>
      <c r="U1782" s="230"/>
      <c r="V1782" s="230"/>
      <c r="W1782" s="230"/>
      <c r="X1782" s="230"/>
      <c r="Y1782" s="230"/>
    </row>
    <row r="1783">
      <c r="O1783" s="230"/>
      <c r="R1783" s="230"/>
      <c r="S1783" s="230"/>
      <c r="T1783" s="230"/>
      <c r="U1783" s="230"/>
      <c r="V1783" s="230"/>
      <c r="W1783" s="230"/>
      <c r="X1783" s="230"/>
      <c r="Y1783" s="230"/>
    </row>
    <row r="1784">
      <c r="O1784" s="230"/>
      <c r="R1784" s="230"/>
      <c r="S1784" s="230"/>
      <c r="T1784" s="230"/>
      <c r="U1784" s="230"/>
      <c r="V1784" s="230"/>
      <c r="W1784" s="230"/>
      <c r="X1784" s="230"/>
      <c r="Y1784" s="230"/>
    </row>
    <row r="1785">
      <c r="O1785" s="230"/>
      <c r="R1785" s="230"/>
      <c r="S1785" s="230"/>
      <c r="T1785" s="230"/>
      <c r="U1785" s="230"/>
      <c r="V1785" s="230"/>
      <c r="W1785" s="230"/>
      <c r="X1785" s="230"/>
      <c r="Y1785" s="230"/>
    </row>
    <row r="1786">
      <c r="O1786" s="230"/>
      <c r="R1786" s="230"/>
      <c r="S1786" s="230"/>
      <c r="T1786" s="230"/>
      <c r="U1786" s="230"/>
      <c r="V1786" s="230"/>
      <c r="W1786" s="230"/>
      <c r="X1786" s="230"/>
      <c r="Y1786" s="230"/>
    </row>
    <row r="1787">
      <c r="O1787" s="230"/>
      <c r="R1787" s="230"/>
      <c r="S1787" s="230"/>
      <c r="T1787" s="230"/>
      <c r="U1787" s="230"/>
      <c r="V1787" s="230"/>
      <c r="W1787" s="230"/>
      <c r="X1787" s="230"/>
      <c r="Y1787" s="230"/>
    </row>
    <row r="1788">
      <c r="O1788" s="230"/>
      <c r="R1788" s="230"/>
      <c r="S1788" s="230"/>
      <c r="T1788" s="230"/>
      <c r="U1788" s="230"/>
      <c r="V1788" s="230"/>
      <c r="W1788" s="230"/>
      <c r="X1788" s="230"/>
      <c r="Y1788" s="230"/>
    </row>
    <row r="1789">
      <c r="O1789" s="230"/>
      <c r="R1789" s="230"/>
      <c r="S1789" s="230"/>
      <c r="T1789" s="230"/>
      <c r="U1789" s="230"/>
      <c r="V1789" s="230"/>
      <c r="W1789" s="230"/>
      <c r="X1789" s="230"/>
      <c r="Y1789" s="230"/>
    </row>
    <row r="1790">
      <c r="O1790" s="230"/>
      <c r="R1790" s="230"/>
      <c r="S1790" s="230"/>
      <c r="T1790" s="230"/>
      <c r="U1790" s="230"/>
      <c r="V1790" s="230"/>
      <c r="W1790" s="230"/>
      <c r="X1790" s="230"/>
      <c r="Y1790" s="230"/>
    </row>
    <row r="1791">
      <c r="O1791" s="230"/>
      <c r="R1791" s="230"/>
      <c r="S1791" s="230"/>
      <c r="T1791" s="230"/>
      <c r="U1791" s="230"/>
      <c r="V1791" s="230"/>
      <c r="W1791" s="230"/>
      <c r="X1791" s="230"/>
      <c r="Y1791" s="230"/>
    </row>
    <row r="1792">
      <c r="O1792" s="230"/>
      <c r="R1792" s="230"/>
      <c r="S1792" s="230"/>
      <c r="T1792" s="230"/>
      <c r="U1792" s="230"/>
      <c r="V1792" s="230"/>
      <c r="W1792" s="230"/>
      <c r="X1792" s="230"/>
      <c r="Y1792" s="230"/>
    </row>
    <row r="1793">
      <c r="O1793" s="230"/>
      <c r="R1793" s="230"/>
      <c r="S1793" s="230"/>
      <c r="T1793" s="230"/>
      <c r="U1793" s="230"/>
      <c r="V1793" s="230"/>
      <c r="W1793" s="230"/>
      <c r="X1793" s="230"/>
      <c r="Y1793" s="230"/>
    </row>
    <row r="1794">
      <c r="O1794" s="230"/>
      <c r="R1794" s="230"/>
      <c r="S1794" s="230"/>
      <c r="T1794" s="230"/>
      <c r="U1794" s="230"/>
      <c r="V1794" s="230"/>
      <c r="W1794" s="230"/>
      <c r="X1794" s="230"/>
      <c r="Y1794" s="230"/>
    </row>
    <row r="1795">
      <c r="O1795" s="230"/>
      <c r="R1795" s="230"/>
      <c r="S1795" s="230"/>
      <c r="T1795" s="230"/>
      <c r="U1795" s="230"/>
      <c r="V1795" s="230"/>
      <c r="W1795" s="230"/>
      <c r="X1795" s="230"/>
      <c r="Y1795" s="230"/>
    </row>
    <row r="1796">
      <c r="O1796" s="230"/>
      <c r="R1796" s="230"/>
      <c r="S1796" s="230"/>
      <c r="T1796" s="230"/>
      <c r="U1796" s="230"/>
      <c r="V1796" s="230"/>
      <c r="W1796" s="230"/>
      <c r="X1796" s="230"/>
      <c r="Y1796" s="230"/>
    </row>
    <row r="1797">
      <c r="O1797" s="230"/>
      <c r="R1797" s="230"/>
      <c r="S1797" s="230"/>
      <c r="T1797" s="230"/>
      <c r="U1797" s="230"/>
      <c r="V1797" s="230"/>
      <c r="W1797" s="230"/>
      <c r="X1797" s="230"/>
      <c r="Y1797" s="230"/>
    </row>
    <row r="1798">
      <c r="O1798" s="230"/>
      <c r="R1798" s="230"/>
      <c r="S1798" s="230"/>
      <c r="T1798" s="230"/>
      <c r="U1798" s="230"/>
      <c r="V1798" s="230"/>
      <c r="W1798" s="230"/>
      <c r="X1798" s="230"/>
      <c r="Y1798" s="230"/>
    </row>
    <row r="1799">
      <c r="O1799" s="230"/>
      <c r="R1799" s="230"/>
      <c r="S1799" s="230"/>
      <c r="T1799" s="230"/>
      <c r="U1799" s="230"/>
      <c r="V1799" s="230"/>
      <c r="W1799" s="230"/>
      <c r="X1799" s="230"/>
      <c r="Y1799" s="230"/>
    </row>
    <row r="1800">
      <c r="O1800" s="230"/>
      <c r="R1800" s="230"/>
      <c r="S1800" s="230"/>
      <c r="T1800" s="230"/>
      <c r="U1800" s="230"/>
      <c r="V1800" s="230"/>
      <c r="W1800" s="230"/>
      <c r="X1800" s="230"/>
      <c r="Y1800" s="230"/>
    </row>
    <row r="1801">
      <c r="O1801" s="230"/>
      <c r="R1801" s="230"/>
      <c r="S1801" s="230"/>
      <c r="T1801" s="230"/>
      <c r="U1801" s="230"/>
      <c r="V1801" s="230"/>
      <c r="W1801" s="230"/>
      <c r="X1801" s="230"/>
      <c r="Y1801" s="230"/>
    </row>
    <row r="1802">
      <c r="O1802" s="230"/>
      <c r="R1802" s="230"/>
      <c r="S1802" s="230"/>
      <c r="T1802" s="230"/>
      <c r="U1802" s="230"/>
      <c r="V1802" s="230"/>
      <c r="W1802" s="230"/>
      <c r="X1802" s="230"/>
      <c r="Y1802" s="230"/>
    </row>
    <row r="1803">
      <c r="O1803" s="230"/>
      <c r="R1803" s="230"/>
      <c r="S1803" s="230"/>
      <c r="T1803" s="230"/>
      <c r="U1803" s="230"/>
      <c r="V1803" s="230"/>
      <c r="W1803" s="230"/>
      <c r="X1803" s="230"/>
      <c r="Y1803" s="230"/>
    </row>
    <row r="1804">
      <c r="O1804" s="230"/>
      <c r="R1804" s="230"/>
      <c r="S1804" s="230"/>
      <c r="T1804" s="230"/>
      <c r="U1804" s="230"/>
      <c r="V1804" s="230"/>
      <c r="W1804" s="230"/>
      <c r="X1804" s="230"/>
      <c r="Y1804" s="230"/>
    </row>
    <row r="1805">
      <c r="O1805" s="230"/>
      <c r="R1805" s="230"/>
      <c r="S1805" s="230"/>
      <c r="T1805" s="230"/>
      <c r="U1805" s="230"/>
      <c r="V1805" s="230"/>
      <c r="W1805" s="230"/>
      <c r="X1805" s="230"/>
      <c r="Y1805" s="230"/>
    </row>
    <row r="1806">
      <c r="O1806" s="230"/>
      <c r="R1806" s="230"/>
      <c r="S1806" s="230"/>
      <c r="T1806" s="230"/>
      <c r="U1806" s="230"/>
      <c r="V1806" s="230"/>
      <c r="W1806" s="230"/>
      <c r="X1806" s="230"/>
      <c r="Y1806" s="230"/>
    </row>
    <row r="1807">
      <c r="O1807" s="230"/>
      <c r="R1807" s="230"/>
      <c r="S1807" s="230"/>
      <c r="T1807" s="230"/>
      <c r="U1807" s="230"/>
      <c r="V1807" s="230"/>
      <c r="W1807" s="230"/>
      <c r="X1807" s="230"/>
      <c r="Y1807" s="230"/>
    </row>
    <row r="1808">
      <c r="O1808" s="230"/>
      <c r="R1808" s="230"/>
      <c r="S1808" s="230"/>
      <c r="T1808" s="230"/>
      <c r="U1808" s="230"/>
      <c r="V1808" s="230"/>
      <c r="W1808" s="230"/>
      <c r="X1808" s="230"/>
      <c r="Y1808" s="230"/>
    </row>
    <row r="1809">
      <c r="O1809" s="230"/>
      <c r="R1809" s="230"/>
      <c r="S1809" s="230"/>
      <c r="T1809" s="230"/>
      <c r="U1809" s="230"/>
      <c r="V1809" s="230"/>
      <c r="W1809" s="230"/>
      <c r="X1809" s="230"/>
      <c r="Y1809" s="230"/>
    </row>
    <row r="1810">
      <c r="O1810" s="230"/>
      <c r="R1810" s="230"/>
      <c r="S1810" s="230"/>
      <c r="T1810" s="230"/>
      <c r="U1810" s="230"/>
      <c r="V1810" s="230"/>
      <c r="W1810" s="230"/>
      <c r="X1810" s="230"/>
      <c r="Y1810" s="230"/>
    </row>
    <row r="1811">
      <c r="O1811" s="230"/>
      <c r="R1811" s="230"/>
      <c r="S1811" s="230"/>
      <c r="T1811" s="230"/>
      <c r="U1811" s="230"/>
      <c r="V1811" s="230"/>
      <c r="W1811" s="230"/>
      <c r="X1811" s="230"/>
      <c r="Y1811" s="230"/>
    </row>
    <row r="1812">
      <c r="O1812" s="230"/>
      <c r="R1812" s="230"/>
      <c r="S1812" s="230"/>
      <c r="T1812" s="230"/>
      <c r="U1812" s="230"/>
      <c r="V1812" s="230"/>
      <c r="W1812" s="230"/>
      <c r="X1812" s="230"/>
      <c r="Y1812" s="230"/>
    </row>
    <row r="1813">
      <c r="O1813" s="230"/>
      <c r="R1813" s="230"/>
      <c r="S1813" s="230"/>
      <c r="T1813" s="230"/>
      <c r="U1813" s="230"/>
      <c r="V1813" s="230"/>
      <c r="W1813" s="230"/>
      <c r="X1813" s="230"/>
      <c r="Y1813" s="230"/>
    </row>
    <row r="1814">
      <c r="O1814" s="230"/>
      <c r="R1814" s="230"/>
      <c r="S1814" s="230"/>
      <c r="T1814" s="230"/>
      <c r="U1814" s="230"/>
      <c r="V1814" s="230"/>
      <c r="W1814" s="230"/>
      <c r="X1814" s="230"/>
      <c r="Y1814" s="230"/>
    </row>
    <row r="1815">
      <c r="O1815" s="230"/>
      <c r="R1815" s="230"/>
      <c r="S1815" s="230"/>
      <c r="T1815" s="230"/>
      <c r="U1815" s="230"/>
      <c r="V1815" s="230"/>
      <c r="W1815" s="230"/>
      <c r="X1815" s="230"/>
      <c r="Y1815" s="230"/>
    </row>
    <row r="1816">
      <c r="O1816" s="230"/>
      <c r="R1816" s="230"/>
      <c r="S1816" s="230"/>
      <c r="T1816" s="230"/>
      <c r="U1816" s="230"/>
      <c r="V1816" s="230"/>
      <c r="W1816" s="230"/>
      <c r="X1816" s="230"/>
      <c r="Y1816" s="230"/>
    </row>
    <row r="1817">
      <c r="O1817" s="230"/>
      <c r="R1817" s="230"/>
      <c r="S1817" s="230"/>
      <c r="T1817" s="230"/>
      <c r="U1817" s="230"/>
      <c r="V1817" s="230"/>
      <c r="W1817" s="230"/>
      <c r="X1817" s="230"/>
      <c r="Y1817" s="230"/>
    </row>
    <row r="1818">
      <c r="O1818" s="230"/>
      <c r="R1818" s="230"/>
      <c r="S1818" s="230"/>
      <c r="T1818" s="230"/>
      <c r="U1818" s="230"/>
      <c r="V1818" s="230"/>
      <c r="W1818" s="230"/>
      <c r="X1818" s="230"/>
      <c r="Y1818" s="230"/>
    </row>
    <row r="1819">
      <c r="O1819" s="230"/>
      <c r="R1819" s="230"/>
      <c r="S1819" s="230"/>
      <c r="T1819" s="230"/>
      <c r="U1819" s="230"/>
      <c r="V1819" s="230"/>
      <c r="W1819" s="230"/>
      <c r="X1819" s="230"/>
      <c r="Y1819" s="230"/>
    </row>
    <row r="1820">
      <c r="O1820" s="230"/>
      <c r="R1820" s="230"/>
      <c r="S1820" s="230"/>
      <c r="T1820" s="230"/>
      <c r="U1820" s="230"/>
      <c r="V1820" s="230"/>
      <c r="W1820" s="230"/>
      <c r="X1820" s="230"/>
      <c r="Y1820" s="230"/>
    </row>
    <row r="1821">
      <c r="O1821" s="230"/>
      <c r="R1821" s="230"/>
      <c r="S1821" s="230"/>
      <c r="T1821" s="230"/>
      <c r="U1821" s="230"/>
      <c r="V1821" s="230"/>
      <c r="W1821" s="230"/>
      <c r="X1821" s="230"/>
      <c r="Y1821" s="230"/>
    </row>
    <row r="1822">
      <c r="O1822" s="230"/>
      <c r="R1822" s="230"/>
      <c r="S1822" s="230"/>
      <c r="T1822" s="230"/>
      <c r="U1822" s="230"/>
      <c r="V1822" s="230"/>
      <c r="W1822" s="230"/>
      <c r="X1822" s="230"/>
      <c r="Y1822" s="230"/>
    </row>
    <row r="1823">
      <c r="O1823" s="230"/>
      <c r="R1823" s="230"/>
      <c r="S1823" s="230"/>
      <c r="T1823" s="230"/>
      <c r="U1823" s="230"/>
      <c r="V1823" s="230"/>
      <c r="W1823" s="230"/>
      <c r="X1823" s="230"/>
      <c r="Y1823" s="230"/>
    </row>
    <row r="1824">
      <c r="O1824" s="230"/>
      <c r="R1824" s="230"/>
      <c r="S1824" s="230"/>
      <c r="T1824" s="230"/>
      <c r="U1824" s="230"/>
      <c r="V1824" s="230"/>
      <c r="W1824" s="230"/>
      <c r="X1824" s="230"/>
      <c r="Y1824" s="230"/>
    </row>
    <row r="1825">
      <c r="O1825" s="230"/>
      <c r="R1825" s="230"/>
      <c r="S1825" s="230"/>
      <c r="T1825" s="230"/>
      <c r="U1825" s="230"/>
      <c r="V1825" s="230"/>
      <c r="W1825" s="230"/>
      <c r="X1825" s="230"/>
      <c r="Y1825" s="230"/>
    </row>
    <row r="1826">
      <c r="O1826" s="230"/>
      <c r="R1826" s="230"/>
      <c r="S1826" s="230"/>
      <c r="T1826" s="230"/>
      <c r="U1826" s="230"/>
      <c r="V1826" s="230"/>
      <c r="W1826" s="230"/>
      <c r="X1826" s="230"/>
      <c r="Y1826" s="230"/>
    </row>
    <row r="1827">
      <c r="O1827" s="230"/>
      <c r="R1827" s="230"/>
      <c r="S1827" s="230"/>
      <c r="T1827" s="230"/>
      <c r="U1827" s="230"/>
      <c r="V1827" s="230"/>
      <c r="W1827" s="230"/>
      <c r="X1827" s="230"/>
      <c r="Y1827" s="230"/>
    </row>
    <row r="1828">
      <c r="O1828" s="230"/>
      <c r="R1828" s="230"/>
      <c r="S1828" s="230"/>
      <c r="T1828" s="230"/>
      <c r="U1828" s="230"/>
      <c r="V1828" s="230"/>
      <c r="W1828" s="230"/>
      <c r="X1828" s="230"/>
      <c r="Y1828" s="230"/>
    </row>
    <row r="1829">
      <c r="O1829" s="230"/>
      <c r="R1829" s="230"/>
      <c r="S1829" s="230"/>
      <c r="T1829" s="230"/>
      <c r="U1829" s="230"/>
      <c r="V1829" s="230"/>
      <c r="W1829" s="230"/>
      <c r="X1829" s="230"/>
      <c r="Y1829" s="230"/>
    </row>
    <row r="1830">
      <c r="O1830" s="230"/>
      <c r="R1830" s="230"/>
      <c r="S1830" s="230"/>
      <c r="T1830" s="230"/>
      <c r="U1830" s="230"/>
      <c r="V1830" s="230"/>
      <c r="W1830" s="230"/>
      <c r="X1830" s="230"/>
      <c r="Y1830" s="230"/>
    </row>
    <row r="1831">
      <c r="O1831" s="230"/>
      <c r="R1831" s="230"/>
      <c r="S1831" s="230"/>
      <c r="T1831" s="230"/>
      <c r="U1831" s="230"/>
      <c r="V1831" s="230"/>
      <c r="W1831" s="230"/>
      <c r="X1831" s="230"/>
      <c r="Y1831" s="230"/>
    </row>
    <row r="1832">
      <c r="O1832" s="230"/>
      <c r="R1832" s="230"/>
      <c r="S1832" s="230"/>
      <c r="T1832" s="230"/>
      <c r="U1832" s="230"/>
      <c r="V1832" s="230"/>
      <c r="W1832" s="230"/>
      <c r="X1832" s="230"/>
      <c r="Y1832" s="230"/>
    </row>
    <row r="1833">
      <c r="O1833" s="230"/>
      <c r="R1833" s="230"/>
      <c r="S1833" s="230"/>
      <c r="T1833" s="230"/>
      <c r="U1833" s="230"/>
      <c r="V1833" s="230"/>
      <c r="W1833" s="230"/>
      <c r="X1833" s="230"/>
      <c r="Y1833" s="230"/>
    </row>
    <row r="1834">
      <c r="O1834" s="230"/>
      <c r="R1834" s="230"/>
      <c r="S1834" s="230"/>
      <c r="T1834" s="230"/>
      <c r="U1834" s="230"/>
      <c r="V1834" s="230"/>
      <c r="W1834" s="230"/>
      <c r="X1834" s="230"/>
      <c r="Y1834" s="230"/>
    </row>
    <row r="1835">
      <c r="O1835" s="230"/>
      <c r="R1835" s="230"/>
      <c r="S1835" s="230"/>
      <c r="T1835" s="230"/>
      <c r="U1835" s="230"/>
      <c r="V1835" s="230"/>
      <c r="W1835" s="230"/>
      <c r="X1835" s="230"/>
      <c r="Y1835" s="230"/>
    </row>
    <row r="1836">
      <c r="O1836" s="230"/>
      <c r="R1836" s="230"/>
      <c r="S1836" s="230"/>
      <c r="T1836" s="230"/>
      <c r="U1836" s="230"/>
      <c r="V1836" s="230"/>
      <c r="W1836" s="230"/>
      <c r="X1836" s="230"/>
      <c r="Y1836" s="230"/>
    </row>
    <row r="1837">
      <c r="O1837" s="230"/>
      <c r="R1837" s="230"/>
      <c r="S1837" s="230"/>
      <c r="T1837" s="230"/>
      <c r="U1837" s="230"/>
      <c r="V1837" s="230"/>
      <c r="W1837" s="230"/>
      <c r="X1837" s="230"/>
      <c r="Y1837" s="230"/>
    </row>
    <row r="1838">
      <c r="O1838" s="230"/>
      <c r="R1838" s="230"/>
      <c r="S1838" s="230"/>
      <c r="T1838" s="230"/>
      <c r="U1838" s="230"/>
      <c r="V1838" s="230"/>
      <c r="W1838" s="230"/>
      <c r="X1838" s="230"/>
      <c r="Y1838" s="230"/>
    </row>
    <row r="1839">
      <c r="O1839" s="230"/>
      <c r="R1839" s="230"/>
      <c r="S1839" s="230"/>
      <c r="T1839" s="230"/>
      <c r="U1839" s="230"/>
      <c r="V1839" s="230"/>
      <c r="W1839" s="230"/>
      <c r="X1839" s="230"/>
      <c r="Y1839" s="230"/>
    </row>
    <row r="1840">
      <c r="O1840" s="230"/>
      <c r="R1840" s="230"/>
      <c r="S1840" s="230"/>
      <c r="T1840" s="230"/>
      <c r="U1840" s="230"/>
      <c r="V1840" s="230"/>
      <c r="W1840" s="230"/>
      <c r="X1840" s="230"/>
      <c r="Y1840" s="230"/>
    </row>
    <row r="1841">
      <c r="O1841" s="230"/>
      <c r="R1841" s="230"/>
      <c r="S1841" s="230"/>
      <c r="T1841" s="230"/>
      <c r="U1841" s="230"/>
      <c r="V1841" s="230"/>
      <c r="W1841" s="230"/>
      <c r="X1841" s="230"/>
      <c r="Y1841" s="230"/>
    </row>
    <row r="1842">
      <c r="O1842" s="230"/>
      <c r="R1842" s="230"/>
      <c r="S1842" s="230"/>
      <c r="T1842" s="230"/>
      <c r="U1842" s="230"/>
      <c r="V1842" s="230"/>
      <c r="W1842" s="230"/>
      <c r="X1842" s="230"/>
      <c r="Y1842" s="230"/>
    </row>
    <row r="1843">
      <c r="O1843" s="230"/>
      <c r="R1843" s="230"/>
      <c r="S1843" s="230"/>
      <c r="T1843" s="230"/>
      <c r="U1843" s="230"/>
      <c r="V1843" s="230"/>
      <c r="W1843" s="230"/>
      <c r="X1843" s="230"/>
      <c r="Y1843" s="230"/>
    </row>
    <row r="1844">
      <c r="O1844" s="230"/>
      <c r="R1844" s="230"/>
      <c r="S1844" s="230"/>
      <c r="T1844" s="230"/>
      <c r="U1844" s="230"/>
      <c r="V1844" s="230"/>
      <c r="W1844" s="230"/>
      <c r="X1844" s="230"/>
      <c r="Y1844" s="230"/>
    </row>
    <row r="1845">
      <c r="O1845" s="230"/>
      <c r="R1845" s="230"/>
      <c r="S1845" s="230"/>
      <c r="T1845" s="230"/>
      <c r="U1845" s="230"/>
      <c r="V1845" s="230"/>
      <c r="W1845" s="230"/>
      <c r="X1845" s="230"/>
      <c r="Y1845" s="230"/>
    </row>
    <row r="1846">
      <c r="O1846" s="230"/>
      <c r="R1846" s="230"/>
      <c r="S1846" s="230"/>
      <c r="T1846" s="230"/>
      <c r="U1846" s="230"/>
      <c r="V1846" s="230"/>
      <c r="W1846" s="230"/>
      <c r="X1846" s="230"/>
      <c r="Y1846" s="230"/>
    </row>
    <row r="1847">
      <c r="O1847" s="230"/>
      <c r="R1847" s="230"/>
      <c r="S1847" s="230"/>
      <c r="T1847" s="230"/>
      <c r="U1847" s="230"/>
      <c r="V1847" s="230"/>
      <c r="W1847" s="230"/>
      <c r="X1847" s="230"/>
      <c r="Y1847" s="230"/>
    </row>
    <row r="1848">
      <c r="O1848" s="230"/>
      <c r="R1848" s="230"/>
      <c r="S1848" s="230"/>
      <c r="T1848" s="230"/>
      <c r="U1848" s="230"/>
      <c r="V1848" s="230"/>
      <c r="W1848" s="230"/>
      <c r="X1848" s="230"/>
      <c r="Y1848" s="230"/>
    </row>
    <row r="1849">
      <c r="O1849" s="230"/>
      <c r="R1849" s="230"/>
      <c r="S1849" s="230"/>
      <c r="T1849" s="230"/>
      <c r="U1849" s="230"/>
      <c r="V1849" s="230"/>
      <c r="W1849" s="230"/>
      <c r="X1849" s="230"/>
      <c r="Y1849" s="230"/>
    </row>
    <row r="1850">
      <c r="O1850" s="230"/>
      <c r="R1850" s="230"/>
      <c r="S1850" s="230"/>
      <c r="T1850" s="230"/>
      <c r="U1850" s="230"/>
      <c r="V1850" s="230"/>
      <c r="W1850" s="230"/>
      <c r="X1850" s="230"/>
      <c r="Y1850" s="230"/>
    </row>
    <row r="1851">
      <c r="O1851" s="230"/>
      <c r="R1851" s="230"/>
      <c r="S1851" s="230"/>
      <c r="T1851" s="230"/>
      <c r="U1851" s="230"/>
      <c r="V1851" s="230"/>
      <c r="W1851" s="230"/>
      <c r="X1851" s="230"/>
      <c r="Y1851" s="230"/>
    </row>
    <row r="1852">
      <c r="O1852" s="230"/>
      <c r="R1852" s="230"/>
      <c r="S1852" s="230"/>
      <c r="T1852" s="230"/>
      <c r="U1852" s="230"/>
      <c r="V1852" s="230"/>
      <c r="W1852" s="230"/>
      <c r="X1852" s="230"/>
      <c r="Y1852" s="230"/>
    </row>
    <row r="1853">
      <c r="O1853" s="230"/>
      <c r="R1853" s="230"/>
      <c r="S1853" s="230"/>
      <c r="T1853" s="230"/>
      <c r="U1853" s="230"/>
      <c r="V1853" s="230"/>
      <c r="W1853" s="230"/>
      <c r="X1853" s="230"/>
      <c r="Y1853" s="230"/>
    </row>
    <row r="1854">
      <c r="O1854" s="230"/>
      <c r="R1854" s="230"/>
      <c r="S1854" s="230"/>
      <c r="T1854" s="230"/>
      <c r="U1854" s="230"/>
      <c r="V1854" s="230"/>
      <c r="W1854" s="230"/>
      <c r="X1854" s="230"/>
      <c r="Y1854" s="230"/>
    </row>
    <row r="1855">
      <c r="O1855" s="230"/>
      <c r="R1855" s="230"/>
      <c r="S1855" s="230"/>
      <c r="T1855" s="230"/>
      <c r="U1855" s="230"/>
      <c r="V1855" s="230"/>
      <c r="W1855" s="230"/>
      <c r="X1855" s="230"/>
      <c r="Y1855" s="230"/>
    </row>
    <row r="1856">
      <c r="O1856" s="230"/>
      <c r="R1856" s="230"/>
      <c r="S1856" s="230"/>
      <c r="T1856" s="230"/>
      <c r="U1856" s="230"/>
      <c r="V1856" s="230"/>
      <c r="W1856" s="230"/>
      <c r="X1856" s="230"/>
      <c r="Y1856" s="230"/>
    </row>
    <row r="1857">
      <c r="O1857" s="230"/>
      <c r="R1857" s="230"/>
      <c r="S1857" s="230"/>
      <c r="T1857" s="230"/>
      <c r="U1857" s="230"/>
      <c r="V1857" s="230"/>
      <c r="W1857" s="230"/>
      <c r="X1857" s="230"/>
      <c r="Y1857" s="230"/>
    </row>
    <row r="1858">
      <c r="O1858" s="230"/>
      <c r="R1858" s="230"/>
      <c r="S1858" s="230"/>
      <c r="T1858" s="230"/>
      <c r="U1858" s="230"/>
      <c r="V1858" s="230"/>
      <c r="W1858" s="230"/>
      <c r="X1858" s="230"/>
      <c r="Y1858" s="230"/>
    </row>
    <row r="1859">
      <c r="O1859" s="230"/>
      <c r="R1859" s="230"/>
      <c r="S1859" s="230"/>
      <c r="T1859" s="230"/>
      <c r="U1859" s="230"/>
      <c r="V1859" s="230"/>
      <c r="W1859" s="230"/>
      <c r="X1859" s="230"/>
      <c r="Y1859" s="230"/>
    </row>
    <row r="1860">
      <c r="O1860" s="230"/>
      <c r="R1860" s="230"/>
      <c r="S1860" s="230"/>
      <c r="T1860" s="230"/>
      <c r="U1860" s="230"/>
      <c r="V1860" s="230"/>
      <c r="W1860" s="230"/>
      <c r="X1860" s="230"/>
      <c r="Y1860" s="230"/>
    </row>
    <row r="1861">
      <c r="O1861" s="230"/>
      <c r="R1861" s="230"/>
      <c r="S1861" s="230"/>
      <c r="T1861" s="230"/>
      <c r="U1861" s="230"/>
      <c r="V1861" s="230"/>
      <c r="W1861" s="230"/>
      <c r="X1861" s="230"/>
      <c r="Y1861" s="230"/>
    </row>
    <row r="1862">
      <c r="O1862" s="230"/>
      <c r="R1862" s="230"/>
      <c r="S1862" s="230"/>
      <c r="T1862" s="230"/>
      <c r="U1862" s="230"/>
      <c r="V1862" s="230"/>
      <c r="W1862" s="230"/>
      <c r="X1862" s="230"/>
      <c r="Y1862" s="230"/>
    </row>
    <row r="1863">
      <c r="O1863" s="230"/>
      <c r="R1863" s="230"/>
      <c r="S1863" s="230"/>
      <c r="T1863" s="230"/>
      <c r="U1863" s="230"/>
      <c r="V1863" s="230"/>
      <c r="W1863" s="230"/>
      <c r="X1863" s="230"/>
      <c r="Y1863" s="230"/>
    </row>
    <row r="1864">
      <c r="O1864" s="230"/>
      <c r="R1864" s="230"/>
      <c r="S1864" s="230"/>
      <c r="T1864" s="230"/>
      <c r="U1864" s="230"/>
      <c r="V1864" s="230"/>
      <c r="W1864" s="230"/>
      <c r="X1864" s="230"/>
      <c r="Y1864" s="230"/>
    </row>
    <row r="1865">
      <c r="O1865" s="230"/>
      <c r="R1865" s="230"/>
      <c r="S1865" s="230"/>
      <c r="T1865" s="230"/>
      <c r="U1865" s="230"/>
      <c r="V1865" s="230"/>
      <c r="W1865" s="230"/>
      <c r="X1865" s="230"/>
      <c r="Y1865" s="230"/>
    </row>
    <row r="1866">
      <c r="O1866" s="230"/>
      <c r="R1866" s="230"/>
      <c r="S1866" s="230"/>
      <c r="T1866" s="230"/>
      <c r="U1866" s="230"/>
      <c r="V1866" s="230"/>
      <c r="W1866" s="230"/>
      <c r="X1866" s="230"/>
      <c r="Y1866" s="230"/>
    </row>
    <row r="1867">
      <c r="O1867" s="230"/>
      <c r="R1867" s="230"/>
      <c r="S1867" s="230"/>
      <c r="T1867" s="230"/>
      <c r="U1867" s="230"/>
      <c r="V1867" s="230"/>
      <c r="W1867" s="230"/>
      <c r="X1867" s="230"/>
      <c r="Y1867" s="230"/>
    </row>
    <row r="1868">
      <c r="O1868" s="230"/>
      <c r="R1868" s="230"/>
      <c r="S1868" s="230"/>
      <c r="T1868" s="230"/>
      <c r="U1868" s="230"/>
      <c r="V1868" s="230"/>
      <c r="W1868" s="230"/>
      <c r="X1868" s="230"/>
      <c r="Y1868" s="230"/>
    </row>
    <row r="1869">
      <c r="O1869" s="230"/>
      <c r="R1869" s="230"/>
      <c r="S1869" s="230"/>
      <c r="T1869" s="230"/>
      <c r="U1869" s="230"/>
      <c r="V1869" s="230"/>
      <c r="W1869" s="230"/>
      <c r="X1869" s="230"/>
      <c r="Y1869" s="230"/>
    </row>
    <row r="1870">
      <c r="O1870" s="230"/>
      <c r="R1870" s="230"/>
      <c r="S1870" s="230"/>
      <c r="T1870" s="230"/>
      <c r="U1870" s="230"/>
      <c r="V1870" s="230"/>
      <c r="W1870" s="230"/>
      <c r="X1870" s="230"/>
      <c r="Y1870" s="230"/>
    </row>
    <row r="1871">
      <c r="O1871" s="230"/>
      <c r="R1871" s="230"/>
      <c r="S1871" s="230"/>
      <c r="T1871" s="230"/>
      <c r="U1871" s="230"/>
      <c r="V1871" s="230"/>
      <c r="W1871" s="230"/>
      <c r="X1871" s="230"/>
      <c r="Y1871" s="230"/>
    </row>
    <row r="1872">
      <c r="O1872" s="230"/>
      <c r="R1872" s="230"/>
      <c r="S1872" s="230"/>
      <c r="T1872" s="230"/>
      <c r="U1872" s="230"/>
      <c r="V1872" s="230"/>
      <c r="W1872" s="230"/>
      <c r="X1872" s="230"/>
      <c r="Y1872" s="230"/>
    </row>
    <row r="1873">
      <c r="O1873" s="230"/>
      <c r="R1873" s="230"/>
      <c r="S1873" s="230"/>
      <c r="T1873" s="230"/>
      <c r="U1873" s="230"/>
      <c r="V1873" s="230"/>
      <c r="W1873" s="230"/>
      <c r="X1873" s="230"/>
      <c r="Y1873" s="230"/>
    </row>
    <row r="1874">
      <c r="O1874" s="230"/>
      <c r="R1874" s="230"/>
      <c r="S1874" s="230"/>
      <c r="T1874" s="230"/>
      <c r="U1874" s="230"/>
      <c r="V1874" s="230"/>
      <c r="W1874" s="230"/>
      <c r="X1874" s="230"/>
      <c r="Y1874" s="230"/>
    </row>
    <row r="1875">
      <c r="O1875" s="230"/>
      <c r="R1875" s="230"/>
      <c r="S1875" s="230"/>
      <c r="T1875" s="230"/>
      <c r="U1875" s="230"/>
      <c r="V1875" s="230"/>
      <c r="W1875" s="230"/>
      <c r="X1875" s="230"/>
      <c r="Y1875" s="230"/>
    </row>
    <row r="1876">
      <c r="O1876" s="230"/>
      <c r="R1876" s="230"/>
      <c r="S1876" s="230"/>
      <c r="T1876" s="230"/>
      <c r="U1876" s="230"/>
      <c r="V1876" s="230"/>
      <c r="W1876" s="230"/>
      <c r="X1876" s="230"/>
      <c r="Y1876" s="230"/>
    </row>
    <row r="1877">
      <c r="O1877" s="230"/>
      <c r="R1877" s="230"/>
      <c r="S1877" s="230"/>
      <c r="T1877" s="230"/>
      <c r="U1877" s="230"/>
      <c r="V1877" s="230"/>
      <c r="W1877" s="230"/>
      <c r="X1877" s="230"/>
      <c r="Y1877" s="230"/>
    </row>
    <row r="1878">
      <c r="O1878" s="230"/>
      <c r="R1878" s="230"/>
      <c r="S1878" s="230"/>
      <c r="T1878" s="230"/>
      <c r="U1878" s="230"/>
      <c r="V1878" s="230"/>
      <c r="W1878" s="230"/>
      <c r="X1878" s="230"/>
      <c r="Y1878" s="230"/>
    </row>
    <row r="1879">
      <c r="O1879" s="230"/>
      <c r="R1879" s="230"/>
      <c r="S1879" s="230"/>
      <c r="T1879" s="230"/>
      <c r="U1879" s="230"/>
      <c r="V1879" s="230"/>
      <c r="W1879" s="230"/>
      <c r="X1879" s="230"/>
      <c r="Y1879" s="230"/>
    </row>
    <row r="1880">
      <c r="O1880" s="230"/>
      <c r="R1880" s="230"/>
      <c r="S1880" s="230"/>
      <c r="T1880" s="230"/>
      <c r="U1880" s="230"/>
      <c r="V1880" s="230"/>
      <c r="W1880" s="230"/>
      <c r="X1880" s="230"/>
      <c r="Y1880" s="230"/>
    </row>
    <row r="1881">
      <c r="O1881" s="230"/>
      <c r="R1881" s="230"/>
      <c r="S1881" s="230"/>
      <c r="T1881" s="230"/>
      <c r="U1881" s="230"/>
      <c r="V1881" s="230"/>
      <c r="W1881" s="230"/>
      <c r="X1881" s="230"/>
      <c r="Y1881" s="230"/>
    </row>
    <row r="1882">
      <c r="O1882" s="230"/>
      <c r="R1882" s="230"/>
      <c r="S1882" s="230"/>
      <c r="T1882" s="230"/>
      <c r="U1882" s="230"/>
      <c r="V1882" s="230"/>
      <c r="W1882" s="230"/>
      <c r="X1882" s="230"/>
      <c r="Y1882" s="230"/>
    </row>
    <row r="1883">
      <c r="O1883" s="230"/>
      <c r="R1883" s="230"/>
      <c r="S1883" s="230"/>
      <c r="T1883" s="230"/>
      <c r="U1883" s="230"/>
      <c r="V1883" s="230"/>
      <c r="W1883" s="230"/>
      <c r="X1883" s="230"/>
      <c r="Y1883" s="230"/>
    </row>
    <row r="1884">
      <c r="O1884" s="230"/>
      <c r="R1884" s="230"/>
      <c r="S1884" s="230"/>
      <c r="T1884" s="230"/>
      <c r="U1884" s="230"/>
      <c r="V1884" s="230"/>
      <c r="W1884" s="230"/>
      <c r="X1884" s="230"/>
      <c r="Y1884" s="230"/>
    </row>
    <row r="1885">
      <c r="O1885" s="230"/>
      <c r="R1885" s="230"/>
      <c r="S1885" s="230"/>
      <c r="T1885" s="230"/>
      <c r="U1885" s="230"/>
      <c r="V1885" s="230"/>
      <c r="W1885" s="230"/>
      <c r="X1885" s="230"/>
      <c r="Y1885" s="230"/>
    </row>
    <row r="1886">
      <c r="O1886" s="230"/>
      <c r="R1886" s="230"/>
      <c r="S1886" s="230"/>
      <c r="T1886" s="230"/>
      <c r="U1886" s="230"/>
      <c r="V1886" s="230"/>
      <c r="W1886" s="230"/>
      <c r="X1886" s="230"/>
      <c r="Y1886" s="230"/>
    </row>
    <row r="1887">
      <c r="O1887" s="230"/>
      <c r="R1887" s="230"/>
      <c r="S1887" s="230"/>
      <c r="T1887" s="230"/>
      <c r="U1887" s="230"/>
      <c r="V1887" s="230"/>
      <c r="W1887" s="230"/>
      <c r="X1887" s="230"/>
      <c r="Y1887" s="230"/>
    </row>
    <row r="1888">
      <c r="O1888" s="230"/>
      <c r="R1888" s="230"/>
      <c r="S1888" s="230"/>
      <c r="T1888" s="230"/>
      <c r="U1888" s="230"/>
      <c r="V1888" s="230"/>
      <c r="W1888" s="230"/>
      <c r="X1888" s="230"/>
      <c r="Y1888" s="230"/>
    </row>
    <row r="1889">
      <c r="O1889" s="230"/>
      <c r="R1889" s="230"/>
      <c r="S1889" s="230"/>
      <c r="T1889" s="230"/>
      <c r="U1889" s="230"/>
      <c r="V1889" s="230"/>
      <c r="W1889" s="230"/>
      <c r="X1889" s="230"/>
      <c r="Y1889" s="230"/>
    </row>
    <row r="1890">
      <c r="O1890" s="230"/>
      <c r="R1890" s="230"/>
      <c r="S1890" s="230"/>
      <c r="T1890" s="230"/>
      <c r="U1890" s="230"/>
      <c r="V1890" s="230"/>
      <c r="W1890" s="230"/>
      <c r="X1890" s="230"/>
      <c r="Y1890" s="230"/>
    </row>
    <row r="1891">
      <c r="O1891" s="230"/>
      <c r="R1891" s="230"/>
      <c r="S1891" s="230"/>
      <c r="T1891" s="230"/>
      <c r="U1891" s="230"/>
      <c r="V1891" s="230"/>
      <c r="W1891" s="230"/>
      <c r="X1891" s="230"/>
      <c r="Y1891" s="230"/>
    </row>
    <row r="1892">
      <c r="O1892" s="230"/>
      <c r="R1892" s="230"/>
      <c r="S1892" s="230"/>
      <c r="T1892" s="230"/>
      <c r="U1892" s="230"/>
      <c r="V1892" s="230"/>
      <c r="W1892" s="230"/>
      <c r="X1892" s="230"/>
      <c r="Y1892" s="230"/>
    </row>
    <row r="1893">
      <c r="O1893" s="230"/>
      <c r="R1893" s="230"/>
      <c r="S1893" s="230"/>
      <c r="T1893" s="230"/>
      <c r="U1893" s="230"/>
      <c r="V1893" s="230"/>
      <c r="W1893" s="230"/>
      <c r="X1893" s="230"/>
      <c r="Y1893" s="230"/>
    </row>
    <row r="1894">
      <c r="O1894" s="230"/>
      <c r="R1894" s="230"/>
      <c r="S1894" s="230"/>
      <c r="T1894" s="230"/>
      <c r="U1894" s="230"/>
      <c r="V1894" s="230"/>
      <c r="W1894" s="230"/>
      <c r="X1894" s="230"/>
      <c r="Y1894" s="230"/>
    </row>
    <row r="1895">
      <c r="O1895" s="230"/>
      <c r="R1895" s="230"/>
      <c r="S1895" s="230"/>
      <c r="T1895" s="230"/>
      <c r="U1895" s="230"/>
      <c r="V1895" s="230"/>
      <c r="W1895" s="230"/>
      <c r="X1895" s="230"/>
      <c r="Y1895" s="230"/>
    </row>
    <row r="1896">
      <c r="O1896" s="230"/>
      <c r="R1896" s="230"/>
      <c r="S1896" s="230"/>
      <c r="T1896" s="230"/>
      <c r="U1896" s="230"/>
      <c r="V1896" s="230"/>
      <c r="W1896" s="230"/>
      <c r="X1896" s="230"/>
      <c r="Y1896" s="230"/>
    </row>
    <row r="1897">
      <c r="O1897" s="230"/>
      <c r="R1897" s="230"/>
      <c r="S1897" s="230"/>
      <c r="T1897" s="230"/>
      <c r="U1897" s="230"/>
      <c r="V1897" s="230"/>
      <c r="W1897" s="230"/>
      <c r="X1897" s="230"/>
      <c r="Y1897" s="230"/>
    </row>
    <row r="1898">
      <c r="O1898" s="230"/>
      <c r="R1898" s="230"/>
      <c r="S1898" s="230"/>
      <c r="T1898" s="230"/>
      <c r="U1898" s="230"/>
      <c r="V1898" s="230"/>
      <c r="W1898" s="230"/>
      <c r="X1898" s="230"/>
      <c r="Y1898" s="230"/>
    </row>
    <row r="1899">
      <c r="O1899" s="230"/>
      <c r="R1899" s="230"/>
      <c r="S1899" s="230"/>
      <c r="T1899" s="230"/>
      <c r="U1899" s="230"/>
      <c r="V1899" s="230"/>
      <c r="W1899" s="230"/>
      <c r="X1899" s="230"/>
      <c r="Y1899" s="230"/>
    </row>
    <row r="1900">
      <c r="O1900" s="230"/>
      <c r="R1900" s="230"/>
      <c r="S1900" s="230"/>
      <c r="T1900" s="230"/>
      <c r="U1900" s="230"/>
      <c r="V1900" s="230"/>
      <c r="W1900" s="230"/>
      <c r="X1900" s="230"/>
      <c r="Y1900" s="230"/>
    </row>
    <row r="1901">
      <c r="O1901" s="230"/>
      <c r="R1901" s="230"/>
      <c r="S1901" s="230"/>
      <c r="T1901" s="230"/>
      <c r="U1901" s="230"/>
      <c r="V1901" s="230"/>
      <c r="W1901" s="230"/>
      <c r="X1901" s="230"/>
      <c r="Y1901" s="230"/>
    </row>
    <row r="1902">
      <c r="O1902" s="230"/>
      <c r="R1902" s="230"/>
      <c r="S1902" s="230"/>
      <c r="T1902" s="230"/>
      <c r="U1902" s="230"/>
      <c r="V1902" s="230"/>
      <c r="W1902" s="230"/>
      <c r="X1902" s="230"/>
      <c r="Y1902" s="230"/>
    </row>
    <row r="1903">
      <c r="O1903" s="230"/>
      <c r="R1903" s="230"/>
      <c r="S1903" s="230"/>
      <c r="T1903" s="230"/>
      <c r="U1903" s="230"/>
      <c r="V1903" s="230"/>
      <c r="W1903" s="230"/>
      <c r="X1903" s="230"/>
      <c r="Y1903" s="230"/>
    </row>
    <row r="1904">
      <c r="O1904" s="230"/>
      <c r="R1904" s="230"/>
      <c r="S1904" s="230"/>
      <c r="T1904" s="230"/>
      <c r="U1904" s="230"/>
      <c r="V1904" s="230"/>
      <c r="W1904" s="230"/>
      <c r="X1904" s="230"/>
      <c r="Y1904" s="230"/>
    </row>
    <row r="1905">
      <c r="O1905" s="230"/>
      <c r="R1905" s="230"/>
      <c r="S1905" s="230"/>
      <c r="T1905" s="230"/>
      <c r="U1905" s="230"/>
      <c r="V1905" s="230"/>
      <c r="W1905" s="230"/>
      <c r="X1905" s="230"/>
      <c r="Y1905" s="230"/>
    </row>
    <row r="1906">
      <c r="O1906" s="230"/>
      <c r="R1906" s="230"/>
      <c r="S1906" s="230"/>
      <c r="T1906" s="230"/>
      <c r="U1906" s="230"/>
      <c r="V1906" s="230"/>
      <c r="W1906" s="230"/>
      <c r="X1906" s="230"/>
      <c r="Y1906" s="230"/>
    </row>
    <row r="1907">
      <c r="O1907" s="230"/>
      <c r="R1907" s="230"/>
      <c r="S1907" s="230"/>
      <c r="T1907" s="230"/>
      <c r="U1907" s="230"/>
      <c r="V1907" s="230"/>
      <c r="W1907" s="230"/>
      <c r="X1907" s="230"/>
      <c r="Y1907" s="230"/>
    </row>
    <row r="1908">
      <c r="O1908" s="230"/>
      <c r="R1908" s="230"/>
      <c r="S1908" s="230"/>
      <c r="T1908" s="230"/>
      <c r="U1908" s="230"/>
      <c r="V1908" s="230"/>
      <c r="W1908" s="230"/>
      <c r="X1908" s="230"/>
      <c r="Y1908" s="230"/>
    </row>
    <row r="1909">
      <c r="O1909" s="230"/>
      <c r="R1909" s="230"/>
      <c r="S1909" s="230"/>
      <c r="T1909" s="230"/>
      <c r="U1909" s="230"/>
      <c r="V1909" s="230"/>
      <c r="W1909" s="230"/>
      <c r="X1909" s="230"/>
      <c r="Y1909" s="230"/>
    </row>
    <row r="1910">
      <c r="O1910" s="230"/>
      <c r="R1910" s="230"/>
      <c r="S1910" s="230"/>
      <c r="T1910" s="230"/>
      <c r="U1910" s="230"/>
      <c r="V1910" s="230"/>
      <c r="W1910" s="230"/>
      <c r="X1910" s="230"/>
      <c r="Y1910" s="230"/>
    </row>
    <row r="1911">
      <c r="O1911" s="230"/>
      <c r="R1911" s="230"/>
      <c r="S1911" s="230"/>
      <c r="T1911" s="230"/>
      <c r="U1911" s="230"/>
      <c r="V1911" s="230"/>
      <c r="W1911" s="230"/>
      <c r="X1911" s="230"/>
      <c r="Y1911" s="230"/>
    </row>
    <row r="1912">
      <c r="O1912" s="230"/>
      <c r="R1912" s="230"/>
      <c r="S1912" s="230"/>
      <c r="T1912" s="230"/>
      <c r="U1912" s="230"/>
      <c r="V1912" s="230"/>
      <c r="W1912" s="230"/>
      <c r="X1912" s="230"/>
      <c r="Y1912" s="230"/>
    </row>
    <row r="1913">
      <c r="O1913" s="230"/>
      <c r="R1913" s="230"/>
      <c r="S1913" s="230"/>
      <c r="T1913" s="230"/>
      <c r="U1913" s="230"/>
      <c r="V1913" s="230"/>
      <c r="W1913" s="230"/>
      <c r="X1913" s="230"/>
      <c r="Y1913" s="230"/>
    </row>
    <row r="1914">
      <c r="O1914" s="230"/>
      <c r="R1914" s="230"/>
      <c r="S1914" s="230"/>
      <c r="T1914" s="230"/>
      <c r="U1914" s="230"/>
      <c r="V1914" s="230"/>
      <c r="W1914" s="230"/>
      <c r="X1914" s="230"/>
      <c r="Y1914" s="230"/>
    </row>
    <row r="1915">
      <c r="O1915" s="230"/>
      <c r="R1915" s="230"/>
      <c r="S1915" s="230"/>
      <c r="T1915" s="230"/>
      <c r="U1915" s="230"/>
      <c r="V1915" s="230"/>
      <c r="W1915" s="230"/>
      <c r="X1915" s="230"/>
      <c r="Y1915" s="230"/>
    </row>
    <row r="1916">
      <c r="O1916" s="230"/>
      <c r="R1916" s="230"/>
      <c r="S1916" s="230"/>
      <c r="T1916" s="230"/>
      <c r="U1916" s="230"/>
      <c r="V1916" s="230"/>
      <c r="W1916" s="230"/>
      <c r="X1916" s="230"/>
      <c r="Y1916" s="230"/>
    </row>
    <row r="1917">
      <c r="O1917" s="230"/>
      <c r="R1917" s="230"/>
      <c r="S1917" s="230"/>
      <c r="T1917" s="230"/>
      <c r="U1917" s="230"/>
      <c r="V1917" s="230"/>
      <c r="W1917" s="230"/>
      <c r="X1917" s="230"/>
      <c r="Y1917" s="230"/>
    </row>
    <row r="1918">
      <c r="O1918" s="230"/>
      <c r="R1918" s="230"/>
      <c r="S1918" s="230"/>
      <c r="T1918" s="230"/>
      <c r="U1918" s="230"/>
      <c r="V1918" s="230"/>
      <c r="W1918" s="230"/>
      <c r="X1918" s="230"/>
      <c r="Y1918" s="230"/>
    </row>
    <row r="1919">
      <c r="O1919" s="230"/>
      <c r="R1919" s="230"/>
      <c r="S1919" s="230"/>
      <c r="T1919" s="230"/>
      <c r="U1919" s="230"/>
      <c r="V1919" s="230"/>
      <c r="W1919" s="230"/>
      <c r="X1919" s="230"/>
      <c r="Y1919" s="230"/>
    </row>
    <row r="1920">
      <c r="O1920" s="230"/>
      <c r="R1920" s="230"/>
      <c r="S1920" s="230"/>
      <c r="T1920" s="230"/>
      <c r="U1920" s="230"/>
      <c r="V1920" s="230"/>
      <c r="W1920" s="230"/>
      <c r="X1920" s="230"/>
      <c r="Y1920" s="230"/>
    </row>
    <row r="1921">
      <c r="O1921" s="230"/>
      <c r="R1921" s="230"/>
      <c r="S1921" s="230"/>
      <c r="T1921" s="230"/>
      <c r="U1921" s="230"/>
      <c r="V1921" s="230"/>
      <c r="W1921" s="230"/>
      <c r="X1921" s="230"/>
      <c r="Y1921" s="230"/>
    </row>
    <row r="1922">
      <c r="O1922" s="230"/>
      <c r="R1922" s="230"/>
      <c r="S1922" s="230"/>
      <c r="T1922" s="230"/>
      <c r="U1922" s="230"/>
      <c r="V1922" s="230"/>
      <c r="W1922" s="230"/>
      <c r="X1922" s="230"/>
      <c r="Y1922" s="230"/>
    </row>
    <row r="1923">
      <c r="O1923" s="230"/>
      <c r="R1923" s="230"/>
      <c r="S1923" s="230"/>
      <c r="T1923" s="230"/>
      <c r="U1923" s="230"/>
      <c r="V1923" s="230"/>
      <c r="W1923" s="230"/>
      <c r="X1923" s="230"/>
      <c r="Y1923" s="230"/>
    </row>
    <row r="1924">
      <c r="O1924" s="230"/>
      <c r="R1924" s="230"/>
      <c r="S1924" s="230"/>
      <c r="T1924" s="230"/>
      <c r="U1924" s="230"/>
      <c r="V1924" s="230"/>
      <c r="W1924" s="230"/>
      <c r="X1924" s="230"/>
      <c r="Y1924" s="230"/>
    </row>
    <row r="1925">
      <c r="O1925" s="230"/>
      <c r="R1925" s="230"/>
      <c r="S1925" s="230"/>
      <c r="T1925" s="230"/>
      <c r="U1925" s="230"/>
      <c r="V1925" s="230"/>
      <c r="W1925" s="230"/>
      <c r="X1925" s="230"/>
      <c r="Y1925" s="230"/>
    </row>
    <row r="1926">
      <c r="O1926" s="230"/>
      <c r="R1926" s="230"/>
      <c r="S1926" s="230"/>
      <c r="T1926" s="230"/>
      <c r="U1926" s="230"/>
      <c r="V1926" s="230"/>
      <c r="W1926" s="230"/>
      <c r="X1926" s="230"/>
      <c r="Y1926" s="230"/>
    </row>
    <row r="1927">
      <c r="O1927" s="230"/>
      <c r="R1927" s="230"/>
      <c r="S1927" s="230"/>
      <c r="T1927" s="230"/>
      <c r="U1927" s="230"/>
      <c r="V1927" s="230"/>
      <c r="W1927" s="230"/>
      <c r="X1927" s="230"/>
      <c r="Y1927" s="230"/>
    </row>
    <row r="1928">
      <c r="O1928" s="230"/>
      <c r="R1928" s="230"/>
      <c r="S1928" s="230"/>
      <c r="T1928" s="230"/>
      <c r="U1928" s="230"/>
      <c r="V1928" s="230"/>
      <c r="W1928" s="230"/>
      <c r="X1928" s="230"/>
      <c r="Y1928" s="230"/>
    </row>
    <row r="1929">
      <c r="O1929" s="230"/>
      <c r="R1929" s="230"/>
      <c r="S1929" s="230"/>
      <c r="T1929" s="230"/>
      <c r="U1929" s="230"/>
      <c r="V1929" s="230"/>
      <c r="W1929" s="230"/>
      <c r="X1929" s="230"/>
      <c r="Y1929" s="230"/>
    </row>
    <row r="1930">
      <c r="O1930" s="230"/>
      <c r="R1930" s="230"/>
      <c r="S1930" s="230"/>
      <c r="T1930" s="230"/>
      <c r="U1930" s="230"/>
      <c r="V1930" s="230"/>
      <c r="W1930" s="230"/>
      <c r="X1930" s="230"/>
      <c r="Y1930" s="230"/>
    </row>
    <row r="1931">
      <c r="O1931" s="230"/>
      <c r="R1931" s="230"/>
      <c r="S1931" s="230"/>
      <c r="T1931" s="230"/>
      <c r="U1931" s="230"/>
      <c r="V1931" s="230"/>
      <c r="W1931" s="230"/>
      <c r="X1931" s="230"/>
      <c r="Y1931" s="230"/>
    </row>
    <row r="1932">
      <c r="O1932" s="230"/>
      <c r="R1932" s="230"/>
      <c r="S1932" s="230"/>
      <c r="T1932" s="230"/>
      <c r="U1932" s="230"/>
      <c r="V1932" s="230"/>
      <c r="W1932" s="230"/>
      <c r="X1932" s="230"/>
      <c r="Y1932" s="230"/>
    </row>
    <row r="1933">
      <c r="O1933" s="230"/>
      <c r="R1933" s="230"/>
      <c r="S1933" s="230"/>
      <c r="T1933" s="230"/>
      <c r="U1933" s="230"/>
      <c r="V1933" s="230"/>
      <c r="W1933" s="230"/>
      <c r="X1933" s="230"/>
      <c r="Y1933" s="230"/>
    </row>
    <row r="1934">
      <c r="O1934" s="230"/>
      <c r="R1934" s="230"/>
      <c r="S1934" s="230"/>
      <c r="T1934" s="230"/>
      <c r="U1934" s="230"/>
      <c r="V1934" s="230"/>
      <c r="W1934" s="230"/>
      <c r="X1934" s="230"/>
      <c r="Y1934" s="230"/>
    </row>
    <row r="1935">
      <c r="O1935" s="230"/>
      <c r="R1935" s="230"/>
      <c r="S1935" s="230"/>
      <c r="T1935" s="230"/>
      <c r="U1935" s="230"/>
      <c r="V1935" s="230"/>
      <c r="W1935" s="230"/>
      <c r="X1935" s="230"/>
      <c r="Y1935" s="230"/>
    </row>
    <row r="1936">
      <c r="O1936" s="230"/>
      <c r="R1936" s="230"/>
      <c r="S1936" s="230"/>
      <c r="T1936" s="230"/>
      <c r="U1936" s="230"/>
      <c r="V1936" s="230"/>
      <c r="W1936" s="230"/>
      <c r="X1936" s="230"/>
      <c r="Y1936" s="230"/>
    </row>
    <row r="1937">
      <c r="O1937" s="230"/>
      <c r="R1937" s="230"/>
      <c r="S1937" s="230"/>
      <c r="T1937" s="230"/>
      <c r="U1937" s="230"/>
      <c r="V1937" s="230"/>
      <c r="W1937" s="230"/>
      <c r="X1937" s="230"/>
      <c r="Y1937" s="230"/>
    </row>
    <row r="1938">
      <c r="O1938" s="230"/>
      <c r="R1938" s="230"/>
      <c r="S1938" s="230"/>
      <c r="T1938" s="230"/>
      <c r="U1938" s="230"/>
      <c r="V1938" s="230"/>
      <c r="W1938" s="230"/>
      <c r="X1938" s="230"/>
      <c r="Y1938" s="230"/>
    </row>
    <row r="1939">
      <c r="O1939" s="230"/>
      <c r="R1939" s="230"/>
      <c r="S1939" s="230"/>
      <c r="T1939" s="230"/>
      <c r="U1939" s="230"/>
      <c r="V1939" s="230"/>
      <c r="W1939" s="230"/>
      <c r="X1939" s="230"/>
      <c r="Y1939" s="230"/>
    </row>
    <row r="1940">
      <c r="O1940" s="230"/>
      <c r="R1940" s="230"/>
      <c r="S1940" s="230"/>
      <c r="T1940" s="230"/>
      <c r="U1940" s="230"/>
      <c r="V1940" s="230"/>
      <c r="W1940" s="230"/>
      <c r="X1940" s="230"/>
      <c r="Y1940" s="230"/>
    </row>
    <row r="1941">
      <c r="O1941" s="230"/>
      <c r="R1941" s="230"/>
      <c r="S1941" s="230"/>
      <c r="T1941" s="230"/>
      <c r="U1941" s="230"/>
      <c r="V1941" s="230"/>
      <c r="W1941" s="230"/>
      <c r="X1941" s="230"/>
      <c r="Y1941" s="230"/>
    </row>
    <row r="1942">
      <c r="O1942" s="230"/>
      <c r="R1942" s="230"/>
      <c r="S1942" s="230"/>
      <c r="T1942" s="230"/>
      <c r="U1942" s="230"/>
      <c r="V1942" s="230"/>
      <c r="W1942" s="230"/>
      <c r="X1942" s="230"/>
      <c r="Y1942" s="230"/>
    </row>
    <row r="1943">
      <c r="O1943" s="230"/>
      <c r="R1943" s="230"/>
      <c r="S1943" s="230"/>
      <c r="T1943" s="230"/>
      <c r="U1943" s="230"/>
      <c r="V1943" s="230"/>
      <c r="W1943" s="230"/>
      <c r="X1943" s="230"/>
      <c r="Y1943" s="230"/>
    </row>
    <row r="1944">
      <c r="O1944" s="230"/>
      <c r="R1944" s="230"/>
      <c r="S1944" s="230"/>
      <c r="T1944" s="230"/>
      <c r="U1944" s="230"/>
      <c r="V1944" s="230"/>
      <c r="W1944" s="230"/>
      <c r="X1944" s="230"/>
      <c r="Y1944" s="230"/>
    </row>
    <row r="1945">
      <c r="O1945" s="230"/>
      <c r="R1945" s="230"/>
      <c r="S1945" s="230"/>
      <c r="T1945" s="230"/>
      <c r="U1945" s="230"/>
      <c r="V1945" s="230"/>
      <c r="W1945" s="230"/>
      <c r="X1945" s="230"/>
      <c r="Y1945" s="230"/>
    </row>
    <row r="1946">
      <c r="O1946" s="230"/>
      <c r="R1946" s="230"/>
      <c r="S1946" s="230"/>
      <c r="T1946" s="230"/>
      <c r="U1946" s="230"/>
      <c r="V1946" s="230"/>
      <c r="W1946" s="230"/>
      <c r="X1946" s="230"/>
      <c r="Y1946" s="230"/>
    </row>
    <row r="1947">
      <c r="O1947" s="230"/>
      <c r="R1947" s="230"/>
      <c r="S1947" s="230"/>
      <c r="T1947" s="230"/>
      <c r="U1947" s="230"/>
      <c r="V1947" s="230"/>
      <c r="W1947" s="230"/>
      <c r="X1947" s="230"/>
      <c r="Y1947" s="230"/>
    </row>
    <row r="1948">
      <c r="O1948" s="230"/>
      <c r="R1948" s="230"/>
      <c r="S1948" s="230"/>
      <c r="T1948" s="230"/>
      <c r="U1948" s="230"/>
      <c r="V1948" s="230"/>
      <c r="W1948" s="230"/>
      <c r="X1948" s="230"/>
      <c r="Y1948" s="230"/>
    </row>
    <row r="1949">
      <c r="O1949" s="230"/>
      <c r="R1949" s="230"/>
      <c r="S1949" s="230"/>
      <c r="T1949" s="230"/>
      <c r="U1949" s="230"/>
      <c r="V1949" s="230"/>
      <c r="W1949" s="230"/>
      <c r="X1949" s="230"/>
      <c r="Y1949" s="230"/>
    </row>
    <row r="1950">
      <c r="O1950" s="230"/>
      <c r="R1950" s="230"/>
      <c r="S1950" s="230"/>
      <c r="T1950" s="230"/>
      <c r="U1950" s="230"/>
      <c r="V1950" s="230"/>
      <c r="W1950" s="230"/>
      <c r="X1950" s="230"/>
      <c r="Y1950" s="230"/>
    </row>
    <row r="1951">
      <c r="O1951" s="230"/>
      <c r="R1951" s="230"/>
      <c r="S1951" s="230"/>
      <c r="T1951" s="230"/>
      <c r="U1951" s="230"/>
      <c r="V1951" s="230"/>
      <c r="W1951" s="230"/>
      <c r="X1951" s="230"/>
      <c r="Y1951" s="230"/>
    </row>
    <row r="1952">
      <c r="O1952" s="230"/>
      <c r="R1952" s="230"/>
      <c r="S1952" s="230"/>
      <c r="T1952" s="230"/>
      <c r="U1952" s="230"/>
      <c r="V1952" s="230"/>
      <c r="W1952" s="230"/>
      <c r="X1952" s="230"/>
      <c r="Y1952" s="230"/>
    </row>
    <row r="1953">
      <c r="O1953" s="230"/>
      <c r="R1953" s="230"/>
      <c r="S1953" s="230"/>
      <c r="T1953" s="230"/>
      <c r="U1953" s="230"/>
      <c r="V1953" s="230"/>
      <c r="W1953" s="230"/>
      <c r="X1953" s="230"/>
      <c r="Y1953" s="230"/>
    </row>
    <row r="1954">
      <c r="O1954" s="230"/>
      <c r="R1954" s="230"/>
      <c r="S1954" s="230"/>
      <c r="T1954" s="230"/>
      <c r="U1954" s="230"/>
      <c r="V1954" s="230"/>
      <c r="W1954" s="230"/>
      <c r="X1954" s="230"/>
      <c r="Y1954" s="230"/>
    </row>
    <row r="1955">
      <c r="O1955" s="230"/>
      <c r="R1955" s="230"/>
      <c r="S1955" s="230"/>
      <c r="T1955" s="230"/>
      <c r="U1955" s="230"/>
      <c r="V1955" s="230"/>
      <c r="W1955" s="230"/>
      <c r="X1955" s="230"/>
      <c r="Y1955" s="230"/>
    </row>
    <row r="1956">
      <c r="O1956" s="230"/>
      <c r="R1956" s="230"/>
      <c r="S1956" s="230"/>
      <c r="T1956" s="230"/>
      <c r="U1956" s="230"/>
      <c r="V1956" s="230"/>
      <c r="W1956" s="230"/>
      <c r="X1956" s="230"/>
      <c r="Y1956" s="230"/>
    </row>
    <row r="1957">
      <c r="O1957" s="230"/>
      <c r="R1957" s="230"/>
      <c r="S1957" s="230"/>
      <c r="T1957" s="230"/>
      <c r="U1957" s="230"/>
      <c r="V1957" s="230"/>
      <c r="W1957" s="230"/>
      <c r="X1957" s="230"/>
      <c r="Y1957" s="230"/>
    </row>
    <row r="1958">
      <c r="O1958" s="230"/>
      <c r="R1958" s="230"/>
      <c r="S1958" s="230"/>
      <c r="T1958" s="230"/>
      <c r="U1958" s="230"/>
      <c r="V1958" s="230"/>
      <c r="W1958" s="230"/>
      <c r="X1958" s="230"/>
      <c r="Y1958" s="230"/>
    </row>
    <row r="1959">
      <c r="O1959" s="230"/>
      <c r="R1959" s="230"/>
      <c r="S1959" s="230"/>
      <c r="T1959" s="230"/>
      <c r="U1959" s="230"/>
      <c r="V1959" s="230"/>
      <c r="W1959" s="230"/>
      <c r="X1959" s="230"/>
      <c r="Y1959" s="230"/>
    </row>
    <row r="1960">
      <c r="O1960" s="230"/>
      <c r="R1960" s="230"/>
      <c r="S1960" s="230"/>
      <c r="T1960" s="230"/>
      <c r="U1960" s="230"/>
      <c r="V1960" s="230"/>
      <c r="W1960" s="230"/>
      <c r="X1960" s="230"/>
      <c r="Y1960" s="230"/>
    </row>
    <row r="1961">
      <c r="O1961" s="230"/>
      <c r="R1961" s="230"/>
      <c r="S1961" s="230"/>
      <c r="T1961" s="230"/>
      <c r="U1961" s="230"/>
      <c r="V1961" s="230"/>
      <c r="W1961" s="230"/>
      <c r="X1961" s="230"/>
      <c r="Y1961" s="230"/>
    </row>
    <row r="1962">
      <c r="O1962" s="230"/>
      <c r="R1962" s="230"/>
      <c r="S1962" s="230"/>
      <c r="T1962" s="230"/>
      <c r="U1962" s="230"/>
      <c r="V1962" s="230"/>
      <c r="W1962" s="230"/>
      <c r="X1962" s="230"/>
      <c r="Y1962" s="230"/>
    </row>
    <row r="1963">
      <c r="O1963" s="230"/>
      <c r="R1963" s="230"/>
      <c r="S1963" s="230"/>
      <c r="T1963" s="230"/>
      <c r="U1963" s="230"/>
      <c r="V1963" s="230"/>
      <c r="W1963" s="230"/>
      <c r="X1963" s="230"/>
      <c r="Y1963" s="230"/>
    </row>
    <row r="1964">
      <c r="O1964" s="230"/>
      <c r="R1964" s="230"/>
      <c r="S1964" s="230"/>
      <c r="T1964" s="230"/>
      <c r="U1964" s="230"/>
      <c r="V1964" s="230"/>
      <c r="W1964" s="230"/>
      <c r="X1964" s="230"/>
      <c r="Y1964" s="230"/>
    </row>
    <row r="1965">
      <c r="O1965" s="230"/>
      <c r="R1965" s="230"/>
      <c r="S1965" s="230"/>
      <c r="T1965" s="230"/>
      <c r="U1965" s="230"/>
      <c r="V1965" s="230"/>
      <c r="W1965" s="230"/>
      <c r="X1965" s="230"/>
      <c r="Y1965" s="230"/>
    </row>
    <row r="1966">
      <c r="O1966" s="230"/>
      <c r="R1966" s="230"/>
      <c r="S1966" s="230"/>
      <c r="T1966" s="230"/>
      <c r="U1966" s="230"/>
      <c r="V1966" s="230"/>
      <c r="W1966" s="230"/>
      <c r="X1966" s="230"/>
      <c r="Y1966" s="230"/>
    </row>
    <row r="1967">
      <c r="O1967" s="230"/>
      <c r="R1967" s="230"/>
      <c r="S1967" s="230"/>
      <c r="T1967" s="230"/>
      <c r="U1967" s="230"/>
      <c r="V1967" s="230"/>
      <c r="W1967" s="230"/>
      <c r="X1967" s="230"/>
      <c r="Y1967" s="230"/>
    </row>
    <row r="1968">
      <c r="O1968" s="230"/>
      <c r="R1968" s="230"/>
      <c r="S1968" s="230"/>
      <c r="T1968" s="230"/>
      <c r="U1968" s="230"/>
      <c r="V1968" s="230"/>
      <c r="W1968" s="230"/>
      <c r="X1968" s="230"/>
      <c r="Y1968" s="230"/>
    </row>
    <row r="1969">
      <c r="O1969" s="230"/>
      <c r="R1969" s="230"/>
      <c r="S1969" s="230"/>
      <c r="T1969" s="230"/>
      <c r="U1969" s="230"/>
      <c r="V1969" s="230"/>
      <c r="W1969" s="230"/>
      <c r="X1969" s="230"/>
      <c r="Y1969" s="230"/>
    </row>
    <row r="1970">
      <c r="O1970" s="230"/>
      <c r="R1970" s="230"/>
      <c r="S1970" s="230"/>
      <c r="T1970" s="230"/>
      <c r="U1970" s="230"/>
      <c r="V1970" s="230"/>
      <c r="W1970" s="230"/>
      <c r="X1970" s="230"/>
      <c r="Y1970" s="230"/>
    </row>
    <row r="1971">
      <c r="O1971" s="230"/>
      <c r="R1971" s="230"/>
      <c r="S1971" s="230"/>
      <c r="T1971" s="230"/>
      <c r="U1971" s="230"/>
      <c r="V1971" s="230"/>
      <c r="W1971" s="230"/>
      <c r="X1971" s="230"/>
      <c r="Y1971" s="230"/>
    </row>
    <row r="1972">
      <c r="O1972" s="230"/>
      <c r="R1972" s="230"/>
      <c r="S1972" s="230"/>
      <c r="T1972" s="230"/>
      <c r="U1972" s="230"/>
      <c r="V1972" s="230"/>
      <c r="W1972" s="230"/>
      <c r="X1972" s="230"/>
      <c r="Y1972" s="230"/>
    </row>
    <row r="1973">
      <c r="O1973" s="230"/>
      <c r="R1973" s="230"/>
      <c r="S1973" s="230"/>
      <c r="T1973" s="230"/>
      <c r="U1973" s="230"/>
      <c r="V1973" s="230"/>
      <c r="W1973" s="230"/>
      <c r="X1973" s="230"/>
      <c r="Y1973" s="230"/>
    </row>
    <row r="1974">
      <c r="O1974" s="230"/>
      <c r="R1974" s="230"/>
      <c r="S1974" s="230"/>
      <c r="T1974" s="230"/>
      <c r="U1974" s="230"/>
      <c r="V1974" s="230"/>
      <c r="W1974" s="230"/>
      <c r="X1974" s="230"/>
      <c r="Y1974" s="230"/>
    </row>
    <row r="1975">
      <c r="O1975" s="230"/>
      <c r="R1975" s="230"/>
      <c r="S1975" s="230"/>
      <c r="T1975" s="230"/>
      <c r="U1975" s="230"/>
      <c r="V1975" s="230"/>
      <c r="W1975" s="230"/>
      <c r="X1975" s="230"/>
      <c r="Y1975" s="230"/>
    </row>
    <row r="1976">
      <c r="O1976" s="230"/>
      <c r="R1976" s="230"/>
      <c r="S1976" s="230"/>
      <c r="T1976" s="230"/>
      <c r="U1976" s="230"/>
      <c r="V1976" s="230"/>
      <c r="W1976" s="230"/>
      <c r="X1976" s="230"/>
      <c r="Y1976" s="230"/>
    </row>
    <row r="1977">
      <c r="O1977" s="230"/>
      <c r="R1977" s="230"/>
      <c r="S1977" s="230"/>
      <c r="T1977" s="230"/>
      <c r="U1977" s="230"/>
      <c r="V1977" s="230"/>
      <c r="W1977" s="230"/>
      <c r="X1977" s="230"/>
      <c r="Y1977" s="230"/>
    </row>
    <row r="1978">
      <c r="O1978" s="230"/>
      <c r="R1978" s="230"/>
      <c r="S1978" s="230"/>
      <c r="T1978" s="230"/>
      <c r="U1978" s="230"/>
      <c r="V1978" s="230"/>
      <c r="W1978" s="230"/>
      <c r="X1978" s="230"/>
      <c r="Y1978" s="230"/>
    </row>
    <row r="1979">
      <c r="O1979" s="230"/>
      <c r="R1979" s="230"/>
      <c r="S1979" s="230"/>
      <c r="T1979" s="230"/>
      <c r="U1979" s="230"/>
      <c r="V1979" s="230"/>
      <c r="W1979" s="230"/>
      <c r="X1979" s="230"/>
      <c r="Y1979" s="230"/>
    </row>
    <row r="1980">
      <c r="O1980" s="230"/>
      <c r="R1980" s="230"/>
      <c r="S1980" s="230"/>
      <c r="T1980" s="230"/>
      <c r="U1980" s="230"/>
      <c r="V1980" s="230"/>
      <c r="W1980" s="230"/>
      <c r="X1980" s="230"/>
      <c r="Y1980" s="230"/>
    </row>
    <row r="1981">
      <c r="O1981" s="230"/>
      <c r="R1981" s="230"/>
      <c r="S1981" s="230"/>
      <c r="T1981" s="230"/>
      <c r="U1981" s="230"/>
      <c r="V1981" s="230"/>
      <c r="W1981" s="230"/>
      <c r="X1981" s="230"/>
      <c r="Y1981" s="230"/>
    </row>
    <row r="1982">
      <c r="O1982" s="230"/>
      <c r="R1982" s="230"/>
      <c r="S1982" s="230"/>
      <c r="T1982" s="230"/>
      <c r="U1982" s="230"/>
      <c r="V1982" s="230"/>
      <c r="W1982" s="230"/>
      <c r="X1982" s="230"/>
      <c r="Y1982" s="230"/>
    </row>
    <row r="1983">
      <c r="O1983" s="230"/>
      <c r="R1983" s="230"/>
      <c r="S1983" s="230"/>
      <c r="T1983" s="230"/>
      <c r="U1983" s="230"/>
      <c r="V1983" s="230"/>
      <c r="W1983" s="230"/>
      <c r="X1983" s="230"/>
      <c r="Y1983" s="230"/>
    </row>
    <row r="1984">
      <c r="O1984" s="230"/>
      <c r="R1984" s="230"/>
      <c r="S1984" s="230"/>
      <c r="T1984" s="230"/>
      <c r="U1984" s="230"/>
      <c r="V1984" s="230"/>
      <c r="W1984" s="230"/>
      <c r="X1984" s="230"/>
      <c r="Y1984" s="230"/>
    </row>
    <row r="1985">
      <c r="O1985" s="230"/>
      <c r="R1985" s="230"/>
      <c r="S1985" s="230"/>
      <c r="T1985" s="230"/>
      <c r="U1985" s="230"/>
      <c r="V1985" s="230"/>
      <c r="W1985" s="230"/>
      <c r="X1985" s="230"/>
      <c r="Y1985" s="230"/>
    </row>
    <row r="1986">
      <c r="O1986" s="230"/>
      <c r="R1986" s="230"/>
      <c r="S1986" s="230"/>
      <c r="T1986" s="230"/>
      <c r="U1986" s="230"/>
      <c r="V1986" s="230"/>
      <c r="W1986" s="230"/>
      <c r="X1986" s="230"/>
      <c r="Y1986" s="230"/>
    </row>
    <row r="1987">
      <c r="O1987" s="230"/>
      <c r="R1987" s="230"/>
      <c r="S1987" s="230"/>
      <c r="T1987" s="230"/>
      <c r="U1987" s="230"/>
      <c r="V1987" s="230"/>
      <c r="W1987" s="230"/>
      <c r="X1987" s="230"/>
      <c r="Y1987" s="230"/>
    </row>
    <row r="1988">
      <c r="O1988" s="230"/>
      <c r="R1988" s="230"/>
      <c r="S1988" s="230"/>
      <c r="T1988" s="230"/>
      <c r="U1988" s="230"/>
      <c r="V1988" s="230"/>
      <c r="W1988" s="230"/>
      <c r="X1988" s="230"/>
      <c r="Y1988" s="230"/>
    </row>
    <row r="1989">
      <c r="O1989" s="230"/>
      <c r="R1989" s="230"/>
      <c r="S1989" s="230"/>
      <c r="T1989" s="230"/>
      <c r="U1989" s="230"/>
      <c r="V1989" s="230"/>
      <c r="W1989" s="230"/>
      <c r="X1989" s="230"/>
      <c r="Y1989" s="230"/>
    </row>
    <row r="1990">
      <c r="O1990" s="230"/>
      <c r="R1990" s="230"/>
      <c r="S1990" s="230"/>
      <c r="T1990" s="230"/>
      <c r="U1990" s="230"/>
      <c r="V1990" s="230"/>
      <c r="W1990" s="230"/>
      <c r="X1990" s="230"/>
      <c r="Y1990" s="230"/>
    </row>
    <row r="1991">
      <c r="O1991" s="230"/>
      <c r="R1991" s="230"/>
      <c r="S1991" s="230"/>
      <c r="T1991" s="230"/>
      <c r="U1991" s="230"/>
      <c r="V1991" s="230"/>
      <c r="W1991" s="230"/>
      <c r="X1991" s="230"/>
      <c r="Y1991" s="230"/>
    </row>
    <row r="1992">
      <c r="O1992" s="230"/>
      <c r="R1992" s="230"/>
      <c r="S1992" s="230"/>
      <c r="T1992" s="230"/>
      <c r="U1992" s="230"/>
      <c r="V1992" s="230"/>
      <c r="W1992" s="230"/>
      <c r="X1992" s="230"/>
      <c r="Y1992" s="230"/>
    </row>
    <row r="1993">
      <c r="O1993" s="230"/>
      <c r="R1993" s="230"/>
      <c r="S1993" s="230"/>
      <c r="T1993" s="230"/>
      <c r="U1993" s="230"/>
      <c r="V1993" s="230"/>
      <c r="W1993" s="230"/>
      <c r="X1993" s="230"/>
      <c r="Y1993" s="230"/>
    </row>
    <row r="1994">
      <c r="O1994" s="230"/>
      <c r="R1994" s="230"/>
      <c r="S1994" s="230"/>
      <c r="T1994" s="230"/>
      <c r="U1994" s="230"/>
      <c r="V1994" s="230"/>
      <c r="W1994" s="230"/>
      <c r="X1994" s="230"/>
      <c r="Y1994" s="230"/>
    </row>
    <row r="1995">
      <c r="O1995" s="230"/>
      <c r="R1995" s="230"/>
      <c r="S1995" s="230"/>
      <c r="T1995" s="230"/>
      <c r="U1995" s="230"/>
      <c r="V1995" s="230"/>
      <c r="W1995" s="230"/>
      <c r="X1995" s="230"/>
      <c r="Y1995" s="230"/>
    </row>
    <row r="1996">
      <c r="O1996" s="230"/>
      <c r="R1996" s="230"/>
      <c r="S1996" s="230"/>
      <c r="T1996" s="230"/>
      <c r="U1996" s="230"/>
      <c r="V1996" s="230"/>
      <c r="W1996" s="230"/>
      <c r="X1996" s="230"/>
      <c r="Y1996" s="230"/>
    </row>
    <row r="1997">
      <c r="O1997" s="230"/>
      <c r="R1997" s="230"/>
      <c r="S1997" s="230"/>
      <c r="T1997" s="230"/>
      <c r="U1997" s="230"/>
      <c r="V1997" s="230"/>
      <c r="W1997" s="230"/>
      <c r="X1997" s="230"/>
      <c r="Y1997" s="230"/>
    </row>
    <row r="1998">
      <c r="O1998" s="230"/>
      <c r="R1998" s="230"/>
      <c r="S1998" s="230"/>
      <c r="T1998" s="230"/>
      <c r="U1998" s="230"/>
      <c r="V1998" s="230"/>
      <c r="W1998" s="230"/>
      <c r="X1998" s="230"/>
      <c r="Y1998" s="230"/>
    </row>
    <row r="1999">
      <c r="O1999" s="230"/>
      <c r="R1999" s="230"/>
      <c r="S1999" s="230"/>
      <c r="T1999" s="230"/>
      <c r="U1999" s="230"/>
      <c r="V1999" s="230"/>
      <c r="W1999" s="230"/>
      <c r="X1999" s="230"/>
      <c r="Y1999" s="230"/>
    </row>
    <row r="2000">
      <c r="O2000" s="230"/>
      <c r="R2000" s="230"/>
      <c r="S2000" s="230"/>
      <c r="T2000" s="230"/>
      <c r="U2000" s="230"/>
      <c r="V2000" s="230"/>
      <c r="W2000" s="230"/>
      <c r="X2000" s="230"/>
      <c r="Y2000" s="230"/>
    </row>
    <row r="2001">
      <c r="O2001" s="230"/>
      <c r="R2001" s="230"/>
      <c r="S2001" s="230"/>
      <c r="T2001" s="230"/>
      <c r="U2001" s="230"/>
      <c r="V2001" s="230"/>
      <c r="W2001" s="230"/>
      <c r="X2001" s="230"/>
      <c r="Y2001" s="230"/>
    </row>
    <row r="2002">
      <c r="O2002" s="230"/>
      <c r="R2002" s="230"/>
      <c r="S2002" s="230"/>
      <c r="T2002" s="230"/>
      <c r="U2002" s="230"/>
      <c r="V2002" s="230"/>
      <c r="W2002" s="230"/>
      <c r="X2002" s="230"/>
      <c r="Y2002" s="230"/>
    </row>
    <row r="2003">
      <c r="O2003" s="230"/>
      <c r="R2003" s="230"/>
      <c r="S2003" s="230"/>
      <c r="T2003" s="230"/>
      <c r="U2003" s="230"/>
      <c r="V2003" s="230"/>
      <c r="W2003" s="230"/>
      <c r="X2003" s="230"/>
      <c r="Y2003" s="230"/>
    </row>
    <row r="2004">
      <c r="O2004" s="230"/>
      <c r="R2004" s="230"/>
      <c r="S2004" s="230"/>
      <c r="T2004" s="230"/>
      <c r="U2004" s="230"/>
      <c r="V2004" s="230"/>
      <c r="W2004" s="230"/>
      <c r="X2004" s="230"/>
      <c r="Y2004" s="230"/>
    </row>
  </sheetData>
  <autoFilter ref="$A$1:$AI$1004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90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>
        <v>19.0</v>
      </c>
      <c r="C3" s="219">
        <v>559.0</v>
      </c>
      <c r="D3" s="216"/>
      <c r="E3" s="212"/>
      <c r="F3" s="217"/>
    </row>
    <row r="4" ht="22.5" customHeight="1">
      <c r="A4" s="218" t="s">
        <v>250</v>
      </c>
      <c r="B4" s="216"/>
      <c r="C4" s="212">
        <v>199.5</v>
      </c>
      <c r="D4" s="216"/>
      <c r="E4" s="212"/>
      <c r="F4" s="220" t="s">
        <v>251</v>
      </c>
    </row>
    <row r="5" ht="22.5" customHeight="1">
      <c r="A5" s="218" t="s">
        <v>252</v>
      </c>
      <c r="B5" s="216"/>
      <c r="C5" s="212">
        <v>52.0</v>
      </c>
      <c r="D5" s="216"/>
      <c r="E5" s="212"/>
      <c r="F5" s="220" t="s">
        <v>251</v>
      </c>
    </row>
    <row r="6" ht="22.5" customHeight="1">
      <c r="A6" s="218" t="s">
        <v>253</v>
      </c>
      <c r="B6" s="216"/>
      <c r="C6" s="212">
        <v>6.0</v>
      </c>
      <c r="D6" s="216"/>
      <c r="E6" s="212"/>
      <c r="F6" s="221" t="s">
        <v>9592</v>
      </c>
    </row>
    <row r="7" ht="22.5" customHeight="1">
      <c r="A7" s="218" t="s">
        <v>255</v>
      </c>
      <c r="B7" s="216">
        <f>SUM('Sprint 7'!O:O)</f>
        <v>367</v>
      </c>
      <c r="C7" s="212">
        <f>ROUND(SUM('Sprint 7'!S:S)/3600,2)</f>
        <v>510.33</v>
      </c>
      <c r="D7" s="216">
        <f>SUMIF('Sprint 7'!J:J, "Done", 'Sprint 7'!O:O)</f>
        <v>125</v>
      </c>
      <c r="E7" s="212">
        <f>ROUND(SUMIF('Sprint 7'!J:J, "Done", 'Sprint 7'!S:S)/3600,2)</f>
        <v>167.33</v>
      </c>
      <c r="F7" s="217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f>IFERROR(__xludf.DUMMYFUNCTION("IFERROR(SUM(FILTER('Sprint 7'!O:O, ('Sprint 7'!P:P = ""mid-sprint""))),0)"),6.0)</f>
        <v>6</v>
      </c>
      <c r="C9" s="212">
        <f>IFERROR(__xludf.DUMMYFUNCTION("ROUND(IFERROR(SUM(FILTER('Sprint 7'!S:S, ('Sprint 7'!P:P = ""mid-sprint"")))/3600,0),2)"),17.17)</f>
        <v>17.17</v>
      </c>
      <c r="D9" s="212">
        <f>IFERROR(__xludf.DUMMYFUNCTION("IFERROR(SUM(FILTER('Sprint 7'!O:O, (('Sprint 7'!J:J = ""Done"")) * ('Sprint 7'!P:P = ""mid-sprint""))),0)"),6.0)</f>
        <v>6</v>
      </c>
      <c r="E9" s="212">
        <f>IFERROR(__xludf.DUMMYFUNCTION("ROUND(IFERROR(SUM(FILTER('Sprint 7'!S:S, (('Sprint 7'!J:J = ""Done"")) * ('Sprint 7'!P:P = ""mid-sprint"")))/3600,0),2)"),17.17)</f>
        <v>17.17</v>
      </c>
      <c r="F9" s="225" t="s">
        <v>257</v>
      </c>
    </row>
    <row r="10" ht="22.5" customHeight="1">
      <c r="A10" s="218" t="s">
        <v>258</v>
      </c>
      <c r="B10" s="212">
        <f>IFERROR(__xludf.DUMMYFUNCTION("IFERROR(SUM(FILTER('Sprint 7'!O:O, ('Sprint 7'!Q:Q = ""change-request""))),0)"),6.0)</f>
        <v>6</v>
      </c>
      <c r="C10" s="212">
        <f>IFERROR(__xludf.DUMMYFUNCTION("ROUND(IFERROR(SUM(FILTER('Sprint 7'!S:S, ('Sprint 7'!Q:Q = ""change-request"")))/3600,0),2)"),0.0)</f>
        <v>0</v>
      </c>
      <c r="D10" s="212">
        <f>IFERROR(__xludf.DUMMYFUNCTION("IFERROR(SUM(FILTER('Sprint 7'!O:O, (('Sprint 7'!J:J = ""Done"")) * ('Sprint 7'!Q:Q = ""change-request""))),0)"),6.0)</f>
        <v>6</v>
      </c>
      <c r="E10" s="212">
        <f>IFERROR(__xludf.DUMMYFUNCTION("ROUND(IFERROR(SUM(FILTER('Sprint 7'!S:S, (('Sprint 7'!J:J = ""Done"")) * ('Sprint 7'!Q:Q = ""change-request"")))/3600,0),2)"),0.0)</f>
        <v>0</v>
      </c>
      <c r="F10" s="225" t="s">
        <v>257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7'!O:O, ('Sprint 7'!E:E = ""Aek:Atiphat Nanthachitvanich""))),0)"),46.0)</f>
        <v>46</v>
      </c>
      <c r="C12" s="223">
        <f>IFERROR(__xludf.DUMMYFUNCTION("ROUND(IFERROR(SUM(FILTER('Sprint 7'!S:S, ('Sprint 7'!E:E = ""Aek:Atiphat Nanthachitvanich"")))/3600,0),2)"),30.33)</f>
        <v>30.33</v>
      </c>
      <c r="D12" s="216">
        <f>IFERROR(__xludf.DUMMYFUNCTION("IFERROR(SUM(FILTER('Sprint 7'!O:O, (('Sprint 7'!J:J = ""Done"")) * ('Sprint 7'!E:E = ""Aek:Atiphat Nanthachitvanich""))),0)"),38.0)</f>
        <v>38</v>
      </c>
      <c r="E12" s="223">
        <f>IFERROR(__xludf.DUMMYFUNCTION("ROUND(IFERROR(SUM(FILTER('Sprint 7'!S:S, (('Sprint 7'!J:J = ""Done"")) * ('Sprint 7'!E:E = ""Aek:Atiphat Nanthachitvanich"")))/3600,0),2)"),30.33)</f>
        <v>30.33</v>
      </c>
      <c r="F12" s="224"/>
    </row>
    <row r="13" ht="22.5" customHeight="1">
      <c r="A13" s="218" t="s">
        <v>32</v>
      </c>
      <c r="B13" s="216">
        <f>IFERROR(__xludf.DUMMYFUNCTION("IFERROR(SUM(FILTER('Sprint 7'!O:O, ('Sprint 7'!E:E = ""A:Phongthorn""))),0)"),38.0)</f>
        <v>38</v>
      </c>
      <c r="C13" s="223">
        <f>IFERROR(__xludf.DUMMYFUNCTION("ROUND(IFERROR(SUM(FILTER('Sprint 7'!S:S, ('Sprint 7'!E:E = ""A:Phongthorn"")))/3600,0),2)"),40.0)</f>
        <v>40</v>
      </c>
      <c r="D13" s="216">
        <f>IFERROR(__xludf.DUMMYFUNCTION("IFERROR(SUM(FILTER('Sprint 7'!O:O, (('Sprint 7'!J:J = ""Done"")) * ('Sprint 7'!E:E = ""A:Phongthorn""))),0)"),20.0)</f>
        <v>20</v>
      </c>
      <c r="E13" s="223">
        <f>IFERROR(__xludf.DUMMYFUNCTION("ROUND(IFERROR(SUM(FILTER('Sprint 7'!S:S, (('Sprint 7'!J:J = ""Done"")) * ('Sprint 7'!E:E = ""A:Phongthorn"")))/3600,0),2)"),16.0)</f>
        <v>16</v>
      </c>
      <c r="F13" s="224"/>
    </row>
    <row r="14" ht="22.5" customHeight="1">
      <c r="A14" s="218" t="s">
        <v>72</v>
      </c>
      <c r="B14" s="216">
        <f>IFERROR(__xludf.DUMMYFUNCTION("IFERROR(SUM(FILTER('Sprint 7'!O:O, ('Sprint 7'!E:E = ""Aom: Pornsawan Polnyiem""))),0)"),33.0)</f>
        <v>33</v>
      </c>
      <c r="C14" s="223">
        <f>IFERROR(__xludf.DUMMYFUNCTION("ROUND(IFERROR(SUM(FILTER('Sprint 7'!S:S, ('Sprint 7'!E:E = ""Aom: Pornsawan Polnyiem"")))/3600,0),2)"),85.0)</f>
        <v>85</v>
      </c>
      <c r="D14" s="216">
        <f>IFERROR(__xludf.DUMMYFUNCTION("IFERROR(SUM(FILTER('Sprint 7'!O:O, (('Sprint 7'!J:J = ""Done"")) * ('Sprint 7'!E:E = ""Aom: Pornsawan Polnyiem""))),0)"),22.0)</f>
        <v>22</v>
      </c>
      <c r="E14" s="223">
        <f>IFERROR(__xludf.DUMMYFUNCTION("ROUND(IFERROR(SUM(FILTER('Sprint 7'!S:S, (('Sprint 7'!J:J = ""Done"")) * ('Sprint 7'!E:E = ""Aom: Pornsawan Polnyiem"")))/3600,0),2)"),85.0)</f>
        <v>85</v>
      </c>
      <c r="F14" s="224"/>
    </row>
    <row r="15" ht="22.5" customHeight="1">
      <c r="A15" s="218" t="s">
        <v>24</v>
      </c>
      <c r="B15" s="216">
        <f>IFERROR(__xludf.DUMMYFUNCTION("IFERROR(SUM(FILTER('Sprint 7'!O:O, ('Sprint 7'!E:E = ""Zan : Isarapong Bulan""))),0)"),28.0)</f>
        <v>28</v>
      </c>
      <c r="C15" s="223">
        <f>IFERROR(__xludf.DUMMYFUNCTION("ROUND(IFERROR(SUM(FILTER('Sprint 7'!S:S, ('Sprint 7'!E:E = ""Zan : Isarapong Bulan"")))/3600,0),2)"),26.0)</f>
        <v>26</v>
      </c>
      <c r="D15" s="216">
        <f>IFERROR(__xludf.DUMMYFUNCTION("IFERROR(SUM(FILTER('Sprint 7'!O:O, (('Sprint 7'!J:J = ""Done"")) * ('Sprint 7'!E:E = ""Zan : Isarapong Bulan""))),0)"),10.0)</f>
        <v>10</v>
      </c>
      <c r="E15" s="223">
        <f>IFERROR(__xludf.DUMMYFUNCTION("ROUND(IFERROR(SUM(FILTER('Sprint 7'!S:S, (('Sprint 7'!J:J = ""Done"")) * ('Sprint 7'!E:E = ""Zan : Isarapong Bulan"")))/3600,0),2)"),26.0)</f>
        <v>26</v>
      </c>
      <c r="F15" s="224"/>
    </row>
    <row r="16" ht="22.5" customHeight="1">
      <c r="A16" s="218" t="s">
        <v>73</v>
      </c>
      <c r="B16" s="216">
        <f>IFERROR(__xludf.DUMMYFUNCTION("IFERROR(SUM(FILTER('Sprint 7'!O:O, ('Sprint 7'!E:E = ""Mai:Sateta Abvanawong""))),0)"),41.0)</f>
        <v>41</v>
      </c>
      <c r="C16" s="223">
        <f>IFERROR(__xludf.DUMMYFUNCTION("ROUND(IFERROR(SUM(FILTER('Sprint 7'!S:S, ('Sprint 7'!E:E = ""Mai:Sateta Abvanawong"")))/3600,0),2)"),64.0)</f>
        <v>64</v>
      </c>
      <c r="D16" s="216">
        <f>IFERROR(__xludf.DUMMYFUNCTION("IFERROR(SUM(FILTER('Sprint 7'!O:O, (('Sprint 7'!J:J = ""Done"")) * ('Sprint 7'!E:E = ""Mai:Sateta Abvanawong""))),0)"),8.0)</f>
        <v>8</v>
      </c>
      <c r="E16" s="223">
        <f>IFERROR(__xludf.DUMMYFUNCTION("ROUND(IFERROR(SUM(FILTER('Sprint 7'!S:S, (('Sprint 7'!J:J = ""Done"")) * ('Sprint 7'!E:E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7'!O:O, ('Sprint 7'!E:E = ""Mac: Jarupong Pawichpongkul""))),0)"),39.0)</f>
        <v>39</v>
      </c>
      <c r="C17" s="223">
        <f>IFERROR(__xludf.DUMMYFUNCTION("ROUND(IFERROR(SUM(FILTER('Sprint 7'!S:S, ('Sprint 7'!E:E = ""Mac: Jarupong Pawichpongkul"")))/3600,0),2)"),45.0)</f>
        <v>45</v>
      </c>
      <c r="D17" s="216">
        <f>IFERROR(__xludf.DUMMYFUNCTION("IFERROR(SUM(FILTER('Sprint 7'!O:O, (('Sprint 7'!J:J = ""Done"")) * ('Sprint 7'!E:E = ""Mac: Jarupong Pawichpongkul""))),0)"),6.0)</f>
        <v>6</v>
      </c>
      <c r="E17" s="223">
        <f>IFERROR(__xludf.DUMMYFUNCTION("ROUND(IFERROR(SUM(FILTER('Sprint 7'!S:S, (('Sprint 7'!J:J = ""Done"")) * ('Sprint 7'!E:E = ""Mac: 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7'!O:O, ('Sprint 7'!E:E = ""Moss : Kittapath Sangvikukit""))),0)"),41.0)</f>
        <v>41</v>
      </c>
      <c r="C18" s="223">
        <f>IFERROR(__xludf.DUMMYFUNCTION("ROUND(IFERROR(SUM(FILTER('Sprint 7'!S:S, ('Sprint 7'!E:E = ""Moss : Kittapath Sangvikukit"")))/3600,0),2)"),61.0)</f>
        <v>61</v>
      </c>
      <c r="D18" s="216">
        <f>IFERROR(__xludf.DUMMYFUNCTION("IFERROR(SUM(FILTER('Sprint 7'!O:O, (('Sprint 7'!J:J = ""Done"")) * ('Sprint 7'!E:E = ""Moss : Kittapath Sangvikukit""))),0)"),8.0)</f>
        <v>8</v>
      </c>
      <c r="E18" s="223">
        <f>IFERROR(__xludf.DUMMYFUNCTION("ROUND(IFERROR(SUM(FILTER('Sprint 7'!S:S, (('Sprint 7'!J:J = ""Done"")) * ('Sprint 7'!E:E = ""Moss : Kittapath Sangvikukit"")))/3600,0),2)"),0.0)</f>
        <v>0</v>
      </c>
      <c r="F18" s="224"/>
    </row>
    <row r="19" ht="22.5" customHeight="1">
      <c r="A19" s="218" t="s">
        <v>28</v>
      </c>
      <c r="B19" s="216">
        <f>IFERROR(__xludf.DUMMYFUNCTION("IFERROR(SUM(FILTER('Sprint 7'!O:O, ('Sprint 7'!E:E = ""Jack: Warin Kesorn""))),0)"),35.0)</f>
        <v>35</v>
      </c>
      <c r="C19" s="223">
        <f>IFERROR(__xludf.DUMMYFUNCTION("ROUND(IFERROR(SUM(FILTER('Sprint 7'!S:S, ('Sprint 7'!E:E = ""Jack: Warin Kesorn"")))/3600,0),2)"),37.0)</f>
        <v>37</v>
      </c>
      <c r="D19" s="216">
        <f>IFERROR(__xludf.DUMMYFUNCTION("IFERROR(SUM(FILTER('Sprint 7'!O:O, (('Sprint 7'!J:J = ""Done"")) * ('Sprint 7'!E:E = ""Jack: Warin Kesorn""))),0)"),8.0)</f>
        <v>8</v>
      </c>
      <c r="E19" s="223">
        <f>IFERROR(__xludf.DUMMYFUNCTION("ROUND(IFERROR(SUM(FILTER('Sprint 7'!S:S, (('Sprint 7'!J:J = ""Done"")) * ('Sprint 7'!E:E = ""Jack: Warin Kesorn"")))/3600,0),2)"),0.0)</f>
        <v>0</v>
      </c>
      <c r="F19" s="224"/>
    </row>
    <row r="20" ht="22.5" customHeight="1">
      <c r="A20" s="218" t="s">
        <v>3616</v>
      </c>
      <c r="B20" s="216">
        <f>IFERROR(__xludf.DUMMYFUNCTION("IFERROR(SUM(FILTER('Sprint 7'!O:O, ('Sprint 7'!E:E = ""Art_narupontp""))),0)"),15.0)</f>
        <v>15</v>
      </c>
      <c r="C20" s="223">
        <f>IFERROR(__xludf.DUMMYFUNCTION("ROUND(IFERROR(SUM(FILTER('Sprint 7'!S:S, ('Sprint 7'!E:E = ""Art_narupontp"")))/3600,0),2)"),48.0)</f>
        <v>48</v>
      </c>
      <c r="D20" s="216">
        <f>IFERROR(__xludf.DUMMYFUNCTION("IFERROR(SUM(FILTER('Sprint 7'!O:O, (('Sprint 7'!J:J = ""Done"")) * ('Sprint 7'!E:E = ""Art_narupontp""))),0)"),0.0)</f>
        <v>0</v>
      </c>
      <c r="E20" s="223">
        <f>IFERROR(__xludf.DUMMYFUNCTION("ROUND(IFERROR(SUM(FILTER('Sprint 7'!S:S, (('Sprint 7'!J:J = ""Done"")) * ('Sprint 7'!E:E = ""Art_narupontp"")))/3600,0),2)"),0.0)</f>
        <v>0</v>
      </c>
      <c r="F20" s="224"/>
    </row>
    <row r="21" ht="22.5" customHeight="1">
      <c r="A21" s="218" t="s">
        <v>3617</v>
      </c>
      <c r="B21" s="216">
        <f>IFERROR(__xludf.DUMMYFUNCTION("IFERROR(SUM(FILTER('Sprint 7'!O:O, ('Sprint 7'!E:E = ""Kae: Pimonrath Jaiyen""))),0)"),15.0)</f>
        <v>15</v>
      </c>
      <c r="C21" s="223">
        <f>IFERROR(__xludf.DUMMYFUNCTION("ROUND(IFERROR(SUM(FILTER('Sprint 7'!S:S, ('Sprint 7'!E:E = ""Kae: Pimonrath Jaiyen"")))/3600,0),2)"),18.0)</f>
        <v>18</v>
      </c>
      <c r="D21" s="216">
        <f>IFERROR(__xludf.DUMMYFUNCTION("IFERROR(SUM(FILTER('Sprint 7'!O:O, (('Sprint 7'!J:J = ""Done"")) * ('Sprint 7'!E:E = ""Kae: Pimonrath Jaiyen""))),0)"),2.0)</f>
        <v>2</v>
      </c>
      <c r="E21" s="223">
        <f>IFERROR(__xludf.DUMMYFUNCTION("ROUND(IFERROR(SUM(FILTER('Sprint 7'!S:S, (('Sprint 7'!J:J = ""Done"")) * ('Sprint 7'!E:E = ""Kae: Pimonrath Jaiyen"")))/3600,0),2)"),2.0)</f>
        <v>2</v>
      </c>
      <c r="F21" s="224"/>
    </row>
    <row r="22" ht="22.5" customHeight="1">
      <c r="A22" s="218" t="s">
        <v>76</v>
      </c>
      <c r="B22" s="216">
        <f>IFERROR(__xludf.DUMMYFUNCTION("IFERROR(SUM(FILTER('Sprint 7'!O:O, ('Sprint 7'!E:E = ""Nim : muthita munmueang""))),0)"),19.0)</f>
        <v>19</v>
      </c>
      <c r="C22" s="223">
        <f>IFERROR(__xludf.DUMMYFUNCTION("ROUND(IFERROR(SUM(FILTER('Sprint 7'!S:S, ('Sprint 7'!E:E = ""Nim : muthita munmueang"")))/3600,0),2)"),56.0)</f>
        <v>56</v>
      </c>
      <c r="D22" s="216">
        <f>IFERROR(__xludf.DUMMYFUNCTION("IFERROR(SUM(FILTER('Sprint 7'!O:O, (('Sprint 7'!J:J = ""Done"")) * ('Sprint 7'!E:E = ""Nim : muthita munmueang""))),0)"),3.0)</f>
        <v>3</v>
      </c>
      <c r="E22" s="223">
        <f>IFERROR(__xludf.DUMMYFUNCTION("ROUND(IFERROR(SUM(FILTER('Sprint 7'!S:S, (('Sprint 7'!J:J = ""Done"")) * ('Sprint 7'!E:E = ""Nim : muthita munmueang"")))/3600,0),2)"),8.0)</f>
        <v>8</v>
      </c>
      <c r="F22" s="224"/>
    </row>
    <row r="23">
      <c r="C23" s="125"/>
    </row>
    <row r="24">
      <c r="C24" s="125"/>
    </row>
    <row r="25" ht="31.5" customHeight="1">
      <c r="A25" s="232"/>
      <c r="B25" s="233" t="s">
        <v>2210</v>
      </c>
      <c r="C25" s="234"/>
      <c r="D25" s="234"/>
      <c r="E25" s="235"/>
      <c r="F25" s="236" t="s">
        <v>2211</v>
      </c>
      <c r="G25" s="234"/>
      <c r="H25" s="235"/>
      <c r="I25" s="242" t="s">
        <v>3615</v>
      </c>
      <c r="J25" s="234"/>
      <c r="K25" s="234"/>
      <c r="L25" s="235"/>
    </row>
    <row r="26" ht="27.0" customHeight="1">
      <c r="A26" s="239" t="s">
        <v>2214</v>
      </c>
      <c r="B26" s="243" t="s">
        <v>30</v>
      </c>
      <c r="C26" s="243" t="s">
        <v>24</v>
      </c>
      <c r="D26" s="243" t="s">
        <v>72</v>
      </c>
      <c r="E26" s="243" t="s">
        <v>28</v>
      </c>
      <c r="F26" s="243" t="s">
        <v>32</v>
      </c>
      <c r="G26" s="243" t="s">
        <v>3616</v>
      </c>
      <c r="H26" s="243" t="s">
        <v>73</v>
      </c>
      <c r="I26" s="243" t="s">
        <v>3617</v>
      </c>
      <c r="J26" s="243" t="s">
        <v>74</v>
      </c>
      <c r="K26" s="243" t="s">
        <v>76</v>
      </c>
      <c r="L26" s="243" t="s">
        <v>75</v>
      </c>
    </row>
    <row r="27" ht="33.0" customHeight="1">
      <c r="A27" s="101" t="s">
        <v>4665</v>
      </c>
      <c r="B27" s="99">
        <f>IFERROR(__xludf.DUMMYFUNCTION("IFERROR(
  SUM(
    FILTER(
      'Sprint 7'!O:O,
      ('Sprint 7'!E:E = ""Aek:Atiphat Nanthachitvanich"") *
      (LEFT('Sprint 7'!B:B,7) = ""RDTHANA"")
    )
  ),
0)"),0.0)</f>
        <v>0</v>
      </c>
      <c r="C27" s="99">
        <f>IFERROR(__xludf.DUMMYFUNCTION("IFERROR(
  SUM(
    FILTER(
      'Sprint 7'!O:O,
      ('Sprint 7'!E:E = ""Zan : Isarapong Bulan"") *
      (LEFT('Sprint 7'!B:B,7) = ""RDTHANA"")
    )
  ),
0)"),13.0)</f>
        <v>13</v>
      </c>
      <c r="D27" s="99">
        <f>IFERROR(__xludf.DUMMYFUNCTION("IFERROR(
  SUM(
    FILTER(
      'Sprint 7'!O:O,
      ('Sprint 7'!E:E = ""Aom: Pornsawan Polnyiem"") *
      (LEFT('Sprint 7'!B:B,7) = ""RDTHANA"")
    )
  ),
0)"),13.0)</f>
        <v>13</v>
      </c>
      <c r="E27" s="99">
        <f>IFERROR(__xludf.DUMMYFUNCTION("IFERROR(
  SUM(
    FILTER(
      'Sprint 7'!O:O,
      ('Sprint 7'!E:E = ""Jack: Warin Kesorn"") *
      (LEFT('Sprint 7'!B:B,7) = ""RDTHANA"")
    )
  ),
0)"),18.0)</f>
        <v>18</v>
      </c>
      <c r="F27" s="99">
        <f>IFERROR(__xludf.DUMMYFUNCTION("IFERROR(
  SUM(
    FILTER(
      'Sprint 7'!O:O,
      ('Sprint 7'!E:E = ""A:Phongthorn"") *
      (LEFT('Sprint 7'!B:B,7) = ""RDTHANA"")
    )
  ),
0)"),8.0)</f>
        <v>8</v>
      </c>
      <c r="G27" s="99">
        <f>IFERROR(__xludf.DUMMYFUNCTION("IFERROR(
  SUM(
    FILTER(
      'Sprint 7'!O:O,
      ('Sprint 7'!E:E = ""Art_narupontp"") *
      (LEFT('Sprint 7'!B:B,7) = ""RDTHANA"")
    )
  ),
0)"),15.0)</f>
        <v>15</v>
      </c>
      <c r="H27" s="99">
        <f>IFERROR(__xludf.DUMMYFUNCTION("IFERROR(
  SUM(
    FILTER(
      'Sprint 7'!O:O,
      ('Sprint 7'!E:E = ""Mai:Sateta Abvanawong"") *
      (LEFT('Sprint 7'!B:B,7) = ""RDTHANA"")
    )
  ),
0)"),32.0)</f>
        <v>32</v>
      </c>
      <c r="I27" s="99">
        <f>IFERROR(__xludf.DUMMYFUNCTION("IFERROR(
  SUM(
    FILTER(
      'Sprint 7'!O:O,
      ('Sprint 7'!E:E = ""Kae: Pimonrath Jaiyen"") *
      (LEFT('Sprint 7'!B:B,7) = ""RDTHANA"")
    )
  ),
0)"),13.0)</f>
        <v>13</v>
      </c>
      <c r="J27" s="99">
        <f>IFERROR(__xludf.DUMMYFUNCTION("IFERROR(
  SUM(
    FILTER(
      'Sprint 7'!O:O,
      ('Sprint 7'!E:E = ""Mac: Jarupong Pawichpongkul"") *
      (LEFT('Sprint 7'!B:B,7) = ""RDTHANA"")
    )
  ),
0)"),33.0)</f>
        <v>33</v>
      </c>
      <c r="K27" s="99">
        <f>IFERROR(__xludf.DUMMYFUNCTION("IFERROR(
  SUM(
    FILTER(
      'Sprint 7'!O:O,
      ('Sprint 7'!E:E = ""Nim : muthita munmueang"") *
      (LEFT('Sprint 7'!B:B,7) = ""RDTHANA"")
    )
  ),
0)"),19.0)</f>
        <v>19</v>
      </c>
      <c r="L27" s="99">
        <f>IFERROR(__xludf.DUMMYFUNCTION("IFERROR(
  SUM(
    FILTER(
      'Sprint 7'!O:O,
      ('Sprint 7'!E:E = ""Moss : Kittapath Sangvikukit"") *
      (LEFT('Sprint 7'!B:B,7) = ""RDTHANA"")
    )
  ),
0)"),29.0)</f>
        <v>29</v>
      </c>
    </row>
    <row r="28" ht="68.25" customHeight="1">
      <c r="A28" s="101" t="s">
        <v>4666</v>
      </c>
      <c r="B28" s="99">
        <f>IFERROR(__xludf.DUMMYFUNCTION("IFERROR(
  SUM(
    FILTER(
      'Sprint 7'!O:O,
      ('Sprint 7'!E:E = ""Aek:Atiphat Nanthachitvanich"") *
      (LEFT('Sprint 7'!B:B,9) = ""DEVRDECOM"")
    )
  ),
0)"),36.0)</f>
        <v>36</v>
      </c>
      <c r="C28" s="99">
        <f>IFERROR(__xludf.DUMMYFUNCTION("IFERROR(
  SUM(
    FILTER(
      'Sprint 7'!O:O,
      ('Sprint 7'!E:E = ""Zan : Isarapong Bulan"") *
      (LEFT('Sprint 7'!B:B,9) = ""DEVRDECOM"")
    )
  ),
0)"),0.0)</f>
        <v>0</v>
      </c>
      <c r="D28" s="99">
        <f>IFERROR(__xludf.DUMMYFUNCTION("IFERROR(
  SUM(
    FILTER(
      'Sprint 7'!O:O,
      ('Sprint 7'!E:E = ""Aom: Pornsawan Polnyiem"") *
      (LEFT('Sprint 7'!B:B,9) = ""DEVRDECOM"")
    )
  ),
0)"),0.0)</f>
        <v>0</v>
      </c>
      <c r="E28" s="99">
        <f>IFERROR(__xludf.DUMMYFUNCTION("IFERROR(
  SUM(
    FILTER(
      'Sprint 7'!O:O,
      ('Sprint 7'!E:E = ""Jack: Warin Kesorn"") *
      (LEFT('Sprint 7'!B:B,9) = ""DEVRDECOM"")
    )
  ),
0)"),0.0)</f>
        <v>0</v>
      </c>
      <c r="F28" s="99">
        <f>IFERROR(__xludf.DUMMYFUNCTION("IFERROR(
  SUM(
    FILTER(
      'Sprint 7'!O:O,
      ('Sprint 7'!E:E = ""A:Phongthorn"") *
      (LEFT('Sprint 7'!B:B,9) = ""DEVRDECOM"")
    )
  ),
0)"),9.0)</f>
        <v>9</v>
      </c>
      <c r="G28" s="99">
        <f>IFERROR(__xludf.DUMMYFUNCTION("IFERROR(
  SUM(
    FILTER(
      'Sprint 7'!O:O,
      ('Sprint 7'!E:E = ""Art_narupontp"") *
      (LEFT('Sprint 7'!B:B,9) = ""DEVRDECOM"")
    )
  ),
0)"),0.0)</f>
        <v>0</v>
      </c>
      <c r="H28" s="99">
        <f>IFERROR(__xludf.DUMMYFUNCTION("IFERROR(
  SUM(
    FILTER(
      'Sprint 7'!O:O,
      ('Sprint 7'!E:E = ""Mai:Sateta Abvanawong"") *
      (LEFT('Sprint 7'!B:B,9) = ""DEVRDECOM"")
    )
  ),
0)"),0.0)</f>
        <v>0</v>
      </c>
      <c r="I28" s="99">
        <f>IFERROR(__xludf.DUMMYFUNCTION("IFERROR(
  SUM(
    FILTER(
      'Sprint 7'!O:O,
      ('Sprint 7'!E:E = ""Kae: Pimonrath Jaiyen"") *
      (LEFT('Sprint 7'!B:B,9) = ""DEVRDECOM"")
    )
  ),
0)"),0.0)</f>
        <v>0</v>
      </c>
      <c r="J28" s="99">
        <f>IFERROR(__xludf.DUMMYFUNCTION("IFERROR(
  SUM(
    FILTER(
      'Sprint 7'!O:O,
      ('Sprint 7'!E:E = ""Mac: Jarupong Pawichpongkul"") *
      (LEFT('Sprint 7'!B:B,9) = ""DEVRDECOM"")
    )
  ),
0)"),0.0)</f>
        <v>0</v>
      </c>
      <c r="K28" s="99">
        <f>IFERROR(__xludf.DUMMYFUNCTION("IFERROR(
  SUM(
    FILTER(
      'Sprint 7'!O:O,
      ('Sprint 7'!E:E = ""Nim : muthita munmueang"") *
      (LEFT('Sprint 7'!B:B,9) = ""DEVRDECOM"")
    )
  ),
0)"),0.0)</f>
        <v>0</v>
      </c>
      <c r="L28" s="99">
        <f>IFERROR(__xludf.DUMMYFUNCTION("IFERROR(
  SUM(
    FILTER(
      'Sprint 7'!O:O,
      ('Sprint 7'!E:E = ""Moss : Kittapath Sangvikukit"") *
      (LEFT('Sprint 7'!B:B,9) = ""DEVRDECOM"")
    )
  ),
0)"),3.0)</f>
        <v>3</v>
      </c>
    </row>
    <row r="29" ht="30.0" customHeight="1">
      <c r="A29" s="101" t="s">
        <v>4667</v>
      </c>
      <c r="B29" s="99">
        <f>IFERROR(__xludf.DUMMYFUNCTION("IFERROR(
  SUM(
    FILTER(
      'Sprint 7'!O:O,
      ('Sprint 7'!E:E = ""Aek:Atiphat Nanthachitvanich"") *
      (LEFT('Sprint 7'!B:B,7) = ""DEVRDCT"")
    )
  ),
0)"),6.0)</f>
        <v>6</v>
      </c>
      <c r="C29" s="99">
        <f>IFERROR(__xludf.DUMMYFUNCTION("IFERROR(
  SUM(
    FILTER(
      'Sprint 7'!O:O,
      ('Sprint 7'!E:E = ""Zan : Isarapong Bulan"") *
      (LEFT('Sprint 7'!B:B,7) = ""DEVRDCT"")
    )
  ),
0)"),3.0)</f>
        <v>3</v>
      </c>
      <c r="D29" s="99">
        <f>IFERROR(__xludf.DUMMYFUNCTION("IFERROR(
  SUM(
    FILTER(
      'Sprint 7'!O:O,
      ('Sprint 7'!E:E = ""Aom: Pornsawan Polnyiem"") *
      (LEFT('Sprint 7'!B:B,7) = ""DEVRDCT"")
    )
  ),
0)"),3.0)</f>
        <v>3</v>
      </c>
      <c r="E29" s="99">
        <f>IFERROR(__xludf.DUMMYFUNCTION("IFERROR(
  SUM(
    FILTER(
      'Sprint 7'!O:O,
      ('Sprint 7'!E:E = ""Jack: Warin Kesorn"") *
      (LEFT('Sprint 7'!B:B,7) = ""DEVRDCT"")
    )
  ),
0)"),14.0)</f>
        <v>14</v>
      </c>
      <c r="F29" s="99">
        <f>IFERROR(__xludf.DUMMYFUNCTION("IFERROR(
  SUM(
    FILTER(
      'Sprint 7'!O:O,
      ('Sprint 7'!E:E = ""A:Phongthorn"") *
      (LEFT('Sprint 7'!B:B,7) = ""DEVRDCT"")
    )
  ),
0)"),1.0)</f>
        <v>1</v>
      </c>
      <c r="G29" s="99">
        <f>IFERROR(__xludf.DUMMYFUNCTION("IFERROR(
  SUM(
    FILTER(
      'Sprint 7'!O:O,
      ('Sprint 7'!E:E = ""Art_narupontp"") *
      (LEFT('Sprint 7'!B:B,7) = ""DEVRDCT"")
    )
  ),
0)"),0.0)</f>
        <v>0</v>
      </c>
      <c r="H29" s="99">
        <f>IFERROR(__xludf.DUMMYFUNCTION("IFERROR(
  SUM(
    FILTER(
      'Sprint 7'!O:O,
      ('Sprint 7'!E:E = ""Mai:Sateta Abvanawong"") *
      (LEFT('Sprint 7'!B:B,7) = ""DEVRDCT"")
    )
  ),
0)"),0.0)</f>
        <v>0</v>
      </c>
      <c r="I29" s="99">
        <f>IFERROR(__xludf.DUMMYFUNCTION("IFERROR(
  SUM(
    FILTER(
      'Sprint 7'!O:O,
      ('Sprint 7'!E:E = ""Moss : Kittapath Sangvikukit"") *
      (LEFT('Sprint 7'!B:B,7) = ""DEVRDCT"")
    )
  ),
0)"),2.0)</f>
        <v>2</v>
      </c>
      <c r="J29" s="99">
        <f>IFERROR(__xludf.DUMMYFUNCTION("IFERROR(
  SUM(
    FILTER(
      'Sprint 7'!O:O,
      ('Sprint 7'!E:E = ""Mac: Jarupong Pawichpongkul"") *
      (LEFT('Sprint 7'!B:B,7) = ""DEVRDCT"")
    )
  ),
0)"),3.0)</f>
        <v>3</v>
      </c>
      <c r="K29" s="99">
        <f>IFERROR(__xludf.DUMMYFUNCTION("IFERROR(
  SUM(
    FILTER(
      'Sprint 7'!O:O,
      ('Sprint 7'!E:E = ""Moss : Kittapath Sangvikukit"") *
      (LEFT('Sprint 7'!B:B,7) = ""DEVRDCT"")
    )
  ),
0)"),2.0)</f>
        <v>2</v>
      </c>
      <c r="L29" s="99">
        <f>IFERROR(__xludf.DUMMYFUNCTION("IFERROR(
  SUM(
    FILTER(
      'Sprint 7'!O:O,
      ('Sprint 7'!E:E = ""Moss : Kittapath Sangvikukit"") *
      (LEFT('Sprint 7'!B:B,7) = ""DEVRDCT"")
    )
  ),
0)"),2.0)</f>
        <v>2</v>
      </c>
    </row>
    <row r="30" ht="21.75" customHeight="1">
      <c r="A30" s="101" t="s">
        <v>4668</v>
      </c>
      <c r="B30" s="99">
        <f>IFERROR(__xludf.DUMMYFUNCTION("IFERROR(
  SUM(
    FILTER(
      'Sprint 7'!O:O,
      ('Sprint 7'!E:E = ""Aek:Atiphat Nanthachitvanich"") *
      (LEFT('Sprint 7'!B:B,8) = ""DEVRDADJ"")
    )
  ),
0)"),0.0)</f>
        <v>0</v>
      </c>
      <c r="C30" s="99">
        <f>IFERROR(__xludf.DUMMYFUNCTION("IFERROR(
  SUM(
    FILTER(
      'Sprint 7'!O:O,
      ('Sprint 7'!E:E = ""Zan : Isarapong Bulan"") *
      (LEFT('Sprint 7'!B:B,8) = ""DEVRDADJ"")
    )
  ),
0)"),1.0)</f>
        <v>1</v>
      </c>
      <c r="D30" s="99">
        <f>IFERROR(__xludf.DUMMYFUNCTION("IFERROR(
  SUM(
    FILTER(
      'Sprint 7'!O:O,
      ('Sprint 7'!E:E = ""Aom: Pornsawan Polnyiem"") *
      (LEFT('Sprint 7'!B:B,8) = ""DEVRDADJ"")
    )
  ),
0)"),0.0)</f>
        <v>0</v>
      </c>
      <c r="E30" s="99">
        <f>IFERROR(__xludf.DUMMYFUNCTION("IFERROR(
  SUM(
    FILTER(
      'Sprint 7'!O:O,
      ('Sprint 7'!E:E = ""Jack: Warin Kesorn"") *
      (LEFT('Sprint 7'!B:B,8) = ""DEVRDADJ"")
    )
  ),
0)"),0.0)</f>
        <v>0</v>
      </c>
      <c r="F30" s="99">
        <f>IFERROR(__xludf.DUMMYFUNCTION("IFERROR(
  SUM(
    FILTER(
      'Sprint 7'!O:O,
      ('Sprint 7'!E:E = ""A:Phongthorn"") *
      (LEFT('Sprint 7'!B:B,8) = ""DEVRDADJ"")
    )
  ),
0)"),0.0)</f>
        <v>0</v>
      </c>
      <c r="G30" s="99">
        <f>IFERROR(__xludf.DUMMYFUNCTION("IFERROR(
  SUM(
    FILTER(
      'Sprint 7'!O:O,
      ('Sprint 7'!E:E = ""Art_narupontp"") *
      (LEFT('Sprint 7'!B:B,8) = ""DEVRDADJ"")
    )
  ),
0)"),0.0)</f>
        <v>0</v>
      </c>
      <c r="H30" s="99">
        <f>IFERROR(__xludf.DUMMYFUNCTION("IFERROR(
  SUM(
    FILTER(
      'Sprint 7'!O:O,
      ('Sprint 7'!E:E = ""Mai:Sateta Abvanawong"") *
      (LEFT('Sprint 7'!B:B,8) = ""DEVRDADJ"")
    )
  ),
0)"),0.0)</f>
        <v>0</v>
      </c>
      <c r="I30" s="99">
        <f>IFERROR(__xludf.DUMMYFUNCTION("IFERROR(
  SUM(
    FILTER(
      'Sprint 7'!O:O,
      ('Sprint 7'!E:E = ""Kae: Pimonrath Jaiyen"") *
      (LEFT('Sprint 7'!B:B,8) = ""DEVRDADJ"")
    )
  ),
0)"),0.0)</f>
        <v>0</v>
      </c>
      <c r="J30" s="99">
        <f>IFERROR(__xludf.DUMMYFUNCTION("IFERROR(
  SUM(
    FILTER(
      'Sprint 7'!O:O,
      ('Sprint 7'!E:E = ""Mac: Jarupong Pawichpongkul"") *
      (LEFT('Sprint 7'!B:B,8) = ""DEVRDADJ"")
    )
  ),
0)"),0.0)</f>
        <v>0</v>
      </c>
      <c r="K30" s="99">
        <f>IFERROR(__xludf.DUMMYFUNCTION("IFERROR(
  SUM(
    FILTER(
      'Sprint 7'!O:O,
      ('Sprint 7'!E:E = ""Nim : muthita munmueang"") *
      (LEFT('Sprint 7'!B:B,8) = ""DEVRDADJ"")
    )
  ),
0)"),0.0)</f>
        <v>0</v>
      </c>
      <c r="L30" s="99">
        <f>IFERROR(__xludf.DUMMYFUNCTION("IFERROR(
  SUM(
    FILTER(
      'Sprint 7'!O:O,
      ('Sprint 7'!E:E = ""Moss : Kittapath Sangvikukit"") *
      (LEFT('Sprint 7'!B:B,8) = ""DEVRDADJ"")
    )
  ),
0)"),0.0)</f>
        <v>0</v>
      </c>
    </row>
    <row r="31">
      <c r="A31" s="101" t="s">
        <v>4669</v>
      </c>
      <c r="B31" s="101">
        <f>IFERROR(__xludf.DUMMYFUNCTION("IFERROR(
  SUM(
    FILTER(
      'Sprint 7'!O:O,
      ('Sprint 7'!E:E = ""Aek:Atiphat Nanthachitvanich"") *
      (LEFT('Sprint 7'!B:B,5) = ""RDAPS"")
    )
  ),
0)"),1.0)</f>
        <v>1</v>
      </c>
      <c r="C31" s="99">
        <f>IFERROR(__xludf.DUMMYFUNCTION("IFERROR(
  SUM(
    FILTER(
      'Sprint 7'!O:O,
      ('Sprint 7'!E:E = ""Zan : Isarapong Bulan"") *
      (LEFT('Sprint 7'!B:B,5) = ""RDAPS"")
    )
  ),
0)"),5.0)</f>
        <v>5</v>
      </c>
      <c r="D31" s="99">
        <f>IFERROR(__xludf.DUMMYFUNCTION("IFERROR(
  SUM(
    FILTER(
      'Sprint 7'!O:O,
      ('Sprint 7'!E:E = ""Aom: Pornsawan Polnyiem"") *
      (LEFT('Sprint 7'!B:B,5) = ""RDAPS"")
    )
  ),
0)"),15.0)</f>
        <v>15</v>
      </c>
      <c r="E31" s="99">
        <f>IFERROR(__xludf.DUMMYFUNCTION("IFERROR(
  SUM(
    FILTER(
      'Sprint 7'!O:O,
      ('Sprint 7'!E:E = ""Jack: Warin Kesorn"") *
      (LEFT('Sprint 7'!B:B,5) = ""RDAPS"")
    )
  ),
0)"),0.0)</f>
        <v>0</v>
      </c>
      <c r="F31" s="99">
        <f>IFERROR(__xludf.DUMMYFUNCTION("IFERROR(
  SUM(
    FILTER(
      'Sprint 7'!O:O,
      ('Sprint 7'!E:E = ""A:Phongthorn"") *
      (LEFT('Sprint 7'!B:B,5) = ""RDAPS"")
    )
  ),
0)"),18.0)</f>
        <v>18</v>
      </c>
      <c r="G31" s="99">
        <f>IFERROR(__xludf.DUMMYFUNCTION("IFERROR(
  SUM(
    FILTER(
      'Sprint 7'!O:O,
      ('Sprint 7'!E:E = ""Art_narupontp"") *
      (LEFT('Sprint 7'!B:B,5) = ""RDAPS"")
    )
  ),
0)"),0.0)</f>
        <v>0</v>
      </c>
      <c r="H31" s="99">
        <f>IFERROR(__xludf.DUMMYFUNCTION("IFERROR(
  SUM(
    FILTER(
      'Sprint 7'!O:O,
      ('Sprint 7'!E:E = ""Mai:Sateta Abvanawong"") *
      (LEFT('Sprint 7'!B:B,5) = ""RDAPS"")
    )
  ),
0)"),1.0)</f>
        <v>1</v>
      </c>
      <c r="I31" s="99">
        <f>IFERROR(__xludf.DUMMYFUNCTION("IFERROR(
  SUM(
    FILTER(
      'Sprint 7'!O:O,
      ('Sprint 7'!E:E = ""Kae: Pimonrath Jaiyen"") *
      (LEFT('Sprint 7'!B:B,5) = ""RDAPS"")
    )
  ),
0)"),2.0)</f>
        <v>2</v>
      </c>
      <c r="J31" s="99">
        <f>IFERROR(__xludf.DUMMYFUNCTION("IFERROR(
  SUM(
    FILTER(
      'Sprint 7'!O:O,
      ('Sprint 7'!E:E = ""Mac: Jarupong Pawichpongkul"") *
      (LEFT('Sprint 7'!B:B,5) = ""RDAPS"")
    )
  ),
0)"),1.0)</f>
        <v>1</v>
      </c>
      <c r="K31" s="99">
        <f>IFERROR(__xludf.DUMMYFUNCTION("IFERROR(
  SUM(
    FILTER(
      'Sprint 7'!O:O,
      ('Sprint 7'!E:E = ""Moss : Kittapath Sangvikukitฃ"") *
      (LEFT('Sprint 7'!B:B,5) = ""RDAPS"")
    )
  ),
0)"),0.0)</f>
        <v>0</v>
      </c>
      <c r="L31" s="99">
        <f>IFERROR(__xludf.DUMMYFUNCTION("IFERROR(
  SUM(
    FILTER(
      'Sprint 7'!O:O,
      ('Sprint 7'!E:E = ""Moss : Kittapath Sangvikukit"") *
      (LEFT('Sprint 7'!B:B,5) = ""RDAPS"")
    )
  ),
0)"),7.0)</f>
        <v>7</v>
      </c>
    </row>
    <row r="32">
      <c r="A32" s="101" t="s">
        <v>4670</v>
      </c>
      <c r="B32" s="101">
        <f>IFERROR(__xludf.DUMMYFUNCTION("IFERROR(
  SUM(
    FILTER(
      'Sprint 7'!O:O,
      ('Sprint 7'!E:E = ""Aek:Atiphat Nanthachitvanich"") *
      (LEFT('Sprint 7'!B:B,8) = ""DEVRDSUP"")
    )
  ),
0)"),3.0)</f>
        <v>3</v>
      </c>
      <c r="C32" s="99">
        <f>IFERROR(__xludf.DUMMYFUNCTION("IFERROR(
  SUM(
    FILTER(
      'Sprint 7'!O:O,
      ('Sprint 7'!E:E = ""Zan : Isarapong Bulan"") *
      (LEFT('Sprint 7'!B:B,8) = ""DEVRDSUP"")
    )
  ),
0)"),6.0)</f>
        <v>6</v>
      </c>
      <c r="D32" s="99">
        <f>IFERROR(__xludf.DUMMYFUNCTION("IFERROR(
  SUM(
    FILTER(
      'Sprint 7'!O:O,
      ('Sprint 7'!E:E = ""Aom: Pornsawan Polnyiem"") *
      (LEFT('Sprint 7'!B:B,8) = ""DEVRDSUP"")
    )
  ),
0)"),2.0)</f>
        <v>2</v>
      </c>
      <c r="E32" s="99">
        <f>IFERROR(__xludf.DUMMYFUNCTION("IFERROR(
  SUM(
    FILTER(
      'Sprint 7'!O:O,
      ('Sprint 7'!E:E = ""Jack: Warin Kesorn"") *
      (LEFT('Sprint 7'!B:B,8) = ""DEVRDSUP"")
    )
  ),
0)"),0.0)</f>
        <v>0</v>
      </c>
      <c r="F32" s="101">
        <f>IFERROR(__xludf.DUMMYFUNCTION("IFERROR(
  SUM(
    FILTER(
      'Sprint 7'!P:P,
      ('Sprint 7'!F:F = ""A:Phongthorn"") *
      (LEFT('Sprint 7'!C:C,8) = ""DEVRDSUP"")
    )
  ),
0)"),0.0)</f>
        <v>0</v>
      </c>
      <c r="G32" s="99">
        <f>IFERROR(__xludf.DUMMYFUNCTION("IFERROR(
  SUM(
    FILTER(
      'Sprint 7'!O:O,
      ('Sprint 7'!E:E = ""Art_narupontp"") *
      (LEFT('Sprint 7'!B:B,8) = ""DEVRDSUP"")
    )
  ),
0)"),0.0)</f>
        <v>0</v>
      </c>
      <c r="H32" s="99">
        <f>IFERROR(__xludf.DUMMYFUNCTION("IFERROR(
  SUM(
    FILTER(
      'Sprint 7'!O:O,
      ('Sprint 7'!E:E = ""Mai:Sateta Abvanawong"") *
      (LEFT('Sprint 7'!B:B,8) = ""DEVRDSUP"")
    )
  ),
0)"),0.0)</f>
        <v>0</v>
      </c>
      <c r="I32" s="99">
        <f>IFERROR(__xludf.DUMMYFUNCTION("IFERROR(
  SUM(
    FILTER(
      'Sprint 7'!O:O,
      ('Sprint 7'!E:E = ""Kae: Pimonrath Jaiyen"") *
      (LEFT('Sprint 7'!B:B,8) = ""DEVRDSUP"")
    )
  ),
0)"),0.0)</f>
        <v>0</v>
      </c>
      <c r="J32" s="99">
        <f>IFERROR(__xludf.DUMMYFUNCTION("IFERROR(
  SUM(
    FILTER(
      'Sprint 7'!O:O,
      ('Sprint 7'!E:E = ""Mac: Jarupong Pawichpongkul"") *
      (LEFT('Sprint 7'!B:B,8) = ""DEVRDSUP"")
    )
  ),
0)"),0.0)</f>
        <v>0</v>
      </c>
      <c r="K32" s="99">
        <f>IFERROR(__xludf.DUMMYFUNCTION("IFERROR(
  SUM(
    FILTER(
      'Sprint 7'!O:O,
      ('Sprint 7'!E:E = ""Nim : muthita munmueang"") *
      (LEFT('Sprint 7'!B:B,8) = ""DEVRDSUP"")
    )
  ),
0)"),0.0)</f>
        <v>0</v>
      </c>
      <c r="L32" s="99">
        <f>IFERROR(__xludf.DUMMYFUNCTION("IFERROR(
  SUM(
    FILTER(
      'Sprint 7'!O:O,
      ('Sprint 7'!E:E = ""Moss : Kittapath Sangvikukit"") *
      (LEFT('Sprint 7'!B:B,8) = ""DEVRDSUP"")
    )
  ),
0)"),0.0)</f>
        <v>0</v>
      </c>
    </row>
    <row r="33">
      <c r="C33" s="125"/>
    </row>
    <row r="34">
      <c r="C34" s="125"/>
    </row>
    <row r="35" ht="28.5" customHeight="1">
      <c r="A35" s="232"/>
      <c r="B35" s="233" t="s">
        <v>2210</v>
      </c>
      <c r="C35" s="234"/>
      <c r="D35" s="234"/>
      <c r="E35" s="235"/>
      <c r="F35" s="236" t="s">
        <v>2211</v>
      </c>
      <c r="G35" s="234"/>
      <c r="H35" s="235"/>
      <c r="I35" s="242" t="s">
        <v>3615</v>
      </c>
      <c r="J35" s="234"/>
      <c r="K35" s="234"/>
      <c r="L35" s="235"/>
    </row>
    <row r="36" ht="23.25" customHeight="1">
      <c r="A36" s="239" t="s">
        <v>3618</v>
      </c>
      <c r="B36" s="243" t="s">
        <v>30</v>
      </c>
      <c r="C36" s="243" t="s">
        <v>24</v>
      </c>
      <c r="D36" s="243" t="s">
        <v>72</v>
      </c>
      <c r="E36" s="243" t="s">
        <v>28</v>
      </c>
      <c r="F36" s="243" t="s">
        <v>32</v>
      </c>
      <c r="G36" s="243" t="s">
        <v>3616</v>
      </c>
      <c r="H36" s="243" t="s">
        <v>73</v>
      </c>
      <c r="I36" s="243" t="s">
        <v>3617</v>
      </c>
      <c r="J36" s="243" t="s">
        <v>74</v>
      </c>
      <c r="K36" s="243" t="s">
        <v>76</v>
      </c>
      <c r="L36" s="243" t="s">
        <v>75</v>
      </c>
    </row>
    <row r="37">
      <c r="A37" s="101" t="s">
        <v>4665</v>
      </c>
      <c r="B37" s="99">
        <f>IFERROR(__xludf.DUMMYFUNCTION("ROUND(
  IFERROR(
    SUM(
      FILTER(
        'Sprint 7'!S:S,
        ('Sprint 7'!E:E = ""Aek:Atiphat Nanthachitvanich"") *
        (LEFT('Sprint 7'!B:B,7) = ""RDTHANA"")
      )
    ) / 3600,
    0
  ),
  2
)"),0.0)</f>
        <v>0</v>
      </c>
      <c r="C37" s="99">
        <f>IFERROR(__xludf.DUMMYFUNCTION("ROUND(
  IFERROR(
    SUM(
      FILTER(
        'Sprint 7'!S:S,
        ('Sprint 7'!E:E = ""Zan : Isarapong Bulan"") *
        (LEFT('Sprint 7'!B:B,7) = ""RDTHANA"")
      )
    ) / 3600,
    0
  ),
  2
)"),26.0)</f>
        <v>26</v>
      </c>
      <c r="D37" s="99">
        <f>IFERROR(__xludf.DUMMYFUNCTION("ROUND(
  IFERROR(
    SUM(
      FILTER(
        'Sprint 7'!S:S,
        ('Sprint 7'!E:E = ""Aom: Pornsawan Polnyiem"") *
        (LEFT('Sprint 7'!B:B,7) = ""RDTHANA"")
      )
    ) / 3600,
    0
  ),
  2
)"),24.0)</f>
        <v>24</v>
      </c>
      <c r="E37" s="99">
        <f>IFERROR(__xludf.DUMMYFUNCTION("ROUND(
  IFERROR(
    SUM(
      FILTER(
        'Sprint 7'!S:S,
        ('Sprint 7'!E:E = ""Jack: Warin Kesorn"") *
        (LEFT('Sprint 7'!B:B,7) = ""RDTHANA"")
      )
    ) / 3600,
    0
  ),
  2
)"),34.0)</f>
        <v>34</v>
      </c>
      <c r="F37" s="99">
        <f>IFERROR(__xludf.DUMMYFUNCTION("ROUND(
  IFERROR(
    SUM(
      FILTER(
        'Sprint 7'!S:S,
        ('Sprint 7'!E:E = ""A:Phongthorn"") *
        (LEFT('Sprint 7'!B:B,7) = ""RDTHANA"")
      )
    ) / 3600,
    0
  ),
  2
)"),24.0)</f>
        <v>24</v>
      </c>
      <c r="G37" s="99">
        <f>IFERROR(__xludf.DUMMYFUNCTION("ROUND(
  IFERROR(
    SUM(
      FILTER(
        'Sprint 7'!S:S,
        ('Sprint 7'!E:E = ""Art_narupontp"") *
        (LEFT('Sprint 7'!B:B,7) = ""RDTHANA"")
      )
    ) / 3600,
    0
  ),
  2
)"),48.0)</f>
        <v>48</v>
      </c>
      <c r="H37" s="99">
        <f>IFERROR(__xludf.DUMMYFUNCTION("ROUND(
  IFERROR(
    SUM(
      FILTER(
        'Sprint 7'!S:S,
        ('Sprint 7'!E:E = ""Mai:Sateta Abvanawong"") *
        (LEFT('Sprint 7'!B:B,7) = ""RDTHANA"")
      )
    ) / 3600,
    0
  ),
  2
)"),64.0)</f>
        <v>64</v>
      </c>
      <c r="I37" s="99">
        <f>IFERROR(__xludf.DUMMYFUNCTION("ROUND(
  IFERROR(
    SUM(
      FILTER(
        'Sprint 7'!S:S,
        ('Sprint 7'!E:E = ""Kae: Pimonrath Jaiyen"") *
        (LEFT('Sprint 7'!B:B,7) = ""RDTHANA"")
      )
    ) / 3600,
    0
  ),
  2
)"),16.0)</f>
        <v>16</v>
      </c>
      <c r="J37" s="99">
        <f>IFERROR(__xludf.DUMMYFUNCTION("ROUND(
  IFERROR(
    SUM(
      FILTER(
        'Sprint 7'!S:S,
        ('Sprint 7'!E:E = ""Mac: Jarupong Pawichpongkul"") *
        (LEFT('Sprint 7'!B:B,7) = ""RDTHANA"")
      )
    ) / 3600,
    0
  ),
  2
)"),45.0)</f>
        <v>45</v>
      </c>
      <c r="K37" s="99">
        <f>IFERROR(__xludf.DUMMYFUNCTION("ROUND(
  IFERROR(
    SUM(
      FILTER(
        'Sprint 7'!S:S,
        ('Sprint 7'!E:E = ""Nim : muthita munmueang"") *
        (LEFT('Sprint 7'!B:B,7) = ""RDTHANA"")
      )
    ) / 3600,
    0
  ),
  2
)"),56.0)</f>
        <v>56</v>
      </c>
      <c r="L37" s="99">
        <f>IFERROR(__xludf.DUMMYFUNCTION("ROUND(
  IFERROR(
    SUM(
      FILTER(
        'Sprint 7'!S:S,
        ('Sprint 7'!E:E = ""Moss : Kittapath Sangvikukit"") *
        (LEFT('Sprint 7'!B:B,7) = ""RDTHANA"")
      )
    ) / 3600,
    0
  ),
  2
)"),61.0)</f>
        <v>61</v>
      </c>
    </row>
    <row r="38">
      <c r="A38" s="101" t="s">
        <v>4666</v>
      </c>
      <c r="B38" s="99">
        <f>IFERROR(__xludf.DUMMYFUNCTION("ROUND(
  IFERROR(
    SUM(
      FILTER(
        'Sprint 7'!S:S,
        ('Sprint 7'!E:E = ""Aek:Atiphat Nanthachitvanich"") *
        (LEFT('Sprint 7'!B:B,9) = ""DEVRDECOM"")
      )
    ) / 3600,
    0
  ),
  2
)"),24.0)</f>
        <v>24</v>
      </c>
      <c r="C38" s="99">
        <f>IFERROR(__xludf.DUMMYFUNCTION("ROUND(
  IFERROR(
    SUM(
      FILTER(
        'Sprint 7'!S:S,
        ('Sprint 7'!E:E = ""Zan : Isarapong Bulan"") *
        (LEFT('Sprint 7'!B:B,9) = ""DEVRDECOM"")
      )
    ) / 3600,
    0
  ),
  2
)"),0.0)</f>
        <v>0</v>
      </c>
      <c r="D38" s="99">
        <f>IFERROR(__xludf.DUMMYFUNCTION("ROUND(
  IFERROR(
    SUM(
      FILTER(
        'Sprint 7'!S:S,
        ('Sprint 7'!E:E = ""Aom: Pornsawan Polnyiem"") *
        (LEFT('Sprint 7'!B:B,9) = ""DEVRDECOM"")
      )
    ) / 3600,
    0
  ),
  2
)"),0.0)</f>
        <v>0</v>
      </c>
      <c r="E38" s="99">
        <f>IFERROR(__xludf.DUMMYFUNCTION("ROUND(
  IFERROR(
    SUM(
      FILTER(
        'Sprint 7'!S:S,
        ('Sprint 7'!E:E = ""Jack: Warin Kesorn"") *
        (LEFT('Sprint 7'!B:B,9) = ""DEVRDECOM"")
      )
    ) / 3600,
    0
  ),
  2
)"),0.0)</f>
        <v>0</v>
      </c>
      <c r="F38" s="99">
        <f>IFERROR(__xludf.DUMMYFUNCTION("ROUND(
  IFERROR(
    SUM(
      FILTER(
        'Sprint 7'!S:S,
        ('Sprint 7'!E:E = ""A:Phongthorn"") *
        (LEFT('Sprint 7'!B:B,9) = ""DEVRDECOM"")
      )
    ) / 3600,
    0
  ),
  2
)"),4.0)</f>
        <v>4</v>
      </c>
      <c r="G38" s="99">
        <f>IFERROR(__xludf.DUMMYFUNCTION("ROUND(
  IFERROR(
    SUM(
      FILTER(
        'Sprint 7'!S:S,
        ('Sprint 7'!E:E = ""Art_narupontp"") *
        (LEFT('Sprint 7'!B:B,9) = ""DEVRDECOM"")
      )
    ) / 3600,
    0
  ),
  2
)"),0.0)</f>
        <v>0</v>
      </c>
      <c r="H38" s="99">
        <f>IFERROR(__xludf.DUMMYFUNCTION("ROUND(
  IFERROR(
    SUM(
      FILTER(
        'Sprint 7'!S:S,
        ('Sprint 7'!E:E = ""Mai:Sateta Abvanawong"") *
        (LEFT('Sprint 7'!B:B,9) = ""DEVRDECOM"")
      )
    ) / 3600,
    0
  ),
  2
)"),0.0)</f>
        <v>0</v>
      </c>
      <c r="I38" s="99">
        <f>IFERROR(__xludf.DUMMYFUNCTION("ROUND(
  IFERROR(
    SUM(
      FILTER(
        'Sprint 7'!S:S,
        ('Sprint 7'!E:E = ""Kae: Pimonrath Jaiyen"") *
        (LEFT('Sprint 7'!B:B,9) = ""DEVRDECOM"")
      )
    ) / 3600,
    0
  ),
  2
)"),0.0)</f>
        <v>0</v>
      </c>
      <c r="J38" s="99">
        <f>IFERROR(__xludf.DUMMYFUNCTION("ROUND(
  IFERROR(
    SUM(
      FILTER(
        'Sprint 7'!S:S,
        ('Sprint 7'!E:E = ""Mac: Jarupong Pawichpongkul"") *
        (LEFT('Sprint 7'!B:B,9) = ""DEVRDECOM"")
      )
    ) / 3600,
    0
  ),
  2
)"),0.0)</f>
        <v>0</v>
      </c>
      <c r="K38" s="99">
        <f>IFERROR(__xludf.DUMMYFUNCTION("ROUND(
  IFERROR(
    SUM(
      FILTER(
        'Sprint 7'!S:S,
        ('Sprint 7'!E:E = ""Nim : muthita munmueang"") *
        (LEFT('Sprint 7'!B:B,9) = ""DEVRDECOM"")
      )
    ) / 3600,
    0
  ),
  2
)"),0.0)</f>
        <v>0</v>
      </c>
      <c r="L38" s="99">
        <f>IFERROR(__xludf.DUMMYFUNCTION("ROUND(
  IFERROR(
    SUM(
      FILTER(
        'Sprint 7'!S:S,
        ('Sprint 7'!E:E = ""Moss : Kittapath Sangvikukit"") *
        (LEFT('Sprint 7'!B:B,9) = ""DEVRDECOM"")
      )
    ) / 3600,
    0
  ),
  2
)"),0.0)</f>
        <v>0</v>
      </c>
    </row>
    <row r="39">
      <c r="A39" s="101" t="s">
        <v>4667</v>
      </c>
      <c r="B39" s="99">
        <f>IFERROR(__xludf.DUMMYFUNCTION("ROUND(
  IFERROR(
    SUM(
      FILTER(
        'Sprint 7'!S:S,
        ('Sprint 7'!E:E = ""Aek:Atiphat Nanthachitvanich"") *
        (LEFT('Sprint 7'!B:B,7) = ""DEVRDCT"")
      )
    ) / 3600,
    0
  ),
  2
)"),5.0)</f>
        <v>5</v>
      </c>
      <c r="C39" s="99">
        <f>IFERROR(__xludf.DUMMYFUNCTION("ROUND(
  IFERROR(
    SUM(
      FILTER(
        'Sprint 7'!S:S,
        ('Sprint 7'!E:E = ""Zan : Isarapong Bulan"") *
        (LEFT('Sprint 7'!B:B,7) = ""DEVRDCT"")
      )
    ) / 3600,
    0
  ),
  2
)"),0.0)</f>
        <v>0</v>
      </c>
      <c r="D39" s="99">
        <f>IFERROR(__xludf.DUMMYFUNCTION("ROUND(
  IFERROR(
    SUM(
      FILTER(
        'Sprint 7'!S:S,
        ('Sprint 7'!E:E = ""Aom: Pornsawan Polnyiem"") *
        (LEFT('Sprint 7'!B:B,7) = ""DEVRDCT"")
      )
    ) / 3600,
    0
  ),
  2
)"),0.0)</f>
        <v>0</v>
      </c>
      <c r="E39" s="99">
        <f>IFERROR(__xludf.DUMMYFUNCTION("ROUND(
  IFERROR(
    SUM(
      FILTER(
        'Sprint 7'!S:S,
        ('Sprint 7'!E:E = ""Jack: Warin Kesorn"") *
        (LEFT('Sprint 7'!B:B,7) = ""DEVRDCT"")
      )
    ) / 3600,
    0
  ),
  2
)"),3.0)</f>
        <v>3</v>
      </c>
      <c r="F39" s="99">
        <f>IFERROR(__xludf.DUMMYFUNCTION("ROUND(
  IFERROR(
    SUM(
      FILTER(
        'Sprint 7'!S:S,
        ('Sprint 7'!E:E = ""A:Phongthorn"") *
        (LEFT('Sprint 7'!B:B,7) = ""DEVRDCT"")
      )
    ) / 3600,
    0
  ),
  2
)"),2.0)</f>
        <v>2</v>
      </c>
      <c r="G39" s="99">
        <f>IFERROR(__xludf.DUMMYFUNCTION("ROUND(
  IFERROR(
    SUM(
      FILTER(
        'Sprint 7'!S:S,
        ('Sprint 7'!E:E = ""Art_narupontp"") *
        (LEFT('Sprint 7'!B:B,7) = ""DEVRDCT"")
      )
    ) / 3600,
    0
  ),
  2
)"),0.0)</f>
        <v>0</v>
      </c>
      <c r="H39" s="99">
        <f>IFERROR(__xludf.DUMMYFUNCTION("ROUND(
  IFERROR(
    SUM(
      FILTER(
        'Sprint 7'!S:S,
        ('Sprint 7'!E:E = ""Mai:Sateta Abvanawong"") *
        (LEFT('Sprint 7'!B:B,7) = ""DEVRDCT"")
      )
    ) / 3600,
    0
  ),
  2
)"),0.0)</f>
        <v>0</v>
      </c>
      <c r="I39" s="99">
        <f>IFERROR(__xludf.DUMMYFUNCTION("ROUND(
  IFERROR(
    SUM(
      FILTER(
        'Sprint 7'!S:S,
        ('Sprint 7'!E:E = ""Kae: Pimonrath Jaiyen"") *
        (LEFT('Sprint 7'!B:B,7) = ""DEVRDCT"")
      )
    ) / 3600,
    0
  ),
  2
)"),0.0)</f>
        <v>0</v>
      </c>
      <c r="J39" s="99">
        <f>IFERROR(__xludf.DUMMYFUNCTION("ROUND(
  IFERROR(
    SUM(
      FILTER(
        'Sprint 7'!S:S,
        ('Sprint 7'!E:E = ""Mac: Jarupong Pawichpongkul"") *
        (LEFT('Sprint 7'!B:B,7) = ""DEVRDCT"")
      )
    ) / 3600,
    0
  ),
  2
)"),0.0)</f>
        <v>0</v>
      </c>
      <c r="K39" s="99">
        <f>IFERROR(__xludf.DUMMYFUNCTION("ROUND(
  IFERROR(
    SUM(
      FILTER(
        'Sprint 7'!S:S,
        ('Sprint 7'!E:E = ""Nim : muthita munmueang"") *
        (LEFT('Sprint 7'!B:B,7) = ""DEVRDCT"")
      )
    ) / 3600,
    0
  ),
  2
)"),0.0)</f>
        <v>0</v>
      </c>
      <c r="L39" s="99">
        <f>IFERROR(__xludf.DUMMYFUNCTION("ROUND(
  IFERROR(
    SUM(
      FILTER(
        'Sprint 7'!S:S,
        ('Sprint 7'!E:E = ""Moss : Kittapath Sangvikukit"") *
        (LEFT('Sprint 7'!B:B,7) = ""DEVRDCT"")
      )
    ) / 3600,
    0
  ),
  2
)"),0.0)</f>
        <v>0</v>
      </c>
    </row>
    <row r="40" ht="21.0" customHeight="1">
      <c r="A40" s="101" t="s">
        <v>4668</v>
      </c>
      <c r="B40" s="99">
        <f>IFERROR(__xludf.DUMMYFUNCTION("ROUND(
  IFERROR(
    SUM(
      FILTER(
        'Sprint 7'!S:S,
        ('Sprint 7'!E:E = ""Aek:Atiphat Nanthachitvanich"") *
        (LEFT('Sprint 7'!B:B,8) = ""DEVRDADJ"")
      )
    ) / 3600,
    0
  ),
  2
)"),0.0)</f>
        <v>0</v>
      </c>
      <c r="C40" s="99">
        <f>IFERROR(__xludf.DUMMYFUNCTION("ROUND(
  IFERROR(
    SUM(
      FILTER(
        'Sprint 7'!S:S,
        ('Sprint 7'!E:E = ""Zan : Isarapong Bulan"") *
        (LEFT('Sprint 7'!B:B,8) = ""DEVRDADJ"")
      )
    ) / 3600,
    0
  ),
  2
)"),0.0)</f>
        <v>0</v>
      </c>
      <c r="D40" s="99">
        <f>IFERROR(__xludf.DUMMYFUNCTION("ROUND(
  IFERROR(
    SUM(
      FILTER(
        'Sprint 7'!S:S,
        ('Sprint 7'!E:E = ""Aom: Pornsawan Polnyiem"") *
        (LEFT('Sprint 7'!B:B,8) = ""DEVRDADJ"")
      )
    ) / 3600,
    0
  ),
  2
)"),0.0)</f>
        <v>0</v>
      </c>
      <c r="E40" s="99">
        <f>IFERROR(__xludf.DUMMYFUNCTION("ROUND(
  IFERROR(
    SUM(
      FILTER(
        'Sprint 7'!S:S,
        ('Sprint 7'!E:E = ""Jack: Warin Kesorn"") *
        (LEFT('Sprint 7'!B:B,8) = ""DEVRDADJ"")
      )
    ) / 3600,
    0
  ),
  2
)"),0.0)</f>
        <v>0</v>
      </c>
      <c r="F40" s="99">
        <f>IFERROR(__xludf.DUMMYFUNCTION("ROUND(
  IFERROR(
    SUM(
      FILTER(
        'Sprint 7'!S:S,
        ('Sprint 7'!E:E = ""A:Phongthorn"") *
        (LEFT('Sprint 7'!B:B,8) = ""DEVRDADJ"")
      )
    ) / 3600,
    0
  ),
  2
)"),0.0)</f>
        <v>0</v>
      </c>
      <c r="G40" s="99">
        <f>IFERROR(__xludf.DUMMYFUNCTION("ROUND(
  IFERROR(
    SUM(
      FILTER(
        'Sprint 7'!S:S,
        ('Sprint 7'!E:E = ""Aek:Atiphat Nanthachitvanich"") *
        (LEFT('Sprint 7'!B:B,8) = ""DEVRDADJ"")
      )
    ) / 3600,
    0
  ),
  2
)"),0.0)</f>
        <v>0</v>
      </c>
      <c r="H40" s="99">
        <f>IFERROR(__xludf.DUMMYFUNCTION("ROUND(
  IFERROR(
    SUM(
      FILTER(
        'Sprint 7'!S:S,
        ('Sprint 7'!E:E = ""Mai:Sateta Abvanawong"") *
        (LEFT('Sprint 7'!B:B,8) = ""DEVRDADJ"")
      )
    ) / 3600,
    0
  ),
  2
)"),0.0)</f>
        <v>0</v>
      </c>
      <c r="I40" s="99">
        <f>IFERROR(__xludf.DUMMYFUNCTION("ROUND(
  IFERROR(
    SUM(
      FILTER(
        'Sprint 7'!S:S,
        ('Sprint 7'!E:E = ""Kae: Pimonrath Jaiyen"") *
        (LEFT('Sprint 7'!B:B,8) = ""DEVRDADJ"")
      )
    ) / 3600,
    0
  ),
  2
)"),0.0)</f>
        <v>0</v>
      </c>
      <c r="J40" s="99">
        <f>IFERROR(__xludf.DUMMYFUNCTION("ROUND(
  IFERROR(
    SUM(
      FILTER(
        'Sprint 7'!S:S,
        ('Sprint 7'!E:E = ""Mac: Jarupong Pawichpongkul"") *
        (LEFT('Sprint 7'!B:B,8) = ""DEVRDADJ"")
      )
    ) / 3600,
    0
  ),
  2
)"),0.0)</f>
        <v>0</v>
      </c>
      <c r="K40" s="99">
        <f>IFERROR(__xludf.DUMMYFUNCTION("ROUND(
  IFERROR(
    SUM(
      FILTER(
        'Sprint 7'!S:S,
        ('Sprint 7'!E:E = ""Aek:Atiphat Nanthachitvanich"") *
        (LEFT('Sprint 7'!B:B,8) = ""DEVRDADJ"")
      )
    ) / 3600,
    0
  ),
  2
)"),0.0)</f>
        <v>0</v>
      </c>
      <c r="L40" s="99">
        <f>IFERROR(__xludf.DUMMYFUNCTION("ROUND(
  IFERROR(
    SUM(
      FILTER(
        'Sprint 7'!S:S,
        ('Sprint 7'!E:E = ""Moss : Kittapath Sangvikukit"") *
        (LEFT('Sprint 7'!B:B,8) = ""DEVRDADJ"")
      )
    ) / 3600,
    0
  ),
  2
)"),0.0)</f>
        <v>0</v>
      </c>
    </row>
    <row r="41">
      <c r="A41" s="101" t="s">
        <v>4669</v>
      </c>
      <c r="B41" s="101">
        <f>IFERROR(__xludf.DUMMYFUNCTION("ROUND(
  IFERROR(
    SUM(
      FILTER(
        'Sprint 7'!S:S,
        ('Sprint 7'!E:E = ""Aek:Atiphat Nanthachitvanich"") *
        (LEFT('Sprint 7'!B:B,5) = ""RDAPS"")
      )
    ) / 3600,
    0
  ),
  2
)"),0.17)</f>
        <v>0.17</v>
      </c>
      <c r="C41" s="99">
        <f>IFERROR(__xludf.DUMMYFUNCTION("ROUND(
  IFERROR(
    SUM(
      FILTER(
        'Sprint 7'!S:S,
        ('Sprint 7'!E:E = ""Zan : Isarapong Bulan"") *
        (LEFT('Sprint 7'!B:B,5) = ""RDAPS"")
      )
    ) / 3600,
    0
  ),
  2
)"),0.0)</f>
        <v>0</v>
      </c>
      <c r="D41" s="99">
        <f>IFERROR(__xludf.DUMMYFUNCTION("ROUND(
  IFERROR(
    SUM(
      FILTER(
        'Sprint 7'!S:S,
        ('Sprint 7'!E:E = ""Aom: Pornsawan Polnyiem"") *
        (LEFT('Sprint 7'!B:B,5) = ""RDAPS"")
      )
    ) / 3600,
    0
  ),
  2
)"),60.0)</f>
        <v>60</v>
      </c>
      <c r="E41" s="99">
        <f>IFERROR(__xludf.DUMMYFUNCTION("ROUND(
  IFERROR(
    SUM(
      FILTER(
        'Sprint 7'!S:S,
        ('Sprint 7'!E:E = ""Jack: Warin Kesorn"") *
        (LEFT('Sprint 7'!B:B,5) = ""RDAPS"")
      )
    ) / 3600,
    0
  ),
  2
)"),0.0)</f>
        <v>0</v>
      </c>
      <c r="F41" s="99">
        <f>IFERROR(__xludf.DUMMYFUNCTION("ROUND(
  IFERROR(
    SUM(
      FILTER(
        'Sprint 7'!S:S,
        ('Sprint 7'!E:E = ""A:Phongthorn"") *
        (LEFT('Sprint 7'!B:B,5) = ""RDAPS"")
      )
    ) / 3600,
    0
  ),
  2
)"),6.0)</f>
        <v>6</v>
      </c>
      <c r="G41" s="99">
        <f>IFERROR(__xludf.DUMMYFUNCTION("ROUND(
  IFERROR(
    SUM(
      FILTER(
        'Sprint 7'!S:S,
        ('Sprint 7'!E:E = ""Art_narupontp"") *
        (LEFT('Sprint 7'!B:B,5) = ""RDAPS"")
      )
    ) / 3600,
    0
  ),
  2
)"),0.0)</f>
        <v>0</v>
      </c>
      <c r="H41" s="99">
        <f>IFERROR(__xludf.DUMMYFUNCTION("ROUND(
  IFERROR(
    SUM(
      FILTER(
        'Sprint 7'!S:S,
        ('Sprint 7'!E:E = ""Mai:Sateta Abvanawong"") *
        (LEFT('Sprint 7'!B:B,5) = ""RDAPS"")
      )
    ) / 3600,
    0
  ),
  2
)"),0.0)</f>
        <v>0</v>
      </c>
      <c r="I41" s="99">
        <f>IFERROR(__xludf.DUMMYFUNCTION("ROUND(
  IFERROR(
    SUM(
      FILTER(
        'Sprint 7'!S:S,
        ('Sprint 7'!E:E = ""Kae: Pimonrath Jaiyen"") *
        (LEFT('Sprint 7'!B:B,5) = ""RDAPS"")
      )
    ) / 3600,
    0
  ),
  2
)"),2.0)</f>
        <v>2</v>
      </c>
      <c r="J41" s="99">
        <f>IFERROR(__xludf.DUMMYFUNCTION("ROUND(
  IFERROR(
    SUM(
      FILTER(
        'Sprint 7'!S:S,
        ('Sprint 7'!E:E = ""Mac: Jarupong Pawichpongkul"") *
        (LEFT('Sprint 7'!B:B,5) = ""RDAPS"")
      )
    ) / 3600,
    0
  ),
  2
)"),0.0)</f>
        <v>0</v>
      </c>
      <c r="K41" s="99">
        <f>IFERROR(__xludf.DUMMYFUNCTION("ROUND(
  IFERROR(
    SUM(
      FILTER(
        'Sprint 7'!S:S,
        ('Sprint 7'!E:E = ""Nim : muthita munmueang"") *
        (LEFT('Sprint 7'!B:B,5) = ""RDAPS"")
      )
    ) / 3600,
    0
  ),
  2
)"),0.0)</f>
        <v>0</v>
      </c>
      <c r="L41" s="99">
        <f>IFERROR(__xludf.DUMMYFUNCTION("ROUND(
  IFERROR(
    SUM(
      FILTER(
        'Sprint 7'!S:S,
        ('Sprint 7'!E:E = ""Moss : Kittapath Sangvikukit"") *
        (LEFT('Sprint 7'!B:B,5) = ""RDAPS"")
      )
    ) / 3600,
    0
  ),
  2
)"),0.0)</f>
        <v>0</v>
      </c>
    </row>
    <row r="42" ht="23.25" customHeight="1">
      <c r="A42" s="101" t="s">
        <v>4670</v>
      </c>
      <c r="B42" s="101">
        <f>IFERROR(__xludf.DUMMYFUNCTION("ROUND(
  IFERROR(
    SUM(
      FILTER(
        'Sprint 7'!S:S,
        ('Sprint 7'!E:E = ""Aek:Atiphat Nanthachitvanich"") *
        (LEFT('Sprint 7'!B:B,8) = ""DEVRDSUP"")
      )
    ) / 3600,
    0
  ),
  2
)"),1.17)</f>
        <v>1.17</v>
      </c>
      <c r="C42" s="99">
        <f>IFERROR(__xludf.DUMMYFUNCTION("ROUND(
  IFERROR(
    SUM(
      FILTER(
        'Sprint 7'!S:S,
        ('Sprint 7'!E:E = ""Zan : Isarapong Bulan"") *
        (LEFT('Sprint 7'!B:B,8) = ""DEVRDSUP"")
      )
    ) / 3600,
    0
  ),
  2
)"),0.0)</f>
        <v>0</v>
      </c>
      <c r="D42" s="99">
        <f>IFERROR(__xludf.DUMMYFUNCTION("ROUND(
  IFERROR(
    SUM(
      FILTER(
        'Sprint 7'!S:S,
        ('Sprint 7'!E:E = ""Aom: Pornsawan Polnyiem"") *
        (LEFT('Sprint 7'!B:B,8) = ""DEVRDSUP"")
      )
    ) / 3600,
    0
  ),
  2
)"),1.0)</f>
        <v>1</v>
      </c>
      <c r="E42" s="99">
        <f>IFERROR(__xludf.DUMMYFUNCTION("ROUND(
  IFERROR(
    SUM(
      FILTER(
        'Sprint 7'!S:S,
        ('Sprint 7'!E:E = ""Jack: Warin Kesorn"") *
        (LEFT('Sprint 7'!B:B,8) = ""DEVRDSUP"")
      )
    ) / 3600,
    0
  ),
  2
)"),0.0)</f>
        <v>0</v>
      </c>
      <c r="F42" s="101">
        <f>IFERROR(__xludf.DUMMYFUNCTION("ROUND(
  IFERROR(
    SUM(
      FILTER(
        'Sprint 7'!S:S,
        ('Sprint 7'!E:E = ""A:Phongthorn"") *
        (LEFT('Sprint 7'!B:B,8) = ""DEVRDSUP"")
      )
    ) / 3600,
    0
  ),
  2
)"),0.0)</f>
        <v>0</v>
      </c>
      <c r="G42" s="99">
        <f>IFERROR(__xludf.DUMMYFUNCTION("ROUND(
  IFERROR(
    SUM(
      FILTER(
        'Sprint 7'!S:S,
        ('Sprint 7'!E:E = ""Art_narupontp"") *
        (LEFT('Sprint 7'!B:B,8) = ""DEVRDSUP"")
      )
    ) / 3600,
    0
  ),
  2
)"),0.0)</f>
        <v>0</v>
      </c>
      <c r="H42" s="99">
        <f>IFERROR(__xludf.DUMMYFUNCTION("ROUND(
  IFERROR(
    SUM(
      FILTER(
        'Sprint 7'!S:S,
        ('Sprint 7'!E:E = ""Mai:Sateta Abvanawong"") *
        (LEFT('Sprint 7'!B:B,8) = ""DEVRDSUP"")
      )
    ) / 3600,
    0
  ),
  2
)"),0.0)</f>
        <v>0</v>
      </c>
      <c r="I42" s="99">
        <f>IFERROR(__xludf.DUMMYFUNCTION("ROUND(
  IFERROR(
    SUM(
      FILTER(
        'Sprint 7'!S:S,
        ('Sprint 7'!E:E = ""Kae: Pimonrath Jaiyen"") *
        (LEFT('Sprint 7'!B:B,8) = ""DEVRDSUP"")
      )
    ) / 3600,
    0
  ),
  2
)"),0.0)</f>
        <v>0</v>
      </c>
      <c r="J42" s="99">
        <f>IFERROR(__xludf.DUMMYFUNCTION("ROUND(
  IFERROR(
    SUM(
      FILTER(
        'Sprint 7'!S:S,
        ('Sprint 7'!E:E = ""Mac: Jarupong Pawichpongkul"") *
        (LEFT('Sprint 7'!B:B,8) = ""DEVRDSUP"")
      )
    ) / 3600,
    0
  ),
  2
)"),0.0)</f>
        <v>0</v>
      </c>
      <c r="K42" s="99">
        <f>IFERROR(__xludf.DUMMYFUNCTION("ROUND(
  IFERROR(
    SUM(
      FILTER(
        'Sprint 7'!S:S,
        ('Sprint 7'!E:E = ""Nim : muthita munmueang"") *
        (LEFT('Sprint 7'!B:B,8) = ""DEVRDSUP"")
      )
    ) / 3600,
    0
  ),
  2
)"),0.0)</f>
        <v>0</v>
      </c>
      <c r="L42" s="99">
        <f>IFERROR(__xludf.DUMMYFUNCTION("ROUND(
  IFERROR(
    SUM(
      FILTER(
        'Sprint 7'!S:S,
        ('Sprint 7'!E:E = ""Moss : Kittapath Sangvikukit"") *
        (LEFT('Sprint 7'!B:B,8) = ""DEVRDSUP"")
      )
    ) / 3600,
    0
  ),
  2
)"),0.0)</f>
        <v>0</v>
      </c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  <row r="988">
      <c r="C988" s="125"/>
    </row>
    <row r="989">
      <c r="C989" s="125"/>
    </row>
    <row r="990">
      <c r="C990" s="125"/>
    </row>
    <row r="991">
      <c r="C991" s="125"/>
    </row>
    <row r="992">
      <c r="C992" s="125"/>
    </row>
    <row r="993">
      <c r="C993" s="125"/>
    </row>
    <row r="994">
      <c r="C994" s="125"/>
    </row>
    <row r="995">
      <c r="C995" s="125"/>
    </row>
    <row r="996">
      <c r="C996" s="125"/>
    </row>
    <row r="997">
      <c r="C997" s="125"/>
    </row>
    <row r="998">
      <c r="C998" s="125"/>
    </row>
    <row r="999">
      <c r="C999" s="125"/>
    </row>
    <row r="1000">
      <c r="C1000" s="125"/>
    </row>
    <row r="1001">
      <c r="C1001" s="125"/>
    </row>
    <row r="1002">
      <c r="C1002" s="125"/>
    </row>
    <row r="1003">
      <c r="C1003" s="125"/>
    </row>
    <row r="1004">
      <c r="C1004" s="125"/>
    </row>
    <row r="1005">
      <c r="C1005" s="125"/>
    </row>
    <row r="1006">
      <c r="C1006" s="125"/>
    </row>
    <row r="1007">
      <c r="C1007" s="125"/>
    </row>
  </sheetData>
  <mergeCells count="6">
    <mergeCell ref="B25:E25"/>
    <mergeCell ref="F25:H25"/>
    <mergeCell ref="I25:L25"/>
    <mergeCell ref="B35:E35"/>
    <mergeCell ref="F35:H35"/>
    <mergeCell ref="I35:L35"/>
  </mergeCells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0"/>
    <col customWidth="1" min="20" max="20" width="17.5"/>
    <col customWidth="1" min="21" max="21" width="21.25"/>
    <col customWidth="1" min="22" max="22" width="20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49" t="s">
        <v>3245</v>
      </c>
      <c r="U1" s="115" t="s">
        <v>9593</v>
      </c>
      <c r="V1" s="115" t="s">
        <v>6</v>
      </c>
      <c r="W1" s="102" t="s">
        <v>70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  <c r="AD1" s="102" t="s">
        <v>70</v>
      </c>
      <c r="AE1" s="88"/>
      <c r="AF1" s="88"/>
    </row>
    <row r="2" hidden="1">
      <c r="A2" s="102" t="s">
        <v>332</v>
      </c>
      <c r="B2" s="102" t="s">
        <v>9228</v>
      </c>
      <c r="C2" s="229" t="s">
        <v>9229</v>
      </c>
      <c r="D2" s="102" t="s">
        <v>9230</v>
      </c>
      <c r="E2" s="102" t="s">
        <v>495</v>
      </c>
      <c r="F2" s="102" t="s">
        <v>496</v>
      </c>
      <c r="G2" s="102" t="s">
        <v>3288</v>
      </c>
      <c r="H2" s="102" t="s">
        <v>3289</v>
      </c>
      <c r="I2" s="102" t="s">
        <v>284</v>
      </c>
      <c r="J2" s="102" t="s">
        <v>2231</v>
      </c>
      <c r="L2" s="229" t="s">
        <v>9231</v>
      </c>
      <c r="M2" s="229" t="s">
        <v>9594</v>
      </c>
      <c r="O2" s="230"/>
      <c r="S2" s="230"/>
      <c r="T2" s="230" t="str">
        <f>IF(ISNUMBER(MATCH(B2, 'Sprint 6'!B:B, 0)), "มาจาก Sprint 6", "")</f>
        <v/>
      </c>
      <c r="U2" s="230" t="str">
        <f t="array" ref="U2">IF(ISNUMBER(MATCH(B2, 'Sprint 6'!B:B, 0)), INDEX('Sprint 6'!J:J, MATCH(B2, 'Sprint 6'!B:B, 0)), "")</f>
        <v/>
      </c>
      <c r="V2" s="230"/>
      <c r="W2" s="102" t="s">
        <v>5944</v>
      </c>
      <c r="X2" s="102"/>
      <c r="Y2" s="102"/>
    </row>
    <row r="3" hidden="1">
      <c r="A3" s="102" t="s">
        <v>310</v>
      </c>
      <c r="B3" s="102" t="s">
        <v>9595</v>
      </c>
      <c r="C3" s="229" t="s">
        <v>9596</v>
      </c>
      <c r="D3" s="102" t="s">
        <v>9597</v>
      </c>
      <c r="E3" s="102" t="s">
        <v>282</v>
      </c>
      <c r="F3" s="102" t="s">
        <v>283</v>
      </c>
      <c r="G3" s="102" t="s">
        <v>282</v>
      </c>
      <c r="H3" s="102" t="s">
        <v>283</v>
      </c>
      <c r="I3" s="102" t="s">
        <v>284</v>
      </c>
      <c r="J3" s="102" t="s">
        <v>34</v>
      </c>
      <c r="L3" s="229" t="s">
        <v>9598</v>
      </c>
      <c r="M3" s="229" t="s">
        <v>7639</v>
      </c>
      <c r="O3" s="102">
        <v>5.0</v>
      </c>
      <c r="S3" s="230"/>
      <c r="T3" s="230" t="str">
        <f>IF(ISNUMBER(MATCH(B3, 'Sprint 6'!B:B, 0)), "มาจาก Sprint 6", "")</f>
        <v/>
      </c>
      <c r="U3" s="230" t="str">
        <f t="array" ref="U3">IF(ISNUMBER(MATCH(B3, 'Sprint 6'!B:B, 0)), INDEX('Sprint 6'!J:J, MATCH(B3, 'Sprint 6'!B:B, 0)), "")</f>
        <v/>
      </c>
      <c r="V3" s="230"/>
      <c r="W3" s="102" t="s">
        <v>5944</v>
      </c>
      <c r="X3" s="102"/>
      <c r="Y3" s="102"/>
    </row>
    <row r="4" hidden="1">
      <c r="A4" s="102" t="s">
        <v>310</v>
      </c>
      <c r="B4" s="102" t="s">
        <v>9599</v>
      </c>
      <c r="C4" s="229" t="s">
        <v>9600</v>
      </c>
      <c r="D4" s="102" t="s">
        <v>9601</v>
      </c>
      <c r="E4" s="102" t="s">
        <v>282</v>
      </c>
      <c r="F4" s="102" t="s">
        <v>283</v>
      </c>
      <c r="G4" s="102" t="s">
        <v>282</v>
      </c>
      <c r="H4" s="102" t="s">
        <v>283</v>
      </c>
      <c r="I4" s="102" t="s">
        <v>284</v>
      </c>
      <c r="J4" s="102" t="s">
        <v>26</v>
      </c>
      <c r="L4" s="229" t="s">
        <v>9602</v>
      </c>
      <c r="M4" s="229" t="s">
        <v>9603</v>
      </c>
      <c r="O4" s="102">
        <v>3.0</v>
      </c>
      <c r="P4" s="102" t="s">
        <v>4656</v>
      </c>
      <c r="S4" s="102">
        <v>57600.0</v>
      </c>
      <c r="T4" s="230" t="str">
        <f>IF(ISNUMBER(MATCH(B4, 'Sprint 6'!B:B, 0)), "มาจาก Sprint 6", "")</f>
        <v/>
      </c>
      <c r="U4" s="230" t="str">
        <f t="array" ref="U4">IF(ISNUMBER(MATCH(B4, 'Sprint 6'!B:B, 0)), INDEX('Sprint 6'!J:J, MATCH(B4, 'Sprint 6'!B:B, 0)), "")</f>
        <v/>
      </c>
      <c r="V4" s="102"/>
      <c r="W4" s="102" t="s">
        <v>4968</v>
      </c>
      <c r="X4" s="102"/>
      <c r="Y4" s="102"/>
    </row>
    <row r="5" hidden="1">
      <c r="A5" s="102" t="s">
        <v>310</v>
      </c>
      <c r="B5" s="102" t="s">
        <v>8594</v>
      </c>
      <c r="C5" s="229" t="s">
        <v>8595</v>
      </c>
      <c r="D5" s="102" t="s">
        <v>8596</v>
      </c>
      <c r="E5" s="102"/>
      <c r="F5" s="102"/>
      <c r="G5" s="102" t="s">
        <v>353</v>
      </c>
      <c r="H5" s="102" t="s">
        <v>354</v>
      </c>
      <c r="I5" s="102" t="s">
        <v>284</v>
      </c>
      <c r="J5" s="102" t="s">
        <v>63</v>
      </c>
      <c r="L5" s="229" t="s">
        <v>8597</v>
      </c>
      <c r="M5" s="229" t="s">
        <v>9604</v>
      </c>
      <c r="O5" s="102">
        <v>5.0</v>
      </c>
      <c r="S5" s="230"/>
      <c r="T5" s="230" t="str">
        <f>IF(ISNUMBER(MATCH(B5, 'Sprint 6'!B:B, 0)), "มาจาก Sprint 6", "")</f>
        <v/>
      </c>
      <c r="U5" s="230" t="str">
        <f t="array" ref="U5">IF(ISNUMBER(MATCH(B5, 'Sprint 6'!B:B, 0)), INDEX('Sprint 6'!J:J, MATCH(B5, 'Sprint 6'!B:B, 0)), "")</f>
        <v/>
      </c>
      <c r="V5" s="230"/>
      <c r="W5" s="102" t="s">
        <v>8981</v>
      </c>
      <c r="X5" s="102"/>
      <c r="Y5" s="102"/>
    </row>
    <row r="6" hidden="1">
      <c r="A6" s="102" t="s">
        <v>310</v>
      </c>
      <c r="B6" s="102" t="s">
        <v>9277</v>
      </c>
      <c r="C6" s="229" t="s">
        <v>9278</v>
      </c>
      <c r="D6" s="102" t="s">
        <v>9279</v>
      </c>
      <c r="E6" s="102"/>
      <c r="F6" s="102"/>
      <c r="G6" s="102" t="s">
        <v>353</v>
      </c>
      <c r="H6" s="102" t="s">
        <v>354</v>
      </c>
      <c r="I6" s="102" t="s">
        <v>284</v>
      </c>
      <c r="J6" s="102" t="s">
        <v>63</v>
      </c>
      <c r="L6" s="229" t="s">
        <v>9280</v>
      </c>
      <c r="M6" s="229" t="s">
        <v>9605</v>
      </c>
      <c r="O6" s="102">
        <v>2.0</v>
      </c>
      <c r="S6" s="230"/>
      <c r="T6" s="230" t="str">
        <f>IF(ISNUMBER(MATCH(B6, 'Sprint 6'!B:B, 0)), "มาจาก Sprint 6", "")</f>
        <v/>
      </c>
      <c r="U6" s="230" t="str">
        <f t="array" ref="U6">IF(ISNUMBER(MATCH(B6, 'Sprint 6'!B:B, 0)), INDEX('Sprint 6'!J:J, MATCH(B6, 'Sprint 6'!B:B, 0)), "")</f>
        <v/>
      </c>
      <c r="V6" s="230"/>
      <c r="W6" s="102" t="s">
        <v>8981</v>
      </c>
      <c r="X6" s="102"/>
      <c r="Y6" s="102"/>
    </row>
    <row r="7" hidden="1">
      <c r="A7" s="102" t="s">
        <v>310</v>
      </c>
      <c r="B7" s="102" t="s">
        <v>8598</v>
      </c>
      <c r="C7" s="229" t="s">
        <v>8599</v>
      </c>
      <c r="D7" s="102" t="s">
        <v>8600</v>
      </c>
      <c r="E7" s="102"/>
      <c r="F7" s="102"/>
      <c r="G7" s="102" t="s">
        <v>353</v>
      </c>
      <c r="H7" s="102" t="s">
        <v>354</v>
      </c>
      <c r="I7" s="102" t="s">
        <v>284</v>
      </c>
      <c r="J7" s="102" t="s">
        <v>63</v>
      </c>
      <c r="L7" s="229" t="s">
        <v>8601</v>
      </c>
      <c r="M7" s="229" t="s">
        <v>9604</v>
      </c>
      <c r="O7" s="102">
        <v>2.0</v>
      </c>
      <c r="S7" s="230"/>
      <c r="T7" s="230" t="str">
        <f>IF(ISNUMBER(MATCH(B7, 'Sprint 6'!B:B, 0)), "มาจาก Sprint 6", "")</f>
        <v/>
      </c>
      <c r="U7" s="230" t="str">
        <f t="array" ref="U7">IF(ISNUMBER(MATCH(B7, 'Sprint 6'!B:B, 0)), INDEX('Sprint 6'!J:J, MATCH(B7, 'Sprint 6'!B:B, 0)), "")</f>
        <v/>
      </c>
      <c r="V7" s="230"/>
      <c r="W7" s="102" t="s">
        <v>8981</v>
      </c>
      <c r="X7" s="102"/>
    </row>
    <row r="8" hidden="1">
      <c r="A8" s="102" t="s">
        <v>276</v>
      </c>
      <c r="B8" s="102" t="s">
        <v>9282</v>
      </c>
      <c r="C8" s="229" t="s">
        <v>9283</v>
      </c>
      <c r="D8" s="102" t="s">
        <v>9284</v>
      </c>
      <c r="E8" s="102" t="s">
        <v>391</v>
      </c>
      <c r="F8" s="102" t="s">
        <v>392</v>
      </c>
      <c r="G8" s="102" t="s">
        <v>391</v>
      </c>
      <c r="H8" s="102" t="s">
        <v>392</v>
      </c>
      <c r="I8" s="102" t="s">
        <v>284</v>
      </c>
      <c r="J8" s="102" t="s">
        <v>34</v>
      </c>
      <c r="L8" s="229" t="s">
        <v>9285</v>
      </c>
      <c r="M8" s="229" t="s">
        <v>9285</v>
      </c>
      <c r="O8" s="230"/>
      <c r="S8" s="230"/>
      <c r="T8" s="230" t="str">
        <f>IF(ISNUMBER(MATCH(B8, 'Sprint 6'!B:B, 0)), "มาจาก Sprint 6", "")</f>
        <v/>
      </c>
      <c r="U8" s="230" t="str">
        <f t="array" ref="U8">IF(ISNUMBER(MATCH(B8, 'Sprint 6'!B:B, 0)), INDEX('Sprint 6'!J:J, MATCH(B8, 'Sprint 6'!B:B, 0)), "")</f>
        <v/>
      </c>
      <c r="V8" s="230"/>
      <c r="W8" s="102" t="s">
        <v>7695</v>
      </c>
      <c r="X8" s="102" t="s">
        <v>7696</v>
      </c>
      <c r="Y8" s="102" t="s">
        <v>5944</v>
      </c>
    </row>
    <row r="9" hidden="1">
      <c r="A9" s="102" t="s">
        <v>276</v>
      </c>
      <c r="B9" s="102" t="s">
        <v>9287</v>
      </c>
      <c r="C9" s="229" t="s">
        <v>9288</v>
      </c>
      <c r="D9" s="102" t="s">
        <v>9284</v>
      </c>
      <c r="E9" s="102" t="s">
        <v>391</v>
      </c>
      <c r="F9" s="102" t="s">
        <v>392</v>
      </c>
      <c r="G9" s="102" t="s">
        <v>391</v>
      </c>
      <c r="H9" s="102" t="s">
        <v>392</v>
      </c>
      <c r="I9" s="102" t="s">
        <v>284</v>
      </c>
      <c r="J9" s="102" t="s">
        <v>34</v>
      </c>
      <c r="L9" s="229" t="s">
        <v>9285</v>
      </c>
      <c r="M9" s="229" t="s">
        <v>9285</v>
      </c>
      <c r="O9" s="230"/>
      <c r="S9" s="230"/>
      <c r="T9" s="230" t="str">
        <f>IF(ISNUMBER(MATCH(B9, 'Sprint 6'!B:B, 0)), "มาจาก Sprint 6", "")</f>
        <v/>
      </c>
      <c r="U9" s="230" t="str">
        <f t="array" ref="U9">IF(ISNUMBER(MATCH(B9, 'Sprint 6'!B:B, 0)), INDEX('Sprint 6'!J:J, MATCH(B9, 'Sprint 6'!B:B, 0)), "")</f>
        <v/>
      </c>
      <c r="V9" s="230"/>
      <c r="W9" s="102" t="s">
        <v>7695</v>
      </c>
      <c r="X9" s="102" t="s">
        <v>7696</v>
      </c>
      <c r="Y9" s="102" t="s">
        <v>5944</v>
      </c>
    </row>
    <row r="10" hidden="1">
      <c r="A10" s="102" t="s">
        <v>276</v>
      </c>
      <c r="B10" s="102" t="s">
        <v>9290</v>
      </c>
      <c r="C10" s="229" t="s">
        <v>9291</v>
      </c>
      <c r="D10" s="102" t="s">
        <v>9284</v>
      </c>
      <c r="E10" s="102" t="s">
        <v>391</v>
      </c>
      <c r="F10" s="102" t="s">
        <v>392</v>
      </c>
      <c r="G10" s="102" t="s">
        <v>391</v>
      </c>
      <c r="H10" s="102" t="s">
        <v>392</v>
      </c>
      <c r="I10" s="102" t="s">
        <v>284</v>
      </c>
      <c r="J10" s="102" t="s">
        <v>34</v>
      </c>
      <c r="L10" s="229" t="s">
        <v>9285</v>
      </c>
      <c r="M10" s="229" t="s">
        <v>9606</v>
      </c>
      <c r="O10" s="230"/>
      <c r="S10" s="230"/>
      <c r="T10" s="230" t="str">
        <f>IF(ISNUMBER(MATCH(B10, 'Sprint 6'!B:B, 0)), "มาจาก Sprint 6", "")</f>
        <v/>
      </c>
      <c r="U10" s="230" t="str">
        <f t="array" ref="U10">IF(ISNUMBER(MATCH(B10, 'Sprint 6'!B:B, 0)), INDEX('Sprint 6'!J:J, MATCH(B10, 'Sprint 6'!B:B, 0)), "")</f>
        <v/>
      </c>
      <c r="V10" s="230"/>
      <c r="W10" s="102" t="s">
        <v>7695</v>
      </c>
      <c r="X10" s="102" t="s">
        <v>7696</v>
      </c>
      <c r="Y10" s="102" t="s">
        <v>5944</v>
      </c>
    </row>
    <row r="11" hidden="1">
      <c r="A11" s="102" t="s">
        <v>276</v>
      </c>
      <c r="B11" s="102" t="s">
        <v>9293</v>
      </c>
      <c r="C11" s="229" t="s">
        <v>9294</v>
      </c>
      <c r="D11" s="102" t="s">
        <v>9284</v>
      </c>
      <c r="E11" s="102" t="s">
        <v>391</v>
      </c>
      <c r="F11" s="102" t="s">
        <v>392</v>
      </c>
      <c r="G11" s="102" t="s">
        <v>391</v>
      </c>
      <c r="H11" s="102" t="s">
        <v>392</v>
      </c>
      <c r="I11" s="102" t="s">
        <v>284</v>
      </c>
      <c r="J11" s="102" t="s">
        <v>34</v>
      </c>
      <c r="L11" s="229" t="s">
        <v>9285</v>
      </c>
      <c r="M11" s="229" t="s">
        <v>9285</v>
      </c>
      <c r="N11" s="102"/>
      <c r="O11" s="102"/>
      <c r="P11" s="102"/>
      <c r="Q11" s="102"/>
      <c r="S11" s="230"/>
      <c r="T11" s="230" t="str">
        <f>IF(ISNUMBER(MATCH(B11, 'Sprint 6'!B:B, 0)), "มาจาก Sprint 6", "")</f>
        <v/>
      </c>
      <c r="U11" s="230" t="str">
        <f t="array" ref="U11">IF(ISNUMBER(MATCH(B11, 'Sprint 6'!B:B, 0)), INDEX('Sprint 6'!J:J, MATCH(B11, 'Sprint 6'!B:B, 0)), "")</f>
        <v/>
      </c>
      <c r="V11" s="230"/>
      <c r="W11" s="102" t="s">
        <v>7695</v>
      </c>
      <c r="X11" s="102" t="s">
        <v>7696</v>
      </c>
      <c r="Y11" s="102" t="s">
        <v>5944</v>
      </c>
    </row>
    <row r="12" hidden="1">
      <c r="A12" s="102" t="s">
        <v>276</v>
      </c>
      <c r="B12" s="102" t="s">
        <v>9296</v>
      </c>
      <c r="C12" s="229" t="s">
        <v>9297</v>
      </c>
      <c r="D12" s="102" t="s">
        <v>9284</v>
      </c>
      <c r="E12" s="102" t="s">
        <v>391</v>
      </c>
      <c r="F12" s="102" t="s">
        <v>392</v>
      </c>
      <c r="G12" s="102" t="s">
        <v>391</v>
      </c>
      <c r="H12" s="102" t="s">
        <v>392</v>
      </c>
      <c r="I12" s="102" t="s">
        <v>284</v>
      </c>
      <c r="J12" s="102" t="s">
        <v>34</v>
      </c>
      <c r="L12" s="229" t="s">
        <v>9298</v>
      </c>
      <c r="M12" s="229" t="s">
        <v>9298</v>
      </c>
      <c r="O12" s="230"/>
      <c r="S12" s="230"/>
      <c r="T12" s="230" t="str">
        <f>IF(ISNUMBER(MATCH(B12, 'Sprint 6'!B:B, 0)), "มาจาก Sprint 6", "")</f>
        <v/>
      </c>
      <c r="U12" s="230" t="str">
        <f t="array" ref="U12">IF(ISNUMBER(MATCH(B12, 'Sprint 6'!B:B, 0)), INDEX('Sprint 6'!J:J, MATCH(B12, 'Sprint 6'!B:B, 0)), "")</f>
        <v/>
      </c>
      <c r="V12" s="230"/>
      <c r="W12" s="102" t="s">
        <v>7695</v>
      </c>
      <c r="X12" s="102" t="s">
        <v>7696</v>
      </c>
      <c r="Y12" s="102" t="s">
        <v>5944</v>
      </c>
      <c r="Z12" s="102"/>
    </row>
    <row r="13" hidden="1">
      <c r="A13" s="102" t="s">
        <v>276</v>
      </c>
      <c r="B13" s="102" t="s">
        <v>9607</v>
      </c>
      <c r="C13" s="229" t="s">
        <v>9608</v>
      </c>
      <c r="D13" s="102" t="s">
        <v>1567</v>
      </c>
      <c r="E13" s="102" t="s">
        <v>391</v>
      </c>
      <c r="F13" s="102" t="s">
        <v>392</v>
      </c>
      <c r="G13" s="102" t="s">
        <v>391</v>
      </c>
      <c r="H13" s="102" t="s">
        <v>392</v>
      </c>
      <c r="I13" s="102" t="s">
        <v>284</v>
      </c>
      <c r="J13" s="102" t="s">
        <v>26</v>
      </c>
      <c r="L13" s="229" t="s">
        <v>9609</v>
      </c>
      <c r="M13" s="229" t="s">
        <v>9610</v>
      </c>
      <c r="O13" s="230"/>
      <c r="S13" s="230"/>
      <c r="T13" s="230" t="str">
        <f>IF(ISNUMBER(MATCH(B13, 'Sprint 6'!B:B, 0)), "มาจาก Sprint 6", "")</f>
        <v/>
      </c>
      <c r="U13" s="230" t="str">
        <f t="array" ref="U13">IF(ISNUMBER(MATCH(B13, 'Sprint 6'!B:B, 0)), INDEX('Sprint 6'!J:J, MATCH(B13, 'Sprint 6'!B:B, 0)), "")</f>
        <v/>
      </c>
      <c r="V13" s="230"/>
      <c r="W13" s="102" t="s">
        <v>4967</v>
      </c>
      <c r="X13" s="102" t="s">
        <v>4968</v>
      </c>
      <c r="Y13" s="102"/>
      <c r="Z13" s="102"/>
    </row>
    <row r="14" hidden="1">
      <c r="A14" s="102" t="s">
        <v>332</v>
      </c>
      <c r="B14" s="102" t="s">
        <v>9300</v>
      </c>
      <c r="C14" s="229" t="s">
        <v>9301</v>
      </c>
      <c r="D14" s="102" t="s">
        <v>9302</v>
      </c>
      <c r="E14" s="102" t="s">
        <v>353</v>
      </c>
      <c r="F14" s="102" t="s">
        <v>354</v>
      </c>
      <c r="G14" s="102" t="s">
        <v>3288</v>
      </c>
      <c r="H14" s="102" t="s">
        <v>3289</v>
      </c>
      <c r="I14" s="102" t="s">
        <v>284</v>
      </c>
      <c r="J14" s="102" t="s">
        <v>1075</v>
      </c>
      <c r="L14" s="229" t="s">
        <v>9303</v>
      </c>
      <c r="M14" s="229" t="s">
        <v>9611</v>
      </c>
      <c r="O14" s="230"/>
      <c r="S14" s="230"/>
      <c r="T14" s="230" t="str">
        <f>IF(ISNUMBER(MATCH(B14, 'Sprint 6'!B:B, 0)), "มาจาก Sprint 6", "")</f>
        <v/>
      </c>
      <c r="U14" s="230" t="str">
        <f t="array" ref="U14">IF(ISNUMBER(MATCH(B14, 'Sprint 6'!B:B, 0)), INDEX('Sprint 6'!J:J, MATCH(B14, 'Sprint 6'!B:B, 0)), "")</f>
        <v/>
      </c>
      <c r="V14" s="230"/>
      <c r="W14" s="102" t="s">
        <v>5944</v>
      </c>
      <c r="X14" s="102"/>
      <c r="Y14" s="102"/>
    </row>
    <row r="15" hidden="1">
      <c r="A15" s="102" t="s">
        <v>276</v>
      </c>
      <c r="B15" s="102" t="s">
        <v>9305</v>
      </c>
      <c r="C15" s="229" t="s">
        <v>9306</v>
      </c>
      <c r="D15" s="102" t="s">
        <v>9307</v>
      </c>
      <c r="E15" s="102" t="s">
        <v>521</v>
      </c>
      <c r="F15" s="102" t="s">
        <v>522</v>
      </c>
      <c r="G15" s="102" t="s">
        <v>521</v>
      </c>
      <c r="H15" s="102" t="s">
        <v>522</v>
      </c>
      <c r="I15" s="102" t="s">
        <v>284</v>
      </c>
      <c r="J15" s="102" t="s">
        <v>34</v>
      </c>
      <c r="L15" s="229" t="s">
        <v>9308</v>
      </c>
      <c r="M15" s="229" t="s">
        <v>9308</v>
      </c>
      <c r="O15" s="230"/>
      <c r="S15" s="230"/>
      <c r="T15" s="230" t="str">
        <f>IF(ISNUMBER(MATCH(B15, 'Sprint 6'!B:B, 0)), "มาจาก Sprint 6", "")</f>
        <v/>
      </c>
      <c r="U15" s="230" t="str">
        <f t="array" ref="U15">IF(ISNUMBER(MATCH(B15, 'Sprint 6'!B:B, 0)), INDEX('Sprint 6'!J:J, MATCH(B15, 'Sprint 6'!B:B, 0)), "")</f>
        <v/>
      </c>
      <c r="V15" s="230"/>
      <c r="W15" s="102" t="s">
        <v>7695</v>
      </c>
      <c r="X15" s="102" t="s">
        <v>7696</v>
      </c>
      <c r="Y15" s="102" t="s">
        <v>5944</v>
      </c>
    </row>
    <row r="16" hidden="1">
      <c r="A16" s="102" t="s">
        <v>276</v>
      </c>
      <c r="B16" s="102" t="s">
        <v>9310</v>
      </c>
      <c r="C16" s="229" t="s">
        <v>9311</v>
      </c>
      <c r="D16" s="102" t="s">
        <v>9312</v>
      </c>
      <c r="E16" s="102" t="s">
        <v>521</v>
      </c>
      <c r="F16" s="102" t="s">
        <v>522</v>
      </c>
      <c r="G16" s="102" t="s">
        <v>521</v>
      </c>
      <c r="H16" s="102" t="s">
        <v>522</v>
      </c>
      <c r="I16" s="102" t="s">
        <v>284</v>
      </c>
      <c r="J16" s="102" t="s">
        <v>34</v>
      </c>
      <c r="L16" s="229" t="s">
        <v>9308</v>
      </c>
      <c r="M16" s="229" t="s">
        <v>9308</v>
      </c>
      <c r="O16" s="230"/>
      <c r="S16" s="230"/>
      <c r="T16" s="230" t="str">
        <f>IF(ISNUMBER(MATCH(B16, 'Sprint 6'!B:B, 0)), "มาจาก Sprint 6", "")</f>
        <v/>
      </c>
      <c r="U16" s="230" t="str">
        <f t="array" ref="U16">IF(ISNUMBER(MATCH(B16, 'Sprint 6'!B:B, 0)), INDEX('Sprint 6'!J:J, MATCH(B16, 'Sprint 6'!B:B, 0)), "")</f>
        <v/>
      </c>
      <c r="V16" s="230"/>
      <c r="W16" s="102" t="s">
        <v>7695</v>
      </c>
      <c r="X16" s="102" t="s">
        <v>7696</v>
      </c>
      <c r="Y16" s="102" t="s">
        <v>5944</v>
      </c>
    </row>
    <row r="17" hidden="1">
      <c r="A17" s="102" t="s">
        <v>310</v>
      </c>
      <c r="B17" s="102" t="s">
        <v>9612</v>
      </c>
      <c r="C17" s="229" t="s">
        <v>9613</v>
      </c>
      <c r="D17" s="102" t="s">
        <v>9614</v>
      </c>
      <c r="E17" s="102" t="s">
        <v>314</v>
      </c>
      <c r="F17" s="102" t="s">
        <v>315</v>
      </c>
      <c r="G17" s="102" t="s">
        <v>316</v>
      </c>
      <c r="H17" s="102" t="s">
        <v>317</v>
      </c>
      <c r="I17" s="102" t="s">
        <v>515</v>
      </c>
      <c r="J17" s="102" t="s">
        <v>26</v>
      </c>
      <c r="L17" s="229" t="s">
        <v>9615</v>
      </c>
      <c r="M17" s="229" t="s">
        <v>9616</v>
      </c>
      <c r="N17" s="229" t="s">
        <v>7761</v>
      </c>
      <c r="O17" s="102">
        <v>1.0</v>
      </c>
      <c r="P17" s="102" t="s">
        <v>4656</v>
      </c>
      <c r="Q17" s="102" t="s">
        <v>474</v>
      </c>
      <c r="S17" s="102">
        <v>1800.0</v>
      </c>
      <c r="T17" s="230" t="str">
        <f>IF(ISNUMBER(MATCH(B17, 'Sprint 6'!B:B, 0)), "มาจาก Sprint 6", "")</f>
        <v/>
      </c>
      <c r="U17" s="230" t="str">
        <f t="array" ref="U17">IF(ISNUMBER(MATCH(B17, 'Sprint 6'!B:B, 0)), INDEX('Sprint 6'!J:J, MATCH(B17, 'Sprint 6'!B:B, 0)), "")</f>
        <v/>
      </c>
      <c r="V17" s="102"/>
      <c r="W17" s="102" t="s">
        <v>4968</v>
      </c>
    </row>
    <row r="18" hidden="1">
      <c r="A18" s="102" t="s">
        <v>276</v>
      </c>
      <c r="B18" s="102" t="s">
        <v>9617</v>
      </c>
      <c r="C18" s="229" t="s">
        <v>9618</v>
      </c>
      <c r="D18" s="102" t="s">
        <v>9619</v>
      </c>
      <c r="E18" s="102" t="s">
        <v>521</v>
      </c>
      <c r="F18" s="102" t="s">
        <v>522</v>
      </c>
      <c r="G18" s="102" t="s">
        <v>521</v>
      </c>
      <c r="H18" s="102" t="s">
        <v>522</v>
      </c>
      <c r="I18" s="102" t="s">
        <v>284</v>
      </c>
      <c r="J18" s="102" t="s">
        <v>26</v>
      </c>
      <c r="L18" s="229" t="s">
        <v>9620</v>
      </c>
      <c r="M18" s="229" t="s">
        <v>9621</v>
      </c>
      <c r="O18" s="230"/>
      <c r="S18" s="230"/>
      <c r="T18" s="230" t="str">
        <f>IF(ISNUMBER(MATCH(B18, 'Sprint 6'!B:B, 0)), "มาจาก Sprint 6", "")</f>
        <v/>
      </c>
      <c r="U18" s="230" t="str">
        <f t="array" ref="U18">IF(ISNUMBER(MATCH(B18, 'Sprint 6'!B:B, 0)), INDEX('Sprint 6'!J:J, MATCH(B18, 'Sprint 6'!B:B, 0)), "")</f>
        <v/>
      </c>
      <c r="V18" s="230"/>
      <c r="W18" s="102" t="s">
        <v>7695</v>
      </c>
      <c r="X18" s="102" t="s">
        <v>9183</v>
      </c>
      <c r="Y18" s="102" t="s">
        <v>9184</v>
      </c>
      <c r="Z18" s="102" t="s">
        <v>8754</v>
      </c>
    </row>
    <row r="19" hidden="1">
      <c r="A19" s="102" t="s">
        <v>276</v>
      </c>
      <c r="B19" s="102" t="s">
        <v>9622</v>
      </c>
      <c r="C19" s="229" t="s">
        <v>9623</v>
      </c>
      <c r="D19" s="102" t="s">
        <v>9624</v>
      </c>
      <c r="E19" s="102" t="s">
        <v>521</v>
      </c>
      <c r="F19" s="102" t="s">
        <v>522</v>
      </c>
      <c r="G19" s="102" t="s">
        <v>521</v>
      </c>
      <c r="H19" s="102" t="s">
        <v>522</v>
      </c>
      <c r="I19" s="102" t="s">
        <v>284</v>
      </c>
      <c r="J19" s="102" t="s">
        <v>26</v>
      </c>
      <c r="L19" s="229" t="s">
        <v>9625</v>
      </c>
      <c r="M19" s="229" t="s">
        <v>9626</v>
      </c>
      <c r="O19" s="230"/>
      <c r="S19" s="230"/>
      <c r="T19" s="230" t="str">
        <f>IF(ISNUMBER(MATCH(B19, 'Sprint 6'!B:B, 0)), "มาจาก Sprint 6", "")</f>
        <v/>
      </c>
      <c r="U19" s="230" t="str">
        <f t="array" ref="U19">IF(ISNUMBER(MATCH(B19, 'Sprint 6'!B:B, 0)), INDEX('Sprint 6'!J:J, MATCH(B19, 'Sprint 6'!B:B, 0)), "")</f>
        <v/>
      </c>
      <c r="V19" s="230"/>
      <c r="W19" s="102" t="s">
        <v>7695</v>
      </c>
      <c r="X19" s="102" t="s">
        <v>9183</v>
      </c>
      <c r="Y19" s="102" t="s">
        <v>9184</v>
      </c>
      <c r="Z19" s="102" t="s">
        <v>8754</v>
      </c>
    </row>
    <row r="20" hidden="1">
      <c r="A20" s="102" t="s">
        <v>276</v>
      </c>
      <c r="B20" s="102" t="s">
        <v>9627</v>
      </c>
      <c r="C20" s="229" t="s">
        <v>9628</v>
      </c>
      <c r="D20" s="102" t="s">
        <v>1567</v>
      </c>
      <c r="E20" s="102"/>
      <c r="F20" s="102"/>
      <c r="G20" s="102" t="s">
        <v>391</v>
      </c>
      <c r="H20" s="102" t="s">
        <v>392</v>
      </c>
      <c r="I20" s="102" t="s">
        <v>284</v>
      </c>
      <c r="J20" s="102" t="s">
        <v>26</v>
      </c>
      <c r="L20" s="229" t="s">
        <v>9629</v>
      </c>
      <c r="M20" s="229" t="s">
        <v>9630</v>
      </c>
      <c r="O20" s="230"/>
      <c r="S20" s="230"/>
      <c r="T20" s="230" t="str">
        <f>IF(ISNUMBER(MATCH(B20, 'Sprint 6'!B:B, 0)), "มาจาก Sprint 6", "")</f>
        <v/>
      </c>
      <c r="U20" s="230" t="str">
        <f t="array" ref="U20">IF(ISNUMBER(MATCH(B20, 'Sprint 6'!B:B, 0)), INDEX('Sprint 6'!J:J, MATCH(B20, 'Sprint 6'!B:B, 0)), "")</f>
        <v/>
      </c>
      <c r="V20" s="230"/>
      <c r="W20" s="102" t="s">
        <v>9080</v>
      </c>
      <c r="X20" s="102" t="s">
        <v>4967</v>
      </c>
      <c r="Y20" s="102" t="s">
        <v>4968</v>
      </c>
    </row>
    <row r="21" hidden="1">
      <c r="A21" s="102" t="s">
        <v>332</v>
      </c>
      <c r="B21" s="102" t="s">
        <v>9631</v>
      </c>
      <c r="C21" s="229" t="s">
        <v>9632</v>
      </c>
      <c r="D21" s="102" t="s">
        <v>9633</v>
      </c>
      <c r="E21" s="102" t="s">
        <v>314</v>
      </c>
      <c r="F21" s="102" t="s">
        <v>315</v>
      </c>
      <c r="G21" s="102" t="s">
        <v>280</v>
      </c>
      <c r="H21" s="102" t="s">
        <v>281</v>
      </c>
      <c r="I21" s="102" t="s">
        <v>284</v>
      </c>
      <c r="J21" s="102" t="s">
        <v>336</v>
      </c>
      <c r="L21" s="229" t="s">
        <v>9634</v>
      </c>
      <c r="M21" s="229" t="s">
        <v>9635</v>
      </c>
      <c r="N21" s="102"/>
      <c r="O21" s="102"/>
      <c r="P21" s="102"/>
      <c r="S21" s="102"/>
      <c r="T21" s="230" t="str">
        <f>IF(ISNUMBER(MATCH(B21, 'Sprint 6'!B:B, 0)), "มาจาก Sprint 6", "")</f>
        <v/>
      </c>
      <c r="U21" s="230" t="str">
        <f t="array" ref="U21">IF(ISNUMBER(MATCH(B21, 'Sprint 6'!B:B, 0)), INDEX('Sprint 6'!J:J, MATCH(B21, 'Sprint 6'!B:B, 0)), "")</f>
        <v/>
      </c>
      <c r="V21" s="102"/>
      <c r="W21" s="102" t="s">
        <v>9409</v>
      </c>
    </row>
    <row r="22" hidden="1">
      <c r="A22" s="102" t="s">
        <v>332</v>
      </c>
      <c r="B22" s="102" t="s">
        <v>9636</v>
      </c>
      <c r="C22" s="229" t="s">
        <v>9637</v>
      </c>
      <c r="D22" s="102" t="s">
        <v>9638</v>
      </c>
      <c r="E22" s="102" t="s">
        <v>314</v>
      </c>
      <c r="F22" s="102" t="s">
        <v>315</v>
      </c>
      <c r="G22" s="102" t="s">
        <v>280</v>
      </c>
      <c r="H22" s="102" t="s">
        <v>281</v>
      </c>
      <c r="I22" s="102" t="s">
        <v>284</v>
      </c>
      <c r="J22" s="102" t="s">
        <v>336</v>
      </c>
      <c r="L22" s="229" t="s">
        <v>9639</v>
      </c>
      <c r="M22" s="229" t="s">
        <v>9640</v>
      </c>
      <c r="O22" s="230"/>
      <c r="S22" s="230"/>
      <c r="T22" s="230" t="str">
        <f>IF(ISNUMBER(MATCH(B22, 'Sprint 6'!B:B, 0)), "มาจาก Sprint 6", "")</f>
        <v/>
      </c>
      <c r="U22" s="230" t="str">
        <f t="array" ref="U22">IF(ISNUMBER(MATCH(B22, 'Sprint 6'!B:B, 0)), INDEX('Sprint 6'!J:J, MATCH(B22, 'Sprint 6'!B:B, 0)), "")</f>
        <v/>
      </c>
      <c r="V22" s="230"/>
      <c r="W22" s="102" t="s">
        <v>9409</v>
      </c>
      <c r="X22" s="102"/>
      <c r="Y22" s="102"/>
    </row>
    <row r="23" hidden="1">
      <c r="A23" s="102" t="s">
        <v>332</v>
      </c>
      <c r="B23" s="102" t="s">
        <v>9641</v>
      </c>
      <c r="C23" s="229" t="s">
        <v>9642</v>
      </c>
      <c r="D23" s="102" t="s">
        <v>9643</v>
      </c>
      <c r="E23" s="102" t="s">
        <v>314</v>
      </c>
      <c r="F23" s="102" t="s">
        <v>315</v>
      </c>
      <c r="G23" s="102" t="s">
        <v>280</v>
      </c>
      <c r="H23" s="102" t="s">
        <v>281</v>
      </c>
      <c r="I23" s="102" t="s">
        <v>284</v>
      </c>
      <c r="J23" s="102" t="s">
        <v>336</v>
      </c>
      <c r="L23" s="229" t="s">
        <v>9644</v>
      </c>
      <c r="M23" s="229" t="s">
        <v>9645</v>
      </c>
      <c r="O23" s="230"/>
      <c r="P23" s="102"/>
      <c r="S23" s="230"/>
      <c r="T23" s="230" t="str">
        <f>IF(ISNUMBER(MATCH(B23, 'Sprint 6'!B:B, 0)), "มาจาก Sprint 6", "")</f>
        <v/>
      </c>
      <c r="U23" s="230" t="str">
        <f t="array" ref="U23">IF(ISNUMBER(MATCH(B23, 'Sprint 6'!B:B, 0)), INDEX('Sprint 6'!J:J, MATCH(B23, 'Sprint 6'!B:B, 0)), "")</f>
        <v/>
      </c>
      <c r="V23" s="230"/>
      <c r="W23" s="102" t="s">
        <v>9409</v>
      </c>
      <c r="X23" s="102"/>
      <c r="Y23" s="102"/>
    </row>
    <row r="24" hidden="1">
      <c r="A24" s="102" t="s">
        <v>332</v>
      </c>
      <c r="B24" s="102" t="s">
        <v>9646</v>
      </c>
      <c r="C24" s="229" t="s">
        <v>9647</v>
      </c>
      <c r="D24" s="102" t="s">
        <v>9648</v>
      </c>
      <c r="E24" s="102" t="s">
        <v>314</v>
      </c>
      <c r="F24" s="102" t="s">
        <v>315</v>
      </c>
      <c r="G24" s="102" t="s">
        <v>280</v>
      </c>
      <c r="H24" s="102" t="s">
        <v>281</v>
      </c>
      <c r="I24" s="102" t="s">
        <v>284</v>
      </c>
      <c r="J24" s="102" t="s">
        <v>336</v>
      </c>
      <c r="L24" s="229" t="s">
        <v>9649</v>
      </c>
      <c r="M24" s="229" t="s">
        <v>9650</v>
      </c>
      <c r="O24" s="230"/>
      <c r="S24" s="230"/>
      <c r="T24" s="230" t="str">
        <f>IF(ISNUMBER(MATCH(B24, 'Sprint 6'!B:B, 0)), "มาจาก Sprint 6", "")</f>
        <v/>
      </c>
      <c r="U24" s="230" t="str">
        <f t="array" ref="U24">IF(ISNUMBER(MATCH(B24, 'Sprint 6'!B:B, 0)), INDEX('Sprint 6'!J:J, MATCH(B24, 'Sprint 6'!B:B, 0)), "")</f>
        <v/>
      </c>
      <c r="V24" s="230"/>
      <c r="W24" s="102" t="s">
        <v>9409</v>
      </c>
    </row>
    <row r="25" hidden="1">
      <c r="A25" s="102" t="s">
        <v>276</v>
      </c>
      <c r="B25" s="102" t="s">
        <v>9313</v>
      </c>
      <c r="C25" s="229" t="s">
        <v>9314</v>
      </c>
      <c r="D25" s="102" t="s">
        <v>1567</v>
      </c>
      <c r="E25" s="102" t="s">
        <v>3288</v>
      </c>
      <c r="F25" s="102" t="s">
        <v>3289</v>
      </c>
      <c r="G25" s="102" t="s">
        <v>3288</v>
      </c>
      <c r="H25" s="102" t="s">
        <v>3289</v>
      </c>
      <c r="I25" s="102" t="s">
        <v>284</v>
      </c>
      <c r="J25" s="102" t="s">
        <v>34</v>
      </c>
      <c r="L25" s="229" t="s">
        <v>9315</v>
      </c>
      <c r="M25" s="229" t="s">
        <v>9315</v>
      </c>
      <c r="O25" s="230"/>
      <c r="S25" s="230"/>
      <c r="T25" s="230" t="str">
        <f>IF(ISNUMBER(MATCH(B25, 'Sprint 6'!B:B, 0)), "มาจาก Sprint 6", "")</f>
        <v/>
      </c>
      <c r="U25" s="230" t="str">
        <f t="array" ref="U25">IF(ISNUMBER(MATCH(B25, 'Sprint 6'!B:B, 0)), INDEX('Sprint 6'!J:J, MATCH(B25, 'Sprint 6'!B:B, 0)), "")</f>
        <v/>
      </c>
      <c r="V25" s="230"/>
      <c r="W25" s="102" t="s">
        <v>7695</v>
      </c>
      <c r="X25" s="102" t="s">
        <v>7696</v>
      </c>
      <c r="Y25" s="102" t="s">
        <v>5944</v>
      </c>
    </row>
    <row r="26" hidden="1">
      <c r="A26" s="102" t="s">
        <v>276</v>
      </c>
      <c r="B26" s="102" t="s">
        <v>9317</v>
      </c>
      <c r="C26" s="229" t="s">
        <v>9318</v>
      </c>
      <c r="D26" s="102" t="s">
        <v>1567</v>
      </c>
      <c r="E26" s="102" t="s">
        <v>3288</v>
      </c>
      <c r="F26" s="102" t="s">
        <v>3289</v>
      </c>
      <c r="G26" s="102" t="s">
        <v>3288</v>
      </c>
      <c r="H26" s="102" t="s">
        <v>3289</v>
      </c>
      <c r="I26" s="102" t="s">
        <v>284</v>
      </c>
      <c r="J26" s="102" t="s">
        <v>34</v>
      </c>
      <c r="L26" s="229" t="s">
        <v>9315</v>
      </c>
      <c r="M26" s="229" t="s">
        <v>9315</v>
      </c>
      <c r="O26" s="230"/>
      <c r="S26" s="230"/>
      <c r="T26" s="230" t="str">
        <f>IF(ISNUMBER(MATCH(B26, 'Sprint 6'!B:B, 0)), "มาจาก Sprint 6", "")</f>
        <v/>
      </c>
      <c r="U26" s="230" t="str">
        <f t="array" ref="U26">IF(ISNUMBER(MATCH(B26, 'Sprint 6'!B:B, 0)), INDEX('Sprint 6'!J:J, MATCH(B26, 'Sprint 6'!B:B, 0)), "")</f>
        <v/>
      </c>
      <c r="V26" s="230"/>
      <c r="W26" s="102" t="s">
        <v>7695</v>
      </c>
      <c r="X26" s="102" t="s">
        <v>7696</v>
      </c>
      <c r="Y26" s="102" t="s">
        <v>5944</v>
      </c>
    </row>
    <row r="27" hidden="1">
      <c r="A27" s="102" t="s">
        <v>310</v>
      </c>
      <c r="B27" s="102" t="s">
        <v>9651</v>
      </c>
      <c r="C27" s="229" t="s">
        <v>9652</v>
      </c>
      <c r="D27" s="102" t="s">
        <v>9653</v>
      </c>
      <c r="E27" s="102" t="s">
        <v>282</v>
      </c>
      <c r="F27" s="102" t="s">
        <v>283</v>
      </c>
      <c r="G27" s="102" t="s">
        <v>316</v>
      </c>
      <c r="H27" s="102" t="s">
        <v>317</v>
      </c>
      <c r="I27" s="102" t="s">
        <v>318</v>
      </c>
      <c r="J27" s="102" t="s">
        <v>26</v>
      </c>
      <c r="L27" s="229" t="s">
        <v>9654</v>
      </c>
      <c r="M27" s="229" t="s">
        <v>9655</v>
      </c>
      <c r="N27" s="229" t="s">
        <v>7720</v>
      </c>
      <c r="O27" s="102">
        <v>1.0</v>
      </c>
      <c r="P27" s="102" t="s">
        <v>368</v>
      </c>
      <c r="S27" s="102">
        <v>1800.0</v>
      </c>
      <c r="T27" s="230" t="str">
        <f>IF(ISNUMBER(MATCH(B27, 'Sprint 6'!B:B, 0)), "มาจาก Sprint 6", "")</f>
        <v/>
      </c>
      <c r="U27" s="230" t="str">
        <f t="array" ref="U27">IF(ISNUMBER(MATCH(B27, 'Sprint 6'!B:B, 0)), INDEX('Sprint 6'!J:J, MATCH(B27, 'Sprint 6'!B:B, 0)), "")</f>
        <v/>
      </c>
      <c r="V27" s="102"/>
      <c r="W27" s="102" t="s">
        <v>4968</v>
      </c>
    </row>
    <row r="28" hidden="1">
      <c r="A28" s="102" t="s">
        <v>276</v>
      </c>
      <c r="B28" s="102" t="s">
        <v>9325</v>
      </c>
      <c r="C28" s="229" t="s">
        <v>9326</v>
      </c>
      <c r="D28" s="102" t="s">
        <v>9327</v>
      </c>
      <c r="E28" s="102"/>
      <c r="F28" s="102"/>
      <c r="G28" s="102" t="s">
        <v>353</v>
      </c>
      <c r="H28" s="102" t="s">
        <v>354</v>
      </c>
      <c r="I28" s="102" t="s">
        <v>284</v>
      </c>
      <c r="J28" s="102" t="s">
        <v>63</v>
      </c>
      <c r="L28" s="229" t="s">
        <v>9328</v>
      </c>
      <c r="M28" s="229" t="s">
        <v>9328</v>
      </c>
      <c r="O28" s="102"/>
      <c r="S28" s="230"/>
      <c r="T28" s="230" t="str">
        <f>IF(ISNUMBER(MATCH(B28, 'Sprint 6'!B:B, 0)), "มาจาก Sprint 6", "")</f>
        <v/>
      </c>
      <c r="U28" s="230" t="str">
        <f t="array" ref="U28">IF(ISNUMBER(MATCH(B28, 'Sprint 6'!B:B, 0)), INDEX('Sprint 6'!J:J, MATCH(B28, 'Sprint 6'!B:B, 0)), "")</f>
        <v/>
      </c>
      <c r="V28" s="230"/>
      <c r="W28" s="102" t="s">
        <v>7695</v>
      </c>
      <c r="X28" s="102" t="s">
        <v>7696</v>
      </c>
      <c r="Y28" s="102" t="s">
        <v>5944</v>
      </c>
    </row>
    <row r="29" hidden="1">
      <c r="A29" s="102" t="s">
        <v>276</v>
      </c>
      <c r="B29" s="102" t="s">
        <v>9329</v>
      </c>
      <c r="C29" s="229" t="s">
        <v>9330</v>
      </c>
      <c r="D29" s="102" t="s">
        <v>9331</v>
      </c>
      <c r="E29" s="102"/>
      <c r="F29" s="102"/>
      <c r="G29" s="102" t="s">
        <v>353</v>
      </c>
      <c r="H29" s="102" t="s">
        <v>354</v>
      </c>
      <c r="I29" s="102" t="s">
        <v>284</v>
      </c>
      <c r="J29" s="102" t="s">
        <v>26</v>
      </c>
      <c r="L29" s="229" t="s">
        <v>9332</v>
      </c>
      <c r="M29" s="229" t="s">
        <v>9333</v>
      </c>
      <c r="N29" s="102"/>
      <c r="O29" s="102"/>
      <c r="P29" s="102" t="s">
        <v>593</v>
      </c>
      <c r="S29" s="230"/>
      <c r="T29" s="230" t="str">
        <f>IF(ISNUMBER(MATCH(B29, 'Sprint 6'!B:B, 0)), "มาจาก Sprint 6", "")</f>
        <v/>
      </c>
      <c r="U29" s="230" t="str">
        <f t="array" ref="U29">IF(ISNUMBER(MATCH(B29, 'Sprint 6'!B:B, 0)), INDEX('Sprint 6'!J:J, MATCH(B29, 'Sprint 6'!B:B, 0)), "")</f>
        <v/>
      </c>
      <c r="V29" s="230"/>
      <c r="W29" s="102" t="s">
        <v>7695</v>
      </c>
      <c r="X29" s="102" t="s">
        <v>7696</v>
      </c>
      <c r="Y29" s="102" t="s">
        <v>5944</v>
      </c>
    </row>
    <row r="30" hidden="1">
      <c r="A30" s="102" t="s">
        <v>332</v>
      </c>
      <c r="B30" s="102" t="s">
        <v>9334</v>
      </c>
      <c r="C30" s="229" t="s">
        <v>9335</v>
      </c>
      <c r="D30" s="102" t="s">
        <v>9336</v>
      </c>
      <c r="E30" s="102" t="s">
        <v>9102</v>
      </c>
      <c r="F30" s="102" t="s">
        <v>6861</v>
      </c>
      <c r="G30" s="102" t="s">
        <v>3288</v>
      </c>
      <c r="H30" s="102" t="s">
        <v>3289</v>
      </c>
      <c r="I30" s="102" t="s">
        <v>284</v>
      </c>
      <c r="J30" s="102" t="s">
        <v>2415</v>
      </c>
      <c r="L30" s="229" t="s">
        <v>9337</v>
      </c>
      <c r="M30" s="229" t="s">
        <v>9656</v>
      </c>
      <c r="O30" s="230"/>
      <c r="S30" s="230"/>
      <c r="T30" s="230" t="str">
        <f>IF(ISNUMBER(MATCH(B30, 'Sprint 6'!B:B, 0)), "มาจาก Sprint 6", "")</f>
        <v/>
      </c>
      <c r="U30" s="230" t="str">
        <f t="array" ref="U30">IF(ISNUMBER(MATCH(B30, 'Sprint 6'!B:B, 0)), INDEX('Sprint 6'!J:J, MATCH(B30, 'Sprint 6'!B:B, 0)), "")</f>
        <v/>
      </c>
      <c r="V30" s="230"/>
      <c r="W30" s="102" t="s">
        <v>5944</v>
      </c>
      <c r="X30" s="102"/>
      <c r="Y30" s="102"/>
    </row>
    <row r="31" hidden="1">
      <c r="A31" s="102" t="s">
        <v>332</v>
      </c>
      <c r="B31" s="102" t="s">
        <v>9339</v>
      </c>
      <c r="C31" s="229" t="s">
        <v>9340</v>
      </c>
      <c r="D31" s="102" t="s">
        <v>9341</v>
      </c>
      <c r="E31" s="102" t="s">
        <v>9102</v>
      </c>
      <c r="F31" s="102" t="s">
        <v>6861</v>
      </c>
      <c r="G31" s="102" t="s">
        <v>3288</v>
      </c>
      <c r="H31" s="102" t="s">
        <v>3289</v>
      </c>
      <c r="I31" s="102" t="s">
        <v>648</v>
      </c>
      <c r="J31" s="102" t="s">
        <v>2415</v>
      </c>
      <c r="L31" s="229" t="s">
        <v>9342</v>
      </c>
      <c r="M31" s="229" t="s">
        <v>9657</v>
      </c>
      <c r="O31" s="230"/>
      <c r="S31" s="230"/>
      <c r="T31" s="230" t="str">
        <f>IF(ISNUMBER(MATCH(B31, 'Sprint 6'!B:B, 0)), "มาจาก Sprint 6", "")</f>
        <v/>
      </c>
      <c r="U31" s="230" t="str">
        <f t="array" ref="U31">IF(ISNUMBER(MATCH(B31, 'Sprint 6'!B:B, 0)), INDEX('Sprint 6'!J:J, MATCH(B31, 'Sprint 6'!B:B, 0)), "")</f>
        <v/>
      </c>
      <c r="V31" s="230"/>
      <c r="W31" s="102" t="s">
        <v>5944</v>
      </c>
    </row>
    <row r="32" hidden="1">
      <c r="A32" s="102" t="s">
        <v>332</v>
      </c>
      <c r="B32" s="102" t="s">
        <v>9344</v>
      </c>
      <c r="C32" s="229" t="s">
        <v>9345</v>
      </c>
      <c r="D32" s="102" t="s">
        <v>9346</v>
      </c>
      <c r="E32" s="102" t="s">
        <v>9102</v>
      </c>
      <c r="F32" s="102" t="s">
        <v>6861</v>
      </c>
      <c r="G32" s="102" t="s">
        <v>3288</v>
      </c>
      <c r="H32" s="102" t="s">
        <v>3289</v>
      </c>
      <c r="I32" s="102" t="s">
        <v>648</v>
      </c>
      <c r="J32" s="102" t="s">
        <v>2415</v>
      </c>
      <c r="L32" s="229" t="s">
        <v>9347</v>
      </c>
      <c r="M32" s="229" t="s">
        <v>9658</v>
      </c>
      <c r="O32" s="102"/>
      <c r="S32" s="230"/>
      <c r="T32" s="230" t="str">
        <f>IF(ISNUMBER(MATCH(B32, 'Sprint 6'!B:B, 0)), "มาจาก Sprint 6", "")</f>
        <v/>
      </c>
      <c r="U32" s="230" t="str">
        <f t="array" ref="U32">IF(ISNUMBER(MATCH(B32, 'Sprint 6'!B:B, 0)), INDEX('Sprint 6'!J:J, MATCH(B32, 'Sprint 6'!B:B, 0)), "")</f>
        <v/>
      </c>
      <c r="V32" s="230"/>
      <c r="W32" s="102" t="s">
        <v>5944</v>
      </c>
    </row>
    <row r="33" hidden="1">
      <c r="A33" s="102" t="s">
        <v>310</v>
      </c>
      <c r="B33" s="102" t="s">
        <v>9659</v>
      </c>
      <c r="C33" s="229" t="s">
        <v>9660</v>
      </c>
      <c r="D33" s="102" t="s">
        <v>9661</v>
      </c>
      <c r="E33" s="102" t="s">
        <v>282</v>
      </c>
      <c r="F33" s="102" t="s">
        <v>283</v>
      </c>
      <c r="G33" s="102" t="s">
        <v>316</v>
      </c>
      <c r="H33" s="102" t="s">
        <v>317</v>
      </c>
      <c r="I33" s="102" t="s">
        <v>515</v>
      </c>
      <c r="J33" s="102" t="s">
        <v>26</v>
      </c>
      <c r="L33" s="229" t="s">
        <v>9662</v>
      </c>
      <c r="M33" s="229" t="s">
        <v>9663</v>
      </c>
      <c r="N33" s="229" t="s">
        <v>7720</v>
      </c>
      <c r="O33" s="102">
        <v>1.0</v>
      </c>
      <c r="P33" s="102" t="s">
        <v>4656</v>
      </c>
      <c r="S33" s="102">
        <v>1800.0</v>
      </c>
      <c r="T33" s="230" t="str">
        <f>IF(ISNUMBER(MATCH(B33, 'Sprint 6'!B:B, 0)), "มาจาก Sprint 6", "")</f>
        <v/>
      </c>
      <c r="U33" s="230" t="str">
        <f t="array" ref="U33">IF(ISNUMBER(MATCH(B33, 'Sprint 6'!B:B, 0)), INDEX('Sprint 6'!J:J, MATCH(B33, 'Sprint 6'!B:B, 0)), "")</f>
        <v/>
      </c>
      <c r="V33" s="102"/>
      <c r="W33" s="102" t="s">
        <v>4968</v>
      </c>
      <c r="X33" s="102"/>
      <c r="Y33" s="102"/>
    </row>
    <row r="34" hidden="1">
      <c r="A34" s="102" t="s">
        <v>310</v>
      </c>
      <c r="B34" s="102" t="s">
        <v>9664</v>
      </c>
      <c r="C34" s="229" t="s">
        <v>9665</v>
      </c>
      <c r="D34" s="102" t="s">
        <v>9666</v>
      </c>
      <c r="E34" s="102" t="s">
        <v>353</v>
      </c>
      <c r="F34" s="102" t="s">
        <v>354</v>
      </c>
      <c r="G34" s="102" t="s">
        <v>353</v>
      </c>
      <c r="H34" s="102" t="s">
        <v>354</v>
      </c>
      <c r="I34" s="102" t="s">
        <v>284</v>
      </c>
      <c r="J34" s="102" t="s">
        <v>26</v>
      </c>
      <c r="L34" s="229" t="s">
        <v>9667</v>
      </c>
      <c r="M34" s="229" t="s">
        <v>9668</v>
      </c>
      <c r="O34" s="102">
        <v>3.0</v>
      </c>
      <c r="S34" s="102">
        <v>28800.0</v>
      </c>
      <c r="T34" s="230" t="str">
        <f>IF(ISNUMBER(MATCH(B34, 'Sprint 6'!B:B, 0)), "มาจาก Sprint 6", "")</f>
        <v/>
      </c>
      <c r="U34" s="230" t="str">
        <f t="array" ref="U34">IF(ISNUMBER(MATCH(B34, 'Sprint 6'!B:B, 0)), INDEX('Sprint 6'!J:J, MATCH(B34, 'Sprint 6'!B:B, 0)), "")</f>
        <v/>
      </c>
      <c r="V34" s="102" t="s">
        <v>9669</v>
      </c>
      <c r="W34" s="102" t="s">
        <v>5944</v>
      </c>
      <c r="X34" s="102"/>
      <c r="Y34" s="102"/>
    </row>
    <row r="35" hidden="1">
      <c r="A35" s="102" t="s">
        <v>310</v>
      </c>
      <c r="B35" s="102" t="s">
        <v>9670</v>
      </c>
      <c r="C35" s="229" t="s">
        <v>9671</v>
      </c>
      <c r="D35" s="102" t="s">
        <v>9672</v>
      </c>
      <c r="E35" s="102" t="s">
        <v>314</v>
      </c>
      <c r="F35" s="102" t="s">
        <v>315</v>
      </c>
      <c r="G35" s="102" t="s">
        <v>316</v>
      </c>
      <c r="H35" s="102" t="s">
        <v>317</v>
      </c>
      <c r="I35" s="102" t="s">
        <v>648</v>
      </c>
      <c r="J35" s="102" t="s">
        <v>26</v>
      </c>
      <c r="L35" s="229" t="s">
        <v>9673</v>
      </c>
      <c r="M35" s="229" t="s">
        <v>9616</v>
      </c>
      <c r="N35" s="229" t="s">
        <v>7726</v>
      </c>
      <c r="O35" s="102">
        <v>1.0</v>
      </c>
      <c r="P35" s="102" t="s">
        <v>4656</v>
      </c>
      <c r="S35" s="102">
        <v>600.0</v>
      </c>
      <c r="T35" s="230" t="str">
        <f>IF(ISNUMBER(MATCH(B35, 'Sprint 6'!B:B, 0)), "มาจาก Sprint 6", "")</f>
        <v/>
      </c>
      <c r="U35" s="230" t="str">
        <f t="array" ref="U35">IF(ISNUMBER(MATCH(B35, 'Sprint 6'!B:B, 0)), INDEX('Sprint 6'!J:J, MATCH(B35, 'Sprint 6'!B:B, 0)), "")</f>
        <v/>
      </c>
      <c r="V35" s="102"/>
      <c r="W35" s="102" t="s">
        <v>4968</v>
      </c>
      <c r="X35" s="102"/>
      <c r="Y35" s="102"/>
    </row>
    <row r="36" hidden="1">
      <c r="A36" s="102" t="s">
        <v>276</v>
      </c>
      <c r="B36" s="102" t="s">
        <v>9349</v>
      </c>
      <c r="C36" s="229" t="s">
        <v>9350</v>
      </c>
      <c r="D36" s="102" t="s">
        <v>4345</v>
      </c>
      <c r="E36" s="102" t="s">
        <v>391</v>
      </c>
      <c r="F36" s="102" t="s">
        <v>392</v>
      </c>
      <c r="G36" s="102" t="s">
        <v>391</v>
      </c>
      <c r="H36" s="102" t="s">
        <v>392</v>
      </c>
      <c r="I36" s="102" t="s">
        <v>284</v>
      </c>
      <c r="J36" s="102" t="s">
        <v>26</v>
      </c>
      <c r="L36" s="229" t="s">
        <v>9351</v>
      </c>
      <c r="M36" s="229" t="s">
        <v>9351</v>
      </c>
      <c r="O36" s="230"/>
      <c r="S36" s="230"/>
      <c r="T36" s="230" t="str">
        <f>IF(ISNUMBER(MATCH(B36, 'Sprint 6'!B:B, 0)), "มาจาก Sprint 6", "")</f>
        <v/>
      </c>
      <c r="U36" s="230" t="str">
        <f t="array" ref="U36">IF(ISNUMBER(MATCH(B36, 'Sprint 6'!B:B, 0)), INDEX('Sprint 6'!J:J, MATCH(B36, 'Sprint 6'!B:B, 0)), "")</f>
        <v/>
      </c>
      <c r="V36" s="230"/>
      <c r="W36" s="102" t="s">
        <v>7695</v>
      </c>
      <c r="X36" s="102" t="s">
        <v>7696</v>
      </c>
      <c r="Y36" s="102" t="s">
        <v>5944</v>
      </c>
    </row>
    <row r="37" hidden="1">
      <c r="A37" s="102" t="s">
        <v>332</v>
      </c>
      <c r="B37" s="102" t="s">
        <v>9352</v>
      </c>
      <c r="C37" s="229" t="s">
        <v>9353</v>
      </c>
      <c r="D37" s="102" t="s">
        <v>9354</v>
      </c>
      <c r="E37" s="102" t="s">
        <v>353</v>
      </c>
      <c r="F37" s="102" t="s">
        <v>354</v>
      </c>
      <c r="G37" s="102" t="s">
        <v>3288</v>
      </c>
      <c r="H37" s="102" t="s">
        <v>3289</v>
      </c>
      <c r="I37" s="102" t="s">
        <v>648</v>
      </c>
      <c r="J37" s="102" t="s">
        <v>922</v>
      </c>
      <c r="L37" s="229" t="s">
        <v>9355</v>
      </c>
      <c r="M37" s="229" t="s">
        <v>9383</v>
      </c>
      <c r="O37" s="230"/>
      <c r="S37" s="230"/>
      <c r="T37" s="230" t="str">
        <f>IF(ISNUMBER(MATCH(B37, 'Sprint 6'!B:B, 0)), "มาจาก Sprint 6", "")</f>
        <v/>
      </c>
      <c r="U37" s="230" t="str">
        <f t="array" ref="U37">IF(ISNUMBER(MATCH(B37, 'Sprint 6'!B:B, 0)), INDEX('Sprint 6'!J:J, MATCH(B37, 'Sprint 6'!B:B, 0)), "")</f>
        <v/>
      </c>
      <c r="V37" s="230"/>
      <c r="W37" s="102" t="s">
        <v>5944</v>
      </c>
    </row>
    <row r="38" hidden="1">
      <c r="A38" s="102" t="s">
        <v>630</v>
      </c>
      <c r="B38" s="102" t="s">
        <v>9674</v>
      </c>
      <c r="C38" s="229" t="s">
        <v>9675</v>
      </c>
      <c r="D38" s="102" t="s">
        <v>9676</v>
      </c>
      <c r="E38" s="102" t="s">
        <v>353</v>
      </c>
      <c r="F38" s="102" t="s">
        <v>354</v>
      </c>
      <c r="G38" s="102" t="s">
        <v>353</v>
      </c>
      <c r="H38" s="102" t="s">
        <v>354</v>
      </c>
      <c r="I38" s="102" t="s">
        <v>284</v>
      </c>
      <c r="J38" s="102" t="s">
        <v>63</v>
      </c>
      <c r="L38" s="229" t="s">
        <v>9677</v>
      </c>
      <c r="M38" s="229" t="s">
        <v>9678</v>
      </c>
      <c r="O38" s="102">
        <v>5.0</v>
      </c>
      <c r="S38" s="230"/>
      <c r="T38" s="230" t="str">
        <f>IF(ISNUMBER(MATCH(B38, 'Sprint 6'!B:B, 0)), "มาจาก Sprint 6", "")</f>
        <v/>
      </c>
      <c r="U38" s="230" t="str">
        <f t="array" ref="U38">IF(ISNUMBER(MATCH(B38, 'Sprint 6'!B:B, 0)), INDEX('Sprint 6'!J:J, MATCH(B38, 'Sprint 6'!B:B, 0)), "")</f>
        <v/>
      </c>
      <c r="V38" s="230"/>
      <c r="W38" s="102" t="s">
        <v>4968</v>
      </c>
    </row>
    <row r="39" hidden="1">
      <c r="A39" s="102" t="s">
        <v>276</v>
      </c>
      <c r="B39" s="102" t="s">
        <v>9679</v>
      </c>
      <c r="C39" s="229" t="s">
        <v>9680</v>
      </c>
      <c r="D39" s="102" t="s">
        <v>1567</v>
      </c>
      <c r="E39" s="102" t="s">
        <v>3288</v>
      </c>
      <c r="F39" s="102" t="s">
        <v>3289</v>
      </c>
      <c r="G39" s="102" t="s">
        <v>3288</v>
      </c>
      <c r="H39" s="102" t="s">
        <v>3289</v>
      </c>
      <c r="I39" s="102" t="s">
        <v>284</v>
      </c>
      <c r="J39" s="102" t="s">
        <v>26</v>
      </c>
      <c r="L39" s="229" t="s">
        <v>9681</v>
      </c>
      <c r="M39" s="229" t="s">
        <v>9682</v>
      </c>
      <c r="O39" s="230"/>
      <c r="S39" s="230"/>
      <c r="T39" s="230" t="str">
        <f>IF(ISNUMBER(MATCH(B39, 'Sprint 6'!B:B, 0)), "มาจาก Sprint 6", "")</f>
        <v/>
      </c>
      <c r="U39" s="230" t="str">
        <f t="array" ref="U39">IF(ISNUMBER(MATCH(B39, 'Sprint 6'!B:B, 0)), INDEX('Sprint 6'!J:J, MATCH(B39, 'Sprint 6'!B:B, 0)), "")</f>
        <v/>
      </c>
      <c r="V39" s="230"/>
      <c r="W39" s="102" t="s">
        <v>7695</v>
      </c>
      <c r="X39" s="102" t="s">
        <v>7696</v>
      </c>
      <c r="Y39" s="102" t="s">
        <v>5944</v>
      </c>
    </row>
    <row r="40" hidden="1">
      <c r="A40" s="102" t="s">
        <v>276</v>
      </c>
      <c r="B40" s="102" t="s">
        <v>9683</v>
      </c>
      <c r="C40" s="229" t="s">
        <v>9684</v>
      </c>
      <c r="D40" s="102" t="s">
        <v>1567</v>
      </c>
      <c r="E40" s="102" t="s">
        <v>3288</v>
      </c>
      <c r="F40" s="102" t="s">
        <v>3289</v>
      </c>
      <c r="G40" s="102" t="s">
        <v>3288</v>
      </c>
      <c r="H40" s="102" t="s">
        <v>3289</v>
      </c>
      <c r="I40" s="102" t="s">
        <v>284</v>
      </c>
      <c r="J40" s="102" t="s">
        <v>34</v>
      </c>
      <c r="L40" s="229" t="s">
        <v>9359</v>
      </c>
      <c r="M40" s="229" t="s">
        <v>9685</v>
      </c>
      <c r="O40" s="230"/>
      <c r="S40" s="230"/>
      <c r="T40" s="230" t="str">
        <f>IF(ISNUMBER(MATCH(B40, 'Sprint 6'!B:B, 0)), "มาจาก Sprint 6", "")</f>
        <v/>
      </c>
      <c r="U40" s="230" t="str">
        <f t="array" ref="U40">IF(ISNUMBER(MATCH(B40, 'Sprint 6'!B:B, 0)), INDEX('Sprint 6'!J:J, MATCH(B40, 'Sprint 6'!B:B, 0)), "")</f>
        <v/>
      </c>
      <c r="V40" s="230"/>
      <c r="W40" s="102" t="s">
        <v>7695</v>
      </c>
      <c r="X40" s="102" t="s">
        <v>7696</v>
      </c>
      <c r="Y40" s="102" t="s">
        <v>5944</v>
      </c>
    </row>
    <row r="41" hidden="1">
      <c r="A41" s="102" t="s">
        <v>276</v>
      </c>
      <c r="B41" s="102" t="s">
        <v>9686</v>
      </c>
      <c r="C41" s="229" t="s">
        <v>9687</v>
      </c>
      <c r="D41" s="102" t="s">
        <v>1567</v>
      </c>
      <c r="E41" s="102" t="s">
        <v>3288</v>
      </c>
      <c r="F41" s="102" t="s">
        <v>3289</v>
      </c>
      <c r="G41" s="102" t="s">
        <v>3288</v>
      </c>
      <c r="H41" s="102" t="s">
        <v>3289</v>
      </c>
      <c r="I41" s="102" t="s">
        <v>284</v>
      </c>
      <c r="J41" s="102" t="s">
        <v>26</v>
      </c>
      <c r="L41" s="229" t="s">
        <v>9359</v>
      </c>
      <c r="M41" s="229" t="s">
        <v>9682</v>
      </c>
      <c r="N41" s="102"/>
      <c r="O41" s="230"/>
      <c r="S41" s="230"/>
      <c r="T41" s="230" t="str">
        <f>IF(ISNUMBER(MATCH(B41, 'Sprint 6'!B:B, 0)), "มาจาก Sprint 6", "")</f>
        <v/>
      </c>
      <c r="U41" s="230" t="str">
        <f t="array" ref="U41">IF(ISNUMBER(MATCH(B41, 'Sprint 6'!B:B, 0)), INDEX('Sprint 6'!J:J, MATCH(B41, 'Sprint 6'!B:B, 0)), "")</f>
        <v/>
      </c>
      <c r="V41" s="230"/>
      <c r="W41" s="102" t="s">
        <v>7695</v>
      </c>
      <c r="X41" s="102" t="s">
        <v>7696</v>
      </c>
      <c r="Y41" s="102" t="s">
        <v>5944</v>
      </c>
    </row>
    <row r="42" hidden="1">
      <c r="A42" s="102" t="s">
        <v>276</v>
      </c>
      <c r="B42" s="102" t="s">
        <v>9357</v>
      </c>
      <c r="C42" s="229" t="s">
        <v>9358</v>
      </c>
      <c r="D42" s="102" t="s">
        <v>1567</v>
      </c>
      <c r="E42" s="102" t="s">
        <v>3288</v>
      </c>
      <c r="F42" s="102" t="s">
        <v>3289</v>
      </c>
      <c r="G42" s="102" t="s">
        <v>3288</v>
      </c>
      <c r="H42" s="102" t="s">
        <v>3289</v>
      </c>
      <c r="I42" s="102" t="s">
        <v>284</v>
      </c>
      <c r="J42" s="102" t="s">
        <v>34</v>
      </c>
      <c r="L42" s="229" t="s">
        <v>9359</v>
      </c>
      <c r="M42" s="229" t="s">
        <v>9688</v>
      </c>
      <c r="O42" s="230"/>
      <c r="S42" s="230"/>
      <c r="T42" s="230" t="str">
        <f>IF(ISNUMBER(MATCH(B42, 'Sprint 6'!B:B, 0)), "มาจาก Sprint 6", "")</f>
        <v/>
      </c>
      <c r="U42" s="230" t="str">
        <f t="array" ref="U42">IF(ISNUMBER(MATCH(B42, 'Sprint 6'!B:B, 0)), INDEX('Sprint 6'!J:J, MATCH(B42, 'Sprint 6'!B:B, 0)), "")</f>
        <v/>
      </c>
      <c r="V42" s="230"/>
      <c r="W42" s="102" t="s">
        <v>5944</v>
      </c>
      <c r="X42" s="102"/>
      <c r="Y42" s="102"/>
    </row>
    <row r="43" hidden="1">
      <c r="A43" s="102" t="s">
        <v>1459</v>
      </c>
      <c r="B43" s="102" t="s">
        <v>9360</v>
      </c>
      <c r="C43" s="229" t="s">
        <v>9361</v>
      </c>
      <c r="D43" s="102" t="s">
        <v>9362</v>
      </c>
      <c r="E43" s="102" t="s">
        <v>3288</v>
      </c>
      <c r="F43" s="102" t="s">
        <v>3289</v>
      </c>
      <c r="G43" s="102" t="s">
        <v>3288</v>
      </c>
      <c r="H43" s="102" t="s">
        <v>3289</v>
      </c>
      <c r="I43" s="102" t="s">
        <v>284</v>
      </c>
      <c r="J43" s="102" t="s">
        <v>34</v>
      </c>
      <c r="L43" s="229" t="s">
        <v>9363</v>
      </c>
      <c r="M43" s="229" t="s">
        <v>9689</v>
      </c>
      <c r="N43" s="102"/>
      <c r="O43" s="102"/>
      <c r="S43" s="102"/>
      <c r="T43" s="230" t="str">
        <f>IF(ISNUMBER(MATCH(B43, 'Sprint 6'!B:B, 0)), "มาจาก Sprint 6", "")</f>
        <v/>
      </c>
      <c r="U43" s="230" t="str">
        <f t="array" ref="U43">IF(ISNUMBER(MATCH(B43, 'Sprint 6'!B:B, 0)), INDEX('Sprint 6'!J:J, MATCH(B43, 'Sprint 6'!B:B, 0)), "")</f>
        <v/>
      </c>
      <c r="V43" s="102"/>
      <c r="W43" s="102" t="s">
        <v>5944</v>
      </c>
    </row>
    <row r="44" hidden="1">
      <c r="A44" s="102" t="s">
        <v>1465</v>
      </c>
      <c r="B44" s="102" t="s">
        <v>9365</v>
      </c>
      <c r="C44" s="229" t="s">
        <v>9366</v>
      </c>
      <c r="D44" s="102" t="s">
        <v>9367</v>
      </c>
      <c r="G44" s="102" t="s">
        <v>3288</v>
      </c>
      <c r="H44" s="102" t="s">
        <v>3289</v>
      </c>
      <c r="I44" s="102" t="s">
        <v>284</v>
      </c>
      <c r="J44" s="102" t="s">
        <v>63</v>
      </c>
      <c r="L44" s="229" t="s">
        <v>9368</v>
      </c>
      <c r="M44" s="229" t="s">
        <v>9368</v>
      </c>
      <c r="O44" s="230"/>
      <c r="S44" s="230"/>
      <c r="T44" s="230" t="str">
        <f>IF(ISNUMBER(MATCH(B44, 'Sprint 6'!B:B, 0)), "มาจาก Sprint 6", "")</f>
        <v/>
      </c>
      <c r="U44" s="230" t="str">
        <f t="array" ref="U44">IF(ISNUMBER(MATCH(B44, 'Sprint 6'!B:B, 0)), INDEX('Sprint 6'!J:J, MATCH(B44, 'Sprint 6'!B:B, 0)), "")</f>
        <v/>
      </c>
      <c r="V44" s="230"/>
      <c r="W44" s="102" t="s">
        <v>5944</v>
      </c>
    </row>
    <row r="45" hidden="1">
      <c r="A45" s="102" t="s">
        <v>4306</v>
      </c>
      <c r="B45" s="102" t="s">
        <v>9369</v>
      </c>
      <c r="C45" s="229" t="s">
        <v>9370</v>
      </c>
      <c r="D45" s="102" t="s">
        <v>9371</v>
      </c>
      <c r="G45" s="102" t="s">
        <v>3288</v>
      </c>
      <c r="H45" s="102" t="s">
        <v>3289</v>
      </c>
      <c r="I45" s="102" t="s">
        <v>284</v>
      </c>
      <c r="J45" s="102" t="s">
        <v>63</v>
      </c>
      <c r="L45" s="229" t="s">
        <v>9368</v>
      </c>
      <c r="M45" s="229" t="s">
        <v>9368</v>
      </c>
      <c r="O45" s="230"/>
      <c r="S45" s="230"/>
      <c r="T45" s="230" t="str">
        <f>IF(ISNUMBER(MATCH(B45, 'Sprint 6'!B:B, 0)), "มาจาก Sprint 6", "")</f>
        <v/>
      </c>
      <c r="U45" s="230" t="str">
        <f t="array" ref="U45">IF(ISNUMBER(MATCH(B45, 'Sprint 6'!B:B, 0)), INDEX('Sprint 6'!J:J, MATCH(B45, 'Sprint 6'!B:B, 0)), "")</f>
        <v/>
      </c>
      <c r="V45" s="230"/>
      <c r="W45" s="102" t="s">
        <v>5944</v>
      </c>
    </row>
    <row r="46" hidden="1">
      <c r="A46" s="102" t="s">
        <v>276</v>
      </c>
      <c r="B46" s="102" t="s">
        <v>9690</v>
      </c>
      <c r="C46" s="229" t="s">
        <v>9691</v>
      </c>
      <c r="D46" s="102" t="s">
        <v>2030</v>
      </c>
      <c r="E46" s="102" t="s">
        <v>280</v>
      </c>
      <c r="F46" s="102" t="s">
        <v>281</v>
      </c>
      <c r="G46" s="102" t="s">
        <v>280</v>
      </c>
      <c r="H46" s="102" t="s">
        <v>281</v>
      </c>
      <c r="I46" s="102" t="s">
        <v>284</v>
      </c>
      <c r="J46" s="102" t="s">
        <v>26</v>
      </c>
      <c r="L46" s="229" t="s">
        <v>9692</v>
      </c>
      <c r="M46" s="229" t="s">
        <v>9693</v>
      </c>
      <c r="O46" s="230"/>
      <c r="S46" s="230"/>
      <c r="T46" s="230" t="str">
        <f>IF(ISNUMBER(MATCH(B46, 'Sprint 6'!B:B, 0)), "มาจาก Sprint 6", "")</f>
        <v/>
      </c>
      <c r="U46" s="230" t="str">
        <f t="array" ref="U46">IF(ISNUMBER(MATCH(B46, 'Sprint 6'!B:B, 0)), INDEX('Sprint 6'!J:J, MATCH(B46, 'Sprint 6'!B:B, 0)), "")</f>
        <v/>
      </c>
      <c r="V46" s="230"/>
      <c r="W46" s="102" t="s">
        <v>4967</v>
      </c>
      <c r="X46" s="102" t="s">
        <v>4968</v>
      </c>
    </row>
    <row r="47" hidden="1">
      <c r="A47" s="102" t="s">
        <v>332</v>
      </c>
      <c r="B47" s="102" t="s">
        <v>9694</v>
      </c>
      <c r="C47" s="229" t="s">
        <v>9695</v>
      </c>
      <c r="D47" s="102" t="s">
        <v>9696</v>
      </c>
      <c r="E47" s="102" t="s">
        <v>304</v>
      </c>
      <c r="F47" s="102" t="s">
        <v>305</v>
      </c>
      <c r="G47" s="102" t="s">
        <v>521</v>
      </c>
      <c r="H47" s="102" t="s">
        <v>522</v>
      </c>
      <c r="I47" s="102" t="s">
        <v>284</v>
      </c>
      <c r="J47" s="102" t="s">
        <v>336</v>
      </c>
      <c r="L47" s="229" t="s">
        <v>9697</v>
      </c>
      <c r="M47" s="229" t="s">
        <v>9698</v>
      </c>
      <c r="N47" s="229" t="s">
        <v>6471</v>
      </c>
      <c r="O47" s="230"/>
      <c r="S47" s="230"/>
      <c r="T47" s="230" t="str">
        <f>IF(ISNUMBER(MATCH(B47, 'Sprint 6'!B:B, 0)), "มาจาก Sprint 6", "")</f>
        <v/>
      </c>
      <c r="U47" s="230" t="str">
        <f t="array" ref="U47">IF(ISNUMBER(MATCH(B47, 'Sprint 6'!B:B, 0)), INDEX('Sprint 6'!J:J, MATCH(B47, 'Sprint 6'!B:B, 0)), "")</f>
        <v/>
      </c>
      <c r="V47" s="230"/>
      <c r="W47" s="102" t="s">
        <v>8754</v>
      </c>
    </row>
    <row r="48" hidden="1">
      <c r="A48" s="102" t="s">
        <v>276</v>
      </c>
      <c r="B48" s="102" t="s">
        <v>9699</v>
      </c>
      <c r="C48" s="229" t="s">
        <v>9700</v>
      </c>
      <c r="D48" s="102" t="s">
        <v>9701</v>
      </c>
      <c r="E48" s="102" t="s">
        <v>521</v>
      </c>
      <c r="F48" s="102" t="s">
        <v>522</v>
      </c>
      <c r="G48" s="102" t="s">
        <v>521</v>
      </c>
      <c r="H48" s="102" t="s">
        <v>522</v>
      </c>
      <c r="I48" s="102" t="s">
        <v>284</v>
      </c>
      <c r="J48" s="102" t="s">
        <v>26</v>
      </c>
      <c r="L48" s="229" t="s">
        <v>9702</v>
      </c>
      <c r="M48" s="229" t="s">
        <v>9703</v>
      </c>
      <c r="O48" s="230"/>
      <c r="S48" s="230"/>
      <c r="T48" s="230" t="str">
        <f>IF(ISNUMBER(MATCH(B48, 'Sprint 6'!B:B, 0)), "มาจาก Sprint 6", "")</f>
        <v/>
      </c>
      <c r="U48" s="230" t="str">
        <f t="array" ref="U48">IF(ISNUMBER(MATCH(B48, 'Sprint 6'!B:B, 0)), INDEX('Sprint 6'!J:J, MATCH(B48, 'Sprint 6'!B:B, 0)), "")</f>
        <v/>
      </c>
      <c r="V48" s="230"/>
      <c r="W48" s="102" t="s">
        <v>7695</v>
      </c>
      <c r="X48" s="102" t="s">
        <v>9184</v>
      </c>
      <c r="Y48" s="102" t="s">
        <v>8754</v>
      </c>
    </row>
    <row r="49" hidden="1">
      <c r="A49" s="102" t="s">
        <v>310</v>
      </c>
      <c r="B49" s="102" t="s">
        <v>9704</v>
      </c>
      <c r="C49" s="229" t="s">
        <v>9705</v>
      </c>
      <c r="D49" s="102" t="s">
        <v>9706</v>
      </c>
      <c r="E49" s="102" t="s">
        <v>513</v>
      </c>
      <c r="F49" s="102" t="s">
        <v>514</v>
      </c>
      <c r="G49" s="102" t="s">
        <v>282</v>
      </c>
      <c r="H49" s="102" t="s">
        <v>283</v>
      </c>
      <c r="I49" s="102" t="s">
        <v>515</v>
      </c>
      <c r="J49" s="102" t="s">
        <v>26</v>
      </c>
      <c r="L49" s="229" t="s">
        <v>9707</v>
      </c>
      <c r="M49" s="229" t="s">
        <v>9708</v>
      </c>
      <c r="N49" s="229" t="s">
        <v>7720</v>
      </c>
      <c r="O49" s="102">
        <v>1.0</v>
      </c>
      <c r="S49" s="102">
        <v>7200.0</v>
      </c>
      <c r="T49" s="230" t="str">
        <f>IF(ISNUMBER(MATCH(B49, 'Sprint 6'!B:B, 0)), "มาจาก Sprint 6", "")</f>
        <v/>
      </c>
      <c r="U49" s="230" t="str">
        <f t="array" ref="U49">IF(ISNUMBER(MATCH(B49, 'Sprint 6'!B:B, 0)), INDEX('Sprint 6'!J:J, MATCH(B49, 'Sprint 6'!B:B, 0)), "")</f>
        <v/>
      </c>
      <c r="V49" s="102"/>
      <c r="W49" s="102" t="s">
        <v>8754</v>
      </c>
    </row>
    <row r="50" hidden="1">
      <c r="A50" s="102" t="s">
        <v>1459</v>
      </c>
      <c r="B50" s="102" t="s">
        <v>9709</v>
      </c>
      <c r="C50" s="229" t="s">
        <v>9710</v>
      </c>
      <c r="D50" s="102" t="s">
        <v>9711</v>
      </c>
      <c r="E50" s="102"/>
      <c r="F50" s="102"/>
      <c r="G50" s="102" t="s">
        <v>280</v>
      </c>
      <c r="H50" s="102" t="s">
        <v>281</v>
      </c>
      <c r="I50" s="102" t="s">
        <v>284</v>
      </c>
      <c r="J50" s="102" t="s">
        <v>26</v>
      </c>
      <c r="L50" s="229" t="s">
        <v>9712</v>
      </c>
      <c r="M50" s="229" t="s">
        <v>9713</v>
      </c>
      <c r="O50" s="230"/>
      <c r="S50" s="230"/>
      <c r="T50" s="230" t="str">
        <f>IF(ISNUMBER(MATCH(B50, 'Sprint 6'!B:B, 0)), "มาจาก Sprint 6", "")</f>
        <v/>
      </c>
      <c r="U50" s="230" t="str">
        <f t="array" ref="U50">IF(ISNUMBER(MATCH(B50, 'Sprint 6'!B:B, 0)), INDEX('Sprint 6'!J:J, MATCH(B50, 'Sprint 6'!B:B, 0)), "")</f>
        <v/>
      </c>
      <c r="V50" s="230"/>
      <c r="W50" s="102" t="s">
        <v>8754</v>
      </c>
    </row>
    <row r="51" hidden="1">
      <c r="A51" s="102" t="s">
        <v>1465</v>
      </c>
      <c r="B51" s="102" t="s">
        <v>9714</v>
      </c>
      <c r="C51" s="229" t="s">
        <v>9715</v>
      </c>
      <c r="D51" s="102" t="s">
        <v>9716</v>
      </c>
      <c r="E51" s="102"/>
      <c r="F51" s="102"/>
      <c r="G51" s="102" t="s">
        <v>280</v>
      </c>
      <c r="H51" s="102" t="s">
        <v>281</v>
      </c>
      <c r="I51" s="102" t="s">
        <v>284</v>
      </c>
      <c r="J51" s="102" t="s">
        <v>26</v>
      </c>
      <c r="L51" s="229" t="s">
        <v>9717</v>
      </c>
      <c r="M51" s="229" t="s">
        <v>9718</v>
      </c>
      <c r="O51" s="230"/>
      <c r="S51" s="230"/>
      <c r="T51" s="230" t="str">
        <f>IF(ISNUMBER(MATCH(B51, 'Sprint 6'!B:B, 0)), "มาจาก Sprint 6", "")</f>
        <v/>
      </c>
      <c r="U51" s="230" t="str">
        <f t="array" ref="U51">IF(ISNUMBER(MATCH(B51, 'Sprint 6'!B:B, 0)), INDEX('Sprint 6'!J:J, MATCH(B51, 'Sprint 6'!B:B, 0)), "")</f>
        <v/>
      </c>
      <c r="V51" s="230"/>
      <c r="W51" s="102" t="s">
        <v>8754</v>
      </c>
    </row>
    <row r="52" hidden="1">
      <c r="A52" s="102" t="s">
        <v>332</v>
      </c>
      <c r="B52" s="102" t="s">
        <v>9719</v>
      </c>
      <c r="C52" s="229" t="s">
        <v>9720</v>
      </c>
      <c r="D52" s="102" t="s">
        <v>9721</v>
      </c>
      <c r="E52" s="102" t="s">
        <v>6315</v>
      </c>
      <c r="F52" s="102" t="s">
        <v>6316</v>
      </c>
      <c r="G52" s="102" t="s">
        <v>280</v>
      </c>
      <c r="H52" s="102" t="s">
        <v>281</v>
      </c>
      <c r="I52" s="102" t="s">
        <v>284</v>
      </c>
      <c r="J52" s="102" t="s">
        <v>336</v>
      </c>
      <c r="L52" s="229" t="s">
        <v>9722</v>
      </c>
      <c r="M52" s="229" t="s">
        <v>9723</v>
      </c>
      <c r="O52" s="230"/>
      <c r="S52" s="230"/>
      <c r="T52" s="230" t="str">
        <f>IF(ISNUMBER(MATCH(B52, 'Sprint 6'!B:B, 0)), "มาจาก Sprint 6", "")</f>
        <v/>
      </c>
      <c r="U52" s="230" t="str">
        <f t="array" ref="U52">IF(ISNUMBER(MATCH(B52, 'Sprint 6'!B:B, 0)), INDEX('Sprint 6'!J:J, MATCH(B52, 'Sprint 6'!B:B, 0)), "")</f>
        <v/>
      </c>
      <c r="V52" s="230"/>
      <c r="W52" s="102" t="s">
        <v>4968</v>
      </c>
    </row>
    <row r="53" hidden="1">
      <c r="A53" s="102" t="s">
        <v>332</v>
      </c>
      <c r="B53" s="102" t="s">
        <v>9724</v>
      </c>
      <c r="C53" s="229" t="s">
        <v>9725</v>
      </c>
      <c r="D53" s="102" t="s">
        <v>9726</v>
      </c>
      <c r="E53" s="102" t="s">
        <v>353</v>
      </c>
      <c r="F53" s="102" t="s">
        <v>354</v>
      </c>
      <c r="G53" s="102" t="s">
        <v>316</v>
      </c>
      <c r="H53" s="102" t="s">
        <v>317</v>
      </c>
      <c r="I53" s="102" t="s">
        <v>515</v>
      </c>
      <c r="J53" s="102" t="s">
        <v>497</v>
      </c>
      <c r="L53" s="229" t="s">
        <v>9727</v>
      </c>
      <c r="M53" s="229" t="s">
        <v>9728</v>
      </c>
      <c r="O53" s="230"/>
      <c r="S53" s="230"/>
      <c r="T53" s="230" t="str">
        <f>IF(ISNUMBER(MATCH(B53, 'Sprint 6'!B:B, 0)), "มาจาก Sprint 6", "")</f>
        <v/>
      </c>
      <c r="U53" s="230" t="str">
        <f t="array" ref="U53">IF(ISNUMBER(MATCH(B53, 'Sprint 6'!B:B, 0)), INDEX('Sprint 6'!J:J, MATCH(B53, 'Sprint 6'!B:B, 0)), "")</f>
        <v/>
      </c>
      <c r="V53" s="230"/>
      <c r="W53" s="102" t="s">
        <v>4968</v>
      </c>
    </row>
    <row r="54" hidden="1">
      <c r="A54" s="102" t="s">
        <v>630</v>
      </c>
      <c r="B54" s="102" t="s">
        <v>9729</v>
      </c>
      <c r="C54" s="229" t="s">
        <v>9730</v>
      </c>
      <c r="D54" s="102" t="s">
        <v>9731</v>
      </c>
      <c r="E54" s="102" t="s">
        <v>304</v>
      </c>
      <c r="F54" s="102" t="s">
        <v>305</v>
      </c>
      <c r="G54" s="102" t="s">
        <v>304</v>
      </c>
      <c r="H54" s="102" t="s">
        <v>305</v>
      </c>
      <c r="I54" s="102" t="s">
        <v>284</v>
      </c>
      <c r="J54" s="102" t="s">
        <v>63</v>
      </c>
      <c r="L54" s="229" t="s">
        <v>9732</v>
      </c>
      <c r="M54" s="229" t="s">
        <v>9732</v>
      </c>
      <c r="O54" s="230"/>
      <c r="S54" s="230"/>
      <c r="T54" s="230" t="str">
        <f>IF(ISNUMBER(MATCH(B54, 'Sprint 6'!B:B, 0)), "มาจาก Sprint 6", "")</f>
        <v/>
      </c>
      <c r="U54" s="230" t="str">
        <f t="array" ref="U54">IF(ISNUMBER(MATCH(B54, 'Sprint 6'!B:B, 0)), INDEX('Sprint 6'!J:J, MATCH(B54, 'Sprint 6'!B:B, 0)), "")</f>
        <v/>
      </c>
      <c r="V54" s="230"/>
      <c r="W54" s="102" t="s">
        <v>8754</v>
      </c>
    </row>
    <row r="55" hidden="1">
      <c r="A55" s="102" t="s">
        <v>276</v>
      </c>
      <c r="B55" s="102" t="s">
        <v>7640</v>
      </c>
      <c r="C55" s="229" t="s">
        <v>7641</v>
      </c>
      <c r="D55" s="102" t="s">
        <v>4345</v>
      </c>
      <c r="E55" s="102" t="s">
        <v>391</v>
      </c>
      <c r="F55" s="102" t="s">
        <v>392</v>
      </c>
      <c r="G55" s="102" t="s">
        <v>391</v>
      </c>
      <c r="H55" s="102" t="s">
        <v>392</v>
      </c>
      <c r="I55" s="102" t="s">
        <v>284</v>
      </c>
      <c r="J55" s="102" t="s">
        <v>63</v>
      </c>
      <c r="L55" s="229" t="s">
        <v>7643</v>
      </c>
      <c r="M55" s="229" t="s">
        <v>7643</v>
      </c>
      <c r="O55" s="230"/>
      <c r="S55" s="230"/>
      <c r="T55" s="230" t="str">
        <f>IF(ISNUMBER(MATCH(B55, 'Sprint 6'!B:B, 0)), "มาจาก Sprint 6", "")</f>
        <v/>
      </c>
      <c r="U55" s="230" t="str">
        <f t="array" ref="U55">IF(ISNUMBER(MATCH(B55, 'Sprint 6'!B:B, 0)), INDEX('Sprint 6'!J:J, MATCH(B55, 'Sprint 6'!B:B, 0)), "")</f>
        <v/>
      </c>
      <c r="V55" s="230"/>
      <c r="W55" s="102" t="s">
        <v>5944</v>
      </c>
    </row>
    <row r="56" hidden="1">
      <c r="A56" s="102" t="s">
        <v>276</v>
      </c>
      <c r="B56" s="102" t="s">
        <v>7644</v>
      </c>
      <c r="C56" s="229" t="s">
        <v>7645</v>
      </c>
      <c r="D56" s="102" t="s">
        <v>4345</v>
      </c>
      <c r="E56" s="102" t="s">
        <v>391</v>
      </c>
      <c r="F56" s="102" t="s">
        <v>392</v>
      </c>
      <c r="G56" s="102" t="s">
        <v>391</v>
      </c>
      <c r="H56" s="102" t="s">
        <v>392</v>
      </c>
      <c r="I56" s="102" t="s">
        <v>284</v>
      </c>
      <c r="J56" s="102" t="s">
        <v>63</v>
      </c>
      <c r="L56" s="229" t="s">
        <v>7643</v>
      </c>
      <c r="M56" s="229" t="s">
        <v>7643</v>
      </c>
      <c r="O56" s="230"/>
      <c r="S56" s="230"/>
      <c r="T56" s="230" t="str">
        <f>IF(ISNUMBER(MATCH(B56, 'Sprint 6'!B:B, 0)), "มาจาก Sprint 6", "")</f>
        <v/>
      </c>
      <c r="U56" s="230" t="str">
        <f t="array" ref="U56">IF(ISNUMBER(MATCH(B56, 'Sprint 6'!B:B, 0)), INDEX('Sprint 6'!J:J, MATCH(B56, 'Sprint 6'!B:B, 0)), "")</f>
        <v/>
      </c>
      <c r="V56" s="230"/>
      <c r="W56" s="102" t="s">
        <v>5944</v>
      </c>
    </row>
    <row r="57" hidden="1">
      <c r="A57" s="102" t="s">
        <v>276</v>
      </c>
      <c r="B57" s="102" t="s">
        <v>7648</v>
      </c>
      <c r="C57" s="229" t="s">
        <v>7649</v>
      </c>
      <c r="D57" s="102" t="s">
        <v>4345</v>
      </c>
      <c r="E57" s="102" t="s">
        <v>391</v>
      </c>
      <c r="F57" s="102" t="s">
        <v>392</v>
      </c>
      <c r="G57" s="102" t="s">
        <v>391</v>
      </c>
      <c r="H57" s="102" t="s">
        <v>392</v>
      </c>
      <c r="I57" s="102" t="s">
        <v>284</v>
      </c>
      <c r="J57" s="102" t="s">
        <v>63</v>
      </c>
      <c r="L57" s="229" t="s">
        <v>7643</v>
      </c>
      <c r="M57" s="229" t="s">
        <v>7643</v>
      </c>
      <c r="O57" s="230"/>
      <c r="S57" s="230"/>
      <c r="T57" s="230" t="str">
        <f>IF(ISNUMBER(MATCH(B57, 'Sprint 6'!B:B, 0)), "มาจาก Sprint 6", "")</f>
        <v/>
      </c>
      <c r="U57" s="230" t="str">
        <f t="array" ref="U57">IF(ISNUMBER(MATCH(B57, 'Sprint 6'!B:B, 0)), INDEX('Sprint 6'!J:J, MATCH(B57, 'Sprint 6'!B:B, 0)), "")</f>
        <v/>
      </c>
      <c r="V57" s="230"/>
      <c r="W57" s="102" t="s">
        <v>5944</v>
      </c>
    </row>
    <row r="58" hidden="1">
      <c r="A58" s="102" t="s">
        <v>276</v>
      </c>
      <c r="B58" s="102" t="s">
        <v>7651</v>
      </c>
      <c r="C58" s="229" t="s">
        <v>7652</v>
      </c>
      <c r="D58" s="102" t="s">
        <v>8015</v>
      </c>
      <c r="E58" s="102"/>
      <c r="F58" s="102"/>
      <c r="G58" s="102" t="s">
        <v>391</v>
      </c>
      <c r="H58" s="102" t="s">
        <v>392</v>
      </c>
      <c r="I58" s="102" t="s">
        <v>284</v>
      </c>
      <c r="J58" s="102" t="s">
        <v>63</v>
      </c>
      <c r="L58" s="229" t="s">
        <v>7654</v>
      </c>
      <c r="M58" s="229" t="s">
        <v>8016</v>
      </c>
      <c r="O58" s="230"/>
      <c r="S58" s="230"/>
      <c r="T58" s="230" t="str">
        <f>IF(ISNUMBER(MATCH(B58, 'Sprint 6'!B:B, 0)), "มาจาก Sprint 6", "")</f>
        <v/>
      </c>
      <c r="U58" s="230" t="str">
        <f t="array" ref="U58">IF(ISNUMBER(MATCH(B58, 'Sprint 6'!B:B, 0)), INDEX('Sprint 6'!J:J, MATCH(B58, 'Sprint 6'!B:B, 0)), "")</f>
        <v/>
      </c>
      <c r="V58" s="230"/>
      <c r="W58" s="102" t="s">
        <v>5944</v>
      </c>
    </row>
    <row r="59" hidden="1">
      <c r="A59" s="102" t="s">
        <v>276</v>
      </c>
      <c r="B59" s="102" t="s">
        <v>7656</v>
      </c>
      <c r="C59" s="229" t="s">
        <v>7657</v>
      </c>
      <c r="D59" s="102" t="s">
        <v>4345</v>
      </c>
      <c r="E59" s="102" t="s">
        <v>391</v>
      </c>
      <c r="F59" s="102" t="s">
        <v>392</v>
      </c>
      <c r="G59" s="102" t="s">
        <v>391</v>
      </c>
      <c r="H59" s="102" t="s">
        <v>392</v>
      </c>
      <c r="I59" s="102" t="s">
        <v>284</v>
      </c>
      <c r="J59" s="102" t="s">
        <v>34</v>
      </c>
      <c r="L59" s="229" t="s">
        <v>7654</v>
      </c>
      <c r="M59" s="229" t="s">
        <v>8016</v>
      </c>
      <c r="O59" s="230"/>
      <c r="S59" s="230"/>
      <c r="T59" s="230" t="str">
        <f>IF(ISNUMBER(MATCH(B59, 'Sprint 6'!B:B, 0)), "มาจาก Sprint 6", "")</f>
        <v/>
      </c>
      <c r="U59" s="230" t="str">
        <f t="array" ref="U59">IF(ISNUMBER(MATCH(B59, 'Sprint 6'!B:B, 0)), INDEX('Sprint 6'!J:J, MATCH(B59, 'Sprint 6'!B:B, 0)), "")</f>
        <v/>
      </c>
      <c r="V59" s="230"/>
      <c r="W59" s="102" t="s">
        <v>5944</v>
      </c>
    </row>
    <row r="60" hidden="1">
      <c r="A60" s="102" t="s">
        <v>276</v>
      </c>
      <c r="B60" s="102" t="s">
        <v>7659</v>
      </c>
      <c r="C60" s="229" t="s">
        <v>7660</v>
      </c>
      <c r="D60" s="102" t="s">
        <v>7661</v>
      </c>
      <c r="E60" s="102" t="s">
        <v>391</v>
      </c>
      <c r="F60" s="102" t="s">
        <v>392</v>
      </c>
      <c r="G60" s="102" t="s">
        <v>391</v>
      </c>
      <c r="H60" s="102" t="s">
        <v>392</v>
      </c>
      <c r="I60" s="102" t="s">
        <v>284</v>
      </c>
      <c r="J60" s="102" t="s">
        <v>34</v>
      </c>
      <c r="L60" s="229" t="s">
        <v>7654</v>
      </c>
      <c r="M60" s="229" t="s">
        <v>8018</v>
      </c>
      <c r="O60" s="230"/>
      <c r="S60" s="230"/>
      <c r="T60" s="230" t="str">
        <f>IF(ISNUMBER(MATCH(B60, 'Sprint 6'!B:B, 0)), "มาจาก Sprint 6", "")</f>
        <v/>
      </c>
      <c r="U60" s="230" t="str">
        <f t="array" ref="U60">IF(ISNUMBER(MATCH(B60, 'Sprint 6'!B:B, 0)), INDEX('Sprint 6'!J:J, MATCH(B60, 'Sprint 6'!B:B, 0)), "")</f>
        <v/>
      </c>
      <c r="V60" s="230"/>
      <c r="W60" s="102" t="s">
        <v>5944</v>
      </c>
    </row>
    <row r="61" hidden="1">
      <c r="A61" s="102" t="s">
        <v>276</v>
      </c>
      <c r="B61" s="102" t="s">
        <v>7662</v>
      </c>
      <c r="C61" s="229" t="s">
        <v>7663</v>
      </c>
      <c r="D61" s="102" t="s">
        <v>7664</v>
      </c>
      <c r="E61" s="102" t="s">
        <v>391</v>
      </c>
      <c r="F61" s="102" t="s">
        <v>392</v>
      </c>
      <c r="G61" s="102" t="s">
        <v>391</v>
      </c>
      <c r="H61" s="102" t="s">
        <v>392</v>
      </c>
      <c r="I61" s="102" t="s">
        <v>284</v>
      </c>
      <c r="J61" s="102" t="s">
        <v>34</v>
      </c>
      <c r="L61" s="229" t="s">
        <v>7654</v>
      </c>
      <c r="M61" s="229" t="s">
        <v>8019</v>
      </c>
      <c r="O61" s="230"/>
      <c r="S61" s="230"/>
      <c r="T61" s="230" t="str">
        <f>IF(ISNUMBER(MATCH(B61, 'Sprint 6'!B:B, 0)), "มาจาก Sprint 6", "")</f>
        <v/>
      </c>
      <c r="U61" s="230" t="str">
        <f t="array" ref="U61">IF(ISNUMBER(MATCH(B61, 'Sprint 6'!B:B, 0)), INDEX('Sprint 6'!J:J, MATCH(B61, 'Sprint 6'!B:B, 0)), "")</f>
        <v/>
      </c>
      <c r="V61" s="230"/>
      <c r="W61" s="102" t="s">
        <v>5944</v>
      </c>
    </row>
    <row r="62" hidden="1">
      <c r="A62" s="102" t="s">
        <v>276</v>
      </c>
      <c r="B62" s="102" t="s">
        <v>7666</v>
      </c>
      <c r="C62" s="229" t="s">
        <v>7667</v>
      </c>
      <c r="D62" s="102" t="s">
        <v>7668</v>
      </c>
      <c r="E62" s="102" t="s">
        <v>391</v>
      </c>
      <c r="F62" s="102" t="s">
        <v>392</v>
      </c>
      <c r="G62" s="102" t="s">
        <v>391</v>
      </c>
      <c r="H62" s="102" t="s">
        <v>392</v>
      </c>
      <c r="I62" s="102" t="s">
        <v>284</v>
      </c>
      <c r="J62" s="102" t="s">
        <v>34</v>
      </c>
      <c r="L62" s="229" t="s">
        <v>7669</v>
      </c>
      <c r="M62" s="229" t="s">
        <v>8020</v>
      </c>
      <c r="O62" s="230"/>
      <c r="S62" s="230"/>
      <c r="T62" s="230" t="str">
        <f>IF(ISNUMBER(MATCH(B62, 'Sprint 6'!B:B, 0)), "มาจาก Sprint 6", "")</f>
        <v/>
      </c>
      <c r="U62" s="230" t="str">
        <f t="array" ref="U62">IF(ISNUMBER(MATCH(B62, 'Sprint 6'!B:B, 0)), INDEX('Sprint 6'!J:J, MATCH(B62, 'Sprint 6'!B:B, 0)), "")</f>
        <v/>
      </c>
      <c r="V62" s="230"/>
      <c r="W62" s="102" t="s">
        <v>5944</v>
      </c>
    </row>
    <row r="63" hidden="1">
      <c r="A63" s="102" t="s">
        <v>276</v>
      </c>
      <c r="B63" s="102" t="s">
        <v>7670</v>
      </c>
      <c r="C63" s="229" t="s">
        <v>7671</v>
      </c>
      <c r="D63" s="102" t="s">
        <v>7672</v>
      </c>
      <c r="E63" s="102" t="s">
        <v>391</v>
      </c>
      <c r="F63" s="102" t="s">
        <v>392</v>
      </c>
      <c r="G63" s="102" t="s">
        <v>391</v>
      </c>
      <c r="H63" s="102" t="s">
        <v>392</v>
      </c>
      <c r="I63" s="102" t="s">
        <v>284</v>
      </c>
      <c r="J63" s="102" t="s">
        <v>34</v>
      </c>
      <c r="L63" s="229" t="s">
        <v>7669</v>
      </c>
      <c r="M63" s="229" t="s">
        <v>8020</v>
      </c>
      <c r="O63" s="230"/>
      <c r="S63" s="230"/>
      <c r="T63" s="230" t="str">
        <f>IF(ISNUMBER(MATCH(B63, 'Sprint 6'!B:B, 0)), "มาจาก Sprint 6", "")</f>
        <v/>
      </c>
      <c r="U63" s="230" t="str">
        <f t="array" ref="U63">IF(ISNUMBER(MATCH(B63, 'Sprint 6'!B:B, 0)), INDEX('Sprint 6'!J:J, MATCH(B63, 'Sprint 6'!B:B, 0)), "")</f>
        <v/>
      </c>
      <c r="V63" s="230"/>
      <c r="W63" s="102" t="s">
        <v>5944</v>
      </c>
      <c r="X63" s="102"/>
      <c r="Y63" s="102"/>
    </row>
    <row r="64" hidden="1">
      <c r="A64" s="102" t="s">
        <v>276</v>
      </c>
      <c r="B64" s="102" t="s">
        <v>7673</v>
      </c>
      <c r="C64" s="229" t="s">
        <v>7674</v>
      </c>
      <c r="D64" s="102" t="s">
        <v>7675</v>
      </c>
      <c r="E64" s="102" t="s">
        <v>391</v>
      </c>
      <c r="F64" s="102" t="s">
        <v>392</v>
      </c>
      <c r="G64" s="102" t="s">
        <v>391</v>
      </c>
      <c r="H64" s="102" t="s">
        <v>392</v>
      </c>
      <c r="I64" s="102" t="s">
        <v>284</v>
      </c>
      <c r="J64" s="102" t="s">
        <v>34</v>
      </c>
      <c r="L64" s="229" t="s">
        <v>7676</v>
      </c>
      <c r="M64" s="229" t="s">
        <v>8020</v>
      </c>
      <c r="O64" s="230"/>
      <c r="S64" s="230"/>
      <c r="T64" s="230" t="str">
        <f>IF(ISNUMBER(MATCH(B64, 'Sprint 6'!B:B, 0)), "มาจาก Sprint 6", "")</f>
        <v/>
      </c>
      <c r="U64" s="230" t="str">
        <f t="array" ref="U64">IF(ISNUMBER(MATCH(B64, 'Sprint 6'!B:B, 0)), INDEX('Sprint 6'!J:J, MATCH(B64, 'Sprint 6'!B:B, 0)), "")</f>
        <v/>
      </c>
      <c r="V64" s="230"/>
      <c r="W64" s="102" t="s">
        <v>5944</v>
      </c>
    </row>
    <row r="65" hidden="1">
      <c r="A65" s="102" t="s">
        <v>276</v>
      </c>
      <c r="B65" s="102" t="s">
        <v>7677</v>
      </c>
      <c r="C65" s="229" t="s">
        <v>7678</v>
      </c>
      <c r="D65" s="102" t="s">
        <v>7679</v>
      </c>
      <c r="E65" s="102" t="s">
        <v>391</v>
      </c>
      <c r="F65" s="102" t="s">
        <v>392</v>
      </c>
      <c r="G65" s="102" t="s">
        <v>391</v>
      </c>
      <c r="H65" s="102" t="s">
        <v>392</v>
      </c>
      <c r="I65" s="102" t="s">
        <v>284</v>
      </c>
      <c r="J65" s="102" t="s">
        <v>34</v>
      </c>
      <c r="L65" s="229" t="s">
        <v>7676</v>
      </c>
      <c r="M65" s="229" t="s">
        <v>8020</v>
      </c>
      <c r="O65" s="230"/>
      <c r="S65" s="230"/>
      <c r="T65" s="230" t="str">
        <f>IF(ISNUMBER(MATCH(B65, 'Sprint 6'!B:B, 0)), "มาจาก Sprint 6", "")</f>
        <v/>
      </c>
      <c r="U65" s="230" t="str">
        <f t="array" ref="U65">IF(ISNUMBER(MATCH(B65, 'Sprint 6'!B:B, 0)), INDEX('Sprint 6'!J:J, MATCH(B65, 'Sprint 6'!B:B, 0)), "")</f>
        <v/>
      </c>
      <c r="V65" s="230"/>
      <c r="W65" s="102" t="s">
        <v>5944</v>
      </c>
    </row>
    <row r="66" hidden="1">
      <c r="A66" s="102" t="s">
        <v>276</v>
      </c>
      <c r="B66" s="102" t="s">
        <v>7680</v>
      </c>
      <c r="C66" s="229" t="s">
        <v>7681</v>
      </c>
      <c r="D66" s="102" t="s">
        <v>7682</v>
      </c>
      <c r="E66" s="102" t="s">
        <v>391</v>
      </c>
      <c r="F66" s="102" t="s">
        <v>392</v>
      </c>
      <c r="G66" s="102" t="s">
        <v>391</v>
      </c>
      <c r="H66" s="102" t="s">
        <v>392</v>
      </c>
      <c r="I66" s="102" t="s">
        <v>284</v>
      </c>
      <c r="J66" s="102" t="s">
        <v>34</v>
      </c>
      <c r="L66" s="229" t="s">
        <v>7683</v>
      </c>
      <c r="M66" s="229" t="s">
        <v>8023</v>
      </c>
      <c r="O66" s="230"/>
      <c r="S66" s="230"/>
      <c r="T66" s="230" t="str">
        <f>IF(ISNUMBER(MATCH(B66, 'Sprint 6'!B:B, 0)), "มาจาก Sprint 6", "")</f>
        <v/>
      </c>
      <c r="U66" s="230" t="str">
        <f t="array" ref="U66">IF(ISNUMBER(MATCH(B66, 'Sprint 6'!B:B, 0)), INDEX('Sprint 6'!J:J, MATCH(B66, 'Sprint 6'!B:B, 0)), "")</f>
        <v/>
      </c>
      <c r="V66" s="230"/>
      <c r="W66" s="102" t="s">
        <v>5944</v>
      </c>
    </row>
    <row r="67" hidden="1">
      <c r="A67" s="102" t="s">
        <v>276</v>
      </c>
      <c r="B67" s="102" t="s">
        <v>7684</v>
      </c>
      <c r="C67" s="229" t="s">
        <v>7685</v>
      </c>
      <c r="D67" s="102" t="s">
        <v>7686</v>
      </c>
      <c r="E67" s="102" t="s">
        <v>391</v>
      </c>
      <c r="F67" s="102" t="s">
        <v>392</v>
      </c>
      <c r="G67" s="102" t="s">
        <v>391</v>
      </c>
      <c r="H67" s="102" t="s">
        <v>392</v>
      </c>
      <c r="I67" s="102" t="s">
        <v>284</v>
      </c>
      <c r="J67" s="102" t="s">
        <v>34</v>
      </c>
      <c r="L67" s="229" t="s">
        <v>7683</v>
      </c>
      <c r="M67" s="229" t="s">
        <v>8023</v>
      </c>
      <c r="O67" s="230"/>
      <c r="S67" s="230"/>
      <c r="T67" s="230" t="str">
        <f>IF(ISNUMBER(MATCH(B67, 'Sprint 6'!B:B, 0)), "มาจาก Sprint 6", "")</f>
        <v/>
      </c>
      <c r="U67" s="230" t="str">
        <f t="array" ref="U67">IF(ISNUMBER(MATCH(B67, 'Sprint 6'!B:B, 0)), INDEX('Sprint 6'!J:J, MATCH(B67, 'Sprint 6'!B:B, 0)), "")</f>
        <v/>
      </c>
      <c r="V67" s="230"/>
      <c r="W67" s="102" t="s">
        <v>5944</v>
      </c>
    </row>
    <row r="68" hidden="1">
      <c r="A68" s="102" t="s">
        <v>276</v>
      </c>
      <c r="B68" s="102" t="s">
        <v>7687</v>
      </c>
      <c r="C68" s="229" t="s">
        <v>7688</v>
      </c>
      <c r="D68" s="102" t="s">
        <v>7689</v>
      </c>
      <c r="E68" s="102" t="s">
        <v>391</v>
      </c>
      <c r="F68" s="102" t="s">
        <v>392</v>
      </c>
      <c r="G68" s="102" t="s">
        <v>391</v>
      </c>
      <c r="H68" s="102" t="s">
        <v>392</v>
      </c>
      <c r="I68" s="102" t="s">
        <v>284</v>
      </c>
      <c r="J68" s="102" t="s">
        <v>34</v>
      </c>
      <c r="L68" s="229" t="s">
        <v>7690</v>
      </c>
      <c r="M68" s="229" t="s">
        <v>8023</v>
      </c>
      <c r="O68" s="230"/>
      <c r="S68" s="230"/>
      <c r="T68" s="230" t="str">
        <f>IF(ISNUMBER(MATCH(B68, 'Sprint 6'!B:B, 0)), "มาจาก Sprint 6", "")</f>
        <v/>
      </c>
      <c r="U68" s="230" t="str">
        <f t="array" ref="U68">IF(ISNUMBER(MATCH(B68, 'Sprint 6'!B:B, 0)), INDEX('Sprint 6'!J:J, MATCH(B68, 'Sprint 6'!B:B, 0)), "")</f>
        <v/>
      </c>
      <c r="V68" s="230"/>
      <c r="W68" s="102" t="s">
        <v>5944</v>
      </c>
    </row>
    <row r="69" hidden="1">
      <c r="A69" s="102" t="s">
        <v>276</v>
      </c>
      <c r="B69" s="102" t="s">
        <v>7691</v>
      </c>
      <c r="C69" s="229" t="s">
        <v>7692</v>
      </c>
      <c r="D69" s="102" t="s">
        <v>4345</v>
      </c>
      <c r="E69" s="102" t="s">
        <v>391</v>
      </c>
      <c r="F69" s="102" t="s">
        <v>392</v>
      </c>
      <c r="G69" s="102" t="s">
        <v>391</v>
      </c>
      <c r="H69" s="102" t="s">
        <v>392</v>
      </c>
      <c r="I69" s="102" t="s">
        <v>284</v>
      </c>
      <c r="J69" s="102" t="s">
        <v>63</v>
      </c>
      <c r="L69" s="229" t="s">
        <v>7693</v>
      </c>
      <c r="M69" s="229" t="s">
        <v>7693</v>
      </c>
      <c r="O69" s="230"/>
      <c r="S69" s="230"/>
      <c r="T69" s="230" t="str">
        <f>IF(ISNUMBER(MATCH(B69, 'Sprint 6'!B:B, 0)), "มาจาก Sprint 6", "")</f>
        <v/>
      </c>
      <c r="U69" s="230" t="str">
        <f t="array" ref="U69">IF(ISNUMBER(MATCH(B69, 'Sprint 6'!B:B, 0)), INDEX('Sprint 6'!J:J, MATCH(B69, 'Sprint 6'!B:B, 0)), "")</f>
        <v/>
      </c>
      <c r="V69" s="230"/>
      <c r="W69" s="102" t="s">
        <v>7695</v>
      </c>
      <c r="X69" s="102" t="s">
        <v>7696</v>
      </c>
      <c r="Y69" s="102" t="s">
        <v>5944</v>
      </c>
    </row>
    <row r="70" hidden="1">
      <c r="A70" s="102" t="s">
        <v>276</v>
      </c>
      <c r="B70" s="102" t="s">
        <v>6462</v>
      </c>
      <c r="C70" s="229" t="s">
        <v>6463</v>
      </c>
      <c r="D70" s="102" t="s">
        <v>4345</v>
      </c>
      <c r="E70" s="102" t="s">
        <v>280</v>
      </c>
      <c r="F70" s="102" t="s">
        <v>281</v>
      </c>
      <c r="G70" s="102" t="s">
        <v>391</v>
      </c>
      <c r="H70" s="102" t="s">
        <v>392</v>
      </c>
      <c r="I70" s="102" t="s">
        <v>284</v>
      </c>
      <c r="J70" s="102" t="s">
        <v>63</v>
      </c>
      <c r="L70" s="229" t="s">
        <v>6464</v>
      </c>
      <c r="M70" s="229" t="s">
        <v>6464</v>
      </c>
      <c r="O70" s="230"/>
      <c r="S70" s="230"/>
      <c r="T70" s="230" t="str">
        <f>IF(ISNUMBER(MATCH(B70, 'Sprint 6'!B:B, 0)), "มาจาก Sprint 6", "")</f>
        <v/>
      </c>
      <c r="U70" s="230" t="str">
        <f t="array" ref="U70">IF(ISNUMBER(MATCH(B70, 'Sprint 6'!B:B, 0)), INDEX('Sprint 6'!J:J, MATCH(B70, 'Sprint 6'!B:B, 0)), "")</f>
        <v/>
      </c>
      <c r="V70" s="230"/>
      <c r="W70" s="102" t="s">
        <v>5944</v>
      </c>
    </row>
    <row r="71" hidden="1">
      <c r="A71" s="102" t="s">
        <v>276</v>
      </c>
      <c r="B71" s="102" t="s">
        <v>8024</v>
      </c>
      <c r="C71" s="229" t="s">
        <v>8025</v>
      </c>
      <c r="D71" s="102" t="s">
        <v>8026</v>
      </c>
      <c r="E71" s="102" t="s">
        <v>521</v>
      </c>
      <c r="F71" s="102" t="s">
        <v>522</v>
      </c>
      <c r="G71" s="102" t="s">
        <v>391</v>
      </c>
      <c r="H71" s="102" t="s">
        <v>392</v>
      </c>
      <c r="I71" s="102" t="s">
        <v>284</v>
      </c>
      <c r="J71" s="102" t="s">
        <v>26</v>
      </c>
      <c r="L71" s="229" t="s">
        <v>7700</v>
      </c>
      <c r="M71" s="229" t="s">
        <v>9373</v>
      </c>
      <c r="O71" s="230"/>
      <c r="S71" s="230"/>
      <c r="T71" s="230" t="str">
        <f>IF(ISNUMBER(MATCH(B71, 'Sprint 6'!B:B, 0)), "มาจาก Sprint 6", "")</f>
        <v/>
      </c>
      <c r="U71" s="230" t="str">
        <f t="array" ref="U71">IF(ISNUMBER(MATCH(B71, 'Sprint 6'!B:B, 0)), INDEX('Sprint 6'!J:J, MATCH(B71, 'Sprint 6'!B:B, 0)), "")</f>
        <v/>
      </c>
      <c r="V71" s="230"/>
      <c r="W71" s="102" t="s">
        <v>5944</v>
      </c>
    </row>
    <row r="72" hidden="1">
      <c r="A72" s="102" t="s">
        <v>276</v>
      </c>
      <c r="B72" s="102" t="s">
        <v>7697</v>
      </c>
      <c r="C72" s="229" t="s">
        <v>7698</v>
      </c>
      <c r="D72" s="102" t="s">
        <v>4345</v>
      </c>
      <c r="E72" s="102" t="s">
        <v>391</v>
      </c>
      <c r="F72" s="102" t="s">
        <v>392</v>
      </c>
      <c r="G72" s="102" t="s">
        <v>391</v>
      </c>
      <c r="H72" s="102" t="s">
        <v>392</v>
      </c>
      <c r="I72" s="102" t="s">
        <v>284</v>
      </c>
      <c r="J72" s="102" t="s">
        <v>63</v>
      </c>
      <c r="L72" s="229" t="s">
        <v>7700</v>
      </c>
      <c r="M72" s="229" t="s">
        <v>7700</v>
      </c>
      <c r="N72" s="102"/>
      <c r="O72" s="102"/>
      <c r="P72" s="102"/>
      <c r="S72" s="230"/>
      <c r="T72" s="230" t="str">
        <f>IF(ISNUMBER(MATCH(B72, 'Sprint 6'!B:B, 0)), "มาจาก Sprint 6", "")</f>
        <v/>
      </c>
      <c r="U72" s="230" t="str">
        <f t="array" ref="U72">IF(ISNUMBER(MATCH(B72, 'Sprint 6'!B:B, 0)), INDEX('Sprint 6'!J:J, MATCH(B72, 'Sprint 6'!B:B, 0)), "")</f>
        <v/>
      </c>
      <c r="V72" s="230"/>
      <c r="W72" s="102" t="s">
        <v>5944</v>
      </c>
    </row>
    <row r="73" hidden="1">
      <c r="A73" s="102" t="s">
        <v>276</v>
      </c>
      <c r="B73" s="102" t="s">
        <v>8028</v>
      </c>
      <c r="C73" s="229" t="s">
        <v>8029</v>
      </c>
      <c r="D73" s="102" t="s">
        <v>8030</v>
      </c>
      <c r="E73" s="102" t="s">
        <v>521</v>
      </c>
      <c r="F73" s="102" t="s">
        <v>522</v>
      </c>
      <c r="G73" s="102" t="s">
        <v>391</v>
      </c>
      <c r="H73" s="102" t="s">
        <v>392</v>
      </c>
      <c r="I73" s="102" t="s">
        <v>284</v>
      </c>
      <c r="J73" s="102" t="s">
        <v>26</v>
      </c>
      <c r="L73" s="229" t="s">
        <v>8031</v>
      </c>
      <c r="M73" s="229" t="s">
        <v>9374</v>
      </c>
      <c r="O73" s="102"/>
      <c r="S73" s="230"/>
      <c r="T73" s="230" t="str">
        <f>IF(ISNUMBER(MATCH(B73, 'Sprint 6'!B:B, 0)), "มาจาก Sprint 6", "")</f>
        <v/>
      </c>
      <c r="U73" s="230" t="str">
        <f t="array" ref="U73">IF(ISNUMBER(MATCH(B73, 'Sprint 6'!B:B, 0)), INDEX('Sprint 6'!J:J, MATCH(B73, 'Sprint 6'!B:B, 0)), "")</f>
        <v/>
      </c>
      <c r="V73" s="230"/>
      <c r="W73" s="102" t="s">
        <v>5944</v>
      </c>
    </row>
    <row r="74" hidden="1">
      <c r="A74" s="102" t="s">
        <v>276</v>
      </c>
      <c r="B74" s="102" t="s">
        <v>9375</v>
      </c>
      <c r="C74" s="229" t="s">
        <v>9376</v>
      </c>
      <c r="D74" s="102" t="s">
        <v>4345</v>
      </c>
      <c r="E74" s="102"/>
      <c r="F74" s="102"/>
      <c r="G74" s="102" t="s">
        <v>391</v>
      </c>
      <c r="H74" s="102" t="s">
        <v>392</v>
      </c>
      <c r="I74" s="102" t="s">
        <v>284</v>
      </c>
      <c r="J74" s="102" t="s">
        <v>63</v>
      </c>
      <c r="L74" s="229" t="s">
        <v>9027</v>
      </c>
      <c r="M74" s="229" t="s">
        <v>9027</v>
      </c>
      <c r="O74" s="102"/>
      <c r="P74" s="102"/>
      <c r="S74" s="230"/>
      <c r="T74" s="230" t="str">
        <f>IF(ISNUMBER(MATCH(B74, 'Sprint 6'!B:B, 0)), "มาจาก Sprint 6", "")</f>
        <v/>
      </c>
      <c r="U74" s="230" t="str">
        <f t="array" ref="U74">IF(ISNUMBER(MATCH(B74, 'Sprint 6'!B:B, 0)), INDEX('Sprint 6'!J:J, MATCH(B74, 'Sprint 6'!B:B, 0)), "")</f>
        <v/>
      </c>
      <c r="V74" s="230"/>
      <c r="W74" s="102" t="s">
        <v>8754</v>
      </c>
    </row>
    <row r="75" hidden="1">
      <c r="A75" s="102" t="s">
        <v>276</v>
      </c>
      <c r="B75" s="102" t="s">
        <v>9024</v>
      </c>
      <c r="C75" s="229" t="s">
        <v>9025</v>
      </c>
      <c r="D75" s="102" t="s">
        <v>4345</v>
      </c>
      <c r="E75" s="102"/>
      <c r="F75" s="102"/>
      <c r="G75" s="102" t="s">
        <v>391</v>
      </c>
      <c r="H75" s="102" t="s">
        <v>392</v>
      </c>
      <c r="I75" s="102" t="s">
        <v>284</v>
      </c>
      <c r="J75" s="102" t="s">
        <v>63</v>
      </c>
      <c r="L75" s="229" t="s">
        <v>9027</v>
      </c>
      <c r="M75" s="229" t="s">
        <v>9027</v>
      </c>
      <c r="N75" s="102"/>
      <c r="O75" s="102"/>
      <c r="S75" s="102"/>
      <c r="T75" s="230" t="str">
        <f>IF(ISNUMBER(MATCH(B75, 'Sprint 6'!B:B, 0)), "มาจาก Sprint 6", "")</f>
        <v/>
      </c>
      <c r="U75" s="230" t="str">
        <f t="array" ref="U75">IF(ISNUMBER(MATCH(B75, 'Sprint 6'!B:B, 0)), INDEX('Sprint 6'!J:J, MATCH(B75, 'Sprint 6'!B:B, 0)), "")</f>
        <v/>
      </c>
      <c r="V75" s="102"/>
      <c r="W75" s="102" t="s">
        <v>8754</v>
      </c>
    </row>
    <row r="76" hidden="1">
      <c r="A76" s="102" t="s">
        <v>276</v>
      </c>
      <c r="B76" s="102" t="s">
        <v>9028</v>
      </c>
      <c r="C76" s="229" t="s">
        <v>9029</v>
      </c>
      <c r="D76" s="102" t="s">
        <v>4345</v>
      </c>
      <c r="E76" s="102"/>
      <c r="F76" s="102"/>
      <c r="G76" s="102" t="s">
        <v>391</v>
      </c>
      <c r="H76" s="102" t="s">
        <v>392</v>
      </c>
      <c r="I76" s="102" t="s">
        <v>284</v>
      </c>
      <c r="J76" s="102" t="s">
        <v>63</v>
      </c>
      <c r="L76" s="229" t="s">
        <v>9027</v>
      </c>
      <c r="M76" s="229" t="s">
        <v>9027</v>
      </c>
      <c r="O76" s="102"/>
      <c r="P76" s="102"/>
      <c r="S76" s="230"/>
      <c r="T76" s="230" t="str">
        <f>IF(ISNUMBER(MATCH(B76, 'Sprint 6'!B:B, 0)), "มาจาก Sprint 6", "")</f>
        <v/>
      </c>
      <c r="U76" s="230" t="str">
        <f t="array" ref="U76">IF(ISNUMBER(MATCH(B76, 'Sprint 6'!B:B, 0)), INDEX('Sprint 6'!J:J, MATCH(B76, 'Sprint 6'!B:B, 0)), "")</f>
        <v/>
      </c>
      <c r="V76" s="230"/>
      <c r="W76" s="102" t="s">
        <v>8754</v>
      </c>
    </row>
    <row r="77" hidden="1">
      <c r="A77" s="102" t="s">
        <v>276</v>
      </c>
      <c r="B77" s="102" t="s">
        <v>9733</v>
      </c>
      <c r="C77" s="229" t="s">
        <v>9734</v>
      </c>
      <c r="D77" s="102" t="s">
        <v>9735</v>
      </c>
      <c r="E77" s="102"/>
      <c r="F77" s="102"/>
      <c r="G77" s="102" t="s">
        <v>391</v>
      </c>
      <c r="H77" s="102" t="s">
        <v>392</v>
      </c>
      <c r="I77" s="102" t="s">
        <v>284</v>
      </c>
      <c r="J77" s="102" t="s">
        <v>63</v>
      </c>
      <c r="L77" s="229" t="s">
        <v>9736</v>
      </c>
      <c r="M77" s="229" t="s">
        <v>9737</v>
      </c>
      <c r="O77" s="102"/>
      <c r="P77" s="102"/>
      <c r="S77" s="230"/>
      <c r="T77" s="230" t="str">
        <f>IF(ISNUMBER(MATCH(B77, 'Sprint 6'!B:B, 0)), "มาจาก Sprint 6", "")</f>
        <v/>
      </c>
      <c r="U77" s="230" t="str">
        <f t="array" ref="U77">IF(ISNUMBER(MATCH(B77, 'Sprint 6'!B:B, 0)), INDEX('Sprint 6'!J:J, MATCH(B77, 'Sprint 6'!B:B, 0)), "")</f>
        <v/>
      </c>
      <c r="V77" s="230"/>
      <c r="W77" s="102" t="s">
        <v>8754</v>
      </c>
    </row>
    <row r="78" hidden="1">
      <c r="A78" s="102" t="s">
        <v>310</v>
      </c>
      <c r="B78" s="102" t="s">
        <v>9738</v>
      </c>
      <c r="C78" s="229" t="s">
        <v>9739</v>
      </c>
      <c r="D78" s="102" t="s">
        <v>9740</v>
      </c>
      <c r="E78" s="102" t="s">
        <v>314</v>
      </c>
      <c r="F78" s="102" t="s">
        <v>315</v>
      </c>
      <c r="G78" s="102" t="s">
        <v>316</v>
      </c>
      <c r="H78" s="102" t="s">
        <v>317</v>
      </c>
      <c r="I78" s="102" t="s">
        <v>284</v>
      </c>
      <c r="J78" s="102" t="s">
        <v>26</v>
      </c>
      <c r="L78" s="229" t="s">
        <v>9741</v>
      </c>
      <c r="M78" s="229" t="s">
        <v>9742</v>
      </c>
      <c r="N78" s="229" t="s">
        <v>7743</v>
      </c>
      <c r="O78" s="102">
        <v>1.0</v>
      </c>
      <c r="P78" s="102" t="s">
        <v>9743</v>
      </c>
      <c r="S78" s="102">
        <v>1800.0</v>
      </c>
      <c r="T78" s="230" t="str">
        <f>IF(ISNUMBER(MATCH(B78, 'Sprint 6'!B:B, 0)), "มาจาก Sprint 6", "")</f>
        <v/>
      </c>
      <c r="U78" s="230" t="str">
        <f t="array" ref="U78">IF(ISNUMBER(MATCH(B78, 'Sprint 6'!B:B, 0)), INDEX('Sprint 6'!J:J, MATCH(B78, 'Sprint 6'!B:B, 0)), "")</f>
        <v/>
      </c>
      <c r="V78" s="102"/>
      <c r="W78" s="102" t="s">
        <v>4968</v>
      </c>
    </row>
    <row r="79" hidden="1">
      <c r="A79" s="102" t="s">
        <v>310</v>
      </c>
      <c r="B79" s="102" t="s">
        <v>9744</v>
      </c>
      <c r="C79" s="229" t="s">
        <v>9745</v>
      </c>
      <c r="D79" s="102" t="s">
        <v>9746</v>
      </c>
      <c r="E79" s="102" t="s">
        <v>282</v>
      </c>
      <c r="F79" s="102" t="s">
        <v>283</v>
      </c>
      <c r="G79" s="102" t="s">
        <v>282</v>
      </c>
      <c r="H79" s="102" t="s">
        <v>283</v>
      </c>
      <c r="I79" s="102" t="s">
        <v>515</v>
      </c>
      <c r="J79" s="102" t="s">
        <v>26</v>
      </c>
      <c r="L79" s="229" t="s">
        <v>9747</v>
      </c>
      <c r="M79" s="229" t="s">
        <v>9748</v>
      </c>
      <c r="O79" s="102">
        <v>5.0</v>
      </c>
      <c r="P79" s="102" t="s">
        <v>5547</v>
      </c>
      <c r="S79" s="102">
        <v>86400.0</v>
      </c>
      <c r="T79" s="230" t="str">
        <f>IF(ISNUMBER(MATCH(B79, 'Sprint 6'!B:B, 0)), "มาจาก Sprint 6", "")</f>
        <v/>
      </c>
      <c r="U79" s="230" t="str">
        <f t="array" ref="U79">IF(ISNUMBER(MATCH(B79, 'Sprint 6'!B:B, 0)), INDEX('Sprint 6'!J:J, MATCH(B79, 'Sprint 6'!B:B, 0)), "")</f>
        <v/>
      </c>
      <c r="V79" s="102"/>
      <c r="W79" s="102" t="s">
        <v>4968</v>
      </c>
      <c r="X79" s="102"/>
    </row>
    <row r="80" hidden="1">
      <c r="A80" s="102" t="s">
        <v>310</v>
      </c>
      <c r="B80" s="102" t="s">
        <v>9749</v>
      </c>
      <c r="C80" s="229" t="s">
        <v>9750</v>
      </c>
      <c r="D80" s="102" t="s">
        <v>9751</v>
      </c>
      <c r="E80" s="102" t="s">
        <v>314</v>
      </c>
      <c r="F80" s="102" t="s">
        <v>315</v>
      </c>
      <c r="G80" s="102" t="s">
        <v>314</v>
      </c>
      <c r="H80" s="102" t="s">
        <v>315</v>
      </c>
      <c r="I80" s="102" t="s">
        <v>284</v>
      </c>
      <c r="J80" s="102" t="s">
        <v>26</v>
      </c>
      <c r="L80" s="229" t="s">
        <v>9752</v>
      </c>
      <c r="M80" s="229" t="s">
        <v>9753</v>
      </c>
      <c r="O80" s="102">
        <v>1.0</v>
      </c>
      <c r="P80" s="102" t="s">
        <v>593</v>
      </c>
      <c r="S80" s="102">
        <v>3600.0</v>
      </c>
      <c r="T80" s="230" t="str">
        <f>IF(ISNUMBER(MATCH(B80, 'Sprint 6'!B:B, 0)), "มาจาก Sprint 6", "")</f>
        <v/>
      </c>
      <c r="U80" s="230" t="str">
        <f t="array" ref="U80">IF(ISNUMBER(MATCH(B80, 'Sprint 6'!B:B, 0)), INDEX('Sprint 6'!J:J, MATCH(B80, 'Sprint 6'!B:B, 0)), "")</f>
        <v/>
      </c>
      <c r="V80" s="102"/>
      <c r="W80" s="102" t="s">
        <v>9409</v>
      </c>
    </row>
    <row r="81" hidden="1">
      <c r="A81" s="102" t="s">
        <v>310</v>
      </c>
      <c r="B81" s="102" t="s">
        <v>8605</v>
      </c>
      <c r="C81" s="229" t="s">
        <v>8606</v>
      </c>
      <c r="D81" s="102" t="s">
        <v>8607</v>
      </c>
      <c r="E81" s="102" t="s">
        <v>513</v>
      </c>
      <c r="F81" s="102" t="s">
        <v>514</v>
      </c>
      <c r="G81" s="102" t="s">
        <v>353</v>
      </c>
      <c r="H81" s="102" t="s">
        <v>354</v>
      </c>
      <c r="I81" s="102" t="s">
        <v>284</v>
      </c>
      <c r="J81" s="102" t="s">
        <v>678</v>
      </c>
      <c r="L81" s="229" t="s">
        <v>8608</v>
      </c>
      <c r="M81" s="229" t="s">
        <v>9754</v>
      </c>
      <c r="N81" s="229" t="s">
        <v>6481</v>
      </c>
      <c r="O81" s="102">
        <v>5.0</v>
      </c>
      <c r="S81" s="102">
        <v>57600.0</v>
      </c>
      <c r="T81" s="230" t="str">
        <f>IF(ISNUMBER(MATCH(B81, 'Sprint 6'!B:B, 0)), "มาจาก Sprint 6", "")</f>
        <v/>
      </c>
      <c r="U81" s="230" t="str">
        <f t="array" ref="U81">IF(ISNUMBER(MATCH(B81, 'Sprint 6'!B:B, 0)), INDEX('Sprint 6'!J:J, MATCH(B81, 'Sprint 6'!B:B, 0)), "")</f>
        <v/>
      </c>
      <c r="V81" s="102"/>
      <c r="W81" s="102" t="s">
        <v>5944</v>
      </c>
    </row>
    <row r="82" hidden="1">
      <c r="A82" s="102" t="s">
        <v>310</v>
      </c>
      <c r="B82" s="102" t="s">
        <v>9755</v>
      </c>
      <c r="C82" s="229" t="s">
        <v>9756</v>
      </c>
      <c r="D82" s="102" t="s">
        <v>9757</v>
      </c>
      <c r="E82" s="102" t="s">
        <v>314</v>
      </c>
      <c r="F82" s="102" t="s">
        <v>315</v>
      </c>
      <c r="G82" s="102" t="s">
        <v>314</v>
      </c>
      <c r="H82" s="102" t="s">
        <v>315</v>
      </c>
      <c r="I82" s="102" t="s">
        <v>284</v>
      </c>
      <c r="J82" s="102" t="s">
        <v>26</v>
      </c>
      <c r="L82" s="229" t="s">
        <v>9758</v>
      </c>
      <c r="M82" s="229" t="s">
        <v>9753</v>
      </c>
      <c r="O82" s="102">
        <v>3.0</v>
      </c>
      <c r="P82" s="102" t="s">
        <v>593</v>
      </c>
      <c r="S82" s="102">
        <v>7200.0</v>
      </c>
      <c r="T82" s="230" t="str">
        <f>IF(ISNUMBER(MATCH(B82, 'Sprint 6'!B:B, 0)), "มาจาก Sprint 6", "")</f>
        <v/>
      </c>
      <c r="U82" s="230" t="str">
        <f t="array" ref="U82">IF(ISNUMBER(MATCH(B82, 'Sprint 6'!B:B, 0)), INDEX('Sprint 6'!J:J, MATCH(B82, 'Sprint 6'!B:B, 0)), "")</f>
        <v/>
      </c>
      <c r="V82" s="102"/>
      <c r="W82" s="102" t="s">
        <v>9409</v>
      </c>
    </row>
    <row r="83" hidden="1">
      <c r="A83" s="102" t="s">
        <v>310</v>
      </c>
      <c r="B83" s="102" t="s">
        <v>9759</v>
      </c>
      <c r="C83" s="229" t="s">
        <v>9760</v>
      </c>
      <c r="D83" s="102" t="s">
        <v>9761</v>
      </c>
      <c r="E83" s="102" t="s">
        <v>314</v>
      </c>
      <c r="F83" s="102" t="s">
        <v>315</v>
      </c>
      <c r="G83" s="102" t="s">
        <v>314</v>
      </c>
      <c r="H83" s="102" t="s">
        <v>315</v>
      </c>
      <c r="I83" s="102" t="s">
        <v>284</v>
      </c>
      <c r="J83" s="102" t="s">
        <v>26</v>
      </c>
      <c r="L83" s="229" t="s">
        <v>9762</v>
      </c>
      <c r="M83" s="229" t="s">
        <v>9763</v>
      </c>
      <c r="O83" s="102">
        <v>2.0</v>
      </c>
      <c r="P83" s="102" t="s">
        <v>593</v>
      </c>
      <c r="S83" s="102">
        <v>7200.0</v>
      </c>
      <c r="T83" s="230" t="str">
        <f>IF(ISNUMBER(MATCH(B83, 'Sprint 6'!B:B, 0)), "มาจาก Sprint 6", "")</f>
        <v/>
      </c>
      <c r="U83" s="230" t="str">
        <f t="array" ref="U83">IF(ISNUMBER(MATCH(B83, 'Sprint 6'!B:B, 0)), INDEX('Sprint 6'!J:J, MATCH(B83, 'Sprint 6'!B:B, 0)), "")</f>
        <v/>
      </c>
      <c r="V83" s="102"/>
      <c r="W83" s="102" t="s">
        <v>9409</v>
      </c>
    </row>
    <row r="84" hidden="1">
      <c r="A84" s="102" t="s">
        <v>310</v>
      </c>
      <c r="B84" s="102" t="s">
        <v>9379</v>
      </c>
      <c r="C84" s="229" t="s">
        <v>9380</v>
      </c>
      <c r="D84" s="102" t="s">
        <v>9381</v>
      </c>
      <c r="E84" s="102" t="s">
        <v>353</v>
      </c>
      <c r="F84" s="102" t="s">
        <v>354</v>
      </c>
      <c r="G84" s="102" t="s">
        <v>353</v>
      </c>
      <c r="H84" s="102" t="s">
        <v>354</v>
      </c>
      <c r="I84" s="102" t="s">
        <v>284</v>
      </c>
      <c r="J84" s="102" t="s">
        <v>63</v>
      </c>
      <c r="L84" s="229" t="s">
        <v>9382</v>
      </c>
      <c r="M84" s="229" t="s">
        <v>9383</v>
      </c>
      <c r="N84" s="102"/>
      <c r="O84" s="102">
        <v>1.0</v>
      </c>
      <c r="P84" s="102"/>
      <c r="S84" s="102"/>
      <c r="T84" s="230" t="str">
        <f>IF(ISNUMBER(MATCH(B84, 'Sprint 6'!B:B, 0)), "มาจาก Sprint 6", "")</f>
        <v/>
      </c>
      <c r="U84" s="230" t="str">
        <f t="array" ref="U84">IF(ISNUMBER(MATCH(B84, 'Sprint 6'!B:B, 0)), INDEX('Sprint 6'!J:J, MATCH(B84, 'Sprint 6'!B:B, 0)), "")</f>
        <v/>
      </c>
      <c r="V84" s="102"/>
      <c r="W84" s="102" t="s">
        <v>8981</v>
      </c>
    </row>
    <row r="85" hidden="1">
      <c r="A85" s="102" t="s">
        <v>276</v>
      </c>
      <c r="B85" s="102" t="s">
        <v>9764</v>
      </c>
      <c r="C85" s="229" t="s">
        <v>9765</v>
      </c>
      <c r="D85" s="102" t="s">
        <v>347</v>
      </c>
      <c r="E85" s="102" t="s">
        <v>280</v>
      </c>
      <c r="F85" s="102" t="s">
        <v>281</v>
      </c>
      <c r="G85" s="102" t="s">
        <v>280</v>
      </c>
      <c r="H85" s="102" t="s">
        <v>281</v>
      </c>
      <c r="I85" s="102" t="s">
        <v>284</v>
      </c>
      <c r="J85" s="102" t="s">
        <v>26</v>
      </c>
      <c r="L85" s="229" t="s">
        <v>9766</v>
      </c>
      <c r="M85" s="229" t="s">
        <v>9767</v>
      </c>
      <c r="O85" s="102"/>
      <c r="S85" s="230"/>
      <c r="T85" s="230" t="str">
        <f>IF(ISNUMBER(MATCH(B85, 'Sprint 6'!B:B, 0)), "มาจาก Sprint 6", "")</f>
        <v/>
      </c>
      <c r="U85" s="230" t="str">
        <f t="array" ref="U85">IF(ISNUMBER(MATCH(B85, 'Sprint 6'!B:B, 0)), INDEX('Sprint 6'!J:J, MATCH(B85, 'Sprint 6'!B:B, 0)), "")</f>
        <v/>
      </c>
      <c r="V85" s="230"/>
      <c r="W85" s="102" t="s">
        <v>4967</v>
      </c>
      <c r="X85" s="102" t="s">
        <v>4968</v>
      </c>
    </row>
    <row r="86" hidden="1">
      <c r="A86" s="102" t="s">
        <v>332</v>
      </c>
      <c r="B86" s="102" t="s">
        <v>9768</v>
      </c>
      <c r="C86" s="229" t="s">
        <v>9769</v>
      </c>
      <c r="D86" s="102" t="s">
        <v>9770</v>
      </c>
      <c r="E86" s="102" t="s">
        <v>314</v>
      </c>
      <c r="F86" s="102" t="s">
        <v>315</v>
      </c>
      <c r="G86" s="102" t="s">
        <v>280</v>
      </c>
      <c r="H86" s="102" t="s">
        <v>281</v>
      </c>
      <c r="I86" s="102" t="s">
        <v>284</v>
      </c>
      <c r="J86" s="102" t="s">
        <v>336</v>
      </c>
      <c r="L86" s="229" t="s">
        <v>9771</v>
      </c>
      <c r="M86" s="229" t="s">
        <v>9772</v>
      </c>
      <c r="O86" s="230"/>
      <c r="S86" s="230"/>
      <c r="T86" s="230" t="str">
        <f>IF(ISNUMBER(MATCH(B86, 'Sprint 6'!B:B, 0)), "มาจาก Sprint 6", "")</f>
        <v/>
      </c>
      <c r="U86" s="230" t="str">
        <f t="array" ref="U86">IF(ISNUMBER(MATCH(B86, 'Sprint 6'!B:B, 0)), INDEX('Sprint 6'!J:J, MATCH(B86, 'Sprint 6'!B:B, 0)), "")</f>
        <v/>
      </c>
      <c r="V86" s="230"/>
      <c r="W86" s="102" t="s">
        <v>9409</v>
      </c>
      <c r="X86" s="102"/>
      <c r="Y86" s="102"/>
    </row>
    <row r="87" hidden="1">
      <c r="A87" s="102" t="s">
        <v>310</v>
      </c>
      <c r="B87" s="102" t="s">
        <v>6466</v>
      </c>
      <c r="C87" s="229" t="s">
        <v>6467</v>
      </c>
      <c r="D87" s="102" t="s">
        <v>6468</v>
      </c>
      <c r="E87" s="102" t="s">
        <v>304</v>
      </c>
      <c r="F87" s="102" t="s">
        <v>305</v>
      </c>
      <c r="G87" s="102" t="s">
        <v>353</v>
      </c>
      <c r="H87" s="102" t="s">
        <v>354</v>
      </c>
      <c r="I87" s="102" t="s">
        <v>284</v>
      </c>
      <c r="J87" s="102" t="s">
        <v>678</v>
      </c>
      <c r="L87" s="229" t="s">
        <v>6469</v>
      </c>
      <c r="M87" s="229" t="s">
        <v>9773</v>
      </c>
      <c r="N87" s="229" t="s">
        <v>6471</v>
      </c>
      <c r="O87" s="102">
        <v>3.0</v>
      </c>
      <c r="P87" s="102" t="s">
        <v>3197</v>
      </c>
      <c r="Q87" s="102" t="s">
        <v>593</v>
      </c>
      <c r="S87" s="102">
        <v>18000.0</v>
      </c>
      <c r="T87" s="230" t="str">
        <f>IF(ISNUMBER(MATCH(B87, 'Sprint 6'!B:B, 0)), "มาจาก Sprint 6", "")</f>
        <v/>
      </c>
      <c r="U87" s="230" t="str">
        <f t="array" ref="U87">IF(ISNUMBER(MATCH(B87, 'Sprint 6'!B:B, 0)), INDEX('Sprint 6'!J:J, MATCH(B87, 'Sprint 6'!B:B, 0)), "")</f>
        <v/>
      </c>
      <c r="V87" s="102"/>
      <c r="W87" s="102" t="s">
        <v>5944</v>
      </c>
      <c r="X87" s="102"/>
      <c r="Y87" s="102"/>
    </row>
    <row r="88" hidden="1">
      <c r="A88" s="102" t="s">
        <v>310</v>
      </c>
      <c r="B88" s="102" t="s">
        <v>9774</v>
      </c>
      <c r="C88" s="229" t="s">
        <v>9775</v>
      </c>
      <c r="D88" s="102" t="s">
        <v>9776</v>
      </c>
      <c r="E88" s="102" t="s">
        <v>314</v>
      </c>
      <c r="F88" s="102" t="s">
        <v>315</v>
      </c>
      <c r="G88" s="102" t="s">
        <v>314</v>
      </c>
      <c r="H88" s="102" t="s">
        <v>315</v>
      </c>
      <c r="I88" s="102" t="s">
        <v>284</v>
      </c>
      <c r="J88" s="102" t="s">
        <v>26</v>
      </c>
      <c r="L88" s="229" t="s">
        <v>9777</v>
      </c>
      <c r="M88" s="229" t="s">
        <v>9742</v>
      </c>
      <c r="O88" s="102">
        <v>1.0</v>
      </c>
      <c r="S88" s="102">
        <v>600.0</v>
      </c>
      <c r="T88" s="230" t="str">
        <f>IF(ISNUMBER(MATCH(B88, 'Sprint 6'!B:B, 0)), "มาจาก Sprint 6", "")</f>
        <v/>
      </c>
      <c r="U88" s="230" t="str">
        <f t="array" ref="U88">IF(ISNUMBER(MATCH(B88, 'Sprint 6'!B:B, 0)), INDEX('Sprint 6'!J:J, MATCH(B88, 'Sprint 6'!B:B, 0)), "")</f>
        <v/>
      </c>
      <c r="V88" s="102"/>
      <c r="W88" s="102" t="s">
        <v>4968</v>
      </c>
      <c r="X88" s="102"/>
      <c r="Y88" s="102"/>
    </row>
    <row r="89" hidden="1">
      <c r="A89" s="102" t="s">
        <v>276</v>
      </c>
      <c r="B89" s="102" t="s">
        <v>9386</v>
      </c>
      <c r="C89" s="229" t="s">
        <v>9387</v>
      </c>
      <c r="D89" s="102" t="s">
        <v>9388</v>
      </c>
      <c r="E89" s="102" t="s">
        <v>391</v>
      </c>
      <c r="F89" s="102" t="s">
        <v>392</v>
      </c>
      <c r="G89" s="102" t="s">
        <v>391</v>
      </c>
      <c r="H89" s="102" t="s">
        <v>392</v>
      </c>
      <c r="I89" s="102" t="s">
        <v>284</v>
      </c>
      <c r="J89" s="102" t="s">
        <v>34</v>
      </c>
      <c r="L89" s="229" t="s">
        <v>9389</v>
      </c>
      <c r="M89" s="229" t="s">
        <v>9778</v>
      </c>
      <c r="O89" s="230"/>
      <c r="S89" s="230"/>
      <c r="T89" s="230" t="str">
        <f>IF(ISNUMBER(MATCH(B89, 'Sprint 6'!B:B, 0)), "มาจาก Sprint 6", "")</f>
        <v>มาจาก Sprint 6</v>
      </c>
      <c r="U89" s="230" t="str">
        <f t="array" ref="U89">IF(ISNUMBER(MATCH(B89, 'Sprint 6'!B:B, 0)), INDEX('Sprint 6'!J:J, MATCH(B89, 'Sprint 6'!B:B, 0)), "")</f>
        <v>To Do</v>
      </c>
      <c r="V89" s="230"/>
      <c r="W89" s="102" t="s">
        <v>7695</v>
      </c>
      <c r="X89" s="102" t="s">
        <v>7696</v>
      </c>
      <c r="Y89" s="102" t="s">
        <v>5944</v>
      </c>
    </row>
    <row r="90" hidden="1">
      <c r="A90" s="102" t="s">
        <v>276</v>
      </c>
      <c r="B90" s="102" t="s">
        <v>9391</v>
      </c>
      <c r="C90" s="229" t="s">
        <v>9392</v>
      </c>
      <c r="D90" s="102" t="s">
        <v>9393</v>
      </c>
      <c r="E90" s="102" t="s">
        <v>391</v>
      </c>
      <c r="F90" s="102" t="s">
        <v>392</v>
      </c>
      <c r="G90" s="102" t="s">
        <v>391</v>
      </c>
      <c r="H90" s="102" t="s">
        <v>392</v>
      </c>
      <c r="I90" s="102" t="s">
        <v>284</v>
      </c>
      <c r="J90" s="102" t="s">
        <v>34</v>
      </c>
      <c r="L90" s="229" t="s">
        <v>9394</v>
      </c>
      <c r="M90" s="229" t="s">
        <v>9399</v>
      </c>
      <c r="O90" s="102"/>
      <c r="P90" s="102"/>
      <c r="S90" s="230"/>
      <c r="T90" s="230" t="str">
        <f>IF(ISNUMBER(MATCH(B90, 'Sprint 6'!B:B, 0)), "มาจาก Sprint 6", "")</f>
        <v>มาจาก Sprint 6</v>
      </c>
      <c r="U90" s="230" t="str">
        <f t="array" ref="U90">IF(ISNUMBER(MATCH(B90, 'Sprint 6'!B:B, 0)), INDEX('Sprint 6'!J:J, MATCH(B90, 'Sprint 6'!B:B, 0)), "")</f>
        <v>To Do</v>
      </c>
      <c r="V90" s="230"/>
      <c r="W90" s="102" t="s">
        <v>7695</v>
      </c>
      <c r="X90" s="102" t="s">
        <v>7696</v>
      </c>
      <c r="Y90" s="102" t="s">
        <v>5944</v>
      </c>
    </row>
    <row r="91" hidden="1">
      <c r="A91" s="102" t="s">
        <v>276</v>
      </c>
      <c r="B91" s="102" t="s">
        <v>9395</v>
      </c>
      <c r="C91" s="229" t="s">
        <v>9396</v>
      </c>
      <c r="D91" s="102" t="s">
        <v>9397</v>
      </c>
      <c r="E91" s="102" t="s">
        <v>391</v>
      </c>
      <c r="F91" s="102" t="s">
        <v>392</v>
      </c>
      <c r="G91" s="102" t="s">
        <v>391</v>
      </c>
      <c r="H91" s="102" t="s">
        <v>392</v>
      </c>
      <c r="I91" s="102" t="s">
        <v>284</v>
      </c>
      <c r="J91" s="102" t="s">
        <v>34</v>
      </c>
      <c r="L91" s="229" t="s">
        <v>9398</v>
      </c>
      <c r="M91" s="229" t="s">
        <v>9399</v>
      </c>
      <c r="O91" s="102"/>
      <c r="P91" s="102"/>
      <c r="S91" s="230"/>
      <c r="T91" s="230" t="str">
        <f>IF(ISNUMBER(MATCH(B91, 'Sprint 6'!B:B, 0)), "มาจาก Sprint 6", "")</f>
        <v>มาจาก Sprint 6</v>
      </c>
      <c r="U91" s="230" t="str">
        <f t="array" ref="U91">IF(ISNUMBER(MATCH(B91, 'Sprint 6'!B:B, 0)), INDEX('Sprint 6'!J:J, MATCH(B91, 'Sprint 6'!B:B, 0)), "")</f>
        <v>To Do</v>
      </c>
      <c r="V91" s="230"/>
      <c r="W91" s="102" t="s">
        <v>7695</v>
      </c>
      <c r="X91" s="102" t="s">
        <v>7696</v>
      </c>
      <c r="Y91" s="102" t="s">
        <v>5944</v>
      </c>
    </row>
    <row r="92" hidden="1">
      <c r="A92" s="102" t="s">
        <v>276</v>
      </c>
      <c r="B92" s="102" t="s">
        <v>9400</v>
      </c>
      <c r="C92" s="229" t="s">
        <v>9401</v>
      </c>
      <c r="D92" s="102" t="s">
        <v>9402</v>
      </c>
      <c r="E92" s="102" t="s">
        <v>391</v>
      </c>
      <c r="F92" s="102" t="s">
        <v>392</v>
      </c>
      <c r="G92" s="102" t="s">
        <v>391</v>
      </c>
      <c r="H92" s="102" t="s">
        <v>392</v>
      </c>
      <c r="I92" s="102" t="s">
        <v>284</v>
      </c>
      <c r="J92" s="102" t="s">
        <v>34</v>
      </c>
      <c r="L92" s="229" t="s">
        <v>9403</v>
      </c>
      <c r="M92" s="229" t="s">
        <v>9399</v>
      </c>
      <c r="O92" s="102"/>
      <c r="P92" s="102"/>
      <c r="S92" s="230"/>
      <c r="T92" s="230" t="str">
        <f>IF(ISNUMBER(MATCH(B92, 'Sprint 6'!B:B, 0)), "มาจาก Sprint 6", "")</f>
        <v>มาจาก Sprint 6</v>
      </c>
      <c r="U92" s="230" t="str">
        <f t="array" ref="U92">IF(ISNUMBER(MATCH(B92, 'Sprint 6'!B:B, 0)), INDEX('Sprint 6'!J:J, MATCH(B92, 'Sprint 6'!B:B, 0)), "")</f>
        <v>To Do</v>
      </c>
      <c r="V92" s="230"/>
      <c r="W92" s="102" t="s">
        <v>7695</v>
      </c>
      <c r="X92" s="102" t="s">
        <v>7696</v>
      </c>
      <c r="Y92" s="102" t="s">
        <v>5944</v>
      </c>
    </row>
    <row r="93" hidden="1">
      <c r="A93" s="102" t="s">
        <v>310</v>
      </c>
      <c r="B93" s="102" t="s">
        <v>9779</v>
      </c>
      <c r="C93" s="229" t="s">
        <v>9780</v>
      </c>
      <c r="D93" s="102" t="s">
        <v>9781</v>
      </c>
      <c r="E93" s="102" t="s">
        <v>314</v>
      </c>
      <c r="F93" s="102" t="s">
        <v>315</v>
      </c>
      <c r="G93" s="102" t="s">
        <v>314</v>
      </c>
      <c r="H93" s="102" t="s">
        <v>315</v>
      </c>
      <c r="I93" s="102" t="s">
        <v>284</v>
      </c>
      <c r="J93" s="102" t="s">
        <v>26</v>
      </c>
      <c r="L93" s="229" t="s">
        <v>9782</v>
      </c>
      <c r="M93" s="229" t="s">
        <v>9763</v>
      </c>
      <c r="O93" s="102">
        <v>2.0</v>
      </c>
      <c r="P93" s="102" t="s">
        <v>593</v>
      </c>
      <c r="S93" s="102">
        <v>10800.0</v>
      </c>
      <c r="T93" s="230" t="str">
        <f>IF(ISNUMBER(MATCH(B93, 'Sprint 6'!B:B, 0)), "มาจาก Sprint 6", "")</f>
        <v/>
      </c>
      <c r="U93" s="230" t="str">
        <f t="array" ref="U93">IF(ISNUMBER(MATCH(B93, 'Sprint 6'!B:B, 0)), INDEX('Sprint 6'!J:J, MATCH(B93, 'Sprint 6'!B:B, 0)), "")</f>
        <v/>
      </c>
      <c r="V93" s="102"/>
      <c r="W93" s="102" t="s">
        <v>9409</v>
      </c>
    </row>
    <row r="94" hidden="1">
      <c r="A94" s="102" t="s">
        <v>310</v>
      </c>
      <c r="B94" s="102" t="s">
        <v>9404</v>
      </c>
      <c r="C94" s="229" t="s">
        <v>9405</v>
      </c>
      <c r="D94" s="102" t="s">
        <v>9406</v>
      </c>
      <c r="E94" s="102" t="s">
        <v>314</v>
      </c>
      <c r="F94" s="102" t="s">
        <v>315</v>
      </c>
      <c r="G94" s="102" t="s">
        <v>314</v>
      </c>
      <c r="H94" s="102" t="s">
        <v>315</v>
      </c>
      <c r="I94" s="102" t="s">
        <v>284</v>
      </c>
      <c r="J94" s="102" t="s">
        <v>34</v>
      </c>
      <c r="L94" s="229" t="s">
        <v>9407</v>
      </c>
      <c r="M94" s="229" t="s">
        <v>9783</v>
      </c>
      <c r="O94" s="102">
        <v>3.0</v>
      </c>
      <c r="P94" s="102" t="s">
        <v>593</v>
      </c>
      <c r="S94" s="230"/>
      <c r="T94" s="230" t="str">
        <f>IF(ISNUMBER(MATCH(B94, 'Sprint 6'!B:B, 0)), "มาจาก Sprint 6", "")</f>
        <v/>
      </c>
      <c r="U94" s="230" t="str">
        <f t="array" ref="U94">IF(ISNUMBER(MATCH(B94, 'Sprint 6'!B:B, 0)), INDEX('Sprint 6'!J:J, MATCH(B94, 'Sprint 6'!B:B, 0)), "")</f>
        <v/>
      </c>
      <c r="V94" s="230"/>
      <c r="W94" s="102" t="s">
        <v>9409</v>
      </c>
      <c r="X94" s="102" t="s">
        <v>1362</v>
      </c>
    </row>
    <row r="95" hidden="1">
      <c r="A95" s="102" t="s">
        <v>310</v>
      </c>
      <c r="B95" s="102" t="s">
        <v>9410</v>
      </c>
      <c r="C95" s="229" t="s">
        <v>9411</v>
      </c>
      <c r="D95" s="102" t="s">
        <v>9412</v>
      </c>
      <c r="E95" s="102" t="s">
        <v>314</v>
      </c>
      <c r="F95" s="102" t="s">
        <v>315</v>
      </c>
      <c r="G95" s="102" t="s">
        <v>314</v>
      </c>
      <c r="H95" s="102" t="s">
        <v>315</v>
      </c>
      <c r="I95" s="102" t="s">
        <v>284</v>
      </c>
      <c r="J95" s="102" t="s">
        <v>34</v>
      </c>
      <c r="L95" s="229" t="s">
        <v>9413</v>
      </c>
      <c r="M95" s="229" t="s">
        <v>9783</v>
      </c>
      <c r="O95" s="102">
        <v>5.0</v>
      </c>
      <c r="P95" s="102" t="s">
        <v>593</v>
      </c>
      <c r="S95" s="230"/>
      <c r="T95" s="230" t="str">
        <f>IF(ISNUMBER(MATCH(B95, 'Sprint 6'!B:B, 0)), "มาจาก Sprint 6", "")</f>
        <v/>
      </c>
      <c r="U95" s="230" t="str">
        <f t="array" ref="U95">IF(ISNUMBER(MATCH(B95, 'Sprint 6'!B:B, 0)), INDEX('Sprint 6'!J:J, MATCH(B95, 'Sprint 6'!B:B, 0)), "")</f>
        <v/>
      </c>
      <c r="V95" s="230"/>
      <c r="W95" s="102" t="s">
        <v>9409</v>
      </c>
      <c r="X95" s="102" t="s">
        <v>1362</v>
      </c>
    </row>
    <row r="96" hidden="1">
      <c r="A96" s="102" t="s">
        <v>310</v>
      </c>
      <c r="B96" s="102" t="s">
        <v>9784</v>
      </c>
      <c r="C96" s="229" t="s">
        <v>9785</v>
      </c>
      <c r="D96" s="102" t="s">
        <v>9786</v>
      </c>
      <c r="E96" s="102" t="s">
        <v>314</v>
      </c>
      <c r="F96" s="102" t="s">
        <v>315</v>
      </c>
      <c r="G96" s="102" t="s">
        <v>314</v>
      </c>
      <c r="H96" s="102" t="s">
        <v>315</v>
      </c>
      <c r="I96" s="102" t="s">
        <v>284</v>
      </c>
      <c r="J96" s="102" t="s">
        <v>26</v>
      </c>
      <c r="L96" s="229" t="s">
        <v>9413</v>
      </c>
      <c r="M96" s="229" t="s">
        <v>9763</v>
      </c>
      <c r="N96" s="102"/>
      <c r="O96" s="102">
        <v>3.0</v>
      </c>
      <c r="P96" s="102" t="s">
        <v>593</v>
      </c>
      <c r="S96" s="102">
        <v>28800.0</v>
      </c>
      <c r="T96" s="230" t="str">
        <f>IF(ISNUMBER(MATCH(B96, 'Sprint 6'!B:B, 0)), "มาจาก Sprint 6", "")</f>
        <v/>
      </c>
      <c r="U96" s="230" t="str">
        <f t="array" ref="U96">IF(ISNUMBER(MATCH(B96, 'Sprint 6'!B:B, 0)), INDEX('Sprint 6'!J:J, MATCH(B96, 'Sprint 6'!B:B, 0)), "")</f>
        <v/>
      </c>
      <c r="V96" s="102"/>
      <c r="W96" s="102" t="s">
        <v>9409</v>
      </c>
    </row>
    <row r="97" hidden="1">
      <c r="A97" s="102" t="s">
        <v>310</v>
      </c>
      <c r="B97" s="102" t="s">
        <v>9787</v>
      </c>
      <c r="C97" s="229" t="s">
        <v>9788</v>
      </c>
      <c r="D97" s="102" t="s">
        <v>9789</v>
      </c>
      <c r="E97" s="102" t="s">
        <v>314</v>
      </c>
      <c r="F97" s="102" t="s">
        <v>315</v>
      </c>
      <c r="G97" s="102" t="s">
        <v>314</v>
      </c>
      <c r="H97" s="102" t="s">
        <v>315</v>
      </c>
      <c r="I97" s="102" t="s">
        <v>284</v>
      </c>
      <c r="J97" s="102" t="s">
        <v>26</v>
      </c>
      <c r="L97" s="229" t="s">
        <v>9413</v>
      </c>
      <c r="M97" s="229" t="s">
        <v>9790</v>
      </c>
      <c r="N97" s="102"/>
      <c r="O97" s="102">
        <v>1.0</v>
      </c>
      <c r="P97" s="102" t="s">
        <v>593</v>
      </c>
      <c r="S97" s="102">
        <v>28800.0</v>
      </c>
      <c r="T97" s="230" t="str">
        <f>IF(ISNUMBER(MATCH(B97, 'Sprint 6'!B:B, 0)), "มาจาก Sprint 6", "")</f>
        <v/>
      </c>
      <c r="U97" s="230" t="str">
        <f t="array" ref="U97">IF(ISNUMBER(MATCH(B97, 'Sprint 6'!B:B, 0)), INDEX('Sprint 6'!J:J, MATCH(B97, 'Sprint 6'!B:B, 0)), "")</f>
        <v/>
      </c>
      <c r="V97" s="102"/>
      <c r="W97" s="102" t="s">
        <v>9409</v>
      </c>
    </row>
    <row r="98" hidden="1">
      <c r="A98" s="102" t="s">
        <v>310</v>
      </c>
      <c r="B98" s="102" t="s">
        <v>9414</v>
      </c>
      <c r="C98" s="229" t="s">
        <v>9415</v>
      </c>
      <c r="D98" s="102" t="s">
        <v>9416</v>
      </c>
      <c r="E98" s="102" t="s">
        <v>304</v>
      </c>
      <c r="F98" s="102" t="s">
        <v>305</v>
      </c>
      <c r="G98" s="102" t="s">
        <v>304</v>
      </c>
      <c r="H98" s="102" t="s">
        <v>305</v>
      </c>
      <c r="I98" s="102" t="s">
        <v>284</v>
      </c>
      <c r="J98" s="102" t="s">
        <v>63</v>
      </c>
      <c r="L98" s="229" t="s">
        <v>9417</v>
      </c>
      <c r="M98" s="229" t="s">
        <v>9791</v>
      </c>
      <c r="N98" s="102"/>
      <c r="O98" s="102">
        <v>5.0</v>
      </c>
      <c r="P98" s="102" t="s">
        <v>538</v>
      </c>
      <c r="S98" s="102"/>
      <c r="T98" s="230" t="str">
        <f>IF(ISNUMBER(MATCH(B98, 'Sprint 6'!B:B, 0)), "มาจาก Sprint 6", "")</f>
        <v/>
      </c>
      <c r="U98" s="230" t="str">
        <f t="array" ref="U98">IF(ISNUMBER(MATCH(B98, 'Sprint 6'!B:B, 0)), INDEX('Sprint 6'!J:J, MATCH(B98, 'Sprint 6'!B:B, 0)), "")</f>
        <v/>
      </c>
      <c r="V98" s="102"/>
      <c r="W98" s="102" t="s">
        <v>8754</v>
      </c>
    </row>
    <row r="99" hidden="1">
      <c r="A99" s="102" t="s">
        <v>332</v>
      </c>
      <c r="B99" s="102" t="s">
        <v>9038</v>
      </c>
      <c r="C99" s="229" t="s">
        <v>9039</v>
      </c>
      <c r="D99" s="102" t="s">
        <v>9040</v>
      </c>
      <c r="E99" s="102" t="s">
        <v>304</v>
      </c>
      <c r="F99" s="102" t="s">
        <v>305</v>
      </c>
      <c r="G99" s="102" t="s">
        <v>304</v>
      </c>
      <c r="H99" s="102" t="s">
        <v>305</v>
      </c>
      <c r="I99" s="102" t="s">
        <v>284</v>
      </c>
      <c r="J99" s="102" t="s">
        <v>922</v>
      </c>
      <c r="L99" s="229" t="s">
        <v>9041</v>
      </c>
      <c r="M99" s="229" t="s">
        <v>9792</v>
      </c>
      <c r="N99" s="229" t="s">
        <v>8047</v>
      </c>
      <c r="O99" s="102">
        <v>1.0</v>
      </c>
      <c r="P99" s="102" t="s">
        <v>1808</v>
      </c>
      <c r="S99" s="230"/>
      <c r="T99" s="230" t="str">
        <f>IF(ISNUMBER(MATCH(B99, 'Sprint 6'!B:B, 0)), "มาจาก Sprint 6", "")</f>
        <v/>
      </c>
      <c r="U99" s="230" t="str">
        <f t="array" ref="U99">IF(ISNUMBER(MATCH(B99, 'Sprint 6'!B:B, 0)), INDEX('Sprint 6'!J:J, MATCH(B99, 'Sprint 6'!B:B, 0)), "")</f>
        <v/>
      </c>
      <c r="V99" s="230"/>
      <c r="W99" s="102" t="s">
        <v>8754</v>
      </c>
    </row>
    <row r="100" hidden="1">
      <c r="A100" s="102" t="s">
        <v>310</v>
      </c>
      <c r="B100" s="102" t="s">
        <v>9043</v>
      </c>
      <c r="C100" s="229" t="s">
        <v>9044</v>
      </c>
      <c r="D100" s="102" t="s">
        <v>9045</v>
      </c>
      <c r="E100" s="102" t="s">
        <v>304</v>
      </c>
      <c r="F100" s="102" t="s">
        <v>305</v>
      </c>
      <c r="G100" s="102" t="s">
        <v>304</v>
      </c>
      <c r="H100" s="102" t="s">
        <v>305</v>
      </c>
      <c r="I100" s="102" t="s">
        <v>284</v>
      </c>
      <c r="J100" s="102" t="s">
        <v>678</v>
      </c>
      <c r="L100" s="229" t="s">
        <v>9046</v>
      </c>
      <c r="M100" s="229" t="s">
        <v>9793</v>
      </c>
      <c r="N100" s="229" t="s">
        <v>8047</v>
      </c>
      <c r="O100" s="102">
        <v>1.0</v>
      </c>
      <c r="P100" s="102" t="s">
        <v>1808</v>
      </c>
      <c r="S100" s="102">
        <v>3600.0</v>
      </c>
      <c r="T100" s="230" t="str">
        <f>IF(ISNUMBER(MATCH(B100, 'Sprint 6'!B:B, 0)), "มาจาก Sprint 6", "")</f>
        <v/>
      </c>
      <c r="U100" s="230" t="str">
        <f t="array" ref="U100">IF(ISNUMBER(MATCH(B100, 'Sprint 6'!B:B, 0)), INDEX('Sprint 6'!J:J, MATCH(B100, 'Sprint 6'!B:B, 0)), "")</f>
        <v/>
      </c>
      <c r="V100" s="102"/>
      <c r="W100" s="102" t="s">
        <v>8754</v>
      </c>
    </row>
    <row r="101" hidden="1">
      <c r="A101" s="102" t="s">
        <v>310</v>
      </c>
      <c r="B101" s="102" t="s">
        <v>9047</v>
      </c>
      <c r="C101" s="229" t="s">
        <v>9048</v>
      </c>
      <c r="D101" s="102" t="s">
        <v>9049</v>
      </c>
      <c r="E101" s="102" t="s">
        <v>304</v>
      </c>
      <c r="F101" s="102" t="s">
        <v>305</v>
      </c>
      <c r="G101" s="102" t="s">
        <v>304</v>
      </c>
      <c r="H101" s="102" t="s">
        <v>305</v>
      </c>
      <c r="I101" s="102" t="s">
        <v>284</v>
      </c>
      <c r="J101" s="102" t="s">
        <v>678</v>
      </c>
      <c r="L101" s="229" t="s">
        <v>9050</v>
      </c>
      <c r="M101" s="229" t="s">
        <v>9793</v>
      </c>
      <c r="N101" s="229" t="s">
        <v>8047</v>
      </c>
      <c r="O101" s="102">
        <v>2.0</v>
      </c>
      <c r="P101" s="102" t="s">
        <v>1808</v>
      </c>
      <c r="S101" s="102">
        <v>7200.0</v>
      </c>
      <c r="T101" s="230" t="str">
        <f>IF(ISNUMBER(MATCH(B101, 'Sprint 6'!B:B, 0)), "มาจาก Sprint 6", "")</f>
        <v/>
      </c>
      <c r="U101" s="230" t="str">
        <f t="array" ref="U101">IF(ISNUMBER(MATCH(B101, 'Sprint 6'!B:B, 0)), INDEX('Sprint 6'!J:J, MATCH(B101, 'Sprint 6'!B:B, 0)), "")</f>
        <v/>
      </c>
      <c r="V101" s="102"/>
      <c r="W101" s="102" t="s">
        <v>8754</v>
      </c>
    </row>
    <row r="102" hidden="1">
      <c r="A102" s="102" t="s">
        <v>310</v>
      </c>
      <c r="B102" s="102" t="s">
        <v>9051</v>
      </c>
      <c r="C102" s="229" t="s">
        <v>9052</v>
      </c>
      <c r="D102" s="102" t="s">
        <v>9053</v>
      </c>
      <c r="E102" s="102" t="s">
        <v>513</v>
      </c>
      <c r="F102" s="102" t="s">
        <v>514</v>
      </c>
      <c r="G102" s="102" t="s">
        <v>314</v>
      </c>
      <c r="H102" s="102" t="s">
        <v>315</v>
      </c>
      <c r="I102" s="102" t="s">
        <v>284</v>
      </c>
      <c r="J102" s="102" t="s">
        <v>63</v>
      </c>
      <c r="L102" s="229" t="s">
        <v>9054</v>
      </c>
      <c r="M102" s="229" t="s">
        <v>9794</v>
      </c>
      <c r="N102" s="229" t="s">
        <v>7743</v>
      </c>
      <c r="O102" s="102">
        <v>1.0</v>
      </c>
      <c r="P102" s="102" t="s">
        <v>593</v>
      </c>
      <c r="S102" s="230"/>
      <c r="T102" s="230" t="str">
        <f>IF(ISNUMBER(MATCH(B102, 'Sprint 6'!B:B, 0)), "มาจาก Sprint 6", "")</f>
        <v/>
      </c>
      <c r="U102" s="230" t="str">
        <f t="array" ref="U102">IF(ISNUMBER(MATCH(B102, 'Sprint 6'!B:B, 0)), INDEX('Sprint 6'!J:J, MATCH(B102, 'Sprint 6'!B:B, 0)), "")</f>
        <v/>
      </c>
      <c r="V102" s="230"/>
      <c r="W102" s="102" t="s">
        <v>4968</v>
      </c>
    </row>
    <row r="103" hidden="1">
      <c r="A103" s="102" t="s">
        <v>310</v>
      </c>
      <c r="B103" s="102" t="s">
        <v>9055</v>
      </c>
      <c r="C103" s="229" t="s">
        <v>9056</v>
      </c>
      <c r="D103" s="102" t="s">
        <v>9062</v>
      </c>
      <c r="E103" s="102" t="s">
        <v>513</v>
      </c>
      <c r="F103" s="102" t="s">
        <v>514</v>
      </c>
      <c r="G103" s="102" t="s">
        <v>314</v>
      </c>
      <c r="H103" s="102" t="s">
        <v>315</v>
      </c>
      <c r="I103" s="102" t="s">
        <v>284</v>
      </c>
      <c r="J103" s="102" t="s">
        <v>63</v>
      </c>
      <c r="L103" s="229" t="s">
        <v>9058</v>
      </c>
      <c r="M103" s="229" t="s">
        <v>9795</v>
      </c>
      <c r="N103" s="229" t="s">
        <v>6456</v>
      </c>
      <c r="O103" s="102">
        <v>3.0</v>
      </c>
      <c r="P103" s="102" t="s">
        <v>593</v>
      </c>
      <c r="S103" s="230"/>
      <c r="T103" s="230" t="str">
        <f>IF(ISNUMBER(MATCH(B103, 'Sprint 6'!B:B, 0)), "มาจาก Sprint 6", "")</f>
        <v/>
      </c>
      <c r="U103" s="230" t="str">
        <f t="array" ref="U103">IF(ISNUMBER(MATCH(B103, 'Sprint 6'!B:B, 0)), INDEX('Sprint 6'!J:J, MATCH(B103, 'Sprint 6'!B:B, 0)), "")</f>
        <v/>
      </c>
      <c r="V103" s="230"/>
      <c r="W103" s="102" t="s">
        <v>4968</v>
      </c>
    </row>
    <row r="104" hidden="1">
      <c r="A104" s="102" t="s">
        <v>310</v>
      </c>
      <c r="B104" s="102" t="s">
        <v>9060</v>
      </c>
      <c r="C104" s="229" t="s">
        <v>9061</v>
      </c>
      <c r="D104" s="102" t="s">
        <v>9062</v>
      </c>
      <c r="E104" s="102" t="s">
        <v>513</v>
      </c>
      <c r="F104" s="102" t="s">
        <v>514</v>
      </c>
      <c r="G104" s="102" t="s">
        <v>314</v>
      </c>
      <c r="H104" s="102" t="s">
        <v>315</v>
      </c>
      <c r="I104" s="102" t="s">
        <v>284</v>
      </c>
      <c r="J104" s="102" t="s">
        <v>63</v>
      </c>
      <c r="L104" s="229" t="s">
        <v>9063</v>
      </c>
      <c r="M104" s="229" t="s">
        <v>9795</v>
      </c>
      <c r="N104" s="229" t="s">
        <v>6456</v>
      </c>
      <c r="O104" s="102">
        <v>1.0</v>
      </c>
      <c r="P104" s="102" t="s">
        <v>593</v>
      </c>
      <c r="S104" s="102"/>
      <c r="T104" s="230" t="str">
        <f>IF(ISNUMBER(MATCH(B104, 'Sprint 6'!B:B, 0)), "มาจาก Sprint 6", "")</f>
        <v/>
      </c>
      <c r="U104" s="230" t="str">
        <f t="array" ref="U104">IF(ISNUMBER(MATCH(B104, 'Sprint 6'!B:B, 0)), INDEX('Sprint 6'!J:J, MATCH(B104, 'Sprint 6'!B:B, 0)), "")</f>
        <v/>
      </c>
      <c r="V104" s="102"/>
      <c r="W104" s="102" t="s">
        <v>4968</v>
      </c>
    </row>
    <row r="105" hidden="1">
      <c r="A105" s="102" t="s">
        <v>310</v>
      </c>
      <c r="B105" s="102" t="s">
        <v>9422</v>
      </c>
      <c r="C105" s="229" t="s">
        <v>9423</v>
      </c>
      <c r="D105" s="102" t="s">
        <v>9424</v>
      </c>
      <c r="E105" s="102" t="s">
        <v>513</v>
      </c>
      <c r="F105" s="102" t="s">
        <v>514</v>
      </c>
      <c r="G105" s="102" t="s">
        <v>314</v>
      </c>
      <c r="H105" s="102" t="s">
        <v>315</v>
      </c>
      <c r="I105" s="102" t="s">
        <v>284</v>
      </c>
      <c r="J105" s="102" t="s">
        <v>63</v>
      </c>
      <c r="L105" s="229" t="s">
        <v>9425</v>
      </c>
      <c r="M105" s="229" t="s">
        <v>9796</v>
      </c>
      <c r="N105" s="229" t="s">
        <v>6456</v>
      </c>
      <c r="O105" s="102">
        <v>3.0</v>
      </c>
      <c r="P105" s="102" t="s">
        <v>593</v>
      </c>
      <c r="S105" s="230"/>
      <c r="T105" s="230" t="str">
        <f>IF(ISNUMBER(MATCH(B105, 'Sprint 6'!B:B, 0)), "มาจาก Sprint 6", "")</f>
        <v/>
      </c>
      <c r="U105" s="230" t="str">
        <f t="array" ref="U105">IF(ISNUMBER(MATCH(B105, 'Sprint 6'!B:B, 0)), INDEX('Sprint 6'!J:J, MATCH(B105, 'Sprint 6'!B:B, 0)), "")</f>
        <v/>
      </c>
      <c r="V105" s="230"/>
      <c r="W105" s="102" t="s">
        <v>4968</v>
      </c>
    </row>
    <row r="106" hidden="1">
      <c r="A106" s="102" t="s">
        <v>310</v>
      </c>
      <c r="B106" s="102" t="s">
        <v>8626</v>
      </c>
      <c r="C106" s="229" t="s">
        <v>8627</v>
      </c>
      <c r="D106" s="102" t="s">
        <v>8628</v>
      </c>
      <c r="E106" s="102" t="s">
        <v>584</v>
      </c>
      <c r="F106" s="102" t="s">
        <v>585</v>
      </c>
      <c r="G106" s="102" t="s">
        <v>353</v>
      </c>
      <c r="H106" s="102" t="s">
        <v>354</v>
      </c>
      <c r="I106" s="102" t="s">
        <v>284</v>
      </c>
      <c r="J106" s="102" t="s">
        <v>678</v>
      </c>
      <c r="L106" s="229" t="s">
        <v>8629</v>
      </c>
      <c r="M106" s="229" t="s">
        <v>9797</v>
      </c>
      <c r="N106" s="229" t="s">
        <v>7761</v>
      </c>
      <c r="O106" s="102">
        <v>8.0</v>
      </c>
      <c r="S106" s="102">
        <v>86400.0</v>
      </c>
      <c r="T106" s="230" t="str">
        <f>IF(ISNUMBER(MATCH(B106, 'Sprint 6'!B:B, 0)), "มาจาก Sprint 6", "")</f>
        <v/>
      </c>
      <c r="U106" s="230" t="str">
        <f t="array" ref="U106">IF(ISNUMBER(MATCH(B106, 'Sprint 6'!B:B, 0)), INDEX('Sprint 6'!J:J, MATCH(B106, 'Sprint 6'!B:B, 0)), "")</f>
        <v/>
      </c>
      <c r="V106" s="102" t="s">
        <v>9669</v>
      </c>
      <c r="W106" s="102" t="s">
        <v>5944</v>
      </c>
    </row>
    <row r="107" hidden="1">
      <c r="A107" s="102" t="s">
        <v>310</v>
      </c>
      <c r="B107" s="102" t="s">
        <v>9798</v>
      </c>
      <c r="C107" s="229" t="s">
        <v>9799</v>
      </c>
      <c r="D107" s="102" t="s">
        <v>9800</v>
      </c>
      <c r="E107" s="102" t="s">
        <v>513</v>
      </c>
      <c r="F107" s="102" t="s">
        <v>514</v>
      </c>
      <c r="G107" s="102" t="s">
        <v>314</v>
      </c>
      <c r="H107" s="102" t="s">
        <v>315</v>
      </c>
      <c r="I107" s="102" t="s">
        <v>284</v>
      </c>
      <c r="J107" s="102" t="s">
        <v>26</v>
      </c>
      <c r="L107" s="229" t="s">
        <v>9801</v>
      </c>
      <c r="M107" s="229" t="s">
        <v>9802</v>
      </c>
      <c r="N107" s="229" t="s">
        <v>7743</v>
      </c>
      <c r="O107" s="102">
        <v>1.0</v>
      </c>
      <c r="P107" s="102" t="s">
        <v>593</v>
      </c>
      <c r="S107" s="102">
        <v>14400.0</v>
      </c>
      <c r="T107" s="230" t="str">
        <f>IF(ISNUMBER(MATCH(B107, 'Sprint 6'!B:B, 0)), "มาจาก Sprint 6", "")</f>
        <v/>
      </c>
      <c r="U107" s="230" t="str">
        <f t="array" ref="U107">IF(ISNUMBER(MATCH(B107, 'Sprint 6'!B:B, 0)), INDEX('Sprint 6'!J:J, MATCH(B107, 'Sprint 6'!B:B, 0)), "")</f>
        <v/>
      </c>
      <c r="V107" s="102"/>
      <c r="W107" s="102" t="s">
        <v>4968</v>
      </c>
    </row>
    <row r="108" hidden="1">
      <c r="A108" s="102" t="s">
        <v>310</v>
      </c>
      <c r="B108" s="102" t="s">
        <v>9803</v>
      </c>
      <c r="C108" s="229" t="s">
        <v>9804</v>
      </c>
      <c r="D108" s="102" t="s">
        <v>9805</v>
      </c>
      <c r="E108" s="102" t="s">
        <v>513</v>
      </c>
      <c r="F108" s="102" t="s">
        <v>514</v>
      </c>
      <c r="G108" s="102" t="s">
        <v>314</v>
      </c>
      <c r="H108" s="102" t="s">
        <v>315</v>
      </c>
      <c r="I108" s="102" t="s">
        <v>284</v>
      </c>
      <c r="J108" s="102" t="s">
        <v>26</v>
      </c>
      <c r="L108" s="229" t="s">
        <v>9806</v>
      </c>
      <c r="M108" s="229" t="s">
        <v>9807</v>
      </c>
      <c r="N108" s="229" t="s">
        <v>7720</v>
      </c>
      <c r="O108" s="102">
        <v>1.0</v>
      </c>
      <c r="P108" s="102" t="s">
        <v>593</v>
      </c>
      <c r="S108" s="102">
        <v>7200.0</v>
      </c>
      <c r="T108" s="230" t="str">
        <f>IF(ISNUMBER(MATCH(B108, 'Sprint 6'!B:B, 0)), "มาจาก Sprint 6", "")</f>
        <v/>
      </c>
      <c r="U108" s="230" t="str">
        <f t="array" ref="U108">IF(ISNUMBER(MATCH(B108, 'Sprint 6'!B:B, 0)), INDEX('Sprint 6'!J:J, MATCH(B108, 'Sprint 6'!B:B, 0)), "")</f>
        <v/>
      </c>
      <c r="V108" s="102" t="s">
        <v>9669</v>
      </c>
      <c r="W108" s="102" t="s">
        <v>4968</v>
      </c>
    </row>
    <row r="109" hidden="1">
      <c r="A109" s="102" t="s">
        <v>310</v>
      </c>
      <c r="B109" s="102" t="s">
        <v>8630</v>
      </c>
      <c r="C109" s="229" t="s">
        <v>8631</v>
      </c>
      <c r="D109" s="102" t="s">
        <v>8632</v>
      </c>
      <c r="E109" s="102" t="s">
        <v>6315</v>
      </c>
      <c r="F109" s="102" t="s">
        <v>6316</v>
      </c>
      <c r="G109" s="102" t="s">
        <v>353</v>
      </c>
      <c r="H109" s="102" t="s">
        <v>354</v>
      </c>
      <c r="I109" s="102" t="s">
        <v>284</v>
      </c>
      <c r="J109" s="102" t="s">
        <v>355</v>
      </c>
      <c r="L109" s="229" t="s">
        <v>8633</v>
      </c>
      <c r="M109" s="229" t="s">
        <v>9808</v>
      </c>
      <c r="N109" s="229" t="s">
        <v>6481</v>
      </c>
      <c r="O109" s="102">
        <v>5.0</v>
      </c>
      <c r="P109" s="102"/>
      <c r="S109" s="102">
        <v>57600.0</v>
      </c>
      <c r="T109" s="230" t="str">
        <f>IF(ISNUMBER(MATCH(B109, 'Sprint 6'!B:B, 0)), "มาจาก Sprint 6", "")</f>
        <v/>
      </c>
      <c r="U109" s="230" t="str">
        <f t="array" ref="U109">IF(ISNUMBER(MATCH(B109, 'Sprint 6'!B:B, 0)), INDEX('Sprint 6'!J:J, MATCH(B109, 'Sprint 6'!B:B, 0)), "")</f>
        <v/>
      </c>
      <c r="V109" s="102" t="s">
        <v>9669</v>
      </c>
      <c r="W109" s="102" t="s">
        <v>5944</v>
      </c>
    </row>
    <row r="110" hidden="1">
      <c r="A110" s="102" t="s">
        <v>310</v>
      </c>
      <c r="B110" s="102" t="s">
        <v>8634</v>
      </c>
      <c r="C110" s="229" t="s">
        <v>8635</v>
      </c>
      <c r="D110" s="102" t="s">
        <v>8636</v>
      </c>
      <c r="E110" s="102" t="s">
        <v>6315</v>
      </c>
      <c r="F110" s="102" t="s">
        <v>6316</v>
      </c>
      <c r="G110" s="102" t="s">
        <v>353</v>
      </c>
      <c r="H110" s="102" t="s">
        <v>354</v>
      </c>
      <c r="I110" s="102" t="s">
        <v>284</v>
      </c>
      <c r="J110" s="102" t="s">
        <v>678</v>
      </c>
      <c r="L110" s="229" t="s">
        <v>8637</v>
      </c>
      <c r="M110" s="229" t="s">
        <v>9808</v>
      </c>
      <c r="N110" s="229" t="s">
        <v>7735</v>
      </c>
      <c r="O110" s="102">
        <v>8.0</v>
      </c>
      <c r="P110" s="102"/>
      <c r="S110" s="102">
        <v>0.0</v>
      </c>
      <c r="T110" s="230" t="str">
        <f>IF(ISNUMBER(MATCH(B110, 'Sprint 6'!B:B, 0)), "มาจาก Sprint 6", "")</f>
        <v/>
      </c>
      <c r="U110" s="230" t="str">
        <f t="array" ref="U110">IF(ISNUMBER(MATCH(B110, 'Sprint 6'!B:B, 0)), INDEX('Sprint 6'!J:J, MATCH(B110, 'Sprint 6'!B:B, 0)), "")</f>
        <v/>
      </c>
      <c r="V110" s="102"/>
      <c r="W110" s="102" t="s">
        <v>5944</v>
      </c>
    </row>
    <row r="111" hidden="1">
      <c r="A111" s="102" t="s">
        <v>310</v>
      </c>
      <c r="B111" s="102" t="s">
        <v>8638</v>
      </c>
      <c r="C111" s="229" t="s">
        <v>8639</v>
      </c>
      <c r="D111" s="102" t="s">
        <v>8640</v>
      </c>
      <c r="E111" s="102" t="s">
        <v>584</v>
      </c>
      <c r="F111" s="102" t="s">
        <v>585</v>
      </c>
      <c r="G111" s="102" t="s">
        <v>353</v>
      </c>
      <c r="H111" s="102" t="s">
        <v>354</v>
      </c>
      <c r="I111" s="102" t="s">
        <v>284</v>
      </c>
      <c r="J111" s="102" t="s">
        <v>454</v>
      </c>
      <c r="L111" s="229" t="s">
        <v>8641</v>
      </c>
      <c r="M111" s="229" t="s">
        <v>9809</v>
      </c>
      <c r="N111" s="229" t="s">
        <v>7735</v>
      </c>
      <c r="O111" s="102">
        <v>8.0</v>
      </c>
      <c r="P111" s="102"/>
      <c r="S111" s="102">
        <v>86400.0</v>
      </c>
      <c r="T111" s="230" t="str">
        <f>IF(ISNUMBER(MATCH(B111, 'Sprint 6'!B:B, 0)), "มาจาก Sprint 6", "")</f>
        <v/>
      </c>
      <c r="U111" s="230" t="str">
        <f t="array" ref="U111">IF(ISNUMBER(MATCH(B111, 'Sprint 6'!B:B, 0)), INDEX('Sprint 6'!J:J, MATCH(B111, 'Sprint 6'!B:B, 0)), "")</f>
        <v/>
      </c>
      <c r="V111" s="102" t="s">
        <v>9669</v>
      </c>
      <c r="W111" s="102" t="s">
        <v>5944</v>
      </c>
    </row>
    <row r="112" hidden="1">
      <c r="A112" s="102" t="s">
        <v>310</v>
      </c>
      <c r="B112" s="102" t="s">
        <v>9810</v>
      </c>
      <c r="C112" s="229" t="s">
        <v>9811</v>
      </c>
      <c r="D112" s="102" t="s">
        <v>9812</v>
      </c>
      <c r="E112" s="102" t="s">
        <v>353</v>
      </c>
      <c r="F112" s="102" t="s">
        <v>354</v>
      </c>
      <c r="G112" s="102" t="s">
        <v>353</v>
      </c>
      <c r="H112" s="102" t="s">
        <v>354</v>
      </c>
      <c r="I112" s="102" t="s">
        <v>284</v>
      </c>
      <c r="J112" s="102" t="s">
        <v>26</v>
      </c>
      <c r="L112" s="229" t="s">
        <v>9813</v>
      </c>
      <c r="M112" s="229" t="s">
        <v>9814</v>
      </c>
      <c r="O112" s="102">
        <v>2.0</v>
      </c>
      <c r="P112" s="102" t="s">
        <v>593</v>
      </c>
      <c r="S112" s="102">
        <v>7200.0</v>
      </c>
      <c r="T112" s="230" t="str">
        <f>IF(ISNUMBER(MATCH(B112, 'Sprint 6'!B:B, 0)), "มาจาก Sprint 6", "")</f>
        <v/>
      </c>
      <c r="U112" s="230" t="str">
        <f t="array" ref="U112">IF(ISNUMBER(MATCH(B112, 'Sprint 6'!B:B, 0)), INDEX('Sprint 6'!J:J, MATCH(B112, 'Sprint 6'!B:B, 0)), "")</f>
        <v/>
      </c>
      <c r="V112" s="102" t="s">
        <v>9669</v>
      </c>
      <c r="W112" s="102" t="s">
        <v>5944</v>
      </c>
    </row>
    <row r="113" hidden="1">
      <c r="A113" s="102" t="s">
        <v>310</v>
      </c>
      <c r="B113" s="102" t="s">
        <v>9815</v>
      </c>
      <c r="C113" s="229" t="s">
        <v>9816</v>
      </c>
      <c r="D113" s="102" t="s">
        <v>9817</v>
      </c>
      <c r="E113" s="102" t="s">
        <v>584</v>
      </c>
      <c r="F113" s="102" t="s">
        <v>585</v>
      </c>
      <c r="G113" s="102" t="s">
        <v>353</v>
      </c>
      <c r="H113" s="102" t="s">
        <v>354</v>
      </c>
      <c r="I113" s="102" t="s">
        <v>284</v>
      </c>
      <c r="J113" s="102" t="s">
        <v>26</v>
      </c>
      <c r="L113" s="229" t="s">
        <v>9818</v>
      </c>
      <c r="M113" s="229" t="s">
        <v>9819</v>
      </c>
      <c r="O113" s="102">
        <v>3.0</v>
      </c>
      <c r="P113" s="102" t="s">
        <v>593</v>
      </c>
      <c r="S113" s="102">
        <v>28800.0</v>
      </c>
      <c r="T113" s="230" t="str">
        <f>IF(ISNUMBER(MATCH(B113, 'Sprint 6'!B:B, 0)), "มาจาก Sprint 6", "")</f>
        <v/>
      </c>
      <c r="U113" s="230" t="str">
        <f t="array" ref="U113">IF(ISNUMBER(MATCH(B113, 'Sprint 6'!B:B, 0)), INDEX('Sprint 6'!J:J, MATCH(B113, 'Sprint 6'!B:B, 0)), "")</f>
        <v/>
      </c>
      <c r="V113" s="102" t="s">
        <v>9669</v>
      </c>
      <c r="W113" s="102" t="s">
        <v>5944</v>
      </c>
    </row>
    <row r="114" hidden="1">
      <c r="A114" s="102" t="s">
        <v>310</v>
      </c>
      <c r="B114" s="102" t="s">
        <v>9820</v>
      </c>
      <c r="C114" s="229" t="s">
        <v>9821</v>
      </c>
      <c r="D114" s="102" t="s">
        <v>9822</v>
      </c>
      <c r="E114" s="102" t="s">
        <v>353</v>
      </c>
      <c r="F114" s="102" t="s">
        <v>354</v>
      </c>
      <c r="G114" s="102" t="s">
        <v>353</v>
      </c>
      <c r="H114" s="102" t="s">
        <v>354</v>
      </c>
      <c r="I114" s="102" t="s">
        <v>284</v>
      </c>
      <c r="J114" s="102" t="s">
        <v>26</v>
      </c>
      <c r="L114" s="229" t="s">
        <v>9823</v>
      </c>
      <c r="M114" s="229" t="s">
        <v>9668</v>
      </c>
      <c r="O114" s="102">
        <v>5.0</v>
      </c>
      <c r="P114" s="102" t="s">
        <v>593</v>
      </c>
      <c r="S114" s="102">
        <v>57600.0</v>
      </c>
      <c r="T114" s="230" t="str">
        <f>IF(ISNUMBER(MATCH(B114, 'Sprint 6'!B:B, 0)), "มาจาก Sprint 6", "")</f>
        <v/>
      </c>
      <c r="U114" s="230" t="str">
        <f t="array" ref="U114">IF(ISNUMBER(MATCH(B114, 'Sprint 6'!B:B, 0)), INDEX('Sprint 6'!J:J, MATCH(B114, 'Sprint 6'!B:B, 0)), "")</f>
        <v/>
      </c>
      <c r="V114" s="102" t="s">
        <v>9669</v>
      </c>
      <c r="W114" s="102" t="s">
        <v>5944</v>
      </c>
    </row>
    <row r="115" hidden="1">
      <c r="A115" s="102" t="s">
        <v>630</v>
      </c>
      <c r="B115" s="102" t="s">
        <v>8034</v>
      </c>
      <c r="C115" s="229" t="s">
        <v>8035</v>
      </c>
      <c r="D115" s="102" t="s">
        <v>8036</v>
      </c>
      <c r="E115" s="102"/>
      <c r="F115" s="102"/>
      <c r="G115" s="102" t="s">
        <v>353</v>
      </c>
      <c r="H115" s="102" t="s">
        <v>354</v>
      </c>
      <c r="I115" s="102" t="s">
        <v>284</v>
      </c>
      <c r="J115" s="102" t="s">
        <v>63</v>
      </c>
      <c r="L115" s="229" t="s">
        <v>8037</v>
      </c>
      <c r="M115" s="229" t="s">
        <v>9429</v>
      </c>
      <c r="O115" s="102"/>
      <c r="S115" s="230"/>
      <c r="T115" s="230" t="str">
        <f>IF(ISNUMBER(MATCH(B115, 'Sprint 6'!B:B, 0)), "มาจาก Sprint 6", "")</f>
        <v/>
      </c>
      <c r="U115" s="230" t="str">
        <f t="array" ref="U115">IF(ISNUMBER(MATCH(B115, 'Sprint 6'!B:B, 0)), INDEX('Sprint 6'!J:J, MATCH(B115, 'Sprint 6'!B:B, 0)), "")</f>
        <v/>
      </c>
      <c r="V115" s="230"/>
      <c r="W115" s="102" t="s">
        <v>8981</v>
      </c>
    </row>
    <row r="116" hidden="1">
      <c r="A116" s="102" t="s">
        <v>310</v>
      </c>
      <c r="B116" s="102" t="s">
        <v>9430</v>
      </c>
      <c r="C116" s="229" t="s">
        <v>9431</v>
      </c>
      <c r="D116" s="102" t="s">
        <v>9432</v>
      </c>
      <c r="E116" s="102"/>
      <c r="F116" s="102"/>
      <c r="G116" s="102" t="s">
        <v>353</v>
      </c>
      <c r="H116" s="102" t="s">
        <v>354</v>
      </c>
      <c r="I116" s="102" t="s">
        <v>284</v>
      </c>
      <c r="J116" s="102" t="s">
        <v>63</v>
      </c>
      <c r="L116" s="229" t="s">
        <v>9433</v>
      </c>
      <c r="M116" s="229" t="s">
        <v>9434</v>
      </c>
      <c r="O116" s="102">
        <v>3.0</v>
      </c>
      <c r="P116" s="102"/>
      <c r="S116" s="230"/>
      <c r="T116" s="230" t="str">
        <f>IF(ISNUMBER(MATCH(B116, 'Sprint 6'!B:B, 0)), "มาจาก Sprint 6", "")</f>
        <v/>
      </c>
      <c r="U116" s="230" t="str">
        <f t="array" ref="U116">IF(ISNUMBER(MATCH(B116, 'Sprint 6'!B:B, 0)), INDEX('Sprint 6'!J:J, MATCH(B116, 'Sprint 6'!B:B, 0)), "")</f>
        <v/>
      </c>
      <c r="V116" s="230"/>
      <c r="W116" s="102" t="s">
        <v>8981</v>
      </c>
      <c r="X116" s="102"/>
      <c r="Y116" s="102"/>
    </row>
    <row r="117" hidden="1">
      <c r="A117" s="102" t="s">
        <v>310</v>
      </c>
      <c r="B117" s="102" t="s">
        <v>9435</v>
      </c>
      <c r="C117" s="229" t="s">
        <v>9436</v>
      </c>
      <c r="D117" s="102" t="s">
        <v>9437</v>
      </c>
      <c r="E117" s="102"/>
      <c r="F117" s="102"/>
      <c r="G117" s="102" t="s">
        <v>353</v>
      </c>
      <c r="H117" s="102" t="s">
        <v>354</v>
      </c>
      <c r="I117" s="102" t="s">
        <v>284</v>
      </c>
      <c r="J117" s="102" t="s">
        <v>63</v>
      </c>
      <c r="L117" s="229" t="s">
        <v>9438</v>
      </c>
      <c r="M117" s="229" t="s">
        <v>9434</v>
      </c>
      <c r="O117" s="102">
        <v>5.0</v>
      </c>
      <c r="S117" s="230"/>
      <c r="T117" s="230" t="str">
        <f>IF(ISNUMBER(MATCH(B117, 'Sprint 6'!B:B, 0)), "มาจาก Sprint 6", "")</f>
        <v/>
      </c>
      <c r="U117" s="230" t="str">
        <f t="array" ref="U117">IF(ISNUMBER(MATCH(B117, 'Sprint 6'!B:B, 0)), INDEX('Sprint 6'!J:J, MATCH(B117, 'Sprint 6'!B:B, 0)), "")</f>
        <v/>
      </c>
      <c r="V117" s="230"/>
      <c r="W117" s="102" t="s">
        <v>8981</v>
      </c>
    </row>
    <row r="118" hidden="1">
      <c r="A118" s="102" t="s">
        <v>310</v>
      </c>
      <c r="B118" s="102" t="s">
        <v>9824</v>
      </c>
      <c r="C118" s="229" t="s">
        <v>9825</v>
      </c>
      <c r="D118" s="102" t="s">
        <v>9826</v>
      </c>
      <c r="E118" s="102" t="s">
        <v>314</v>
      </c>
      <c r="F118" s="102" t="s">
        <v>315</v>
      </c>
      <c r="G118" s="102" t="s">
        <v>353</v>
      </c>
      <c r="H118" s="102" t="s">
        <v>354</v>
      </c>
      <c r="I118" s="102" t="s">
        <v>284</v>
      </c>
      <c r="J118" s="102" t="s">
        <v>26</v>
      </c>
      <c r="L118" s="229" t="s">
        <v>9827</v>
      </c>
      <c r="M118" s="229" t="s">
        <v>9828</v>
      </c>
      <c r="O118" s="102">
        <v>3.0</v>
      </c>
      <c r="P118" s="102"/>
      <c r="S118" s="102">
        <v>18000.0</v>
      </c>
      <c r="T118" s="230" t="str">
        <f>IF(ISNUMBER(MATCH(B118, 'Sprint 6'!B:B, 0)), "มาจาก Sprint 6", "")</f>
        <v/>
      </c>
      <c r="U118" s="230" t="str">
        <f t="array" ref="U118">IF(ISNUMBER(MATCH(B118, 'Sprint 6'!B:B, 0)), INDEX('Sprint 6'!J:J, MATCH(B118, 'Sprint 6'!B:B, 0)), "")</f>
        <v/>
      </c>
      <c r="V118" s="102"/>
      <c r="W118" s="102" t="s">
        <v>8754</v>
      </c>
    </row>
    <row r="119" hidden="1">
      <c r="A119" s="102" t="s">
        <v>332</v>
      </c>
      <c r="B119" s="102" t="s">
        <v>9829</v>
      </c>
      <c r="C119" s="229" t="s">
        <v>9830</v>
      </c>
      <c r="D119" s="102" t="s">
        <v>9831</v>
      </c>
      <c r="E119" s="102" t="s">
        <v>304</v>
      </c>
      <c r="F119" s="102" t="s">
        <v>305</v>
      </c>
      <c r="G119" s="102" t="s">
        <v>304</v>
      </c>
      <c r="H119" s="102" t="s">
        <v>305</v>
      </c>
      <c r="I119" s="102" t="s">
        <v>284</v>
      </c>
      <c r="J119" s="102" t="s">
        <v>336</v>
      </c>
      <c r="L119" s="229" t="s">
        <v>9832</v>
      </c>
      <c r="M119" s="229" t="s">
        <v>9833</v>
      </c>
      <c r="N119" s="102"/>
      <c r="O119" s="102">
        <v>0.0</v>
      </c>
      <c r="P119" s="102" t="s">
        <v>593</v>
      </c>
      <c r="S119" s="102"/>
      <c r="T119" s="230" t="str">
        <f>IF(ISNUMBER(MATCH(B119, 'Sprint 6'!B:B, 0)), "มาจาก Sprint 6", "")</f>
        <v>มาจาก Sprint 6</v>
      </c>
      <c r="U119" s="230" t="str">
        <f t="array" ref="U119">IF(ISNUMBER(MATCH(B119, 'Sprint 6'!B:B, 0)), INDEX('Sprint 6'!J:J, MATCH(B119, 'Sprint 6'!B:B, 0)), "")</f>
        <v>Resolved</v>
      </c>
      <c r="V119" s="102"/>
      <c r="W119" s="102" t="s">
        <v>7695</v>
      </c>
      <c r="X119" s="102" t="s">
        <v>9184</v>
      </c>
      <c r="Y119" s="102" t="s">
        <v>8754</v>
      </c>
    </row>
    <row r="120" hidden="1">
      <c r="A120" s="102" t="s">
        <v>310</v>
      </c>
      <c r="B120" s="102" t="s">
        <v>6472</v>
      </c>
      <c r="C120" s="229" t="s">
        <v>6473</v>
      </c>
      <c r="D120" s="102" t="s">
        <v>6474</v>
      </c>
      <c r="E120" s="102" t="s">
        <v>282</v>
      </c>
      <c r="F120" s="102" t="s">
        <v>283</v>
      </c>
      <c r="G120" s="102" t="s">
        <v>282</v>
      </c>
      <c r="H120" s="102" t="s">
        <v>283</v>
      </c>
      <c r="I120" s="102" t="s">
        <v>284</v>
      </c>
      <c r="J120" s="102" t="s">
        <v>454</v>
      </c>
      <c r="L120" s="229" t="s">
        <v>6475</v>
      </c>
      <c r="M120" s="229" t="s">
        <v>9814</v>
      </c>
      <c r="N120" s="102"/>
      <c r="O120" s="102">
        <v>0.0</v>
      </c>
      <c r="P120" s="102"/>
      <c r="S120" s="102">
        <v>0.0</v>
      </c>
      <c r="T120" s="230" t="str">
        <f>IF(ISNUMBER(MATCH(B120, 'Sprint 6'!B:B, 0)), "มาจาก Sprint 6", "")</f>
        <v/>
      </c>
      <c r="U120" s="230" t="str">
        <f t="array" ref="U120">IF(ISNUMBER(MATCH(B120, 'Sprint 6'!B:B, 0)), INDEX('Sprint 6'!J:J, MATCH(B120, 'Sprint 6'!B:B, 0)), "")</f>
        <v/>
      </c>
      <c r="V120" s="102" t="s">
        <v>9669</v>
      </c>
      <c r="W120" s="102" t="s">
        <v>5944</v>
      </c>
    </row>
    <row r="121">
      <c r="A121" s="102" t="s">
        <v>310</v>
      </c>
      <c r="B121" s="102" t="s">
        <v>8040</v>
      </c>
      <c r="C121" s="229" t="s">
        <v>8041</v>
      </c>
      <c r="D121" s="102" t="s">
        <v>8042</v>
      </c>
      <c r="E121" s="102" t="s">
        <v>9102</v>
      </c>
      <c r="F121" s="102" t="s">
        <v>6861</v>
      </c>
      <c r="G121" s="102" t="s">
        <v>282</v>
      </c>
      <c r="H121" s="102" t="s">
        <v>283</v>
      </c>
      <c r="I121" s="102" t="s">
        <v>284</v>
      </c>
      <c r="J121" s="102" t="s">
        <v>454</v>
      </c>
      <c r="L121" s="229" t="s">
        <v>7714</v>
      </c>
      <c r="M121" s="229" t="s">
        <v>9834</v>
      </c>
      <c r="N121" s="102"/>
      <c r="O121" s="102">
        <v>5.0</v>
      </c>
      <c r="P121" s="102" t="s">
        <v>504</v>
      </c>
      <c r="S121" s="102">
        <v>57600.0</v>
      </c>
      <c r="T121" s="230" t="str">
        <f>IF(ISNUMBER(MATCH(B121, 'Sprint 6'!B:B, 0)), "มาจาก Sprint 6", "")</f>
        <v/>
      </c>
      <c r="U121" s="230" t="str">
        <f t="array" ref="U121">IF(ISNUMBER(MATCH(B121, 'Sprint 6'!B:B, 0)), INDEX('Sprint 6'!J:J, MATCH(B121, 'Sprint 6'!B:B, 0)), "")</f>
        <v/>
      </c>
      <c r="V121" s="102" t="s">
        <v>9669</v>
      </c>
      <c r="W121" s="102" t="s">
        <v>5944</v>
      </c>
    </row>
    <row r="122" hidden="1">
      <c r="A122" s="102" t="s">
        <v>310</v>
      </c>
      <c r="B122" s="102" t="s">
        <v>7711</v>
      </c>
      <c r="C122" s="229" t="s">
        <v>7712</v>
      </c>
      <c r="D122" s="102" t="s">
        <v>7713</v>
      </c>
      <c r="E122" s="102" t="s">
        <v>556</v>
      </c>
      <c r="F122" s="102" t="s">
        <v>557</v>
      </c>
      <c r="G122" s="102" t="s">
        <v>282</v>
      </c>
      <c r="H122" s="102" t="s">
        <v>283</v>
      </c>
      <c r="I122" s="102" t="s">
        <v>284</v>
      </c>
      <c r="J122" s="102" t="s">
        <v>454</v>
      </c>
      <c r="L122" s="229" t="s">
        <v>7714</v>
      </c>
      <c r="M122" s="229" t="s">
        <v>9835</v>
      </c>
      <c r="N122" s="229" t="s">
        <v>6471</v>
      </c>
      <c r="O122" s="102">
        <v>5.0</v>
      </c>
      <c r="P122" s="102" t="s">
        <v>504</v>
      </c>
      <c r="S122" s="102">
        <v>57600.0</v>
      </c>
      <c r="T122" s="230" t="str">
        <f>IF(ISNUMBER(MATCH(B122, 'Sprint 6'!B:B, 0)), "มาจาก Sprint 6", "")</f>
        <v/>
      </c>
      <c r="U122" s="230" t="str">
        <f t="array" ref="U122">IF(ISNUMBER(MATCH(B122, 'Sprint 6'!B:B, 0)), INDEX('Sprint 6'!J:J, MATCH(B122, 'Sprint 6'!B:B, 0)), "")</f>
        <v/>
      </c>
      <c r="V122" s="102"/>
      <c r="W122" s="102" t="s">
        <v>5944</v>
      </c>
    </row>
    <row r="123" hidden="1">
      <c r="A123" s="102" t="s">
        <v>310</v>
      </c>
      <c r="B123" s="102" t="s">
        <v>8044</v>
      </c>
      <c r="C123" s="229" t="s">
        <v>8045</v>
      </c>
      <c r="D123" s="102" t="s">
        <v>8046</v>
      </c>
      <c r="E123" s="102" t="s">
        <v>556</v>
      </c>
      <c r="F123" s="102" t="s">
        <v>557</v>
      </c>
      <c r="G123" s="102" t="s">
        <v>282</v>
      </c>
      <c r="H123" s="102" t="s">
        <v>283</v>
      </c>
      <c r="I123" s="102" t="s">
        <v>284</v>
      </c>
      <c r="J123" s="102" t="s">
        <v>454</v>
      </c>
      <c r="L123" s="229" t="s">
        <v>7714</v>
      </c>
      <c r="M123" s="229" t="s">
        <v>9836</v>
      </c>
      <c r="N123" s="229" t="s">
        <v>8047</v>
      </c>
      <c r="O123" s="102">
        <v>5.0</v>
      </c>
      <c r="P123" s="102" t="s">
        <v>504</v>
      </c>
      <c r="S123" s="102">
        <v>57600.0</v>
      </c>
      <c r="T123" s="230" t="str">
        <f>IF(ISNUMBER(MATCH(B123, 'Sprint 6'!B:B, 0)), "มาจาก Sprint 6", "")</f>
        <v/>
      </c>
      <c r="U123" s="230" t="str">
        <f t="array" ref="U123">IF(ISNUMBER(MATCH(B123, 'Sprint 6'!B:B, 0)), INDEX('Sprint 6'!J:J, MATCH(B123, 'Sprint 6'!B:B, 0)), "")</f>
        <v/>
      </c>
      <c r="V123" s="102"/>
      <c r="W123" s="102" t="s">
        <v>5944</v>
      </c>
    </row>
    <row r="124" hidden="1">
      <c r="A124" s="102" t="s">
        <v>310</v>
      </c>
      <c r="B124" s="102" t="s">
        <v>7716</v>
      </c>
      <c r="C124" s="229" t="s">
        <v>7717</v>
      </c>
      <c r="D124" s="102" t="s">
        <v>7718</v>
      </c>
      <c r="E124" s="102" t="s">
        <v>564</v>
      </c>
      <c r="F124" s="102" t="s">
        <v>565</v>
      </c>
      <c r="G124" s="102" t="s">
        <v>282</v>
      </c>
      <c r="H124" s="102" t="s">
        <v>283</v>
      </c>
      <c r="I124" s="102" t="s">
        <v>284</v>
      </c>
      <c r="J124" s="102" t="s">
        <v>454</v>
      </c>
      <c r="L124" s="229" t="s">
        <v>7719</v>
      </c>
      <c r="M124" s="229" t="s">
        <v>9837</v>
      </c>
      <c r="N124" s="229" t="s">
        <v>7720</v>
      </c>
      <c r="O124" s="102">
        <v>2.0</v>
      </c>
      <c r="P124" s="102" t="s">
        <v>504</v>
      </c>
      <c r="S124" s="102">
        <v>10800.0</v>
      </c>
      <c r="T124" s="230" t="str">
        <f>IF(ISNUMBER(MATCH(B124, 'Sprint 6'!B:B, 0)), "มาจาก Sprint 6", "")</f>
        <v/>
      </c>
      <c r="U124" s="230" t="str">
        <f t="array" ref="U124">IF(ISNUMBER(MATCH(B124, 'Sprint 6'!B:B, 0)), INDEX('Sprint 6'!J:J, MATCH(B124, 'Sprint 6'!B:B, 0)), "")</f>
        <v/>
      </c>
      <c r="V124" s="102"/>
      <c r="W124" s="102" t="s">
        <v>5944</v>
      </c>
    </row>
    <row r="125" hidden="1">
      <c r="A125" s="102" t="s">
        <v>310</v>
      </c>
      <c r="B125" s="102" t="s">
        <v>7721</v>
      </c>
      <c r="C125" s="229" t="s">
        <v>7722</v>
      </c>
      <c r="D125" s="102" t="s">
        <v>7723</v>
      </c>
      <c r="E125" s="102" t="s">
        <v>564</v>
      </c>
      <c r="F125" s="102" t="s">
        <v>565</v>
      </c>
      <c r="G125" s="102" t="s">
        <v>282</v>
      </c>
      <c r="H125" s="102" t="s">
        <v>283</v>
      </c>
      <c r="I125" s="102" t="s">
        <v>284</v>
      </c>
      <c r="J125" s="102" t="s">
        <v>454</v>
      </c>
      <c r="L125" s="229" t="s">
        <v>7724</v>
      </c>
      <c r="M125" s="229" t="s">
        <v>9838</v>
      </c>
      <c r="N125" s="229" t="s">
        <v>7726</v>
      </c>
      <c r="O125" s="102">
        <v>3.0</v>
      </c>
      <c r="P125" s="102" t="s">
        <v>504</v>
      </c>
      <c r="S125" s="102">
        <v>28800.0</v>
      </c>
      <c r="T125" s="230" t="str">
        <f>IF(ISNUMBER(MATCH(B125, 'Sprint 6'!B:B, 0)), "มาจาก Sprint 6", "")</f>
        <v/>
      </c>
      <c r="U125" s="230" t="str">
        <f t="array" ref="U125">IF(ISNUMBER(MATCH(B125, 'Sprint 6'!B:B, 0)), INDEX('Sprint 6'!J:J, MATCH(B125, 'Sprint 6'!B:B, 0)), "")</f>
        <v/>
      </c>
      <c r="V125" s="102"/>
      <c r="W125" s="102" t="s">
        <v>5944</v>
      </c>
      <c r="X125" s="102"/>
      <c r="Y125" s="102"/>
    </row>
    <row r="126" hidden="1">
      <c r="A126" s="102" t="s">
        <v>310</v>
      </c>
      <c r="B126" s="102" t="s">
        <v>7727</v>
      </c>
      <c r="C126" s="229" t="s">
        <v>7728</v>
      </c>
      <c r="D126" s="102" t="s">
        <v>7729</v>
      </c>
      <c r="E126" s="102" t="s">
        <v>564</v>
      </c>
      <c r="F126" s="102" t="s">
        <v>565</v>
      </c>
      <c r="G126" s="102" t="s">
        <v>282</v>
      </c>
      <c r="H126" s="102" t="s">
        <v>283</v>
      </c>
      <c r="I126" s="102" t="s">
        <v>284</v>
      </c>
      <c r="J126" s="102" t="s">
        <v>454</v>
      </c>
      <c r="L126" s="229" t="s">
        <v>7730</v>
      </c>
      <c r="M126" s="229" t="s">
        <v>9837</v>
      </c>
      <c r="N126" s="229" t="s">
        <v>7720</v>
      </c>
      <c r="O126" s="102">
        <v>2.0</v>
      </c>
      <c r="P126" s="102" t="s">
        <v>504</v>
      </c>
      <c r="Q126" s="102"/>
      <c r="S126" s="102">
        <v>10800.0</v>
      </c>
      <c r="T126" s="230" t="str">
        <f>IF(ISNUMBER(MATCH(B126, 'Sprint 6'!B:B, 0)), "มาจาก Sprint 6", "")</f>
        <v/>
      </c>
      <c r="U126" s="230" t="str">
        <f t="array" ref="U126">IF(ISNUMBER(MATCH(B126, 'Sprint 6'!B:B, 0)), INDEX('Sprint 6'!J:J, MATCH(B126, 'Sprint 6'!B:B, 0)), "")</f>
        <v/>
      </c>
      <c r="V126" s="102"/>
      <c r="W126" s="102" t="s">
        <v>5944</v>
      </c>
      <c r="X126" s="102"/>
      <c r="Y126" s="102"/>
    </row>
    <row r="127" hidden="1">
      <c r="A127" s="102" t="s">
        <v>310</v>
      </c>
      <c r="B127" s="102" t="s">
        <v>7731</v>
      </c>
      <c r="C127" s="229" t="s">
        <v>7732</v>
      </c>
      <c r="D127" s="102" t="s">
        <v>7733</v>
      </c>
      <c r="E127" s="102" t="s">
        <v>564</v>
      </c>
      <c r="F127" s="102" t="s">
        <v>565</v>
      </c>
      <c r="G127" s="102" t="s">
        <v>282</v>
      </c>
      <c r="H127" s="102" t="s">
        <v>283</v>
      </c>
      <c r="I127" s="102" t="s">
        <v>284</v>
      </c>
      <c r="J127" s="102" t="s">
        <v>454</v>
      </c>
      <c r="L127" s="229" t="s">
        <v>7734</v>
      </c>
      <c r="M127" s="229" t="s">
        <v>9837</v>
      </c>
      <c r="N127" s="229" t="s">
        <v>7735</v>
      </c>
      <c r="O127" s="102">
        <v>2.0</v>
      </c>
      <c r="P127" s="102" t="s">
        <v>504</v>
      </c>
      <c r="S127" s="102">
        <v>10800.0</v>
      </c>
      <c r="T127" s="230" t="str">
        <f>IF(ISNUMBER(MATCH(B127, 'Sprint 6'!B:B, 0)), "มาจาก Sprint 6", "")</f>
        <v/>
      </c>
      <c r="U127" s="230" t="str">
        <f t="array" ref="U127">IF(ISNUMBER(MATCH(B127, 'Sprint 6'!B:B, 0)), INDEX('Sprint 6'!J:J, MATCH(B127, 'Sprint 6'!B:B, 0)), "")</f>
        <v/>
      </c>
      <c r="V127" s="102"/>
      <c r="W127" s="102" t="s">
        <v>5944</v>
      </c>
    </row>
    <row r="128" hidden="1">
      <c r="A128" s="102" t="s">
        <v>276</v>
      </c>
      <c r="B128" s="102" t="s">
        <v>9441</v>
      </c>
      <c r="C128" s="229" t="s">
        <v>9442</v>
      </c>
      <c r="D128" s="102" t="s">
        <v>9443</v>
      </c>
      <c r="E128" s="102" t="s">
        <v>391</v>
      </c>
      <c r="F128" s="102" t="s">
        <v>392</v>
      </c>
      <c r="G128" s="102" t="s">
        <v>391</v>
      </c>
      <c r="H128" s="102" t="s">
        <v>392</v>
      </c>
      <c r="I128" s="102" t="s">
        <v>284</v>
      </c>
      <c r="J128" s="102" t="s">
        <v>26</v>
      </c>
      <c r="L128" s="229" t="s">
        <v>9444</v>
      </c>
      <c r="M128" s="229" t="s">
        <v>9445</v>
      </c>
      <c r="O128" s="102"/>
      <c r="S128" s="230"/>
      <c r="T128" s="230" t="str">
        <f>IF(ISNUMBER(MATCH(B128, 'Sprint 6'!B:B, 0)), "มาจาก Sprint 6", "")</f>
        <v>มาจาก Sprint 6</v>
      </c>
      <c r="U128" s="230" t="str">
        <f t="array" ref="U128">IF(ISNUMBER(MATCH(B128, 'Sprint 6'!B:B, 0)), INDEX('Sprint 6'!J:J, MATCH(B128, 'Sprint 6'!B:B, 0)), "")</f>
        <v>Done</v>
      </c>
      <c r="V128" s="230"/>
      <c r="W128" s="102" t="s">
        <v>7695</v>
      </c>
      <c r="X128" s="102" t="s">
        <v>7696</v>
      </c>
      <c r="Y128" s="102" t="s">
        <v>5944</v>
      </c>
    </row>
    <row r="129" hidden="1">
      <c r="A129" s="102" t="s">
        <v>332</v>
      </c>
      <c r="B129" s="102" t="s">
        <v>9839</v>
      </c>
      <c r="C129" s="229" t="s">
        <v>9840</v>
      </c>
      <c r="D129" s="102" t="s">
        <v>9841</v>
      </c>
      <c r="E129" s="102" t="s">
        <v>495</v>
      </c>
      <c r="F129" s="102" t="s">
        <v>496</v>
      </c>
      <c r="G129" s="102" t="s">
        <v>521</v>
      </c>
      <c r="H129" s="102" t="s">
        <v>522</v>
      </c>
      <c r="I129" s="102" t="s">
        <v>648</v>
      </c>
      <c r="J129" s="102" t="s">
        <v>336</v>
      </c>
      <c r="L129" s="229" t="s">
        <v>9842</v>
      </c>
      <c r="M129" s="229" t="s">
        <v>9843</v>
      </c>
      <c r="O129" s="102">
        <v>0.0</v>
      </c>
      <c r="P129" s="102" t="s">
        <v>538</v>
      </c>
      <c r="Q129" s="102" t="s">
        <v>593</v>
      </c>
      <c r="S129" s="102"/>
      <c r="T129" s="230" t="str">
        <f>IF(ISNUMBER(MATCH(B129, 'Sprint 6'!B:B, 0)), "มาจาก Sprint 6", "")</f>
        <v>มาจาก Sprint 6</v>
      </c>
      <c r="U129" s="230" t="str">
        <f t="array" ref="U129">IF(ISNUMBER(MATCH(B129, 'Sprint 6'!B:B, 0)), INDEX('Sprint 6'!J:J, MATCH(B129, 'Sprint 6'!B:B, 0)), "")</f>
        <v>ACCEPTED</v>
      </c>
      <c r="V129" s="102"/>
      <c r="W129" s="102" t="s">
        <v>7695</v>
      </c>
      <c r="X129" s="102" t="s">
        <v>9184</v>
      </c>
      <c r="Y129" s="102" t="s">
        <v>8754</v>
      </c>
    </row>
    <row r="130" hidden="1">
      <c r="A130" s="102" t="s">
        <v>310</v>
      </c>
      <c r="B130" s="102" t="s">
        <v>9844</v>
      </c>
      <c r="C130" s="229" t="s">
        <v>9845</v>
      </c>
      <c r="D130" s="102" t="s">
        <v>9846</v>
      </c>
      <c r="E130" s="102" t="s">
        <v>282</v>
      </c>
      <c r="F130" s="102" t="s">
        <v>283</v>
      </c>
      <c r="G130" s="102" t="s">
        <v>282</v>
      </c>
      <c r="H130" s="102" t="s">
        <v>283</v>
      </c>
      <c r="I130" s="102" t="s">
        <v>515</v>
      </c>
      <c r="J130" s="102" t="s">
        <v>26</v>
      </c>
      <c r="L130" s="229" t="s">
        <v>9847</v>
      </c>
      <c r="M130" s="229" t="s">
        <v>9848</v>
      </c>
      <c r="N130" s="102"/>
      <c r="O130" s="102">
        <v>5.0</v>
      </c>
      <c r="P130" s="102" t="s">
        <v>5547</v>
      </c>
      <c r="S130" s="102">
        <v>72000.0</v>
      </c>
      <c r="T130" s="230" t="str">
        <f>IF(ISNUMBER(MATCH(B130, 'Sprint 6'!B:B, 0)), "มาจาก Sprint 6", "")</f>
        <v/>
      </c>
      <c r="U130" s="230" t="str">
        <f t="array" ref="U130">IF(ISNUMBER(MATCH(B130, 'Sprint 6'!B:B, 0)), INDEX('Sprint 6'!J:J, MATCH(B130, 'Sprint 6'!B:B, 0)), "")</f>
        <v/>
      </c>
      <c r="V130" s="102"/>
      <c r="W130" s="102" t="s">
        <v>4968</v>
      </c>
      <c r="X130" s="102"/>
    </row>
    <row r="131" hidden="1">
      <c r="A131" s="102" t="s">
        <v>310</v>
      </c>
      <c r="B131" s="102" t="s">
        <v>9452</v>
      </c>
      <c r="C131" s="229" t="s">
        <v>9453</v>
      </c>
      <c r="D131" s="102" t="s">
        <v>9454</v>
      </c>
      <c r="E131" s="102" t="s">
        <v>304</v>
      </c>
      <c r="F131" s="102" t="s">
        <v>305</v>
      </c>
      <c r="G131" s="102" t="s">
        <v>282</v>
      </c>
      <c r="H131" s="102" t="s">
        <v>283</v>
      </c>
      <c r="I131" s="102" t="s">
        <v>284</v>
      </c>
      <c r="J131" s="102" t="s">
        <v>454</v>
      </c>
      <c r="L131" s="229" t="s">
        <v>9455</v>
      </c>
      <c r="M131" s="229" t="s">
        <v>9849</v>
      </c>
      <c r="O131" s="102">
        <v>2.0</v>
      </c>
      <c r="P131" s="102"/>
      <c r="S131" s="102">
        <v>7200.0</v>
      </c>
      <c r="T131" s="230" t="str">
        <f>IF(ISNUMBER(MATCH(B131, 'Sprint 6'!B:B, 0)), "มาจาก Sprint 6", "")</f>
        <v>มาจาก Sprint 6</v>
      </c>
      <c r="U131" s="230" t="str">
        <f t="array" ref="U131">IF(ISNUMBER(MATCH(B131, 'Sprint 6'!B:B, 0)), INDEX('Sprint 6'!J:J, MATCH(B131, 'Sprint 6'!B:B, 0)), "")</f>
        <v>In Progress</v>
      </c>
      <c r="V131" s="102" t="s">
        <v>9669</v>
      </c>
      <c r="W131" s="102" t="s">
        <v>7695</v>
      </c>
      <c r="X131" s="102" t="s">
        <v>7696</v>
      </c>
      <c r="Y131" s="102" t="s">
        <v>5944</v>
      </c>
    </row>
    <row r="132" hidden="1">
      <c r="A132" s="102" t="s">
        <v>310</v>
      </c>
      <c r="B132" s="102" t="s">
        <v>9456</v>
      </c>
      <c r="C132" s="229" t="s">
        <v>9457</v>
      </c>
      <c r="D132" s="102" t="s">
        <v>9458</v>
      </c>
      <c r="E132" s="102" t="s">
        <v>304</v>
      </c>
      <c r="F132" s="102" t="s">
        <v>305</v>
      </c>
      <c r="G132" s="102" t="s">
        <v>282</v>
      </c>
      <c r="H132" s="102" t="s">
        <v>283</v>
      </c>
      <c r="I132" s="102" t="s">
        <v>284</v>
      </c>
      <c r="J132" s="102" t="s">
        <v>454</v>
      </c>
      <c r="L132" s="229" t="s">
        <v>9455</v>
      </c>
      <c r="M132" s="229" t="s">
        <v>9850</v>
      </c>
      <c r="O132" s="102">
        <v>2.0</v>
      </c>
      <c r="P132" s="102" t="s">
        <v>7525</v>
      </c>
      <c r="Q132" s="102" t="s">
        <v>593</v>
      </c>
      <c r="S132" s="102">
        <v>0.0</v>
      </c>
      <c r="T132" s="230" t="str">
        <f>IF(ISNUMBER(MATCH(B132, 'Sprint 6'!B:B, 0)), "มาจาก Sprint 6", "")</f>
        <v>มาจาก Sprint 6</v>
      </c>
      <c r="U132" s="230" t="str">
        <f t="array" ref="U132">IF(ISNUMBER(MATCH(B132, 'Sprint 6'!B:B, 0)), INDEX('Sprint 6'!J:J, MATCH(B132, 'Sprint 6'!B:B, 0)), "")</f>
        <v>In Review</v>
      </c>
      <c r="V132" s="102">
        <v>21600.0</v>
      </c>
      <c r="W132" s="102" t="s">
        <v>7695</v>
      </c>
      <c r="X132" s="102" t="s">
        <v>7696</v>
      </c>
      <c r="Y132" s="102" t="s">
        <v>5944</v>
      </c>
    </row>
    <row r="133" hidden="1">
      <c r="A133" s="102" t="s">
        <v>310</v>
      </c>
      <c r="B133" s="102" t="s">
        <v>9851</v>
      </c>
      <c r="C133" s="229" t="s">
        <v>9852</v>
      </c>
      <c r="D133" s="102" t="s">
        <v>9853</v>
      </c>
      <c r="E133" s="102" t="s">
        <v>513</v>
      </c>
      <c r="F133" s="102" t="s">
        <v>514</v>
      </c>
      <c r="G133" s="102" t="s">
        <v>353</v>
      </c>
      <c r="H133" s="102" t="s">
        <v>354</v>
      </c>
      <c r="I133" s="102" t="s">
        <v>284</v>
      </c>
      <c r="J133" s="102" t="s">
        <v>454</v>
      </c>
      <c r="L133" s="229" t="s">
        <v>9854</v>
      </c>
      <c r="M133" s="229" t="s">
        <v>9855</v>
      </c>
      <c r="N133" s="229" t="s">
        <v>8672</v>
      </c>
      <c r="O133" s="102">
        <v>2.0</v>
      </c>
      <c r="P133" s="102"/>
      <c r="S133" s="102">
        <v>0.0</v>
      </c>
      <c r="T133" s="230" t="str">
        <f>IF(ISNUMBER(MATCH(B133, 'Sprint 6'!B:B, 0)), "มาจาก Sprint 6", "")</f>
        <v>มาจาก Sprint 6</v>
      </c>
      <c r="U133" s="230" t="str">
        <f t="array" ref="U133">IF(ISNUMBER(MATCH(B133, 'Sprint 6'!B:B, 0)), INDEX('Sprint 6'!J:J, MATCH(B133, 'Sprint 6'!B:B, 0)), "")</f>
        <v>Ready to Staging</v>
      </c>
      <c r="V133" s="102">
        <v>14400.0</v>
      </c>
      <c r="W133" s="102" t="s">
        <v>4967</v>
      </c>
      <c r="X133" s="102" t="s">
        <v>4968</v>
      </c>
    </row>
    <row r="134" hidden="1">
      <c r="A134" s="102" t="s">
        <v>310</v>
      </c>
      <c r="B134" s="102" t="s">
        <v>7736</v>
      </c>
      <c r="C134" s="229" t="s">
        <v>7737</v>
      </c>
      <c r="D134" s="102" t="s">
        <v>7738</v>
      </c>
      <c r="E134" s="102" t="s">
        <v>495</v>
      </c>
      <c r="F134" s="102" t="s">
        <v>496</v>
      </c>
      <c r="G134" s="102" t="s">
        <v>282</v>
      </c>
      <c r="H134" s="102" t="s">
        <v>283</v>
      </c>
      <c r="I134" s="102" t="s">
        <v>284</v>
      </c>
      <c r="J134" s="102" t="s">
        <v>454</v>
      </c>
      <c r="L134" s="229" t="s">
        <v>7739</v>
      </c>
      <c r="M134" s="229" t="s">
        <v>9856</v>
      </c>
      <c r="O134" s="102">
        <v>2.0</v>
      </c>
      <c r="P134" s="102" t="s">
        <v>504</v>
      </c>
      <c r="S134" s="102">
        <v>28800.0</v>
      </c>
      <c r="T134" s="230" t="str">
        <f>IF(ISNUMBER(MATCH(B134, 'Sprint 6'!B:B, 0)), "มาจาก Sprint 6", "")</f>
        <v/>
      </c>
      <c r="U134" s="230" t="str">
        <f t="array" ref="U134">IF(ISNUMBER(MATCH(B134, 'Sprint 6'!B:B, 0)), INDEX('Sprint 6'!J:J, MATCH(B134, 'Sprint 6'!B:B, 0)), "")</f>
        <v/>
      </c>
      <c r="V134" s="102"/>
      <c r="W134" s="102" t="s">
        <v>5944</v>
      </c>
    </row>
    <row r="135" hidden="1">
      <c r="A135" s="102" t="s">
        <v>310</v>
      </c>
      <c r="B135" s="102" t="s">
        <v>7740</v>
      </c>
      <c r="C135" s="229" t="s">
        <v>7741</v>
      </c>
      <c r="D135" s="102" t="s">
        <v>7742</v>
      </c>
      <c r="E135" s="102" t="s">
        <v>556</v>
      </c>
      <c r="F135" s="102" t="s">
        <v>557</v>
      </c>
      <c r="G135" s="102" t="s">
        <v>282</v>
      </c>
      <c r="H135" s="102" t="s">
        <v>283</v>
      </c>
      <c r="I135" s="102" t="s">
        <v>284</v>
      </c>
      <c r="J135" s="102" t="s">
        <v>454</v>
      </c>
      <c r="L135" s="229" t="s">
        <v>7739</v>
      </c>
      <c r="M135" s="229" t="s">
        <v>9857</v>
      </c>
      <c r="N135" s="229" t="s">
        <v>7743</v>
      </c>
      <c r="O135" s="102">
        <v>5.0</v>
      </c>
      <c r="P135" s="102" t="s">
        <v>504</v>
      </c>
      <c r="S135" s="102">
        <v>57600.0</v>
      </c>
      <c r="T135" s="230" t="str">
        <f>IF(ISNUMBER(MATCH(B135, 'Sprint 6'!B:B, 0)), "มาจาก Sprint 6", "")</f>
        <v/>
      </c>
      <c r="U135" s="230" t="str">
        <f t="array" ref="U135">IF(ISNUMBER(MATCH(B135, 'Sprint 6'!B:B, 0)), INDEX('Sprint 6'!J:J, MATCH(B135, 'Sprint 6'!B:B, 0)), "")</f>
        <v/>
      </c>
      <c r="V135" s="102"/>
      <c r="W135" s="102" t="s">
        <v>5944</v>
      </c>
    </row>
    <row r="136" hidden="1">
      <c r="A136" s="102" t="s">
        <v>310</v>
      </c>
      <c r="B136" s="102" t="s">
        <v>7744</v>
      </c>
      <c r="C136" s="229" t="s">
        <v>7745</v>
      </c>
      <c r="D136" s="102" t="s">
        <v>7746</v>
      </c>
      <c r="E136" s="102" t="s">
        <v>564</v>
      </c>
      <c r="F136" s="102" t="s">
        <v>565</v>
      </c>
      <c r="G136" s="102" t="s">
        <v>282</v>
      </c>
      <c r="H136" s="102" t="s">
        <v>283</v>
      </c>
      <c r="I136" s="102" t="s">
        <v>284</v>
      </c>
      <c r="J136" s="102" t="s">
        <v>454</v>
      </c>
      <c r="L136" s="229" t="s">
        <v>7739</v>
      </c>
      <c r="M136" s="229" t="s">
        <v>9837</v>
      </c>
      <c r="N136" s="229" t="s">
        <v>7735</v>
      </c>
      <c r="O136" s="102">
        <v>3.0</v>
      </c>
      <c r="P136" s="102" t="s">
        <v>504</v>
      </c>
      <c r="S136" s="102">
        <v>28800.0</v>
      </c>
      <c r="T136" s="230" t="str">
        <f>IF(ISNUMBER(MATCH(B136, 'Sprint 6'!B:B, 0)), "มาจาก Sprint 6", "")</f>
        <v/>
      </c>
      <c r="U136" s="230" t="str">
        <f t="array" ref="U136">IF(ISNUMBER(MATCH(B136, 'Sprint 6'!B:B, 0)), INDEX('Sprint 6'!J:J, MATCH(B136, 'Sprint 6'!B:B, 0)), "")</f>
        <v/>
      </c>
      <c r="V136" s="102"/>
      <c r="W136" s="102" t="s">
        <v>5944</v>
      </c>
    </row>
    <row r="137" hidden="1">
      <c r="A137" s="102" t="s">
        <v>310</v>
      </c>
      <c r="B137" s="102" t="s">
        <v>7747</v>
      </c>
      <c r="C137" s="229" t="s">
        <v>7748</v>
      </c>
      <c r="D137" s="102" t="s">
        <v>7749</v>
      </c>
      <c r="E137" s="102" t="s">
        <v>495</v>
      </c>
      <c r="F137" s="102" t="s">
        <v>496</v>
      </c>
      <c r="G137" s="102" t="s">
        <v>282</v>
      </c>
      <c r="H137" s="102" t="s">
        <v>283</v>
      </c>
      <c r="I137" s="102" t="s">
        <v>284</v>
      </c>
      <c r="J137" s="102" t="s">
        <v>454</v>
      </c>
      <c r="L137" s="229" t="s">
        <v>7739</v>
      </c>
      <c r="M137" s="229" t="s">
        <v>9858</v>
      </c>
      <c r="N137" s="102"/>
      <c r="O137" s="102">
        <v>8.0</v>
      </c>
      <c r="P137" s="102" t="s">
        <v>504</v>
      </c>
      <c r="S137" s="102">
        <v>86400.0</v>
      </c>
      <c r="T137" s="230" t="str">
        <f>IF(ISNUMBER(MATCH(B137, 'Sprint 6'!B:B, 0)), "มาจาก Sprint 6", "")</f>
        <v/>
      </c>
      <c r="U137" s="230" t="str">
        <f t="array" ref="U137">IF(ISNUMBER(MATCH(B137, 'Sprint 6'!B:B, 0)), INDEX('Sprint 6'!J:J, MATCH(B137, 'Sprint 6'!B:B, 0)), "")</f>
        <v/>
      </c>
      <c r="V137" s="102"/>
      <c r="W137" s="102" t="s">
        <v>5944</v>
      </c>
    </row>
    <row r="138" hidden="1">
      <c r="A138" s="102" t="s">
        <v>310</v>
      </c>
      <c r="B138" s="102" t="s">
        <v>7750</v>
      </c>
      <c r="C138" s="229" t="s">
        <v>7751</v>
      </c>
      <c r="D138" s="102" t="s">
        <v>7752</v>
      </c>
      <c r="E138" s="102" t="s">
        <v>495</v>
      </c>
      <c r="F138" s="102" t="s">
        <v>496</v>
      </c>
      <c r="G138" s="102" t="s">
        <v>282</v>
      </c>
      <c r="H138" s="102" t="s">
        <v>283</v>
      </c>
      <c r="I138" s="102" t="s">
        <v>284</v>
      </c>
      <c r="J138" s="102" t="s">
        <v>454</v>
      </c>
      <c r="L138" s="229" t="s">
        <v>7753</v>
      </c>
      <c r="M138" s="229" t="s">
        <v>9858</v>
      </c>
      <c r="O138" s="102">
        <v>5.0</v>
      </c>
      <c r="P138" s="102" t="s">
        <v>504</v>
      </c>
      <c r="S138" s="102">
        <v>28800.0</v>
      </c>
      <c r="T138" s="230" t="str">
        <f>IF(ISNUMBER(MATCH(B138, 'Sprint 6'!B:B, 0)), "มาจาก Sprint 6", "")</f>
        <v/>
      </c>
      <c r="U138" s="230" t="str">
        <f t="array" ref="U138">IF(ISNUMBER(MATCH(B138, 'Sprint 6'!B:B, 0)), INDEX('Sprint 6'!J:J, MATCH(B138, 'Sprint 6'!B:B, 0)), "")</f>
        <v/>
      </c>
      <c r="V138" s="102"/>
      <c r="W138" s="102" t="s">
        <v>5944</v>
      </c>
    </row>
    <row r="139" hidden="1">
      <c r="A139" s="102" t="s">
        <v>310</v>
      </c>
      <c r="B139" s="102" t="s">
        <v>7754</v>
      </c>
      <c r="C139" s="229" t="s">
        <v>7755</v>
      </c>
      <c r="D139" s="102" t="s">
        <v>7756</v>
      </c>
      <c r="E139" s="102" t="s">
        <v>556</v>
      </c>
      <c r="F139" s="102" t="s">
        <v>557</v>
      </c>
      <c r="G139" s="102" t="s">
        <v>282</v>
      </c>
      <c r="H139" s="102" t="s">
        <v>283</v>
      </c>
      <c r="I139" s="102" t="s">
        <v>284</v>
      </c>
      <c r="J139" s="102" t="s">
        <v>454</v>
      </c>
      <c r="L139" s="229" t="s">
        <v>7757</v>
      </c>
      <c r="M139" s="229" t="s">
        <v>9859</v>
      </c>
      <c r="N139" s="229" t="s">
        <v>7726</v>
      </c>
      <c r="O139" s="102">
        <v>3.0</v>
      </c>
      <c r="P139" s="102" t="s">
        <v>504</v>
      </c>
      <c r="S139" s="102">
        <v>28800.0</v>
      </c>
      <c r="T139" s="230" t="str">
        <f>IF(ISNUMBER(MATCH(B139, 'Sprint 6'!B:B, 0)), "มาจาก Sprint 6", "")</f>
        <v/>
      </c>
      <c r="U139" s="230" t="str">
        <f t="array" ref="U139">IF(ISNUMBER(MATCH(B139, 'Sprint 6'!B:B, 0)), INDEX('Sprint 6'!J:J, MATCH(B139, 'Sprint 6'!B:B, 0)), "")</f>
        <v/>
      </c>
      <c r="V139" s="102"/>
      <c r="W139" s="102" t="s">
        <v>5944</v>
      </c>
    </row>
    <row r="140" hidden="1">
      <c r="A140" s="102" t="s">
        <v>310</v>
      </c>
      <c r="B140" s="102" t="s">
        <v>7758</v>
      </c>
      <c r="C140" s="229" t="s">
        <v>7759</v>
      </c>
      <c r="D140" s="102" t="s">
        <v>7760</v>
      </c>
      <c r="E140" s="102" t="s">
        <v>564</v>
      </c>
      <c r="F140" s="102" t="s">
        <v>565</v>
      </c>
      <c r="G140" s="102" t="s">
        <v>282</v>
      </c>
      <c r="H140" s="102" t="s">
        <v>283</v>
      </c>
      <c r="I140" s="102" t="s">
        <v>284</v>
      </c>
      <c r="J140" s="102" t="s">
        <v>454</v>
      </c>
      <c r="L140" s="229" t="s">
        <v>7757</v>
      </c>
      <c r="M140" s="229" t="s">
        <v>9860</v>
      </c>
      <c r="N140" s="229" t="s">
        <v>7761</v>
      </c>
      <c r="O140" s="102">
        <v>3.0</v>
      </c>
      <c r="P140" s="102" t="s">
        <v>504</v>
      </c>
      <c r="S140" s="102">
        <v>28800.0</v>
      </c>
      <c r="T140" s="230" t="str">
        <f>IF(ISNUMBER(MATCH(B140, 'Sprint 6'!B:B, 0)), "มาจาก Sprint 6", "")</f>
        <v/>
      </c>
      <c r="U140" s="230" t="str">
        <f t="array" ref="U140">IF(ISNUMBER(MATCH(B140, 'Sprint 6'!B:B, 0)), INDEX('Sprint 6'!J:J, MATCH(B140, 'Sprint 6'!B:B, 0)), "")</f>
        <v/>
      </c>
      <c r="V140" s="102"/>
      <c r="W140" s="102" t="s">
        <v>5944</v>
      </c>
    </row>
    <row r="141" hidden="1">
      <c r="A141" s="102" t="s">
        <v>310</v>
      </c>
      <c r="B141" s="102" t="s">
        <v>7762</v>
      </c>
      <c r="C141" s="229" t="s">
        <v>7763</v>
      </c>
      <c r="D141" s="102" t="s">
        <v>7764</v>
      </c>
      <c r="E141" s="102" t="s">
        <v>304</v>
      </c>
      <c r="F141" s="102" t="s">
        <v>305</v>
      </c>
      <c r="G141" s="102" t="s">
        <v>282</v>
      </c>
      <c r="H141" s="102" t="s">
        <v>283</v>
      </c>
      <c r="I141" s="102" t="s">
        <v>284</v>
      </c>
      <c r="J141" s="102" t="s">
        <v>454</v>
      </c>
      <c r="L141" s="229" t="s">
        <v>7757</v>
      </c>
      <c r="M141" s="229" t="s">
        <v>9836</v>
      </c>
      <c r="O141" s="102">
        <v>5.0</v>
      </c>
      <c r="P141" s="102" t="s">
        <v>504</v>
      </c>
      <c r="S141" s="102">
        <v>86400.0</v>
      </c>
      <c r="T141" s="230" t="str">
        <f>IF(ISNUMBER(MATCH(B141, 'Sprint 6'!B:B, 0)), "มาจาก Sprint 6", "")</f>
        <v/>
      </c>
      <c r="U141" s="230" t="str">
        <f t="array" ref="U141">IF(ISNUMBER(MATCH(B141, 'Sprint 6'!B:B, 0)), INDEX('Sprint 6'!J:J, MATCH(B141, 'Sprint 6'!B:B, 0)), "")</f>
        <v/>
      </c>
      <c r="V141" s="102"/>
      <c r="W141" s="102" t="s">
        <v>5944</v>
      </c>
      <c r="X141" s="102"/>
    </row>
    <row r="142" hidden="1">
      <c r="A142" s="102" t="s">
        <v>310</v>
      </c>
      <c r="B142" s="102" t="s">
        <v>7765</v>
      </c>
      <c r="C142" s="229" t="s">
        <v>7766</v>
      </c>
      <c r="D142" s="102" t="s">
        <v>7767</v>
      </c>
      <c r="E142" s="102" t="s">
        <v>556</v>
      </c>
      <c r="F142" s="102" t="s">
        <v>557</v>
      </c>
      <c r="G142" s="102" t="s">
        <v>282</v>
      </c>
      <c r="H142" s="102" t="s">
        <v>283</v>
      </c>
      <c r="I142" s="102" t="s">
        <v>284</v>
      </c>
      <c r="J142" s="102" t="s">
        <v>454</v>
      </c>
      <c r="L142" s="229" t="s">
        <v>7757</v>
      </c>
      <c r="M142" s="229" t="s">
        <v>9859</v>
      </c>
      <c r="N142" s="229" t="s">
        <v>7720</v>
      </c>
      <c r="O142" s="102">
        <v>3.0</v>
      </c>
      <c r="P142" s="102" t="s">
        <v>504</v>
      </c>
      <c r="S142" s="102">
        <v>28800.0</v>
      </c>
      <c r="T142" s="230" t="str">
        <f>IF(ISNUMBER(MATCH(B142, 'Sprint 6'!B:B, 0)), "มาจาก Sprint 6", "")</f>
        <v/>
      </c>
      <c r="U142" s="230" t="str">
        <f t="array" ref="U142">IF(ISNUMBER(MATCH(B142, 'Sprint 6'!B:B, 0)), INDEX('Sprint 6'!J:J, MATCH(B142, 'Sprint 6'!B:B, 0)), "")</f>
        <v/>
      </c>
      <c r="V142" s="102"/>
      <c r="W142" s="102" t="s">
        <v>5944</v>
      </c>
    </row>
    <row r="143" hidden="1">
      <c r="A143" s="102" t="s">
        <v>310</v>
      </c>
      <c r="B143" s="102" t="s">
        <v>7768</v>
      </c>
      <c r="C143" s="229" t="s">
        <v>7769</v>
      </c>
      <c r="D143" s="102" t="s">
        <v>7770</v>
      </c>
      <c r="E143" s="102" t="s">
        <v>564</v>
      </c>
      <c r="F143" s="102" t="s">
        <v>565</v>
      </c>
      <c r="G143" s="102" t="s">
        <v>282</v>
      </c>
      <c r="H143" s="102" t="s">
        <v>283</v>
      </c>
      <c r="I143" s="102" t="s">
        <v>284</v>
      </c>
      <c r="J143" s="102" t="s">
        <v>454</v>
      </c>
      <c r="L143" s="229" t="s">
        <v>7771</v>
      </c>
      <c r="M143" s="229" t="s">
        <v>9837</v>
      </c>
      <c r="N143" s="229" t="s">
        <v>6471</v>
      </c>
      <c r="O143" s="102">
        <v>5.0</v>
      </c>
      <c r="P143" s="102" t="s">
        <v>504</v>
      </c>
      <c r="S143" s="102">
        <v>43200.0</v>
      </c>
      <c r="T143" s="230" t="str">
        <f>IF(ISNUMBER(MATCH(B143, 'Sprint 6'!B:B, 0)), "มาจาก Sprint 6", "")</f>
        <v/>
      </c>
      <c r="U143" s="230" t="str">
        <f t="array" ref="U143">IF(ISNUMBER(MATCH(B143, 'Sprint 6'!B:B, 0)), INDEX('Sprint 6'!J:J, MATCH(B143, 'Sprint 6'!B:B, 0)), "")</f>
        <v/>
      </c>
      <c r="V143" s="102"/>
      <c r="W143" s="102" t="s">
        <v>5944</v>
      </c>
      <c r="X143" s="102"/>
    </row>
    <row r="144" hidden="1">
      <c r="A144" s="102" t="s">
        <v>276</v>
      </c>
      <c r="B144" s="102" t="s">
        <v>9861</v>
      </c>
      <c r="C144" s="229" t="s">
        <v>9862</v>
      </c>
      <c r="D144" s="102" t="s">
        <v>4345</v>
      </c>
      <c r="E144" s="102" t="s">
        <v>3288</v>
      </c>
      <c r="F144" s="102" t="s">
        <v>3289</v>
      </c>
      <c r="G144" s="102" t="s">
        <v>391</v>
      </c>
      <c r="H144" s="102" t="s">
        <v>392</v>
      </c>
      <c r="I144" s="102" t="s">
        <v>284</v>
      </c>
      <c r="J144" s="102" t="s">
        <v>26</v>
      </c>
      <c r="L144" s="229" t="s">
        <v>9863</v>
      </c>
      <c r="M144" s="229" t="s">
        <v>9864</v>
      </c>
      <c r="O144" s="230"/>
      <c r="S144" s="230"/>
      <c r="T144" s="230" t="str">
        <f>IF(ISNUMBER(MATCH(B144, 'Sprint 6'!B:B, 0)), "มาจาก Sprint 6", "")</f>
        <v>มาจาก Sprint 6</v>
      </c>
      <c r="U144" s="230" t="str">
        <f t="array" ref="U144">IF(ISNUMBER(MATCH(B144, 'Sprint 6'!B:B, 0)), INDEX('Sprint 6'!J:J, MATCH(B144, 'Sprint 6'!B:B, 0)), "")</f>
        <v>Done</v>
      </c>
      <c r="V144" s="230"/>
      <c r="W144" s="102" t="s">
        <v>9865</v>
      </c>
      <c r="X144" s="102" t="s">
        <v>9866</v>
      </c>
    </row>
    <row r="145" hidden="1">
      <c r="A145" s="102" t="s">
        <v>276</v>
      </c>
      <c r="B145" s="102" t="s">
        <v>9867</v>
      </c>
      <c r="C145" s="229" t="s">
        <v>9868</v>
      </c>
      <c r="D145" s="102" t="s">
        <v>4345</v>
      </c>
      <c r="E145" s="102" t="s">
        <v>3288</v>
      </c>
      <c r="F145" s="102" t="s">
        <v>3289</v>
      </c>
      <c r="G145" s="102" t="s">
        <v>391</v>
      </c>
      <c r="H145" s="102" t="s">
        <v>392</v>
      </c>
      <c r="I145" s="102" t="s">
        <v>284</v>
      </c>
      <c r="J145" s="102" t="s">
        <v>26</v>
      </c>
      <c r="L145" s="229" t="s">
        <v>9863</v>
      </c>
      <c r="M145" s="229" t="s">
        <v>9869</v>
      </c>
      <c r="O145" s="230"/>
      <c r="S145" s="230"/>
      <c r="T145" s="230" t="str">
        <f>IF(ISNUMBER(MATCH(B145, 'Sprint 6'!B:B, 0)), "มาจาก Sprint 6", "")</f>
        <v/>
      </c>
      <c r="U145" s="230" t="str">
        <f t="array" ref="U145">IF(ISNUMBER(MATCH(B145, 'Sprint 6'!B:B, 0)), INDEX('Sprint 6'!J:J, MATCH(B145, 'Sprint 6'!B:B, 0)), "")</f>
        <v/>
      </c>
      <c r="V145" s="230"/>
      <c r="W145" s="102" t="s">
        <v>9866</v>
      </c>
      <c r="X145" s="102"/>
      <c r="Y145" s="102"/>
    </row>
    <row r="146" hidden="1">
      <c r="A146" s="102" t="s">
        <v>276</v>
      </c>
      <c r="B146" s="102" t="s">
        <v>9870</v>
      </c>
      <c r="C146" s="229" t="s">
        <v>9871</v>
      </c>
      <c r="D146" s="102" t="s">
        <v>4345</v>
      </c>
      <c r="E146" s="102" t="s">
        <v>3288</v>
      </c>
      <c r="F146" s="102" t="s">
        <v>3289</v>
      </c>
      <c r="G146" s="102" t="s">
        <v>391</v>
      </c>
      <c r="H146" s="102" t="s">
        <v>392</v>
      </c>
      <c r="I146" s="102" t="s">
        <v>284</v>
      </c>
      <c r="J146" s="102" t="s">
        <v>26</v>
      </c>
      <c r="L146" s="229" t="s">
        <v>9872</v>
      </c>
      <c r="M146" s="229" t="s">
        <v>9873</v>
      </c>
      <c r="O146" s="230"/>
      <c r="S146" s="230"/>
      <c r="T146" s="230" t="str">
        <f>IF(ISNUMBER(MATCH(B146, 'Sprint 6'!B:B, 0)), "มาจาก Sprint 6", "")</f>
        <v>มาจาก Sprint 6</v>
      </c>
      <c r="U146" s="230" t="str">
        <f t="array" ref="U146">IF(ISNUMBER(MATCH(B146, 'Sprint 6'!B:B, 0)), INDEX('Sprint 6'!J:J, MATCH(B146, 'Sprint 6'!B:B, 0)), "")</f>
        <v>Done</v>
      </c>
      <c r="V146" s="230"/>
      <c r="W146" s="102" t="s">
        <v>9865</v>
      </c>
      <c r="X146" s="102" t="s">
        <v>9866</v>
      </c>
    </row>
    <row r="147" hidden="1">
      <c r="A147" s="102" t="s">
        <v>276</v>
      </c>
      <c r="B147" s="102" t="s">
        <v>9874</v>
      </c>
      <c r="C147" s="229" t="s">
        <v>9875</v>
      </c>
      <c r="D147" s="102" t="s">
        <v>4345</v>
      </c>
      <c r="E147" s="102" t="s">
        <v>3288</v>
      </c>
      <c r="F147" s="102" t="s">
        <v>3289</v>
      </c>
      <c r="G147" s="102" t="s">
        <v>391</v>
      </c>
      <c r="H147" s="102" t="s">
        <v>392</v>
      </c>
      <c r="I147" s="102" t="s">
        <v>284</v>
      </c>
      <c r="J147" s="102" t="s">
        <v>26</v>
      </c>
      <c r="L147" s="229" t="s">
        <v>9872</v>
      </c>
      <c r="M147" s="229" t="s">
        <v>9873</v>
      </c>
      <c r="O147" s="230"/>
      <c r="S147" s="230"/>
      <c r="T147" s="230" t="str">
        <f>IF(ISNUMBER(MATCH(B147, 'Sprint 6'!B:B, 0)), "มาจาก Sprint 6", "")</f>
        <v>มาจาก Sprint 6</v>
      </c>
      <c r="U147" s="230" t="str">
        <f t="array" ref="U147">IF(ISNUMBER(MATCH(B147, 'Sprint 6'!B:B, 0)), INDEX('Sprint 6'!J:J, MATCH(B147, 'Sprint 6'!B:B, 0)), "")</f>
        <v>Done</v>
      </c>
      <c r="V147" s="230"/>
      <c r="W147" s="102" t="s">
        <v>9865</v>
      </c>
      <c r="X147" s="102" t="s">
        <v>9866</v>
      </c>
    </row>
    <row r="148" hidden="1">
      <c r="A148" s="102" t="s">
        <v>276</v>
      </c>
      <c r="B148" s="102" t="s">
        <v>9876</v>
      </c>
      <c r="C148" s="229" t="s">
        <v>9877</v>
      </c>
      <c r="D148" s="102" t="s">
        <v>4345</v>
      </c>
      <c r="E148" s="102" t="s">
        <v>3288</v>
      </c>
      <c r="F148" s="102" t="s">
        <v>3289</v>
      </c>
      <c r="G148" s="102" t="s">
        <v>391</v>
      </c>
      <c r="H148" s="102" t="s">
        <v>392</v>
      </c>
      <c r="I148" s="102" t="s">
        <v>284</v>
      </c>
      <c r="J148" s="102" t="s">
        <v>26</v>
      </c>
      <c r="L148" s="229" t="s">
        <v>9461</v>
      </c>
      <c r="M148" s="229" t="s">
        <v>9878</v>
      </c>
      <c r="O148" s="230"/>
      <c r="S148" s="230"/>
      <c r="T148" s="230" t="str">
        <f>IF(ISNUMBER(MATCH(B148, 'Sprint 6'!B:B, 0)), "มาจาก Sprint 6", "")</f>
        <v>มาจาก Sprint 6</v>
      </c>
      <c r="U148" s="230" t="str">
        <f t="array" ref="U148">IF(ISNUMBER(MATCH(B148, 'Sprint 6'!B:B, 0)), INDEX('Sprint 6'!J:J, MATCH(B148, 'Sprint 6'!B:B, 0)), "")</f>
        <v>To Do</v>
      </c>
      <c r="V148" s="230"/>
      <c r="W148" s="102" t="s">
        <v>7695</v>
      </c>
      <c r="X148" s="102" t="s">
        <v>7696</v>
      </c>
      <c r="Y148" s="102" t="s">
        <v>5944</v>
      </c>
    </row>
    <row r="149" hidden="1">
      <c r="A149" s="102" t="s">
        <v>276</v>
      </c>
      <c r="B149" s="102" t="s">
        <v>9459</v>
      </c>
      <c r="C149" s="229" t="s">
        <v>9460</v>
      </c>
      <c r="D149" s="102" t="s">
        <v>4345</v>
      </c>
      <c r="E149" s="102" t="s">
        <v>3288</v>
      </c>
      <c r="F149" s="102" t="s">
        <v>3289</v>
      </c>
      <c r="G149" s="102" t="s">
        <v>391</v>
      </c>
      <c r="H149" s="102" t="s">
        <v>392</v>
      </c>
      <c r="I149" s="102" t="s">
        <v>284</v>
      </c>
      <c r="J149" s="102" t="s">
        <v>26</v>
      </c>
      <c r="L149" s="229" t="s">
        <v>9461</v>
      </c>
      <c r="M149" s="229" t="s">
        <v>9878</v>
      </c>
      <c r="O149" s="230"/>
      <c r="S149" s="230"/>
      <c r="T149" s="230" t="str">
        <f>IF(ISNUMBER(MATCH(B149, 'Sprint 6'!B:B, 0)), "มาจาก Sprint 6", "")</f>
        <v/>
      </c>
      <c r="U149" s="230" t="str">
        <f t="array" ref="U149">IF(ISNUMBER(MATCH(B149, 'Sprint 6'!B:B, 0)), INDEX('Sprint 6'!J:J, MATCH(B149, 'Sprint 6'!B:B, 0)), "")</f>
        <v/>
      </c>
      <c r="V149" s="230"/>
      <c r="W149" s="102" t="s">
        <v>5944</v>
      </c>
      <c r="X149" s="102"/>
      <c r="Y149" s="102"/>
    </row>
    <row r="150" hidden="1">
      <c r="A150" s="102" t="s">
        <v>276</v>
      </c>
      <c r="B150" s="102" t="s">
        <v>9879</v>
      </c>
      <c r="C150" s="229" t="s">
        <v>9880</v>
      </c>
      <c r="D150" s="102" t="s">
        <v>347</v>
      </c>
      <c r="E150" s="102" t="s">
        <v>280</v>
      </c>
      <c r="F150" s="102" t="s">
        <v>281</v>
      </c>
      <c r="G150" s="102" t="s">
        <v>280</v>
      </c>
      <c r="H150" s="102" t="s">
        <v>281</v>
      </c>
      <c r="I150" s="102" t="s">
        <v>284</v>
      </c>
      <c r="J150" s="102" t="s">
        <v>26</v>
      </c>
      <c r="L150" s="229" t="s">
        <v>9461</v>
      </c>
      <c r="M150" s="229" t="s">
        <v>9881</v>
      </c>
      <c r="O150" s="230"/>
      <c r="S150" s="230"/>
      <c r="T150" s="230" t="str">
        <f>IF(ISNUMBER(MATCH(B150, 'Sprint 6'!B:B, 0)), "มาจาก Sprint 6", "")</f>
        <v>มาจาก Sprint 6</v>
      </c>
      <c r="U150" s="230" t="str">
        <f t="array" ref="U150">IF(ISNUMBER(MATCH(B150, 'Sprint 6'!B:B, 0)), INDEX('Sprint 6'!J:J, MATCH(B150, 'Sprint 6'!B:B, 0)), "")</f>
        <v>In Progress</v>
      </c>
      <c r="V150" s="230"/>
      <c r="W150" s="102" t="s">
        <v>9882</v>
      </c>
      <c r="X150" s="102" t="s">
        <v>9409</v>
      </c>
      <c r="Y150" s="102"/>
    </row>
    <row r="151" hidden="1">
      <c r="A151" s="102" t="s">
        <v>276</v>
      </c>
      <c r="B151" s="102" t="s">
        <v>9883</v>
      </c>
      <c r="C151" s="229" t="s">
        <v>9884</v>
      </c>
      <c r="D151" s="102" t="s">
        <v>2030</v>
      </c>
      <c r="E151" s="102" t="s">
        <v>280</v>
      </c>
      <c r="F151" s="102" t="s">
        <v>281</v>
      </c>
      <c r="G151" s="102" t="s">
        <v>280</v>
      </c>
      <c r="H151" s="102" t="s">
        <v>281</v>
      </c>
      <c r="I151" s="102" t="s">
        <v>284</v>
      </c>
      <c r="J151" s="102" t="s">
        <v>26</v>
      </c>
      <c r="L151" s="229" t="s">
        <v>9461</v>
      </c>
      <c r="M151" s="229" t="s">
        <v>9885</v>
      </c>
      <c r="O151" s="230"/>
      <c r="S151" s="230"/>
      <c r="T151" s="230" t="str">
        <f>IF(ISNUMBER(MATCH(B151, 'Sprint 6'!B:B, 0)), "มาจาก Sprint 6", "")</f>
        <v>มาจาก Sprint 6</v>
      </c>
      <c r="U151" s="230" t="str">
        <f t="array" ref="U151">IF(ISNUMBER(MATCH(B151, 'Sprint 6'!B:B, 0)), INDEX('Sprint 6'!J:J, MATCH(B151, 'Sprint 6'!B:B, 0)), "")</f>
        <v>Done</v>
      </c>
      <c r="V151" s="230"/>
      <c r="W151" s="102" t="s">
        <v>9882</v>
      </c>
      <c r="X151" s="102" t="s">
        <v>9409</v>
      </c>
      <c r="Y151" s="102"/>
    </row>
    <row r="152" hidden="1">
      <c r="A152" s="102" t="s">
        <v>276</v>
      </c>
      <c r="B152" s="102" t="s">
        <v>9886</v>
      </c>
      <c r="C152" s="229" t="s">
        <v>9887</v>
      </c>
      <c r="D152" s="102" t="s">
        <v>4345</v>
      </c>
      <c r="E152" s="102" t="s">
        <v>3288</v>
      </c>
      <c r="F152" s="102" t="s">
        <v>3289</v>
      </c>
      <c r="G152" s="102" t="s">
        <v>391</v>
      </c>
      <c r="H152" s="102" t="s">
        <v>392</v>
      </c>
      <c r="I152" s="102" t="s">
        <v>284</v>
      </c>
      <c r="J152" s="102" t="s">
        <v>26</v>
      </c>
      <c r="L152" s="229" t="s">
        <v>9461</v>
      </c>
      <c r="M152" s="229" t="s">
        <v>9888</v>
      </c>
      <c r="O152" s="230"/>
      <c r="S152" s="230"/>
      <c r="T152" s="230" t="str">
        <f>IF(ISNUMBER(MATCH(B152, 'Sprint 6'!B:B, 0)), "มาจาก Sprint 6", "")</f>
        <v>มาจาก Sprint 6</v>
      </c>
      <c r="U152" s="230" t="str">
        <f t="array" ref="U152">IF(ISNUMBER(MATCH(B152, 'Sprint 6'!B:B, 0)), INDEX('Sprint 6'!J:J, MATCH(B152, 'Sprint 6'!B:B, 0)), "")</f>
        <v>Done</v>
      </c>
      <c r="V152" s="230"/>
      <c r="W152" s="102" t="s">
        <v>7695</v>
      </c>
      <c r="X152" s="102" t="s">
        <v>7696</v>
      </c>
      <c r="Y152" s="102" t="s">
        <v>5944</v>
      </c>
    </row>
    <row r="153" hidden="1">
      <c r="A153" s="102" t="s">
        <v>276</v>
      </c>
      <c r="B153" s="102" t="s">
        <v>9889</v>
      </c>
      <c r="C153" s="229" t="s">
        <v>9890</v>
      </c>
      <c r="D153" s="102" t="s">
        <v>4345</v>
      </c>
      <c r="E153" s="102" t="s">
        <v>3288</v>
      </c>
      <c r="F153" s="102" t="s">
        <v>3289</v>
      </c>
      <c r="G153" s="102" t="s">
        <v>391</v>
      </c>
      <c r="H153" s="102" t="s">
        <v>392</v>
      </c>
      <c r="I153" s="102" t="s">
        <v>284</v>
      </c>
      <c r="J153" s="102" t="s">
        <v>26</v>
      </c>
      <c r="L153" s="229" t="s">
        <v>9465</v>
      </c>
      <c r="M153" s="229" t="s">
        <v>9888</v>
      </c>
      <c r="O153" s="230"/>
      <c r="S153" s="230"/>
      <c r="T153" s="230" t="str">
        <f>IF(ISNUMBER(MATCH(B153, 'Sprint 6'!B:B, 0)), "มาจาก Sprint 6", "")</f>
        <v>มาจาก Sprint 6</v>
      </c>
      <c r="U153" s="230" t="str">
        <f t="array" ref="U153">IF(ISNUMBER(MATCH(B153, 'Sprint 6'!B:B, 0)), INDEX('Sprint 6'!J:J, MATCH(B153, 'Sprint 6'!B:B, 0)), "")</f>
        <v>Done</v>
      </c>
      <c r="V153" s="230"/>
      <c r="W153" s="102" t="s">
        <v>7695</v>
      </c>
      <c r="X153" s="102" t="s">
        <v>7696</v>
      </c>
      <c r="Y153" s="102" t="s">
        <v>5944</v>
      </c>
    </row>
    <row r="154" hidden="1">
      <c r="A154" s="102" t="s">
        <v>276</v>
      </c>
      <c r="B154" s="102" t="s">
        <v>9463</v>
      </c>
      <c r="C154" s="229" t="s">
        <v>9464</v>
      </c>
      <c r="D154" s="102" t="s">
        <v>4345</v>
      </c>
      <c r="E154" s="102" t="s">
        <v>391</v>
      </c>
      <c r="F154" s="102" t="s">
        <v>392</v>
      </c>
      <c r="G154" s="102" t="s">
        <v>391</v>
      </c>
      <c r="H154" s="102" t="s">
        <v>392</v>
      </c>
      <c r="I154" s="102" t="s">
        <v>284</v>
      </c>
      <c r="J154" s="102" t="s">
        <v>26</v>
      </c>
      <c r="L154" s="229" t="s">
        <v>9465</v>
      </c>
      <c r="M154" s="229" t="s">
        <v>9466</v>
      </c>
      <c r="O154" s="230"/>
      <c r="S154" s="230"/>
      <c r="T154" s="230" t="str">
        <f>IF(ISNUMBER(MATCH(B154, 'Sprint 6'!B:B, 0)), "มาจาก Sprint 6", "")</f>
        <v>มาจาก Sprint 6</v>
      </c>
      <c r="U154" s="230" t="str">
        <f t="array" ref="U154">IF(ISNUMBER(MATCH(B154, 'Sprint 6'!B:B, 0)), INDEX('Sprint 6'!J:J, MATCH(B154, 'Sprint 6'!B:B, 0)), "")</f>
        <v>To Do</v>
      </c>
      <c r="V154" s="230"/>
      <c r="W154" s="102" t="s">
        <v>7695</v>
      </c>
      <c r="X154" s="102" t="s">
        <v>7696</v>
      </c>
      <c r="Y154" s="102" t="s">
        <v>5944</v>
      </c>
    </row>
    <row r="155" hidden="1">
      <c r="A155" s="102" t="s">
        <v>276</v>
      </c>
      <c r="B155" s="102" t="s">
        <v>9467</v>
      </c>
      <c r="C155" s="229" t="s">
        <v>9468</v>
      </c>
      <c r="D155" s="102" t="s">
        <v>4345</v>
      </c>
      <c r="E155" s="102" t="s">
        <v>391</v>
      </c>
      <c r="F155" s="102" t="s">
        <v>392</v>
      </c>
      <c r="G155" s="102" t="s">
        <v>391</v>
      </c>
      <c r="H155" s="102" t="s">
        <v>392</v>
      </c>
      <c r="I155" s="102" t="s">
        <v>284</v>
      </c>
      <c r="J155" s="102" t="s">
        <v>26</v>
      </c>
      <c r="L155" s="229" t="s">
        <v>9465</v>
      </c>
      <c r="M155" s="229" t="s">
        <v>9466</v>
      </c>
      <c r="O155" s="230"/>
      <c r="S155" s="230"/>
      <c r="T155" s="230" t="str">
        <f>IF(ISNUMBER(MATCH(B155, 'Sprint 6'!B:B, 0)), "มาจาก Sprint 6", "")</f>
        <v>มาจาก Sprint 6</v>
      </c>
      <c r="U155" s="230" t="str">
        <f t="array" ref="U155">IF(ISNUMBER(MATCH(B155, 'Sprint 6'!B:B, 0)), INDEX('Sprint 6'!J:J, MATCH(B155, 'Sprint 6'!B:B, 0)), "")</f>
        <v>To Do</v>
      </c>
      <c r="V155" s="230"/>
      <c r="W155" s="102" t="s">
        <v>7695</v>
      </c>
      <c r="X155" s="102" t="s">
        <v>7696</v>
      </c>
      <c r="Y155" s="102" t="s">
        <v>5944</v>
      </c>
    </row>
    <row r="156" hidden="1">
      <c r="A156" s="102" t="s">
        <v>276</v>
      </c>
      <c r="B156" s="102" t="s">
        <v>9469</v>
      </c>
      <c r="C156" s="229" t="s">
        <v>9470</v>
      </c>
      <c r="D156" s="102" t="s">
        <v>9471</v>
      </c>
      <c r="E156" s="102" t="s">
        <v>391</v>
      </c>
      <c r="F156" s="102" t="s">
        <v>392</v>
      </c>
      <c r="G156" s="102" t="s">
        <v>391</v>
      </c>
      <c r="H156" s="102" t="s">
        <v>392</v>
      </c>
      <c r="I156" s="102" t="s">
        <v>284</v>
      </c>
      <c r="J156" s="102" t="s">
        <v>26</v>
      </c>
      <c r="L156" s="229" t="s">
        <v>9472</v>
      </c>
      <c r="M156" s="229" t="s">
        <v>9473</v>
      </c>
      <c r="O156" s="230"/>
      <c r="S156" s="230"/>
      <c r="T156" s="230" t="str">
        <f>IF(ISNUMBER(MATCH(B156, 'Sprint 6'!B:B, 0)), "มาจาก Sprint 6", "")</f>
        <v>มาจาก Sprint 6</v>
      </c>
      <c r="U156" s="230" t="str">
        <f t="array" ref="U156">IF(ISNUMBER(MATCH(B156, 'Sprint 6'!B:B, 0)), INDEX('Sprint 6'!J:J, MATCH(B156, 'Sprint 6'!B:B, 0)), "")</f>
        <v>Done</v>
      </c>
      <c r="V156" s="230"/>
      <c r="W156" s="102" t="s">
        <v>7695</v>
      </c>
      <c r="X156" s="102" t="s">
        <v>7696</v>
      </c>
      <c r="Y156" s="102" t="s">
        <v>5944</v>
      </c>
    </row>
    <row r="157" hidden="1">
      <c r="A157" s="102" t="s">
        <v>276</v>
      </c>
      <c r="B157" s="102" t="s">
        <v>9474</v>
      </c>
      <c r="C157" s="229" t="s">
        <v>9475</v>
      </c>
      <c r="D157" s="102" t="s">
        <v>4345</v>
      </c>
      <c r="E157" s="102" t="s">
        <v>391</v>
      </c>
      <c r="F157" s="102" t="s">
        <v>392</v>
      </c>
      <c r="G157" s="102" t="s">
        <v>391</v>
      </c>
      <c r="H157" s="102" t="s">
        <v>392</v>
      </c>
      <c r="I157" s="102" t="s">
        <v>284</v>
      </c>
      <c r="J157" s="102" t="s">
        <v>26</v>
      </c>
      <c r="L157" s="229" t="s">
        <v>9472</v>
      </c>
      <c r="M157" s="229" t="s">
        <v>9466</v>
      </c>
      <c r="O157" s="230"/>
      <c r="S157" s="230"/>
      <c r="T157" s="230" t="str">
        <f>IF(ISNUMBER(MATCH(B157, 'Sprint 6'!B:B, 0)), "มาจาก Sprint 6", "")</f>
        <v>มาจาก Sprint 6</v>
      </c>
      <c r="U157" s="230" t="str">
        <f t="array" ref="U157">IF(ISNUMBER(MATCH(B157, 'Sprint 6'!B:B, 0)), INDEX('Sprint 6'!J:J, MATCH(B157, 'Sprint 6'!B:B, 0)), "")</f>
        <v>To Do</v>
      </c>
      <c r="V157" s="230"/>
      <c r="W157" s="102" t="s">
        <v>7695</v>
      </c>
      <c r="X157" s="102" t="s">
        <v>7696</v>
      </c>
      <c r="Y157" s="102" t="s">
        <v>5944</v>
      </c>
    </row>
    <row r="158" hidden="1">
      <c r="A158" s="102" t="s">
        <v>276</v>
      </c>
      <c r="B158" s="102" t="s">
        <v>9476</v>
      </c>
      <c r="C158" s="229" t="s">
        <v>9477</v>
      </c>
      <c r="D158" s="102" t="s">
        <v>4345</v>
      </c>
      <c r="E158" s="102" t="s">
        <v>391</v>
      </c>
      <c r="F158" s="102" t="s">
        <v>392</v>
      </c>
      <c r="G158" s="102" t="s">
        <v>391</v>
      </c>
      <c r="H158" s="102" t="s">
        <v>392</v>
      </c>
      <c r="I158" s="102" t="s">
        <v>284</v>
      </c>
      <c r="J158" s="102" t="s">
        <v>26</v>
      </c>
      <c r="L158" s="229" t="s">
        <v>9472</v>
      </c>
      <c r="M158" s="229" t="s">
        <v>9466</v>
      </c>
      <c r="O158" s="230"/>
      <c r="S158" s="230"/>
      <c r="T158" s="230" t="str">
        <f>IF(ISNUMBER(MATCH(B158, 'Sprint 6'!B:B, 0)), "มาจาก Sprint 6", "")</f>
        <v>มาจาก Sprint 6</v>
      </c>
      <c r="U158" s="230" t="str">
        <f t="array" ref="U158">IF(ISNUMBER(MATCH(B158, 'Sprint 6'!B:B, 0)), INDEX('Sprint 6'!J:J, MATCH(B158, 'Sprint 6'!B:B, 0)), "")</f>
        <v>To Do</v>
      </c>
      <c r="V158" s="230"/>
      <c r="W158" s="102" t="s">
        <v>7695</v>
      </c>
      <c r="X158" s="102" t="s">
        <v>7696</v>
      </c>
      <c r="Y158" s="102" t="s">
        <v>5944</v>
      </c>
    </row>
    <row r="159" hidden="1">
      <c r="A159" s="102" t="s">
        <v>276</v>
      </c>
      <c r="B159" s="102" t="s">
        <v>9478</v>
      </c>
      <c r="C159" s="229" t="s">
        <v>9479</v>
      </c>
      <c r="D159" s="102" t="s">
        <v>9480</v>
      </c>
      <c r="E159" s="102" t="s">
        <v>391</v>
      </c>
      <c r="F159" s="102" t="s">
        <v>392</v>
      </c>
      <c r="G159" s="102" t="s">
        <v>391</v>
      </c>
      <c r="H159" s="102" t="s">
        <v>392</v>
      </c>
      <c r="I159" s="102" t="s">
        <v>284</v>
      </c>
      <c r="J159" s="102" t="s">
        <v>26</v>
      </c>
      <c r="L159" s="229" t="s">
        <v>9481</v>
      </c>
      <c r="M159" s="229" t="s">
        <v>9482</v>
      </c>
      <c r="O159" s="230"/>
      <c r="S159" s="230"/>
      <c r="T159" s="230" t="str">
        <f>IF(ISNUMBER(MATCH(B159, 'Sprint 6'!B:B, 0)), "มาจาก Sprint 6", "")</f>
        <v>มาจาก Sprint 6</v>
      </c>
      <c r="U159" s="230" t="str">
        <f t="array" ref="U159">IF(ISNUMBER(MATCH(B159, 'Sprint 6'!B:B, 0)), INDEX('Sprint 6'!J:J, MATCH(B159, 'Sprint 6'!B:B, 0)), "")</f>
        <v>Done</v>
      </c>
      <c r="V159" s="230"/>
      <c r="W159" s="102" t="s">
        <v>7695</v>
      </c>
      <c r="X159" s="102" t="s">
        <v>7696</v>
      </c>
      <c r="Y159" s="102" t="s">
        <v>5944</v>
      </c>
    </row>
    <row r="160" hidden="1">
      <c r="A160" s="102" t="s">
        <v>276</v>
      </c>
      <c r="B160" s="102" t="s">
        <v>9483</v>
      </c>
      <c r="C160" s="229" t="s">
        <v>9484</v>
      </c>
      <c r="D160" s="102" t="s">
        <v>9485</v>
      </c>
      <c r="E160" s="102" t="s">
        <v>391</v>
      </c>
      <c r="F160" s="102" t="s">
        <v>392</v>
      </c>
      <c r="G160" s="102" t="s">
        <v>391</v>
      </c>
      <c r="H160" s="102" t="s">
        <v>392</v>
      </c>
      <c r="I160" s="102" t="s">
        <v>284</v>
      </c>
      <c r="J160" s="102" t="s">
        <v>26</v>
      </c>
      <c r="L160" s="229" t="s">
        <v>9481</v>
      </c>
      <c r="M160" s="229" t="s">
        <v>9486</v>
      </c>
      <c r="O160" s="230"/>
      <c r="S160" s="230"/>
      <c r="T160" s="230" t="str">
        <f>IF(ISNUMBER(MATCH(B160, 'Sprint 6'!B:B, 0)), "มาจาก Sprint 6", "")</f>
        <v>มาจาก Sprint 6</v>
      </c>
      <c r="U160" s="230" t="str">
        <f t="array" ref="U160">IF(ISNUMBER(MATCH(B160, 'Sprint 6'!B:B, 0)), INDEX('Sprint 6'!J:J, MATCH(B160, 'Sprint 6'!B:B, 0)), "")</f>
        <v>Done</v>
      </c>
      <c r="V160" s="230"/>
      <c r="W160" s="102" t="s">
        <v>7695</v>
      </c>
      <c r="X160" s="102" t="s">
        <v>7696</v>
      </c>
      <c r="Y160" s="102" t="s">
        <v>5944</v>
      </c>
    </row>
    <row r="161" hidden="1">
      <c r="A161" s="102" t="s">
        <v>276</v>
      </c>
      <c r="B161" s="102" t="s">
        <v>9487</v>
      </c>
      <c r="C161" s="229" t="s">
        <v>9488</v>
      </c>
      <c r="D161" s="102" t="s">
        <v>9489</v>
      </c>
      <c r="E161" s="102" t="s">
        <v>521</v>
      </c>
      <c r="F161" s="102" t="s">
        <v>522</v>
      </c>
      <c r="G161" s="102" t="s">
        <v>391</v>
      </c>
      <c r="H161" s="102" t="s">
        <v>392</v>
      </c>
      <c r="I161" s="102" t="s">
        <v>284</v>
      </c>
      <c r="J161" s="102" t="s">
        <v>26</v>
      </c>
      <c r="L161" s="229" t="s">
        <v>9481</v>
      </c>
      <c r="M161" s="229" t="s">
        <v>9490</v>
      </c>
      <c r="O161" s="230"/>
      <c r="S161" s="230"/>
      <c r="T161" s="230" t="str">
        <f>IF(ISNUMBER(MATCH(B161, 'Sprint 6'!B:B, 0)), "มาจาก Sprint 6", "")</f>
        <v>มาจาก Sprint 6</v>
      </c>
      <c r="U161" s="230" t="str">
        <f t="array" ref="U161">IF(ISNUMBER(MATCH(B161, 'Sprint 6'!B:B, 0)), INDEX('Sprint 6'!J:J, MATCH(B161, 'Sprint 6'!B:B, 0)), "")</f>
        <v>To Do</v>
      </c>
      <c r="V161" s="230"/>
      <c r="W161" s="102" t="s">
        <v>7695</v>
      </c>
      <c r="X161" s="102" t="s">
        <v>7696</v>
      </c>
      <c r="Y161" s="102" t="s">
        <v>5944</v>
      </c>
    </row>
    <row r="162" hidden="1">
      <c r="A162" s="102" t="s">
        <v>276</v>
      </c>
      <c r="B162" s="102" t="s">
        <v>9491</v>
      </c>
      <c r="C162" s="229" t="s">
        <v>9492</v>
      </c>
      <c r="D162" s="102" t="s">
        <v>9493</v>
      </c>
      <c r="E162" s="102" t="s">
        <v>521</v>
      </c>
      <c r="F162" s="102" t="s">
        <v>522</v>
      </c>
      <c r="G162" s="102" t="s">
        <v>391</v>
      </c>
      <c r="H162" s="102" t="s">
        <v>392</v>
      </c>
      <c r="I162" s="102" t="s">
        <v>284</v>
      </c>
      <c r="J162" s="102" t="s">
        <v>26</v>
      </c>
      <c r="L162" s="229" t="s">
        <v>9481</v>
      </c>
      <c r="M162" s="229" t="s">
        <v>9494</v>
      </c>
      <c r="O162" s="230"/>
      <c r="S162" s="230"/>
      <c r="T162" s="230" t="str">
        <f>IF(ISNUMBER(MATCH(B162, 'Sprint 6'!B:B, 0)), "มาจาก Sprint 6", "")</f>
        <v>มาจาก Sprint 6</v>
      </c>
      <c r="U162" s="230" t="str">
        <f t="array" ref="U162">IF(ISNUMBER(MATCH(B162, 'Sprint 6'!B:B, 0)), INDEX('Sprint 6'!J:J, MATCH(B162, 'Sprint 6'!B:B, 0)), "")</f>
        <v>To Do</v>
      </c>
      <c r="V162" s="230"/>
      <c r="W162" s="102" t="s">
        <v>7695</v>
      </c>
      <c r="X162" s="102" t="s">
        <v>7696</v>
      </c>
      <c r="Y162" s="102" t="s">
        <v>5944</v>
      </c>
    </row>
    <row r="163" hidden="1">
      <c r="A163" s="102" t="s">
        <v>276</v>
      </c>
      <c r="B163" s="102" t="s">
        <v>9495</v>
      </c>
      <c r="C163" s="229" t="s">
        <v>9496</v>
      </c>
      <c r="D163" s="102" t="s">
        <v>9497</v>
      </c>
      <c r="E163" s="102" t="s">
        <v>3288</v>
      </c>
      <c r="F163" s="102" t="s">
        <v>3289</v>
      </c>
      <c r="G163" s="102" t="s">
        <v>391</v>
      </c>
      <c r="H163" s="102" t="s">
        <v>392</v>
      </c>
      <c r="I163" s="102" t="s">
        <v>284</v>
      </c>
      <c r="J163" s="102" t="s">
        <v>26</v>
      </c>
      <c r="L163" s="229" t="s">
        <v>9498</v>
      </c>
      <c r="M163" s="229" t="s">
        <v>9499</v>
      </c>
      <c r="O163" s="102"/>
      <c r="S163" s="230"/>
      <c r="T163" s="230" t="str">
        <f>IF(ISNUMBER(MATCH(B163, 'Sprint 6'!B:B, 0)), "มาจาก Sprint 6", "")</f>
        <v>มาจาก Sprint 6</v>
      </c>
      <c r="U163" s="230" t="str">
        <f t="array" ref="U163">IF(ISNUMBER(MATCH(B163, 'Sprint 6'!B:B, 0)), INDEX('Sprint 6'!J:J, MATCH(B163, 'Sprint 6'!B:B, 0)), "")</f>
        <v>To Do</v>
      </c>
      <c r="V163" s="230"/>
      <c r="W163" s="102" t="s">
        <v>7695</v>
      </c>
      <c r="X163" s="102" t="s">
        <v>7696</v>
      </c>
      <c r="Y163" s="102" t="s">
        <v>5944</v>
      </c>
    </row>
    <row r="164" hidden="1">
      <c r="A164" s="102" t="s">
        <v>276</v>
      </c>
      <c r="B164" s="102" t="s">
        <v>9500</v>
      </c>
      <c r="C164" s="229" t="s">
        <v>9501</v>
      </c>
      <c r="D164" s="102" t="s">
        <v>9502</v>
      </c>
      <c r="E164" s="102" t="s">
        <v>3288</v>
      </c>
      <c r="F164" s="102" t="s">
        <v>3289</v>
      </c>
      <c r="G164" s="102" t="s">
        <v>391</v>
      </c>
      <c r="H164" s="102" t="s">
        <v>392</v>
      </c>
      <c r="I164" s="102" t="s">
        <v>284</v>
      </c>
      <c r="J164" s="102" t="s">
        <v>26</v>
      </c>
      <c r="L164" s="229" t="s">
        <v>9503</v>
      </c>
      <c r="M164" s="229" t="s">
        <v>9499</v>
      </c>
      <c r="N164" s="102"/>
      <c r="O164" s="102"/>
      <c r="S164" s="102"/>
      <c r="T164" s="230" t="str">
        <f>IF(ISNUMBER(MATCH(B164, 'Sprint 6'!B:B, 0)), "มาจาก Sprint 6", "")</f>
        <v>มาจาก Sprint 6</v>
      </c>
      <c r="U164" s="230" t="str">
        <f t="array" ref="U164">IF(ISNUMBER(MATCH(B164, 'Sprint 6'!B:B, 0)), INDEX('Sprint 6'!J:J, MATCH(B164, 'Sprint 6'!B:B, 0)), "")</f>
        <v>To Do</v>
      </c>
      <c r="V164" s="102"/>
      <c r="W164" s="102" t="s">
        <v>7695</v>
      </c>
      <c r="X164" s="102" t="s">
        <v>7696</v>
      </c>
      <c r="Y164" s="102" t="s">
        <v>5944</v>
      </c>
    </row>
    <row r="165" hidden="1">
      <c r="A165" s="102" t="s">
        <v>276</v>
      </c>
      <c r="B165" s="102" t="s">
        <v>9891</v>
      </c>
      <c r="C165" s="229" t="s">
        <v>9892</v>
      </c>
      <c r="D165" s="102" t="s">
        <v>9893</v>
      </c>
      <c r="E165" s="102" t="s">
        <v>521</v>
      </c>
      <c r="F165" s="102" t="s">
        <v>522</v>
      </c>
      <c r="G165" s="102" t="s">
        <v>521</v>
      </c>
      <c r="H165" s="102" t="s">
        <v>522</v>
      </c>
      <c r="I165" s="102" t="s">
        <v>284</v>
      </c>
      <c r="J165" s="102" t="s">
        <v>26</v>
      </c>
      <c r="L165" s="229" t="s">
        <v>9894</v>
      </c>
      <c r="M165" s="229" t="s">
        <v>9895</v>
      </c>
      <c r="O165" s="102"/>
      <c r="P165" s="102"/>
      <c r="S165" s="102"/>
      <c r="T165" s="230" t="str">
        <f>IF(ISNUMBER(MATCH(B165, 'Sprint 6'!B:B, 0)), "มาจาก Sprint 6", "")</f>
        <v>มาจาก Sprint 6</v>
      </c>
      <c r="U165" s="230" t="str">
        <f t="array" ref="U165">IF(ISNUMBER(MATCH(B165, 'Sprint 6'!B:B, 0)), INDEX('Sprint 6'!J:J, MATCH(B165, 'Sprint 6'!B:B, 0)), "")</f>
        <v>To Do</v>
      </c>
      <c r="V165" s="102"/>
      <c r="W165" s="102" t="s">
        <v>7695</v>
      </c>
      <c r="X165" s="102" t="s">
        <v>9184</v>
      </c>
      <c r="Y165" s="102" t="s">
        <v>8754</v>
      </c>
    </row>
    <row r="166" hidden="1">
      <c r="A166" s="102" t="s">
        <v>310</v>
      </c>
      <c r="B166" s="102" t="s">
        <v>9510</v>
      </c>
      <c r="C166" s="229" t="s">
        <v>9511</v>
      </c>
      <c r="D166" s="102" t="s">
        <v>9512</v>
      </c>
      <c r="E166" s="102" t="s">
        <v>304</v>
      </c>
      <c r="F166" s="102" t="s">
        <v>305</v>
      </c>
      <c r="G166" s="102" t="s">
        <v>353</v>
      </c>
      <c r="H166" s="102" t="s">
        <v>354</v>
      </c>
      <c r="I166" s="102" t="s">
        <v>284</v>
      </c>
      <c r="J166" s="102" t="s">
        <v>454</v>
      </c>
      <c r="L166" s="229" t="s">
        <v>9513</v>
      </c>
      <c r="M166" s="229" t="s">
        <v>9896</v>
      </c>
      <c r="O166" s="102">
        <v>2.0</v>
      </c>
      <c r="P166" s="102"/>
      <c r="S166" s="102">
        <v>7200.0</v>
      </c>
      <c r="T166" s="230" t="str">
        <f>IF(ISNUMBER(MATCH(B166, 'Sprint 6'!B:B, 0)), "มาจาก Sprint 6", "")</f>
        <v>มาจาก Sprint 6</v>
      </c>
      <c r="U166" s="230" t="str">
        <f t="array" ref="U166">IF(ISNUMBER(MATCH(B166, 'Sprint 6'!B:B, 0)), INDEX('Sprint 6'!J:J, MATCH(B166, 'Sprint 6'!B:B, 0)), "")</f>
        <v>In Progress</v>
      </c>
      <c r="V166" s="102" t="s">
        <v>9669</v>
      </c>
      <c r="W166" s="102" t="s">
        <v>7695</v>
      </c>
      <c r="X166" s="102" t="s">
        <v>7696</v>
      </c>
      <c r="Y166" s="102" t="s">
        <v>5944</v>
      </c>
    </row>
    <row r="167" hidden="1">
      <c r="A167" s="102" t="s">
        <v>310</v>
      </c>
      <c r="B167" s="102" t="s">
        <v>9897</v>
      </c>
      <c r="C167" s="229" t="s">
        <v>9898</v>
      </c>
      <c r="D167" s="102" t="s">
        <v>9899</v>
      </c>
      <c r="E167" s="102" t="s">
        <v>513</v>
      </c>
      <c r="F167" s="102" t="s">
        <v>514</v>
      </c>
      <c r="G167" s="102" t="s">
        <v>353</v>
      </c>
      <c r="H167" s="102" t="s">
        <v>354</v>
      </c>
      <c r="I167" s="102" t="s">
        <v>318</v>
      </c>
      <c r="J167" s="102" t="s">
        <v>26</v>
      </c>
      <c r="L167" s="229" t="s">
        <v>9900</v>
      </c>
      <c r="M167" s="229" t="s">
        <v>9610</v>
      </c>
      <c r="N167" s="229" t="s">
        <v>8672</v>
      </c>
      <c r="O167" s="102">
        <v>5.0</v>
      </c>
      <c r="P167" s="102"/>
      <c r="S167" s="102">
        <v>0.0</v>
      </c>
      <c r="T167" s="230" t="str">
        <f>IF(ISNUMBER(MATCH(B167, 'Sprint 6'!B:B, 0)), "มาจาก Sprint 6", "")</f>
        <v>มาจาก Sprint 6</v>
      </c>
      <c r="U167" s="230" t="str">
        <f t="array" ref="U167">IF(ISNUMBER(MATCH(B167, 'Sprint 6'!B:B, 0)), INDEX('Sprint 6'!J:J, MATCH(B167, 'Sprint 6'!B:B, 0)), "")</f>
        <v>Ready to Staging</v>
      </c>
      <c r="V167" s="102">
        <v>57600.0</v>
      </c>
      <c r="W167" s="102" t="s">
        <v>4967</v>
      </c>
      <c r="X167" s="102" t="s">
        <v>4968</v>
      </c>
    </row>
    <row r="168" hidden="1">
      <c r="A168" s="102" t="s">
        <v>310</v>
      </c>
      <c r="B168" s="102" t="s">
        <v>9901</v>
      </c>
      <c r="C168" s="229" t="s">
        <v>9902</v>
      </c>
      <c r="D168" s="102" t="s">
        <v>9903</v>
      </c>
      <c r="E168" s="102" t="s">
        <v>495</v>
      </c>
      <c r="F168" s="102" t="s">
        <v>496</v>
      </c>
      <c r="G168" s="102" t="s">
        <v>353</v>
      </c>
      <c r="H168" s="102" t="s">
        <v>354</v>
      </c>
      <c r="I168" s="102" t="s">
        <v>648</v>
      </c>
      <c r="J168" s="102" t="s">
        <v>26</v>
      </c>
      <c r="L168" s="229" t="s">
        <v>9904</v>
      </c>
      <c r="M168" s="229" t="s">
        <v>9905</v>
      </c>
      <c r="O168" s="102">
        <v>2.0</v>
      </c>
      <c r="P168" s="102" t="s">
        <v>593</v>
      </c>
      <c r="S168" s="102">
        <v>0.0</v>
      </c>
      <c r="T168" s="230" t="str">
        <f>IF(ISNUMBER(MATCH(B168, 'Sprint 6'!B:B, 0)), "มาจาก Sprint 6", "")</f>
        <v>มาจาก Sprint 6</v>
      </c>
      <c r="U168" s="230" t="str">
        <f t="array" ref="U168">IF(ISNUMBER(MATCH(B168, 'Sprint 6'!B:B, 0)), INDEX('Sprint 6'!J:J, MATCH(B168, 'Sprint 6'!B:B, 0)), "")</f>
        <v>Ready to Staging</v>
      </c>
      <c r="V168" s="102">
        <v>14400.0</v>
      </c>
      <c r="W168" s="102" t="s">
        <v>7695</v>
      </c>
      <c r="X168" s="102" t="s">
        <v>9184</v>
      </c>
      <c r="Y168" s="102" t="s">
        <v>8754</v>
      </c>
    </row>
    <row r="169" hidden="1">
      <c r="A169" s="102" t="s">
        <v>310</v>
      </c>
      <c r="B169" s="102" t="s">
        <v>9906</v>
      </c>
      <c r="C169" s="229" t="s">
        <v>9907</v>
      </c>
      <c r="D169" s="102" t="s">
        <v>9908</v>
      </c>
      <c r="E169" s="102" t="s">
        <v>6315</v>
      </c>
      <c r="F169" s="102" t="s">
        <v>6316</v>
      </c>
      <c r="G169" s="102" t="s">
        <v>304</v>
      </c>
      <c r="H169" s="102" t="s">
        <v>305</v>
      </c>
      <c r="I169" s="102" t="s">
        <v>648</v>
      </c>
      <c r="J169" s="102" t="s">
        <v>454</v>
      </c>
      <c r="L169" s="229" t="s">
        <v>9909</v>
      </c>
      <c r="M169" s="229" t="s">
        <v>9910</v>
      </c>
      <c r="O169" s="230"/>
      <c r="P169" s="102" t="s">
        <v>538</v>
      </c>
      <c r="S169" s="230"/>
      <c r="T169" s="230" t="str">
        <f>IF(ISNUMBER(MATCH(B169, 'Sprint 6'!B:B, 0)), "มาจาก Sprint 6", "")</f>
        <v>มาจาก Sprint 6</v>
      </c>
      <c r="U169" s="230" t="str">
        <f t="array" ref="U169">IF(ISNUMBER(MATCH(B169, 'Sprint 6'!B:B, 0)), INDEX('Sprint 6'!J:J, MATCH(B169, 'Sprint 6'!B:B, 0)), "")</f>
        <v>In Review</v>
      </c>
      <c r="V169" s="102" t="s">
        <v>9669</v>
      </c>
      <c r="W169" s="102" t="s">
        <v>7695</v>
      </c>
      <c r="X169" s="102" t="s">
        <v>7696</v>
      </c>
      <c r="Y169" s="102" t="s">
        <v>5944</v>
      </c>
    </row>
    <row r="170" hidden="1">
      <c r="A170" s="102" t="s">
        <v>310</v>
      </c>
      <c r="B170" s="102" t="s">
        <v>9515</v>
      </c>
      <c r="C170" s="229" t="s">
        <v>9516</v>
      </c>
      <c r="D170" s="102" t="s">
        <v>9517</v>
      </c>
      <c r="E170" s="102" t="s">
        <v>495</v>
      </c>
      <c r="F170" s="102" t="s">
        <v>496</v>
      </c>
      <c r="G170" s="102" t="s">
        <v>304</v>
      </c>
      <c r="H170" s="102" t="s">
        <v>305</v>
      </c>
      <c r="I170" s="102" t="s">
        <v>515</v>
      </c>
      <c r="J170" s="102" t="s">
        <v>454</v>
      </c>
      <c r="L170" s="229" t="s">
        <v>9518</v>
      </c>
      <c r="M170" s="229" t="s">
        <v>9910</v>
      </c>
      <c r="O170" s="102">
        <v>5.0</v>
      </c>
      <c r="P170" s="102" t="s">
        <v>538</v>
      </c>
      <c r="S170" s="102">
        <v>57600.0</v>
      </c>
      <c r="T170" s="230" t="str">
        <f>IF(ISNUMBER(MATCH(B170, 'Sprint 6'!B:B, 0)), "มาจาก Sprint 6", "")</f>
        <v/>
      </c>
      <c r="U170" s="230" t="str">
        <f t="array" ref="U170">IF(ISNUMBER(MATCH(B170, 'Sprint 6'!B:B, 0)), INDEX('Sprint 6'!J:J, MATCH(B170, 'Sprint 6'!B:B, 0)), "")</f>
        <v/>
      </c>
      <c r="V170" s="102"/>
      <c r="W170" s="102" t="s">
        <v>5944</v>
      </c>
      <c r="X170" s="102"/>
    </row>
    <row r="171" hidden="1">
      <c r="A171" s="102" t="s">
        <v>310</v>
      </c>
      <c r="B171" s="102" t="s">
        <v>9911</v>
      </c>
      <c r="C171" s="229" t="s">
        <v>9912</v>
      </c>
      <c r="D171" s="102" t="s">
        <v>9913</v>
      </c>
      <c r="E171" s="102" t="s">
        <v>6315</v>
      </c>
      <c r="F171" s="102" t="s">
        <v>6316</v>
      </c>
      <c r="G171" s="102" t="s">
        <v>304</v>
      </c>
      <c r="H171" s="102" t="s">
        <v>305</v>
      </c>
      <c r="I171" s="102" t="s">
        <v>648</v>
      </c>
      <c r="J171" s="102" t="s">
        <v>454</v>
      </c>
      <c r="L171" s="229" t="s">
        <v>9914</v>
      </c>
      <c r="M171" s="229" t="s">
        <v>9910</v>
      </c>
      <c r="N171" s="102"/>
      <c r="O171" s="102"/>
      <c r="P171" s="102" t="s">
        <v>538</v>
      </c>
      <c r="S171" s="102"/>
      <c r="T171" s="230" t="str">
        <f>IF(ISNUMBER(MATCH(B171, 'Sprint 6'!B:B, 0)), "มาจาก Sprint 6", "")</f>
        <v>มาจาก Sprint 6</v>
      </c>
      <c r="U171" s="230" t="str">
        <f t="array" ref="U171">IF(ISNUMBER(MATCH(B171, 'Sprint 6'!B:B, 0)), INDEX('Sprint 6'!J:J, MATCH(B171, 'Sprint 6'!B:B, 0)), "")</f>
        <v>In Review</v>
      </c>
      <c r="V171" s="102" t="s">
        <v>9669</v>
      </c>
      <c r="W171" s="102" t="s">
        <v>7695</v>
      </c>
      <c r="X171" s="102" t="s">
        <v>7696</v>
      </c>
      <c r="Y171" s="102" t="s">
        <v>5944</v>
      </c>
    </row>
    <row r="172" hidden="1">
      <c r="A172" s="102" t="s">
        <v>1459</v>
      </c>
      <c r="B172" s="102" t="s">
        <v>9915</v>
      </c>
      <c r="C172" s="229" t="s">
        <v>9916</v>
      </c>
      <c r="D172" s="102" t="s">
        <v>9917</v>
      </c>
      <c r="E172" s="102" t="s">
        <v>280</v>
      </c>
      <c r="F172" s="102" t="s">
        <v>281</v>
      </c>
      <c r="G172" s="102" t="s">
        <v>280</v>
      </c>
      <c r="H172" s="102" t="s">
        <v>281</v>
      </c>
      <c r="I172" s="102" t="s">
        <v>284</v>
      </c>
      <c r="J172" s="102" t="s">
        <v>26</v>
      </c>
      <c r="L172" s="229" t="s">
        <v>9918</v>
      </c>
      <c r="M172" s="229" t="s">
        <v>9919</v>
      </c>
      <c r="O172" s="102"/>
      <c r="S172" s="102"/>
      <c r="T172" s="230" t="str">
        <f>IF(ISNUMBER(MATCH(B172, 'Sprint 6'!B:B, 0)), "มาจาก Sprint 6", "")</f>
        <v>มาจาก Sprint 6</v>
      </c>
      <c r="U172" s="230" t="str">
        <f t="array" ref="U172">IF(ISNUMBER(MATCH(B172, 'Sprint 6'!B:B, 0)), INDEX('Sprint 6'!J:J, MATCH(B172, 'Sprint 6'!B:B, 0)), "")</f>
        <v>In Progress</v>
      </c>
      <c r="V172" s="102"/>
      <c r="W172" s="102" t="s">
        <v>9882</v>
      </c>
      <c r="X172" s="102" t="s">
        <v>9409</v>
      </c>
    </row>
    <row r="173" hidden="1">
      <c r="A173" s="102" t="s">
        <v>1465</v>
      </c>
      <c r="B173" s="102" t="s">
        <v>9920</v>
      </c>
      <c r="C173" s="229" t="s">
        <v>9921</v>
      </c>
      <c r="D173" s="102" t="s">
        <v>9922</v>
      </c>
      <c r="E173" s="102" t="s">
        <v>280</v>
      </c>
      <c r="F173" s="102" t="s">
        <v>281</v>
      </c>
      <c r="G173" s="102" t="s">
        <v>280</v>
      </c>
      <c r="H173" s="102" t="s">
        <v>281</v>
      </c>
      <c r="I173" s="102" t="s">
        <v>284</v>
      </c>
      <c r="J173" s="102" t="s">
        <v>26</v>
      </c>
      <c r="L173" s="229" t="s">
        <v>9923</v>
      </c>
      <c r="M173" s="229" t="s">
        <v>9924</v>
      </c>
      <c r="N173" s="102"/>
      <c r="O173" s="102"/>
      <c r="S173" s="102"/>
      <c r="T173" s="230" t="str">
        <f>IF(ISNUMBER(MATCH(B173, 'Sprint 6'!B:B, 0)), "มาจาก Sprint 6", "")</f>
        <v>มาจาก Sprint 6</v>
      </c>
      <c r="U173" s="230" t="str">
        <f t="array" ref="U173">IF(ISNUMBER(MATCH(B173, 'Sprint 6'!B:B, 0)), INDEX('Sprint 6'!J:J, MATCH(B173, 'Sprint 6'!B:B, 0)), "")</f>
        <v>Done</v>
      </c>
      <c r="V173" s="102"/>
      <c r="W173" s="102" t="s">
        <v>9882</v>
      </c>
      <c r="X173" s="102" t="s">
        <v>9409</v>
      </c>
    </row>
    <row r="174" hidden="1">
      <c r="A174" s="102" t="s">
        <v>310</v>
      </c>
      <c r="B174" s="102" t="s">
        <v>9925</v>
      </c>
      <c r="C174" s="229" t="s">
        <v>9926</v>
      </c>
      <c r="D174" s="102" t="s">
        <v>9927</v>
      </c>
      <c r="E174" s="102" t="s">
        <v>556</v>
      </c>
      <c r="F174" s="102" t="s">
        <v>557</v>
      </c>
      <c r="G174" s="102" t="s">
        <v>282</v>
      </c>
      <c r="H174" s="102" t="s">
        <v>283</v>
      </c>
      <c r="I174" s="102" t="s">
        <v>284</v>
      </c>
      <c r="J174" s="102" t="s">
        <v>26</v>
      </c>
      <c r="L174" s="229" t="s">
        <v>9928</v>
      </c>
      <c r="M174" s="229" t="s">
        <v>9929</v>
      </c>
      <c r="N174" s="229" t="s">
        <v>9544</v>
      </c>
      <c r="O174" s="102">
        <v>3.0</v>
      </c>
      <c r="S174" s="102">
        <v>0.0</v>
      </c>
      <c r="T174" s="230" t="str">
        <f>IF(ISNUMBER(MATCH(B174, 'Sprint 6'!B:B, 0)), "มาจาก Sprint 6", "")</f>
        <v>มาจาก Sprint 6</v>
      </c>
      <c r="U174" s="230" t="str">
        <f t="array" ref="U174">IF(ISNUMBER(MATCH(B174, 'Sprint 6'!B:B, 0)), INDEX('Sprint 6'!J:J, MATCH(B174, 'Sprint 6'!B:B, 0)), "")</f>
        <v>Ready to Staging</v>
      </c>
      <c r="V174" s="102">
        <v>28800.0</v>
      </c>
      <c r="W174" s="102" t="s">
        <v>9865</v>
      </c>
      <c r="X174" s="102" t="s">
        <v>9866</v>
      </c>
    </row>
    <row r="175" hidden="1">
      <c r="A175" s="102" t="s">
        <v>310</v>
      </c>
      <c r="B175" s="102" t="s">
        <v>9930</v>
      </c>
      <c r="C175" s="229" t="s">
        <v>9931</v>
      </c>
      <c r="D175" s="102" t="s">
        <v>9932</v>
      </c>
      <c r="E175" s="102" t="s">
        <v>513</v>
      </c>
      <c r="F175" s="102" t="s">
        <v>514</v>
      </c>
      <c r="G175" s="102" t="s">
        <v>282</v>
      </c>
      <c r="H175" s="102" t="s">
        <v>283</v>
      </c>
      <c r="I175" s="102" t="s">
        <v>318</v>
      </c>
      <c r="J175" s="102" t="s">
        <v>26</v>
      </c>
      <c r="L175" s="229" t="s">
        <v>9933</v>
      </c>
      <c r="M175" s="229" t="s">
        <v>9929</v>
      </c>
      <c r="O175" s="102">
        <v>2.0</v>
      </c>
      <c r="S175" s="102">
        <v>14400.0</v>
      </c>
      <c r="T175" s="230" t="str">
        <f>IF(ISNUMBER(MATCH(B175, 'Sprint 6'!B:B, 0)), "มาจาก Sprint 6", "")</f>
        <v/>
      </c>
      <c r="U175" s="230" t="str">
        <f t="array" ref="U175">IF(ISNUMBER(MATCH(B175, 'Sprint 6'!B:B, 0)), INDEX('Sprint 6'!J:J, MATCH(B175, 'Sprint 6'!B:B, 0)), "")</f>
        <v/>
      </c>
      <c r="V175" s="102"/>
      <c r="W175" s="102" t="s">
        <v>9866</v>
      </c>
      <c r="X175" s="102"/>
      <c r="Y175" s="102"/>
    </row>
    <row r="176" hidden="1">
      <c r="A176" s="102" t="s">
        <v>310</v>
      </c>
      <c r="B176" s="102" t="s">
        <v>9934</v>
      </c>
      <c r="C176" s="229" t="s">
        <v>9935</v>
      </c>
      <c r="D176" s="102" t="s">
        <v>9936</v>
      </c>
      <c r="E176" s="102" t="s">
        <v>556</v>
      </c>
      <c r="F176" s="102" t="s">
        <v>557</v>
      </c>
      <c r="G176" s="102" t="s">
        <v>282</v>
      </c>
      <c r="H176" s="102" t="s">
        <v>283</v>
      </c>
      <c r="I176" s="102" t="s">
        <v>318</v>
      </c>
      <c r="J176" s="102" t="s">
        <v>26</v>
      </c>
      <c r="L176" s="229" t="s">
        <v>9937</v>
      </c>
      <c r="M176" s="229" t="s">
        <v>9929</v>
      </c>
      <c r="N176" s="229" t="s">
        <v>9509</v>
      </c>
      <c r="O176" s="102">
        <v>2.0</v>
      </c>
      <c r="P176" s="102"/>
      <c r="S176" s="102">
        <v>0.0</v>
      </c>
      <c r="T176" s="230" t="str">
        <f>IF(ISNUMBER(MATCH(B176, 'Sprint 6'!B:B, 0)), "มาจาก Sprint 6", "")</f>
        <v>มาจาก Sprint 6</v>
      </c>
      <c r="U176" s="230" t="str">
        <f t="array" ref="U176">IF(ISNUMBER(MATCH(B176, 'Sprint 6'!B:B, 0)), INDEX('Sprint 6'!J:J, MATCH(B176, 'Sprint 6'!B:B, 0)), "")</f>
        <v>Ready to Staging</v>
      </c>
      <c r="V176" s="102">
        <v>14400.0</v>
      </c>
      <c r="W176" s="102" t="s">
        <v>9865</v>
      </c>
      <c r="X176" s="102" t="s">
        <v>9866</v>
      </c>
      <c r="Y176" s="102"/>
    </row>
    <row r="177" hidden="1">
      <c r="A177" s="102" t="s">
        <v>310</v>
      </c>
      <c r="B177" s="102" t="s">
        <v>9938</v>
      </c>
      <c r="C177" s="229" t="s">
        <v>9939</v>
      </c>
      <c r="D177" s="102" t="s">
        <v>9940</v>
      </c>
      <c r="E177" s="102" t="s">
        <v>564</v>
      </c>
      <c r="F177" s="102" t="s">
        <v>565</v>
      </c>
      <c r="G177" s="102" t="s">
        <v>282</v>
      </c>
      <c r="H177" s="102" t="s">
        <v>283</v>
      </c>
      <c r="I177" s="102" t="s">
        <v>318</v>
      </c>
      <c r="J177" s="102" t="s">
        <v>26</v>
      </c>
      <c r="L177" s="229" t="s">
        <v>9941</v>
      </c>
      <c r="M177" s="229" t="s">
        <v>9929</v>
      </c>
      <c r="N177" s="229" t="s">
        <v>9509</v>
      </c>
      <c r="O177" s="102">
        <v>2.0</v>
      </c>
      <c r="S177" s="102">
        <v>0.0</v>
      </c>
      <c r="T177" s="230" t="str">
        <f>IF(ISNUMBER(MATCH(B177, 'Sprint 6'!B:B, 0)), "มาจาก Sprint 6", "")</f>
        <v>มาจาก Sprint 6</v>
      </c>
      <c r="U177" s="230" t="str">
        <f t="array" ref="U177">IF(ISNUMBER(MATCH(B177, 'Sprint 6'!B:B, 0)), INDEX('Sprint 6'!J:J, MATCH(B177, 'Sprint 6'!B:B, 0)), "")</f>
        <v>Ready to Staging</v>
      </c>
      <c r="V177" s="102">
        <v>14400.0</v>
      </c>
      <c r="W177" s="102" t="s">
        <v>9865</v>
      </c>
      <c r="X177" s="102" t="s">
        <v>9866</v>
      </c>
      <c r="Y177" s="102"/>
    </row>
    <row r="178" hidden="1">
      <c r="A178" s="102" t="s">
        <v>310</v>
      </c>
      <c r="B178" s="102" t="s">
        <v>7772</v>
      </c>
      <c r="C178" s="229" t="s">
        <v>7773</v>
      </c>
      <c r="D178" s="102" t="s">
        <v>7774</v>
      </c>
      <c r="E178" s="102" t="s">
        <v>282</v>
      </c>
      <c r="F178" s="102" t="s">
        <v>283</v>
      </c>
      <c r="G178" s="102" t="s">
        <v>282</v>
      </c>
      <c r="H178" s="102" t="s">
        <v>283</v>
      </c>
      <c r="I178" s="102" t="s">
        <v>648</v>
      </c>
      <c r="J178" s="102" t="s">
        <v>63</v>
      </c>
      <c r="L178" s="229" t="s">
        <v>7775</v>
      </c>
      <c r="M178" s="229" t="s">
        <v>9942</v>
      </c>
      <c r="O178" s="102">
        <v>1.0</v>
      </c>
      <c r="P178" s="102"/>
      <c r="S178" s="102"/>
      <c r="T178" s="230" t="str">
        <f>IF(ISNUMBER(MATCH(B178, 'Sprint 6'!B:B, 0)), "มาจาก Sprint 6", "")</f>
        <v>มาจาก Sprint 6</v>
      </c>
      <c r="U178" s="230" t="str">
        <f t="array" ref="U178">IF(ISNUMBER(MATCH(B178, 'Sprint 6'!B:B, 0)), INDEX('Sprint 6'!J:J, MATCH(B178, 'Sprint 6'!B:B, 0)), "")</f>
        <v>To Do</v>
      </c>
      <c r="V178" s="102"/>
      <c r="W178" s="102" t="s">
        <v>7695</v>
      </c>
      <c r="X178" s="102" t="s">
        <v>7696</v>
      </c>
      <c r="Y178" s="102" t="s">
        <v>5944</v>
      </c>
    </row>
    <row r="179" hidden="1">
      <c r="A179" s="102" t="s">
        <v>310</v>
      </c>
      <c r="B179" s="102" t="s">
        <v>9521</v>
      </c>
      <c r="C179" s="229" t="s">
        <v>9522</v>
      </c>
      <c r="D179" s="102" t="s">
        <v>9523</v>
      </c>
      <c r="E179" s="102" t="s">
        <v>353</v>
      </c>
      <c r="F179" s="102" t="s">
        <v>354</v>
      </c>
      <c r="G179" s="102" t="s">
        <v>353</v>
      </c>
      <c r="H179" s="102" t="s">
        <v>354</v>
      </c>
      <c r="I179" s="102" t="s">
        <v>284</v>
      </c>
      <c r="J179" s="102" t="s">
        <v>34</v>
      </c>
      <c r="L179" s="229" t="s">
        <v>9524</v>
      </c>
      <c r="M179" s="229" t="s">
        <v>9328</v>
      </c>
      <c r="O179" s="102">
        <v>1.0</v>
      </c>
      <c r="P179" s="102" t="s">
        <v>593</v>
      </c>
      <c r="S179" s="230"/>
      <c r="T179" s="230" t="str">
        <f>IF(ISNUMBER(MATCH(B179, 'Sprint 6'!B:B, 0)), "มาจาก Sprint 6", "")</f>
        <v>มาจาก Sprint 6</v>
      </c>
      <c r="U179" s="230" t="str">
        <f t="array" ref="U179">IF(ISNUMBER(MATCH(B179, 'Sprint 6'!B:B, 0)), INDEX('Sprint 6'!J:J, MATCH(B179, 'Sprint 6'!B:B, 0)), "")</f>
        <v>To Do</v>
      </c>
      <c r="V179" s="230"/>
      <c r="W179" s="102" t="s">
        <v>7695</v>
      </c>
      <c r="X179" s="102" t="s">
        <v>7696</v>
      </c>
      <c r="Y179" s="102" t="s">
        <v>5944</v>
      </c>
    </row>
    <row r="180" hidden="1">
      <c r="A180" s="102" t="s">
        <v>310</v>
      </c>
      <c r="B180" s="102" t="s">
        <v>9525</v>
      </c>
      <c r="C180" s="229" t="s">
        <v>9526</v>
      </c>
      <c r="D180" s="102" t="s">
        <v>9527</v>
      </c>
      <c r="E180" s="102" t="s">
        <v>304</v>
      </c>
      <c r="F180" s="102" t="s">
        <v>305</v>
      </c>
      <c r="G180" s="102" t="s">
        <v>353</v>
      </c>
      <c r="H180" s="102" t="s">
        <v>354</v>
      </c>
      <c r="I180" s="102" t="s">
        <v>515</v>
      </c>
      <c r="J180" s="102" t="s">
        <v>454</v>
      </c>
      <c r="L180" s="229" t="s">
        <v>9528</v>
      </c>
      <c r="M180" s="229" t="s">
        <v>9943</v>
      </c>
      <c r="N180" s="102"/>
      <c r="O180" s="102">
        <v>2.0</v>
      </c>
      <c r="P180" s="102"/>
      <c r="S180" s="102">
        <v>3600.0</v>
      </c>
      <c r="T180" s="230" t="str">
        <f>IF(ISNUMBER(MATCH(B180, 'Sprint 6'!B:B, 0)), "มาจาก Sprint 6", "")</f>
        <v>มาจาก Sprint 6</v>
      </c>
      <c r="U180" s="230" t="str">
        <f t="array" ref="U180">IF(ISNUMBER(MATCH(B180, 'Sprint 6'!B:B, 0)), INDEX('Sprint 6'!J:J, MATCH(B180, 'Sprint 6'!B:B, 0)), "")</f>
        <v>In Progress</v>
      </c>
      <c r="V180" s="102" t="s">
        <v>3949</v>
      </c>
      <c r="W180" s="102" t="s">
        <v>7695</v>
      </c>
      <c r="X180" s="102" t="s">
        <v>7696</v>
      </c>
      <c r="Y180" s="102" t="s">
        <v>5944</v>
      </c>
    </row>
    <row r="181" hidden="1">
      <c r="A181" s="102" t="s">
        <v>310</v>
      </c>
      <c r="B181" s="102" t="s">
        <v>9530</v>
      </c>
      <c r="C181" s="229" t="s">
        <v>9531</v>
      </c>
      <c r="D181" s="102" t="s">
        <v>9532</v>
      </c>
      <c r="E181" s="102" t="s">
        <v>304</v>
      </c>
      <c r="F181" s="102" t="s">
        <v>305</v>
      </c>
      <c r="G181" s="102" t="s">
        <v>353</v>
      </c>
      <c r="H181" s="102" t="s">
        <v>354</v>
      </c>
      <c r="I181" s="102" t="s">
        <v>515</v>
      </c>
      <c r="J181" s="102" t="s">
        <v>454</v>
      </c>
      <c r="L181" s="229" t="s">
        <v>9533</v>
      </c>
      <c r="M181" s="229" t="s">
        <v>9943</v>
      </c>
      <c r="N181" s="102"/>
      <c r="O181" s="102">
        <v>2.0</v>
      </c>
      <c r="P181" s="102" t="s">
        <v>7525</v>
      </c>
      <c r="S181" s="102">
        <v>0.0</v>
      </c>
      <c r="T181" s="230" t="str">
        <f>IF(ISNUMBER(MATCH(B181, 'Sprint 6'!B:B, 0)), "มาจาก Sprint 6", "")</f>
        <v>มาจาก Sprint 6</v>
      </c>
      <c r="U181" s="230" t="str">
        <f t="array" ref="U181">IF(ISNUMBER(MATCH(B181, 'Sprint 6'!B:B, 0)), INDEX('Sprint 6'!J:J, MATCH(B181, 'Sprint 6'!B:B, 0)), "")</f>
        <v>Ready to Staging</v>
      </c>
      <c r="V181" s="102">
        <v>10800.0</v>
      </c>
      <c r="W181" s="102" t="s">
        <v>7695</v>
      </c>
      <c r="X181" s="102" t="s">
        <v>7696</v>
      </c>
      <c r="Y181" s="102" t="s">
        <v>5944</v>
      </c>
    </row>
    <row r="182">
      <c r="A182" s="102" t="s">
        <v>310</v>
      </c>
      <c r="B182" s="102" t="s">
        <v>9534</v>
      </c>
      <c r="C182" s="229" t="s">
        <v>9535</v>
      </c>
      <c r="D182" s="102" t="s">
        <v>9536</v>
      </c>
      <c r="E182" s="102" t="s">
        <v>9102</v>
      </c>
      <c r="F182" s="102" t="s">
        <v>6861</v>
      </c>
      <c r="G182" s="102" t="s">
        <v>353</v>
      </c>
      <c r="H182" s="102" t="s">
        <v>354</v>
      </c>
      <c r="I182" s="102" t="s">
        <v>318</v>
      </c>
      <c r="J182" s="102" t="s">
        <v>454</v>
      </c>
      <c r="L182" s="229" t="s">
        <v>9537</v>
      </c>
      <c r="M182" s="229" t="s">
        <v>9910</v>
      </c>
      <c r="O182" s="102">
        <v>5.0</v>
      </c>
      <c r="P182" s="102" t="s">
        <v>538</v>
      </c>
      <c r="S182" s="102">
        <v>57600.0</v>
      </c>
      <c r="T182" s="230" t="str">
        <f>IF(ISNUMBER(MATCH(B182, 'Sprint 6'!B:B, 0)), "มาจาก Sprint 6", "")</f>
        <v>มาจาก Sprint 6</v>
      </c>
      <c r="U182" s="230" t="str">
        <f t="array" ref="U182">IF(ISNUMBER(MATCH(B182, 'Sprint 6'!B:B, 0)), INDEX('Sprint 6'!J:J, MATCH(B182, 'Sprint 6'!B:B, 0)), "")</f>
        <v>Ready to Staging</v>
      </c>
      <c r="V182" s="102" t="s">
        <v>9669</v>
      </c>
      <c r="W182" s="102" t="s">
        <v>7695</v>
      </c>
      <c r="X182" s="102" t="s">
        <v>7696</v>
      </c>
      <c r="Y182" s="102" t="s">
        <v>5944</v>
      </c>
    </row>
    <row r="183" hidden="1">
      <c r="A183" s="102" t="s">
        <v>310</v>
      </c>
      <c r="B183" s="102" t="s">
        <v>9539</v>
      </c>
      <c r="C183" s="229" t="s">
        <v>9540</v>
      </c>
      <c r="D183" s="102" t="s">
        <v>9541</v>
      </c>
      <c r="E183" s="102" t="s">
        <v>556</v>
      </c>
      <c r="F183" s="102" t="s">
        <v>557</v>
      </c>
      <c r="G183" s="102" t="s">
        <v>353</v>
      </c>
      <c r="H183" s="102" t="s">
        <v>354</v>
      </c>
      <c r="I183" s="102" t="s">
        <v>318</v>
      </c>
      <c r="J183" s="102" t="s">
        <v>454</v>
      </c>
      <c r="L183" s="229" t="s">
        <v>9542</v>
      </c>
      <c r="M183" s="229" t="s">
        <v>9944</v>
      </c>
      <c r="N183" s="229" t="s">
        <v>9544</v>
      </c>
      <c r="O183" s="102">
        <v>3.0</v>
      </c>
      <c r="P183" s="102" t="s">
        <v>6872</v>
      </c>
      <c r="S183" s="102">
        <v>0.0</v>
      </c>
      <c r="T183" s="230" t="str">
        <f>IF(ISNUMBER(MATCH(B183, 'Sprint 6'!B:B, 0)), "มาจาก Sprint 6", "")</f>
        <v>มาจาก Sprint 6</v>
      </c>
      <c r="U183" s="230" t="str">
        <f t="array" ref="U183">IF(ISNUMBER(MATCH(B183, 'Sprint 6'!B:B, 0)), INDEX('Sprint 6'!J:J, MATCH(B183, 'Sprint 6'!B:B, 0)), "")</f>
        <v>Ready To Test</v>
      </c>
      <c r="V183" s="102">
        <v>28800.0</v>
      </c>
      <c r="W183" s="102" t="s">
        <v>7695</v>
      </c>
      <c r="X183" s="102" t="s">
        <v>7696</v>
      </c>
      <c r="Y183" s="102" t="s">
        <v>5944</v>
      </c>
    </row>
    <row r="184">
      <c r="A184" s="102" t="s">
        <v>310</v>
      </c>
      <c r="B184" s="102" t="s">
        <v>9545</v>
      </c>
      <c r="C184" s="229" t="s">
        <v>9546</v>
      </c>
      <c r="D184" s="102" t="s">
        <v>9547</v>
      </c>
      <c r="E184" s="102" t="s">
        <v>9102</v>
      </c>
      <c r="F184" s="102" t="s">
        <v>6861</v>
      </c>
      <c r="G184" s="102" t="s">
        <v>353</v>
      </c>
      <c r="H184" s="102" t="s">
        <v>354</v>
      </c>
      <c r="I184" s="102" t="s">
        <v>318</v>
      </c>
      <c r="J184" s="102" t="s">
        <v>454</v>
      </c>
      <c r="L184" s="229" t="s">
        <v>9548</v>
      </c>
      <c r="M184" s="229" t="s">
        <v>9910</v>
      </c>
      <c r="N184" s="229" t="s">
        <v>7735</v>
      </c>
      <c r="O184" s="102">
        <v>5.0</v>
      </c>
      <c r="S184" s="102">
        <v>57600.0</v>
      </c>
      <c r="T184" s="230" t="str">
        <f>IF(ISNUMBER(MATCH(B184, 'Sprint 6'!B:B, 0)), "มาจาก Sprint 6", "")</f>
        <v>มาจาก Sprint 6</v>
      </c>
      <c r="U184" s="230" t="str">
        <f t="array" ref="U184">IF(ISNUMBER(MATCH(B184, 'Sprint 6'!B:B, 0)), INDEX('Sprint 6'!J:J, MATCH(B184, 'Sprint 6'!B:B, 0)), "")</f>
        <v>In Review</v>
      </c>
      <c r="V184" s="102" t="s">
        <v>9669</v>
      </c>
      <c r="W184" s="102" t="s">
        <v>7695</v>
      </c>
      <c r="X184" s="102" t="s">
        <v>7696</v>
      </c>
      <c r="Y184" s="102" t="s">
        <v>5944</v>
      </c>
    </row>
    <row r="185" hidden="1">
      <c r="A185" s="102" t="s">
        <v>310</v>
      </c>
      <c r="B185" s="102" t="s">
        <v>9945</v>
      </c>
      <c r="C185" s="229" t="s">
        <v>9946</v>
      </c>
      <c r="D185" s="102" t="s">
        <v>9947</v>
      </c>
      <c r="E185" s="102" t="s">
        <v>353</v>
      </c>
      <c r="F185" s="102" t="s">
        <v>354</v>
      </c>
      <c r="G185" s="102" t="s">
        <v>353</v>
      </c>
      <c r="H185" s="102" t="s">
        <v>354</v>
      </c>
      <c r="I185" s="102" t="s">
        <v>284</v>
      </c>
      <c r="J185" s="102" t="s">
        <v>454</v>
      </c>
      <c r="L185" s="229" t="s">
        <v>9948</v>
      </c>
      <c r="M185" s="229" t="s">
        <v>9910</v>
      </c>
      <c r="O185" s="102">
        <v>2.0</v>
      </c>
      <c r="P185" s="102"/>
      <c r="Q185" s="102"/>
      <c r="S185" s="102">
        <v>0.0</v>
      </c>
      <c r="T185" s="230" t="str">
        <f>IF(ISNUMBER(MATCH(B185, 'Sprint 6'!B:B, 0)), "มาจาก Sprint 6", "")</f>
        <v>มาจาก Sprint 6</v>
      </c>
      <c r="U185" s="230" t="str">
        <f t="array" ref="U185">IF(ISNUMBER(MATCH(B185, 'Sprint 6'!B:B, 0)), INDEX('Sprint 6'!J:J, MATCH(B185, 'Sprint 6'!B:B, 0)), "")</f>
        <v>In Review</v>
      </c>
      <c r="V185" s="102">
        <v>57600.0</v>
      </c>
      <c r="W185" s="102" t="s">
        <v>7695</v>
      </c>
      <c r="X185" s="102" t="s">
        <v>7696</v>
      </c>
      <c r="Y185" s="102" t="s">
        <v>5944</v>
      </c>
    </row>
    <row r="186" hidden="1">
      <c r="A186" s="102" t="s">
        <v>310</v>
      </c>
      <c r="B186" s="102" t="s">
        <v>9550</v>
      </c>
      <c r="C186" s="229" t="s">
        <v>9551</v>
      </c>
      <c r="D186" s="102" t="s">
        <v>9552</v>
      </c>
      <c r="E186" s="102" t="s">
        <v>556</v>
      </c>
      <c r="F186" s="102" t="s">
        <v>557</v>
      </c>
      <c r="G186" s="102" t="s">
        <v>353</v>
      </c>
      <c r="H186" s="102" t="s">
        <v>354</v>
      </c>
      <c r="I186" s="102" t="s">
        <v>318</v>
      </c>
      <c r="J186" s="102" t="s">
        <v>454</v>
      </c>
      <c r="L186" s="229" t="s">
        <v>9553</v>
      </c>
      <c r="M186" s="229" t="s">
        <v>9910</v>
      </c>
      <c r="N186" s="229" t="s">
        <v>9554</v>
      </c>
      <c r="O186" s="102">
        <v>8.0</v>
      </c>
      <c r="S186" s="102">
        <v>0.0</v>
      </c>
      <c r="T186" s="230" t="str">
        <f>IF(ISNUMBER(MATCH(B186, 'Sprint 6'!B:B, 0)), "มาจาก Sprint 6", "")</f>
        <v>มาจาก Sprint 6</v>
      </c>
      <c r="U186" s="230" t="str">
        <f t="array" ref="U186">IF(ISNUMBER(MATCH(B186, 'Sprint 6'!B:B, 0)), INDEX('Sprint 6'!J:J, MATCH(B186, 'Sprint 6'!B:B, 0)), "")</f>
        <v>Ready To Test</v>
      </c>
      <c r="V186" s="102">
        <v>86400.0</v>
      </c>
      <c r="W186" s="102" t="s">
        <v>7695</v>
      </c>
      <c r="X186" s="102" t="s">
        <v>7696</v>
      </c>
      <c r="Y186" s="102" t="s">
        <v>5944</v>
      </c>
    </row>
    <row r="187" hidden="1">
      <c r="A187" s="102" t="s">
        <v>310</v>
      </c>
      <c r="B187" s="102" t="s">
        <v>9555</v>
      </c>
      <c r="C187" s="229" t="s">
        <v>9556</v>
      </c>
      <c r="D187" s="102" t="s">
        <v>9557</v>
      </c>
      <c r="E187" s="102" t="s">
        <v>564</v>
      </c>
      <c r="F187" s="102" t="s">
        <v>565</v>
      </c>
      <c r="G187" s="102" t="s">
        <v>282</v>
      </c>
      <c r="H187" s="102" t="s">
        <v>283</v>
      </c>
      <c r="I187" s="102" t="s">
        <v>318</v>
      </c>
      <c r="J187" s="102" t="s">
        <v>454</v>
      </c>
      <c r="L187" s="229" t="s">
        <v>9558</v>
      </c>
      <c r="M187" s="229" t="s">
        <v>9944</v>
      </c>
      <c r="N187" s="229" t="s">
        <v>9554</v>
      </c>
      <c r="O187" s="102">
        <v>8.0</v>
      </c>
      <c r="P187" s="102"/>
      <c r="S187" s="102">
        <v>0.0</v>
      </c>
      <c r="T187" s="230" t="str">
        <f>IF(ISNUMBER(MATCH(B187, 'Sprint 6'!B:B, 0)), "มาจาก Sprint 6", "")</f>
        <v>มาจาก Sprint 6</v>
      </c>
      <c r="U187" s="230" t="str">
        <f t="array" ref="U187">IF(ISNUMBER(MATCH(B187, 'Sprint 6'!B:B, 0)), INDEX('Sprint 6'!J:J, MATCH(B187, 'Sprint 6'!B:B, 0)), "")</f>
        <v>Ready To Test</v>
      </c>
      <c r="V187" s="102">
        <v>86400.0</v>
      </c>
      <c r="W187" s="102" t="s">
        <v>7695</v>
      </c>
      <c r="X187" s="102" t="s">
        <v>7696</v>
      </c>
      <c r="Y187" s="102" t="s">
        <v>5944</v>
      </c>
    </row>
    <row r="188" hidden="1">
      <c r="A188" s="102" t="s">
        <v>310</v>
      </c>
      <c r="B188" s="102" t="s">
        <v>9949</v>
      </c>
      <c r="C188" s="229" t="s">
        <v>9950</v>
      </c>
      <c r="D188" s="102" t="s">
        <v>9951</v>
      </c>
      <c r="E188" s="102" t="s">
        <v>314</v>
      </c>
      <c r="F188" s="102" t="s">
        <v>315</v>
      </c>
      <c r="G188" s="102" t="s">
        <v>314</v>
      </c>
      <c r="H188" s="102" t="s">
        <v>315</v>
      </c>
      <c r="I188" s="102" t="s">
        <v>284</v>
      </c>
      <c r="J188" s="102" t="s">
        <v>26</v>
      </c>
      <c r="L188" s="229" t="s">
        <v>9952</v>
      </c>
      <c r="M188" s="229" t="s">
        <v>9953</v>
      </c>
      <c r="N188" s="102"/>
      <c r="O188" s="102">
        <v>5.0</v>
      </c>
      <c r="P188" s="102" t="s">
        <v>593</v>
      </c>
      <c r="Q188" s="102" t="s">
        <v>8995</v>
      </c>
      <c r="S188" s="102">
        <v>0.0</v>
      </c>
      <c r="T188" s="230" t="str">
        <f>IF(ISNUMBER(MATCH(B188, 'Sprint 6'!B:B, 0)), "มาจาก Sprint 6", "")</f>
        <v>มาจาก Sprint 6</v>
      </c>
      <c r="U188" s="230" t="str">
        <f t="array" ref="U188">IF(ISNUMBER(MATCH(B188, 'Sprint 6'!B:B, 0)), INDEX('Sprint 6'!J:J, MATCH(B188, 'Sprint 6'!B:B, 0)), "")</f>
        <v>Ready To Test</v>
      </c>
      <c r="V188" s="102">
        <v>57600.0</v>
      </c>
      <c r="W188" s="102" t="s">
        <v>9882</v>
      </c>
      <c r="X188" s="102" t="s">
        <v>9409</v>
      </c>
      <c r="Y188" s="102"/>
    </row>
    <row r="189" hidden="1">
      <c r="A189" s="102" t="s">
        <v>310</v>
      </c>
      <c r="B189" s="102" t="s">
        <v>9560</v>
      </c>
      <c r="C189" s="229" t="s">
        <v>9561</v>
      </c>
      <c r="D189" s="102" t="s">
        <v>9562</v>
      </c>
      <c r="E189" s="102" t="s">
        <v>495</v>
      </c>
      <c r="F189" s="102" t="s">
        <v>496</v>
      </c>
      <c r="G189" s="102" t="s">
        <v>282</v>
      </c>
      <c r="H189" s="102" t="s">
        <v>283</v>
      </c>
      <c r="I189" s="102" t="s">
        <v>515</v>
      </c>
      <c r="J189" s="102" t="s">
        <v>454</v>
      </c>
      <c r="L189" s="229" t="s">
        <v>9563</v>
      </c>
      <c r="M189" s="229" t="s">
        <v>9944</v>
      </c>
      <c r="O189" s="102">
        <v>2.0</v>
      </c>
      <c r="S189" s="102">
        <v>0.0</v>
      </c>
      <c r="T189" s="230" t="str">
        <f>IF(ISNUMBER(MATCH(B189, 'Sprint 6'!B:B, 0)), "มาจาก Sprint 6", "")</f>
        <v>มาจาก Sprint 6</v>
      </c>
      <c r="U189" s="230" t="str">
        <f t="array" ref="U189">IF(ISNUMBER(MATCH(B189, 'Sprint 6'!B:B, 0)), INDEX('Sprint 6'!J:J, MATCH(B189, 'Sprint 6'!B:B, 0)), "")</f>
        <v>Ready To Test</v>
      </c>
      <c r="V189" s="102">
        <v>28800.0</v>
      </c>
      <c r="W189" s="102" t="s">
        <v>7695</v>
      </c>
      <c r="X189" s="102" t="s">
        <v>7696</v>
      </c>
      <c r="Y189" s="102" t="s">
        <v>5944</v>
      </c>
    </row>
    <row r="190" hidden="1">
      <c r="A190" s="102" t="s">
        <v>310</v>
      </c>
      <c r="B190" s="102" t="s">
        <v>9565</v>
      </c>
      <c r="C190" s="229" t="s">
        <v>9566</v>
      </c>
      <c r="D190" s="102" t="s">
        <v>9567</v>
      </c>
      <c r="E190" s="102" t="s">
        <v>495</v>
      </c>
      <c r="F190" s="102" t="s">
        <v>496</v>
      </c>
      <c r="G190" s="102" t="s">
        <v>282</v>
      </c>
      <c r="H190" s="102" t="s">
        <v>283</v>
      </c>
      <c r="I190" s="102" t="s">
        <v>515</v>
      </c>
      <c r="J190" s="102" t="s">
        <v>454</v>
      </c>
      <c r="L190" s="229" t="s">
        <v>9563</v>
      </c>
      <c r="M190" s="229" t="s">
        <v>9944</v>
      </c>
      <c r="O190" s="102">
        <v>3.0</v>
      </c>
      <c r="P190" s="102" t="s">
        <v>777</v>
      </c>
      <c r="S190" s="102">
        <v>0.0</v>
      </c>
      <c r="T190" s="230" t="str">
        <f>IF(ISNUMBER(MATCH(B190, 'Sprint 6'!B:B, 0)), "มาจาก Sprint 6", "")</f>
        <v>มาจาก Sprint 6</v>
      </c>
      <c r="U190" s="230" t="str">
        <f t="array" ref="U190">IF(ISNUMBER(MATCH(B190, 'Sprint 6'!B:B, 0)), INDEX('Sprint 6'!J:J, MATCH(B190, 'Sprint 6'!B:B, 0)), "")</f>
        <v>Ready To Test</v>
      </c>
      <c r="V190" s="102">
        <v>36000.0</v>
      </c>
      <c r="W190" s="102" t="s">
        <v>7695</v>
      </c>
      <c r="X190" s="102" t="s">
        <v>7696</v>
      </c>
      <c r="Y190" s="102" t="s">
        <v>5944</v>
      </c>
    </row>
    <row r="191" hidden="1">
      <c r="A191" s="102" t="s">
        <v>310</v>
      </c>
      <c r="B191" s="102" t="s">
        <v>9568</v>
      </c>
      <c r="C191" s="229" t="s">
        <v>9569</v>
      </c>
      <c r="D191" s="102" t="s">
        <v>9570</v>
      </c>
      <c r="E191" s="102" t="s">
        <v>564</v>
      </c>
      <c r="F191" s="102" t="s">
        <v>565</v>
      </c>
      <c r="G191" s="102" t="s">
        <v>282</v>
      </c>
      <c r="H191" s="102" t="s">
        <v>283</v>
      </c>
      <c r="I191" s="102" t="s">
        <v>318</v>
      </c>
      <c r="J191" s="102" t="s">
        <v>454</v>
      </c>
      <c r="L191" s="229" t="s">
        <v>9563</v>
      </c>
      <c r="M191" s="229" t="s">
        <v>9944</v>
      </c>
      <c r="N191" s="229" t="s">
        <v>9544</v>
      </c>
      <c r="O191" s="102">
        <v>5.0</v>
      </c>
      <c r="P191" s="102" t="s">
        <v>7525</v>
      </c>
      <c r="S191" s="102">
        <v>0.0</v>
      </c>
      <c r="T191" s="230" t="str">
        <f>IF(ISNUMBER(MATCH(B191, 'Sprint 6'!B:B, 0)), "มาจาก Sprint 6", "")</f>
        <v>มาจาก Sprint 6</v>
      </c>
      <c r="U191" s="230" t="str">
        <f t="array" ref="U191">IF(ISNUMBER(MATCH(B191, 'Sprint 6'!B:B, 0)), INDEX('Sprint 6'!J:J, MATCH(B191, 'Sprint 6'!B:B, 0)), "")</f>
        <v>Ready To Test</v>
      </c>
      <c r="V191" s="102">
        <v>57600.0</v>
      </c>
      <c r="W191" s="102" t="s">
        <v>7695</v>
      </c>
      <c r="X191" s="102" t="s">
        <v>7696</v>
      </c>
      <c r="Y191" s="102" t="s">
        <v>5944</v>
      </c>
    </row>
    <row r="192" hidden="1">
      <c r="A192" s="102" t="s">
        <v>310</v>
      </c>
      <c r="B192" s="102" t="s">
        <v>9954</v>
      </c>
      <c r="C192" s="229" t="s">
        <v>9955</v>
      </c>
      <c r="D192" s="102" t="s">
        <v>9956</v>
      </c>
      <c r="E192" s="102" t="s">
        <v>314</v>
      </c>
      <c r="F192" s="102" t="s">
        <v>315</v>
      </c>
      <c r="G192" s="102" t="s">
        <v>304</v>
      </c>
      <c r="H192" s="102" t="s">
        <v>305</v>
      </c>
      <c r="I192" s="102" t="s">
        <v>515</v>
      </c>
      <c r="J192" s="102" t="s">
        <v>26</v>
      </c>
      <c r="L192" s="229" t="s">
        <v>9957</v>
      </c>
      <c r="M192" s="229" t="s">
        <v>9953</v>
      </c>
      <c r="N192" s="102"/>
      <c r="O192" s="102">
        <v>3.0</v>
      </c>
      <c r="S192" s="102">
        <v>0.0</v>
      </c>
      <c r="T192" s="230" t="str">
        <f>IF(ISNUMBER(MATCH(B192, 'Sprint 6'!B:B, 0)), "มาจาก Sprint 6", "")</f>
        <v>มาจาก Sprint 6</v>
      </c>
      <c r="U192" s="230" t="str">
        <f t="array" ref="U192">IF(ISNUMBER(MATCH(B192, 'Sprint 6'!B:B, 0)), INDEX('Sprint 6'!J:J, MATCH(B192, 'Sprint 6'!B:B, 0)), "")</f>
        <v>Ready to Staging</v>
      </c>
      <c r="V192" s="102">
        <v>21600.0</v>
      </c>
      <c r="W192" s="102" t="s">
        <v>7695</v>
      </c>
      <c r="X192" s="102" t="s">
        <v>9184</v>
      </c>
      <c r="Y192" s="102" t="s">
        <v>8754</v>
      </c>
    </row>
    <row r="193" hidden="1">
      <c r="A193" s="102" t="s">
        <v>310</v>
      </c>
      <c r="B193" s="102" t="s">
        <v>9958</v>
      </c>
      <c r="C193" s="229" t="s">
        <v>9959</v>
      </c>
      <c r="D193" s="102" t="s">
        <v>9960</v>
      </c>
      <c r="E193" s="102" t="s">
        <v>564</v>
      </c>
      <c r="F193" s="102" t="s">
        <v>565</v>
      </c>
      <c r="G193" s="102" t="s">
        <v>353</v>
      </c>
      <c r="H193" s="102" t="s">
        <v>354</v>
      </c>
      <c r="I193" s="102" t="s">
        <v>284</v>
      </c>
      <c r="J193" s="102" t="s">
        <v>26</v>
      </c>
      <c r="L193" s="229" t="s">
        <v>9961</v>
      </c>
      <c r="M193" s="229" t="s">
        <v>9962</v>
      </c>
      <c r="O193" s="102">
        <v>1.0</v>
      </c>
      <c r="P193" s="102" t="s">
        <v>593</v>
      </c>
      <c r="S193" s="102">
        <v>0.0</v>
      </c>
      <c r="T193" s="230" t="str">
        <f>IF(ISNUMBER(MATCH(B193, 'Sprint 6'!B:B, 0)), "มาจาก Sprint 6", "")</f>
        <v>มาจาก Sprint 6</v>
      </c>
      <c r="U193" s="230" t="str">
        <f t="array" ref="U193">IF(ISNUMBER(MATCH(B193, 'Sprint 6'!B:B, 0)), INDEX('Sprint 6'!J:J, MATCH(B193, 'Sprint 6'!B:B, 0)), "")</f>
        <v>Ready to Staging</v>
      </c>
      <c r="V193" s="102">
        <v>3600.0</v>
      </c>
      <c r="W193" s="102" t="s">
        <v>4967</v>
      </c>
      <c r="X193" s="102" t="s">
        <v>4968</v>
      </c>
    </row>
    <row r="194" hidden="1">
      <c r="A194" s="102" t="s">
        <v>310</v>
      </c>
      <c r="B194" s="102" t="s">
        <v>9571</v>
      </c>
      <c r="C194" s="229" t="s">
        <v>9572</v>
      </c>
      <c r="D194" s="102" t="s">
        <v>9573</v>
      </c>
      <c r="E194" s="102" t="s">
        <v>282</v>
      </c>
      <c r="F194" s="102" t="s">
        <v>283</v>
      </c>
      <c r="G194" s="102" t="s">
        <v>304</v>
      </c>
      <c r="H194" s="102" t="s">
        <v>305</v>
      </c>
      <c r="I194" s="102" t="s">
        <v>515</v>
      </c>
      <c r="J194" s="102" t="s">
        <v>678</v>
      </c>
      <c r="L194" s="229" t="s">
        <v>9574</v>
      </c>
      <c r="M194" s="229" t="s">
        <v>9963</v>
      </c>
      <c r="N194" s="229" t="s">
        <v>9575</v>
      </c>
      <c r="O194" s="102">
        <v>3.0</v>
      </c>
      <c r="P194" s="102" t="s">
        <v>5907</v>
      </c>
      <c r="Q194" s="102"/>
      <c r="S194" s="102">
        <v>0.0</v>
      </c>
      <c r="T194" s="230" t="str">
        <f>IF(ISNUMBER(MATCH(B194, 'Sprint 6'!B:B, 0)), "มาจาก Sprint 6", "")</f>
        <v>มาจาก Sprint 6</v>
      </c>
      <c r="U194" s="230" t="str">
        <f t="array" ref="U194">IF(ISNUMBER(MATCH(B194, 'Sprint 6'!B:B, 0)), INDEX('Sprint 6'!J:J, MATCH(B194, 'Sprint 6'!B:B, 0)), "")</f>
        <v>Ready to Staging</v>
      </c>
      <c r="V194" s="102">
        <v>36000.0</v>
      </c>
      <c r="W194" s="102" t="s">
        <v>7695</v>
      </c>
      <c r="X194" s="102" t="s">
        <v>9184</v>
      </c>
      <c r="Y194" s="102" t="s">
        <v>8754</v>
      </c>
    </row>
    <row r="195" hidden="1">
      <c r="A195" s="102" t="s">
        <v>310</v>
      </c>
      <c r="B195" s="102" t="s">
        <v>4962</v>
      </c>
      <c r="C195" s="229" t="s">
        <v>4963</v>
      </c>
      <c r="D195" s="102" t="s">
        <v>4964</v>
      </c>
      <c r="E195" s="102" t="s">
        <v>556</v>
      </c>
      <c r="F195" s="102" t="s">
        <v>557</v>
      </c>
      <c r="G195" s="102" t="s">
        <v>353</v>
      </c>
      <c r="H195" s="102" t="s">
        <v>354</v>
      </c>
      <c r="I195" s="102" t="s">
        <v>284</v>
      </c>
      <c r="J195" s="102" t="s">
        <v>454</v>
      </c>
      <c r="L195" s="229" t="s">
        <v>4965</v>
      </c>
      <c r="M195" s="229" t="s">
        <v>9964</v>
      </c>
      <c r="N195" s="229" t="s">
        <v>4966</v>
      </c>
      <c r="O195" s="102">
        <v>1.0</v>
      </c>
      <c r="P195" s="102"/>
      <c r="S195" s="102">
        <v>0.0</v>
      </c>
      <c r="T195" s="230" t="str">
        <f>IF(ISNUMBER(MATCH(B195, 'Sprint 6'!B:B, 0)), "มาจาก Sprint 6", "")</f>
        <v>มาจาก Sprint 6</v>
      </c>
      <c r="U195" s="230" t="str">
        <f t="array" ref="U195">IF(ISNUMBER(MATCH(B195, 'Sprint 6'!B:B, 0)), INDEX('Sprint 6'!J:J, MATCH(B195, 'Sprint 6'!B:B, 0)), "")</f>
        <v>Ready to Staging</v>
      </c>
      <c r="V195" s="102">
        <v>7200.0</v>
      </c>
      <c r="W195" s="102" t="s">
        <v>4967</v>
      </c>
      <c r="X195" s="102" t="s">
        <v>4968</v>
      </c>
    </row>
    <row r="196" hidden="1">
      <c r="A196" s="102" t="s">
        <v>310</v>
      </c>
      <c r="B196" s="102" t="s">
        <v>5940</v>
      </c>
      <c r="C196" s="229" t="s">
        <v>5941</v>
      </c>
      <c r="D196" s="102" t="s">
        <v>5942</v>
      </c>
      <c r="E196" s="102" t="s">
        <v>513</v>
      </c>
      <c r="F196" s="102" t="s">
        <v>514</v>
      </c>
      <c r="G196" s="102" t="s">
        <v>282</v>
      </c>
      <c r="H196" s="102" t="s">
        <v>283</v>
      </c>
      <c r="I196" s="102" t="s">
        <v>284</v>
      </c>
      <c r="J196" s="102" t="s">
        <v>355</v>
      </c>
      <c r="L196" s="229" t="s">
        <v>5943</v>
      </c>
      <c r="M196" s="229" t="s">
        <v>9965</v>
      </c>
      <c r="O196" s="102">
        <v>3.0</v>
      </c>
      <c r="P196" s="102"/>
      <c r="S196" s="102">
        <v>28800.0</v>
      </c>
      <c r="T196" s="230" t="str">
        <f>IF(ISNUMBER(MATCH(B196, 'Sprint 6'!B:B, 0)), "มาจาก Sprint 6", "")</f>
        <v/>
      </c>
      <c r="U196" s="230" t="str">
        <f t="array" ref="U196">IF(ISNUMBER(MATCH(B196, 'Sprint 6'!B:B, 0)), INDEX('Sprint 6'!J:J, MATCH(B196, 'Sprint 6'!B:B, 0)), "")</f>
        <v/>
      </c>
      <c r="V196" s="102"/>
      <c r="W196" s="102" t="s">
        <v>5944</v>
      </c>
    </row>
    <row r="197" hidden="1">
      <c r="A197" s="102" t="s">
        <v>310</v>
      </c>
      <c r="B197" s="102" t="s">
        <v>9966</v>
      </c>
      <c r="C197" s="229" t="s">
        <v>9967</v>
      </c>
      <c r="D197" s="102" t="s">
        <v>9968</v>
      </c>
      <c r="E197" s="102" t="s">
        <v>282</v>
      </c>
      <c r="F197" s="102" t="s">
        <v>283</v>
      </c>
      <c r="G197" s="102" t="s">
        <v>282</v>
      </c>
      <c r="H197" s="102" t="s">
        <v>283</v>
      </c>
      <c r="I197" s="102" t="s">
        <v>284</v>
      </c>
      <c r="J197" s="102" t="s">
        <v>26</v>
      </c>
      <c r="L197" s="229" t="s">
        <v>8056</v>
      </c>
      <c r="M197" s="229" t="s">
        <v>9942</v>
      </c>
      <c r="O197" s="102">
        <v>1.0</v>
      </c>
      <c r="P197" s="102" t="s">
        <v>7556</v>
      </c>
      <c r="Q197" s="102" t="s">
        <v>593</v>
      </c>
      <c r="S197" s="102">
        <v>3600.0</v>
      </c>
      <c r="T197" s="230" t="str">
        <f>IF(ISNUMBER(MATCH(B197, 'Sprint 6'!B:B, 0)), "มาจาก Sprint 6", "")</f>
        <v/>
      </c>
      <c r="U197" s="230" t="str">
        <f t="array" ref="U197">IF(ISNUMBER(MATCH(B197, 'Sprint 6'!B:B, 0)), INDEX('Sprint 6'!J:J, MATCH(B197, 'Sprint 6'!B:B, 0)), "")</f>
        <v/>
      </c>
      <c r="V197" s="102"/>
      <c r="W197" s="102" t="s">
        <v>5944</v>
      </c>
    </row>
    <row r="198" hidden="1">
      <c r="A198" s="102" t="s">
        <v>310</v>
      </c>
      <c r="B198" s="102" t="s">
        <v>9969</v>
      </c>
      <c r="C198" s="229" t="s">
        <v>9970</v>
      </c>
      <c r="D198" s="102" t="s">
        <v>9971</v>
      </c>
      <c r="E198" s="102" t="s">
        <v>282</v>
      </c>
      <c r="F198" s="102" t="s">
        <v>283</v>
      </c>
      <c r="G198" s="102" t="s">
        <v>282</v>
      </c>
      <c r="H198" s="102" t="s">
        <v>283</v>
      </c>
      <c r="I198" s="102" t="s">
        <v>284</v>
      </c>
      <c r="J198" s="102" t="s">
        <v>26</v>
      </c>
      <c r="L198" s="229" t="s">
        <v>8056</v>
      </c>
      <c r="M198" s="229" t="s">
        <v>9972</v>
      </c>
      <c r="O198" s="102">
        <v>5.0</v>
      </c>
      <c r="P198" s="102" t="s">
        <v>593</v>
      </c>
      <c r="Q198" s="102"/>
      <c r="S198" s="102">
        <v>72000.0</v>
      </c>
      <c r="T198" s="230" t="str">
        <f>IF(ISNUMBER(MATCH(B198, 'Sprint 6'!B:B, 0)), "มาจาก Sprint 6", "")</f>
        <v/>
      </c>
      <c r="U198" s="230" t="str">
        <f t="array" ref="U198">IF(ISNUMBER(MATCH(B198, 'Sprint 6'!B:B, 0)), INDEX('Sprint 6'!J:J, MATCH(B198, 'Sprint 6'!B:B, 0)), "")</f>
        <v/>
      </c>
      <c r="V198" s="102"/>
      <c r="W198" s="102" t="s">
        <v>5944</v>
      </c>
    </row>
    <row r="199" hidden="1">
      <c r="A199" s="102" t="s">
        <v>310</v>
      </c>
      <c r="B199" s="102" t="s">
        <v>8058</v>
      </c>
      <c r="C199" s="229" t="s">
        <v>8059</v>
      </c>
      <c r="D199" s="102" t="s">
        <v>8060</v>
      </c>
      <c r="E199" s="102" t="s">
        <v>495</v>
      </c>
      <c r="F199" s="102" t="s">
        <v>496</v>
      </c>
      <c r="G199" s="102" t="s">
        <v>282</v>
      </c>
      <c r="H199" s="102" t="s">
        <v>283</v>
      </c>
      <c r="I199" s="102" t="s">
        <v>284</v>
      </c>
      <c r="J199" s="102" t="s">
        <v>678</v>
      </c>
      <c r="L199" s="229" t="s">
        <v>8061</v>
      </c>
      <c r="M199" s="229" t="s">
        <v>9973</v>
      </c>
      <c r="N199" s="102"/>
      <c r="O199" s="102">
        <v>2.0</v>
      </c>
      <c r="P199" s="102" t="s">
        <v>3197</v>
      </c>
      <c r="S199" s="102">
        <v>3600.0</v>
      </c>
      <c r="T199" s="230" t="str">
        <f>IF(ISNUMBER(MATCH(B199, 'Sprint 6'!B:B, 0)), "มาจาก Sprint 6", "")</f>
        <v/>
      </c>
      <c r="U199" s="230" t="str">
        <f t="array" ref="U199">IF(ISNUMBER(MATCH(B199, 'Sprint 6'!B:B, 0)), INDEX('Sprint 6'!J:J, MATCH(B199, 'Sprint 6'!B:B, 0)), "")</f>
        <v/>
      </c>
      <c r="V199" s="102"/>
      <c r="W199" s="102" t="s">
        <v>5944</v>
      </c>
      <c r="X199" s="102"/>
    </row>
    <row r="200" hidden="1">
      <c r="A200" s="102" t="s">
        <v>310</v>
      </c>
      <c r="B200" s="102" t="s">
        <v>8062</v>
      </c>
      <c r="C200" s="229" t="s">
        <v>8063</v>
      </c>
      <c r="D200" s="102" t="s">
        <v>8064</v>
      </c>
      <c r="E200" s="102" t="s">
        <v>495</v>
      </c>
      <c r="F200" s="102" t="s">
        <v>496</v>
      </c>
      <c r="G200" s="102" t="s">
        <v>282</v>
      </c>
      <c r="H200" s="102" t="s">
        <v>283</v>
      </c>
      <c r="I200" s="102" t="s">
        <v>284</v>
      </c>
      <c r="J200" s="102" t="s">
        <v>678</v>
      </c>
      <c r="L200" s="229" t="s">
        <v>8065</v>
      </c>
      <c r="M200" s="229" t="s">
        <v>9973</v>
      </c>
      <c r="O200" s="102">
        <v>2.0</v>
      </c>
      <c r="P200" s="102" t="s">
        <v>3197</v>
      </c>
      <c r="Q200" s="102"/>
      <c r="S200" s="102">
        <v>14400.0</v>
      </c>
      <c r="T200" s="230" t="str">
        <f>IF(ISNUMBER(MATCH(B200, 'Sprint 6'!B:B, 0)), "มาจาก Sprint 6", "")</f>
        <v/>
      </c>
      <c r="U200" s="230" t="str">
        <f t="array" ref="U200">IF(ISNUMBER(MATCH(B200, 'Sprint 6'!B:B, 0)), INDEX('Sprint 6'!J:J, MATCH(B200, 'Sprint 6'!B:B, 0)), "")</f>
        <v/>
      </c>
      <c r="V200" s="102"/>
      <c r="W200" s="102" t="s">
        <v>5944</v>
      </c>
      <c r="X200" s="102"/>
    </row>
    <row r="201" hidden="1">
      <c r="A201" s="102" t="s">
        <v>310</v>
      </c>
      <c r="B201" s="102" t="s">
        <v>9974</v>
      </c>
      <c r="C201" s="229" t="s">
        <v>9975</v>
      </c>
      <c r="D201" s="102" t="s">
        <v>9976</v>
      </c>
      <c r="E201" s="102" t="s">
        <v>282</v>
      </c>
      <c r="F201" s="102" t="s">
        <v>283</v>
      </c>
      <c r="G201" s="102" t="s">
        <v>282</v>
      </c>
      <c r="H201" s="102" t="s">
        <v>283</v>
      </c>
      <c r="I201" s="102" t="s">
        <v>284</v>
      </c>
      <c r="J201" s="102" t="s">
        <v>26</v>
      </c>
      <c r="L201" s="229" t="s">
        <v>9977</v>
      </c>
      <c r="M201" s="229" t="s">
        <v>9978</v>
      </c>
      <c r="N201" s="102"/>
      <c r="O201" s="102">
        <v>1.0</v>
      </c>
      <c r="P201" s="102" t="s">
        <v>593</v>
      </c>
      <c r="Q201" s="102" t="s">
        <v>5912</v>
      </c>
      <c r="S201" s="102">
        <v>10800.0</v>
      </c>
      <c r="T201" s="230" t="str">
        <f>IF(ISNUMBER(MATCH(B201, 'Sprint 6'!B:B, 0)), "มาจาก Sprint 6", "")</f>
        <v/>
      </c>
      <c r="U201" s="230" t="str">
        <f t="array" ref="U201">IF(ISNUMBER(MATCH(B201, 'Sprint 6'!B:B, 0)), INDEX('Sprint 6'!J:J, MATCH(B201, 'Sprint 6'!B:B, 0)), "")</f>
        <v/>
      </c>
      <c r="V201" s="102"/>
      <c r="W201" s="102" t="s">
        <v>5944</v>
      </c>
      <c r="X201" s="102"/>
    </row>
    <row r="202" hidden="1">
      <c r="A202" s="102" t="s">
        <v>332</v>
      </c>
      <c r="B202" s="102" t="s">
        <v>9979</v>
      </c>
      <c r="C202" s="229" t="s">
        <v>9980</v>
      </c>
      <c r="D202" s="102" t="s">
        <v>9981</v>
      </c>
      <c r="E202" s="102" t="s">
        <v>353</v>
      </c>
      <c r="F202" s="102" t="s">
        <v>354</v>
      </c>
      <c r="G202" s="102" t="s">
        <v>316</v>
      </c>
      <c r="H202" s="102" t="s">
        <v>317</v>
      </c>
      <c r="I202" s="102" t="s">
        <v>284</v>
      </c>
      <c r="J202" s="102" t="s">
        <v>336</v>
      </c>
      <c r="L202" s="229" t="s">
        <v>9982</v>
      </c>
      <c r="M202" s="229" t="s">
        <v>9983</v>
      </c>
      <c r="N202" s="229" t="s">
        <v>8666</v>
      </c>
      <c r="O202" s="102"/>
      <c r="P202" s="102"/>
      <c r="Q202" s="102"/>
      <c r="S202" s="102"/>
      <c r="T202" s="230" t="str">
        <f>IF(ISNUMBER(MATCH(B202, 'Sprint 6'!B:B, 0)), "มาจาก Sprint 6", "")</f>
        <v>มาจาก Sprint 6</v>
      </c>
      <c r="U202" s="230" t="str">
        <f t="array" ref="U202">IF(ISNUMBER(MATCH(B202, 'Sprint 6'!B:B, 0)), INDEX('Sprint 6'!J:J, MATCH(B202, 'Sprint 6'!B:B, 0)), "")</f>
        <v>RETESTING</v>
      </c>
      <c r="V202" s="102"/>
      <c r="W202" s="102" t="s">
        <v>4967</v>
      </c>
      <c r="X202" s="102" t="s">
        <v>4968</v>
      </c>
    </row>
    <row r="203" hidden="1">
      <c r="A203" s="102" t="s">
        <v>310</v>
      </c>
      <c r="B203" s="102" t="s">
        <v>9984</v>
      </c>
      <c r="C203" s="229" t="s">
        <v>9985</v>
      </c>
      <c r="D203" s="102" t="s">
        <v>9986</v>
      </c>
      <c r="E203" s="102" t="s">
        <v>513</v>
      </c>
      <c r="F203" s="102" t="s">
        <v>514</v>
      </c>
      <c r="G203" s="102" t="s">
        <v>314</v>
      </c>
      <c r="H203" s="102" t="s">
        <v>315</v>
      </c>
      <c r="I203" s="102" t="s">
        <v>284</v>
      </c>
      <c r="J203" s="102" t="s">
        <v>26</v>
      </c>
      <c r="L203" s="229" t="s">
        <v>9987</v>
      </c>
      <c r="M203" s="229" t="s">
        <v>9988</v>
      </c>
      <c r="O203" s="102">
        <v>3.0</v>
      </c>
      <c r="P203" s="102" t="s">
        <v>593</v>
      </c>
      <c r="Q203" s="102" t="s">
        <v>651</v>
      </c>
      <c r="S203" s="102">
        <v>14400.0</v>
      </c>
      <c r="T203" s="230" t="str">
        <f>IF(ISNUMBER(MATCH(B203, 'Sprint 6'!B:B, 0)), "มาจาก Sprint 6", "")</f>
        <v>มาจาก Sprint 6</v>
      </c>
      <c r="U203" s="230" t="str">
        <f t="array" ref="U203">IF(ISNUMBER(MATCH(B203, 'Sprint 6'!B:B, 0)), INDEX('Sprint 6'!J:J, MATCH(B203, 'Sprint 6'!B:B, 0)), "")</f>
        <v>In Progress</v>
      </c>
      <c r="V203" s="102" t="s">
        <v>3539</v>
      </c>
      <c r="W203" s="102" t="s">
        <v>9882</v>
      </c>
      <c r="X203" s="102" t="s">
        <v>9409</v>
      </c>
    </row>
    <row r="204" hidden="1">
      <c r="A204" s="102" t="s">
        <v>332</v>
      </c>
      <c r="B204" s="102" t="s">
        <v>9989</v>
      </c>
      <c r="C204" s="229" t="s">
        <v>9990</v>
      </c>
      <c r="D204" s="102" t="s">
        <v>9991</v>
      </c>
      <c r="E204" s="102" t="s">
        <v>353</v>
      </c>
      <c r="F204" s="102" t="s">
        <v>354</v>
      </c>
      <c r="G204" s="102" t="s">
        <v>316</v>
      </c>
      <c r="H204" s="102" t="s">
        <v>317</v>
      </c>
      <c r="I204" s="102" t="s">
        <v>515</v>
      </c>
      <c r="J204" s="102" t="s">
        <v>1075</v>
      </c>
      <c r="L204" s="229" t="s">
        <v>9992</v>
      </c>
      <c r="M204" s="229" t="s">
        <v>9964</v>
      </c>
      <c r="N204" s="229" t="s">
        <v>9993</v>
      </c>
      <c r="O204" s="102"/>
      <c r="P204" s="102"/>
      <c r="Q204" s="102"/>
      <c r="S204" s="102"/>
      <c r="T204" s="230" t="str">
        <f>IF(ISNUMBER(MATCH(B204, 'Sprint 6'!B:B, 0)), "มาจาก Sprint 6", "")</f>
        <v>มาจาก Sprint 6</v>
      </c>
      <c r="U204" s="230" t="str">
        <f t="array" ref="U204">IF(ISNUMBER(MATCH(B204, 'Sprint 6'!B:B, 0)), INDEX('Sprint 6'!J:J, MATCH(B204, 'Sprint 6'!B:B, 0)), "")</f>
        <v>Open</v>
      </c>
      <c r="V204" s="102"/>
      <c r="W204" s="102" t="s">
        <v>4967</v>
      </c>
      <c r="X204" s="102" t="s">
        <v>4968</v>
      </c>
    </row>
    <row r="205" hidden="1">
      <c r="A205" s="102" t="s">
        <v>310</v>
      </c>
      <c r="B205" s="102" t="s">
        <v>9994</v>
      </c>
      <c r="C205" s="229" t="s">
        <v>9995</v>
      </c>
      <c r="D205" s="102" t="s">
        <v>9996</v>
      </c>
      <c r="E205" s="102" t="s">
        <v>513</v>
      </c>
      <c r="F205" s="102" t="s">
        <v>514</v>
      </c>
      <c r="G205" s="102" t="s">
        <v>314</v>
      </c>
      <c r="H205" s="102" t="s">
        <v>315</v>
      </c>
      <c r="I205" s="102" t="s">
        <v>284</v>
      </c>
      <c r="J205" s="102" t="s">
        <v>26</v>
      </c>
      <c r="L205" s="229" t="s">
        <v>9997</v>
      </c>
      <c r="M205" s="229" t="s">
        <v>9988</v>
      </c>
      <c r="O205" s="102">
        <v>3.0</v>
      </c>
      <c r="P205" s="102" t="s">
        <v>593</v>
      </c>
      <c r="Q205" s="102" t="s">
        <v>651</v>
      </c>
      <c r="S205" s="102">
        <v>0.0</v>
      </c>
      <c r="T205" s="230" t="str">
        <f>IF(ISNUMBER(MATCH(B205, 'Sprint 6'!B:B, 0)), "มาจาก Sprint 6", "")</f>
        <v>มาจาก Sprint 6</v>
      </c>
      <c r="U205" s="230" t="str">
        <f t="array" ref="U205">IF(ISNUMBER(MATCH(B205, 'Sprint 6'!B:B, 0)), INDEX('Sprint 6'!J:J, MATCH(B205, 'Sprint 6'!B:B, 0)), "")</f>
        <v>Ready To Test</v>
      </c>
      <c r="V205" s="102">
        <v>28800.0</v>
      </c>
      <c r="W205" s="102" t="s">
        <v>9882</v>
      </c>
      <c r="X205" s="102" t="s">
        <v>9409</v>
      </c>
    </row>
    <row r="206" hidden="1">
      <c r="A206" s="102" t="s">
        <v>310</v>
      </c>
      <c r="B206" s="102" t="s">
        <v>9998</v>
      </c>
      <c r="C206" s="229" t="s">
        <v>9999</v>
      </c>
      <c r="D206" s="102" t="s">
        <v>10000</v>
      </c>
      <c r="E206" s="102" t="s">
        <v>513</v>
      </c>
      <c r="F206" s="102" t="s">
        <v>514</v>
      </c>
      <c r="G206" s="102" t="s">
        <v>314</v>
      </c>
      <c r="H206" s="102" t="s">
        <v>315</v>
      </c>
      <c r="I206" s="102" t="s">
        <v>284</v>
      </c>
      <c r="J206" s="102" t="s">
        <v>26</v>
      </c>
      <c r="L206" s="229" t="s">
        <v>10001</v>
      </c>
      <c r="M206" s="229" t="s">
        <v>9988</v>
      </c>
      <c r="O206" s="102">
        <v>3.0</v>
      </c>
      <c r="P206" s="102" t="s">
        <v>593</v>
      </c>
      <c r="Q206" s="102" t="s">
        <v>651</v>
      </c>
      <c r="S206" s="102">
        <v>0.0</v>
      </c>
      <c r="T206" s="230" t="str">
        <f>IF(ISNUMBER(MATCH(B206, 'Sprint 6'!B:B, 0)), "มาจาก Sprint 6", "")</f>
        <v>มาจาก Sprint 6</v>
      </c>
      <c r="U206" s="230" t="str">
        <f t="array" ref="U206">IF(ISNUMBER(MATCH(B206, 'Sprint 6'!B:B, 0)), INDEX('Sprint 6'!J:J, MATCH(B206, 'Sprint 6'!B:B, 0)), "")</f>
        <v>Ready To Test</v>
      </c>
      <c r="V206" s="102">
        <v>28800.0</v>
      </c>
      <c r="W206" s="102" t="s">
        <v>9882</v>
      </c>
      <c r="X206" s="102" t="s">
        <v>9409</v>
      </c>
    </row>
    <row r="207" hidden="1">
      <c r="A207" s="102" t="s">
        <v>310</v>
      </c>
      <c r="B207" s="102" t="s">
        <v>10002</v>
      </c>
      <c r="C207" s="229" t="s">
        <v>10003</v>
      </c>
      <c r="D207" s="102" t="s">
        <v>10004</v>
      </c>
      <c r="E207" s="102" t="s">
        <v>314</v>
      </c>
      <c r="F207" s="102" t="s">
        <v>315</v>
      </c>
      <c r="G207" s="102" t="s">
        <v>314</v>
      </c>
      <c r="H207" s="102" t="s">
        <v>315</v>
      </c>
      <c r="I207" s="102" t="s">
        <v>284</v>
      </c>
      <c r="J207" s="102" t="s">
        <v>26</v>
      </c>
      <c r="L207" s="229" t="s">
        <v>10005</v>
      </c>
      <c r="M207" s="229" t="s">
        <v>9953</v>
      </c>
      <c r="O207" s="102">
        <v>3.0</v>
      </c>
      <c r="P207" s="102" t="s">
        <v>593</v>
      </c>
      <c r="Q207" s="102" t="s">
        <v>8995</v>
      </c>
      <c r="S207" s="102">
        <v>0.0</v>
      </c>
      <c r="T207" s="230" t="str">
        <f>IF(ISNUMBER(MATCH(B207, 'Sprint 6'!B:B, 0)), "มาจาก Sprint 6", "")</f>
        <v>มาจาก Sprint 6</v>
      </c>
      <c r="U207" s="230" t="str">
        <f t="array" ref="U207">IF(ISNUMBER(MATCH(B207, 'Sprint 6'!B:B, 0)), INDEX('Sprint 6'!J:J, MATCH(B207, 'Sprint 6'!B:B, 0)), "")</f>
        <v>Ready To Test</v>
      </c>
      <c r="V207" s="102">
        <v>21600.0</v>
      </c>
      <c r="W207" s="102" t="s">
        <v>9882</v>
      </c>
      <c r="X207" s="102" t="s">
        <v>9409</v>
      </c>
      <c r="Y207" s="102"/>
      <c r="Z207" s="102"/>
    </row>
    <row r="208" hidden="1">
      <c r="A208" s="102" t="s">
        <v>310</v>
      </c>
      <c r="B208" s="102" t="s">
        <v>10006</v>
      </c>
      <c r="C208" s="229" t="s">
        <v>10007</v>
      </c>
      <c r="D208" s="102" t="s">
        <v>10008</v>
      </c>
      <c r="E208" s="102" t="s">
        <v>495</v>
      </c>
      <c r="F208" s="102" t="s">
        <v>496</v>
      </c>
      <c r="G208" s="102" t="s">
        <v>314</v>
      </c>
      <c r="H208" s="102" t="s">
        <v>315</v>
      </c>
      <c r="I208" s="102" t="s">
        <v>284</v>
      </c>
      <c r="J208" s="102" t="s">
        <v>26</v>
      </c>
      <c r="L208" s="229" t="s">
        <v>10009</v>
      </c>
      <c r="M208" s="229" t="s">
        <v>9881</v>
      </c>
      <c r="O208" s="102">
        <v>3.0</v>
      </c>
      <c r="P208" s="102" t="s">
        <v>777</v>
      </c>
      <c r="S208" s="102">
        <v>0.0</v>
      </c>
      <c r="T208" s="230" t="str">
        <f>IF(ISNUMBER(MATCH(B208, 'Sprint 6'!B:B, 0)), "มาจาก Sprint 6", "")</f>
        <v>มาจาก Sprint 6</v>
      </c>
      <c r="U208" s="230" t="str">
        <f t="array" ref="U208">IF(ISNUMBER(MATCH(B208, 'Sprint 6'!B:B, 0)), INDEX('Sprint 6'!J:J, MATCH(B208, 'Sprint 6'!B:B, 0)), "")</f>
        <v>Ready To Test</v>
      </c>
      <c r="V208" s="102">
        <v>28800.0</v>
      </c>
      <c r="W208" s="102" t="s">
        <v>9882</v>
      </c>
      <c r="X208" s="102" t="s">
        <v>9409</v>
      </c>
      <c r="Y208" s="102"/>
      <c r="Z208" s="102"/>
    </row>
    <row r="209" hidden="1">
      <c r="A209" s="102" t="s">
        <v>310</v>
      </c>
      <c r="B209" s="102" t="s">
        <v>10010</v>
      </c>
      <c r="C209" s="229" t="s">
        <v>10011</v>
      </c>
      <c r="D209" s="102" t="s">
        <v>10012</v>
      </c>
      <c r="E209" s="102" t="s">
        <v>314</v>
      </c>
      <c r="F209" s="102" t="s">
        <v>315</v>
      </c>
      <c r="G209" s="102" t="s">
        <v>314</v>
      </c>
      <c r="H209" s="102" t="s">
        <v>315</v>
      </c>
      <c r="I209" s="102" t="s">
        <v>284</v>
      </c>
      <c r="J209" s="102" t="s">
        <v>26</v>
      </c>
      <c r="L209" s="229" t="s">
        <v>10013</v>
      </c>
      <c r="M209" s="229" t="s">
        <v>10014</v>
      </c>
      <c r="O209" s="102">
        <v>8.0</v>
      </c>
      <c r="P209" s="102" t="s">
        <v>593</v>
      </c>
      <c r="Q209" s="102" t="s">
        <v>8995</v>
      </c>
      <c r="S209" s="102">
        <v>0.0</v>
      </c>
      <c r="T209" s="230" t="str">
        <f>IF(ISNUMBER(MATCH(B209, 'Sprint 6'!B:B, 0)), "มาจาก Sprint 6", "")</f>
        <v>มาจาก Sprint 6</v>
      </c>
      <c r="U209" s="230" t="str">
        <f t="array" ref="U209">IF(ISNUMBER(MATCH(B209, 'Sprint 6'!B:B, 0)), INDEX('Sprint 6'!J:J, MATCH(B209, 'Sprint 6'!B:B, 0)), "")</f>
        <v>Ready To Test</v>
      </c>
      <c r="V209" s="102">
        <v>86400.0</v>
      </c>
      <c r="W209" s="102" t="s">
        <v>9882</v>
      </c>
      <c r="X209" s="102" t="s">
        <v>9409</v>
      </c>
    </row>
    <row r="210" hidden="1">
      <c r="A210" s="102" t="s">
        <v>276</v>
      </c>
      <c r="B210" s="102" t="s">
        <v>10015</v>
      </c>
      <c r="C210" s="229" t="s">
        <v>10016</v>
      </c>
      <c r="D210" s="102" t="s">
        <v>9026</v>
      </c>
      <c r="E210" s="102" t="s">
        <v>521</v>
      </c>
      <c r="F210" s="102" t="s">
        <v>522</v>
      </c>
      <c r="G210" s="102" t="s">
        <v>10017</v>
      </c>
      <c r="H210" s="102" t="s">
        <v>10018</v>
      </c>
      <c r="I210" s="102" t="s">
        <v>284</v>
      </c>
      <c r="J210" s="102" t="s">
        <v>63</v>
      </c>
      <c r="L210" s="229" t="s">
        <v>10019</v>
      </c>
      <c r="M210" s="229" t="s">
        <v>9963</v>
      </c>
      <c r="O210" s="230"/>
      <c r="S210" s="230"/>
      <c r="T210" s="230" t="str">
        <f>IF(ISNUMBER(MATCH(B210, 'Sprint 6'!B:B, 0)), "มาจาก Sprint 6", "")</f>
        <v>มาจาก Sprint 6</v>
      </c>
      <c r="U210" s="230" t="str">
        <f t="array" ref="U210">IF(ISNUMBER(MATCH(B210, 'Sprint 6'!B:B, 0)), INDEX('Sprint 6'!J:J, MATCH(B210, 'Sprint 6'!B:B, 0)), "")</f>
        <v>To Do</v>
      </c>
      <c r="V210" s="230"/>
      <c r="W210" s="102" t="s">
        <v>7695</v>
      </c>
      <c r="X210" s="102" t="s">
        <v>9183</v>
      </c>
      <c r="Y210" s="102" t="s">
        <v>9184</v>
      </c>
      <c r="Z210" s="102" t="s">
        <v>8754</v>
      </c>
    </row>
    <row r="211" hidden="1">
      <c r="A211" s="102" t="s">
        <v>276</v>
      </c>
      <c r="B211" s="102" t="s">
        <v>10020</v>
      </c>
      <c r="C211" s="229" t="s">
        <v>10021</v>
      </c>
      <c r="D211" s="102" t="s">
        <v>9026</v>
      </c>
      <c r="E211" s="102" t="s">
        <v>521</v>
      </c>
      <c r="F211" s="102" t="s">
        <v>522</v>
      </c>
      <c r="G211" s="102" t="s">
        <v>10017</v>
      </c>
      <c r="H211" s="102" t="s">
        <v>10018</v>
      </c>
      <c r="I211" s="102" t="s">
        <v>284</v>
      </c>
      <c r="J211" s="102" t="s">
        <v>63</v>
      </c>
      <c r="L211" s="229" t="s">
        <v>10022</v>
      </c>
      <c r="M211" s="229" t="s">
        <v>9963</v>
      </c>
      <c r="N211" s="102"/>
      <c r="O211" s="102"/>
      <c r="P211" s="102"/>
      <c r="Q211" s="102"/>
      <c r="S211" s="102"/>
      <c r="T211" s="230" t="str">
        <f>IF(ISNUMBER(MATCH(B211, 'Sprint 6'!B:B, 0)), "มาจาก Sprint 6", "")</f>
        <v>มาจาก Sprint 6</v>
      </c>
      <c r="U211" s="230" t="str">
        <f t="array" ref="U211">IF(ISNUMBER(MATCH(B211, 'Sprint 6'!B:B, 0)), INDEX('Sprint 6'!J:J, MATCH(B211, 'Sprint 6'!B:B, 0)), "")</f>
        <v>To Do</v>
      </c>
      <c r="V211" s="102"/>
      <c r="W211" s="102" t="s">
        <v>7695</v>
      </c>
      <c r="X211" s="102" t="s">
        <v>9183</v>
      </c>
      <c r="Y211" s="102" t="s">
        <v>9184</v>
      </c>
      <c r="Z211" s="102" t="s">
        <v>8754</v>
      </c>
    </row>
    <row r="212" hidden="1">
      <c r="A212" s="102" t="s">
        <v>276</v>
      </c>
      <c r="B212" s="102" t="s">
        <v>10023</v>
      </c>
      <c r="C212" s="229" t="s">
        <v>10024</v>
      </c>
      <c r="D212" s="102" t="s">
        <v>10025</v>
      </c>
      <c r="E212" s="102" t="s">
        <v>521</v>
      </c>
      <c r="F212" s="102" t="s">
        <v>522</v>
      </c>
      <c r="G212" s="102" t="s">
        <v>10017</v>
      </c>
      <c r="H212" s="102" t="s">
        <v>10018</v>
      </c>
      <c r="I212" s="102" t="s">
        <v>284</v>
      </c>
      <c r="J212" s="102" t="s">
        <v>26</v>
      </c>
      <c r="L212" s="229" t="s">
        <v>10026</v>
      </c>
      <c r="M212" s="229" t="s">
        <v>10027</v>
      </c>
      <c r="O212" s="102"/>
      <c r="S212" s="102"/>
      <c r="T212" s="230" t="str">
        <f>IF(ISNUMBER(MATCH(B212, 'Sprint 6'!B:B, 0)), "มาจาก Sprint 6", "")</f>
        <v>มาจาก Sprint 6</v>
      </c>
      <c r="U212" s="230" t="str">
        <f t="array" ref="U212">IF(ISNUMBER(MATCH(B212, 'Sprint 6'!B:B, 0)), INDEX('Sprint 6'!J:J, MATCH(B212, 'Sprint 6'!B:B, 0)), "")</f>
        <v>Done</v>
      </c>
      <c r="V212" s="102"/>
      <c r="W212" s="102" t="s">
        <v>9865</v>
      </c>
      <c r="X212" s="102" t="s">
        <v>9866</v>
      </c>
      <c r="Y212" s="102"/>
      <c r="Z212" s="102"/>
    </row>
    <row r="213" hidden="1">
      <c r="A213" s="102" t="s">
        <v>276</v>
      </c>
      <c r="B213" s="102" t="s">
        <v>10028</v>
      </c>
      <c r="C213" s="229" t="s">
        <v>10029</v>
      </c>
      <c r="D213" s="102" t="s">
        <v>10030</v>
      </c>
      <c r="E213" s="102" t="s">
        <v>521</v>
      </c>
      <c r="F213" s="102" t="s">
        <v>522</v>
      </c>
      <c r="G213" s="102" t="s">
        <v>10017</v>
      </c>
      <c r="H213" s="102" t="s">
        <v>10018</v>
      </c>
      <c r="I213" s="102" t="s">
        <v>284</v>
      </c>
      <c r="J213" s="102" t="s">
        <v>26</v>
      </c>
      <c r="L213" s="229" t="s">
        <v>10031</v>
      </c>
      <c r="M213" s="229" t="s">
        <v>10032</v>
      </c>
      <c r="O213" s="102"/>
      <c r="P213" s="102"/>
      <c r="S213" s="102"/>
      <c r="T213" s="230" t="str">
        <f>IF(ISNUMBER(MATCH(B213, 'Sprint 6'!B:B, 0)), "มาจาก Sprint 6", "")</f>
        <v>มาจาก Sprint 6</v>
      </c>
      <c r="U213" s="230" t="str">
        <f t="array" ref="U213">IF(ISNUMBER(MATCH(B213, 'Sprint 6'!B:B, 0)), INDEX('Sprint 6'!J:J, MATCH(B213, 'Sprint 6'!B:B, 0)), "")</f>
        <v>Done</v>
      </c>
      <c r="V213" s="102"/>
      <c r="W213" s="102" t="s">
        <v>9865</v>
      </c>
      <c r="X213" s="102" t="s">
        <v>9866</v>
      </c>
      <c r="Y213" s="102"/>
      <c r="Z213" s="102"/>
    </row>
    <row r="214" hidden="1">
      <c r="A214" s="102" t="s">
        <v>310</v>
      </c>
      <c r="B214" s="102" t="s">
        <v>10033</v>
      </c>
      <c r="C214" s="229" t="s">
        <v>10034</v>
      </c>
      <c r="D214" s="102" t="s">
        <v>10035</v>
      </c>
      <c r="E214" s="102" t="s">
        <v>556</v>
      </c>
      <c r="F214" s="102" t="s">
        <v>557</v>
      </c>
      <c r="G214" s="102" t="s">
        <v>282</v>
      </c>
      <c r="H214" s="102" t="s">
        <v>283</v>
      </c>
      <c r="I214" s="102" t="s">
        <v>318</v>
      </c>
      <c r="J214" s="102" t="s">
        <v>26</v>
      </c>
      <c r="L214" s="229" t="s">
        <v>10036</v>
      </c>
      <c r="M214" s="229" t="s">
        <v>9929</v>
      </c>
      <c r="N214" s="229" t="s">
        <v>10037</v>
      </c>
      <c r="O214" s="102">
        <v>3.0</v>
      </c>
      <c r="P214" s="102" t="s">
        <v>777</v>
      </c>
      <c r="Q214" s="102" t="s">
        <v>10038</v>
      </c>
      <c r="S214" s="102">
        <v>0.0</v>
      </c>
      <c r="T214" s="230" t="str">
        <f>IF(ISNUMBER(MATCH(B214, 'Sprint 6'!B:B, 0)), "มาจาก Sprint 6", "")</f>
        <v>มาจาก Sprint 6</v>
      </c>
      <c r="U214" s="230" t="str">
        <f t="array" ref="U214">IF(ISNUMBER(MATCH(B214, 'Sprint 6'!B:B, 0)), INDEX('Sprint 6'!J:J, MATCH(B214, 'Sprint 6'!B:B, 0)), "")</f>
        <v>Ready to Staging</v>
      </c>
      <c r="V214" s="102">
        <v>28800.0</v>
      </c>
      <c r="W214" s="102" t="s">
        <v>9865</v>
      </c>
      <c r="X214" s="102" t="s">
        <v>9866</v>
      </c>
      <c r="Y214" s="102"/>
      <c r="Z214" s="102"/>
    </row>
    <row r="215" hidden="1">
      <c r="A215" s="102" t="s">
        <v>310</v>
      </c>
      <c r="B215" s="102" t="s">
        <v>9580</v>
      </c>
      <c r="C215" s="229" t="s">
        <v>9581</v>
      </c>
      <c r="D215" s="102" t="s">
        <v>9582</v>
      </c>
      <c r="E215" s="102" t="s">
        <v>353</v>
      </c>
      <c r="F215" s="102" t="s">
        <v>354</v>
      </c>
      <c r="G215" s="102" t="s">
        <v>353</v>
      </c>
      <c r="H215" s="102" t="s">
        <v>354</v>
      </c>
      <c r="I215" s="102" t="s">
        <v>284</v>
      </c>
      <c r="J215" s="102" t="s">
        <v>454</v>
      </c>
      <c r="L215" s="229" t="s">
        <v>9583</v>
      </c>
      <c r="M215" s="229" t="s">
        <v>9963</v>
      </c>
      <c r="O215" s="102">
        <v>3.0</v>
      </c>
      <c r="P215" s="102"/>
      <c r="Q215" s="102"/>
      <c r="S215" s="102">
        <v>0.0</v>
      </c>
      <c r="T215" s="230" t="str">
        <f>IF(ISNUMBER(MATCH(B215, 'Sprint 6'!B:B, 0)), "มาจาก Sprint 6", "")</f>
        <v>มาจาก Sprint 6</v>
      </c>
      <c r="U215" s="230" t="str">
        <f t="array" ref="U215">IF(ISNUMBER(MATCH(B215, 'Sprint 6'!B:B, 0)), INDEX('Sprint 6'!J:J, MATCH(B215, 'Sprint 6'!B:B, 0)), "")</f>
        <v>Ready To Test</v>
      </c>
      <c r="V215" s="102">
        <v>28800.0</v>
      </c>
      <c r="W215" s="102" t="s">
        <v>7695</v>
      </c>
      <c r="X215" s="102" t="s">
        <v>9183</v>
      </c>
      <c r="Y215" s="102" t="s">
        <v>9184</v>
      </c>
      <c r="Z215" s="102" t="s">
        <v>8754</v>
      </c>
    </row>
    <row r="216" hidden="1">
      <c r="A216" s="102" t="s">
        <v>310</v>
      </c>
      <c r="B216" s="102" t="s">
        <v>10039</v>
      </c>
      <c r="C216" s="229" t="s">
        <v>10040</v>
      </c>
      <c r="D216" s="102" t="s">
        <v>10041</v>
      </c>
      <c r="E216" s="102" t="s">
        <v>564</v>
      </c>
      <c r="F216" s="102" t="s">
        <v>565</v>
      </c>
      <c r="G216" s="102" t="s">
        <v>304</v>
      </c>
      <c r="H216" s="102" t="s">
        <v>305</v>
      </c>
      <c r="I216" s="102" t="s">
        <v>284</v>
      </c>
      <c r="J216" s="102" t="s">
        <v>26</v>
      </c>
      <c r="L216" s="229" t="s">
        <v>10042</v>
      </c>
      <c r="M216" s="229" t="s">
        <v>10043</v>
      </c>
      <c r="O216" s="102">
        <v>2.0</v>
      </c>
      <c r="P216" s="102" t="s">
        <v>435</v>
      </c>
      <c r="Q216" s="102"/>
      <c r="R216" s="102"/>
      <c r="S216" s="102">
        <v>0.0</v>
      </c>
      <c r="T216" s="230" t="str">
        <f>IF(ISNUMBER(MATCH(B216, 'Sprint 6'!B:B, 0)), "มาจาก Sprint 6", "")</f>
        <v>มาจาก Sprint 6</v>
      </c>
      <c r="U216" s="230" t="str">
        <f t="array" ref="U216">IF(ISNUMBER(MATCH(B216, 'Sprint 6'!B:B, 0)), INDEX('Sprint 6'!J:J, MATCH(B216, 'Sprint 6'!B:B, 0)), "")</f>
        <v>Ready to Staging</v>
      </c>
      <c r="V216" s="102">
        <v>7200.0</v>
      </c>
      <c r="W216" s="102" t="s">
        <v>7695</v>
      </c>
      <c r="X216" s="102" t="s">
        <v>9183</v>
      </c>
      <c r="Y216" s="102" t="s">
        <v>9184</v>
      </c>
      <c r="Z216" s="102" t="s">
        <v>8754</v>
      </c>
    </row>
    <row r="217" hidden="1">
      <c r="A217" s="102" t="s">
        <v>310</v>
      </c>
      <c r="B217" s="102" t="s">
        <v>10044</v>
      </c>
      <c r="C217" s="229" t="s">
        <v>10045</v>
      </c>
      <c r="D217" s="102" t="s">
        <v>10046</v>
      </c>
      <c r="E217" s="102" t="s">
        <v>564</v>
      </c>
      <c r="F217" s="102" t="s">
        <v>565</v>
      </c>
      <c r="G217" s="102" t="s">
        <v>304</v>
      </c>
      <c r="H217" s="102" t="s">
        <v>305</v>
      </c>
      <c r="I217" s="102" t="s">
        <v>284</v>
      </c>
      <c r="J217" s="102" t="s">
        <v>26</v>
      </c>
      <c r="L217" s="229" t="s">
        <v>10047</v>
      </c>
      <c r="M217" s="229" t="s">
        <v>10048</v>
      </c>
      <c r="O217" s="102">
        <v>1.0</v>
      </c>
      <c r="P217" s="102" t="s">
        <v>435</v>
      </c>
      <c r="S217" s="102">
        <v>0.0</v>
      </c>
      <c r="T217" s="230" t="str">
        <f>IF(ISNUMBER(MATCH(B217, 'Sprint 6'!B:B, 0)), "มาจาก Sprint 6", "")</f>
        <v>มาจาก Sprint 6</v>
      </c>
      <c r="U217" s="230" t="str">
        <f t="array" ref="U217">IF(ISNUMBER(MATCH(B217, 'Sprint 6'!B:B, 0)), INDEX('Sprint 6'!J:J, MATCH(B217, 'Sprint 6'!B:B, 0)), "")</f>
        <v>Ready to Staging</v>
      </c>
      <c r="V217" s="102">
        <v>7200.0</v>
      </c>
      <c r="W217" s="102" t="s">
        <v>7695</v>
      </c>
      <c r="X217" s="102" t="s">
        <v>9183</v>
      </c>
      <c r="Y217" s="102" t="s">
        <v>9184</v>
      </c>
      <c r="Z217" s="102" t="s">
        <v>8754</v>
      </c>
      <c r="AA217" s="102"/>
    </row>
    <row r="218" hidden="1">
      <c r="A218" s="102" t="s">
        <v>310</v>
      </c>
      <c r="B218" s="102" t="s">
        <v>10049</v>
      </c>
      <c r="C218" s="229" t="s">
        <v>10050</v>
      </c>
      <c r="D218" s="102" t="s">
        <v>10051</v>
      </c>
      <c r="E218" s="102" t="s">
        <v>513</v>
      </c>
      <c r="F218" s="102" t="s">
        <v>514</v>
      </c>
      <c r="G218" s="102" t="s">
        <v>304</v>
      </c>
      <c r="H218" s="102" t="s">
        <v>305</v>
      </c>
      <c r="I218" s="102" t="s">
        <v>648</v>
      </c>
      <c r="J218" s="102" t="s">
        <v>26</v>
      </c>
      <c r="L218" s="229" t="s">
        <v>10052</v>
      </c>
      <c r="M218" s="229" t="s">
        <v>10053</v>
      </c>
      <c r="O218" s="102">
        <v>1.0</v>
      </c>
      <c r="P218" s="102" t="s">
        <v>7593</v>
      </c>
      <c r="Q218" s="102" t="s">
        <v>5542</v>
      </c>
      <c r="S218" s="102">
        <v>0.0</v>
      </c>
      <c r="T218" s="230" t="str">
        <f>IF(ISNUMBER(MATCH(B218, 'Sprint 6'!B:B, 0)), "มาจาก Sprint 6", "")</f>
        <v>มาจาก Sprint 6</v>
      </c>
      <c r="U218" s="230" t="str">
        <f t="array" ref="U218">IF(ISNUMBER(MATCH(B218, 'Sprint 6'!B:B, 0)), INDEX('Sprint 6'!J:J, MATCH(B218, 'Sprint 6'!B:B, 0)), "")</f>
        <v>Ready to Staging</v>
      </c>
      <c r="V218" s="102">
        <v>7200.0</v>
      </c>
      <c r="W218" s="102" t="s">
        <v>9080</v>
      </c>
      <c r="X218" s="102" t="s">
        <v>4967</v>
      </c>
      <c r="Y218" s="102" t="s">
        <v>4968</v>
      </c>
      <c r="Z218" s="102"/>
      <c r="AA218" s="102"/>
    </row>
    <row r="219" hidden="1">
      <c r="A219" s="102" t="s">
        <v>310</v>
      </c>
      <c r="B219" s="102" t="s">
        <v>10054</v>
      </c>
      <c r="C219" s="229" t="s">
        <v>10055</v>
      </c>
      <c r="D219" s="102" t="s">
        <v>10056</v>
      </c>
      <c r="E219" s="102" t="s">
        <v>304</v>
      </c>
      <c r="F219" s="102" t="s">
        <v>305</v>
      </c>
      <c r="G219" s="102" t="s">
        <v>353</v>
      </c>
      <c r="H219" s="102" t="s">
        <v>354</v>
      </c>
      <c r="I219" s="102" t="s">
        <v>318</v>
      </c>
      <c r="J219" s="102" t="s">
        <v>26</v>
      </c>
      <c r="L219" s="229" t="s">
        <v>10057</v>
      </c>
      <c r="M219" s="229" t="s">
        <v>9929</v>
      </c>
      <c r="O219" s="102">
        <v>3.0</v>
      </c>
      <c r="P219" s="102" t="s">
        <v>777</v>
      </c>
      <c r="Q219" s="102" t="s">
        <v>10038</v>
      </c>
      <c r="R219" s="102" t="s">
        <v>7229</v>
      </c>
      <c r="S219" s="102">
        <v>0.0</v>
      </c>
      <c r="T219" s="230" t="str">
        <f>IF(ISNUMBER(MATCH(B219, 'Sprint 6'!B:B, 0)), "มาจาก Sprint 6", "")</f>
        <v>มาจาก Sprint 6</v>
      </c>
      <c r="U219" s="230" t="str">
        <f t="array" ref="U219">IF(ISNUMBER(MATCH(B219, 'Sprint 6'!B:B, 0)), INDEX('Sprint 6'!J:J, MATCH(B219, 'Sprint 6'!B:B, 0)), "")</f>
        <v>Ready to Staging</v>
      </c>
      <c r="V219" s="102">
        <v>28800.0</v>
      </c>
      <c r="W219" s="102" t="s">
        <v>9865</v>
      </c>
      <c r="X219" s="102" t="s">
        <v>9866</v>
      </c>
      <c r="Y219" s="102"/>
      <c r="Z219" s="102"/>
    </row>
    <row r="220" hidden="1">
      <c r="A220" s="102" t="s">
        <v>276</v>
      </c>
      <c r="B220" s="102" t="s">
        <v>10058</v>
      </c>
      <c r="C220" s="229" t="s">
        <v>10059</v>
      </c>
      <c r="D220" s="102" t="s">
        <v>777</v>
      </c>
      <c r="E220" s="102"/>
      <c r="F220" s="102"/>
      <c r="G220" s="102" t="s">
        <v>282</v>
      </c>
      <c r="H220" s="102" t="s">
        <v>283</v>
      </c>
      <c r="I220" s="102" t="s">
        <v>284</v>
      </c>
      <c r="J220" s="102" t="s">
        <v>355</v>
      </c>
      <c r="L220" s="229" t="s">
        <v>10060</v>
      </c>
      <c r="M220" s="229" t="s">
        <v>10061</v>
      </c>
      <c r="N220" s="102"/>
      <c r="O220" s="230"/>
      <c r="S220" s="230"/>
      <c r="T220" s="230" t="str">
        <f>IF(ISNUMBER(MATCH(B220, 'Sprint 6'!B:B, 0)), "มาจาก Sprint 6", "")</f>
        <v>มาจาก Sprint 6</v>
      </c>
      <c r="U220" s="230" t="str">
        <f t="array" ref="U220">IF(ISNUMBER(MATCH(B220, 'Sprint 6'!B:B, 0)), INDEX('Sprint 6'!J:J, MATCH(B220, 'Sprint 6'!B:B, 0)), "")</f>
        <v>In Review</v>
      </c>
      <c r="V220" s="230"/>
      <c r="W220" s="102" t="s">
        <v>10062</v>
      </c>
      <c r="X220" s="102" t="s">
        <v>9079</v>
      </c>
      <c r="Y220" s="102" t="s">
        <v>9080</v>
      </c>
      <c r="Z220" s="102" t="s">
        <v>4967</v>
      </c>
      <c r="AA220" s="102" t="s">
        <v>4968</v>
      </c>
    </row>
    <row r="221" hidden="1">
      <c r="A221" s="102" t="s">
        <v>276</v>
      </c>
      <c r="B221" s="102" t="s">
        <v>10063</v>
      </c>
      <c r="C221" s="229" t="s">
        <v>10064</v>
      </c>
      <c r="D221" s="102" t="s">
        <v>10065</v>
      </c>
      <c r="E221" s="102" t="s">
        <v>282</v>
      </c>
      <c r="F221" s="102" t="s">
        <v>283</v>
      </c>
      <c r="G221" s="102" t="s">
        <v>282</v>
      </c>
      <c r="H221" s="102" t="s">
        <v>283</v>
      </c>
      <c r="I221" s="102" t="s">
        <v>284</v>
      </c>
      <c r="J221" s="102" t="s">
        <v>26</v>
      </c>
      <c r="L221" s="229" t="s">
        <v>10060</v>
      </c>
      <c r="M221" s="229" t="s">
        <v>10066</v>
      </c>
      <c r="N221" s="102"/>
      <c r="O221" s="102"/>
      <c r="P221" s="102"/>
      <c r="Q221" s="102"/>
      <c r="S221" s="230"/>
      <c r="T221" s="230" t="str">
        <f>IF(ISNUMBER(MATCH(B221, 'Sprint 6'!B:B, 0)), "มาจาก Sprint 6", "")</f>
        <v>มาจาก Sprint 6</v>
      </c>
      <c r="U221" s="230" t="str">
        <f t="array" ref="U221">IF(ISNUMBER(MATCH(B221, 'Sprint 6'!B:B, 0)), INDEX('Sprint 6'!J:J, MATCH(B221, 'Sprint 6'!B:B, 0)), "")</f>
        <v>Done</v>
      </c>
      <c r="V221" s="230"/>
      <c r="W221" s="102" t="s">
        <v>10062</v>
      </c>
      <c r="X221" s="102" t="s">
        <v>9079</v>
      </c>
      <c r="Y221" s="102" t="s">
        <v>9080</v>
      </c>
      <c r="Z221" s="102" t="s">
        <v>4967</v>
      </c>
      <c r="AA221" s="102" t="s">
        <v>4968</v>
      </c>
    </row>
    <row r="222" hidden="1">
      <c r="A222" s="102" t="s">
        <v>4410</v>
      </c>
      <c r="B222" s="102" t="s">
        <v>9075</v>
      </c>
      <c r="C222" s="229" t="s">
        <v>9076</v>
      </c>
      <c r="D222" s="102" t="s">
        <v>9077</v>
      </c>
      <c r="E222" s="102" t="s">
        <v>353</v>
      </c>
      <c r="F222" s="102" t="s">
        <v>354</v>
      </c>
      <c r="G222" s="102" t="s">
        <v>353</v>
      </c>
      <c r="H222" s="102" t="s">
        <v>354</v>
      </c>
      <c r="I222" s="102" t="s">
        <v>284</v>
      </c>
      <c r="J222" s="102" t="s">
        <v>34</v>
      </c>
      <c r="L222" s="229" t="s">
        <v>9078</v>
      </c>
      <c r="M222" s="229" t="s">
        <v>9964</v>
      </c>
      <c r="O222" s="102"/>
      <c r="P222" s="102"/>
      <c r="S222" s="102"/>
      <c r="T222" s="230" t="str">
        <f>IF(ISNUMBER(MATCH(B222, 'Sprint 6'!B:B, 0)), "มาจาก Sprint 6", "")</f>
        <v>มาจาก Sprint 6</v>
      </c>
      <c r="U222" s="230" t="str">
        <f t="array" ref="U222">IF(ISNUMBER(MATCH(B222, 'Sprint 6'!B:B, 0)), INDEX('Sprint 6'!J:J, MATCH(B222, 'Sprint 6'!B:B, 0)), "")</f>
        <v>In Progress</v>
      </c>
      <c r="V222" s="102"/>
      <c r="W222" s="102" t="s">
        <v>9079</v>
      </c>
      <c r="X222" s="102" t="s">
        <v>9080</v>
      </c>
      <c r="Y222" s="102" t="s">
        <v>4967</v>
      </c>
      <c r="Z222" s="102" t="s">
        <v>4968</v>
      </c>
    </row>
    <row r="223" hidden="1">
      <c r="A223" s="102" t="s">
        <v>310</v>
      </c>
      <c r="B223" s="102" t="s">
        <v>10067</v>
      </c>
      <c r="C223" s="229" t="s">
        <v>10068</v>
      </c>
      <c r="D223" s="102" t="s">
        <v>10069</v>
      </c>
      <c r="E223" s="102" t="s">
        <v>513</v>
      </c>
      <c r="F223" s="102" t="s">
        <v>514</v>
      </c>
      <c r="G223" s="102" t="s">
        <v>316</v>
      </c>
      <c r="H223" s="102" t="s">
        <v>317</v>
      </c>
      <c r="I223" s="102" t="s">
        <v>515</v>
      </c>
      <c r="J223" s="102" t="s">
        <v>355</v>
      </c>
      <c r="L223" s="229" t="s">
        <v>10070</v>
      </c>
      <c r="M223" s="229" t="s">
        <v>9964</v>
      </c>
      <c r="N223" s="229" t="s">
        <v>10071</v>
      </c>
      <c r="O223" s="102"/>
      <c r="P223" s="102"/>
      <c r="Q223" s="102"/>
      <c r="S223" s="102"/>
      <c r="T223" s="230" t="str">
        <f>IF(ISNUMBER(MATCH(B223, 'Sprint 6'!B:B, 0)), "มาจาก Sprint 6", "")</f>
        <v>มาจาก Sprint 6</v>
      </c>
      <c r="U223" s="230" t="str">
        <f t="array" ref="U223">IF(ISNUMBER(MATCH(B223, 'Sprint 6'!B:B, 0)), INDEX('Sprint 6'!J:J, MATCH(B223, 'Sprint 6'!B:B, 0)), "")</f>
        <v>In Review</v>
      </c>
      <c r="V223" s="102" t="s">
        <v>9669</v>
      </c>
      <c r="W223" s="102" t="s">
        <v>9079</v>
      </c>
      <c r="X223" s="102" t="s">
        <v>9080</v>
      </c>
      <c r="Y223" s="102" t="s">
        <v>4967</v>
      </c>
      <c r="Z223" s="102" t="s">
        <v>4968</v>
      </c>
    </row>
    <row r="224" hidden="1">
      <c r="A224" s="102" t="s">
        <v>310</v>
      </c>
      <c r="B224" s="102" t="s">
        <v>10072</v>
      </c>
      <c r="C224" s="229" t="s">
        <v>10073</v>
      </c>
      <c r="D224" s="102" t="s">
        <v>10074</v>
      </c>
      <c r="E224" s="102" t="s">
        <v>304</v>
      </c>
      <c r="F224" s="102" t="s">
        <v>305</v>
      </c>
      <c r="G224" s="102" t="s">
        <v>282</v>
      </c>
      <c r="H224" s="102" t="s">
        <v>283</v>
      </c>
      <c r="I224" s="102" t="s">
        <v>515</v>
      </c>
      <c r="J224" s="102" t="s">
        <v>26</v>
      </c>
      <c r="L224" s="229" t="s">
        <v>10075</v>
      </c>
      <c r="M224" s="229" t="s">
        <v>9698</v>
      </c>
      <c r="O224" s="102">
        <v>5.0</v>
      </c>
      <c r="P224" s="102" t="s">
        <v>1946</v>
      </c>
      <c r="Q224" s="102"/>
      <c r="S224" s="102">
        <v>0.0</v>
      </c>
      <c r="T224" s="230" t="str">
        <f>IF(ISNUMBER(MATCH(B224, 'Sprint 6'!B:B, 0)), "มาจาก Sprint 6", "")</f>
        <v>มาจาก Sprint 6</v>
      </c>
      <c r="U224" s="230" t="str">
        <f t="array" ref="U224">IF(ISNUMBER(MATCH(B224, 'Sprint 6'!B:B, 0)), INDEX('Sprint 6'!J:J, MATCH(B224, 'Sprint 6'!B:B, 0)), "")</f>
        <v>Ready to Staging</v>
      </c>
      <c r="V224" s="102">
        <v>72000.0</v>
      </c>
      <c r="W224" s="102" t="s">
        <v>7695</v>
      </c>
      <c r="X224" s="102" t="s">
        <v>9184</v>
      </c>
      <c r="Y224" s="102" t="s">
        <v>8754</v>
      </c>
      <c r="Z224" s="102"/>
    </row>
    <row r="225" hidden="1">
      <c r="A225" s="102" t="s">
        <v>310</v>
      </c>
      <c r="B225" s="102" t="s">
        <v>9081</v>
      </c>
      <c r="C225" s="229" t="s">
        <v>9082</v>
      </c>
      <c r="D225" s="102" t="s">
        <v>9083</v>
      </c>
      <c r="E225" s="102" t="s">
        <v>495</v>
      </c>
      <c r="F225" s="102" t="s">
        <v>496</v>
      </c>
      <c r="G225" s="102" t="s">
        <v>282</v>
      </c>
      <c r="H225" s="102" t="s">
        <v>283</v>
      </c>
      <c r="I225" s="102" t="s">
        <v>284</v>
      </c>
      <c r="J225" s="102" t="s">
        <v>454</v>
      </c>
      <c r="L225" s="229" t="s">
        <v>9084</v>
      </c>
      <c r="M225" s="229" t="s">
        <v>9964</v>
      </c>
      <c r="O225" s="102">
        <v>2.0</v>
      </c>
      <c r="P225" s="102" t="s">
        <v>593</v>
      </c>
      <c r="Q225" s="102" t="s">
        <v>1946</v>
      </c>
      <c r="S225" s="102">
        <v>0.0</v>
      </c>
      <c r="T225" s="230" t="str">
        <f>IF(ISNUMBER(MATCH(B225, 'Sprint 6'!B:B, 0)), "มาจาก Sprint 6", "")</f>
        <v>มาจาก Sprint 6</v>
      </c>
      <c r="U225" s="230" t="str">
        <f t="array" ref="U225">IF(ISNUMBER(MATCH(B225, 'Sprint 6'!B:B, 0)), INDEX('Sprint 6'!J:J, MATCH(B225, 'Sprint 6'!B:B, 0)), "")</f>
        <v>Ready To Test</v>
      </c>
      <c r="V225" s="102">
        <v>14400.0</v>
      </c>
      <c r="W225" s="102" t="s">
        <v>4967</v>
      </c>
      <c r="X225" s="102" t="s">
        <v>4968</v>
      </c>
    </row>
    <row r="226" hidden="1">
      <c r="A226" s="102" t="s">
        <v>310</v>
      </c>
      <c r="B226" s="102" t="s">
        <v>10076</v>
      </c>
      <c r="C226" s="229" t="s">
        <v>10077</v>
      </c>
      <c r="D226" s="102" t="s">
        <v>10078</v>
      </c>
      <c r="E226" s="102" t="s">
        <v>495</v>
      </c>
      <c r="F226" s="102" t="s">
        <v>496</v>
      </c>
      <c r="G226" s="102" t="s">
        <v>282</v>
      </c>
      <c r="H226" s="102" t="s">
        <v>283</v>
      </c>
      <c r="I226" s="102" t="s">
        <v>284</v>
      </c>
      <c r="J226" s="102" t="s">
        <v>26</v>
      </c>
      <c r="L226" s="229" t="s">
        <v>10079</v>
      </c>
      <c r="M226" s="229" t="s">
        <v>9723</v>
      </c>
      <c r="O226" s="102">
        <v>3.0</v>
      </c>
      <c r="P226" s="102" t="s">
        <v>593</v>
      </c>
      <c r="Q226" s="102" t="s">
        <v>1808</v>
      </c>
      <c r="S226" s="102">
        <v>0.0</v>
      </c>
      <c r="T226" s="230" t="str">
        <f>IF(ISNUMBER(MATCH(B226, 'Sprint 6'!B:B, 0)), "มาจาก Sprint 6", "")</f>
        <v>มาจาก Sprint 6</v>
      </c>
      <c r="U226" s="230" t="str">
        <f t="array" ref="U226">IF(ISNUMBER(MATCH(B226, 'Sprint 6'!B:B, 0)), INDEX('Sprint 6'!J:J, MATCH(B226, 'Sprint 6'!B:B, 0)), "")</f>
        <v>Ready to Staging</v>
      </c>
      <c r="V226" s="102">
        <v>28800.0</v>
      </c>
      <c r="W226" s="102" t="s">
        <v>9079</v>
      </c>
      <c r="X226" s="102" t="s">
        <v>9080</v>
      </c>
      <c r="Y226" s="102" t="s">
        <v>4967</v>
      </c>
      <c r="Z226" s="102" t="s">
        <v>4968</v>
      </c>
    </row>
    <row r="227" hidden="1">
      <c r="A227" s="102" t="s">
        <v>310</v>
      </c>
      <c r="B227" s="102" t="s">
        <v>10080</v>
      </c>
      <c r="C227" s="229" t="s">
        <v>10081</v>
      </c>
      <c r="D227" s="102" t="s">
        <v>10082</v>
      </c>
      <c r="E227" s="102" t="s">
        <v>6315</v>
      </c>
      <c r="F227" s="102" t="s">
        <v>6316</v>
      </c>
      <c r="G227" s="102" t="s">
        <v>282</v>
      </c>
      <c r="H227" s="102" t="s">
        <v>283</v>
      </c>
      <c r="I227" s="102" t="s">
        <v>284</v>
      </c>
      <c r="J227" s="102" t="s">
        <v>26</v>
      </c>
      <c r="L227" s="229" t="s">
        <v>9091</v>
      </c>
      <c r="M227" s="229" t="s">
        <v>9723</v>
      </c>
      <c r="N227" s="102"/>
      <c r="O227" s="102">
        <v>2.0</v>
      </c>
      <c r="P227" s="102" t="s">
        <v>777</v>
      </c>
      <c r="S227" s="102">
        <v>7200.0</v>
      </c>
      <c r="T227" s="230" t="str">
        <f>IF(ISNUMBER(MATCH(B227, 'Sprint 6'!B:B, 0)), "มาจาก Sprint 6", "")</f>
        <v>มาจาก Sprint 6</v>
      </c>
      <c r="U227" s="230" t="str">
        <f t="array" ref="U227">IF(ISNUMBER(MATCH(B227, 'Sprint 6'!B:B, 0)), INDEX('Sprint 6'!J:J, MATCH(B227, 'Sprint 6'!B:B, 0)), "")</f>
        <v>Ready to Staging</v>
      </c>
      <c r="V227" s="102" t="s">
        <v>9669</v>
      </c>
      <c r="W227" s="102" t="s">
        <v>4967</v>
      </c>
      <c r="X227" s="102" t="s">
        <v>4968</v>
      </c>
      <c r="Y227" s="102"/>
      <c r="Z227" s="102"/>
    </row>
    <row r="228" hidden="1">
      <c r="A228" s="102" t="s">
        <v>310</v>
      </c>
      <c r="B228" s="102" t="s">
        <v>9088</v>
      </c>
      <c r="C228" s="229" t="s">
        <v>9089</v>
      </c>
      <c r="D228" s="102" t="s">
        <v>9090</v>
      </c>
      <c r="E228" s="102" t="s">
        <v>495</v>
      </c>
      <c r="F228" s="102" t="s">
        <v>496</v>
      </c>
      <c r="G228" s="102" t="s">
        <v>282</v>
      </c>
      <c r="H228" s="102" t="s">
        <v>283</v>
      </c>
      <c r="I228" s="102" t="s">
        <v>284</v>
      </c>
      <c r="J228" s="102" t="s">
        <v>678</v>
      </c>
      <c r="L228" s="229" t="s">
        <v>9091</v>
      </c>
      <c r="M228" s="229" t="s">
        <v>9964</v>
      </c>
      <c r="O228" s="102">
        <v>2.0</v>
      </c>
      <c r="P228" s="102" t="s">
        <v>593</v>
      </c>
      <c r="Q228" s="102" t="s">
        <v>7229</v>
      </c>
      <c r="S228" s="102">
        <v>0.0</v>
      </c>
      <c r="T228" s="230" t="str">
        <f>IF(ISNUMBER(MATCH(B228, 'Sprint 6'!B:B, 0)), "มาจาก Sprint 6", "")</f>
        <v>มาจาก Sprint 6</v>
      </c>
      <c r="U228" s="230" t="str">
        <f t="array" ref="U228">IF(ISNUMBER(MATCH(B228, 'Sprint 6'!B:B, 0)), INDEX('Sprint 6'!J:J, MATCH(B228, 'Sprint 6'!B:B, 0)), "")</f>
        <v>Ready to Staging</v>
      </c>
      <c r="V228" s="102">
        <v>14400.0</v>
      </c>
      <c r="W228" s="102" t="s">
        <v>9079</v>
      </c>
      <c r="X228" s="102" t="s">
        <v>9080</v>
      </c>
      <c r="Y228" s="102" t="s">
        <v>4967</v>
      </c>
      <c r="Z228" s="102" t="s">
        <v>4968</v>
      </c>
    </row>
    <row r="229" hidden="1">
      <c r="A229" s="102" t="s">
        <v>332</v>
      </c>
      <c r="B229" s="102" t="s">
        <v>10083</v>
      </c>
      <c r="C229" s="229" t="s">
        <v>10084</v>
      </c>
      <c r="D229" s="102" t="s">
        <v>10085</v>
      </c>
      <c r="E229" s="102" t="s">
        <v>282</v>
      </c>
      <c r="F229" s="102" t="s">
        <v>283</v>
      </c>
      <c r="G229" s="102" t="s">
        <v>316</v>
      </c>
      <c r="H229" s="102" t="s">
        <v>317</v>
      </c>
      <c r="I229" s="102" t="s">
        <v>515</v>
      </c>
      <c r="J229" s="102" t="s">
        <v>2231</v>
      </c>
      <c r="L229" s="229" t="s">
        <v>10086</v>
      </c>
      <c r="M229" s="229" t="s">
        <v>9964</v>
      </c>
      <c r="N229" s="229" t="s">
        <v>10087</v>
      </c>
      <c r="O229" s="230"/>
      <c r="S229" s="230"/>
      <c r="T229" s="230" t="str">
        <f>IF(ISNUMBER(MATCH(B229, 'Sprint 6'!B:B, 0)), "มาจาก Sprint 6", "")</f>
        <v>มาจาก Sprint 6</v>
      </c>
      <c r="U229" s="230" t="str">
        <f t="array" ref="U229">IF(ISNUMBER(MATCH(B229, 'Sprint 6'!B:B, 0)), INDEX('Sprint 6'!J:J, MATCH(B229, 'Sprint 6'!B:B, 0)), "")</f>
        <v>UNDER VALIDATION</v>
      </c>
      <c r="V229" s="230"/>
      <c r="W229" s="102" t="s">
        <v>9079</v>
      </c>
      <c r="X229" s="102" t="s">
        <v>9080</v>
      </c>
      <c r="Y229" s="102" t="s">
        <v>4967</v>
      </c>
      <c r="Z229" s="102" t="s">
        <v>4968</v>
      </c>
    </row>
    <row r="230" hidden="1">
      <c r="A230" s="102" t="s">
        <v>310</v>
      </c>
      <c r="B230" s="102" t="s">
        <v>10088</v>
      </c>
      <c r="C230" s="229" t="s">
        <v>10089</v>
      </c>
      <c r="D230" s="102" t="s">
        <v>10090</v>
      </c>
      <c r="E230" s="102" t="s">
        <v>282</v>
      </c>
      <c r="F230" s="102" t="s">
        <v>283</v>
      </c>
      <c r="G230" s="102" t="s">
        <v>282</v>
      </c>
      <c r="H230" s="102" t="s">
        <v>283</v>
      </c>
      <c r="I230" s="102" t="s">
        <v>284</v>
      </c>
      <c r="J230" s="102" t="s">
        <v>26</v>
      </c>
      <c r="L230" s="229" t="s">
        <v>10091</v>
      </c>
      <c r="M230" s="229" t="s">
        <v>10092</v>
      </c>
      <c r="O230" s="230"/>
      <c r="S230" s="230"/>
      <c r="T230" s="230" t="str">
        <f>IF(ISNUMBER(MATCH(B230, 'Sprint 6'!B:B, 0)), "มาจาก Sprint 6", "")</f>
        <v/>
      </c>
      <c r="U230" s="230" t="str">
        <f t="array" ref="U230">IF(ISNUMBER(MATCH(B230, 'Sprint 6'!B:B, 0)), INDEX('Sprint 6'!J:J, MATCH(B230, 'Sprint 6'!B:B, 0)), "")</f>
        <v/>
      </c>
      <c r="V230" s="102" t="s">
        <v>9669</v>
      </c>
      <c r="W230" s="102" t="s">
        <v>4968</v>
      </c>
    </row>
    <row r="231" hidden="1">
      <c r="A231" s="102" t="s">
        <v>332</v>
      </c>
      <c r="B231" s="102" t="s">
        <v>10093</v>
      </c>
      <c r="C231" s="229" t="s">
        <v>10094</v>
      </c>
      <c r="D231" s="102" t="s">
        <v>10095</v>
      </c>
      <c r="E231" s="102" t="s">
        <v>282</v>
      </c>
      <c r="F231" s="102" t="s">
        <v>283</v>
      </c>
      <c r="G231" s="102" t="s">
        <v>316</v>
      </c>
      <c r="H231" s="102" t="s">
        <v>317</v>
      </c>
      <c r="I231" s="102" t="s">
        <v>284</v>
      </c>
      <c r="J231" s="102" t="s">
        <v>2231</v>
      </c>
      <c r="L231" s="229" t="s">
        <v>10096</v>
      </c>
      <c r="M231" s="229" t="s">
        <v>9964</v>
      </c>
      <c r="N231" s="229" t="s">
        <v>10097</v>
      </c>
      <c r="O231" s="102"/>
      <c r="P231" s="102"/>
      <c r="S231" s="102"/>
      <c r="T231" s="230" t="str">
        <f>IF(ISNUMBER(MATCH(B231, 'Sprint 6'!B:B, 0)), "มาจาก Sprint 6", "")</f>
        <v>มาจาก Sprint 6</v>
      </c>
      <c r="U231" s="230" t="str">
        <f t="array" ref="U231">IF(ISNUMBER(MATCH(B231, 'Sprint 6'!B:B, 0)), INDEX('Sprint 6'!J:J, MATCH(B231, 'Sprint 6'!B:B, 0)), "")</f>
        <v>UNDER VALIDATION</v>
      </c>
      <c r="V231" s="102"/>
      <c r="W231" s="102" t="s">
        <v>9079</v>
      </c>
      <c r="X231" s="102" t="s">
        <v>9080</v>
      </c>
      <c r="Y231" s="102" t="s">
        <v>4967</v>
      </c>
      <c r="Z231" s="102" t="s">
        <v>4968</v>
      </c>
      <c r="AA231" s="102"/>
    </row>
    <row r="232" hidden="1">
      <c r="A232" s="102" t="s">
        <v>332</v>
      </c>
      <c r="B232" s="102" t="s">
        <v>10098</v>
      </c>
      <c r="C232" s="229" t="s">
        <v>10099</v>
      </c>
      <c r="D232" s="102" t="s">
        <v>10100</v>
      </c>
      <c r="E232" s="102" t="s">
        <v>513</v>
      </c>
      <c r="F232" s="102" t="s">
        <v>514</v>
      </c>
      <c r="G232" s="102" t="s">
        <v>521</v>
      </c>
      <c r="H232" s="102" t="s">
        <v>522</v>
      </c>
      <c r="I232" s="102" t="s">
        <v>515</v>
      </c>
      <c r="J232" s="102" t="s">
        <v>336</v>
      </c>
      <c r="L232" s="229" t="s">
        <v>10101</v>
      </c>
      <c r="M232" s="229" t="s">
        <v>10102</v>
      </c>
      <c r="N232" s="102"/>
      <c r="O232" s="230"/>
      <c r="P232" s="102"/>
      <c r="S232" s="230"/>
      <c r="T232" s="230" t="str">
        <f>IF(ISNUMBER(MATCH(B232, 'Sprint 6'!B:B, 0)), "มาจาก Sprint 6", "")</f>
        <v/>
      </c>
      <c r="U232" s="230" t="str">
        <f t="array" ref="U232">IF(ISNUMBER(MATCH(B232, 'Sprint 6'!B:B, 0)), INDEX('Sprint 6'!J:J, MATCH(B232, 'Sprint 6'!B:B, 0)), "")</f>
        <v/>
      </c>
      <c r="V232" s="230"/>
      <c r="W232" s="102" t="s">
        <v>8754</v>
      </c>
      <c r="X232" s="102"/>
      <c r="Y232" s="102"/>
      <c r="Z232" s="102"/>
    </row>
    <row r="233" hidden="1">
      <c r="A233" s="102" t="s">
        <v>310</v>
      </c>
      <c r="B233" s="102" t="s">
        <v>10103</v>
      </c>
      <c r="C233" s="229" t="s">
        <v>10104</v>
      </c>
      <c r="D233" s="102" t="s">
        <v>10105</v>
      </c>
      <c r="E233" s="102" t="s">
        <v>282</v>
      </c>
      <c r="F233" s="102" t="s">
        <v>283</v>
      </c>
      <c r="G233" s="102" t="s">
        <v>282</v>
      </c>
      <c r="H233" s="102" t="s">
        <v>283</v>
      </c>
      <c r="I233" s="102" t="s">
        <v>284</v>
      </c>
      <c r="J233" s="102" t="s">
        <v>454</v>
      </c>
      <c r="L233" s="229" t="s">
        <v>10106</v>
      </c>
      <c r="M233" s="229" t="s">
        <v>9964</v>
      </c>
      <c r="O233" s="102">
        <v>2.0</v>
      </c>
      <c r="P233" s="102" t="s">
        <v>1808</v>
      </c>
      <c r="S233" s="102">
        <v>0.0</v>
      </c>
      <c r="T233" s="230" t="str">
        <f>IF(ISNUMBER(MATCH(B233, 'Sprint 6'!B:B, 0)), "มาจาก Sprint 6", "")</f>
        <v>มาจาก Sprint 6</v>
      </c>
      <c r="U233" s="230" t="str">
        <f t="array" ref="U233">IF(ISNUMBER(MATCH(B233, 'Sprint 6'!B:B, 0)), INDEX('Sprint 6'!J:J, MATCH(B233, 'Sprint 6'!B:B, 0)), "")</f>
        <v>Ready To Test</v>
      </c>
      <c r="V233" s="102">
        <v>21600.0</v>
      </c>
      <c r="W233" s="102" t="s">
        <v>10062</v>
      </c>
      <c r="X233" s="102" t="s">
        <v>9079</v>
      </c>
      <c r="Y233" s="102" t="s">
        <v>9080</v>
      </c>
      <c r="Z233" s="102" t="s">
        <v>4967</v>
      </c>
      <c r="AA233" s="102" t="s">
        <v>4968</v>
      </c>
    </row>
    <row r="234" hidden="1">
      <c r="A234" s="102" t="s">
        <v>310</v>
      </c>
      <c r="B234" s="102" t="s">
        <v>10107</v>
      </c>
      <c r="C234" s="229" t="s">
        <v>10108</v>
      </c>
      <c r="D234" s="102" t="s">
        <v>10109</v>
      </c>
      <c r="E234" s="102" t="s">
        <v>282</v>
      </c>
      <c r="F234" s="102" t="s">
        <v>283</v>
      </c>
      <c r="G234" s="102" t="s">
        <v>316</v>
      </c>
      <c r="H234" s="102" t="s">
        <v>317</v>
      </c>
      <c r="I234" s="102" t="s">
        <v>284</v>
      </c>
      <c r="J234" s="102" t="s">
        <v>26</v>
      </c>
      <c r="L234" s="229" t="s">
        <v>10110</v>
      </c>
      <c r="M234" s="229" t="s">
        <v>10111</v>
      </c>
      <c r="N234" s="229" t="s">
        <v>10112</v>
      </c>
      <c r="O234" s="230"/>
      <c r="P234" s="102" t="s">
        <v>593</v>
      </c>
      <c r="S234" s="230"/>
      <c r="T234" s="230" t="str">
        <f>IF(ISNUMBER(MATCH(B234, 'Sprint 6'!B:B, 0)), "มาจาก Sprint 6", "")</f>
        <v>มาจาก Sprint 6</v>
      </c>
      <c r="U234" s="230" t="str">
        <f t="array" ref="U234">IF(ISNUMBER(MATCH(B234, 'Sprint 6'!B:B, 0)), INDEX('Sprint 6'!J:J, MATCH(B234, 'Sprint 6'!B:B, 0)), "")</f>
        <v>To Do</v>
      </c>
      <c r="V234" s="102" t="s">
        <v>9669</v>
      </c>
      <c r="W234" s="102" t="s">
        <v>9079</v>
      </c>
      <c r="X234" s="102" t="s">
        <v>9080</v>
      </c>
      <c r="Y234" s="102" t="s">
        <v>4967</v>
      </c>
      <c r="Z234" s="102" t="s">
        <v>4968</v>
      </c>
      <c r="AA234" s="102"/>
      <c r="AB234" s="102"/>
      <c r="AC234" s="102"/>
      <c r="AD234" s="102"/>
    </row>
    <row r="235" hidden="1">
      <c r="A235" s="102" t="s">
        <v>332</v>
      </c>
      <c r="B235" s="102" t="s">
        <v>10113</v>
      </c>
      <c r="C235" s="229" t="s">
        <v>10114</v>
      </c>
      <c r="D235" s="102" t="s">
        <v>10115</v>
      </c>
      <c r="E235" s="102" t="s">
        <v>353</v>
      </c>
      <c r="F235" s="102" t="s">
        <v>354</v>
      </c>
      <c r="G235" s="102" t="s">
        <v>316</v>
      </c>
      <c r="H235" s="102" t="s">
        <v>317</v>
      </c>
      <c r="I235" s="102" t="s">
        <v>515</v>
      </c>
      <c r="J235" s="102" t="s">
        <v>336</v>
      </c>
      <c r="L235" s="229" t="s">
        <v>10116</v>
      </c>
      <c r="M235" s="229" t="s">
        <v>10117</v>
      </c>
      <c r="N235" s="102"/>
      <c r="O235" s="102">
        <v>3.0</v>
      </c>
      <c r="S235" s="230"/>
      <c r="T235" s="230" t="str">
        <f>IF(ISNUMBER(MATCH(B235, 'Sprint 6'!B:B, 0)), "มาจาก Sprint 6", "")</f>
        <v>มาจาก Sprint 6</v>
      </c>
      <c r="U235" s="230" t="str">
        <f t="array" ref="U235">IF(ISNUMBER(MATCH(B235, 'Sprint 6'!B:B, 0)), INDEX('Sprint 6'!J:J, MATCH(B235, 'Sprint 6'!B:B, 0)), "")</f>
        <v>Resolved</v>
      </c>
      <c r="V235" s="230"/>
      <c r="W235" s="102" t="s">
        <v>10062</v>
      </c>
      <c r="X235" s="102" t="s">
        <v>9079</v>
      </c>
      <c r="Y235" s="102" t="s">
        <v>9080</v>
      </c>
      <c r="Z235" s="102" t="s">
        <v>4967</v>
      </c>
      <c r="AA235" s="102" t="s">
        <v>4968</v>
      </c>
    </row>
    <row r="236" hidden="1">
      <c r="A236" s="102" t="s">
        <v>332</v>
      </c>
      <c r="B236" s="102" t="s">
        <v>10118</v>
      </c>
      <c r="C236" s="229" t="s">
        <v>10119</v>
      </c>
      <c r="D236" s="102" t="s">
        <v>10120</v>
      </c>
      <c r="E236" s="102" t="s">
        <v>513</v>
      </c>
      <c r="F236" s="102" t="s">
        <v>514</v>
      </c>
      <c r="G236" s="102" t="s">
        <v>521</v>
      </c>
      <c r="H236" s="102" t="s">
        <v>522</v>
      </c>
      <c r="I236" s="102" t="s">
        <v>284</v>
      </c>
      <c r="J236" s="102" t="s">
        <v>336</v>
      </c>
      <c r="L236" s="229" t="s">
        <v>10121</v>
      </c>
      <c r="M236" s="229" t="s">
        <v>10122</v>
      </c>
      <c r="N236" s="102"/>
      <c r="O236" s="230"/>
      <c r="S236" s="230"/>
      <c r="T236" s="230" t="str">
        <f>IF(ISNUMBER(MATCH(B236, 'Sprint 6'!B:B, 0)), "มาจาก Sprint 6", "")</f>
        <v>มาจาก Sprint 6</v>
      </c>
      <c r="U236" s="230" t="str">
        <f t="array" ref="U236">IF(ISNUMBER(MATCH(B236, 'Sprint 6'!B:B, 0)), INDEX('Sprint 6'!J:J, MATCH(B236, 'Sprint 6'!B:B, 0)), "")</f>
        <v>Resolved</v>
      </c>
      <c r="V236" s="230"/>
      <c r="W236" s="102" t="s">
        <v>10123</v>
      </c>
      <c r="X236" s="102" t="s">
        <v>10124</v>
      </c>
      <c r="Y236" s="102" t="s">
        <v>7695</v>
      </c>
      <c r="Z236" s="102" t="s">
        <v>10125</v>
      </c>
      <c r="AA236" s="102" t="s">
        <v>10125</v>
      </c>
      <c r="AB236" s="102" t="s">
        <v>9183</v>
      </c>
      <c r="AC236" s="102" t="s">
        <v>9184</v>
      </c>
      <c r="AD236" s="102" t="s">
        <v>8754</v>
      </c>
    </row>
    <row r="237" hidden="1">
      <c r="A237" s="102" t="s">
        <v>332</v>
      </c>
      <c r="B237" s="102" t="s">
        <v>10126</v>
      </c>
      <c r="C237" s="229" t="s">
        <v>10127</v>
      </c>
      <c r="D237" s="102" t="s">
        <v>10128</v>
      </c>
      <c r="E237" s="102" t="s">
        <v>353</v>
      </c>
      <c r="F237" s="102" t="s">
        <v>354</v>
      </c>
      <c r="G237" s="102" t="s">
        <v>316</v>
      </c>
      <c r="H237" s="102" t="s">
        <v>317</v>
      </c>
      <c r="I237" s="102" t="s">
        <v>515</v>
      </c>
      <c r="J237" s="102" t="s">
        <v>922</v>
      </c>
      <c r="L237" s="229" t="s">
        <v>10129</v>
      </c>
      <c r="M237" s="229" t="s">
        <v>10130</v>
      </c>
      <c r="N237" s="229" t="s">
        <v>10131</v>
      </c>
      <c r="O237" s="102">
        <v>3.0</v>
      </c>
      <c r="P237" s="102" t="s">
        <v>593</v>
      </c>
      <c r="S237" s="230"/>
      <c r="T237" s="230" t="str">
        <f>IF(ISNUMBER(MATCH(B237, 'Sprint 6'!B:B, 0)), "มาจาก Sprint 6", "")</f>
        <v>มาจาก Sprint 6</v>
      </c>
      <c r="U237" s="230" t="str">
        <f t="array" ref="U237">IF(ISNUMBER(MATCH(B237, 'Sprint 6'!B:B, 0)), INDEX('Sprint 6'!J:J, MATCH(B237, 'Sprint 6'!B:B, 0)), "")</f>
        <v>Solution Proposal Pending</v>
      </c>
      <c r="V237" s="230"/>
      <c r="W237" s="102" t="s">
        <v>9079</v>
      </c>
      <c r="X237" s="102" t="s">
        <v>4967</v>
      </c>
      <c r="Y237" s="102" t="s">
        <v>4968</v>
      </c>
    </row>
    <row r="238" hidden="1">
      <c r="A238" s="102" t="s">
        <v>332</v>
      </c>
      <c r="B238" s="102" t="s">
        <v>10132</v>
      </c>
      <c r="C238" s="229" t="s">
        <v>10133</v>
      </c>
      <c r="D238" s="102" t="s">
        <v>10134</v>
      </c>
      <c r="E238" s="102" t="s">
        <v>282</v>
      </c>
      <c r="F238" s="102" t="s">
        <v>283</v>
      </c>
      <c r="G238" s="102" t="s">
        <v>316</v>
      </c>
      <c r="H238" s="102" t="s">
        <v>317</v>
      </c>
      <c r="I238" s="102" t="s">
        <v>515</v>
      </c>
      <c r="J238" s="102" t="s">
        <v>2231</v>
      </c>
      <c r="L238" s="229" t="s">
        <v>10135</v>
      </c>
      <c r="M238" s="229" t="s">
        <v>9964</v>
      </c>
      <c r="N238" s="229" t="s">
        <v>10136</v>
      </c>
      <c r="O238" s="230"/>
      <c r="S238" s="230"/>
      <c r="T238" s="230" t="str">
        <f>IF(ISNUMBER(MATCH(B238, 'Sprint 6'!B:B, 0)), "มาจาก Sprint 6", "")</f>
        <v>มาจาก Sprint 6</v>
      </c>
      <c r="U238" s="230" t="str">
        <f t="array" ref="U238">IF(ISNUMBER(MATCH(B238, 'Sprint 6'!B:B, 0)), INDEX('Sprint 6'!J:J, MATCH(B238, 'Sprint 6'!B:B, 0)), "")</f>
        <v>UNDER VALIDATION</v>
      </c>
      <c r="V238" s="230"/>
      <c r="W238" s="102" t="s">
        <v>9079</v>
      </c>
      <c r="X238" s="102" t="s">
        <v>9080</v>
      </c>
      <c r="Y238" s="102" t="s">
        <v>4967</v>
      </c>
      <c r="Z238" s="102" t="s">
        <v>4968</v>
      </c>
    </row>
    <row r="239" hidden="1">
      <c r="O239" s="230"/>
      <c r="S239" s="230"/>
      <c r="T239" s="230"/>
      <c r="U239" s="230"/>
      <c r="V239" s="230"/>
    </row>
    <row r="240" hidden="1">
      <c r="O240" s="230"/>
      <c r="S240" s="230"/>
      <c r="T240" s="230"/>
      <c r="U240" s="230"/>
      <c r="V240" s="230"/>
    </row>
    <row r="241" hidden="1">
      <c r="O241" s="230"/>
      <c r="S241" s="230"/>
      <c r="T241" s="230"/>
      <c r="U241" s="230"/>
      <c r="V241" s="230"/>
    </row>
    <row r="242" hidden="1">
      <c r="O242" s="230"/>
      <c r="S242" s="230"/>
      <c r="T242" s="230"/>
      <c r="U242" s="230"/>
      <c r="V242" s="230"/>
    </row>
    <row r="243" hidden="1">
      <c r="O243" s="230"/>
      <c r="S243" s="230"/>
      <c r="T243" s="230"/>
      <c r="U243" s="230"/>
      <c r="V243" s="230"/>
    </row>
    <row r="244" hidden="1">
      <c r="O244" s="230"/>
      <c r="S244" s="230"/>
      <c r="T244" s="230"/>
      <c r="U244" s="230"/>
      <c r="V244" s="230"/>
    </row>
    <row r="245" hidden="1">
      <c r="O245" s="230"/>
      <c r="S245" s="230"/>
      <c r="T245" s="230"/>
      <c r="U245" s="230"/>
      <c r="V245" s="230"/>
    </row>
    <row r="246" hidden="1">
      <c r="O246" s="230"/>
      <c r="S246" s="230"/>
      <c r="T246" s="230"/>
      <c r="U246" s="230"/>
      <c r="V246" s="230"/>
    </row>
    <row r="247" hidden="1">
      <c r="O247" s="230"/>
      <c r="S247" s="230"/>
      <c r="T247" s="230"/>
      <c r="U247" s="230"/>
      <c r="V247" s="230"/>
    </row>
    <row r="248" hidden="1">
      <c r="O248" s="230"/>
      <c r="S248" s="230"/>
      <c r="T248" s="230"/>
      <c r="U248" s="230"/>
      <c r="V248" s="230"/>
    </row>
    <row r="249" hidden="1">
      <c r="O249" s="230"/>
      <c r="S249" s="230"/>
      <c r="T249" s="230"/>
      <c r="U249" s="230"/>
      <c r="V249" s="230"/>
    </row>
    <row r="250" hidden="1">
      <c r="O250" s="230"/>
      <c r="S250" s="230"/>
      <c r="T250" s="230"/>
      <c r="U250" s="230"/>
      <c r="V250" s="230"/>
    </row>
    <row r="251" hidden="1">
      <c r="O251" s="230"/>
      <c r="S251" s="230"/>
      <c r="T251" s="230"/>
      <c r="U251" s="230"/>
      <c r="V251" s="230"/>
    </row>
    <row r="252" hidden="1">
      <c r="O252" s="230"/>
      <c r="S252" s="230"/>
      <c r="T252" s="230"/>
      <c r="U252" s="230"/>
      <c r="V252" s="230"/>
    </row>
    <row r="253" hidden="1">
      <c r="O253" s="230"/>
      <c r="S253" s="230"/>
      <c r="T253" s="230"/>
      <c r="U253" s="230"/>
      <c r="V253" s="230"/>
    </row>
    <row r="254" hidden="1">
      <c r="O254" s="230"/>
      <c r="S254" s="230"/>
      <c r="T254" s="230"/>
      <c r="U254" s="230"/>
      <c r="V254" s="230"/>
    </row>
    <row r="255" hidden="1">
      <c r="O255" s="230"/>
      <c r="S255" s="230"/>
      <c r="T255" s="230"/>
      <c r="U255" s="230"/>
      <c r="V255" s="230"/>
    </row>
    <row r="256" hidden="1">
      <c r="O256" s="230"/>
      <c r="S256" s="230"/>
      <c r="T256" s="230"/>
      <c r="U256" s="230"/>
      <c r="V256" s="230"/>
    </row>
    <row r="257" hidden="1">
      <c r="O257" s="230"/>
      <c r="S257" s="230"/>
      <c r="T257" s="230"/>
      <c r="U257" s="230"/>
      <c r="V257" s="230"/>
    </row>
    <row r="258" hidden="1">
      <c r="O258" s="230"/>
      <c r="S258" s="230"/>
      <c r="T258" s="230"/>
      <c r="U258" s="230"/>
      <c r="V258" s="230"/>
    </row>
    <row r="259" hidden="1">
      <c r="O259" s="230"/>
      <c r="S259" s="230"/>
      <c r="T259" s="230"/>
      <c r="U259" s="230"/>
      <c r="V259" s="230"/>
    </row>
    <row r="260" hidden="1">
      <c r="O260" s="230"/>
      <c r="S260" s="230"/>
      <c r="T260" s="230"/>
      <c r="U260" s="230"/>
      <c r="V260" s="230"/>
    </row>
    <row r="261" hidden="1">
      <c r="O261" s="230"/>
      <c r="S261" s="230"/>
      <c r="T261" s="230"/>
      <c r="U261" s="230"/>
      <c r="V261" s="230"/>
    </row>
    <row r="262" hidden="1">
      <c r="O262" s="230"/>
      <c r="S262" s="230"/>
      <c r="T262" s="230"/>
      <c r="U262" s="230"/>
      <c r="V262" s="230"/>
    </row>
    <row r="263" hidden="1">
      <c r="O263" s="230"/>
      <c r="S263" s="230"/>
      <c r="T263" s="230"/>
      <c r="U263" s="230"/>
      <c r="V263" s="230"/>
    </row>
    <row r="264" hidden="1">
      <c r="O264" s="230"/>
      <c r="S264" s="230"/>
      <c r="T264" s="230"/>
      <c r="U264" s="230"/>
      <c r="V264" s="230"/>
    </row>
    <row r="265" hidden="1">
      <c r="O265" s="230"/>
      <c r="S265" s="230"/>
      <c r="T265" s="230"/>
      <c r="U265" s="230"/>
      <c r="V265" s="230"/>
    </row>
    <row r="266" hidden="1">
      <c r="O266" s="230"/>
      <c r="S266" s="230"/>
      <c r="T266" s="230"/>
      <c r="U266" s="230"/>
      <c r="V266" s="230"/>
    </row>
    <row r="267" hidden="1">
      <c r="O267" s="230"/>
      <c r="S267" s="230"/>
      <c r="T267" s="230"/>
      <c r="U267" s="230"/>
      <c r="V267" s="230"/>
    </row>
    <row r="268" hidden="1">
      <c r="O268" s="230"/>
      <c r="S268" s="230"/>
      <c r="T268" s="230"/>
      <c r="U268" s="230"/>
      <c r="V268" s="230"/>
    </row>
    <row r="269" hidden="1">
      <c r="O269" s="230"/>
      <c r="S269" s="230"/>
      <c r="T269" s="230"/>
      <c r="U269" s="230"/>
      <c r="V269" s="230"/>
    </row>
    <row r="270" hidden="1">
      <c r="O270" s="230"/>
      <c r="S270" s="230"/>
      <c r="T270" s="230"/>
      <c r="U270" s="230"/>
      <c r="V270" s="230"/>
    </row>
    <row r="271" hidden="1">
      <c r="O271" s="230"/>
      <c r="S271" s="230"/>
      <c r="T271" s="230"/>
      <c r="U271" s="230"/>
      <c r="V271" s="230"/>
    </row>
    <row r="272" hidden="1">
      <c r="O272" s="230"/>
      <c r="S272" s="230"/>
      <c r="T272" s="230"/>
      <c r="U272" s="230"/>
      <c r="V272" s="230"/>
    </row>
    <row r="273" hidden="1">
      <c r="O273" s="230"/>
      <c r="S273" s="230"/>
      <c r="T273" s="230"/>
      <c r="U273" s="230"/>
      <c r="V273" s="230"/>
    </row>
    <row r="274" hidden="1">
      <c r="O274" s="230"/>
      <c r="S274" s="230"/>
      <c r="T274" s="230"/>
      <c r="U274" s="230"/>
      <c r="V274" s="230"/>
    </row>
    <row r="275" hidden="1">
      <c r="O275" s="230"/>
      <c r="S275" s="230"/>
      <c r="T275" s="230"/>
      <c r="U275" s="230"/>
      <c r="V275" s="230"/>
    </row>
    <row r="276" hidden="1">
      <c r="O276" s="230"/>
      <c r="S276" s="230"/>
      <c r="T276" s="230"/>
      <c r="U276" s="230"/>
      <c r="V276" s="230"/>
    </row>
    <row r="277" hidden="1">
      <c r="O277" s="230"/>
      <c r="S277" s="230"/>
      <c r="T277" s="230"/>
      <c r="U277" s="230"/>
      <c r="V277" s="230"/>
    </row>
    <row r="278" hidden="1">
      <c r="O278" s="230"/>
      <c r="S278" s="230"/>
      <c r="T278" s="230"/>
      <c r="U278" s="230"/>
      <c r="V278" s="230"/>
    </row>
    <row r="279" hidden="1">
      <c r="O279" s="230"/>
      <c r="S279" s="230"/>
      <c r="T279" s="230"/>
      <c r="U279" s="230"/>
      <c r="V279" s="230"/>
    </row>
    <row r="280" hidden="1">
      <c r="O280" s="230"/>
      <c r="S280" s="230"/>
      <c r="T280" s="230"/>
      <c r="U280" s="230"/>
      <c r="V280" s="230"/>
    </row>
    <row r="281" hidden="1">
      <c r="O281" s="230"/>
      <c r="S281" s="230"/>
      <c r="T281" s="230"/>
      <c r="U281" s="230"/>
      <c r="V281" s="230"/>
    </row>
    <row r="282" hidden="1">
      <c r="O282" s="230"/>
      <c r="S282" s="230"/>
      <c r="T282" s="230"/>
      <c r="U282" s="230"/>
      <c r="V282" s="230"/>
    </row>
    <row r="283" hidden="1">
      <c r="O283" s="230"/>
      <c r="S283" s="230"/>
      <c r="T283" s="230"/>
      <c r="U283" s="230"/>
      <c r="V283" s="230"/>
    </row>
    <row r="284" hidden="1">
      <c r="O284" s="230"/>
      <c r="S284" s="230"/>
      <c r="T284" s="230"/>
      <c r="U284" s="230"/>
      <c r="V284" s="230"/>
    </row>
    <row r="285" hidden="1">
      <c r="O285" s="230"/>
      <c r="S285" s="230"/>
      <c r="T285" s="230"/>
      <c r="U285" s="230"/>
      <c r="V285" s="230"/>
    </row>
    <row r="286" hidden="1">
      <c r="O286" s="230"/>
      <c r="S286" s="230"/>
      <c r="T286" s="230"/>
      <c r="U286" s="230"/>
      <c r="V286" s="230"/>
    </row>
    <row r="287" hidden="1">
      <c r="O287" s="230"/>
      <c r="S287" s="230"/>
      <c r="T287" s="230"/>
      <c r="U287" s="230"/>
      <c r="V287" s="230"/>
    </row>
    <row r="288" hidden="1">
      <c r="O288" s="230"/>
      <c r="S288" s="230"/>
      <c r="T288" s="230"/>
      <c r="U288" s="230"/>
      <c r="V288" s="230"/>
    </row>
    <row r="289" hidden="1">
      <c r="O289" s="230"/>
      <c r="S289" s="230"/>
      <c r="T289" s="230"/>
      <c r="U289" s="230"/>
      <c r="V289" s="230"/>
    </row>
    <row r="290" hidden="1">
      <c r="O290" s="230"/>
      <c r="S290" s="230"/>
      <c r="T290" s="230"/>
      <c r="U290" s="230"/>
      <c r="V290" s="230"/>
    </row>
    <row r="291" hidden="1">
      <c r="O291" s="230"/>
      <c r="S291" s="230"/>
      <c r="T291" s="230"/>
      <c r="U291" s="230"/>
      <c r="V291" s="230"/>
    </row>
    <row r="292" hidden="1">
      <c r="O292" s="230"/>
      <c r="S292" s="230"/>
      <c r="T292" s="230"/>
      <c r="U292" s="230"/>
      <c r="V292" s="230"/>
    </row>
    <row r="293" hidden="1">
      <c r="O293" s="230"/>
      <c r="S293" s="230"/>
      <c r="T293" s="230"/>
      <c r="U293" s="230"/>
      <c r="V293" s="230"/>
    </row>
    <row r="294" hidden="1">
      <c r="O294" s="230"/>
      <c r="S294" s="230"/>
      <c r="T294" s="230"/>
      <c r="U294" s="230"/>
      <c r="V294" s="230"/>
    </row>
    <row r="295" hidden="1">
      <c r="O295" s="230"/>
      <c r="S295" s="230"/>
      <c r="T295" s="230"/>
      <c r="U295" s="230"/>
      <c r="V295" s="230"/>
    </row>
    <row r="296" hidden="1">
      <c r="O296" s="230"/>
      <c r="S296" s="230"/>
      <c r="T296" s="230"/>
      <c r="U296" s="230"/>
      <c r="V296" s="230"/>
    </row>
    <row r="297" hidden="1">
      <c r="O297" s="230"/>
      <c r="S297" s="230"/>
      <c r="T297" s="230"/>
      <c r="U297" s="230"/>
      <c r="V297" s="230"/>
    </row>
    <row r="298" hidden="1">
      <c r="O298" s="230"/>
      <c r="S298" s="230"/>
      <c r="T298" s="230"/>
      <c r="U298" s="230"/>
      <c r="V298" s="230"/>
    </row>
    <row r="299" hidden="1">
      <c r="O299" s="230"/>
      <c r="S299" s="230"/>
      <c r="T299" s="230"/>
      <c r="U299" s="230"/>
      <c r="V299" s="230"/>
    </row>
    <row r="300" hidden="1">
      <c r="O300" s="230"/>
      <c r="S300" s="230"/>
      <c r="T300" s="230"/>
      <c r="U300" s="230"/>
      <c r="V300" s="230"/>
    </row>
    <row r="301" hidden="1">
      <c r="O301" s="230"/>
      <c r="S301" s="230"/>
      <c r="T301" s="230"/>
      <c r="U301" s="230"/>
      <c r="V301" s="230"/>
    </row>
    <row r="302" hidden="1">
      <c r="O302" s="230"/>
      <c r="S302" s="230"/>
      <c r="T302" s="230"/>
      <c r="U302" s="230"/>
      <c r="V302" s="230"/>
    </row>
    <row r="303" hidden="1">
      <c r="O303" s="230"/>
      <c r="S303" s="230"/>
      <c r="T303" s="230"/>
      <c r="U303" s="230"/>
      <c r="V303" s="230"/>
    </row>
    <row r="304" hidden="1">
      <c r="O304" s="230"/>
      <c r="S304" s="230"/>
      <c r="T304" s="230"/>
      <c r="U304" s="230"/>
      <c r="V304" s="230"/>
    </row>
    <row r="305" hidden="1">
      <c r="O305" s="230"/>
      <c r="S305" s="230"/>
      <c r="T305" s="230"/>
      <c r="U305" s="230"/>
      <c r="V305" s="230"/>
    </row>
    <row r="306" hidden="1">
      <c r="O306" s="230"/>
      <c r="S306" s="230"/>
      <c r="T306" s="230"/>
      <c r="U306" s="230"/>
      <c r="V306" s="230"/>
    </row>
    <row r="307" hidden="1">
      <c r="O307" s="230"/>
      <c r="S307" s="230"/>
      <c r="T307" s="230"/>
      <c r="U307" s="230"/>
      <c r="V307" s="230"/>
    </row>
    <row r="308" hidden="1">
      <c r="O308" s="230"/>
      <c r="S308" s="230"/>
      <c r="T308" s="230"/>
      <c r="U308" s="230"/>
      <c r="V308" s="230"/>
    </row>
    <row r="309" hidden="1">
      <c r="O309" s="230"/>
      <c r="S309" s="230"/>
      <c r="T309" s="230"/>
      <c r="U309" s="230"/>
      <c r="V309" s="230"/>
    </row>
    <row r="310" hidden="1">
      <c r="O310" s="230"/>
      <c r="S310" s="230"/>
      <c r="T310" s="230"/>
      <c r="U310" s="230"/>
      <c r="V310" s="230"/>
    </row>
    <row r="311" hidden="1">
      <c r="O311" s="230"/>
      <c r="S311" s="230"/>
      <c r="T311" s="230"/>
      <c r="U311" s="230"/>
      <c r="V311" s="230"/>
    </row>
    <row r="312" hidden="1">
      <c r="O312" s="230"/>
      <c r="S312" s="230"/>
      <c r="T312" s="230"/>
      <c r="U312" s="230"/>
      <c r="V312" s="230"/>
    </row>
    <row r="313" hidden="1">
      <c r="O313" s="230"/>
      <c r="S313" s="230"/>
      <c r="T313" s="230"/>
      <c r="U313" s="230"/>
      <c r="V313" s="230"/>
    </row>
    <row r="314" hidden="1">
      <c r="O314" s="230"/>
      <c r="S314" s="230"/>
      <c r="T314" s="230"/>
      <c r="U314" s="230"/>
      <c r="V314" s="230"/>
    </row>
    <row r="315" hidden="1">
      <c r="O315" s="230"/>
      <c r="S315" s="230"/>
      <c r="T315" s="230"/>
      <c r="U315" s="230"/>
      <c r="V315" s="230"/>
    </row>
    <row r="316" hidden="1">
      <c r="O316" s="230"/>
      <c r="S316" s="230"/>
      <c r="T316" s="230"/>
      <c r="U316" s="230"/>
      <c r="V316" s="230"/>
    </row>
    <row r="317" hidden="1">
      <c r="O317" s="230"/>
      <c r="S317" s="230"/>
      <c r="T317" s="230"/>
      <c r="U317" s="230"/>
      <c r="V317" s="230"/>
    </row>
    <row r="318" hidden="1">
      <c r="O318" s="230"/>
      <c r="S318" s="230"/>
      <c r="T318" s="230"/>
      <c r="U318" s="230"/>
      <c r="V318" s="230"/>
    </row>
    <row r="319" hidden="1">
      <c r="O319" s="230"/>
      <c r="S319" s="230"/>
      <c r="T319" s="230"/>
      <c r="U319" s="230"/>
      <c r="V319" s="230"/>
    </row>
    <row r="320" hidden="1">
      <c r="O320" s="230"/>
      <c r="S320" s="230"/>
      <c r="T320" s="230"/>
      <c r="U320" s="230"/>
      <c r="V320" s="230"/>
    </row>
    <row r="321" hidden="1">
      <c r="O321" s="230"/>
      <c r="S321" s="230"/>
      <c r="T321" s="230"/>
      <c r="U321" s="230"/>
      <c r="V321" s="230"/>
    </row>
    <row r="322" hidden="1">
      <c r="O322" s="230"/>
      <c r="S322" s="230"/>
      <c r="T322" s="230"/>
      <c r="U322" s="230"/>
      <c r="V322" s="230"/>
    </row>
    <row r="323" hidden="1">
      <c r="O323" s="230"/>
      <c r="S323" s="230"/>
      <c r="T323" s="230"/>
      <c r="U323" s="230"/>
      <c r="V323" s="230"/>
    </row>
    <row r="324" hidden="1">
      <c r="O324" s="230"/>
      <c r="S324" s="230"/>
      <c r="T324" s="230"/>
      <c r="U324" s="230"/>
      <c r="V324" s="230"/>
    </row>
    <row r="325" hidden="1">
      <c r="O325" s="230"/>
      <c r="S325" s="230"/>
      <c r="T325" s="230"/>
      <c r="U325" s="230"/>
      <c r="V325" s="230"/>
    </row>
    <row r="326" hidden="1">
      <c r="O326" s="230"/>
      <c r="S326" s="230"/>
      <c r="T326" s="230"/>
      <c r="U326" s="230"/>
      <c r="V326" s="230"/>
    </row>
    <row r="327" hidden="1">
      <c r="O327" s="230"/>
      <c r="S327" s="230"/>
      <c r="T327" s="230"/>
      <c r="U327" s="230"/>
      <c r="V327" s="230"/>
    </row>
    <row r="328" hidden="1">
      <c r="O328" s="230"/>
      <c r="S328" s="230"/>
      <c r="T328" s="230"/>
      <c r="U328" s="230"/>
      <c r="V328" s="230"/>
    </row>
    <row r="329" hidden="1">
      <c r="O329" s="230"/>
      <c r="S329" s="230"/>
      <c r="T329" s="230"/>
      <c r="U329" s="230"/>
      <c r="V329" s="230"/>
    </row>
    <row r="330" hidden="1">
      <c r="O330" s="230"/>
      <c r="S330" s="230"/>
      <c r="T330" s="230"/>
      <c r="U330" s="230"/>
      <c r="V330" s="230"/>
    </row>
    <row r="331" hidden="1">
      <c r="O331" s="230"/>
      <c r="S331" s="230"/>
      <c r="T331" s="230"/>
      <c r="U331" s="230"/>
      <c r="V331" s="230"/>
    </row>
    <row r="332" hidden="1">
      <c r="O332" s="230"/>
      <c r="S332" s="230"/>
      <c r="T332" s="230"/>
      <c r="U332" s="230"/>
      <c r="V332" s="230"/>
    </row>
    <row r="333" hidden="1">
      <c r="O333" s="230"/>
      <c r="S333" s="230"/>
      <c r="T333" s="230"/>
      <c r="U333" s="230"/>
      <c r="V333" s="230"/>
    </row>
    <row r="334" hidden="1">
      <c r="O334" s="230"/>
      <c r="S334" s="230"/>
      <c r="T334" s="230"/>
      <c r="U334" s="230"/>
      <c r="V334" s="230"/>
    </row>
    <row r="335" hidden="1">
      <c r="O335" s="230"/>
      <c r="S335" s="230"/>
      <c r="T335" s="230"/>
      <c r="U335" s="230"/>
      <c r="V335" s="230"/>
    </row>
    <row r="336" hidden="1">
      <c r="O336" s="230"/>
      <c r="S336" s="230"/>
      <c r="T336" s="230"/>
      <c r="U336" s="230"/>
      <c r="V336" s="230"/>
    </row>
    <row r="337" hidden="1">
      <c r="O337" s="230"/>
      <c r="S337" s="230"/>
      <c r="T337" s="230"/>
      <c r="U337" s="230"/>
      <c r="V337" s="230"/>
    </row>
    <row r="338" hidden="1">
      <c r="O338" s="230"/>
      <c r="S338" s="230"/>
      <c r="T338" s="230"/>
      <c r="U338" s="230"/>
      <c r="V338" s="230"/>
    </row>
    <row r="339" hidden="1">
      <c r="O339" s="230"/>
      <c r="S339" s="230"/>
      <c r="T339" s="230"/>
      <c r="U339" s="230"/>
      <c r="V339" s="230"/>
    </row>
    <row r="340" hidden="1">
      <c r="O340" s="230"/>
      <c r="S340" s="230"/>
      <c r="T340" s="230"/>
      <c r="U340" s="230"/>
      <c r="V340" s="230"/>
    </row>
    <row r="341" hidden="1">
      <c r="O341" s="230"/>
      <c r="S341" s="230"/>
      <c r="T341" s="230"/>
      <c r="U341" s="230"/>
      <c r="V341" s="230"/>
    </row>
    <row r="342" hidden="1">
      <c r="O342" s="230"/>
      <c r="S342" s="230"/>
      <c r="T342" s="230"/>
      <c r="U342" s="230"/>
      <c r="V342" s="230"/>
    </row>
    <row r="343" hidden="1">
      <c r="O343" s="230"/>
      <c r="S343" s="230"/>
      <c r="T343" s="230"/>
      <c r="U343" s="230"/>
      <c r="V343" s="230"/>
    </row>
    <row r="344" hidden="1">
      <c r="O344" s="230"/>
      <c r="S344" s="230"/>
      <c r="T344" s="230"/>
      <c r="U344" s="230"/>
      <c r="V344" s="230"/>
    </row>
    <row r="345" hidden="1">
      <c r="O345" s="230"/>
      <c r="S345" s="230"/>
      <c r="T345" s="230"/>
      <c r="U345" s="230"/>
      <c r="V345" s="230"/>
    </row>
    <row r="346" hidden="1">
      <c r="O346" s="230"/>
      <c r="S346" s="230"/>
      <c r="T346" s="230"/>
      <c r="U346" s="230"/>
      <c r="V346" s="230"/>
    </row>
    <row r="347" hidden="1">
      <c r="O347" s="230"/>
      <c r="S347" s="230"/>
      <c r="T347" s="230"/>
      <c r="U347" s="230"/>
      <c r="V347" s="230"/>
    </row>
    <row r="348" hidden="1">
      <c r="O348" s="230"/>
      <c r="S348" s="230"/>
      <c r="T348" s="230"/>
      <c r="U348" s="230"/>
      <c r="V348" s="230"/>
    </row>
    <row r="349" hidden="1">
      <c r="O349" s="230"/>
      <c r="S349" s="230"/>
      <c r="T349" s="230"/>
      <c r="U349" s="230"/>
      <c r="V349" s="230"/>
    </row>
    <row r="350" hidden="1">
      <c r="O350" s="230"/>
      <c r="S350" s="230"/>
      <c r="T350" s="230"/>
      <c r="U350" s="230"/>
      <c r="V350" s="230"/>
    </row>
    <row r="351" hidden="1">
      <c r="O351" s="230"/>
      <c r="S351" s="230"/>
      <c r="T351" s="230"/>
      <c r="U351" s="230"/>
      <c r="V351" s="230"/>
    </row>
    <row r="352" hidden="1">
      <c r="O352" s="230"/>
      <c r="S352" s="230"/>
      <c r="T352" s="230"/>
      <c r="U352" s="230"/>
      <c r="V352" s="230"/>
    </row>
    <row r="353" hidden="1">
      <c r="O353" s="230"/>
      <c r="S353" s="230"/>
      <c r="T353" s="230"/>
      <c r="U353" s="230"/>
      <c r="V353" s="230"/>
    </row>
    <row r="354" hidden="1">
      <c r="O354" s="230"/>
      <c r="S354" s="230"/>
      <c r="T354" s="230"/>
      <c r="U354" s="230"/>
      <c r="V354" s="230"/>
    </row>
    <row r="355" hidden="1">
      <c r="O355" s="230"/>
      <c r="S355" s="230"/>
      <c r="T355" s="230"/>
      <c r="U355" s="230"/>
      <c r="V355" s="230"/>
    </row>
    <row r="356" hidden="1">
      <c r="O356" s="230"/>
      <c r="S356" s="230"/>
      <c r="T356" s="230"/>
      <c r="U356" s="230"/>
      <c r="V356" s="230"/>
    </row>
    <row r="357" hidden="1">
      <c r="O357" s="230"/>
      <c r="S357" s="230"/>
      <c r="T357" s="230"/>
      <c r="U357" s="230"/>
      <c r="V357" s="230"/>
    </row>
    <row r="358" hidden="1">
      <c r="O358" s="230"/>
      <c r="S358" s="230"/>
      <c r="T358" s="230"/>
      <c r="U358" s="230"/>
      <c r="V358" s="230"/>
    </row>
    <row r="359" hidden="1">
      <c r="O359" s="230"/>
      <c r="S359" s="230"/>
      <c r="T359" s="230"/>
      <c r="U359" s="230"/>
      <c r="V359" s="230"/>
    </row>
    <row r="360" hidden="1">
      <c r="O360" s="230"/>
      <c r="S360" s="230"/>
      <c r="T360" s="230"/>
      <c r="U360" s="230"/>
      <c r="V360" s="230"/>
    </row>
    <row r="361" hidden="1">
      <c r="O361" s="230"/>
      <c r="S361" s="230"/>
      <c r="T361" s="230"/>
      <c r="U361" s="230"/>
      <c r="V361" s="230"/>
    </row>
    <row r="362" hidden="1">
      <c r="O362" s="230"/>
      <c r="S362" s="230"/>
      <c r="T362" s="230"/>
      <c r="U362" s="230"/>
      <c r="V362" s="230"/>
    </row>
    <row r="363" hidden="1">
      <c r="O363" s="230"/>
      <c r="S363" s="230"/>
      <c r="T363" s="230"/>
      <c r="U363" s="230"/>
      <c r="V363" s="230"/>
    </row>
    <row r="364" hidden="1">
      <c r="O364" s="230"/>
      <c r="S364" s="230"/>
      <c r="T364" s="230"/>
      <c r="U364" s="230"/>
      <c r="V364" s="230"/>
    </row>
    <row r="365" hidden="1">
      <c r="O365" s="230"/>
      <c r="S365" s="230"/>
      <c r="T365" s="230"/>
      <c r="U365" s="230"/>
      <c r="V365" s="230"/>
    </row>
    <row r="366" hidden="1">
      <c r="O366" s="230"/>
      <c r="S366" s="230"/>
      <c r="T366" s="230"/>
      <c r="U366" s="230"/>
      <c r="V366" s="230"/>
    </row>
    <row r="367" hidden="1">
      <c r="O367" s="230"/>
      <c r="S367" s="230"/>
      <c r="T367" s="230"/>
      <c r="U367" s="230"/>
      <c r="V367" s="230"/>
    </row>
    <row r="368" hidden="1">
      <c r="O368" s="230"/>
      <c r="S368" s="230"/>
      <c r="T368" s="230"/>
      <c r="U368" s="230"/>
      <c r="V368" s="230"/>
    </row>
    <row r="369" hidden="1">
      <c r="O369" s="230"/>
      <c r="S369" s="230"/>
      <c r="T369" s="230"/>
      <c r="U369" s="230"/>
      <c r="V369" s="230"/>
    </row>
    <row r="370" hidden="1">
      <c r="O370" s="230"/>
      <c r="S370" s="230"/>
      <c r="T370" s="230"/>
      <c r="U370" s="230"/>
      <c r="V370" s="230"/>
    </row>
    <row r="371" hidden="1">
      <c r="O371" s="230"/>
      <c r="S371" s="230"/>
      <c r="T371" s="230"/>
      <c r="U371" s="230"/>
      <c r="V371" s="230"/>
    </row>
    <row r="372" hidden="1">
      <c r="O372" s="230"/>
      <c r="S372" s="230"/>
      <c r="T372" s="230"/>
      <c r="U372" s="230"/>
      <c r="V372" s="230"/>
    </row>
    <row r="373" hidden="1">
      <c r="O373" s="230"/>
      <c r="S373" s="230"/>
      <c r="T373" s="230"/>
      <c r="U373" s="230"/>
      <c r="V373" s="230"/>
    </row>
    <row r="374" hidden="1">
      <c r="O374" s="230"/>
      <c r="S374" s="230"/>
      <c r="T374" s="230"/>
      <c r="U374" s="230"/>
      <c r="V374" s="230"/>
    </row>
    <row r="375" hidden="1">
      <c r="O375" s="230"/>
      <c r="S375" s="230"/>
      <c r="T375" s="230"/>
      <c r="U375" s="230"/>
      <c r="V375" s="230"/>
    </row>
    <row r="376" hidden="1">
      <c r="O376" s="230"/>
      <c r="S376" s="230"/>
      <c r="T376" s="230"/>
      <c r="U376" s="230"/>
      <c r="V376" s="230"/>
    </row>
    <row r="377" hidden="1">
      <c r="O377" s="230"/>
      <c r="S377" s="230"/>
      <c r="T377" s="230"/>
      <c r="U377" s="230"/>
      <c r="V377" s="230"/>
    </row>
    <row r="378" hidden="1">
      <c r="O378" s="230"/>
      <c r="S378" s="230"/>
      <c r="T378" s="230"/>
      <c r="U378" s="230"/>
      <c r="V378" s="230"/>
    </row>
    <row r="379" hidden="1">
      <c r="O379" s="230"/>
      <c r="S379" s="230"/>
      <c r="T379" s="230"/>
      <c r="U379" s="230"/>
      <c r="V379" s="230"/>
    </row>
    <row r="380" hidden="1">
      <c r="O380" s="230"/>
      <c r="S380" s="230"/>
      <c r="T380" s="230"/>
      <c r="U380" s="230"/>
      <c r="V380" s="230"/>
    </row>
    <row r="381" hidden="1">
      <c r="O381" s="230"/>
      <c r="S381" s="230"/>
      <c r="T381" s="230"/>
      <c r="U381" s="230"/>
      <c r="V381" s="230"/>
    </row>
    <row r="382" hidden="1">
      <c r="O382" s="230"/>
      <c r="S382" s="230"/>
      <c r="T382" s="230"/>
      <c r="U382" s="230"/>
      <c r="V382" s="230"/>
    </row>
    <row r="383" hidden="1">
      <c r="O383" s="230"/>
      <c r="S383" s="230"/>
      <c r="T383" s="230"/>
      <c r="U383" s="230"/>
      <c r="V383" s="230"/>
    </row>
    <row r="384" hidden="1">
      <c r="O384" s="230"/>
      <c r="S384" s="230"/>
      <c r="T384" s="230"/>
      <c r="U384" s="230"/>
      <c r="V384" s="230"/>
    </row>
    <row r="385" hidden="1">
      <c r="O385" s="230"/>
      <c r="S385" s="230"/>
      <c r="T385" s="230"/>
      <c r="U385" s="230"/>
      <c r="V385" s="230"/>
    </row>
    <row r="386" hidden="1">
      <c r="O386" s="230"/>
      <c r="S386" s="230"/>
      <c r="T386" s="230"/>
      <c r="U386" s="230"/>
      <c r="V386" s="230"/>
    </row>
    <row r="387" hidden="1">
      <c r="O387" s="230"/>
      <c r="S387" s="230"/>
      <c r="T387" s="230"/>
      <c r="U387" s="230"/>
      <c r="V387" s="230"/>
    </row>
    <row r="388" hidden="1">
      <c r="O388" s="230"/>
      <c r="S388" s="230"/>
      <c r="T388" s="230"/>
      <c r="U388" s="230"/>
      <c r="V388" s="230"/>
    </row>
    <row r="389" hidden="1">
      <c r="O389" s="230"/>
      <c r="S389" s="230"/>
      <c r="T389" s="230"/>
      <c r="U389" s="230"/>
      <c r="V389" s="230"/>
    </row>
    <row r="390" hidden="1">
      <c r="O390" s="230"/>
      <c r="S390" s="230"/>
      <c r="T390" s="230"/>
      <c r="U390" s="230"/>
      <c r="V390" s="230"/>
    </row>
    <row r="391" hidden="1">
      <c r="O391" s="230"/>
      <c r="S391" s="230"/>
      <c r="T391" s="230"/>
      <c r="U391" s="230"/>
      <c r="V391" s="230"/>
    </row>
    <row r="392" hidden="1">
      <c r="O392" s="230"/>
      <c r="S392" s="230"/>
      <c r="T392" s="230"/>
      <c r="U392" s="230"/>
      <c r="V392" s="230"/>
    </row>
    <row r="393" hidden="1">
      <c r="O393" s="230"/>
      <c r="S393" s="230"/>
      <c r="T393" s="230"/>
      <c r="U393" s="230"/>
      <c r="V393" s="230"/>
    </row>
    <row r="394" hidden="1">
      <c r="O394" s="230"/>
      <c r="S394" s="230"/>
      <c r="T394" s="230"/>
      <c r="U394" s="230"/>
      <c r="V394" s="230"/>
    </row>
    <row r="395" hidden="1">
      <c r="O395" s="230"/>
      <c r="S395" s="230"/>
      <c r="T395" s="230"/>
      <c r="U395" s="230"/>
      <c r="V395" s="230"/>
    </row>
    <row r="396" hidden="1">
      <c r="O396" s="230"/>
      <c r="S396" s="230"/>
      <c r="T396" s="230"/>
      <c r="U396" s="230"/>
      <c r="V396" s="230"/>
    </row>
    <row r="397" hidden="1">
      <c r="O397" s="230"/>
      <c r="S397" s="230"/>
      <c r="T397" s="230"/>
      <c r="U397" s="230"/>
      <c r="V397" s="230"/>
    </row>
    <row r="398" hidden="1">
      <c r="O398" s="230"/>
      <c r="S398" s="230"/>
      <c r="T398" s="230"/>
      <c r="U398" s="230"/>
      <c r="V398" s="230"/>
    </row>
    <row r="399" hidden="1">
      <c r="O399" s="230"/>
      <c r="S399" s="230"/>
      <c r="T399" s="230"/>
      <c r="U399" s="230"/>
      <c r="V399" s="230"/>
    </row>
    <row r="400" hidden="1">
      <c r="O400" s="230"/>
      <c r="S400" s="230"/>
      <c r="T400" s="230"/>
      <c r="U400" s="230"/>
      <c r="V400" s="230"/>
    </row>
    <row r="401" hidden="1">
      <c r="O401" s="230"/>
      <c r="S401" s="230"/>
      <c r="T401" s="230"/>
      <c r="U401" s="230"/>
      <c r="V401" s="230"/>
    </row>
    <row r="402" hidden="1">
      <c r="O402" s="230"/>
      <c r="S402" s="230"/>
      <c r="T402" s="230"/>
      <c r="U402" s="230"/>
      <c r="V402" s="230"/>
    </row>
    <row r="403" hidden="1">
      <c r="O403" s="230"/>
      <c r="S403" s="230"/>
      <c r="T403" s="230"/>
      <c r="U403" s="230"/>
      <c r="V403" s="230"/>
    </row>
    <row r="404" hidden="1">
      <c r="O404" s="230"/>
      <c r="S404" s="230"/>
      <c r="T404" s="230"/>
      <c r="U404" s="230"/>
      <c r="V404" s="230"/>
    </row>
    <row r="405" hidden="1">
      <c r="O405" s="230"/>
      <c r="S405" s="230"/>
      <c r="T405" s="230"/>
      <c r="U405" s="230"/>
      <c r="V405" s="230"/>
    </row>
    <row r="406" hidden="1">
      <c r="O406" s="230"/>
      <c r="S406" s="230"/>
      <c r="T406" s="230"/>
      <c r="U406" s="230"/>
      <c r="V406" s="230"/>
    </row>
    <row r="407" hidden="1">
      <c r="O407" s="230"/>
      <c r="S407" s="230"/>
      <c r="T407" s="230"/>
      <c r="U407" s="230"/>
      <c r="V407" s="230"/>
    </row>
    <row r="408" hidden="1">
      <c r="O408" s="230"/>
      <c r="S408" s="230"/>
      <c r="T408" s="230"/>
      <c r="U408" s="230"/>
      <c r="V408" s="230"/>
    </row>
    <row r="409" hidden="1">
      <c r="O409" s="230"/>
      <c r="S409" s="230"/>
      <c r="T409" s="230"/>
      <c r="U409" s="230"/>
      <c r="V409" s="230"/>
    </row>
    <row r="410" hidden="1">
      <c r="O410" s="230"/>
      <c r="S410" s="230"/>
      <c r="T410" s="230"/>
      <c r="U410" s="230"/>
      <c r="V410" s="230"/>
    </row>
    <row r="411" hidden="1">
      <c r="O411" s="230"/>
      <c r="S411" s="230"/>
      <c r="T411" s="230"/>
      <c r="U411" s="230"/>
      <c r="V411" s="230"/>
    </row>
    <row r="412" hidden="1">
      <c r="O412" s="230"/>
      <c r="S412" s="230"/>
      <c r="T412" s="230"/>
      <c r="U412" s="230"/>
      <c r="V412" s="230"/>
    </row>
    <row r="413" hidden="1">
      <c r="O413" s="230"/>
      <c r="S413" s="230"/>
      <c r="T413" s="230"/>
      <c r="U413" s="230"/>
      <c r="V413" s="230"/>
    </row>
    <row r="414" hidden="1">
      <c r="O414" s="230"/>
      <c r="S414" s="230"/>
      <c r="T414" s="230"/>
      <c r="U414" s="230"/>
      <c r="V414" s="230"/>
    </row>
    <row r="415" hidden="1">
      <c r="O415" s="230"/>
      <c r="S415" s="230"/>
      <c r="T415" s="230"/>
      <c r="U415" s="230"/>
      <c r="V415" s="230"/>
    </row>
    <row r="416" hidden="1">
      <c r="O416" s="230"/>
      <c r="S416" s="230"/>
      <c r="T416" s="230"/>
      <c r="U416" s="230"/>
      <c r="V416" s="230"/>
    </row>
    <row r="417" hidden="1">
      <c r="O417" s="230"/>
      <c r="S417" s="230"/>
      <c r="T417" s="230"/>
      <c r="U417" s="230"/>
      <c r="V417" s="230"/>
    </row>
    <row r="418" hidden="1">
      <c r="O418" s="230"/>
      <c r="S418" s="230"/>
      <c r="T418" s="230"/>
      <c r="U418" s="230"/>
      <c r="V418" s="230"/>
    </row>
    <row r="419" hidden="1">
      <c r="O419" s="230"/>
      <c r="S419" s="230"/>
      <c r="T419" s="230"/>
      <c r="U419" s="230"/>
      <c r="V419" s="230"/>
    </row>
    <row r="420" hidden="1">
      <c r="O420" s="230"/>
      <c r="S420" s="230"/>
      <c r="T420" s="230"/>
      <c r="U420" s="230"/>
      <c r="V420" s="230"/>
    </row>
    <row r="421" hidden="1">
      <c r="O421" s="230"/>
      <c r="S421" s="230"/>
      <c r="T421" s="230"/>
      <c r="U421" s="230"/>
      <c r="V421" s="230"/>
    </row>
    <row r="422" hidden="1">
      <c r="O422" s="230"/>
      <c r="S422" s="230"/>
      <c r="T422" s="230"/>
      <c r="U422" s="230"/>
      <c r="V422" s="230"/>
    </row>
    <row r="423" hidden="1">
      <c r="O423" s="230"/>
      <c r="S423" s="230"/>
      <c r="T423" s="230"/>
      <c r="U423" s="230"/>
      <c r="V423" s="230"/>
    </row>
    <row r="424" hidden="1">
      <c r="O424" s="230"/>
      <c r="S424" s="230"/>
      <c r="T424" s="230"/>
      <c r="U424" s="230"/>
      <c r="V424" s="230"/>
    </row>
    <row r="425" hidden="1">
      <c r="O425" s="230"/>
      <c r="S425" s="230"/>
      <c r="T425" s="230"/>
      <c r="U425" s="230"/>
      <c r="V425" s="230"/>
    </row>
    <row r="426" hidden="1">
      <c r="O426" s="230"/>
      <c r="S426" s="230"/>
      <c r="T426" s="230"/>
      <c r="U426" s="230"/>
      <c r="V426" s="230"/>
    </row>
    <row r="427" hidden="1">
      <c r="O427" s="230"/>
      <c r="S427" s="230"/>
      <c r="T427" s="230"/>
      <c r="U427" s="230"/>
      <c r="V427" s="230"/>
    </row>
    <row r="428" hidden="1">
      <c r="O428" s="230"/>
      <c r="S428" s="230"/>
      <c r="T428" s="230"/>
      <c r="U428" s="230"/>
      <c r="V428" s="230"/>
    </row>
    <row r="429" hidden="1">
      <c r="O429" s="230"/>
      <c r="S429" s="230"/>
      <c r="T429" s="230"/>
      <c r="U429" s="230"/>
      <c r="V429" s="230"/>
    </row>
    <row r="430" hidden="1">
      <c r="O430" s="230"/>
      <c r="S430" s="230"/>
      <c r="T430" s="230"/>
      <c r="U430" s="230"/>
      <c r="V430" s="230"/>
    </row>
    <row r="431" hidden="1">
      <c r="O431" s="230"/>
      <c r="S431" s="230"/>
      <c r="T431" s="230"/>
      <c r="U431" s="230"/>
      <c r="V431" s="230"/>
    </row>
    <row r="432" hidden="1">
      <c r="O432" s="230"/>
      <c r="S432" s="230"/>
      <c r="T432" s="230"/>
      <c r="U432" s="230"/>
      <c r="V432" s="230"/>
    </row>
    <row r="433" hidden="1">
      <c r="O433" s="230"/>
      <c r="S433" s="230"/>
      <c r="T433" s="230"/>
      <c r="U433" s="230"/>
      <c r="V433" s="230"/>
    </row>
    <row r="434" hidden="1">
      <c r="O434" s="230"/>
      <c r="S434" s="230"/>
      <c r="T434" s="230"/>
      <c r="U434" s="230"/>
      <c r="V434" s="230"/>
    </row>
    <row r="435" hidden="1">
      <c r="O435" s="230"/>
      <c r="S435" s="230"/>
      <c r="T435" s="230"/>
      <c r="U435" s="230"/>
      <c r="V435" s="230"/>
    </row>
    <row r="436" hidden="1">
      <c r="O436" s="230"/>
      <c r="S436" s="230"/>
      <c r="T436" s="230"/>
      <c r="U436" s="230"/>
      <c r="V436" s="230"/>
    </row>
    <row r="437" hidden="1">
      <c r="O437" s="230"/>
      <c r="S437" s="230"/>
      <c r="T437" s="230"/>
      <c r="U437" s="230"/>
      <c r="V437" s="230"/>
    </row>
    <row r="438" hidden="1">
      <c r="O438" s="230"/>
      <c r="S438" s="230"/>
      <c r="T438" s="230"/>
      <c r="U438" s="230"/>
      <c r="V438" s="230"/>
    </row>
    <row r="439" hidden="1">
      <c r="O439" s="230"/>
      <c r="S439" s="230"/>
      <c r="T439" s="230"/>
      <c r="U439" s="230"/>
      <c r="V439" s="230"/>
    </row>
    <row r="440" hidden="1">
      <c r="O440" s="230"/>
      <c r="S440" s="230"/>
      <c r="T440" s="230"/>
      <c r="U440" s="230"/>
      <c r="V440" s="230"/>
    </row>
    <row r="441" hidden="1">
      <c r="O441" s="230"/>
      <c r="S441" s="230"/>
      <c r="T441" s="230"/>
      <c r="U441" s="230"/>
      <c r="V441" s="230"/>
    </row>
    <row r="442" hidden="1">
      <c r="O442" s="230"/>
      <c r="S442" s="230"/>
      <c r="T442" s="230"/>
      <c r="U442" s="230"/>
      <c r="V442" s="230"/>
    </row>
    <row r="443" hidden="1">
      <c r="O443" s="230"/>
      <c r="S443" s="230"/>
      <c r="T443" s="230"/>
      <c r="U443" s="230"/>
      <c r="V443" s="230"/>
    </row>
    <row r="444" hidden="1">
      <c r="O444" s="230"/>
      <c r="S444" s="230"/>
      <c r="T444" s="230"/>
      <c r="U444" s="230"/>
      <c r="V444" s="230"/>
    </row>
    <row r="445" hidden="1">
      <c r="O445" s="230"/>
      <c r="S445" s="230"/>
      <c r="T445" s="230"/>
      <c r="U445" s="230"/>
      <c r="V445" s="230"/>
    </row>
    <row r="446" hidden="1">
      <c r="O446" s="230"/>
      <c r="S446" s="230"/>
      <c r="T446" s="230"/>
      <c r="U446" s="230"/>
      <c r="V446" s="230"/>
    </row>
    <row r="447" hidden="1">
      <c r="O447" s="230"/>
      <c r="S447" s="230"/>
      <c r="T447" s="230"/>
      <c r="U447" s="230"/>
      <c r="V447" s="230"/>
    </row>
    <row r="448" hidden="1">
      <c r="O448" s="230"/>
      <c r="S448" s="230"/>
      <c r="T448" s="230"/>
      <c r="U448" s="230"/>
      <c r="V448" s="230"/>
    </row>
    <row r="449" hidden="1">
      <c r="O449" s="230"/>
      <c r="S449" s="230"/>
      <c r="T449" s="230"/>
      <c r="U449" s="230"/>
      <c r="V449" s="230"/>
    </row>
    <row r="450" hidden="1">
      <c r="O450" s="230"/>
      <c r="S450" s="230"/>
      <c r="T450" s="230"/>
      <c r="U450" s="230"/>
      <c r="V450" s="230"/>
    </row>
    <row r="451" hidden="1">
      <c r="O451" s="230"/>
      <c r="S451" s="230"/>
      <c r="T451" s="230"/>
      <c r="U451" s="230"/>
      <c r="V451" s="230"/>
    </row>
    <row r="452" hidden="1">
      <c r="O452" s="230"/>
      <c r="S452" s="230"/>
      <c r="T452" s="230"/>
      <c r="U452" s="230"/>
      <c r="V452" s="230"/>
    </row>
    <row r="453" hidden="1">
      <c r="O453" s="230"/>
      <c r="S453" s="230"/>
      <c r="T453" s="230"/>
      <c r="U453" s="230"/>
      <c r="V453" s="230"/>
    </row>
    <row r="454" hidden="1">
      <c r="O454" s="230"/>
      <c r="S454" s="230"/>
      <c r="T454" s="230"/>
      <c r="U454" s="230"/>
      <c r="V454" s="230"/>
    </row>
    <row r="455" hidden="1">
      <c r="O455" s="230"/>
      <c r="S455" s="230"/>
      <c r="T455" s="230"/>
      <c r="U455" s="230"/>
      <c r="V455" s="230"/>
    </row>
    <row r="456" hidden="1">
      <c r="O456" s="230"/>
      <c r="S456" s="230"/>
      <c r="T456" s="230"/>
      <c r="U456" s="230"/>
      <c r="V456" s="230"/>
    </row>
    <row r="457" hidden="1">
      <c r="O457" s="230"/>
      <c r="S457" s="230"/>
      <c r="T457" s="230"/>
      <c r="U457" s="230"/>
      <c r="V457" s="230"/>
    </row>
    <row r="458" hidden="1">
      <c r="O458" s="230"/>
      <c r="S458" s="230"/>
      <c r="T458" s="230"/>
      <c r="U458" s="230"/>
      <c r="V458" s="230"/>
    </row>
    <row r="459" hidden="1">
      <c r="O459" s="230"/>
      <c r="S459" s="230"/>
      <c r="T459" s="230"/>
      <c r="U459" s="230"/>
      <c r="V459" s="230"/>
    </row>
    <row r="460" hidden="1">
      <c r="O460" s="230"/>
      <c r="S460" s="230"/>
      <c r="T460" s="230"/>
      <c r="U460" s="230"/>
      <c r="V460" s="230"/>
    </row>
    <row r="461" hidden="1">
      <c r="O461" s="230"/>
      <c r="S461" s="230"/>
      <c r="T461" s="230"/>
      <c r="U461" s="230"/>
      <c r="V461" s="230"/>
    </row>
    <row r="462" hidden="1">
      <c r="O462" s="230"/>
      <c r="S462" s="230"/>
      <c r="T462" s="230"/>
      <c r="U462" s="230"/>
      <c r="V462" s="230"/>
    </row>
    <row r="463" hidden="1">
      <c r="O463" s="230"/>
      <c r="S463" s="230"/>
      <c r="T463" s="230"/>
      <c r="U463" s="230"/>
      <c r="V463" s="230"/>
    </row>
    <row r="464" hidden="1">
      <c r="O464" s="230"/>
      <c r="S464" s="230"/>
      <c r="T464" s="230"/>
      <c r="U464" s="230"/>
      <c r="V464" s="230"/>
    </row>
    <row r="465" hidden="1">
      <c r="O465" s="230"/>
      <c r="S465" s="230"/>
      <c r="T465" s="230"/>
      <c r="U465" s="230"/>
      <c r="V465" s="230"/>
    </row>
    <row r="466" hidden="1">
      <c r="O466" s="230"/>
      <c r="S466" s="230"/>
      <c r="T466" s="230"/>
      <c r="U466" s="230"/>
      <c r="V466" s="230"/>
    </row>
    <row r="467" hidden="1">
      <c r="O467" s="230"/>
      <c r="S467" s="230"/>
      <c r="T467" s="230"/>
      <c r="U467" s="230"/>
      <c r="V467" s="230"/>
    </row>
    <row r="468" hidden="1">
      <c r="O468" s="230"/>
      <c r="S468" s="230"/>
      <c r="T468" s="230"/>
      <c r="U468" s="230"/>
      <c r="V468" s="230"/>
    </row>
    <row r="469" hidden="1">
      <c r="O469" s="230"/>
      <c r="S469" s="230"/>
      <c r="T469" s="230"/>
      <c r="U469" s="230"/>
      <c r="V469" s="230"/>
    </row>
    <row r="470" hidden="1">
      <c r="O470" s="230"/>
      <c r="S470" s="230"/>
      <c r="T470" s="230"/>
      <c r="U470" s="230"/>
      <c r="V470" s="230"/>
    </row>
    <row r="471" hidden="1">
      <c r="O471" s="230"/>
      <c r="S471" s="230"/>
      <c r="T471" s="230"/>
      <c r="U471" s="230"/>
      <c r="V471" s="230"/>
    </row>
    <row r="472" hidden="1">
      <c r="O472" s="230"/>
      <c r="S472" s="230"/>
      <c r="T472" s="230"/>
      <c r="U472" s="230"/>
      <c r="V472" s="230"/>
    </row>
    <row r="473" hidden="1">
      <c r="O473" s="230"/>
      <c r="S473" s="230"/>
      <c r="T473" s="230"/>
      <c r="U473" s="230"/>
      <c r="V473" s="230"/>
    </row>
    <row r="474" hidden="1">
      <c r="O474" s="230"/>
      <c r="S474" s="230"/>
      <c r="T474" s="230"/>
      <c r="U474" s="230"/>
      <c r="V474" s="230"/>
    </row>
    <row r="475" hidden="1">
      <c r="O475" s="230"/>
      <c r="S475" s="230"/>
      <c r="T475" s="230"/>
      <c r="U475" s="230"/>
      <c r="V475" s="230"/>
    </row>
    <row r="476" hidden="1">
      <c r="O476" s="230"/>
      <c r="S476" s="230"/>
      <c r="T476" s="230"/>
      <c r="U476" s="230"/>
      <c r="V476" s="230"/>
    </row>
    <row r="477" hidden="1">
      <c r="O477" s="230"/>
      <c r="S477" s="230"/>
      <c r="T477" s="230"/>
      <c r="U477" s="230"/>
      <c r="V477" s="230"/>
    </row>
    <row r="478" hidden="1">
      <c r="O478" s="230"/>
      <c r="S478" s="230"/>
      <c r="T478" s="230"/>
      <c r="U478" s="230"/>
      <c r="V478" s="230"/>
    </row>
    <row r="479" hidden="1">
      <c r="O479" s="230"/>
      <c r="S479" s="230"/>
      <c r="T479" s="230"/>
      <c r="U479" s="230"/>
      <c r="V479" s="230"/>
    </row>
    <row r="480" hidden="1">
      <c r="O480" s="230"/>
      <c r="S480" s="230"/>
      <c r="T480" s="230"/>
      <c r="U480" s="230"/>
      <c r="V480" s="230"/>
    </row>
    <row r="481" hidden="1">
      <c r="O481" s="230"/>
      <c r="S481" s="230"/>
      <c r="T481" s="230"/>
      <c r="U481" s="230"/>
      <c r="V481" s="230"/>
    </row>
    <row r="482" hidden="1">
      <c r="O482" s="230"/>
      <c r="S482" s="230"/>
      <c r="T482" s="230"/>
      <c r="U482" s="230"/>
      <c r="V482" s="230"/>
    </row>
    <row r="483" hidden="1">
      <c r="O483" s="230"/>
      <c r="S483" s="230"/>
      <c r="T483" s="230"/>
      <c r="U483" s="230"/>
      <c r="V483" s="230"/>
    </row>
    <row r="484" hidden="1">
      <c r="O484" s="230"/>
      <c r="S484" s="230"/>
      <c r="T484" s="230"/>
      <c r="U484" s="230"/>
      <c r="V484" s="230"/>
    </row>
    <row r="485" hidden="1">
      <c r="O485" s="230"/>
      <c r="S485" s="230"/>
      <c r="T485" s="230"/>
      <c r="U485" s="230"/>
      <c r="V485" s="230"/>
    </row>
    <row r="486" hidden="1">
      <c r="O486" s="230"/>
      <c r="S486" s="230"/>
      <c r="T486" s="230"/>
      <c r="U486" s="230"/>
      <c r="V486" s="230"/>
    </row>
    <row r="487" hidden="1">
      <c r="O487" s="230"/>
      <c r="S487" s="230"/>
      <c r="T487" s="230"/>
      <c r="U487" s="230"/>
      <c r="V487" s="230"/>
    </row>
    <row r="488" hidden="1">
      <c r="O488" s="230"/>
      <c r="S488" s="230"/>
      <c r="T488" s="230"/>
      <c r="U488" s="230"/>
      <c r="V488" s="230"/>
    </row>
    <row r="489" hidden="1">
      <c r="O489" s="230"/>
      <c r="S489" s="230"/>
      <c r="T489" s="230"/>
      <c r="U489" s="230"/>
      <c r="V489" s="230"/>
    </row>
    <row r="490" hidden="1">
      <c r="O490" s="230"/>
      <c r="S490" s="230"/>
      <c r="T490" s="230"/>
      <c r="U490" s="230"/>
      <c r="V490" s="230"/>
    </row>
    <row r="491" hidden="1">
      <c r="O491" s="230"/>
      <c r="S491" s="230"/>
      <c r="T491" s="230"/>
      <c r="U491" s="230"/>
      <c r="V491" s="230"/>
    </row>
    <row r="492" hidden="1">
      <c r="O492" s="230"/>
      <c r="S492" s="230"/>
      <c r="T492" s="230"/>
      <c r="U492" s="230"/>
      <c r="V492" s="230"/>
    </row>
    <row r="493" hidden="1">
      <c r="O493" s="230"/>
      <c r="S493" s="230"/>
      <c r="T493" s="230"/>
      <c r="U493" s="230"/>
      <c r="V493" s="230"/>
    </row>
    <row r="494" hidden="1">
      <c r="O494" s="230"/>
      <c r="S494" s="230"/>
      <c r="T494" s="230"/>
      <c r="U494" s="230"/>
      <c r="V494" s="230"/>
    </row>
    <row r="495" hidden="1">
      <c r="O495" s="230"/>
      <c r="S495" s="230"/>
      <c r="T495" s="230"/>
      <c r="U495" s="230"/>
      <c r="V495" s="230"/>
    </row>
    <row r="496" hidden="1">
      <c r="O496" s="230"/>
      <c r="S496" s="230"/>
      <c r="T496" s="230"/>
      <c r="U496" s="230"/>
      <c r="V496" s="230"/>
    </row>
    <row r="497" hidden="1">
      <c r="O497" s="230"/>
      <c r="S497" s="230"/>
      <c r="T497" s="230"/>
      <c r="U497" s="230"/>
      <c r="V497" s="230"/>
    </row>
    <row r="498" hidden="1">
      <c r="O498" s="230"/>
      <c r="S498" s="230"/>
      <c r="T498" s="230"/>
      <c r="U498" s="230"/>
      <c r="V498" s="230"/>
    </row>
    <row r="499" hidden="1">
      <c r="O499" s="230"/>
      <c r="S499" s="230"/>
      <c r="T499" s="230"/>
      <c r="U499" s="230"/>
      <c r="V499" s="230"/>
    </row>
    <row r="500" hidden="1">
      <c r="O500" s="230"/>
      <c r="S500" s="230"/>
      <c r="T500" s="230"/>
      <c r="U500" s="230"/>
      <c r="V500" s="230"/>
    </row>
    <row r="501" hidden="1">
      <c r="O501" s="230"/>
      <c r="S501" s="230"/>
      <c r="T501" s="230"/>
      <c r="U501" s="230"/>
      <c r="V501" s="230"/>
    </row>
    <row r="502" hidden="1">
      <c r="O502" s="230"/>
      <c r="S502" s="230"/>
      <c r="T502" s="230"/>
      <c r="U502" s="230"/>
      <c r="V502" s="230"/>
    </row>
    <row r="503" hidden="1">
      <c r="O503" s="230"/>
      <c r="S503" s="230"/>
      <c r="T503" s="230"/>
      <c r="U503" s="230"/>
      <c r="V503" s="230"/>
    </row>
    <row r="504" hidden="1">
      <c r="O504" s="230"/>
      <c r="S504" s="230"/>
      <c r="T504" s="230"/>
      <c r="U504" s="230"/>
      <c r="V504" s="230"/>
    </row>
    <row r="505" hidden="1">
      <c r="O505" s="230"/>
      <c r="S505" s="230"/>
      <c r="T505" s="230"/>
      <c r="U505" s="230"/>
      <c r="V505" s="230"/>
    </row>
    <row r="506" hidden="1">
      <c r="O506" s="230"/>
      <c r="S506" s="230"/>
      <c r="T506" s="230"/>
      <c r="U506" s="230"/>
      <c r="V506" s="230"/>
    </row>
    <row r="507" hidden="1">
      <c r="O507" s="230"/>
      <c r="S507" s="230"/>
      <c r="T507" s="230"/>
      <c r="U507" s="230"/>
      <c r="V507" s="230"/>
    </row>
    <row r="508" hidden="1">
      <c r="O508" s="230"/>
      <c r="S508" s="230"/>
      <c r="T508" s="230"/>
      <c r="U508" s="230"/>
      <c r="V508" s="230"/>
    </row>
    <row r="509" hidden="1">
      <c r="O509" s="230"/>
      <c r="S509" s="230"/>
      <c r="T509" s="230"/>
      <c r="U509" s="230"/>
      <c r="V509" s="230"/>
    </row>
    <row r="510" hidden="1">
      <c r="O510" s="230"/>
      <c r="S510" s="230"/>
      <c r="T510" s="230"/>
      <c r="U510" s="230"/>
      <c r="V510" s="230"/>
    </row>
    <row r="511" hidden="1">
      <c r="O511" s="230"/>
      <c r="S511" s="230"/>
      <c r="T511" s="230"/>
      <c r="U511" s="230"/>
      <c r="V511" s="230"/>
    </row>
    <row r="512" hidden="1">
      <c r="O512" s="230"/>
      <c r="S512" s="230"/>
      <c r="T512" s="230"/>
      <c r="U512" s="230"/>
      <c r="V512" s="230"/>
    </row>
    <row r="513" hidden="1">
      <c r="O513" s="230"/>
      <c r="S513" s="230"/>
      <c r="T513" s="230"/>
      <c r="U513" s="230"/>
      <c r="V513" s="230"/>
    </row>
    <row r="514" hidden="1">
      <c r="O514" s="230"/>
      <c r="S514" s="230"/>
      <c r="T514" s="230"/>
      <c r="U514" s="230"/>
      <c r="V514" s="230"/>
    </row>
    <row r="515" hidden="1">
      <c r="O515" s="230"/>
      <c r="S515" s="230"/>
      <c r="T515" s="230"/>
      <c r="U515" s="230"/>
      <c r="V515" s="230"/>
    </row>
    <row r="516" hidden="1">
      <c r="O516" s="230"/>
      <c r="S516" s="230"/>
      <c r="T516" s="230"/>
      <c r="U516" s="230"/>
      <c r="V516" s="230"/>
    </row>
    <row r="517" hidden="1">
      <c r="O517" s="230"/>
      <c r="S517" s="230"/>
      <c r="T517" s="230"/>
      <c r="U517" s="230"/>
      <c r="V517" s="230"/>
    </row>
    <row r="518" hidden="1">
      <c r="O518" s="230"/>
      <c r="S518" s="230"/>
      <c r="T518" s="230"/>
      <c r="U518" s="230"/>
      <c r="V518" s="230"/>
    </row>
    <row r="519" hidden="1">
      <c r="O519" s="230"/>
      <c r="S519" s="230"/>
      <c r="T519" s="230"/>
      <c r="U519" s="230"/>
      <c r="V519" s="230"/>
    </row>
    <row r="520" hidden="1">
      <c r="O520" s="230"/>
      <c r="S520" s="230"/>
      <c r="T520" s="230"/>
      <c r="U520" s="230"/>
      <c r="V520" s="230"/>
    </row>
    <row r="521" hidden="1">
      <c r="O521" s="230"/>
      <c r="S521" s="230"/>
      <c r="T521" s="230"/>
      <c r="U521" s="230"/>
      <c r="V521" s="230"/>
    </row>
    <row r="522" hidden="1">
      <c r="O522" s="230"/>
      <c r="S522" s="230"/>
      <c r="T522" s="230"/>
      <c r="U522" s="230"/>
      <c r="V522" s="230"/>
    </row>
    <row r="523" hidden="1">
      <c r="O523" s="230"/>
      <c r="S523" s="230"/>
      <c r="T523" s="230"/>
      <c r="U523" s="230"/>
      <c r="V523" s="230"/>
    </row>
    <row r="524" hidden="1">
      <c r="O524" s="230"/>
      <c r="S524" s="230"/>
      <c r="T524" s="230"/>
      <c r="U524" s="230"/>
      <c r="V524" s="230"/>
    </row>
    <row r="525" hidden="1">
      <c r="O525" s="230"/>
      <c r="S525" s="230"/>
      <c r="T525" s="230"/>
      <c r="U525" s="230"/>
      <c r="V525" s="230"/>
    </row>
    <row r="526" hidden="1">
      <c r="O526" s="230"/>
      <c r="S526" s="230"/>
      <c r="T526" s="230"/>
      <c r="U526" s="230"/>
      <c r="V526" s="230"/>
    </row>
    <row r="527" hidden="1">
      <c r="O527" s="230"/>
      <c r="S527" s="230"/>
      <c r="T527" s="230"/>
      <c r="U527" s="230"/>
      <c r="V527" s="230"/>
    </row>
    <row r="528" hidden="1">
      <c r="O528" s="230"/>
      <c r="S528" s="230"/>
      <c r="T528" s="230"/>
      <c r="U528" s="230"/>
      <c r="V528" s="230"/>
    </row>
    <row r="529" hidden="1">
      <c r="O529" s="230"/>
      <c r="S529" s="230"/>
      <c r="T529" s="230"/>
      <c r="U529" s="230"/>
      <c r="V529" s="230"/>
    </row>
    <row r="530" hidden="1">
      <c r="O530" s="230"/>
      <c r="S530" s="230"/>
      <c r="T530" s="230"/>
      <c r="U530" s="230"/>
      <c r="V530" s="230"/>
    </row>
    <row r="531" hidden="1">
      <c r="O531" s="230"/>
      <c r="S531" s="230"/>
      <c r="T531" s="230"/>
      <c r="U531" s="230"/>
      <c r="V531" s="230"/>
    </row>
    <row r="532" hidden="1">
      <c r="O532" s="230"/>
      <c r="S532" s="230"/>
      <c r="T532" s="230"/>
      <c r="U532" s="230"/>
      <c r="V532" s="230"/>
    </row>
    <row r="533" hidden="1">
      <c r="O533" s="230"/>
      <c r="S533" s="230"/>
      <c r="T533" s="230"/>
      <c r="U533" s="230"/>
      <c r="V533" s="230"/>
    </row>
    <row r="534" hidden="1">
      <c r="O534" s="230"/>
      <c r="S534" s="230"/>
      <c r="T534" s="230"/>
      <c r="U534" s="230"/>
      <c r="V534" s="230"/>
    </row>
    <row r="535" hidden="1">
      <c r="O535" s="230"/>
      <c r="S535" s="230"/>
      <c r="T535" s="230"/>
      <c r="U535" s="230"/>
      <c r="V535" s="230"/>
    </row>
    <row r="536" hidden="1">
      <c r="O536" s="230"/>
      <c r="S536" s="230"/>
      <c r="T536" s="230"/>
      <c r="U536" s="230"/>
      <c r="V536" s="230"/>
    </row>
    <row r="537" hidden="1">
      <c r="O537" s="230"/>
      <c r="S537" s="230"/>
      <c r="T537" s="230"/>
      <c r="U537" s="230"/>
      <c r="V537" s="230"/>
    </row>
    <row r="538" hidden="1">
      <c r="O538" s="230"/>
      <c r="S538" s="230"/>
      <c r="T538" s="230"/>
      <c r="U538" s="230"/>
      <c r="V538" s="230"/>
    </row>
    <row r="539" hidden="1">
      <c r="O539" s="230"/>
      <c r="S539" s="230"/>
      <c r="T539" s="230"/>
      <c r="U539" s="230"/>
      <c r="V539" s="230"/>
    </row>
    <row r="540" hidden="1">
      <c r="O540" s="230"/>
      <c r="S540" s="230"/>
      <c r="T540" s="230"/>
      <c r="U540" s="230"/>
      <c r="V540" s="230"/>
    </row>
    <row r="541" hidden="1">
      <c r="O541" s="230"/>
      <c r="S541" s="230"/>
      <c r="T541" s="230"/>
      <c r="U541" s="230"/>
      <c r="V541" s="230"/>
    </row>
    <row r="542" hidden="1">
      <c r="O542" s="230"/>
      <c r="S542" s="230"/>
      <c r="T542" s="230"/>
      <c r="U542" s="230"/>
      <c r="V542" s="230"/>
    </row>
    <row r="543" hidden="1">
      <c r="O543" s="230"/>
      <c r="S543" s="230"/>
      <c r="T543" s="230"/>
      <c r="U543" s="230"/>
      <c r="V543" s="230"/>
    </row>
    <row r="544" hidden="1">
      <c r="O544" s="230"/>
      <c r="S544" s="230"/>
      <c r="T544" s="230"/>
      <c r="U544" s="230"/>
      <c r="V544" s="230"/>
    </row>
    <row r="545" hidden="1">
      <c r="O545" s="230"/>
      <c r="S545" s="230"/>
      <c r="T545" s="230"/>
      <c r="U545" s="230"/>
      <c r="V545" s="230"/>
    </row>
    <row r="546" hidden="1">
      <c r="O546" s="230"/>
      <c r="S546" s="230"/>
      <c r="T546" s="230"/>
      <c r="U546" s="230"/>
      <c r="V546" s="230"/>
    </row>
    <row r="547" hidden="1">
      <c r="O547" s="230"/>
      <c r="S547" s="230"/>
      <c r="T547" s="230"/>
      <c r="U547" s="230"/>
      <c r="V547" s="230"/>
    </row>
    <row r="548" hidden="1">
      <c r="O548" s="230"/>
      <c r="S548" s="230"/>
      <c r="T548" s="230"/>
      <c r="U548" s="230"/>
      <c r="V548" s="230"/>
    </row>
    <row r="549" hidden="1">
      <c r="O549" s="230"/>
      <c r="S549" s="230"/>
      <c r="T549" s="230"/>
      <c r="U549" s="230"/>
      <c r="V549" s="230"/>
    </row>
    <row r="550" hidden="1">
      <c r="O550" s="230"/>
      <c r="S550" s="230"/>
      <c r="T550" s="230"/>
      <c r="U550" s="230"/>
      <c r="V550" s="230"/>
    </row>
    <row r="551" hidden="1">
      <c r="O551" s="230"/>
      <c r="S551" s="230"/>
      <c r="T551" s="230"/>
      <c r="U551" s="230"/>
      <c r="V551" s="230"/>
    </row>
    <row r="552" hidden="1">
      <c r="O552" s="230"/>
      <c r="S552" s="230"/>
      <c r="T552" s="230"/>
      <c r="U552" s="230"/>
      <c r="V552" s="230"/>
    </row>
    <row r="553" hidden="1">
      <c r="O553" s="230"/>
      <c r="S553" s="230"/>
      <c r="T553" s="230"/>
      <c r="U553" s="230"/>
      <c r="V553" s="230"/>
    </row>
    <row r="554" hidden="1">
      <c r="O554" s="230"/>
      <c r="S554" s="230"/>
      <c r="T554" s="230"/>
      <c r="U554" s="230"/>
      <c r="V554" s="230"/>
    </row>
    <row r="555" hidden="1">
      <c r="O555" s="230"/>
      <c r="S555" s="230"/>
      <c r="T555" s="230"/>
      <c r="U555" s="230"/>
      <c r="V555" s="230"/>
    </row>
    <row r="556" hidden="1">
      <c r="O556" s="230"/>
      <c r="S556" s="230"/>
      <c r="T556" s="230"/>
      <c r="U556" s="230"/>
      <c r="V556" s="230"/>
    </row>
    <row r="557" hidden="1">
      <c r="O557" s="230"/>
      <c r="S557" s="230"/>
      <c r="T557" s="230"/>
      <c r="U557" s="230"/>
      <c r="V557" s="230"/>
    </row>
    <row r="558" hidden="1">
      <c r="O558" s="230"/>
      <c r="S558" s="230"/>
      <c r="T558" s="230"/>
      <c r="U558" s="230"/>
      <c r="V558" s="230"/>
    </row>
    <row r="559" hidden="1">
      <c r="O559" s="230"/>
      <c r="S559" s="230"/>
      <c r="T559" s="230"/>
      <c r="U559" s="230"/>
      <c r="V559" s="230"/>
    </row>
    <row r="560" hidden="1">
      <c r="O560" s="230"/>
      <c r="S560" s="230"/>
      <c r="T560" s="230"/>
      <c r="U560" s="230"/>
      <c r="V560" s="230"/>
    </row>
    <row r="561" hidden="1">
      <c r="O561" s="230"/>
      <c r="S561" s="230"/>
      <c r="T561" s="230"/>
      <c r="U561" s="230"/>
      <c r="V561" s="230"/>
    </row>
    <row r="562" hidden="1">
      <c r="O562" s="230"/>
      <c r="S562" s="230"/>
      <c r="T562" s="230"/>
      <c r="U562" s="230"/>
      <c r="V562" s="230"/>
    </row>
    <row r="563" hidden="1">
      <c r="O563" s="230"/>
      <c r="S563" s="230"/>
      <c r="T563" s="230"/>
      <c r="U563" s="230"/>
      <c r="V563" s="230"/>
    </row>
    <row r="564" hidden="1">
      <c r="O564" s="230"/>
      <c r="S564" s="230"/>
      <c r="T564" s="230"/>
      <c r="U564" s="230"/>
      <c r="V564" s="230"/>
    </row>
    <row r="565" hidden="1">
      <c r="O565" s="230"/>
      <c r="S565" s="230"/>
      <c r="T565" s="230"/>
      <c r="U565" s="230"/>
      <c r="V565" s="230"/>
    </row>
    <row r="566" hidden="1">
      <c r="O566" s="230"/>
      <c r="S566" s="230"/>
      <c r="T566" s="230"/>
      <c r="U566" s="230"/>
      <c r="V566" s="230"/>
    </row>
    <row r="567" hidden="1">
      <c r="O567" s="230"/>
      <c r="S567" s="230"/>
      <c r="T567" s="230"/>
      <c r="U567" s="230"/>
      <c r="V567" s="230"/>
    </row>
    <row r="568" hidden="1">
      <c r="O568" s="230"/>
      <c r="S568" s="230"/>
      <c r="T568" s="230"/>
      <c r="U568" s="230"/>
      <c r="V568" s="230"/>
    </row>
    <row r="569" hidden="1">
      <c r="O569" s="230"/>
      <c r="S569" s="230"/>
      <c r="T569" s="230"/>
      <c r="U569" s="230"/>
      <c r="V569" s="230"/>
    </row>
    <row r="570" hidden="1">
      <c r="O570" s="230"/>
      <c r="S570" s="230"/>
      <c r="T570" s="230"/>
      <c r="U570" s="230"/>
      <c r="V570" s="230"/>
    </row>
    <row r="571" hidden="1">
      <c r="O571" s="230"/>
      <c r="S571" s="230"/>
      <c r="T571" s="230"/>
      <c r="U571" s="230"/>
      <c r="V571" s="230"/>
    </row>
    <row r="572" hidden="1">
      <c r="O572" s="230"/>
      <c r="S572" s="230"/>
      <c r="T572" s="230"/>
      <c r="U572" s="230"/>
      <c r="V572" s="230"/>
    </row>
    <row r="573" hidden="1">
      <c r="O573" s="230"/>
      <c r="S573" s="230"/>
      <c r="T573" s="230"/>
      <c r="U573" s="230"/>
      <c r="V573" s="230"/>
    </row>
    <row r="574" hidden="1">
      <c r="O574" s="230"/>
      <c r="S574" s="230"/>
      <c r="T574" s="230"/>
      <c r="U574" s="230"/>
      <c r="V574" s="230"/>
    </row>
    <row r="575" hidden="1">
      <c r="O575" s="230"/>
      <c r="S575" s="230"/>
      <c r="T575" s="230"/>
      <c r="U575" s="230"/>
      <c r="V575" s="230"/>
    </row>
    <row r="576" hidden="1">
      <c r="O576" s="230"/>
      <c r="S576" s="230"/>
      <c r="T576" s="230"/>
      <c r="U576" s="230"/>
      <c r="V576" s="230"/>
    </row>
    <row r="577" hidden="1">
      <c r="O577" s="230"/>
      <c r="S577" s="230"/>
      <c r="T577" s="230"/>
      <c r="U577" s="230"/>
      <c r="V577" s="230"/>
    </row>
    <row r="578" hidden="1">
      <c r="O578" s="230"/>
      <c r="S578" s="230"/>
      <c r="T578" s="230"/>
      <c r="U578" s="230"/>
      <c r="V578" s="230"/>
    </row>
    <row r="579" hidden="1">
      <c r="O579" s="230"/>
      <c r="S579" s="230"/>
      <c r="T579" s="230"/>
      <c r="U579" s="230"/>
      <c r="V579" s="230"/>
    </row>
    <row r="580" hidden="1">
      <c r="O580" s="230"/>
      <c r="S580" s="230"/>
      <c r="T580" s="230"/>
      <c r="U580" s="230"/>
      <c r="V580" s="230"/>
    </row>
    <row r="581" hidden="1">
      <c r="O581" s="230"/>
      <c r="S581" s="230"/>
      <c r="T581" s="230"/>
      <c r="U581" s="230"/>
      <c r="V581" s="230"/>
    </row>
    <row r="582" hidden="1">
      <c r="O582" s="230"/>
      <c r="S582" s="230"/>
      <c r="T582" s="230"/>
      <c r="U582" s="230"/>
      <c r="V582" s="230"/>
    </row>
    <row r="583" hidden="1">
      <c r="O583" s="230"/>
      <c r="S583" s="230"/>
      <c r="T583" s="230"/>
      <c r="U583" s="230"/>
      <c r="V583" s="230"/>
    </row>
    <row r="584" hidden="1">
      <c r="O584" s="230"/>
      <c r="S584" s="230"/>
      <c r="T584" s="230"/>
      <c r="U584" s="230"/>
      <c r="V584" s="230"/>
    </row>
    <row r="585" hidden="1">
      <c r="O585" s="230"/>
      <c r="S585" s="230"/>
      <c r="T585" s="230"/>
      <c r="U585" s="230"/>
      <c r="V585" s="230"/>
    </row>
    <row r="586" hidden="1">
      <c r="O586" s="230"/>
      <c r="S586" s="230"/>
      <c r="T586" s="230"/>
      <c r="U586" s="230"/>
      <c r="V586" s="230"/>
    </row>
    <row r="587" hidden="1">
      <c r="O587" s="230"/>
      <c r="S587" s="230"/>
      <c r="T587" s="230"/>
      <c r="U587" s="230"/>
      <c r="V587" s="230"/>
    </row>
    <row r="588" hidden="1">
      <c r="O588" s="230"/>
      <c r="S588" s="230"/>
      <c r="T588" s="230"/>
      <c r="U588" s="230"/>
      <c r="V588" s="230"/>
    </row>
    <row r="589" hidden="1">
      <c r="O589" s="230"/>
      <c r="S589" s="230"/>
      <c r="T589" s="230"/>
      <c r="U589" s="230"/>
      <c r="V589" s="230"/>
    </row>
    <row r="590" hidden="1">
      <c r="O590" s="230"/>
      <c r="S590" s="230"/>
      <c r="T590" s="230"/>
      <c r="U590" s="230"/>
      <c r="V590" s="230"/>
    </row>
    <row r="591" hidden="1">
      <c r="O591" s="230"/>
      <c r="S591" s="230"/>
      <c r="T591" s="230"/>
      <c r="U591" s="230"/>
      <c r="V591" s="230"/>
    </row>
    <row r="592" hidden="1">
      <c r="O592" s="230"/>
      <c r="S592" s="230"/>
      <c r="T592" s="230"/>
      <c r="U592" s="230"/>
      <c r="V592" s="230"/>
    </row>
    <row r="593" hidden="1">
      <c r="O593" s="230"/>
      <c r="S593" s="230"/>
      <c r="T593" s="230"/>
      <c r="U593" s="230"/>
      <c r="V593" s="230"/>
    </row>
    <row r="594" hidden="1">
      <c r="O594" s="230"/>
      <c r="S594" s="230"/>
      <c r="T594" s="230"/>
      <c r="U594" s="230"/>
      <c r="V594" s="230"/>
    </row>
    <row r="595" hidden="1">
      <c r="O595" s="230"/>
      <c r="S595" s="230"/>
      <c r="T595" s="230"/>
      <c r="U595" s="230"/>
      <c r="V595" s="230"/>
    </row>
    <row r="596" hidden="1">
      <c r="O596" s="230"/>
      <c r="S596" s="230"/>
      <c r="T596" s="230"/>
      <c r="U596" s="230"/>
      <c r="V596" s="230"/>
    </row>
    <row r="597" hidden="1">
      <c r="O597" s="230"/>
      <c r="S597" s="230"/>
      <c r="T597" s="230"/>
      <c r="U597" s="230"/>
      <c r="V597" s="230"/>
    </row>
    <row r="598" hidden="1">
      <c r="O598" s="230"/>
      <c r="S598" s="230"/>
      <c r="T598" s="230"/>
      <c r="U598" s="230"/>
      <c r="V598" s="230"/>
    </row>
    <row r="599" hidden="1">
      <c r="O599" s="230"/>
      <c r="S599" s="230"/>
      <c r="T599" s="230"/>
      <c r="U599" s="230"/>
      <c r="V599" s="230"/>
    </row>
    <row r="600" hidden="1">
      <c r="O600" s="230"/>
      <c r="S600" s="230"/>
      <c r="T600" s="230"/>
      <c r="U600" s="230"/>
      <c r="V600" s="230"/>
    </row>
    <row r="601" hidden="1">
      <c r="O601" s="230"/>
      <c r="S601" s="230"/>
      <c r="T601" s="230"/>
      <c r="U601" s="230"/>
      <c r="V601" s="230"/>
    </row>
    <row r="602" hidden="1">
      <c r="O602" s="230"/>
      <c r="S602" s="230"/>
      <c r="T602" s="230"/>
      <c r="U602" s="230"/>
      <c r="V602" s="230"/>
    </row>
    <row r="603" hidden="1">
      <c r="O603" s="230"/>
      <c r="S603" s="230"/>
      <c r="T603" s="230"/>
      <c r="U603" s="230"/>
      <c r="V603" s="230"/>
    </row>
    <row r="604" hidden="1">
      <c r="O604" s="230"/>
      <c r="S604" s="230"/>
      <c r="T604" s="230"/>
      <c r="U604" s="230"/>
      <c r="V604" s="230"/>
    </row>
    <row r="605" hidden="1">
      <c r="O605" s="230"/>
      <c r="S605" s="230"/>
      <c r="T605" s="230"/>
      <c r="U605" s="230"/>
      <c r="V605" s="230"/>
    </row>
    <row r="606" hidden="1">
      <c r="O606" s="230"/>
      <c r="S606" s="230"/>
      <c r="T606" s="230"/>
      <c r="U606" s="230"/>
      <c r="V606" s="230"/>
    </row>
    <row r="607" hidden="1">
      <c r="O607" s="230"/>
      <c r="S607" s="230"/>
      <c r="T607" s="230"/>
      <c r="U607" s="230"/>
      <c r="V607" s="230"/>
    </row>
    <row r="608" hidden="1">
      <c r="O608" s="230"/>
      <c r="S608" s="230"/>
      <c r="T608" s="230"/>
      <c r="U608" s="230"/>
      <c r="V608" s="230"/>
    </row>
    <row r="609" hidden="1">
      <c r="O609" s="230"/>
      <c r="S609" s="230"/>
      <c r="T609" s="230"/>
      <c r="U609" s="230"/>
      <c r="V609" s="230"/>
    </row>
    <row r="610" hidden="1">
      <c r="O610" s="230"/>
      <c r="S610" s="230"/>
      <c r="T610" s="230"/>
      <c r="U610" s="230"/>
      <c r="V610" s="230"/>
    </row>
    <row r="611" hidden="1">
      <c r="O611" s="230"/>
      <c r="S611" s="230"/>
      <c r="T611" s="230"/>
      <c r="U611" s="230"/>
      <c r="V611" s="230"/>
    </row>
    <row r="612" hidden="1">
      <c r="O612" s="230"/>
      <c r="S612" s="230"/>
      <c r="T612" s="230"/>
      <c r="U612" s="230"/>
      <c r="V612" s="230"/>
    </row>
    <row r="613" hidden="1">
      <c r="O613" s="230"/>
      <c r="S613" s="230"/>
      <c r="T613" s="230"/>
      <c r="U613" s="230"/>
      <c r="V613" s="230"/>
    </row>
    <row r="614" hidden="1">
      <c r="O614" s="230"/>
      <c r="S614" s="230"/>
      <c r="T614" s="230"/>
      <c r="U614" s="230"/>
      <c r="V614" s="230"/>
    </row>
    <row r="615" hidden="1">
      <c r="O615" s="230"/>
      <c r="S615" s="230"/>
      <c r="T615" s="230"/>
      <c r="U615" s="230"/>
      <c r="V615" s="230"/>
    </row>
    <row r="616" hidden="1">
      <c r="O616" s="230"/>
      <c r="S616" s="230"/>
      <c r="T616" s="230"/>
      <c r="U616" s="230"/>
      <c r="V616" s="230"/>
    </row>
    <row r="617" hidden="1">
      <c r="O617" s="230"/>
      <c r="S617" s="230"/>
      <c r="T617" s="230"/>
      <c r="U617" s="230"/>
      <c r="V617" s="230"/>
    </row>
    <row r="618" hidden="1">
      <c r="O618" s="230"/>
      <c r="S618" s="230"/>
      <c r="T618" s="230"/>
      <c r="U618" s="230"/>
      <c r="V618" s="230"/>
    </row>
    <row r="619" hidden="1">
      <c r="O619" s="230"/>
      <c r="S619" s="230"/>
      <c r="T619" s="230"/>
      <c r="U619" s="230"/>
      <c r="V619" s="230"/>
    </row>
    <row r="620" hidden="1">
      <c r="O620" s="230"/>
      <c r="S620" s="230"/>
      <c r="T620" s="230"/>
      <c r="U620" s="230"/>
      <c r="V620" s="230"/>
    </row>
    <row r="621" hidden="1">
      <c r="O621" s="230"/>
      <c r="S621" s="230"/>
      <c r="T621" s="230"/>
      <c r="U621" s="230"/>
      <c r="V621" s="230"/>
    </row>
    <row r="622" hidden="1">
      <c r="O622" s="230"/>
      <c r="S622" s="230"/>
      <c r="T622" s="230"/>
      <c r="U622" s="230"/>
      <c r="V622" s="230"/>
    </row>
    <row r="623" hidden="1">
      <c r="O623" s="230"/>
      <c r="S623" s="230"/>
      <c r="T623" s="230"/>
      <c r="U623" s="230"/>
      <c r="V623" s="230"/>
    </row>
    <row r="624" hidden="1">
      <c r="O624" s="230"/>
      <c r="S624" s="230"/>
      <c r="T624" s="230"/>
      <c r="U624" s="230"/>
      <c r="V624" s="230"/>
    </row>
    <row r="625" hidden="1">
      <c r="O625" s="230"/>
      <c r="S625" s="230"/>
      <c r="T625" s="230"/>
      <c r="U625" s="230"/>
      <c r="V625" s="230"/>
    </row>
    <row r="626" hidden="1">
      <c r="O626" s="230"/>
      <c r="S626" s="230"/>
      <c r="T626" s="230"/>
      <c r="U626" s="230"/>
      <c r="V626" s="230"/>
    </row>
    <row r="627" hidden="1">
      <c r="O627" s="230"/>
      <c r="S627" s="230"/>
      <c r="T627" s="230"/>
      <c r="U627" s="230"/>
      <c r="V627" s="230"/>
    </row>
    <row r="628" hidden="1">
      <c r="O628" s="230"/>
      <c r="S628" s="230"/>
      <c r="T628" s="230"/>
      <c r="U628" s="230"/>
      <c r="V628" s="230"/>
    </row>
    <row r="629" hidden="1">
      <c r="O629" s="230"/>
      <c r="S629" s="230"/>
      <c r="T629" s="230"/>
      <c r="U629" s="230"/>
      <c r="V629" s="230"/>
    </row>
    <row r="630" hidden="1">
      <c r="O630" s="230"/>
      <c r="S630" s="230"/>
      <c r="T630" s="230"/>
      <c r="U630" s="230"/>
      <c r="V630" s="230"/>
    </row>
    <row r="631" hidden="1">
      <c r="O631" s="230"/>
      <c r="S631" s="230"/>
      <c r="T631" s="230"/>
      <c r="U631" s="230"/>
      <c r="V631" s="230"/>
    </row>
    <row r="632" hidden="1">
      <c r="O632" s="230"/>
      <c r="S632" s="230"/>
      <c r="T632" s="230"/>
      <c r="U632" s="230"/>
      <c r="V632" s="230"/>
    </row>
    <row r="633" hidden="1">
      <c r="O633" s="230"/>
      <c r="S633" s="230"/>
      <c r="T633" s="230"/>
      <c r="U633" s="230"/>
      <c r="V633" s="230"/>
    </row>
    <row r="634" hidden="1">
      <c r="O634" s="230"/>
      <c r="S634" s="230"/>
      <c r="T634" s="230"/>
      <c r="U634" s="230"/>
      <c r="V634" s="230"/>
    </row>
    <row r="635" hidden="1">
      <c r="O635" s="230"/>
      <c r="S635" s="230"/>
      <c r="T635" s="230"/>
      <c r="U635" s="230"/>
      <c r="V635" s="230"/>
    </row>
    <row r="636" hidden="1">
      <c r="O636" s="230"/>
      <c r="S636" s="230"/>
      <c r="T636" s="230"/>
      <c r="U636" s="230"/>
      <c r="V636" s="230"/>
    </row>
    <row r="637" hidden="1">
      <c r="O637" s="230"/>
      <c r="S637" s="230"/>
      <c r="T637" s="230"/>
      <c r="U637" s="230"/>
      <c r="V637" s="230"/>
    </row>
    <row r="638" hidden="1">
      <c r="O638" s="230"/>
      <c r="S638" s="230"/>
      <c r="T638" s="230"/>
      <c r="U638" s="230"/>
      <c r="V638" s="230"/>
    </row>
    <row r="639" hidden="1">
      <c r="O639" s="230"/>
      <c r="S639" s="230"/>
      <c r="T639" s="230"/>
      <c r="U639" s="230"/>
      <c r="V639" s="230"/>
    </row>
    <row r="640" hidden="1">
      <c r="O640" s="230"/>
      <c r="S640" s="230"/>
      <c r="T640" s="230"/>
      <c r="U640" s="230"/>
      <c r="V640" s="230"/>
    </row>
    <row r="641" hidden="1">
      <c r="O641" s="230"/>
      <c r="S641" s="230"/>
      <c r="T641" s="230"/>
      <c r="U641" s="230"/>
      <c r="V641" s="230"/>
    </row>
    <row r="642" hidden="1">
      <c r="O642" s="230"/>
      <c r="S642" s="230"/>
      <c r="T642" s="230"/>
      <c r="U642" s="230"/>
      <c r="V642" s="230"/>
    </row>
    <row r="643" hidden="1">
      <c r="O643" s="230"/>
      <c r="S643" s="230"/>
      <c r="T643" s="230"/>
      <c r="U643" s="230"/>
      <c r="V643" s="230"/>
    </row>
    <row r="644" hidden="1">
      <c r="O644" s="230"/>
      <c r="S644" s="230"/>
      <c r="T644" s="230"/>
      <c r="U644" s="230"/>
      <c r="V644" s="230"/>
    </row>
    <row r="645" hidden="1">
      <c r="O645" s="230"/>
      <c r="S645" s="230"/>
      <c r="T645" s="230"/>
      <c r="U645" s="230"/>
      <c r="V645" s="230"/>
    </row>
    <row r="646" hidden="1">
      <c r="O646" s="230"/>
      <c r="S646" s="230"/>
      <c r="T646" s="230"/>
      <c r="U646" s="230"/>
      <c r="V646" s="230"/>
    </row>
    <row r="647" hidden="1">
      <c r="O647" s="230"/>
      <c r="S647" s="230"/>
      <c r="T647" s="230"/>
      <c r="U647" s="230"/>
      <c r="V647" s="230"/>
    </row>
    <row r="648" hidden="1">
      <c r="O648" s="230"/>
      <c r="S648" s="230"/>
      <c r="T648" s="230"/>
      <c r="U648" s="230"/>
      <c r="V648" s="230"/>
    </row>
    <row r="649" hidden="1">
      <c r="O649" s="230"/>
      <c r="S649" s="230"/>
      <c r="T649" s="230"/>
      <c r="U649" s="230"/>
      <c r="V649" s="230"/>
    </row>
    <row r="650" hidden="1">
      <c r="O650" s="230"/>
      <c r="S650" s="230"/>
      <c r="T650" s="230"/>
      <c r="U650" s="230"/>
      <c r="V650" s="230"/>
    </row>
    <row r="651" hidden="1">
      <c r="O651" s="230"/>
      <c r="S651" s="230"/>
      <c r="T651" s="230"/>
      <c r="U651" s="230"/>
      <c r="V651" s="230"/>
    </row>
    <row r="652" hidden="1">
      <c r="O652" s="230"/>
      <c r="S652" s="230"/>
      <c r="T652" s="230"/>
      <c r="U652" s="230"/>
      <c r="V652" s="230"/>
    </row>
    <row r="653" hidden="1">
      <c r="O653" s="230"/>
      <c r="S653" s="230"/>
      <c r="T653" s="230"/>
      <c r="U653" s="230"/>
      <c r="V653" s="230"/>
    </row>
    <row r="654" hidden="1">
      <c r="O654" s="230"/>
      <c r="S654" s="230"/>
      <c r="T654" s="230"/>
      <c r="U654" s="230"/>
      <c r="V654" s="230"/>
    </row>
    <row r="655" hidden="1">
      <c r="O655" s="230"/>
      <c r="S655" s="230"/>
      <c r="T655" s="230"/>
      <c r="U655" s="230"/>
      <c r="V655" s="230"/>
    </row>
    <row r="656" hidden="1">
      <c r="O656" s="230"/>
      <c r="S656" s="230"/>
      <c r="T656" s="230"/>
      <c r="U656" s="230"/>
      <c r="V656" s="230"/>
    </row>
    <row r="657" hidden="1">
      <c r="O657" s="230"/>
      <c r="S657" s="230"/>
      <c r="T657" s="230"/>
      <c r="U657" s="230"/>
      <c r="V657" s="230"/>
    </row>
    <row r="658" hidden="1">
      <c r="O658" s="230"/>
      <c r="S658" s="230"/>
      <c r="T658" s="230"/>
      <c r="U658" s="230"/>
      <c r="V658" s="230"/>
    </row>
    <row r="659" hidden="1">
      <c r="O659" s="230"/>
      <c r="S659" s="230"/>
      <c r="T659" s="230"/>
      <c r="U659" s="230"/>
      <c r="V659" s="230"/>
    </row>
    <row r="660" hidden="1">
      <c r="O660" s="230"/>
      <c r="S660" s="230"/>
      <c r="T660" s="230"/>
      <c r="U660" s="230"/>
      <c r="V660" s="230"/>
    </row>
    <row r="661" hidden="1">
      <c r="O661" s="230"/>
      <c r="S661" s="230"/>
      <c r="T661" s="230"/>
      <c r="U661" s="230"/>
      <c r="V661" s="230"/>
    </row>
    <row r="662" hidden="1">
      <c r="O662" s="230"/>
      <c r="S662" s="230"/>
      <c r="T662" s="230"/>
      <c r="U662" s="230"/>
      <c r="V662" s="230"/>
    </row>
    <row r="663" hidden="1">
      <c r="O663" s="230"/>
      <c r="S663" s="230"/>
      <c r="T663" s="230"/>
      <c r="U663" s="230"/>
      <c r="V663" s="230"/>
    </row>
    <row r="664" hidden="1">
      <c r="O664" s="230"/>
      <c r="S664" s="230"/>
      <c r="T664" s="230"/>
      <c r="U664" s="230"/>
      <c r="V664" s="230"/>
    </row>
    <row r="665" hidden="1">
      <c r="O665" s="230"/>
      <c r="S665" s="230"/>
      <c r="T665" s="230"/>
      <c r="U665" s="230"/>
      <c r="V665" s="230"/>
    </row>
    <row r="666" hidden="1">
      <c r="O666" s="230"/>
      <c r="S666" s="230"/>
      <c r="T666" s="230"/>
      <c r="U666" s="230"/>
      <c r="V666" s="230"/>
    </row>
    <row r="667" hidden="1">
      <c r="O667" s="230"/>
      <c r="S667" s="230"/>
      <c r="T667" s="230"/>
      <c r="U667" s="230"/>
      <c r="V667" s="230"/>
    </row>
    <row r="668" hidden="1">
      <c r="O668" s="230"/>
      <c r="S668" s="230"/>
      <c r="T668" s="230"/>
      <c r="U668" s="230"/>
      <c r="V668" s="230"/>
    </row>
    <row r="669" hidden="1">
      <c r="O669" s="230"/>
      <c r="S669" s="230"/>
      <c r="T669" s="230"/>
      <c r="U669" s="230"/>
      <c r="V669" s="230"/>
    </row>
    <row r="670" hidden="1">
      <c r="O670" s="230"/>
      <c r="S670" s="230"/>
      <c r="T670" s="230"/>
      <c r="U670" s="230"/>
      <c r="V670" s="230"/>
    </row>
    <row r="671" hidden="1">
      <c r="O671" s="230"/>
      <c r="S671" s="230"/>
      <c r="T671" s="230"/>
      <c r="U671" s="230"/>
      <c r="V671" s="230"/>
    </row>
    <row r="672" hidden="1">
      <c r="O672" s="230"/>
      <c r="S672" s="230"/>
      <c r="T672" s="230"/>
      <c r="U672" s="230"/>
      <c r="V672" s="230"/>
    </row>
    <row r="673" hidden="1">
      <c r="O673" s="230"/>
      <c r="S673" s="230"/>
      <c r="T673" s="230"/>
      <c r="U673" s="230"/>
      <c r="V673" s="230"/>
    </row>
    <row r="674" hidden="1">
      <c r="O674" s="230"/>
      <c r="S674" s="230"/>
      <c r="T674" s="230"/>
      <c r="U674" s="230"/>
      <c r="V674" s="230"/>
    </row>
    <row r="675" hidden="1">
      <c r="O675" s="230"/>
      <c r="S675" s="230"/>
      <c r="T675" s="230"/>
      <c r="U675" s="230"/>
      <c r="V675" s="230"/>
    </row>
    <row r="676" hidden="1">
      <c r="O676" s="230"/>
      <c r="S676" s="230"/>
      <c r="T676" s="230"/>
      <c r="U676" s="230"/>
      <c r="V676" s="230"/>
    </row>
    <row r="677" hidden="1">
      <c r="O677" s="230"/>
      <c r="S677" s="230"/>
      <c r="T677" s="230"/>
      <c r="U677" s="230"/>
      <c r="V677" s="230"/>
    </row>
    <row r="678" hidden="1">
      <c r="O678" s="230"/>
      <c r="S678" s="230"/>
      <c r="T678" s="230"/>
      <c r="U678" s="230"/>
      <c r="V678" s="230"/>
    </row>
    <row r="679" hidden="1">
      <c r="O679" s="230"/>
      <c r="S679" s="230"/>
      <c r="T679" s="230"/>
      <c r="U679" s="230"/>
      <c r="V679" s="230"/>
    </row>
    <row r="680" hidden="1">
      <c r="O680" s="230"/>
      <c r="S680" s="230"/>
      <c r="T680" s="230"/>
      <c r="U680" s="230"/>
      <c r="V680" s="230"/>
    </row>
    <row r="681" hidden="1">
      <c r="O681" s="230"/>
      <c r="S681" s="230"/>
      <c r="T681" s="230"/>
      <c r="U681" s="230"/>
      <c r="V681" s="230"/>
    </row>
    <row r="682" hidden="1">
      <c r="O682" s="230"/>
      <c r="S682" s="230"/>
      <c r="T682" s="230"/>
      <c r="U682" s="230"/>
      <c r="V682" s="230"/>
    </row>
    <row r="683" hidden="1">
      <c r="O683" s="230"/>
      <c r="S683" s="230"/>
      <c r="T683" s="230"/>
      <c r="U683" s="230"/>
      <c r="V683" s="230"/>
    </row>
    <row r="684" hidden="1">
      <c r="O684" s="230"/>
      <c r="S684" s="230"/>
      <c r="T684" s="230"/>
      <c r="U684" s="230"/>
      <c r="V684" s="230"/>
    </row>
    <row r="685" hidden="1">
      <c r="O685" s="230"/>
      <c r="S685" s="230"/>
      <c r="T685" s="230"/>
      <c r="U685" s="230"/>
      <c r="V685" s="230"/>
    </row>
    <row r="686" hidden="1">
      <c r="O686" s="230"/>
      <c r="S686" s="230"/>
      <c r="T686" s="230"/>
      <c r="U686" s="230"/>
      <c r="V686" s="230"/>
    </row>
    <row r="687" hidden="1">
      <c r="O687" s="230"/>
      <c r="S687" s="230"/>
      <c r="T687" s="230"/>
      <c r="U687" s="230"/>
      <c r="V687" s="230"/>
    </row>
    <row r="688" hidden="1">
      <c r="O688" s="230"/>
      <c r="S688" s="230"/>
      <c r="T688" s="230"/>
      <c r="U688" s="230"/>
      <c r="V688" s="230"/>
    </row>
    <row r="689" hidden="1">
      <c r="O689" s="230"/>
      <c r="S689" s="230"/>
      <c r="T689" s="230"/>
      <c r="U689" s="230"/>
      <c r="V689" s="230"/>
    </row>
    <row r="690" hidden="1">
      <c r="O690" s="230"/>
      <c r="S690" s="230"/>
      <c r="T690" s="230"/>
      <c r="U690" s="230"/>
      <c r="V690" s="230"/>
    </row>
    <row r="691" hidden="1">
      <c r="O691" s="230"/>
      <c r="S691" s="230"/>
      <c r="T691" s="230"/>
      <c r="U691" s="230"/>
      <c r="V691" s="230"/>
    </row>
    <row r="692" hidden="1">
      <c r="O692" s="230"/>
      <c r="S692" s="230"/>
      <c r="T692" s="230"/>
      <c r="U692" s="230"/>
      <c r="V692" s="230"/>
    </row>
    <row r="693" hidden="1">
      <c r="O693" s="230"/>
      <c r="S693" s="230"/>
      <c r="T693" s="230"/>
      <c r="U693" s="230"/>
      <c r="V693" s="230"/>
    </row>
    <row r="694" hidden="1">
      <c r="O694" s="230"/>
      <c r="S694" s="230"/>
      <c r="T694" s="230"/>
      <c r="U694" s="230"/>
      <c r="V694" s="230"/>
    </row>
    <row r="695" hidden="1">
      <c r="O695" s="230"/>
      <c r="S695" s="230"/>
      <c r="T695" s="230"/>
      <c r="U695" s="230"/>
      <c r="V695" s="230"/>
    </row>
    <row r="696" hidden="1">
      <c r="O696" s="230"/>
      <c r="S696" s="230"/>
      <c r="T696" s="230"/>
      <c r="U696" s="230"/>
      <c r="V696" s="230"/>
    </row>
    <row r="697" hidden="1">
      <c r="O697" s="230"/>
      <c r="S697" s="230"/>
      <c r="T697" s="230"/>
      <c r="U697" s="230"/>
      <c r="V697" s="230"/>
    </row>
    <row r="698" hidden="1">
      <c r="O698" s="230"/>
      <c r="S698" s="230"/>
      <c r="T698" s="230"/>
      <c r="U698" s="230"/>
      <c r="V698" s="230"/>
    </row>
    <row r="699" hidden="1">
      <c r="O699" s="230"/>
      <c r="S699" s="230"/>
      <c r="T699" s="230"/>
      <c r="U699" s="230"/>
      <c r="V699" s="230"/>
    </row>
    <row r="700" hidden="1">
      <c r="O700" s="230"/>
      <c r="S700" s="230"/>
      <c r="T700" s="230"/>
      <c r="U700" s="230"/>
      <c r="V700" s="230"/>
    </row>
    <row r="701" hidden="1">
      <c r="O701" s="230"/>
      <c r="S701" s="230"/>
      <c r="T701" s="230"/>
      <c r="U701" s="230"/>
      <c r="V701" s="230"/>
    </row>
    <row r="702" hidden="1">
      <c r="O702" s="230"/>
      <c r="S702" s="230"/>
      <c r="T702" s="230"/>
      <c r="U702" s="230"/>
      <c r="V702" s="230"/>
    </row>
    <row r="703" hidden="1">
      <c r="O703" s="230"/>
      <c r="S703" s="230"/>
      <c r="T703" s="230"/>
      <c r="U703" s="230"/>
      <c r="V703" s="230"/>
    </row>
    <row r="704" hidden="1">
      <c r="O704" s="230"/>
      <c r="S704" s="230"/>
      <c r="T704" s="230"/>
      <c r="U704" s="230"/>
      <c r="V704" s="230"/>
    </row>
    <row r="705" hidden="1">
      <c r="O705" s="230"/>
      <c r="S705" s="230"/>
      <c r="T705" s="230"/>
      <c r="U705" s="230"/>
      <c r="V705" s="230"/>
    </row>
    <row r="706" hidden="1">
      <c r="O706" s="230"/>
      <c r="S706" s="230"/>
      <c r="T706" s="230"/>
      <c r="U706" s="230"/>
      <c r="V706" s="230"/>
    </row>
    <row r="707" hidden="1">
      <c r="O707" s="230"/>
      <c r="S707" s="230"/>
      <c r="T707" s="230"/>
      <c r="U707" s="230"/>
      <c r="V707" s="230"/>
    </row>
    <row r="708" hidden="1">
      <c r="O708" s="230"/>
      <c r="S708" s="230"/>
      <c r="T708" s="230"/>
      <c r="U708" s="230"/>
      <c r="V708" s="230"/>
    </row>
    <row r="709" hidden="1">
      <c r="O709" s="230"/>
      <c r="S709" s="230"/>
      <c r="T709" s="230"/>
      <c r="U709" s="230"/>
      <c r="V709" s="230"/>
    </row>
    <row r="710" hidden="1">
      <c r="O710" s="230"/>
      <c r="S710" s="230"/>
      <c r="T710" s="230"/>
      <c r="U710" s="230"/>
      <c r="V710" s="230"/>
    </row>
    <row r="711" hidden="1">
      <c r="O711" s="230"/>
      <c r="S711" s="230"/>
      <c r="T711" s="230"/>
      <c r="U711" s="230"/>
      <c r="V711" s="230"/>
    </row>
    <row r="712" hidden="1">
      <c r="O712" s="230"/>
      <c r="S712" s="230"/>
      <c r="T712" s="230"/>
      <c r="U712" s="230"/>
      <c r="V712" s="230"/>
    </row>
    <row r="713" hidden="1">
      <c r="O713" s="230"/>
      <c r="S713" s="230"/>
      <c r="T713" s="230"/>
      <c r="U713" s="230"/>
      <c r="V713" s="230"/>
    </row>
    <row r="714" hidden="1">
      <c r="O714" s="230"/>
      <c r="S714" s="230"/>
      <c r="T714" s="230"/>
      <c r="U714" s="230"/>
      <c r="V714" s="230"/>
    </row>
    <row r="715" hidden="1">
      <c r="O715" s="230"/>
      <c r="S715" s="230"/>
      <c r="T715" s="230"/>
      <c r="U715" s="230"/>
      <c r="V715" s="230"/>
    </row>
    <row r="716" hidden="1">
      <c r="O716" s="230"/>
      <c r="S716" s="230"/>
      <c r="T716" s="230"/>
      <c r="U716" s="230"/>
      <c r="V716" s="230"/>
    </row>
    <row r="717" hidden="1">
      <c r="O717" s="230"/>
      <c r="S717" s="230"/>
      <c r="T717" s="230"/>
      <c r="U717" s="230"/>
      <c r="V717" s="230"/>
    </row>
    <row r="718" hidden="1">
      <c r="O718" s="230"/>
      <c r="S718" s="230"/>
      <c r="T718" s="230"/>
      <c r="U718" s="230"/>
      <c r="V718" s="230"/>
    </row>
    <row r="719" hidden="1">
      <c r="O719" s="230"/>
      <c r="S719" s="230"/>
      <c r="T719" s="230"/>
      <c r="U719" s="230"/>
      <c r="V719" s="230"/>
    </row>
    <row r="720" hidden="1">
      <c r="O720" s="230"/>
      <c r="S720" s="230"/>
      <c r="T720" s="230"/>
      <c r="U720" s="230"/>
      <c r="V720" s="230"/>
    </row>
    <row r="721" hidden="1">
      <c r="O721" s="230"/>
      <c r="S721" s="230"/>
      <c r="T721" s="230"/>
      <c r="U721" s="230"/>
      <c r="V721" s="230"/>
    </row>
    <row r="722" hidden="1">
      <c r="O722" s="230"/>
      <c r="S722" s="230"/>
      <c r="T722" s="230"/>
      <c r="U722" s="230"/>
      <c r="V722" s="230"/>
    </row>
    <row r="723" hidden="1">
      <c r="O723" s="230"/>
      <c r="S723" s="230"/>
      <c r="T723" s="230"/>
      <c r="U723" s="230"/>
      <c r="V723" s="230"/>
    </row>
    <row r="724" hidden="1">
      <c r="O724" s="230"/>
      <c r="S724" s="230"/>
      <c r="T724" s="230"/>
      <c r="U724" s="230"/>
      <c r="V724" s="230"/>
    </row>
    <row r="725" hidden="1">
      <c r="O725" s="230"/>
      <c r="S725" s="230"/>
      <c r="T725" s="230"/>
      <c r="U725" s="230"/>
      <c r="V725" s="230"/>
    </row>
    <row r="726" hidden="1">
      <c r="O726" s="230"/>
      <c r="S726" s="230"/>
      <c r="T726" s="230"/>
      <c r="U726" s="230"/>
      <c r="V726" s="230"/>
    </row>
    <row r="727" hidden="1">
      <c r="O727" s="230"/>
      <c r="S727" s="230"/>
      <c r="T727" s="230"/>
      <c r="U727" s="230"/>
      <c r="V727" s="230"/>
    </row>
    <row r="728" hidden="1">
      <c r="O728" s="230"/>
      <c r="S728" s="230"/>
      <c r="T728" s="230"/>
      <c r="U728" s="230"/>
      <c r="V728" s="230"/>
    </row>
    <row r="729" hidden="1">
      <c r="O729" s="230"/>
      <c r="S729" s="230"/>
      <c r="T729" s="230"/>
      <c r="U729" s="230"/>
      <c r="V729" s="230"/>
    </row>
    <row r="730" hidden="1">
      <c r="O730" s="230"/>
      <c r="S730" s="230"/>
      <c r="T730" s="230"/>
      <c r="U730" s="230"/>
      <c r="V730" s="230"/>
    </row>
    <row r="731" hidden="1">
      <c r="O731" s="230"/>
      <c r="S731" s="230"/>
      <c r="T731" s="230"/>
      <c r="U731" s="230"/>
      <c r="V731" s="230"/>
    </row>
    <row r="732" hidden="1">
      <c r="O732" s="230"/>
      <c r="S732" s="230"/>
      <c r="T732" s="230"/>
      <c r="U732" s="230"/>
      <c r="V732" s="230"/>
    </row>
    <row r="733" hidden="1">
      <c r="O733" s="230"/>
      <c r="S733" s="230"/>
      <c r="T733" s="230"/>
      <c r="U733" s="230"/>
      <c r="V733" s="230"/>
    </row>
    <row r="734" hidden="1">
      <c r="O734" s="230"/>
      <c r="S734" s="230"/>
      <c r="T734" s="230"/>
      <c r="U734" s="230"/>
      <c r="V734" s="230"/>
    </row>
    <row r="735" hidden="1">
      <c r="O735" s="230"/>
      <c r="S735" s="230"/>
      <c r="T735" s="230"/>
      <c r="U735" s="230"/>
      <c r="V735" s="230"/>
    </row>
    <row r="736" hidden="1">
      <c r="O736" s="230"/>
      <c r="S736" s="230"/>
      <c r="T736" s="230"/>
      <c r="U736" s="230"/>
      <c r="V736" s="230"/>
    </row>
    <row r="737" hidden="1">
      <c r="O737" s="230"/>
      <c r="S737" s="230"/>
      <c r="T737" s="230"/>
      <c r="U737" s="230"/>
      <c r="V737" s="230"/>
    </row>
    <row r="738" hidden="1">
      <c r="O738" s="230"/>
      <c r="S738" s="230"/>
      <c r="T738" s="230"/>
      <c r="U738" s="230"/>
      <c r="V738" s="230"/>
    </row>
    <row r="739" hidden="1">
      <c r="O739" s="230"/>
      <c r="S739" s="230"/>
      <c r="T739" s="230"/>
      <c r="U739" s="230"/>
      <c r="V739" s="230"/>
    </row>
    <row r="740" hidden="1">
      <c r="O740" s="230"/>
      <c r="S740" s="230"/>
      <c r="T740" s="230"/>
      <c r="U740" s="230"/>
      <c r="V740" s="230"/>
    </row>
    <row r="741" hidden="1">
      <c r="O741" s="230"/>
      <c r="S741" s="230"/>
      <c r="T741" s="230"/>
      <c r="U741" s="230"/>
      <c r="V741" s="230"/>
    </row>
    <row r="742" hidden="1">
      <c r="O742" s="230"/>
      <c r="S742" s="230"/>
      <c r="T742" s="230"/>
      <c r="U742" s="230"/>
      <c r="V742" s="230"/>
    </row>
    <row r="743" hidden="1">
      <c r="O743" s="230"/>
      <c r="S743" s="230"/>
      <c r="T743" s="230"/>
      <c r="U743" s="230"/>
      <c r="V743" s="230"/>
    </row>
    <row r="744" hidden="1">
      <c r="O744" s="230"/>
      <c r="S744" s="230"/>
      <c r="T744" s="230"/>
      <c r="U744" s="230"/>
      <c r="V744" s="230"/>
    </row>
    <row r="745" hidden="1">
      <c r="O745" s="230"/>
      <c r="S745" s="230"/>
      <c r="T745" s="230"/>
      <c r="U745" s="230"/>
      <c r="V745" s="230"/>
    </row>
    <row r="746" hidden="1">
      <c r="O746" s="230"/>
      <c r="S746" s="230"/>
      <c r="T746" s="230"/>
      <c r="U746" s="230"/>
      <c r="V746" s="230"/>
    </row>
    <row r="747" hidden="1">
      <c r="O747" s="230"/>
      <c r="S747" s="230"/>
      <c r="T747" s="230"/>
      <c r="U747" s="230"/>
      <c r="V747" s="230"/>
    </row>
    <row r="748" hidden="1">
      <c r="O748" s="230"/>
      <c r="S748" s="230"/>
      <c r="T748" s="230"/>
      <c r="U748" s="230"/>
      <c r="V748" s="230"/>
    </row>
    <row r="749" hidden="1">
      <c r="O749" s="230"/>
      <c r="S749" s="230"/>
      <c r="T749" s="230"/>
      <c r="U749" s="230"/>
      <c r="V749" s="230"/>
    </row>
    <row r="750" hidden="1">
      <c r="O750" s="230"/>
      <c r="S750" s="230"/>
      <c r="T750" s="230"/>
      <c r="U750" s="230"/>
      <c r="V750" s="230"/>
    </row>
    <row r="751" hidden="1">
      <c r="O751" s="230"/>
      <c r="S751" s="230"/>
      <c r="T751" s="230"/>
      <c r="U751" s="230"/>
      <c r="V751" s="230"/>
    </row>
    <row r="752" hidden="1">
      <c r="O752" s="230"/>
      <c r="S752" s="230"/>
      <c r="T752" s="230"/>
      <c r="U752" s="230"/>
      <c r="V752" s="230"/>
    </row>
    <row r="753" hidden="1">
      <c r="O753" s="230"/>
      <c r="S753" s="230"/>
      <c r="T753" s="230"/>
      <c r="U753" s="230"/>
      <c r="V753" s="230"/>
    </row>
    <row r="754" hidden="1">
      <c r="O754" s="230"/>
      <c r="S754" s="230"/>
      <c r="T754" s="230"/>
      <c r="U754" s="230"/>
      <c r="V754" s="230"/>
    </row>
    <row r="755" hidden="1">
      <c r="O755" s="230"/>
      <c r="S755" s="230"/>
      <c r="T755" s="230"/>
      <c r="U755" s="230"/>
      <c r="V755" s="230"/>
    </row>
    <row r="756" hidden="1">
      <c r="O756" s="230"/>
      <c r="S756" s="230"/>
      <c r="T756" s="230"/>
      <c r="U756" s="230"/>
      <c r="V756" s="230"/>
    </row>
    <row r="757" hidden="1">
      <c r="O757" s="230"/>
      <c r="S757" s="230"/>
      <c r="T757" s="230"/>
      <c r="U757" s="230"/>
      <c r="V757" s="230"/>
    </row>
    <row r="758" hidden="1">
      <c r="O758" s="230"/>
      <c r="S758" s="230"/>
      <c r="T758" s="230"/>
      <c r="U758" s="230"/>
      <c r="V758" s="230"/>
    </row>
    <row r="759" hidden="1">
      <c r="O759" s="230"/>
      <c r="S759" s="230"/>
      <c r="T759" s="230"/>
      <c r="U759" s="230"/>
      <c r="V759" s="230"/>
    </row>
    <row r="760" hidden="1">
      <c r="O760" s="230"/>
      <c r="S760" s="230"/>
      <c r="T760" s="230"/>
      <c r="U760" s="230"/>
      <c r="V760" s="230"/>
    </row>
    <row r="761" hidden="1">
      <c r="O761" s="230"/>
      <c r="S761" s="230"/>
      <c r="T761" s="230"/>
      <c r="U761" s="230"/>
      <c r="V761" s="230"/>
    </row>
    <row r="762" hidden="1">
      <c r="O762" s="230"/>
      <c r="S762" s="230"/>
      <c r="T762" s="230"/>
      <c r="U762" s="230"/>
      <c r="V762" s="230"/>
    </row>
    <row r="763" hidden="1">
      <c r="O763" s="230"/>
      <c r="S763" s="230"/>
      <c r="T763" s="230"/>
      <c r="U763" s="230"/>
      <c r="V763" s="230"/>
    </row>
    <row r="764" hidden="1">
      <c r="O764" s="230"/>
      <c r="S764" s="230"/>
      <c r="T764" s="230"/>
      <c r="U764" s="230"/>
      <c r="V764" s="230"/>
    </row>
    <row r="765" hidden="1">
      <c r="O765" s="230"/>
      <c r="S765" s="230"/>
      <c r="T765" s="230"/>
      <c r="U765" s="230"/>
      <c r="V765" s="230"/>
    </row>
    <row r="766" hidden="1">
      <c r="O766" s="230"/>
      <c r="S766" s="230"/>
      <c r="T766" s="230"/>
      <c r="U766" s="230"/>
      <c r="V766" s="230"/>
    </row>
    <row r="767" hidden="1">
      <c r="O767" s="230"/>
      <c r="S767" s="230"/>
      <c r="T767" s="230"/>
      <c r="U767" s="230"/>
      <c r="V767" s="230"/>
    </row>
    <row r="768" hidden="1">
      <c r="O768" s="230"/>
      <c r="S768" s="230"/>
      <c r="T768" s="230"/>
      <c r="U768" s="230"/>
      <c r="V768" s="230"/>
    </row>
    <row r="769" hidden="1">
      <c r="O769" s="230"/>
      <c r="S769" s="230"/>
      <c r="T769" s="230"/>
      <c r="U769" s="230"/>
      <c r="V769" s="230"/>
    </row>
    <row r="770" hidden="1">
      <c r="O770" s="230"/>
      <c r="S770" s="230"/>
      <c r="T770" s="230"/>
      <c r="U770" s="230"/>
      <c r="V770" s="230"/>
    </row>
    <row r="771" hidden="1">
      <c r="O771" s="230"/>
      <c r="S771" s="230"/>
      <c r="T771" s="230"/>
      <c r="U771" s="230"/>
      <c r="V771" s="230"/>
    </row>
    <row r="772" hidden="1">
      <c r="O772" s="230"/>
      <c r="S772" s="230"/>
      <c r="T772" s="230"/>
      <c r="U772" s="230"/>
      <c r="V772" s="230"/>
    </row>
    <row r="773" hidden="1">
      <c r="O773" s="230"/>
      <c r="S773" s="230"/>
      <c r="T773" s="230"/>
      <c r="U773" s="230"/>
      <c r="V773" s="230"/>
    </row>
    <row r="774" hidden="1">
      <c r="O774" s="230"/>
      <c r="S774" s="230"/>
      <c r="T774" s="230"/>
      <c r="U774" s="230"/>
      <c r="V774" s="230"/>
    </row>
    <row r="775" hidden="1">
      <c r="O775" s="230"/>
      <c r="S775" s="230"/>
      <c r="T775" s="230"/>
      <c r="U775" s="230"/>
      <c r="V775" s="230"/>
    </row>
    <row r="776" hidden="1">
      <c r="O776" s="230"/>
      <c r="S776" s="230"/>
      <c r="T776" s="230"/>
      <c r="U776" s="230"/>
      <c r="V776" s="230"/>
    </row>
    <row r="777" hidden="1">
      <c r="O777" s="230"/>
      <c r="S777" s="230"/>
      <c r="T777" s="230"/>
      <c r="U777" s="230"/>
      <c r="V777" s="230"/>
    </row>
    <row r="778" hidden="1">
      <c r="O778" s="230"/>
      <c r="S778" s="230"/>
      <c r="T778" s="230"/>
      <c r="U778" s="230"/>
      <c r="V778" s="230"/>
    </row>
    <row r="779" hidden="1">
      <c r="O779" s="230"/>
      <c r="S779" s="230"/>
      <c r="T779" s="230"/>
      <c r="U779" s="230"/>
      <c r="V779" s="230"/>
    </row>
    <row r="780" hidden="1">
      <c r="O780" s="230"/>
      <c r="S780" s="230"/>
      <c r="T780" s="230"/>
      <c r="U780" s="230"/>
      <c r="V780" s="230"/>
    </row>
    <row r="781" hidden="1">
      <c r="O781" s="230"/>
      <c r="S781" s="230"/>
      <c r="T781" s="230"/>
      <c r="U781" s="230"/>
      <c r="V781" s="230"/>
    </row>
    <row r="782" hidden="1">
      <c r="O782" s="230"/>
      <c r="S782" s="230"/>
      <c r="T782" s="230"/>
      <c r="U782" s="230"/>
      <c r="V782" s="230"/>
    </row>
    <row r="783" hidden="1">
      <c r="O783" s="230"/>
      <c r="S783" s="230"/>
      <c r="T783" s="230"/>
      <c r="U783" s="230"/>
      <c r="V783" s="230"/>
    </row>
    <row r="784" hidden="1">
      <c r="O784" s="230"/>
      <c r="S784" s="230"/>
      <c r="T784" s="230"/>
      <c r="U784" s="230"/>
      <c r="V784" s="230"/>
    </row>
    <row r="785" hidden="1">
      <c r="O785" s="230"/>
      <c r="S785" s="230"/>
      <c r="T785" s="230"/>
      <c r="U785" s="230"/>
      <c r="V785" s="230"/>
    </row>
    <row r="786" hidden="1">
      <c r="O786" s="230"/>
      <c r="S786" s="230"/>
      <c r="T786" s="230"/>
      <c r="U786" s="230"/>
      <c r="V786" s="230"/>
    </row>
    <row r="787" hidden="1">
      <c r="O787" s="230"/>
      <c r="S787" s="230"/>
      <c r="T787" s="230"/>
      <c r="U787" s="230"/>
      <c r="V787" s="230"/>
    </row>
    <row r="788" hidden="1">
      <c r="O788" s="230"/>
      <c r="S788" s="230"/>
      <c r="T788" s="230"/>
      <c r="U788" s="230"/>
      <c r="V788" s="230"/>
    </row>
    <row r="789" hidden="1">
      <c r="O789" s="230"/>
      <c r="S789" s="230"/>
      <c r="T789" s="230"/>
      <c r="U789" s="230"/>
      <c r="V789" s="230"/>
    </row>
    <row r="790" hidden="1">
      <c r="O790" s="230"/>
      <c r="S790" s="230"/>
      <c r="T790" s="230"/>
      <c r="U790" s="230"/>
      <c r="V790" s="230"/>
    </row>
    <row r="791" hidden="1">
      <c r="O791" s="230"/>
      <c r="S791" s="230"/>
      <c r="T791" s="230"/>
      <c r="U791" s="230"/>
      <c r="V791" s="230"/>
    </row>
    <row r="792" hidden="1">
      <c r="O792" s="230"/>
      <c r="S792" s="230"/>
      <c r="T792" s="230"/>
      <c r="U792" s="230"/>
      <c r="V792" s="230"/>
    </row>
    <row r="793" hidden="1">
      <c r="O793" s="230"/>
      <c r="S793" s="230"/>
      <c r="T793" s="230"/>
      <c r="U793" s="230"/>
      <c r="V793" s="230"/>
    </row>
    <row r="794" hidden="1">
      <c r="O794" s="230"/>
      <c r="S794" s="230"/>
      <c r="T794" s="230"/>
      <c r="U794" s="230"/>
      <c r="V794" s="230"/>
    </row>
    <row r="795" hidden="1">
      <c r="O795" s="230"/>
      <c r="S795" s="230"/>
      <c r="T795" s="230"/>
      <c r="U795" s="230"/>
      <c r="V795" s="230"/>
    </row>
    <row r="796" hidden="1">
      <c r="O796" s="230"/>
      <c r="S796" s="230"/>
      <c r="T796" s="230"/>
      <c r="U796" s="230"/>
      <c r="V796" s="230"/>
    </row>
    <row r="797" hidden="1">
      <c r="O797" s="230"/>
      <c r="S797" s="230"/>
      <c r="T797" s="230"/>
      <c r="U797" s="230"/>
      <c r="V797" s="230"/>
    </row>
    <row r="798" hidden="1">
      <c r="O798" s="230"/>
      <c r="S798" s="230"/>
      <c r="T798" s="230"/>
      <c r="U798" s="230"/>
      <c r="V798" s="230"/>
    </row>
    <row r="799" hidden="1">
      <c r="O799" s="230"/>
      <c r="S799" s="230"/>
      <c r="T799" s="230"/>
      <c r="U799" s="230"/>
      <c r="V799" s="230"/>
    </row>
    <row r="800" hidden="1">
      <c r="O800" s="230"/>
      <c r="S800" s="230"/>
      <c r="T800" s="230"/>
      <c r="U800" s="230"/>
      <c r="V800" s="230"/>
    </row>
    <row r="801" hidden="1">
      <c r="O801" s="230"/>
      <c r="S801" s="230"/>
      <c r="T801" s="230"/>
      <c r="U801" s="230"/>
      <c r="V801" s="230"/>
    </row>
    <row r="802" hidden="1">
      <c r="O802" s="230"/>
      <c r="S802" s="230"/>
      <c r="T802" s="230"/>
      <c r="U802" s="230"/>
      <c r="V802" s="230"/>
    </row>
    <row r="803" hidden="1">
      <c r="O803" s="230"/>
      <c r="S803" s="230"/>
      <c r="T803" s="230"/>
      <c r="U803" s="230"/>
      <c r="V803" s="230"/>
    </row>
    <row r="804" hidden="1">
      <c r="O804" s="230"/>
      <c r="S804" s="230"/>
      <c r="T804" s="230"/>
      <c r="U804" s="230"/>
      <c r="V804" s="230"/>
    </row>
    <row r="805" hidden="1">
      <c r="O805" s="230"/>
      <c r="S805" s="230"/>
      <c r="T805" s="230"/>
      <c r="U805" s="230"/>
      <c r="V805" s="230"/>
    </row>
    <row r="806" hidden="1">
      <c r="O806" s="230"/>
      <c r="S806" s="230"/>
      <c r="T806" s="230"/>
      <c r="U806" s="230"/>
      <c r="V806" s="230"/>
    </row>
    <row r="807" hidden="1">
      <c r="O807" s="230"/>
      <c r="S807" s="230"/>
      <c r="T807" s="230"/>
      <c r="U807" s="230"/>
      <c r="V807" s="230"/>
    </row>
    <row r="808" hidden="1">
      <c r="O808" s="230"/>
      <c r="S808" s="230"/>
      <c r="T808" s="230"/>
      <c r="U808" s="230"/>
      <c r="V808" s="230"/>
    </row>
    <row r="809" hidden="1">
      <c r="O809" s="230"/>
      <c r="S809" s="230"/>
      <c r="T809" s="230"/>
      <c r="U809" s="230"/>
      <c r="V809" s="230"/>
    </row>
    <row r="810" hidden="1">
      <c r="O810" s="230"/>
      <c r="S810" s="230"/>
      <c r="T810" s="230"/>
      <c r="U810" s="230"/>
      <c r="V810" s="230"/>
    </row>
    <row r="811" hidden="1">
      <c r="O811" s="230"/>
      <c r="S811" s="230"/>
      <c r="T811" s="230"/>
      <c r="U811" s="230"/>
      <c r="V811" s="230"/>
    </row>
    <row r="812" hidden="1">
      <c r="O812" s="230"/>
      <c r="S812" s="230"/>
      <c r="T812" s="230"/>
      <c r="U812" s="230"/>
      <c r="V812" s="230"/>
    </row>
    <row r="813" hidden="1">
      <c r="O813" s="230"/>
      <c r="S813" s="230"/>
      <c r="T813" s="230"/>
      <c r="U813" s="230"/>
      <c r="V813" s="230"/>
    </row>
    <row r="814" hidden="1">
      <c r="O814" s="230"/>
      <c r="S814" s="230"/>
      <c r="T814" s="230"/>
      <c r="U814" s="230"/>
      <c r="V814" s="230"/>
    </row>
    <row r="815" hidden="1">
      <c r="O815" s="230"/>
      <c r="S815" s="230"/>
      <c r="T815" s="230"/>
      <c r="U815" s="230"/>
      <c r="V815" s="230"/>
    </row>
    <row r="816" hidden="1">
      <c r="O816" s="230"/>
      <c r="S816" s="230"/>
      <c r="T816" s="230"/>
      <c r="U816" s="230"/>
      <c r="V816" s="230"/>
    </row>
    <row r="817" hidden="1">
      <c r="O817" s="230"/>
      <c r="S817" s="230"/>
      <c r="T817" s="230"/>
      <c r="U817" s="230"/>
      <c r="V817" s="230"/>
    </row>
    <row r="818" hidden="1">
      <c r="O818" s="230"/>
      <c r="S818" s="230"/>
      <c r="T818" s="230"/>
      <c r="U818" s="230"/>
      <c r="V818" s="230"/>
    </row>
    <row r="819" hidden="1">
      <c r="O819" s="230"/>
      <c r="S819" s="230"/>
      <c r="T819" s="230"/>
      <c r="U819" s="230"/>
      <c r="V819" s="230"/>
    </row>
    <row r="820" hidden="1">
      <c r="O820" s="230"/>
      <c r="S820" s="230"/>
      <c r="T820" s="230"/>
      <c r="U820" s="230"/>
      <c r="V820" s="230"/>
    </row>
    <row r="821" hidden="1">
      <c r="O821" s="230"/>
      <c r="S821" s="230"/>
      <c r="T821" s="230"/>
      <c r="U821" s="230"/>
      <c r="V821" s="230"/>
    </row>
    <row r="822" hidden="1">
      <c r="O822" s="230"/>
      <c r="S822" s="230"/>
      <c r="T822" s="230"/>
      <c r="U822" s="230"/>
      <c r="V822" s="230"/>
    </row>
    <row r="823" hidden="1">
      <c r="O823" s="230"/>
      <c r="S823" s="230"/>
      <c r="T823" s="230"/>
      <c r="U823" s="230"/>
      <c r="V823" s="230"/>
    </row>
    <row r="824" hidden="1">
      <c r="O824" s="230"/>
      <c r="S824" s="230"/>
      <c r="T824" s="230"/>
      <c r="U824" s="230"/>
      <c r="V824" s="230"/>
    </row>
    <row r="825" hidden="1">
      <c r="O825" s="230"/>
      <c r="S825" s="230"/>
      <c r="T825" s="230"/>
      <c r="U825" s="230"/>
      <c r="V825" s="230"/>
    </row>
    <row r="826" hidden="1">
      <c r="O826" s="230"/>
      <c r="S826" s="230"/>
      <c r="T826" s="230"/>
      <c r="U826" s="230"/>
      <c r="V826" s="230"/>
    </row>
    <row r="827" hidden="1">
      <c r="O827" s="230"/>
      <c r="S827" s="230"/>
      <c r="T827" s="230"/>
      <c r="U827" s="230"/>
      <c r="V827" s="230"/>
    </row>
    <row r="828" hidden="1">
      <c r="O828" s="230"/>
      <c r="S828" s="230"/>
      <c r="T828" s="230"/>
      <c r="U828" s="230"/>
      <c r="V828" s="230"/>
    </row>
    <row r="829" hidden="1">
      <c r="O829" s="230"/>
      <c r="S829" s="230"/>
      <c r="T829" s="230"/>
      <c r="U829" s="230"/>
      <c r="V829" s="230"/>
    </row>
    <row r="830" hidden="1">
      <c r="O830" s="230"/>
      <c r="S830" s="230"/>
      <c r="T830" s="230"/>
      <c r="U830" s="230"/>
      <c r="V830" s="230"/>
    </row>
    <row r="831" hidden="1">
      <c r="O831" s="230"/>
      <c r="S831" s="230"/>
      <c r="T831" s="230"/>
      <c r="U831" s="230"/>
      <c r="V831" s="230"/>
    </row>
    <row r="832" hidden="1">
      <c r="O832" s="230"/>
      <c r="S832" s="230"/>
      <c r="T832" s="230"/>
      <c r="U832" s="230"/>
      <c r="V832" s="230"/>
    </row>
    <row r="833" hidden="1">
      <c r="O833" s="230"/>
      <c r="S833" s="230"/>
      <c r="T833" s="230"/>
      <c r="U833" s="230"/>
      <c r="V833" s="230"/>
    </row>
    <row r="834" hidden="1">
      <c r="O834" s="230"/>
      <c r="S834" s="230"/>
      <c r="T834" s="230"/>
      <c r="U834" s="230"/>
      <c r="V834" s="230"/>
    </row>
    <row r="835" hidden="1">
      <c r="O835" s="230"/>
      <c r="S835" s="230"/>
      <c r="T835" s="230"/>
      <c r="U835" s="230"/>
      <c r="V835" s="230"/>
    </row>
    <row r="836" hidden="1">
      <c r="O836" s="230"/>
      <c r="S836" s="230"/>
      <c r="T836" s="230"/>
      <c r="U836" s="230"/>
      <c r="V836" s="230"/>
    </row>
    <row r="837" hidden="1">
      <c r="O837" s="230"/>
      <c r="S837" s="230"/>
      <c r="T837" s="230"/>
      <c r="U837" s="230"/>
      <c r="V837" s="230"/>
    </row>
    <row r="838" hidden="1">
      <c r="O838" s="230"/>
      <c r="S838" s="230"/>
      <c r="T838" s="230"/>
      <c r="U838" s="230"/>
      <c r="V838" s="230"/>
    </row>
    <row r="839" hidden="1">
      <c r="O839" s="230"/>
      <c r="S839" s="230"/>
      <c r="T839" s="230"/>
      <c r="U839" s="230"/>
      <c r="V839" s="230"/>
    </row>
    <row r="840" hidden="1">
      <c r="O840" s="230"/>
      <c r="S840" s="230"/>
      <c r="T840" s="230"/>
      <c r="U840" s="230"/>
      <c r="V840" s="230"/>
    </row>
    <row r="841" hidden="1">
      <c r="O841" s="230"/>
      <c r="S841" s="230"/>
      <c r="T841" s="230"/>
      <c r="U841" s="230"/>
      <c r="V841" s="230"/>
    </row>
    <row r="842" hidden="1">
      <c r="O842" s="230"/>
      <c r="S842" s="230"/>
      <c r="T842" s="230"/>
      <c r="U842" s="230"/>
      <c r="V842" s="230"/>
    </row>
    <row r="843" hidden="1">
      <c r="O843" s="230"/>
      <c r="S843" s="230"/>
      <c r="T843" s="230"/>
      <c r="U843" s="230"/>
      <c r="V843" s="230"/>
    </row>
    <row r="844" hidden="1">
      <c r="O844" s="230"/>
      <c r="S844" s="230"/>
      <c r="T844" s="230"/>
      <c r="U844" s="230"/>
      <c r="V844" s="230"/>
    </row>
    <row r="845" hidden="1">
      <c r="O845" s="230"/>
      <c r="S845" s="230"/>
      <c r="T845" s="230"/>
      <c r="U845" s="230"/>
      <c r="V845" s="230"/>
    </row>
    <row r="846" hidden="1">
      <c r="O846" s="230"/>
      <c r="S846" s="230"/>
      <c r="T846" s="230"/>
      <c r="U846" s="230"/>
      <c r="V846" s="230"/>
    </row>
    <row r="847" hidden="1">
      <c r="O847" s="230"/>
      <c r="S847" s="230"/>
      <c r="T847" s="230"/>
      <c r="U847" s="230"/>
      <c r="V847" s="230"/>
    </row>
    <row r="848" hidden="1">
      <c r="O848" s="230"/>
      <c r="S848" s="230"/>
      <c r="T848" s="230"/>
      <c r="U848" s="230"/>
      <c r="V848" s="230"/>
    </row>
    <row r="849" hidden="1">
      <c r="O849" s="230"/>
      <c r="S849" s="230"/>
      <c r="T849" s="230"/>
      <c r="U849" s="230"/>
      <c r="V849" s="230"/>
    </row>
    <row r="850" hidden="1">
      <c r="O850" s="230"/>
      <c r="S850" s="230"/>
      <c r="T850" s="230"/>
      <c r="U850" s="230"/>
      <c r="V850" s="230"/>
    </row>
    <row r="851" hidden="1">
      <c r="O851" s="230"/>
      <c r="S851" s="230"/>
      <c r="T851" s="230"/>
      <c r="U851" s="230"/>
      <c r="V851" s="230"/>
    </row>
    <row r="852" hidden="1">
      <c r="O852" s="230"/>
      <c r="S852" s="230"/>
      <c r="T852" s="230"/>
      <c r="U852" s="230"/>
      <c r="V852" s="230"/>
    </row>
    <row r="853" hidden="1">
      <c r="O853" s="230"/>
      <c r="S853" s="230"/>
      <c r="T853" s="230"/>
      <c r="U853" s="230"/>
      <c r="V853" s="230"/>
    </row>
    <row r="854" hidden="1">
      <c r="O854" s="230"/>
      <c r="S854" s="230"/>
      <c r="T854" s="230"/>
      <c r="U854" s="230"/>
      <c r="V854" s="230"/>
    </row>
    <row r="855" hidden="1">
      <c r="O855" s="230"/>
      <c r="S855" s="230"/>
      <c r="T855" s="230"/>
      <c r="U855" s="230"/>
      <c r="V855" s="230"/>
    </row>
    <row r="856" hidden="1">
      <c r="O856" s="230"/>
      <c r="S856" s="230"/>
      <c r="T856" s="230"/>
      <c r="U856" s="230"/>
      <c r="V856" s="230"/>
    </row>
    <row r="857" hidden="1">
      <c r="O857" s="230"/>
      <c r="S857" s="230"/>
      <c r="T857" s="230"/>
      <c r="U857" s="230"/>
      <c r="V857" s="230"/>
    </row>
    <row r="858" hidden="1">
      <c r="O858" s="230"/>
      <c r="S858" s="230"/>
      <c r="T858" s="230"/>
      <c r="U858" s="230"/>
      <c r="V858" s="230"/>
    </row>
    <row r="859" hidden="1">
      <c r="O859" s="230"/>
      <c r="S859" s="230"/>
      <c r="T859" s="230"/>
      <c r="U859" s="230"/>
      <c r="V859" s="230"/>
    </row>
    <row r="860" hidden="1">
      <c r="O860" s="230"/>
      <c r="S860" s="230"/>
      <c r="T860" s="230"/>
      <c r="U860" s="230"/>
      <c r="V860" s="230"/>
    </row>
    <row r="861" hidden="1">
      <c r="O861" s="230"/>
      <c r="S861" s="230"/>
      <c r="T861" s="230"/>
      <c r="U861" s="230"/>
      <c r="V861" s="230"/>
    </row>
    <row r="862" hidden="1">
      <c r="O862" s="230"/>
      <c r="S862" s="230"/>
      <c r="T862" s="230"/>
      <c r="U862" s="230"/>
      <c r="V862" s="230"/>
    </row>
    <row r="863" hidden="1">
      <c r="O863" s="230"/>
      <c r="S863" s="230"/>
      <c r="T863" s="230"/>
      <c r="U863" s="230"/>
      <c r="V863" s="230"/>
    </row>
    <row r="864" hidden="1">
      <c r="O864" s="230"/>
      <c r="S864" s="230"/>
      <c r="T864" s="230"/>
      <c r="U864" s="230"/>
      <c r="V864" s="230"/>
    </row>
    <row r="865" hidden="1">
      <c r="O865" s="230"/>
      <c r="S865" s="230"/>
      <c r="T865" s="230"/>
      <c r="U865" s="230"/>
      <c r="V865" s="230"/>
    </row>
    <row r="866" hidden="1">
      <c r="O866" s="230"/>
      <c r="S866" s="230"/>
      <c r="T866" s="230"/>
      <c r="U866" s="230"/>
      <c r="V866" s="230"/>
    </row>
    <row r="867" hidden="1">
      <c r="O867" s="230"/>
      <c r="S867" s="230"/>
      <c r="T867" s="230"/>
      <c r="U867" s="230"/>
      <c r="V867" s="230"/>
    </row>
    <row r="868" hidden="1">
      <c r="O868" s="230"/>
      <c r="S868" s="230"/>
      <c r="T868" s="230"/>
      <c r="U868" s="230"/>
      <c r="V868" s="230"/>
    </row>
    <row r="869" hidden="1">
      <c r="O869" s="230"/>
      <c r="S869" s="230"/>
      <c r="T869" s="230"/>
      <c r="U869" s="230"/>
      <c r="V869" s="230"/>
    </row>
    <row r="870" hidden="1">
      <c r="O870" s="230"/>
      <c r="S870" s="230"/>
      <c r="T870" s="230"/>
      <c r="U870" s="230"/>
      <c r="V870" s="230"/>
    </row>
    <row r="871" hidden="1">
      <c r="O871" s="230"/>
      <c r="S871" s="230"/>
      <c r="T871" s="230"/>
      <c r="U871" s="230"/>
      <c r="V871" s="230"/>
    </row>
    <row r="872" hidden="1">
      <c r="O872" s="230"/>
      <c r="S872" s="230"/>
      <c r="T872" s="230"/>
      <c r="U872" s="230"/>
      <c r="V872" s="230"/>
    </row>
    <row r="873" hidden="1">
      <c r="O873" s="230"/>
      <c r="S873" s="230"/>
      <c r="T873" s="230"/>
      <c r="U873" s="230"/>
      <c r="V873" s="230"/>
    </row>
    <row r="874" hidden="1">
      <c r="O874" s="230"/>
      <c r="S874" s="230"/>
      <c r="T874" s="230"/>
      <c r="U874" s="230"/>
      <c r="V874" s="230"/>
    </row>
    <row r="875" hidden="1">
      <c r="O875" s="230"/>
      <c r="S875" s="230"/>
      <c r="T875" s="230"/>
      <c r="U875" s="230"/>
      <c r="V875" s="230"/>
    </row>
    <row r="876" hidden="1">
      <c r="O876" s="230"/>
      <c r="S876" s="230"/>
      <c r="T876" s="230"/>
      <c r="U876" s="230"/>
      <c r="V876" s="230"/>
    </row>
    <row r="877" hidden="1">
      <c r="O877" s="230"/>
      <c r="S877" s="230"/>
      <c r="T877" s="230"/>
      <c r="U877" s="230"/>
      <c r="V877" s="230"/>
    </row>
    <row r="878" hidden="1">
      <c r="O878" s="230"/>
      <c r="S878" s="230"/>
      <c r="T878" s="230"/>
      <c r="U878" s="230"/>
      <c r="V878" s="230"/>
    </row>
    <row r="879" hidden="1">
      <c r="O879" s="230"/>
      <c r="S879" s="230"/>
      <c r="T879" s="230"/>
      <c r="U879" s="230"/>
      <c r="V879" s="230"/>
    </row>
    <row r="880" hidden="1">
      <c r="O880" s="230"/>
      <c r="S880" s="230"/>
      <c r="T880" s="230"/>
      <c r="U880" s="230"/>
      <c r="V880" s="230"/>
    </row>
    <row r="881" hidden="1">
      <c r="O881" s="230"/>
      <c r="S881" s="230"/>
      <c r="T881" s="230"/>
      <c r="U881" s="230"/>
      <c r="V881" s="230"/>
    </row>
    <row r="882" hidden="1">
      <c r="O882" s="230"/>
      <c r="S882" s="230"/>
      <c r="T882" s="230"/>
      <c r="U882" s="230"/>
      <c r="V882" s="230"/>
    </row>
    <row r="883" hidden="1">
      <c r="O883" s="230"/>
      <c r="S883" s="230"/>
      <c r="T883" s="230"/>
      <c r="U883" s="230"/>
      <c r="V883" s="230"/>
    </row>
    <row r="884" hidden="1">
      <c r="O884" s="230"/>
      <c r="S884" s="230"/>
      <c r="T884" s="230"/>
      <c r="U884" s="230"/>
      <c r="V884" s="230"/>
    </row>
    <row r="885" hidden="1">
      <c r="O885" s="230"/>
      <c r="S885" s="230"/>
      <c r="T885" s="230"/>
      <c r="U885" s="230"/>
      <c r="V885" s="230"/>
    </row>
    <row r="886" hidden="1">
      <c r="O886" s="230"/>
      <c r="S886" s="230"/>
      <c r="T886" s="230"/>
      <c r="U886" s="230"/>
      <c r="V886" s="230"/>
    </row>
    <row r="887" hidden="1">
      <c r="O887" s="230"/>
      <c r="S887" s="230"/>
      <c r="T887" s="230"/>
      <c r="U887" s="230"/>
      <c r="V887" s="230"/>
    </row>
    <row r="888" hidden="1">
      <c r="O888" s="230"/>
      <c r="S888" s="230"/>
      <c r="T888" s="230"/>
      <c r="U888" s="230"/>
      <c r="V888" s="230"/>
    </row>
    <row r="889" hidden="1">
      <c r="O889" s="230"/>
      <c r="S889" s="230"/>
      <c r="T889" s="230"/>
      <c r="U889" s="230"/>
      <c r="V889" s="230"/>
    </row>
    <row r="890" hidden="1">
      <c r="O890" s="230"/>
      <c r="S890" s="230"/>
      <c r="T890" s="230"/>
      <c r="U890" s="230"/>
      <c r="V890" s="230"/>
    </row>
    <row r="891" hidden="1">
      <c r="O891" s="230"/>
      <c r="S891" s="230"/>
      <c r="T891" s="230"/>
      <c r="U891" s="230"/>
      <c r="V891" s="230"/>
    </row>
    <row r="892" hidden="1">
      <c r="O892" s="230"/>
      <c r="S892" s="230"/>
      <c r="T892" s="230"/>
      <c r="U892" s="230"/>
      <c r="V892" s="230"/>
    </row>
    <row r="893" hidden="1">
      <c r="O893" s="230"/>
      <c r="S893" s="230"/>
      <c r="T893" s="230"/>
      <c r="U893" s="230"/>
      <c r="V893" s="230"/>
    </row>
    <row r="894" hidden="1">
      <c r="O894" s="230"/>
      <c r="S894" s="230"/>
      <c r="T894" s="230"/>
      <c r="U894" s="230"/>
      <c r="V894" s="230"/>
    </row>
    <row r="895" hidden="1">
      <c r="O895" s="230"/>
      <c r="S895" s="230"/>
      <c r="T895" s="230"/>
      <c r="U895" s="230"/>
      <c r="V895" s="230"/>
    </row>
    <row r="896" hidden="1">
      <c r="O896" s="230"/>
      <c r="S896" s="230"/>
      <c r="T896" s="230"/>
      <c r="U896" s="230"/>
      <c r="V896" s="230"/>
    </row>
    <row r="897" hidden="1">
      <c r="O897" s="230"/>
      <c r="S897" s="230"/>
      <c r="T897" s="230"/>
      <c r="U897" s="230"/>
      <c r="V897" s="230"/>
    </row>
    <row r="898" hidden="1">
      <c r="O898" s="230"/>
      <c r="S898" s="230"/>
      <c r="T898" s="230"/>
      <c r="U898" s="230"/>
      <c r="V898" s="230"/>
    </row>
    <row r="899" hidden="1">
      <c r="O899" s="230"/>
      <c r="S899" s="230"/>
      <c r="T899" s="230"/>
      <c r="U899" s="230"/>
      <c r="V899" s="230"/>
    </row>
    <row r="900" hidden="1">
      <c r="O900" s="230"/>
      <c r="S900" s="230"/>
      <c r="T900" s="230"/>
      <c r="U900" s="230"/>
      <c r="V900" s="230"/>
    </row>
    <row r="901" hidden="1">
      <c r="O901" s="230"/>
      <c r="S901" s="230"/>
      <c r="T901" s="230"/>
      <c r="U901" s="230"/>
      <c r="V901" s="230"/>
    </row>
    <row r="902" hidden="1">
      <c r="O902" s="230"/>
      <c r="S902" s="230"/>
      <c r="T902" s="230"/>
      <c r="U902" s="230"/>
      <c r="V902" s="230"/>
    </row>
    <row r="903" hidden="1">
      <c r="O903" s="230"/>
      <c r="S903" s="230"/>
      <c r="T903" s="230"/>
      <c r="U903" s="230"/>
      <c r="V903" s="230"/>
    </row>
    <row r="904" hidden="1">
      <c r="O904" s="230"/>
      <c r="S904" s="230"/>
      <c r="T904" s="230"/>
      <c r="U904" s="230"/>
      <c r="V904" s="230"/>
    </row>
    <row r="905" hidden="1">
      <c r="O905" s="230"/>
      <c r="S905" s="230"/>
      <c r="T905" s="230"/>
      <c r="U905" s="230"/>
      <c r="V905" s="230"/>
    </row>
    <row r="906" hidden="1">
      <c r="O906" s="230"/>
      <c r="S906" s="230"/>
      <c r="T906" s="230"/>
      <c r="U906" s="230"/>
      <c r="V906" s="230"/>
    </row>
    <row r="907" hidden="1">
      <c r="O907" s="230"/>
      <c r="S907" s="230"/>
      <c r="T907" s="230"/>
      <c r="U907" s="230"/>
      <c r="V907" s="230"/>
    </row>
    <row r="908" hidden="1">
      <c r="O908" s="230"/>
      <c r="S908" s="230"/>
      <c r="T908" s="230"/>
      <c r="U908" s="230"/>
      <c r="V908" s="230"/>
    </row>
    <row r="909" hidden="1">
      <c r="O909" s="230"/>
      <c r="S909" s="230"/>
      <c r="T909" s="230"/>
      <c r="U909" s="230"/>
      <c r="V909" s="230"/>
    </row>
    <row r="910" hidden="1">
      <c r="O910" s="230"/>
      <c r="S910" s="230"/>
      <c r="T910" s="230"/>
      <c r="U910" s="230"/>
      <c r="V910" s="230"/>
    </row>
    <row r="911" hidden="1">
      <c r="O911" s="230"/>
      <c r="S911" s="230"/>
      <c r="T911" s="230"/>
      <c r="U911" s="230"/>
      <c r="V911" s="230"/>
    </row>
    <row r="912" hidden="1">
      <c r="O912" s="230"/>
      <c r="S912" s="230"/>
      <c r="T912" s="230"/>
      <c r="U912" s="230"/>
      <c r="V912" s="230"/>
    </row>
    <row r="913" hidden="1">
      <c r="O913" s="230"/>
      <c r="S913" s="230"/>
      <c r="T913" s="230"/>
      <c r="U913" s="230"/>
      <c r="V913" s="230"/>
    </row>
    <row r="914" hidden="1">
      <c r="O914" s="230"/>
      <c r="S914" s="230"/>
      <c r="T914" s="230"/>
      <c r="U914" s="230"/>
      <c r="V914" s="230"/>
    </row>
    <row r="915" hidden="1">
      <c r="O915" s="230"/>
      <c r="S915" s="230"/>
      <c r="T915" s="230"/>
      <c r="U915" s="230"/>
      <c r="V915" s="230"/>
    </row>
    <row r="916" hidden="1">
      <c r="O916" s="230"/>
      <c r="S916" s="230"/>
      <c r="T916" s="230"/>
      <c r="U916" s="230"/>
      <c r="V916" s="230"/>
    </row>
    <row r="917" hidden="1">
      <c r="O917" s="230"/>
      <c r="S917" s="230"/>
      <c r="T917" s="230"/>
      <c r="U917" s="230"/>
      <c r="V917" s="230"/>
    </row>
    <row r="918" hidden="1">
      <c r="O918" s="230"/>
      <c r="S918" s="230"/>
      <c r="T918" s="230"/>
      <c r="U918" s="230"/>
      <c r="V918" s="230"/>
    </row>
    <row r="919" hidden="1">
      <c r="O919" s="230"/>
      <c r="S919" s="230"/>
      <c r="T919" s="230"/>
      <c r="U919" s="230"/>
      <c r="V919" s="230"/>
    </row>
    <row r="920" hidden="1">
      <c r="O920" s="230"/>
      <c r="S920" s="230"/>
      <c r="T920" s="230"/>
      <c r="U920" s="230"/>
      <c r="V920" s="230"/>
    </row>
    <row r="921" hidden="1">
      <c r="O921" s="230"/>
      <c r="S921" s="230"/>
      <c r="T921" s="230"/>
      <c r="U921" s="230"/>
      <c r="V921" s="230"/>
    </row>
    <row r="922" hidden="1">
      <c r="O922" s="230"/>
      <c r="S922" s="230"/>
      <c r="T922" s="230"/>
      <c r="U922" s="230"/>
      <c r="V922" s="230"/>
    </row>
    <row r="923" hidden="1">
      <c r="O923" s="230"/>
      <c r="S923" s="230"/>
      <c r="T923" s="230"/>
      <c r="U923" s="230"/>
      <c r="V923" s="230"/>
    </row>
    <row r="924" hidden="1">
      <c r="O924" s="230"/>
      <c r="S924" s="230"/>
      <c r="T924" s="230"/>
      <c r="U924" s="230"/>
      <c r="V924" s="230"/>
    </row>
    <row r="925" hidden="1">
      <c r="O925" s="230"/>
      <c r="S925" s="230"/>
      <c r="T925" s="230"/>
      <c r="U925" s="230"/>
      <c r="V925" s="230"/>
    </row>
    <row r="926" hidden="1">
      <c r="O926" s="230"/>
      <c r="S926" s="230"/>
      <c r="T926" s="230"/>
      <c r="U926" s="230"/>
      <c r="V926" s="230"/>
    </row>
    <row r="927" hidden="1">
      <c r="O927" s="230"/>
      <c r="S927" s="230"/>
      <c r="T927" s="230"/>
      <c r="U927" s="230"/>
      <c r="V927" s="230"/>
    </row>
    <row r="928" hidden="1">
      <c r="O928" s="230"/>
      <c r="S928" s="230"/>
      <c r="T928" s="230"/>
      <c r="U928" s="230"/>
      <c r="V928" s="230"/>
    </row>
    <row r="929" hidden="1">
      <c r="O929" s="230"/>
      <c r="S929" s="230"/>
      <c r="T929" s="230"/>
      <c r="U929" s="230"/>
      <c r="V929" s="230"/>
    </row>
    <row r="930" hidden="1">
      <c r="O930" s="230"/>
      <c r="S930" s="230"/>
      <c r="T930" s="230"/>
      <c r="U930" s="230"/>
      <c r="V930" s="230"/>
    </row>
    <row r="931" hidden="1">
      <c r="O931" s="230"/>
      <c r="S931" s="230"/>
      <c r="T931" s="230"/>
      <c r="U931" s="230"/>
      <c r="V931" s="230"/>
    </row>
    <row r="932" hidden="1">
      <c r="O932" s="230"/>
      <c r="S932" s="230"/>
      <c r="T932" s="230"/>
      <c r="U932" s="230"/>
      <c r="V932" s="230"/>
    </row>
    <row r="933" hidden="1">
      <c r="O933" s="230"/>
      <c r="S933" s="230"/>
      <c r="T933" s="230"/>
      <c r="U933" s="230"/>
      <c r="V933" s="230"/>
    </row>
    <row r="934" hidden="1">
      <c r="O934" s="230"/>
      <c r="S934" s="230"/>
      <c r="T934" s="230"/>
      <c r="U934" s="230"/>
      <c r="V934" s="230"/>
    </row>
    <row r="935" hidden="1">
      <c r="O935" s="230"/>
      <c r="S935" s="230"/>
      <c r="T935" s="230"/>
      <c r="U935" s="230"/>
      <c r="V935" s="230"/>
    </row>
    <row r="936" hidden="1">
      <c r="O936" s="230"/>
      <c r="S936" s="230"/>
      <c r="T936" s="230"/>
      <c r="U936" s="230"/>
      <c r="V936" s="230"/>
    </row>
    <row r="937" hidden="1">
      <c r="O937" s="230"/>
      <c r="S937" s="230"/>
      <c r="T937" s="230"/>
      <c r="U937" s="230"/>
      <c r="V937" s="230"/>
    </row>
    <row r="938" hidden="1">
      <c r="O938" s="230"/>
      <c r="S938" s="230"/>
      <c r="T938" s="230"/>
      <c r="U938" s="230"/>
      <c r="V938" s="230"/>
    </row>
    <row r="939" hidden="1">
      <c r="O939" s="230"/>
      <c r="S939" s="230"/>
      <c r="T939" s="230"/>
      <c r="U939" s="230"/>
      <c r="V939" s="230"/>
    </row>
    <row r="940" hidden="1">
      <c r="O940" s="230"/>
      <c r="S940" s="230"/>
      <c r="T940" s="230"/>
      <c r="U940" s="230"/>
      <c r="V940" s="230"/>
    </row>
    <row r="941" hidden="1">
      <c r="O941" s="230"/>
      <c r="S941" s="230"/>
      <c r="T941" s="230"/>
      <c r="U941" s="230"/>
      <c r="V941" s="230"/>
    </row>
    <row r="942" hidden="1">
      <c r="O942" s="230"/>
      <c r="S942" s="230"/>
      <c r="T942" s="230"/>
      <c r="U942" s="230"/>
      <c r="V942" s="230"/>
    </row>
    <row r="943" hidden="1">
      <c r="O943" s="230"/>
      <c r="S943" s="230"/>
      <c r="T943" s="230"/>
      <c r="U943" s="230"/>
      <c r="V943" s="230"/>
    </row>
    <row r="944" hidden="1">
      <c r="O944" s="230"/>
      <c r="S944" s="230"/>
      <c r="T944" s="230"/>
      <c r="U944" s="230"/>
      <c r="V944" s="230"/>
    </row>
    <row r="945" hidden="1">
      <c r="O945" s="230"/>
      <c r="S945" s="230"/>
      <c r="T945" s="230"/>
      <c r="U945" s="230"/>
      <c r="V945" s="230"/>
    </row>
    <row r="946" hidden="1">
      <c r="O946" s="230"/>
      <c r="S946" s="230"/>
      <c r="T946" s="230"/>
      <c r="U946" s="230"/>
      <c r="V946" s="230"/>
    </row>
    <row r="947" hidden="1">
      <c r="O947" s="230"/>
      <c r="S947" s="230"/>
      <c r="T947" s="230"/>
      <c r="U947" s="230"/>
      <c r="V947" s="230"/>
    </row>
    <row r="948" hidden="1">
      <c r="O948" s="230"/>
      <c r="S948" s="230"/>
      <c r="T948" s="230"/>
      <c r="U948" s="230"/>
      <c r="V948" s="230"/>
    </row>
    <row r="949" hidden="1">
      <c r="O949" s="230"/>
      <c r="S949" s="230"/>
      <c r="T949" s="230"/>
      <c r="U949" s="230"/>
      <c r="V949" s="230"/>
    </row>
    <row r="950" hidden="1">
      <c r="O950" s="230"/>
      <c r="S950" s="230"/>
      <c r="T950" s="230"/>
      <c r="U950" s="230"/>
      <c r="V950" s="230"/>
    </row>
    <row r="951" hidden="1">
      <c r="O951" s="230"/>
      <c r="S951" s="230"/>
      <c r="T951" s="230"/>
      <c r="U951" s="230"/>
      <c r="V951" s="230"/>
    </row>
    <row r="952" hidden="1">
      <c r="O952" s="230"/>
      <c r="S952" s="230"/>
      <c r="T952" s="230"/>
      <c r="U952" s="230"/>
      <c r="V952" s="230"/>
    </row>
    <row r="953" hidden="1">
      <c r="O953" s="230"/>
      <c r="S953" s="230"/>
      <c r="T953" s="230"/>
      <c r="U953" s="230"/>
      <c r="V953" s="230"/>
    </row>
    <row r="954" hidden="1">
      <c r="O954" s="230"/>
      <c r="S954" s="230"/>
      <c r="T954" s="230"/>
      <c r="U954" s="230"/>
      <c r="V954" s="230"/>
    </row>
    <row r="955" hidden="1">
      <c r="O955" s="230"/>
      <c r="S955" s="230"/>
      <c r="T955" s="230"/>
      <c r="U955" s="230"/>
      <c r="V955" s="230"/>
    </row>
    <row r="956" hidden="1">
      <c r="O956" s="230"/>
      <c r="S956" s="230"/>
      <c r="T956" s="230"/>
      <c r="U956" s="230"/>
      <c r="V956" s="230"/>
    </row>
    <row r="957" hidden="1">
      <c r="O957" s="230"/>
      <c r="S957" s="230"/>
      <c r="T957" s="230"/>
      <c r="U957" s="230"/>
      <c r="V957" s="230"/>
    </row>
    <row r="958" hidden="1">
      <c r="O958" s="230"/>
      <c r="S958" s="230"/>
      <c r="T958" s="230"/>
      <c r="U958" s="230"/>
      <c r="V958" s="230"/>
    </row>
    <row r="959" hidden="1">
      <c r="O959" s="230"/>
      <c r="S959" s="230"/>
      <c r="T959" s="230"/>
      <c r="U959" s="230"/>
      <c r="V959" s="230"/>
    </row>
    <row r="960" hidden="1">
      <c r="O960" s="230"/>
      <c r="S960" s="230"/>
      <c r="T960" s="230"/>
      <c r="U960" s="230"/>
      <c r="V960" s="230"/>
    </row>
    <row r="961" hidden="1">
      <c r="O961" s="230"/>
      <c r="S961" s="230"/>
      <c r="T961" s="230"/>
      <c r="U961" s="230"/>
      <c r="V961" s="230"/>
    </row>
    <row r="962" hidden="1">
      <c r="O962" s="230"/>
      <c r="S962" s="230"/>
      <c r="T962" s="230"/>
      <c r="U962" s="230"/>
      <c r="V962" s="230"/>
    </row>
    <row r="963" hidden="1">
      <c r="O963" s="230"/>
      <c r="S963" s="230"/>
      <c r="T963" s="230"/>
      <c r="U963" s="230"/>
      <c r="V963" s="230"/>
    </row>
    <row r="964" hidden="1">
      <c r="O964" s="230"/>
      <c r="S964" s="230"/>
      <c r="T964" s="230"/>
      <c r="U964" s="230"/>
      <c r="V964" s="230"/>
    </row>
    <row r="965" hidden="1">
      <c r="O965" s="230"/>
      <c r="S965" s="230"/>
      <c r="T965" s="230"/>
      <c r="U965" s="230"/>
      <c r="V965" s="230"/>
    </row>
    <row r="966" hidden="1">
      <c r="O966" s="230"/>
      <c r="S966" s="230"/>
      <c r="T966" s="230"/>
      <c r="U966" s="230"/>
      <c r="V966" s="230"/>
    </row>
    <row r="967" hidden="1">
      <c r="O967" s="230"/>
      <c r="S967" s="230"/>
      <c r="T967" s="230"/>
      <c r="U967" s="230"/>
      <c r="V967" s="230"/>
    </row>
    <row r="968" hidden="1">
      <c r="O968" s="230"/>
      <c r="S968" s="230"/>
      <c r="T968" s="230"/>
      <c r="U968" s="230"/>
      <c r="V968" s="230"/>
    </row>
    <row r="969" hidden="1">
      <c r="O969" s="230"/>
      <c r="S969" s="230"/>
      <c r="T969" s="230"/>
      <c r="U969" s="230"/>
      <c r="V969" s="230"/>
    </row>
    <row r="970" hidden="1">
      <c r="O970" s="230"/>
      <c r="S970" s="230"/>
      <c r="T970" s="230"/>
      <c r="U970" s="230"/>
      <c r="V970" s="230"/>
    </row>
    <row r="971" hidden="1">
      <c r="O971" s="230"/>
      <c r="S971" s="230"/>
      <c r="T971" s="230"/>
      <c r="U971" s="230"/>
      <c r="V971" s="230"/>
    </row>
    <row r="972" hidden="1">
      <c r="O972" s="230"/>
      <c r="S972" s="230"/>
      <c r="T972" s="230"/>
      <c r="U972" s="230"/>
      <c r="V972" s="230"/>
    </row>
    <row r="973" hidden="1">
      <c r="O973" s="230"/>
      <c r="S973" s="230"/>
      <c r="T973" s="230"/>
      <c r="U973" s="230"/>
      <c r="V973" s="230"/>
    </row>
    <row r="974" hidden="1">
      <c r="O974" s="230"/>
      <c r="S974" s="230"/>
      <c r="T974" s="230"/>
      <c r="U974" s="230"/>
      <c r="V974" s="230"/>
    </row>
    <row r="975" hidden="1">
      <c r="O975" s="230"/>
      <c r="S975" s="230"/>
      <c r="T975" s="230"/>
      <c r="U975" s="230"/>
      <c r="V975" s="230"/>
    </row>
    <row r="976" hidden="1">
      <c r="O976" s="230"/>
      <c r="S976" s="230"/>
      <c r="T976" s="230"/>
      <c r="U976" s="230"/>
      <c r="V976" s="230"/>
    </row>
    <row r="977" hidden="1">
      <c r="O977" s="230"/>
      <c r="S977" s="230"/>
      <c r="T977" s="230"/>
      <c r="U977" s="230"/>
      <c r="V977" s="230"/>
    </row>
    <row r="978" hidden="1">
      <c r="O978" s="230"/>
      <c r="S978" s="230"/>
      <c r="T978" s="230"/>
      <c r="U978" s="230"/>
      <c r="V978" s="230"/>
    </row>
    <row r="979" hidden="1">
      <c r="O979" s="230"/>
      <c r="S979" s="230"/>
      <c r="T979" s="230"/>
      <c r="U979" s="230"/>
      <c r="V979" s="230"/>
    </row>
    <row r="980" hidden="1">
      <c r="O980" s="230"/>
      <c r="S980" s="230"/>
      <c r="T980" s="230"/>
      <c r="U980" s="230"/>
      <c r="V980" s="230"/>
    </row>
    <row r="981" hidden="1">
      <c r="O981" s="230"/>
      <c r="S981" s="230"/>
      <c r="T981" s="230"/>
      <c r="U981" s="230"/>
      <c r="V981" s="230"/>
    </row>
    <row r="982" hidden="1">
      <c r="O982" s="230"/>
      <c r="S982" s="230"/>
      <c r="T982" s="230"/>
      <c r="U982" s="230"/>
      <c r="V982" s="230"/>
    </row>
    <row r="983" hidden="1">
      <c r="O983" s="230"/>
      <c r="S983" s="230"/>
      <c r="T983" s="230"/>
      <c r="U983" s="230"/>
      <c r="V983" s="230"/>
    </row>
    <row r="984" hidden="1">
      <c r="O984" s="230"/>
      <c r="S984" s="230"/>
      <c r="T984" s="230"/>
      <c r="U984" s="230"/>
      <c r="V984" s="230"/>
    </row>
    <row r="985" hidden="1">
      <c r="O985" s="230"/>
      <c r="S985" s="230"/>
      <c r="T985" s="230"/>
      <c r="U985" s="230"/>
      <c r="V985" s="230"/>
    </row>
    <row r="986" hidden="1">
      <c r="O986" s="230"/>
      <c r="S986" s="230"/>
      <c r="T986" s="230"/>
      <c r="U986" s="230"/>
      <c r="V986" s="230"/>
    </row>
    <row r="987" hidden="1">
      <c r="O987" s="230"/>
      <c r="S987" s="230"/>
      <c r="T987" s="230"/>
      <c r="U987" s="230"/>
      <c r="V987" s="230"/>
    </row>
    <row r="988" hidden="1">
      <c r="O988" s="230"/>
      <c r="S988" s="230"/>
      <c r="T988" s="230"/>
      <c r="U988" s="230"/>
      <c r="V988" s="230"/>
    </row>
    <row r="989" hidden="1">
      <c r="O989" s="230"/>
      <c r="S989" s="230"/>
      <c r="T989" s="230"/>
      <c r="U989" s="230"/>
      <c r="V989" s="230"/>
    </row>
    <row r="990" hidden="1">
      <c r="O990" s="230"/>
      <c r="S990" s="230"/>
      <c r="T990" s="230"/>
      <c r="U990" s="230"/>
      <c r="V990" s="230"/>
    </row>
    <row r="991" hidden="1">
      <c r="O991" s="230"/>
      <c r="S991" s="230"/>
      <c r="T991" s="230"/>
      <c r="U991" s="230"/>
      <c r="V991" s="230"/>
    </row>
    <row r="992" hidden="1">
      <c r="O992" s="230"/>
      <c r="S992" s="230"/>
      <c r="T992" s="230"/>
      <c r="U992" s="230"/>
      <c r="V992" s="230"/>
    </row>
    <row r="993" hidden="1">
      <c r="O993" s="230"/>
      <c r="S993" s="230"/>
      <c r="T993" s="230"/>
      <c r="U993" s="230"/>
      <c r="V993" s="230"/>
    </row>
    <row r="994" hidden="1">
      <c r="O994" s="230"/>
      <c r="S994" s="230"/>
      <c r="T994" s="230"/>
      <c r="U994" s="230"/>
      <c r="V994" s="230"/>
    </row>
    <row r="995" hidden="1">
      <c r="O995" s="230"/>
      <c r="S995" s="230"/>
      <c r="T995" s="230"/>
      <c r="U995" s="230"/>
      <c r="V995" s="230"/>
    </row>
    <row r="996" hidden="1">
      <c r="O996" s="230"/>
      <c r="S996" s="230"/>
      <c r="T996" s="230"/>
      <c r="U996" s="230"/>
      <c r="V996" s="230"/>
    </row>
    <row r="997" hidden="1">
      <c r="O997" s="230"/>
      <c r="S997" s="230"/>
      <c r="T997" s="230"/>
      <c r="U997" s="230"/>
      <c r="V997" s="230"/>
    </row>
    <row r="998" hidden="1">
      <c r="O998" s="230"/>
      <c r="S998" s="230"/>
      <c r="T998" s="230"/>
      <c r="U998" s="230"/>
      <c r="V998" s="230"/>
    </row>
    <row r="999" hidden="1">
      <c r="O999" s="230"/>
      <c r="S999" s="230"/>
      <c r="T999" s="230"/>
      <c r="U999" s="230"/>
      <c r="V999" s="230"/>
    </row>
    <row r="1000" hidden="1">
      <c r="O1000" s="230"/>
      <c r="S1000" s="230"/>
      <c r="T1000" s="230"/>
      <c r="U1000" s="230"/>
      <c r="V1000" s="230"/>
    </row>
  </sheetData>
  <autoFilter ref="$A$1:$AF$1000">
    <filterColumn colId="4">
      <filters blank="1">
        <filter val="Peet : Nattawat Kunsuwan"/>
        <filter val="Pueng Prachpreeya"/>
        <filter val="Max (QA) : Surawut Sae-nim"/>
        <filter val="Plai Thanaporn Rimnong-ang"/>
        <filter val="Art_narupontp"/>
      </filters>
    </filterColumn>
    <filterColumn colId="21">
      <filters>
        <filter val="21600"/>
        <filter val="7200"/>
        <filter val="28800"/>
        <filter val="36000"/>
        <filter val="72000"/>
        <filter val="57600"/>
        <filter val="10800"/>
        <filter val="No Original Est"/>
        <filter val="3600"/>
        <filter val="86400"/>
        <filter val="28800 -&gt; 14400"/>
        <filter val="7200 -&gt; 3600"/>
        <filter val="14400"/>
      </filters>
    </filterColumn>
  </autoFil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82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2" t="s">
        <v>10137</v>
      </c>
      <c r="C3" s="219">
        <v>500.5</v>
      </c>
      <c r="D3" s="216"/>
      <c r="E3" s="212"/>
      <c r="F3" s="217"/>
    </row>
    <row r="4" ht="22.5" customHeight="1">
      <c r="A4" s="218" t="s">
        <v>250</v>
      </c>
      <c r="B4" s="216"/>
      <c r="C4" s="212">
        <v>189.0</v>
      </c>
      <c r="D4" s="216"/>
      <c r="E4" s="212"/>
      <c r="F4" s="220" t="s">
        <v>251</v>
      </c>
    </row>
    <row r="5" ht="22.5" customHeight="1">
      <c r="A5" s="218" t="s">
        <v>252</v>
      </c>
      <c r="B5" s="216"/>
      <c r="C5" s="212">
        <v>47.5</v>
      </c>
      <c r="D5" s="216"/>
      <c r="E5" s="212"/>
      <c r="F5" s="220" t="s">
        <v>251</v>
      </c>
    </row>
    <row r="6" ht="22.5" customHeight="1">
      <c r="A6" s="218" t="s">
        <v>253</v>
      </c>
      <c r="B6" s="216"/>
      <c r="C6" s="212">
        <v>19.0</v>
      </c>
      <c r="D6" s="216"/>
      <c r="E6" s="212"/>
      <c r="F6" s="221" t="s">
        <v>10138</v>
      </c>
    </row>
    <row r="7" ht="22.5" customHeight="1">
      <c r="A7" s="218" t="s">
        <v>255</v>
      </c>
      <c r="B7" s="216">
        <f>SUM('Sprint 6'!O:O)</f>
        <v>228</v>
      </c>
      <c r="C7" s="212">
        <f>ROUND(SUM('Sprint 6'!T:T)/3600,2)</f>
        <v>396.5</v>
      </c>
      <c r="D7" s="216">
        <f>SUMIF('Sprint 6'!J:J, "Done", 'Sprint 6'!O:O)</f>
        <v>72</v>
      </c>
      <c r="E7" s="212">
        <f>ROUND(SUMIF('Sprint 6'!J:J, "Done", 'Sprint 6'!T:T)/3600,2)</f>
        <v>92</v>
      </c>
      <c r="F7" s="217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f>IFERROR(__xludf.DUMMYFUNCTION("IFERROR(SUM(FILTER('Sprint 6'!O:O, ('Sprint 6'!P:P = ""mid-sprint""))),0)"),0.0)</f>
        <v>0</v>
      </c>
      <c r="C9" s="212">
        <f>IFERROR(__xludf.DUMMYFUNCTION("ROUND(IFERROR(SUM(FILTER('Sprint 6'!T:T, ('Sprint 6'!P:P = ""mid-sprint"")))/3600,0),2)"),0.0)</f>
        <v>0</v>
      </c>
      <c r="D9" s="212">
        <f>IFERROR(__xludf.DUMMYFUNCTION("IFERROR(SUM(FILTER('Sprint 6'!O:O, (('Sprint 6'!J:J = ""Done"")) * ('Sprint 6'!P:P = ""mid-sprint""))),0)"),0.0)</f>
        <v>0</v>
      </c>
      <c r="E9" s="212">
        <f>IFERROR(__xludf.DUMMYFUNCTION("ROUND(IFERROR(SUM(FILTER('Sprint 6'!T:T, (('Sprint 6'!J:J = ""Done"")) * ('Sprint 6'!P:P = ""mid-sprint"")))/3600,0),2)"),0.0)</f>
        <v>0</v>
      </c>
      <c r="F9" s="245"/>
    </row>
    <row r="10" ht="22.5" customHeight="1">
      <c r="A10" s="218" t="s">
        <v>258</v>
      </c>
      <c r="B10" s="212">
        <f>IFERROR(__xludf.DUMMYFUNCTION("IFERROR(SUM(FILTER('Sprint 6'!O:O, ('Sprint 6'!Q:Q = ""change-request""))),0)"),6.0)</f>
        <v>6</v>
      </c>
      <c r="C10" s="212">
        <f>IFERROR(__xludf.DUMMYFUNCTION("ROUND(IFERROR(SUM(FILTER('Sprint 6'!T:T, ('Sprint 6'!Q:Q = ""change-request"")))/3600,0),2)"),16.0)</f>
        <v>16</v>
      </c>
      <c r="D10" s="212">
        <f>IFERROR(__xludf.DUMMYFUNCTION("IFERROR(SUM(FILTER('Sprint 6'!O:O, (('Sprint 6'!J:J = ""Done"")) * ('Sprint 6'!Q:Q = ""change-request""))),0)"),0.0)</f>
        <v>0</v>
      </c>
      <c r="E10" s="212">
        <f>IFERROR(__xludf.DUMMYFUNCTION("ROUND(IFERROR(SUM(FILTER('Sprint 6'!T:T, (('Sprint 6'!J:J = ""Done"")) * ('Sprint 6'!Q:Q = ""change-request"")))/3600,0),2)"),0.0)</f>
        <v>0</v>
      </c>
      <c r="F10" s="225" t="s">
        <v>257</v>
      </c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6'!O:O, ('Sprint 6'!E:E = ""Aek:Atiphat Nanthachitvanich""))),0)"),26.0)</f>
        <v>26</v>
      </c>
      <c r="C12" s="223">
        <f>IFERROR(__xludf.DUMMYFUNCTION("ROUND(IFERROR(SUM(FILTER('Sprint 6'!T:T, ('Sprint 6'!E:E = ""Aek:Atiphat Nanthachitvanich"")))/3600,0),2)"),55.5)</f>
        <v>55.5</v>
      </c>
      <c r="D12" s="216">
        <f>IFERROR(__xludf.DUMMYFUNCTION("IFERROR(SUM(FILTER('Sprint 6'!O:O, (('Sprint 6'!J:J = ""Done"")) * ('Sprint 6'!E:E = ""Aek:Atiphat Nanthachitvanich""))),0)"),5.0)</f>
        <v>5</v>
      </c>
      <c r="E12" s="223">
        <f>IFERROR(__xludf.DUMMYFUNCTION("ROUND(IFERROR(SUM(FILTER('Sprint 6'!T:T, (('Sprint 6'!J:J = ""Done"")) * ('Sprint 6'!E:E = ""Aek:Atiphat Nanthachitvanich"")))/3600,0),2)"),3.0)</f>
        <v>3</v>
      </c>
      <c r="F12" s="224"/>
    </row>
    <row r="13" ht="22.5" customHeight="1">
      <c r="A13" s="218" t="s">
        <v>32</v>
      </c>
      <c r="B13" s="216">
        <f>IFERROR(__xludf.DUMMYFUNCTION("IFERROR(SUM(FILTER('Sprint 6'!O:O, ('Sprint 6'!E:E = ""A:Phongthorn""))),0)"),20.0)</f>
        <v>20</v>
      </c>
      <c r="C13" s="223">
        <f>IFERROR(__xludf.DUMMYFUNCTION("ROUND(IFERROR(SUM(FILTER('Sprint 6'!T:T, ('Sprint 6'!E:E = ""A:Phongthorn"")))/3600,0),2)"),46.0)</f>
        <v>46</v>
      </c>
      <c r="D13" s="216">
        <f>IFERROR(__xludf.DUMMYFUNCTION("IFERROR(SUM(FILTER('Sprint 6'!O:O, (('Sprint 6'!J:J = ""Done"")) * ('Sprint 6'!E:E = ""A:Phongthorn""))),0)"),0.0)</f>
        <v>0</v>
      </c>
      <c r="E13" s="223">
        <f>IFERROR(__xludf.DUMMYFUNCTION("ROUND(IFERROR(SUM(FILTER('Sprint 6'!T:T, (('Sprint 6'!J:J = ""Done"")) * ('Sprint 6'!E:E = ""A:Phongthorn"")))/3600,0),2)"),0.0)</f>
        <v>0</v>
      </c>
      <c r="F13" s="224"/>
    </row>
    <row r="14" ht="22.5" customHeight="1">
      <c r="A14" s="218" t="s">
        <v>72</v>
      </c>
      <c r="B14" s="216">
        <f>IFERROR(__xludf.DUMMYFUNCTION("IFERROR(SUM(FILTER('Sprint 6'!O:O, ('Sprint 6'!E:E = ""Aom: Pornsawan Polnyiem""))),0)"),43.0)</f>
        <v>43</v>
      </c>
      <c r="C14" s="223">
        <f>IFERROR(__xludf.DUMMYFUNCTION("ROUND(IFERROR(SUM(FILTER('Sprint 6'!T:T, ('Sprint 6'!E:E = ""Aom: Pornsawan Polnyiem"")))/3600,0),2)"),67.0)</f>
        <v>67</v>
      </c>
      <c r="D14" s="216">
        <f>IFERROR(__xludf.DUMMYFUNCTION("IFERROR(SUM(FILTER('Sprint 6'!O:O, (('Sprint 6'!J:J = ""Done"")) * ('Sprint 6'!E:E = ""Aom: Pornsawan Polnyiem""))),0)"),23.0)</f>
        <v>23</v>
      </c>
      <c r="E14" s="223">
        <f>IFERROR(__xludf.DUMMYFUNCTION("ROUND(IFERROR(SUM(FILTER('Sprint 6'!T:T, (('Sprint 6'!J:J = ""Done"")) * ('Sprint 6'!E:E = ""Aom: Pornsawan Polnyiem"")))/3600,0),2)"),57.0)</f>
        <v>57</v>
      </c>
      <c r="F14" s="224"/>
    </row>
    <row r="15" ht="22.5" customHeight="1">
      <c r="A15" s="218" t="s">
        <v>24</v>
      </c>
      <c r="B15" s="216">
        <f>IFERROR(__xludf.DUMMYFUNCTION("IFERROR(SUM(FILTER('Sprint 6'!O:O, ('Sprint 6'!E:E = ""Zan : Isarapong Bulan""))),0)"),23.0)</f>
        <v>23</v>
      </c>
      <c r="C15" s="223">
        <f>IFERROR(__xludf.DUMMYFUNCTION("ROUND(IFERROR(SUM(FILTER('Sprint 6'!T:T, ('Sprint 6'!E:E = ""Zan : Isarapong Bulan"")))/3600,0),2)"),52.0)</f>
        <v>52</v>
      </c>
      <c r="D15" s="216">
        <f>IFERROR(__xludf.DUMMYFUNCTION("IFERROR(SUM(FILTER('Sprint 6'!O:O, (('Sprint 6'!J:J = ""Done"")) * ('Sprint 6'!E:E = ""Zan : Isarapong Bulan""))),0)"),14.0)</f>
        <v>14</v>
      </c>
      <c r="E15" s="223">
        <f>IFERROR(__xludf.DUMMYFUNCTION("ROUND(IFERROR(SUM(FILTER('Sprint 6'!T:T, (('Sprint 6'!J:J = ""Done"")) * ('Sprint 6'!E:E = ""Zan : Isarapong Bulan"")))/3600,0),2)"),32.0)</f>
        <v>32</v>
      </c>
      <c r="F15" s="224"/>
    </row>
    <row r="16" ht="22.5" customHeight="1">
      <c r="A16" s="218" t="s">
        <v>73</v>
      </c>
      <c r="B16" s="216">
        <f>IFERROR(__xludf.DUMMYFUNCTION("IFERROR(SUM(FILTER('Sprint 6'!O:O, ('Sprint 6'!E:E = ""Mai:Sateta Abvanawong""))),0)"),22.0)</f>
        <v>22</v>
      </c>
      <c r="C16" s="223">
        <f>IFERROR(__xludf.DUMMYFUNCTION("ROUND(IFERROR(SUM(FILTER('Sprint 6'!T:T, ('Sprint 6'!E:E = ""Mai:Sateta Abvanawong"")))/3600,0),2)"),54.0)</f>
        <v>54</v>
      </c>
      <c r="D16" s="216">
        <f>IFERROR(__xludf.DUMMYFUNCTION("IFERROR(SUM(FILTER('Sprint 6'!O:O, (('Sprint 6'!J:J = ""Done"")) * ('Sprint 6'!E:E = ""Mai:Sateta Abvanawong""))),0)"),2.0)</f>
        <v>2</v>
      </c>
      <c r="E16" s="223">
        <f>IFERROR(__xludf.DUMMYFUNCTION("ROUND(IFERROR(SUM(FILTER('Sprint 6'!T:T, (('Sprint 6'!J:J = ""Done"")) * ('Sprint 6'!E:E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6'!O:O, ('Sprint 6'!E:E = ""Jarupong Pawichpongkul""))),0)"),25.0)</f>
        <v>25</v>
      </c>
      <c r="C17" s="223">
        <f>IFERROR(__xludf.DUMMYFUNCTION("ROUND(IFERROR(SUM(FILTER('Sprint 6'!T:T, ('Sprint 6'!E:E = ""Jarupong Pawichpongkul"")))/3600,0),2)"),49.0)</f>
        <v>49</v>
      </c>
      <c r="D17" s="216">
        <f>IFERROR(__xludf.DUMMYFUNCTION("IFERROR(SUM(FILTER('Sprint 6'!O:O, (('Sprint 6'!J:J = ""Done"")) * ('Sprint 6'!E:E = ""Jarupong Pawichpongkul""))),0)"),6.0)</f>
        <v>6</v>
      </c>
      <c r="E17" s="223">
        <f>IFERROR(__xludf.DUMMYFUNCTION("ROUND(IFERROR(SUM(FILTER('Sprint 6'!T:T, (('Sprint 6'!J:J = ""Done"")) * ('Sprint 6'!E:E = ""Jarupong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6'!O:O, ('Sprint 6'!E:E = ""Moss : Kittapath Sangvikukit""))),0)"),28.0)</f>
        <v>28</v>
      </c>
      <c r="C18" s="223">
        <f>IFERROR(__xludf.DUMMYFUNCTION("ROUND(IFERROR(SUM(FILTER('Sprint 6'!T:T, ('Sprint 6'!E:E = ""Moss : Kittapath Sangvikukit"")))/3600,0),2)"),34.0)</f>
        <v>34</v>
      </c>
      <c r="D18" s="216">
        <f>IFERROR(__xludf.DUMMYFUNCTION("IFERROR(SUM(FILTER('Sprint 6'!O:O, (('Sprint 6'!J:J = ""Done"")) * ('Sprint 6'!E:E = ""Moss : Kittapath Sangvikukit""))),0)"),11.0)</f>
        <v>11</v>
      </c>
      <c r="E18" s="223">
        <f>IFERROR(__xludf.DUMMYFUNCTION("ROUND(IFERROR(SUM(FILTER('Sprint 6'!T:T, (('Sprint 6'!J:J = ""Done"")) * ('Sprint 6'!E:E = ""Moss : Kittapath Sangvikukit"")))/3600,0),2)"),0.0)</f>
        <v>0</v>
      </c>
      <c r="F18" s="224"/>
    </row>
    <row r="19" ht="22.5" customHeight="1">
      <c r="A19" s="218" t="s">
        <v>28</v>
      </c>
      <c r="B19" s="216">
        <f>IFERROR(__xludf.DUMMYFUNCTION("IFERROR(SUM(FILTER('Sprint 6'!O:O, ('Sprint 6'!E:E = ""Jack:Warin Kesorn""))),0)"),21.0)</f>
        <v>21</v>
      </c>
      <c r="C19" s="223">
        <f>IFERROR(__xludf.DUMMYFUNCTION("ROUND(IFERROR(SUM(FILTER('Sprint 6'!T:T, ('Sprint 6'!E:E = ""Jack:Warin Kesorn"")))/3600,0),2)"),39.0)</f>
        <v>39</v>
      </c>
      <c r="D19" s="216">
        <f>IFERROR(__xludf.DUMMYFUNCTION("IFERROR(SUM(FILTER('Sprint 6'!O:O, (('Sprint 6'!J:J = ""Done"")) * ('Sprint 6'!E:E = ""Jack:Warin Kesorn""))),0)"),3.0)</f>
        <v>3</v>
      </c>
      <c r="E19" s="223">
        <f>IFERROR(__xludf.DUMMYFUNCTION("ROUND(IFERROR(SUM(FILTER('Sprint 6'!T:T, (('Sprint 6'!J:J = ""Done"")) * ('Sprint 6'!E:E = ""Jack:Warin Kesorn"")))/3600,0),2)"),0.0)</f>
        <v>0</v>
      </c>
      <c r="F19" s="224"/>
    </row>
    <row r="20" ht="22.5" customHeight="1">
      <c r="A20" s="218" t="s">
        <v>3616</v>
      </c>
      <c r="B20" s="216">
        <f>IFERROR(__xludf.DUMMYFUNCTION("IFERROR(SUM(FILTER('Sprint 6'!O:O, ('Sprint 6'!E:E = ""Art_narupontp""))),0)"),18.0)</f>
        <v>18</v>
      </c>
      <c r="C20" s="223">
        <f>IFERROR(__xludf.DUMMYFUNCTION("ROUND(IFERROR(SUM(FILTER('Sprint 6'!T:T, ('Sprint 6'!E:E = ""Art_narupontp"")))/3600,0),2)"),0.0)</f>
        <v>0</v>
      </c>
      <c r="D20" s="216">
        <f>IFERROR(__xludf.DUMMYFUNCTION("IFERROR(SUM(FILTER('Sprint 6'!O:O, (('Sprint 6'!J:J = ""Done"")) * ('Sprint 6'!E:E = ""Art_narupontp""))),0)"),8.0)</f>
        <v>8</v>
      </c>
      <c r="E20" s="223">
        <f>IFERROR(__xludf.DUMMYFUNCTION("ROUND(IFERROR(SUM(FILTER('Sprint 6'!T:T, (('Sprint 6'!J:J = ""Done"")) * ('Sprint 6'!E:E = ""Art_narupontp"")))/3600,0),2)"),0.0)</f>
        <v>0</v>
      </c>
      <c r="F20" s="224"/>
    </row>
    <row r="21" ht="22.5" customHeight="1">
      <c r="A21" s="218" t="s">
        <v>3617</v>
      </c>
      <c r="B21" s="216">
        <f>IFERROR(__xludf.DUMMYFUNCTION("IFERROR(SUM(FILTER('Sprint 6'!O:O, ('Sprint 6'!E:E = ""Pimonrath Jaiyen""))),0)"),2.0)</f>
        <v>2</v>
      </c>
      <c r="C21" s="223">
        <f>IFERROR(__xludf.DUMMYFUNCTION("ROUND(IFERROR(SUM(FILTER('Sprint 6'!T:T, ('Sprint 6'!E:E = ""Pimonrath Jaiyen"")))/3600,0),2)"),0.0)</f>
        <v>0</v>
      </c>
      <c r="D21" s="216">
        <f>IFERROR(__xludf.DUMMYFUNCTION("IFERROR(SUM(FILTER('Sprint 6'!O:O, (('Sprint 6'!J:J = ""Done"")) * ('Sprint 6'!E:E = ""Pimonrath Jaiyen""))),0)"),0.0)</f>
        <v>0</v>
      </c>
      <c r="E21" s="223">
        <f>IFERROR(__xludf.DUMMYFUNCTION("ROUND(IFERROR(SUM(FILTER('Sprint 6'!T:T, (('Sprint 6'!J:J = ""Done"")) * ('Sprint 6'!E:E = ""Pimonrath Jaiyen"")))/3600,0),2)"),0.0)</f>
        <v>0</v>
      </c>
      <c r="F21" s="224"/>
    </row>
    <row r="22">
      <c r="C22" s="125"/>
    </row>
    <row r="23">
      <c r="C23" s="125"/>
    </row>
    <row r="24">
      <c r="A24" s="126"/>
      <c r="B24" s="126"/>
      <c r="C24" s="126"/>
      <c r="D24" s="102"/>
      <c r="E24" s="102"/>
      <c r="F24" s="102"/>
    </row>
    <row r="25">
      <c r="A25" s="126"/>
      <c r="B25" s="126"/>
      <c r="C25" s="126"/>
      <c r="D25" s="102"/>
      <c r="E25" s="102"/>
      <c r="F25" s="102"/>
    </row>
    <row r="26">
      <c r="C26" s="125"/>
    </row>
    <row r="27">
      <c r="C27" s="125"/>
    </row>
    <row r="28">
      <c r="C28" s="125"/>
    </row>
    <row r="29">
      <c r="C29" s="125"/>
    </row>
    <row r="30">
      <c r="C30" s="125"/>
    </row>
    <row r="31">
      <c r="C31" s="125"/>
    </row>
    <row r="32">
      <c r="C32" s="125"/>
    </row>
    <row r="33">
      <c r="C33" s="125"/>
    </row>
    <row r="34">
      <c r="C34" s="125"/>
    </row>
    <row r="35">
      <c r="C35" s="125"/>
    </row>
    <row r="36">
      <c r="C36" s="125"/>
    </row>
    <row r="37">
      <c r="C37" s="125"/>
    </row>
    <row r="38">
      <c r="C38" s="125"/>
    </row>
    <row r="39">
      <c r="C39" s="125"/>
    </row>
    <row r="40">
      <c r="C40" s="125"/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  <row r="988">
      <c r="C988" s="125"/>
    </row>
    <row r="989">
      <c r="C989" s="125"/>
    </row>
    <row r="990">
      <c r="C990" s="125"/>
    </row>
    <row r="991">
      <c r="C991" s="125"/>
    </row>
    <row r="992">
      <c r="C992" s="125"/>
    </row>
    <row r="993">
      <c r="C993" s="125"/>
    </row>
    <row r="994">
      <c r="C994" s="125"/>
    </row>
    <row r="995">
      <c r="C995" s="125"/>
    </row>
    <row r="996">
      <c r="C996" s="125"/>
    </row>
    <row r="997">
      <c r="C997" s="125"/>
    </row>
    <row r="998">
      <c r="C998" s="125"/>
    </row>
    <row r="999">
      <c r="C999" s="125"/>
    </row>
    <row r="1000">
      <c r="C1000" s="125"/>
    </row>
    <row r="1001">
      <c r="C1001" s="125"/>
    </row>
    <row r="1002">
      <c r="C1002" s="125"/>
    </row>
    <row r="1003">
      <c r="C1003" s="125"/>
    </row>
    <row r="1004">
      <c r="C1004" s="125"/>
    </row>
    <row r="1005">
      <c r="C1005" s="125"/>
    </row>
    <row r="1006">
      <c r="C1006" s="125"/>
    </row>
    <row r="1007">
      <c r="C1007" s="125"/>
    </row>
  </sheetData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4" max="4" width="55.5"/>
    <col customWidth="1" min="17" max="17" width="21.38"/>
    <col customWidth="1" min="20" max="21" width="18.5"/>
    <col customWidth="1" min="22" max="23" width="23.13"/>
    <col customWidth="1" min="24" max="24" width="22.75"/>
    <col customWidth="1" min="25" max="25" width="23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T1" s="126" t="s">
        <v>275</v>
      </c>
      <c r="U1" s="149" t="s">
        <v>3245</v>
      </c>
      <c r="V1" s="115" t="s">
        <v>6</v>
      </c>
      <c r="W1" s="115" t="s">
        <v>10139</v>
      </c>
      <c r="X1" s="102" t="s">
        <v>70</v>
      </c>
      <c r="Y1" s="102" t="s">
        <v>70</v>
      </c>
      <c r="Z1" s="102" t="s">
        <v>70</v>
      </c>
      <c r="AA1" s="102" t="s">
        <v>70</v>
      </c>
      <c r="AB1" s="102" t="s">
        <v>70</v>
      </c>
      <c r="AC1" s="102" t="s">
        <v>70</v>
      </c>
    </row>
    <row r="2" hidden="1">
      <c r="A2" s="102" t="s">
        <v>310</v>
      </c>
      <c r="B2" s="102" t="s">
        <v>10140</v>
      </c>
      <c r="C2" s="229" t="s">
        <v>10141</v>
      </c>
      <c r="D2" s="102" t="s">
        <v>10142</v>
      </c>
      <c r="E2" s="102" t="s">
        <v>314</v>
      </c>
      <c r="F2" s="102" t="s">
        <v>315</v>
      </c>
      <c r="G2" s="102" t="s">
        <v>314</v>
      </c>
      <c r="H2" s="102" t="s">
        <v>315</v>
      </c>
      <c r="I2" s="102" t="s">
        <v>284</v>
      </c>
      <c r="J2" s="102" t="s">
        <v>34</v>
      </c>
      <c r="L2" s="229" t="s">
        <v>10143</v>
      </c>
      <c r="M2" s="229" t="s">
        <v>10143</v>
      </c>
      <c r="O2" s="102">
        <v>1.0</v>
      </c>
      <c r="T2" s="126">
        <v>1800.0</v>
      </c>
      <c r="U2" s="193" t="str">
        <f>IF(ISNUMBER(MATCH(B2, 'Sprint 5'!B:B, 0)), "มาจาก Sprint 5", "")</f>
        <v/>
      </c>
      <c r="W2" s="244" t="str">
        <f t="array" ref="W2">IF(ISNUMBER(MATCH(B2, 'Sprint 5'!B:B, 0)), INDEX('Sprint 5'!J:J, MATCH(B2, 'Sprint 5'!B:B, 0)), "")</f>
        <v/>
      </c>
      <c r="X2" s="102" t="s">
        <v>4967</v>
      </c>
    </row>
    <row r="3" hidden="1">
      <c r="A3" s="102" t="s">
        <v>276</v>
      </c>
      <c r="B3" s="102" t="s">
        <v>9386</v>
      </c>
      <c r="C3" s="229" t="s">
        <v>9387</v>
      </c>
      <c r="D3" s="102" t="s">
        <v>9388</v>
      </c>
      <c r="E3" s="102" t="s">
        <v>391</v>
      </c>
      <c r="F3" s="102" t="s">
        <v>392</v>
      </c>
      <c r="G3" s="102" t="s">
        <v>391</v>
      </c>
      <c r="H3" s="102" t="s">
        <v>392</v>
      </c>
      <c r="I3" s="102" t="s">
        <v>284</v>
      </c>
      <c r="J3" s="102" t="s">
        <v>63</v>
      </c>
      <c r="L3" s="229" t="s">
        <v>9389</v>
      </c>
      <c r="M3" s="229" t="s">
        <v>9389</v>
      </c>
      <c r="O3" s="230"/>
      <c r="T3" s="246"/>
      <c r="U3" s="193" t="str">
        <f>IF(ISNUMBER(MATCH(B3, 'Sprint 5'!B:B, 0)), "มาจาก Sprint 5", "")</f>
        <v/>
      </c>
      <c r="X3" s="102" t="s">
        <v>7696</v>
      </c>
    </row>
    <row r="4" hidden="1">
      <c r="A4" s="102" t="s">
        <v>276</v>
      </c>
      <c r="B4" s="102" t="s">
        <v>9391</v>
      </c>
      <c r="C4" s="229" t="s">
        <v>9392</v>
      </c>
      <c r="D4" s="102" t="s">
        <v>9393</v>
      </c>
      <c r="E4" s="102" t="s">
        <v>391</v>
      </c>
      <c r="F4" s="102" t="s">
        <v>392</v>
      </c>
      <c r="G4" s="102" t="s">
        <v>391</v>
      </c>
      <c r="H4" s="102" t="s">
        <v>392</v>
      </c>
      <c r="I4" s="102" t="s">
        <v>284</v>
      </c>
      <c r="J4" s="102" t="s">
        <v>63</v>
      </c>
      <c r="L4" s="229" t="s">
        <v>9394</v>
      </c>
      <c r="M4" s="229" t="s">
        <v>9394</v>
      </c>
      <c r="O4" s="230"/>
      <c r="T4" s="246"/>
      <c r="U4" s="193" t="str">
        <f>IF(ISNUMBER(MATCH(B4, 'Sprint 5'!B:B, 0)), "มาจาก Sprint 5", "")</f>
        <v/>
      </c>
      <c r="X4" s="102" t="s">
        <v>7696</v>
      </c>
    </row>
    <row r="5" hidden="1">
      <c r="A5" s="102" t="s">
        <v>276</v>
      </c>
      <c r="B5" s="102" t="s">
        <v>9395</v>
      </c>
      <c r="C5" s="229" t="s">
        <v>9396</v>
      </c>
      <c r="D5" s="102" t="s">
        <v>9397</v>
      </c>
      <c r="E5" s="102" t="s">
        <v>391</v>
      </c>
      <c r="F5" s="102" t="s">
        <v>392</v>
      </c>
      <c r="G5" s="102" t="s">
        <v>391</v>
      </c>
      <c r="H5" s="102" t="s">
        <v>392</v>
      </c>
      <c r="I5" s="102" t="s">
        <v>284</v>
      </c>
      <c r="J5" s="102" t="s">
        <v>63</v>
      </c>
      <c r="L5" s="229" t="s">
        <v>9398</v>
      </c>
      <c r="M5" s="229" t="s">
        <v>9398</v>
      </c>
      <c r="O5" s="230"/>
      <c r="T5" s="246"/>
      <c r="U5" s="193" t="str">
        <f>IF(ISNUMBER(MATCH(B5, 'Sprint 5'!B:B, 0)), "มาจาก Sprint 5", "")</f>
        <v/>
      </c>
      <c r="X5" s="102" t="s">
        <v>7696</v>
      </c>
    </row>
    <row r="6" hidden="1">
      <c r="A6" s="102" t="s">
        <v>276</v>
      </c>
      <c r="B6" s="102" t="s">
        <v>9400</v>
      </c>
      <c r="C6" s="229" t="s">
        <v>9401</v>
      </c>
      <c r="D6" s="102" t="s">
        <v>9402</v>
      </c>
      <c r="E6" s="102" t="s">
        <v>391</v>
      </c>
      <c r="F6" s="102" t="s">
        <v>392</v>
      </c>
      <c r="G6" s="102" t="s">
        <v>391</v>
      </c>
      <c r="H6" s="102" t="s">
        <v>392</v>
      </c>
      <c r="I6" s="102" t="s">
        <v>284</v>
      </c>
      <c r="J6" s="102" t="s">
        <v>63</v>
      </c>
      <c r="L6" s="229" t="s">
        <v>9403</v>
      </c>
      <c r="M6" s="229" t="s">
        <v>9398</v>
      </c>
      <c r="O6" s="230"/>
      <c r="T6" s="246"/>
      <c r="U6" s="193" t="str">
        <f>IF(ISNUMBER(MATCH(B6, 'Sprint 5'!B:B, 0)), "มาจาก Sprint 5", "")</f>
        <v/>
      </c>
      <c r="X6" s="102" t="s">
        <v>7696</v>
      </c>
    </row>
    <row r="7" hidden="1">
      <c r="A7" s="102" t="s">
        <v>332</v>
      </c>
      <c r="B7" s="102" t="s">
        <v>9829</v>
      </c>
      <c r="C7" s="229" t="s">
        <v>9830</v>
      </c>
      <c r="D7" s="102" t="s">
        <v>9831</v>
      </c>
      <c r="E7" s="102" t="s">
        <v>10144</v>
      </c>
      <c r="F7" s="102" t="s">
        <v>305</v>
      </c>
      <c r="G7" s="102" t="s">
        <v>10144</v>
      </c>
      <c r="H7" s="102" t="s">
        <v>305</v>
      </c>
      <c r="I7" s="102" t="s">
        <v>284</v>
      </c>
      <c r="J7" s="102" t="s">
        <v>922</v>
      </c>
      <c r="L7" s="229" t="s">
        <v>9832</v>
      </c>
      <c r="M7" s="229" t="s">
        <v>10145</v>
      </c>
      <c r="O7" s="102">
        <v>0.0</v>
      </c>
      <c r="T7" s="246"/>
      <c r="U7" s="193" t="str">
        <f>IF(ISNUMBER(MATCH(B7, 'Sprint 5'!B:B, 0)), "มาจาก Sprint 5", "")</f>
        <v/>
      </c>
      <c r="X7" s="102" t="s">
        <v>9184</v>
      </c>
    </row>
    <row r="8" hidden="1">
      <c r="A8" s="102" t="s">
        <v>310</v>
      </c>
      <c r="B8" s="102" t="s">
        <v>10146</v>
      </c>
      <c r="C8" s="229" t="s">
        <v>10147</v>
      </c>
      <c r="D8" s="102" t="s">
        <v>10148</v>
      </c>
      <c r="E8" s="102" t="s">
        <v>282</v>
      </c>
      <c r="F8" s="102" t="s">
        <v>283</v>
      </c>
      <c r="G8" s="102" t="s">
        <v>282</v>
      </c>
      <c r="H8" s="102" t="s">
        <v>283</v>
      </c>
      <c r="I8" s="102" t="s">
        <v>284</v>
      </c>
      <c r="J8" s="102" t="s">
        <v>34</v>
      </c>
      <c r="L8" s="229" t="s">
        <v>10149</v>
      </c>
      <c r="M8" s="229" t="s">
        <v>10150</v>
      </c>
      <c r="O8" s="102">
        <v>3.0</v>
      </c>
      <c r="T8" s="246"/>
      <c r="U8" s="193" t="str">
        <f>IF(ISNUMBER(MATCH(B8, 'Sprint 5'!B:B, 0)), "มาจาก Sprint 5", "")</f>
        <v/>
      </c>
      <c r="W8" s="244" t="str">
        <f t="array" ref="W8">IF(ISNUMBER(MATCH(B8, 'Sprint 5'!B:B, 0)), INDEX('Sprint 5'!J:J, MATCH(B8, 'Sprint 5'!B:B, 0)), "")</f>
        <v/>
      </c>
      <c r="X8" s="102" t="s">
        <v>7696</v>
      </c>
    </row>
    <row r="9" hidden="1">
      <c r="A9" s="102" t="s">
        <v>310</v>
      </c>
      <c r="B9" s="102" t="s">
        <v>10151</v>
      </c>
      <c r="C9" s="229" t="s">
        <v>10152</v>
      </c>
      <c r="D9" s="102" t="s">
        <v>10153</v>
      </c>
      <c r="E9" s="102" t="s">
        <v>282</v>
      </c>
      <c r="F9" s="102" t="s">
        <v>283</v>
      </c>
      <c r="G9" s="102" t="s">
        <v>282</v>
      </c>
      <c r="H9" s="102" t="s">
        <v>283</v>
      </c>
      <c r="I9" s="102" t="s">
        <v>284</v>
      </c>
      <c r="J9" s="102" t="s">
        <v>34</v>
      </c>
      <c r="L9" s="229" t="s">
        <v>10149</v>
      </c>
      <c r="M9" s="229" t="s">
        <v>10150</v>
      </c>
      <c r="O9" s="102">
        <v>3.0</v>
      </c>
      <c r="T9" s="246"/>
      <c r="U9" s="193" t="str">
        <f>IF(ISNUMBER(MATCH(B9, 'Sprint 5'!B:B, 0)), "มาจาก Sprint 5", "")</f>
        <v/>
      </c>
      <c r="W9" s="244" t="str">
        <f t="array" ref="W9">IF(ISNUMBER(MATCH(B9, 'Sprint 5'!B:B, 0)), INDEX('Sprint 5'!J:J, MATCH(B9, 'Sprint 5'!B:B, 0)), "")</f>
        <v/>
      </c>
      <c r="X9" s="102" t="s">
        <v>7696</v>
      </c>
    </row>
    <row r="10" hidden="1">
      <c r="A10" s="102" t="s">
        <v>310</v>
      </c>
      <c r="B10" s="102" t="s">
        <v>10154</v>
      </c>
      <c r="C10" s="229" t="s">
        <v>10155</v>
      </c>
      <c r="D10" s="102" t="s">
        <v>10156</v>
      </c>
      <c r="E10" s="102" t="s">
        <v>282</v>
      </c>
      <c r="F10" s="102" t="s">
        <v>283</v>
      </c>
      <c r="G10" s="102" t="s">
        <v>282</v>
      </c>
      <c r="H10" s="102" t="s">
        <v>283</v>
      </c>
      <c r="I10" s="102" t="s">
        <v>284</v>
      </c>
      <c r="J10" s="102" t="s">
        <v>34</v>
      </c>
      <c r="L10" s="229" t="s">
        <v>10157</v>
      </c>
      <c r="M10" s="229" t="s">
        <v>10150</v>
      </c>
      <c r="O10" s="102">
        <v>8.0</v>
      </c>
      <c r="T10" s="246"/>
      <c r="U10" s="193" t="str">
        <f>IF(ISNUMBER(MATCH(B10, 'Sprint 5'!B:B, 0)), "มาจาก Sprint 5", "")</f>
        <v/>
      </c>
      <c r="W10" s="244" t="str">
        <f t="array" ref="W10">IF(ISNUMBER(MATCH(B10, 'Sprint 5'!B:B, 0)), INDEX('Sprint 5'!J:J, MATCH(B10, 'Sprint 5'!B:B, 0)), "")</f>
        <v/>
      </c>
      <c r="X10" s="102" t="s">
        <v>7696</v>
      </c>
    </row>
    <row r="11" hidden="1">
      <c r="A11" s="102" t="s">
        <v>276</v>
      </c>
      <c r="B11" s="102" t="s">
        <v>9441</v>
      </c>
      <c r="C11" s="229" t="s">
        <v>9442</v>
      </c>
      <c r="D11" s="102" t="s">
        <v>9443</v>
      </c>
      <c r="E11" s="102" t="s">
        <v>391</v>
      </c>
      <c r="F11" s="102" t="s">
        <v>392</v>
      </c>
      <c r="G11" s="102" t="s">
        <v>391</v>
      </c>
      <c r="H11" s="102" t="s">
        <v>392</v>
      </c>
      <c r="I11" s="102" t="s">
        <v>284</v>
      </c>
      <c r="J11" s="102" t="s">
        <v>26</v>
      </c>
      <c r="L11" s="229" t="s">
        <v>9444</v>
      </c>
      <c r="M11" s="229" t="s">
        <v>9445</v>
      </c>
      <c r="O11" s="230"/>
      <c r="T11" s="246"/>
      <c r="U11" s="193" t="str">
        <f>IF(ISNUMBER(MATCH(B11, 'Sprint 5'!B:B, 0)), "มาจาก Sprint 5", "")</f>
        <v/>
      </c>
      <c r="X11" s="102" t="s">
        <v>7696</v>
      </c>
    </row>
    <row r="12" hidden="1">
      <c r="A12" s="102" t="s">
        <v>310</v>
      </c>
      <c r="B12" s="102" t="s">
        <v>10158</v>
      </c>
      <c r="C12" s="229" t="s">
        <v>10159</v>
      </c>
      <c r="D12" s="102" t="s">
        <v>10160</v>
      </c>
      <c r="E12" s="102" t="s">
        <v>314</v>
      </c>
      <c r="F12" s="102" t="s">
        <v>315</v>
      </c>
      <c r="G12" s="102" t="s">
        <v>316</v>
      </c>
      <c r="H12" s="102" t="s">
        <v>317</v>
      </c>
      <c r="I12" s="102" t="s">
        <v>284</v>
      </c>
      <c r="J12" s="102" t="s">
        <v>26</v>
      </c>
      <c r="L12" s="229" t="s">
        <v>10161</v>
      </c>
      <c r="M12" s="229" t="s">
        <v>10162</v>
      </c>
      <c r="N12" s="229" t="s">
        <v>4966</v>
      </c>
      <c r="O12" s="102">
        <v>1.0</v>
      </c>
      <c r="P12" s="102" t="s">
        <v>9743</v>
      </c>
      <c r="T12" s="126">
        <v>3600.0</v>
      </c>
      <c r="U12" s="193" t="str">
        <f>IF(ISNUMBER(MATCH(B12, 'Sprint 5'!B:B, 0)), "มาจาก Sprint 5", "")</f>
        <v/>
      </c>
      <c r="W12" s="244" t="str">
        <f t="array" ref="W12">IF(ISNUMBER(MATCH(B12, 'Sprint 5'!B:B, 0)), INDEX('Sprint 5'!J:J, MATCH(B12, 'Sprint 5'!B:B, 0)), "")</f>
        <v/>
      </c>
      <c r="X12" s="102" t="s">
        <v>4967</v>
      </c>
    </row>
    <row r="13" hidden="1">
      <c r="A13" s="102" t="s">
        <v>332</v>
      </c>
      <c r="B13" s="102" t="s">
        <v>9839</v>
      </c>
      <c r="C13" s="229" t="s">
        <v>9840</v>
      </c>
      <c r="D13" s="102" t="s">
        <v>9841</v>
      </c>
      <c r="E13" s="102" t="s">
        <v>495</v>
      </c>
      <c r="F13" s="102" t="s">
        <v>496</v>
      </c>
      <c r="G13" s="102" t="s">
        <v>521</v>
      </c>
      <c r="H13" s="102" t="s">
        <v>522</v>
      </c>
      <c r="I13" s="102" t="s">
        <v>648</v>
      </c>
      <c r="J13" s="102" t="s">
        <v>1540</v>
      </c>
      <c r="L13" s="229" t="s">
        <v>9842</v>
      </c>
      <c r="M13" s="229" t="s">
        <v>10163</v>
      </c>
      <c r="O13" s="230"/>
      <c r="T13" s="246"/>
      <c r="U13" s="193" t="str">
        <f>IF(ISNUMBER(MATCH(B13, 'Sprint 5'!B:B, 0)), "มาจาก Sprint 5", "")</f>
        <v/>
      </c>
      <c r="X13" s="102" t="s">
        <v>9184</v>
      </c>
    </row>
    <row r="14" hidden="1">
      <c r="A14" s="102" t="s">
        <v>276</v>
      </c>
      <c r="B14" s="102" t="s">
        <v>10164</v>
      </c>
      <c r="C14" s="229" t="s">
        <v>10165</v>
      </c>
      <c r="D14" s="102" t="s">
        <v>10166</v>
      </c>
      <c r="E14" s="102" t="s">
        <v>521</v>
      </c>
      <c r="F14" s="102" t="s">
        <v>522</v>
      </c>
      <c r="G14" s="102" t="s">
        <v>521</v>
      </c>
      <c r="H14" s="102" t="s">
        <v>522</v>
      </c>
      <c r="I14" s="102" t="s">
        <v>284</v>
      </c>
      <c r="J14" s="102" t="s">
        <v>26</v>
      </c>
      <c r="L14" s="229" t="s">
        <v>10167</v>
      </c>
      <c r="M14" s="229" t="s">
        <v>10168</v>
      </c>
      <c r="O14" s="230"/>
      <c r="T14" s="246"/>
      <c r="U14" s="193" t="str">
        <f>IF(ISNUMBER(MATCH(B14, 'Sprint 5'!B:B, 0)), "มาจาก Sprint 5", "")</f>
        <v/>
      </c>
      <c r="X14" s="102" t="s">
        <v>9183</v>
      </c>
      <c r="Y14" s="102" t="s">
        <v>9184</v>
      </c>
    </row>
    <row r="15" hidden="1">
      <c r="A15" s="102" t="s">
        <v>276</v>
      </c>
      <c r="B15" s="102" t="s">
        <v>10169</v>
      </c>
      <c r="C15" s="229" t="s">
        <v>10170</v>
      </c>
      <c r="D15" s="102" t="s">
        <v>10171</v>
      </c>
      <c r="E15" s="102" t="s">
        <v>521</v>
      </c>
      <c r="F15" s="102" t="s">
        <v>522</v>
      </c>
      <c r="G15" s="102" t="s">
        <v>521</v>
      </c>
      <c r="H15" s="102" t="s">
        <v>522</v>
      </c>
      <c r="I15" s="102" t="s">
        <v>284</v>
      </c>
      <c r="J15" s="102" t="s">
        <v>26</v>
      </c>
      <c r="L15" s="229" t="s">
        <v>10172</v>
      </c>
      <c r="M15" s="229" t="s">
        <v>10168</v>
      </c>
      <c r="O15" s="230"/>
      <c r="T15" s="246"/>
      <c r="U15" s="193" t="str">
        <f>IF(ISNUMBER(MATCH(B15, 'Sprint 5'!B:B, 0)), "มาจาก Sprint 5", "")</f>
        <v/>
      </c>
      <c r="X15" s="102" t="s">
        <v>9183</v>
      </c>
      <c r="Y15" s="102" t="s">
        <v>9184</v>
      </c>
    </row>
    <row r="16" hidden="1">
      <c r="A16" s="102" t="s">
        <v>310</v>
      </c>
      <c r="B16" s="102" t="s">
        <v>10173</v>
      </c>
      <c r="C16" s="229" t="s">
        <v>10174</v>
      </c>
      <c r="D16" s="102" t="s">
        <v>10175</v>
      </c>
      <c r="E16" s="102" t="s">
        <v>282</v>
      </c>
      <c r="F16" s="102" t="s">
        <v>283</v>
      </c>
      <c r="G16" s="102" t="s">
        <v>282</v>
      </c>
      <c r="H16" s="102" t="s">
        <v>283</v>
      </c>
      <c r="I16" s="102" t="s">
        <v>284</v>
      </c>
      <c r="J16" s="102" t="s">
        <v>26</v>
      </c>
      <c r="L16" s="229" t="s">
        <v>10176</v>
      </c>
      <c r="M16" s="229" t="s">
        <v>10177</v>
      </c>
      <c r="O16" s="102">
        <v>2.0</v>
      </c>
      <c r="T16" s="126">
        <v>10800.0</v>
      </c>
      <c r="U16" s="193" t="str">
        <f>IF(ISNUMBER(MATCH(B16, 'Sprint 5'!B:B, 0)), "มาจาก Sprint 5", "")</f>
        <v/>
      </c>
      <c r="W16" s="244" t="str">
        <f t="array" ref="W16">IF(ISNUMBER(MATCH(B16, 'Sprint 5'!B:B, 0)), INDEX('Sprint 5'!J:J, MATCH(B16, 'Sprint 5'!B:B, 0)), "")</f>
        <v/>
      </c>
      <c r="X16" s="102" t="s">
        <v>4967</v>
      </c>
    </row>
    <row r="17" hidden="1">
      <c r="A17" s="102" t="s">
        <v>332</v>
      </c>
      <c r="B17" s="102" t="s">
        <v>10178</v>
      </c>
      <c r="C17" s="229" t="s">
        <v>10179</v>
      </c>
      <c r="D17" s="102" t="s">
        <v>10180</v>
      </c>
      <c r="E17" s="102" t="s">
        <v>314</v>
      </c>
      <c r="F17" s="102" t="s">
        <v>315</v>
      </c>
      <c r="G17" s="102" t="s">
        <v>316</v>
      </c>
      <c r="H17" s="102" t="s">
        <v>317</v>
      </c>
      <c r="I17" s="102" t="s">
        <v>515</v>
      </c>
      <c r="J17" s="102" t="s">
        <v>336</v>
      </c>
      <c r="L17" s="229" t="s">
        <v>10181</v>
      </c>
      <c r="M17" s="229" t="s">
        <v>10182</v>
      </c>
      <c r="N17" s="229" t="s">
        <v>9544</v>
      </c>
      <c r="O17" s="102">
        <v>1.0</v>
      </c>
      <c r="P17" s="102" t="s">
        <v>1756</v>
      </c>
      <c r="T17" s="246"/>
      <c r="U17" s="193" t="str">
        <f>IF(ISNUMBER(MATCH(B17, 'Sprint 5'!B:B, 0)), "มาจาก Sprint 5", "")</f>
        <v/>
      </c>
      <c r="X17" s="102" t="s">
        <v>4967</v>
      </c>
    </row>
    <row r="18" hidden="1">
      <c r="A18" s="102" t="s">
        <v>310</v>
      </c>
      <c r="B18" s="102" t="s">
        <v>9452</v>
      </c>
      <c r="C18" s="229" t="s">
        <v>9453</v>
      </c>
      <c r="D18" s="102" t="s">
        <v>9454</v>
      </c>
      <c r="E18" s="102" t="s">
        <v>10144</v>
      </c>
      <c r="F18" s="102" t="s">
        <v>305</v>
      </c>
      <c r="G18" s="102" t="s">
        <v>282</v>
      </c>
      <c r="H18" s="102" t="s">
        <v>283</v>
      </c>
      <c r="I18" s="102" t="s">
        <v>284</v>
      </c>
      <c r="J18" s="102" t="s">
        <v>34</v>
      </c>
      <c r="L18" s="229" t="s">
        <v>9455</v>
      </c>
      <c r="M18" s="229" t="s">
        <v>10183</v>
      </c>
      <c r="O18" s="102">
        <v>2.0</v>
      </c>
      <c r="T18" s="246"/>
      <c r="U18" s="193" t="str">
        <f>IF(ISNUMBER(MATCH(B18, 'Sprint 5'!B:B, 0)), "มาจาก Sprint 5", "")</f>
        <v/>
      </c>
      <c r="W18" s="244" t="str">
        <f t="array" ref="W18">IF(ISNUMBER(MATCH(B18, 'Sprint 5'!B:B, 0)), INDEX('Sprint 5'!J:J, MATCH(B18, 'Sprint 5'!B:B, 0)), "")</f>
        <v/>
      </c>
      <c r="X18" s="102" t="s">
        <v>7696</v>
      </c>
    </row>
    <row r="19" hidden="1">
      <c r="A19" s="102" t="s">
        <v>310</v>
      </c>
      <c r="B19" s="102" t="s">
        <v>9456</v>
      </c>
      <c r="C19" s="229" t="s">
        <v>9457</v>
      </c>
      <c r="D19" s="102" t="s">
        <v>9458</v>
      </c>
      <c r="E19" s="102" t="s">
        <v>10144</v>
      </c>
      <c r="F19" s="102" t="s">
        <v>305</v>
      </c>
      <c r="G19" s="102" t="s">
        <v>282</v>
      </c>
      <c r="H19" s="102" t="s">
        <v>283</v>
      </c>
      <c r="I19" s="102" t="s">
        <v>284</v>
      </c>
      <c r="J19" s="102" t="s">
        <v>355</v>
      </c>
      <c r="L19" s="229" t="s">
        <v>9455</v>
      </c>
      <c r="M19" s="229" t="s">
        <v>10184</v>
      </c>
      <c r="O19" s="102">
        <v>2.0</v>
      </c>
      <c r="P19" s="102" t="s">
        <v>7525</v>
      </c>
      <c r="T19" s="126">
        <v>21600.0</v>
      </c>
      <c r="U19" s="193" t="str">
        <f>IF(ISNUMBER(MATCH(B19, 'Sprint 5'!B:B, 0)), "มาจาก Sprint 5", "")</f>
        <v/>
      </c>
      <c r="W19" s="244" t="str">
        <f t="array" ref="W19">IF(ISNUMBER(MATCH(B19, 'Sprint 5'!B:B, 0)), INDEX('Sprint 5'!J:J, MATCH(B19, 'Sprint 5'!B:B, 0)), "")</f>
        <v/>
      </c>
      <c r="X19" s="102" t="s">
        <v>7696</v>
      </c>
    </row>
    <row r="20" hidden="1">
      <c r="A20" s="102" t="s">
        <v>276</v>
      </c>
      <c r="B20" s="102" t="s">
        <v>10185</v>
      </c>
      <c r="C20" s="229" t="s">
        <v>10186</v>
      </c>
      <c r="D20" s="102" t="s">
        <v>10187</v>
      </c>
      <c r="E20" s="102" t="s">
        <v>521</v>
      </c>
      <c r="F20" s="102" t="s">
        <v>522</v>
      </c>
      <c r="G20" s="102" t="s">
        <v>521</v>
      </c>
      <c r="H20" s="102" t="s">
        <v>522</v>
      </c>
      <c r="I20" s="102" t="s">
        <v>284</v>
      </c>
      <c r="J20" s="102" t="s">
        <v>26</v>
      </c>
      <c r="L20" s="229" t="s">
        <v>10188</v>
      </c>
      <c r="M20" s="229" t="s">
        <v>10189</v>
      </c>
      <c r="O20" s="230"/>
      <c r="T20" s="246"/>
      <c r="U20" s="193" t="str">
        <f>IF(ISNUMBER(MATCH(B20, 'Sprint 5'!B:B, 0)), "มาจาก Sprint 5", "")</f>
        <v/>
      </c>
      <c r="X20" s="102" t="s">
        <v>9183</v>
      </c>
      <c r="Y20" s="102" t="s">
        <v>9184</v>
      </c>
    </row>
    <row r="21" hidden="1">
      <c r="A21" s="102" t="s">
        <v>276</v>
      </c>
      <c r="B21" s="102" t="s">
        <v>10190</v>
      </c>
      <c r="C21" s="229" t="s">
        <v>10191</v>
      </c>
      <c r="D21" s="102" t="s">
        <v>10192</v>
      </c>
      <c r="E21" s="102" t="s">
        <v>521</v>
      </c>
      <c r="F21" s="102" t="s">
        <v>522</v>
      </c>
      <c r="G21" s="102" t="s">
        <v>521</v>
      </c>
      <c r="H21" s="102" t="s">
        <v>522</v>
      </c>
      <c r="I21" s="102" t="s">
        <v>284</v>
      </c>
      <c r="J21" s="102" t="s">
        <v>26</v>
      </c>
      <c r="L21" s="229" t="s">
        <v>10193</v>
      </c>
      <c r="M21" s="229" t="s">
        <v>10194</v>
      </c>
      <c r="O21" s="230"/>
      <c r="T21" s="246"/>
      <c r="U21" s="193" t="str">
        <f>IF(ISNUMBER(MATCH(B21, 'Sprint 5'!B:B, 0)), "มาจาก Sprint 5", "")</f>
        <v/>
      </c>
      <c r="X21" s="102" t="s">
        <v>9183</v>
      </c>
      <c r="Y21" s="102" t="s">
        <v>9184</v>
      </c>
    </row>
    <row r="22" hidden="1">
      <c r="A22" s="102" t="s">
        <v>310</v>
      </c>
      <c r="B22" s="102" t="s">
        <v>9851</v>
      </c>
      <c r="C22" s="229" t="s">
        <v>9852</v>
      </c>
      <c r="D22" s="102" t="s">
        <v>9853</v>
      </c>
      <c r="E22" s="102" t="s">
        <v>513</v>
      </c>
      <c r="F22" s="102" t="s">
        <v>514</v>
      </c>
      <c r="G22" s="102" t="s">
        <v>353</v>
      </c>
      <c r="H22" s="102" t="s">
        <v>354</v>
      </c>
      <c r="I22" s="102" t="s">
        <v>284</v>
      </c>
      <c r="J22" s="102" t="s">
        <v>678</v>
      </c>
      <c r="L22" s="229" t="s">
        <v>9854</v>
      </c>
      <c r="M22" s="229" t="s">
        <v>10195</v>
      </c>
      <c r="N22" s="229" t="s">
        <v>8672</v>
      </c>
      <c r="O22" s="102">
        <v>2.0</v>
      </c>
      <c r="T22" s="126">
        <v>14400.0</v>
      </c>
      <c r="U22" s="193" t="str">
        <f>IF(ISNUMBER(MATCH(B22, 'Sprint 5'!B:B, 0)), "มาจาก Sprint 5", "")</f>
        <v/>
      </c>
      <c r="W22" s="244" t="str">
        <f t="array" ref="W22">IF(ISNUMBER(MATCH(B22, 'Sprint 5'!B:B, 0)), INDEX('Sprint 5'!J:J, MATCH(B22, 'Sprint 5'!B:B, 0)), "")</f>
        <v/>
      </c>
      <c r="X22" s="102" t="s">
        <v>4967</v>
      </c>
    </row>
    <row r="23" hidden="1">
      <c r="A23" s="102" t="s">
        <v>276</v>
      </c>
      <c r="B23" s="102" t="s">
        <v>9861</v>
      </c>
      <c r="C23" s="229" t="s">
        <v>9862</v>
      </c>
      <c r="D23" s="102" t="s">
        <v>4345</v>
      </c>
      <c r="E23" s="102" t="s">
        <v>3288</v>
      </c>
      <c r="F23" s="102" t="s">
        <v>3289</v>
      </c>
      <c r="G23" s="102" t="s">
        <v>391</v>
      </c>
      <c r="H23" s="102" t="s">
        <v>392</v>
      </c>
      <c r="I23" s="102" t="s">
        <v>284</v>
      </c>
      <c r="J23" s="102" t="s">
        <v>26</v>
      </c>
      <c r="L23" s="229" t="s">
        <v>9863</v>
      </c>
      <c r="M23" s="229" t="s">
        <v>9864</v>
      </c>
      <c r="O23" s="230"/>
      <c r="T23" s="246"/>
      <c r="U23" s="193" t="str">
        <f>IF(ISNUMBER(MATCH(B23, 'Sprint 5'!B:B, 0)), "มาจาก Sprint 5", "")</f>
        <v/>
      </c>
      <c r="X23" s="102" t="s">
        <v>9865</v>
      </c>
    </row>
    <row r="24" hidden="1">
      <c r="A24" s="102" t="s">
        <v>276</v>
      </c>
      <c r="B24" s="102" t="s">
        <v>9870</v>
      </c>
      <c r="C24" s="229" t="s">
        <v>9871</v>
      </c>
      <c r="D24" s="102" t="s">
        <v>4345</v>
      </c>
      <c r="E24" s="102" t="s">
        <v>3288</v>
      </c>
      <c r="F24" s="102" t="s">
        <v>3289</v>
      </c>
      <c r="G24" s="102" t="s">
        <v>391</v>
      </c>
      <c r="H24" s="102" t="s">
        <v>392</v>
      </c>
      <c r="I24" s="102" t="s">
        <v>284</v>
      </c>
      <c r="J24" s="102" t="s">
        <v>26</v>
      </c>
      <c r="L24" s="229" t="s">
        <v>9872</v>
      </c>
      <c r="M24" s="229" t="s">
        <v>9873</v>
      </c>
      <c r="O24" s="230"/>
      <c r="T24" s="246"/>
      <c r="U24" s="193" t="str">
        <f>IF(ISNUMBER(MATCH(B24, 'Sprint 5'!B:B, 0)), "มาจาก Sprint 5", "")</f>
        <v/>
      </c>
      <c r="X24" s="102" t="s">
        <v>9865</v>
      </c>
    </row>
    <row r="25" hidden="1">
      <c r="A25" s="102" t="s">
        <v>276</v>
      </c>
      <c r="B25" s="102" t="s">
        <v>9874</v>
      </c>
      <c r="C25" s="229" t="s">
        <v>9875</v>
      </c>
      <c r="D25" s="102" t="s">
        <v>4345</v>
      </c>
      <c r="E25" s="102" t="s">
        <v>3288</v>
      </c>
      <c r="F25" s="102" t="s">
        <v>3289</v>
      </c>
      <c r="G25" s="102" t="s">
        <v>391</v>
      </c>
      <c r="H25" s="102" t="s">
        <v>392</v>
      </c>
      <c r="I25" s="102" t="s">
        <v>284</v>
      </c>
      <c r="J25" s="102" t="s">
        <v>26</v>
      </c>
      <c r="L25" s="229" t="s">
        <v>9872</v>
      </c>
      <c r="M25" s="229" t="s">
        <v>9873</v>
      </c>
      <c r="O25" s="230"/>
      <c r="T25" s="246"/>
      <c r="U25" s="193" t="str">
        <f>IF(ISNUMBER(MATCH(B25, 'Sprint 5'!B:B, 0)), "มาจาก Sprint 5", "")</f>
        <v/>
      </c>
      <c r="X25" s="102" t="s">
        <v>9865</v>
      </c>
    </row>
    <row r="26" hidden="1">
      <c r="A26" s="102" t="s">
        <v>276</v>
      </c>
      <c r="B26" s="102" t="s">
        <v>9876</v>
      </c>
      <c r="C26" s="229" t="s">
        <v>9877</v>
      </c>
      <c r="D26" s="102" t="s">
        <v>4345</v>
      </c>
      <c r="E26" s="102" t="s">
        <v>3288</v>
      </c>
      <c r="F26" s="102" t="s">
        <v>3289</v>
      </c>
      <c r="G26" s="102" t="s">
        <v>391</v>
      </c>
      <c r="H26" s="102" t="s">
        <v>392</v>
      </c>
      <c r="I26" s="102" t="s">
        <v>284</v>
      </c>
      <c r="J26" s="102" t="s">
        <v>63</v>
      </c>
      <c r="L26" s="229" t="s">
        <v>9461</v>
      </c>
      <c r="M26" s="229" t="s">
        <v>10196</v>
      </c>
      <c r="O26" s="230"/>
      <c r="T26" s="246"/>
      <c r="U26" s="193" t="str">
        <f>IF(ISNUMBER(MATCH(B26, 'Sprint 5'!B:B, 0)), "มาจาก Sprint 5", "")</f>
        <v/>
      </c>
      <c r="X26" s="102" t="s">
        <v>7696</v>
      </c>
    </row>
    <row r="27" hidden="1">
      <c r="A27" s="102" t="s">
        <v>276</v>
      </c>
      <c r="B27" s="102" t="s">
        <v>10197</v>
      </c>
      <c r="C27" s="229" t="s">
        <v>10198</v>
      </c>
      <c r="D27" s="102" t="s">
        <v>4345</v>
      </c>
      <c r="E27" s="102" t="s">
        <v>3288</v>
      </c>
      <c r="F27" s="102" t="s">
        <v>3289</v>
      </c>
      <c r="G27" s="102" t="s">
        <v>391</v>
      </c>
      <c r="H27" s="102" t="s">
        <v>392</v>
      </c>
      <c r="I27" s="102" t="s">
        <v>284</v>
      </c>
      <c r="J27" s="102" t="s">
        <v>63</v>
      </c>
      <c r="L27" s="229" t="s">
        <v>9461</v>
      </c>
      <c r="M27" s="229" t="s">
        <v>10196</v>
      </c>
      <c r="O27" s="230"/>
      <c r="T27" s="246"/>
      <c r="U27" s="193" t="str">
        <f>IF(ISNUMBER(MATCH(B27, 'Sprint 5'!B:B, 0)), "มาจาก Sprint 5", "")</f>
        <v/>
      </c>
      <c r="X27" s="102" t="s">
        <v>7696</v>
      </c>
    </row>
    <row r="28" hidden="1">
      <c r="A28" s="102" t="s">
        <v>276</v>
      </c>
      <c r="B28" s="102" t="s">
        <v>9879</v>
      </c>
      <c r="C28" s="229" t="s">
        <v>9880</v>
      </c>
      <c r="D28" s="102" t="s">
        <v>347</v>
      </c>
      <c r="E28" s="102" t="s">
        <v>280</v>
      </c>
      <c r="F28" s="102" t="s">
        <v>281</v>
      </c>
      <c r="G28" s="102" t="s">
        <v>280</v>
      </c>
      <c r="H28" s="102" t="s">
        <v>281</v>
      </c>
      <c r="I28" s="102" t="s">
        <v>284</v>
      </c>
      <c r="J28" s="102" t="s">
        <v>34</v>
      </c>
      <c r="L28" s="229" t="s">
        <v>9461</v>
      </c>
      <c r="M28" s="229" t="s">
        <v>10199</v>
      </c>
      <c r="O28" s="230"/>
      <c r="T28" s="246"/>
      <c r="U28" s="193" t="str">
        <f>IF(ISNUMBER(MATCH(B28, 'Sprint 5'!B:B, 0)), "มาจาก Sprint 5", "")</f>
        <v/>
      </c>
      <c r="X28" s="102" t="s">
        <v>9882</v>
      </c>
    </row>
    <row r="29" hidden="1">
      <c r="A29" s="102" t="s">
        <v>276</v>
      </c>
      <c r="B29" s="102" t="s">
        <v>9883</v>
      </c>
      <c r="C29" s="229" t="s">
        <v>9884</v>
      </c>
      <c r="D29" s="102" t="s">
        <v>2030</v>
      </c>
      <c r="E29" s="102" t="s">
        <v>280</v>
      </c>
      <c r="F29" s="102" t="s">
        <v>281</v>
      </c>
      <c r="G29" s="102" t="s">
        <v>280</v>
      </c>
      <c r="H29" s="102" t="s">
        <v>281</v>
      </c>
      <c r="I29" s="102" t="s">
        <v>284</v>
      </c>
      <c r="J29" s="102" t="s">
        <v>26</v>
      </c>
      <c r="L29" s="229" t="s">
        <v>9461</v>
      </c>
      <c r="M29" s="229" t="s">
        <v>9885</v>
      </c>
      <c r="O29" s="230"/>
      <c r="T29" s="246"/>
      <c r="U29" s="193" t="str">
        <f>IF(ISNUMBER(MATCH(B29, 'Sprint 5'!B:B, 0)), "มาจาก Sprint 5", "")</f>
        <v/>
      </c>
      <c r="X29" s="102" t="s">
        <v>9882</v>
      </c>
    </row>
    <row r="30" hidden="1">
      <c r="A30" s="102" t="s">
        <v>276</v>
      </c>
      <c r="B30" s="102" t="s">
        <v>9886</v>
      </c>
      <c r="C30" s="229" t="s">
        <v>9887</v>
      </c>
      <c r="D30" s="102" t="s">
        <v>4345</v>
      </c>
      <c r="E30" s="102" t="s">
        <v>3288</v>
      </c>
      <c r="F30" s="102" t="s">
        <v>3289</v>
      </c>
      <c r="G30" s="102" t="s">
        <v>391</v>
      </c>
      <c r="H30" s="102" t="s">
        <v>392</v>
      </c>
      <c r="I30" s="102" t="s">
        <v>284</v>
      </c>
      <c r="J30" s="102" t="s">
        <v>26</v>
      </c>
      <c r="L30" s="229" t="s">
        <v>9461</v>
      </c>
      <c r="M30" s="229" t="s">
        <v>9888</v>
      </c>
      <c r="O30" s="230"/>
      <c r="T30" s="246"/>
      <c r="U30" s="193" t="str">
        <f>IF(ISNUMBER(MATCH(B30, 'Sprint 5'!B:B, 0)), "มาจาก Sprint 5", "")</f>
        <v/>
      </c>
      <c r="X30" s="102" t="s">
        <v>7696</v>
      </c>
    </row>
    <row r="31" hidden="1">
      <c r="A31" s="102" t="s">
        <v>276</v>
      </c>
      <c r="B31" s="102" t="s">
        <v>9889</v>
      </c>
      <c r="C31" s="229" t="s">
        <v>9890</v>
      </c>
      <c r="D31" s="102" t="s">
        <v>4345</v>
      </c>
      <c r="E31" s="102" t="s">
        <v>3288</v>
      </c>
      <c r="F31" s="102" t="s">
        <v>3289</v>
      </c>
      <c r="G31" s="102" t="s">
        <v>391</v>
      </c>
      <c r="H31" s="102" t="s">
        <v>392</v>
      </c>
      <c r="I31" s="102" t="s">
        <v>284</v>
      </c>
      <c r="J31" s="102" t="s">
        <v>26</v>
      </c>
      <c r="L31" s="229" t="s">
        <v>9465</v>
      </c>
      <c r="M31" s="229" t="s">
        <v>9888</v>
      </c>
      <c r="O31" s="230"/>
      <c r="T31" s="246"/>
      <c r="U31" s="193" t="str">
        <f>IF(ISNUMBER(MATCH(B31, 'Sprint 5'!B:B, 0)), "มาจาก Sprint 5", "")</f>
        <v/>
      </c>
      <c r="X31" s="102" t="s">
        <v>7696</v>
      </c>
    </row>
    <row r="32" hidden="1">
      <c r="A32" s="102" t="s">
        <v>276</v>
      </c>
      <c r="B32" s="102" t="s">
        <v>9463</v>
      </c>
      <c r="C32" s="229" t="s">
        <v>9464</v>
      </c>
      <c r="D32" s="102" t="s">
        <v>4345</v>
      </c>
      <c r="E32" s="102" t="s">
        <v>391</v>
      </c>
      <c r="F32" s="102" t="s">
        <v>392</v>
      </c>
      <c r="G32" s="102" t="s">
        <v>391</v>
      </c>
      <c r="H32" s="102" t="s">
        <v>392</v>
      </c>
      <c r="I32" s="102" t="s">
        <v>284</v>
      </c>
      <c r="J32" s="102" t="s">
        <v>63</v>
      </c>
      <c r="L32" s="229" t="s">
        <v>9465</v>
      </c>
      <c r="M32" s="229" t="s">
        <v>9465</v>
      </c>
      <c r="O32" s="230"/>
      <c r="T32" s="246"/>
      <c r="U32" s="193" t="str">
        <f>IF(ISNUMBER(MATCH(B32, 'Sprint 5'!B:B, 0)), "มาจาก Sprint 5", "")</f>
        <v/>
      </c>
      <c r="X32" s="102" t="s">
        <v>7696</v>
      </c>
    </row>
    <row r="33" hidden="1">
      <c r="A33" s="102" t="s">
        <v>276</v>
      </c>
      <c r="B33" s="102" t="s">
        <v>9467</v>
      </c>
      <c r="C33" s="229" t="s">
        <v>9468</v>
      </c>
      <c r="D33" s="102" t="s">
        <v>4345</v>
      </c>
      <c r="E33" s="102" t="s">
        <v>391</v>
      </c>
      <c r="F33" s="102" t="s">
        <v>392</v>
      </c>
      <c r="G33" s="102" t="s">
        <v>391</v>
      </c>
      <c r="H33" s="102" t="s">
        <v>392</v>
      </c>
      <c r="I33" s="102" t="s">
        <v>284</v>
      </c>
      <c r="J33" s="102" t="s">
        <v>63</v>
      </c>
      <c r="L33" s="229" t="s">
        <v>9465</v>
      </c>
      <c r="M33" s="229" t="s">
        <v>9465</v>
      </c>
      <c r="O33" s="230"/>
      <c r="T33" s="246"/>
      <c r="U33" s="193" t="str">
        <f>IF(ISNUMBER(MATCH(B33, 'Sprint 5'!B:B, 0)), "มาจาก Sprint 5", "")</f>
        <v/>
      </c>
      <c r="X33" s="102" t="s">
        <v>7696</v>
      </c>
    </row>
    <row r="34" hidden="1">
      <c r="A34" s="102" t="s">
        <v>276</v>
      </c>
      <c r="B34" s="102" t="s">
        <v>9469</v>
      </c>
      <c r="C34" s="229" t="s">
        <v>9470</v>
      </c>
      <c r="D34" s="102" t="s">
        <v>9471</v>
      </c>
      <c r="E34" s="102" t="s">
        <v>391</v>
      </c>
      <c r="F34" s="102" t="s">
        <v>392</v>
      </c>
      <c r="G34" s="102" t="s">
        <v>391</v>
      </c>
      <c r="H34" s="102" t="s">
        <v>392</v>
      </c>
      <c r="I34" s="102" t="s">
        <v>284</v>
      </c>
      <c r="J34" s="102" t="s">
        <v>26</v>
      </c>
      <c r="L34" s="229" t="s">
        <v>9472</v>
      </c>
      <c r="M34" s="229" t="s">
        <v>9473</v>
      </c>
      <c r="O34" s="230"/>
      <c r="T34" s="246"/>
      <c r="U34" s="193" t="str">
        <f>IF(ISNUMBER(MATCH(B34, 'Sprint 5'!B:B, 0)), "มาจาก Sprint 5", "")</f>
        <v/>
      </c>
      <c r="X34" s="102" t="s">
        <v>7696</v>
      </c>
    </row>
    <row r="35" hidden="1">
      <c r="A35" s="102" t="s">
        <v>276</v>
      </c>
      <c r="B35" s="102" t="s">
        <v>9474</v>
      </c>
      <c r="C35" s="229" t="s">
        <v>9475</v>
      </c>
      <c r="D35" s="102" t="s">
        <v>4345</v>
      </c>
      <c r="E35" s="102" t="s">
        <v>391</v>
      </c>
      <c r="F35" s="102" t="s">
        <v>392</v>
      </c>
      <c r="G35" s="102" t="s">
        <v>391</v>
      </c>
      <c r="H35" s="102" t="s">
        <v>392</v>
      </c>
      <c r="I35" s="102" t="s">
        <v>284</v>
      </c>
      <c r="J35" s="102" t="s">
        <v>63</v>
      </c>
      <c r="L35" s="229" t="s">
        <v>9472</v>
      </c>
      <c r="M35" s="229" t="s">
        <v>9472</v>
      </c>
      <c r="O35" s="230"/>
      <c r="T35" s="246"/>
      <c r="U35" s="193" t="str">
        <f>IF(ISNUMBER(MATCH(B35, 'Sprint 5'!B:B, 0)), "มาจาก Sprint 5", "")</f>
        <v/>
      </c>
      <c r="X35" s="102" t="s">
        <v>7696</v>
      </c>
    </row>
    <row r="36" hidden="1">
      <c r="A36" s="102" t="s">
        <v>276</v>
      </c>
      <c r="B36" s="102" t="s">
        <v>9476</v>
      </c>
      <c r="C36" s="229" t="s">
        <v>9477</v>
      </c>
      <c r="D36" s="102" t="s">
        <v>4345</v>
      </c>
      <c r="G36" s="102" t="s">
        <v>391</v>
      </c>
      <c r="H36" s="102" t="s">
        <v>392</v>
      </c>
      <c r="I36" s="102" t="s">
        <v>284</v>
      </c>
      <c r="J36" s="102" t="s">
        <v>63</v>
      </c>
      <c r="L36" s="229" t="s">
        <v>9472</v>
      </c>
      <c r="M36" s="229" t="s">
        <v>9472</v>
      </c>
      <c r="O36" s="230"/>
      <c r="T36" s="246"/>
      <c r="U36" s="193" t="str">
        <f>IF(ISNUMBER(MATCH(B36, 'Sprint 5'!B:B, 0)), "มาจาก Sprint 5", "")</f>
        <v/>
      </c>
      <c r="X36" s="102" t="s">
        <v>7696</v>
      </c>
    </row>
    <row r="37" hidden="1">
      <c r="A37" s="102" t="s">
        <v>276</v>
      </c>
      <c r="B37" s="102" t="s">
        <v>9478</v>
      </c>
      <c r="C37" s="229" t="s">
        <v>9479</v>
      </c>
      <c r="D37" s="102" t="s">
        <v>9480</v>
      </c>
      <c r="E37" s="102" t="s">
        <v>391</v>
      </c>
      <c r="F37" s="102" t="s">
        <v>392</v>
      </c>
      <c r="G37" s="102" t="s">
        <v>391</v>
      </c>
      <c r="H37" s="102" t="s">
        <v>392</v>
      </c>
      <c r="I37" s="102" t="s">
        <v>284</v>
      </c>
      <c r="J37" s="102" t="s">
        <v>26</v>
      </c>
      <c r="L37" s="229" t="s">
        <v>9481</v>
      </c>
      <c r="M37" s="229" t="s">
        <v>9482</v>
      </c>
      <c r="O37" s="230"/>
      <c r="T37" s="246"/>
      <c r="U37" s="193" t="str">
        <f>IF(ISNUMBER(MATCH(B37, 'Sprint 5'!B:B, 0)), "มาจาก Sprint 5", "")</f>
        <v/>
      </c>
      <c r="X37" s="102" t="s">
        <v>7696</v>
      </c>
    </row>
    <row r="38" hidden="1">
      <c r="A38" s="102" t="s">
        <v>276</v>
      </c>
      <c r="B38" s="102" t="s">
        <v>9483</v>
      </c>
      <c r="C38" s="229" t="s">
        <v>9484</v>
      </c>
      <c r="D38" s="102" t="s">
        <v>9485</v>
      </c>
      <c r="E38" s="102" t="s">
        <v>391</v>
      </c>
      <c r="F38" s="102" t="s">
        <v>392</v>
      </c>
      <c r="G38" s="102" t="s">
        <v>391</v>
      </c>
      <c r="H38" s="102" t="s">
        <v>392</v>
      </c>
      <c r="I38" s="102" t="s">
        <v>284</v>
      </c>
      <c r="J38" s="102" t="s">
        <v>26</v>
      </c>
      <c r="L38" s="229" t="s">
        <v>9481</v>
      </c>
      <c r="M38" s="229" t="s">
        <v>9486</v>
      </c>
      <c r="O38" s="230"/>
      <c r="T38" s="246"/>
      <c r="U38" s="193" t="str">
        <f>IF(ISNUMBER(MATCH(B38, 'Sprint 5'!B:B, 0)), "มาจาก Sprint 5", "")</f>
        <v/>
      </c>
      <c r="X38" s="102" t="s">
        <v>7696</v>
      </c>
    </row>
    <row r="39" hidden="1">
      <c r="A39" s="102" t="s">
        <v>276</v>
      </c>
      <c r="B39" s="102" t="s">
        <v>9487</v>
      </c>
      <c r="C39" s="229" t="s">
        <v>9488</v>
      </c>
      <c r="D39" s="102" t="s">
        <v>4345</v>
      </c>
      <c r="E39" s="102" t="s">
        <v>521</v>
      </c>
      <c r="F39" s="102" t="s">
        <v>522</v>
      </c>
      <c r="G39" s="102" t="s">
        <v>391</v>
      </c>
      <c r="H39" s="102" t="s">
        <v>392</v>
      </c>
      <c r="I39" s="102" t="s">
        <v>284</v>
      </c>
      <c r="J39" s="102" t="s">
        <v>63</v>
      </c>
      <c r="L39" s="229" t="s">
        <v>9481</v>
      </c>
      <c r="M39" s="229" t="s">
        <v>10200</v>
      </c>
      <c r="O39" s="230"/>
      <c r="T39" s="246"/>
      <c r="U39" s="193" t="str">
        <f>IF(ISNUMBER(MATCH(B39, 'Sprint 5'!B:B, 0)), "มาจาก Sprint 5", "")</f>
        <v/>
      </c>
      <c r="X39" s="102" t="s">
        <v>7696</v>
      </c>
    </row>
    <row r="40" hidden="1">
      <c r="A40" s="102" t="s">
        <v>276</v>
      </c>
      <c r="B40" s="102" t="s">
        <v>9491</v>
      </c>
      <c r="C40" s="229" t="s">
        <v>9492</v>
      </c>
      <c r="D40" s="102" t="s">
        <v>10201</v>
      </c>
      <c r="E40" s="102" t="s">
        <v>521</v>
      </c>
      <c r="F40" s="102" t="s">
        <v>522</v>
      </c>
      <c r="G40" s="102" t="s">
        <v>391</v>
      </c>
      <c r="H40" s="102" t="s">
        <v>392</v>
      </c>
      <c r="I40" s="102" t="s">
        <v>284</v>
      </c>
      <c r="J40" s="102" t="s">
        <v>63</v>
      </c>
      <c r="L40" s="229" t="s">
        <v>9481</v>
      </c>
      <c r="M40" s="229" t="s">
        <v>10202</v>
      </c>
      <c r="O40" s="230"/>
      <c r="T40" s="246"/>
      <c r="U40" s="193" t="str">
        <f>IF(ISNUMBER(MATCH(B40, 'Sprint 5'!B:B, 0)), "มาจาก Sprint 5", "")</f>
        <v/>
      </c>
      <c r="X40" s="102" t="s">
        <v>7696</v>
      </c>
    </row>
    <row r="41" hidden="1">
      <c r="A41" s="102" t="s">
        <v>276</v>
      </c>
      <c r="B41" s="102" t="s">
        <v>9495</v>
      </c>
      <c r="C41" s="229" t="s">
        <v>9496</v>
      </c>
      <c r="D41" s="102" t="s">
        <v>9497</v>
      </c>
      <c r="E41" s="102" t="s">
        <v>3288</v>
      </c>
      <c r="F41" s="102" t="s">
        <v>3289</v>
      </c>
      <c r="G41" s="102" t="s">
        <v>391</v>
      </c>
      <c r="H41" s="102" t="s">
        <v>392</v>
      </c>
      <c r="I41" s="102" t="s">
        <v>284</v>
      </c>
      <c r="J41" s="102" t="s">
        <v>63</v>
      </c>
      <c r="L41" s="229" t="s">
        <v>9498</v>
      </c>
      <c r="M41" s="229" t="s">
        <v>10203</v>
      </c>
      <c r="O41" s="230"/>
      <c r="T41" s="246"/>
      <c r="U41" s="193" t="str">
        <f>IF(ISNUMBER(MATCH(B41, 'Sprint 5'!B:B, 0)), "มาจาก Sprint 5", "")</f>
        <v/>
      </c>
      <c r="X41" s="102" t="s">
        <v>7696</v>
      </c>
    </row>
    <row r="42" hidden="1">
      <c r="A42" s="102" t="s">
        <v>276</v>
      </c>
      <c r="B42" s="102" t="s">
        <v>9500</v>
      </c>
      <c r="C42" s="229" t="s">
        <v>9501</v>
      </c>
      <c r="D42" s="102" t="s">
        <v>9502</v>
      </c>
      <c r="E42" s="102" t="s">
        <v>3288</v>
      </c>
      <c r="F42" s="102" t="s">
        <v>3289</v>
      </c>
      <c r="G42" s="102" t="s">
        <v>391</v>
      </c>
      <c r="H42" s="102" t="s">
        <v>392</v>
      </c>
      <c r="I42" s="102" t="s">
        <v>284</v>
      </c>
      <c r="J42" s="102" t="s">
        <v>63</v>
      </c>
      <c r="L42" s="229" t="s">
        <v>9503</v>
      </c>
      <c r="M42" s="229" t="s">
        <v>10203</v>
      </c>
      <c r="O42" s="230"/>
      <c r="T42" s="246"/>
      <c r="U42" s="193" t="str">
        <f>IF(ISNUMBER(MATCH(B42, 'Sprint 5'!B:B, 0)), "มาจาก Sprint 5", "")</f>
        <v/>
      </c>
      <c r="X42" s="102" t="s">
        <v>7696</v>
      </c>
    </row>
    <row r="43" hidden="1">
      <c r="A43" s="102" t="s">
        <v>1459</v>
      </c>
      <c r="B43" s="102" t="s">
        <v>10204</v>
      </c>
      <c r="C43" s="229" t="s">
        <v>10205</v>
      </c>
      <c r="D43" s="102" t="s">
        <v>10206</v>
      </c>
      <c r="E43" s="102" t="s">
        <v>280</v>
      </c>
      <c r="F43" s="102" t="s">
        <v>281</v>
      </c>
      <c r="G43" s="102" t="s">
        <v>280</v>
      </c>
      <c r="H43" s="102" t="s">
        <v>281</v>
      </c>
      <c r="I43" s="102" t="s">
        <v>284</v>
      </c>
      <c r="J43" s="102" t="s">
        <v>26</v>
      </c>
      <c r="L43" s="229" t="s">
        <v>10207</v>
      </c>
      <c r="M43" s="229" t="s">
        <v>10208</v>
      </c>
      <c r="O43" s="230"/>
      <c r="T43" s="246"/>
      <c r="U43" s="193" t="str">
        <f>IF(ISNUMBER(MATCH(B43, 'Sprint 5'!B:B, 0)), "มาจาก Sprint 5", "")</f>
        <v/>
      </c>
      <c r="X43" s="102" t="s">
        <v>4967</v>
      </c>
    </row>
    <row r="44" hidden="1">
      <c r="A44" s="102" t="s">
        <v>276</v>
      </c>
      <c r="B44" s="102" t="s">
        <v>9891</v>
      </c>
      <c r="C44" s="229" t="s">
        <v>9892</v>
      </c>
      <c r="D44" s="102" t="s">
        <v>9893</v>
      </c>
      <c r="E44" s="102" t="s">
        <v>521</v>
      </c>
      <c r="F44" s="102" t="s">
        <v>522</v>
      </c>
      <c r="G44" s="102" t="s">
        <v>521</v>
      </c>
      <c r="H44" s="102" t="s">
        <v>522</v>
      </c>
      <c r="I44" s="102" t="s">
        <v>284</v>
      </c>
      <c r="J44" s="102" t="s">
        <v>63</v>
      </c>
      <c r="L44" s="229" t="s">
        <v>9894</v>
      </c>
      <c r="M44" s="229" t="s">
        <v>10209</v>
      </c>
      <c r="O44" s="230"/>
      <c r="T44" s="246"/>
      <c r="U44" s="193" t="str">
        <f>IF(ISNUMBER(MATCH(B44, 'Sprint 5'!B:B, 0)), "มาจาก Sprint 5", "")</f>
        <v/>
      </c>
      <c r="X44" s="102" t="s">
        <v>9184</v>
      </c>
    </row>
    <row r="45" hidden="1">
      <c r="A45" s="102" t="s">
        <v>310</v>
      </c>
      <c r="B45" s="102" t="s">
        <v>9510</v>
      </c>
      <c r="C45" s="229" t="s">
        <v>9511</v>
      </c>
      <c r="D45" s="102" t="s">
        <v>9512</v>
      </c>
      <c r="E45" s="102" t="s">
        <v>10144</v>
      </c>
      <c r="F45" s="102" t="s">
        <v>305</v>
      </c>
      <c r="G45" s="102" t="s">
        <v>353</v>
      </c>
      <c r="H45" s="102" t="s">
        <v>354</v>
      </c>
      <c r="I45" s="102" t="s">
        <v>284</v>
      </c>
      <c r="J45" s="102" t="s">
        <v>34</v>
      </c>
      <c r="L45" s="229" t="s">
        <v>9513</v>
      </c>
      <c r="M45" s="229" t="s">
        <v>10210</v>
      </c>
      <c r="O45" s="102">
        <v>2.0</v>
      </c>
      <c r="T45" s="246"/>
      <c r="U45" s="193" t="str">
        <f>IF(ISNUMBER(MATCH(B45, 'Sprint 5'!B:B, 0)), "มาจาก Sprint 5", "")</f>
        <v/>
      </c>
      <c r="W45" s="244" t="str">
        <f t="array" ref="W45">IF(ISNUMBER(MATCH(B45, 'Sprint 5'!B:B, 0)), INDEX('Sprint 5'!J:J, MATCH(B45, 'Sprint 5'!B:B, 0)), "")</f>
        <v/>
      </c>
      <c r="X45" s="102" t="s">
        <v>7696</v>
      </c>
    </row>
    <row r="46" hidden="1">
      <c r="A46" s="102" t="s">
        <v>310</v>
      </c>
      <c r="B46" s="102" t="s">
        <v>9897</v>
      </c>
      <c r="C46" s="229" t="s">
        <v>9898</v>
      </c>
      <c r="D46" s="102" t="s">
        <v>9899</v>
      </c>
      <c r="E46" s="102" t="s">
        <v>513</v>
      </c>
      <c r="F46" s="102" t="s">
        <v>514</v>
      </c>
      <c r="G46" s="102" t="s">
        <v>353</v>
      </c>
      <c r="H46" s="102" t="s">
        <v>354</v>
      </c>
      <c r="I46" s="102" t="s">
        <v>318</v>
      </c>
      <c r="J46" s="102" t="s">
        <v>678</v>
      </c>
      <c r="L46" s="229" t="s">
        <v>9900</v>
      </c>
      <c r="M46" s="229" t="s">
        <v>10195</v>
      </c>
      <c r="N46" s="229" t="s">
        <v>8672</v>
      </c>
      <c r="O46" s="102">
        <v>5.0</v>
      </c>
      <c r="T46" s="126">
        <v>57600.0</v>
      </c>
      <c r="U46" s="193" t="str">
        <f>IF(ISNUMBER(MATCH(B46, 'Sprint 5'!B:B, 0)), "มาจาก Sprint 5", "")</f>
        <v/>
      </c>
      <c r="W46" s="244" t="str">
        <f t="array" ref="W46">IF(ISNUMBER(MATCH(B46, 'Sprint 5'!B:B, 0)), INDEX('Sprint 5'!J:J, MATCH(B46, 'Sprint 5'!B:B, 0)), "")</f>
        <v/>
      </c>
      <c r="X46" s="102" t="s">
        <v>4967</v>
      </c>
    </row>
    <row r="47" hidden="1">
      <c r="A47" s="102" t="s">
        <v>310</v>
      </c>
      <c r="B47" s="102" t="s">
        <v>9901</v>
      </c>
      <c r="C47" s="229" t="s">
        <v>9902</v>
      </c>
      <c r="D47" s="102" t="s">
        <v>9903</v>
      </c>
      <c r="E47" s="102" t="s">
        <v>495</v>
      </c>
      <c r="F47" s="102" t="s">
        <v>496</v>
      </c>
      <c r="G47" s="102" t="s">
        <v>353</v>
      </c>
      <c r="H47" s="102" t="s">
        <v>354</v>
      </c>
      <c r="I47" s="102" t="s">
        <v>648</v>
      </c>
      <c r="J47" s="102" t="s">
        <v>678</v>
      </c>
      <c r="L47" s="229" t="s">
        <v>9904</v>
      </c>
      <c r="M47" s="229" t="s">
        <v>10211</v>
      </c>
      <c r="O47" s="102">
        <v>2.0</v>
      </c>
      <c r="P47" s="102" t="s">
        <v>593</v>
      </c>
      <c r="T47" s="126">
        <v>14400.0</v>
      </c>
      <c r="U47" s="193" t="str">
        <f>IF(ISNUMBER(MATCH(B47, 'Sprint 5'!B:B, 0)), "มาจาก Sprint 5", "")</f>
        <v/>
      </c>
      <c r="W47" s="244" t="str">
        <f t="array" ref="W47">IF(ISNUMBER(MATCH(B47, 'Sprint 5'!B:B, 0)), INDEX('Sprint 5'!J:J, MATCH(B47, 'Sprint 5'!B:B, 0)), "")</f>
        <v/>
      </c>
      <c r="X47" s="102" t="s">
        <v>9184</v>
      </c>
    </row>
    <row r="48" hidden="1">
      <c r="A48" s="102" t="s">
        <v>310</v>
      </c>
      <c r="B48" s="102" t="s">
        <v>9906</v>
      </c>
      <c r="C48" s="229" t="s">
        <v>9907</v>
      </c>
      <c r="D48" s="102" t="s">
        <v>9908</v>
      </c>
      <c r="E48" s="102" t="s">
        <v>10212</v>
      </c>
      <c r="F48" s="102" t="s">
        <v>6316</v>
      </c>
      <c r="G48" s="102" t="s">
        <v>10144</v>
      </c>
      <c r="H48" s="102" t="s">
        <v>305</v>
      </c>
      <c r="I48" s="102" t="s">
        <v>648</v>
      </c>
      <c r="J48" s="102" t="s">
        <v>355</v>
      </c>
      <c r="L48" s="229" t="s">
        <v>9909</v>
      </c>
      <c r="M48" s="229" t="s">
        <v>10213</v>
      </c>
      <c r="O48" s="230"/>
      <c r="P48" s="102" t="s">
        <v>538</v>
      </c>
      <c r="T48" s="246"/>
      <c r="U48" s="193" t="str">
        <f>IF(ISNUMBER(MATCH(B48, 'Sprint 5'!B:B, 0)), "มาจาก Sprint 5", "")</f>
        <v/>
      </c>
      <c r="W48" s="244" t="str">
        <f t="array" ref="W48">IF(ISNUMBER(MATCH(B48, 'Sprint 5'!B:B, 0)), INDEX('Sprint 5'!J:J, MATCH(B48, 'Sprint 5'!B:B, 0)), "")</f>
        <v/>
      </c>
      <c r="X48" s="102" t="s">
        <v>7696</v>
      </c>
    </row>
    <row r="49" hidden="1">
      <c r="A49" s="102" t="s">
        <v>310</v>
      </c>
      <c r="B49" s="102" t="s">
        <v>10214</v>
      </c>
      <c r="C49" s="229" t="s">
        <v>10215</v>
      </c>
      <c r="D49" s="102" t="s">
        <v>10216</v>
      </c>
      <c r="E49" s="102" t="s">
        <v>10212</v>
      </c>
      <c r="F49" s="102" t="s">
        <v>6316</v>
      </c>
      <c r="G49" s="102" t="s">
        <v>10144</v>
      </c>
      <c r="H49" s="102" t="s">
        <v>305</v>
      </c>
      <c r="I49" s="102" t="s">
        <v>648</v>
      </c>
      <c r="J49" s="102" t="s">
        <v>26</v>
      </c>
      <c r="L49" s="229" t="s">
        <v>10217</v>
      </c>
      <c r="M49" s="229" t="s">
        <v>10218</v>
      </c>
      <c r="O49" s="230"/>
      <c r="P49" s="102" t="s">
        <v>538</v>
      </c>
      <c r="Q49" s="102" t="s">
        <v>593</v>
      </c>
      <c r="T49" s="246"/>
      <c r="U49" s="193" t="str">
        <f>IF(ISNUMBER(MATCH(B49, 'Sprint 5'!B:B, 0)), "มาจาก Sprint 5", "")</f>
        <v/>
      </c>
      <c r="W49" s="244" t="str">
        <f t="array" ref="W49">IF(ISNUMBER(MATCH(B49, 'Sprint 5'!B:B, 0)), INDEX('Sprint 5'!J:J, MATCH(B49, 'Sprint 5'!B:B, 0)), "")</f>
        <v/>
      </c>
      <c r="X49" s="102" t="s">
        <v>7696</v>
      </c>
    </row>
    <row r="50" hidden="1">
      <c r="A50" s="102" t="s">
        <v>310</v>
      </c>
      <c r="B50" s="102" t="s">
        <v>9911</v>
      </c>
      <c r="C50" s="229" t="s">
        <v>9912</v>
      </c>
      <c r="D50" s="102" t="s">
        <v>9913</v>
      </c>
      <c r="E50" s="102" t="s">
        <v>10212</v>
      </c>
      <c r="F50" s="102" t="s">
        <v>6316</v>
      </c>
      <c r="G50" s="102" t="s">
        <v>10144</v>
      </c>
      <c r="H50" s="102" t="s">
        <v>305</v>
      </c>
      <c r="I50" s="102" t="s">
        <v>648</v>
      </c>
      <c r="J50" s="102" t="s">
        <v>355</v>
      </c>
      <c r="L50" s="229" t="s">
        <v>9914</v>
      </c>
      <c r="M50" s="229" t="s">
        <v>10219</v>
      </c>
      <c r="O50" s="230"/>
      <c r="P50" s="102" t="s">
        <v>538</v>
      </c>
      <c r="T50" s="246"/>
      <c r="U50" s="193" t="str">
        <f>IF(ISNUMBER(MATCH(B50, 'Sprint 5'!B:B, 0)), "มาจาก Sprint 5", "")</f>
        <v/>
      </c>
      <c r="W50" s="244" t="str">
        <f t="array" ref="W50">IF(ISNUMBER(MATCH(B50, 'Sprint 5'!B:B, 0)), INDEX('Sprint 5'!J:J, MATCH(B50, 'Sprint 5'!B:B, 0)), "")</f>
        <v/>
      </c>
      <c r="X50" s="102" t="s">
        <v>7696</v>
      </c>
    </row>
    <row r="51" hidden="1">
      <c r="A51" s="102" t="s">
        <v>276</v>
      </c>
      <c r="B51" s="102" t="s">
        <v>10220</v>
      </c>
      <c r="C51" s="229" t="s">
        <v>10221</v>
      </c>
      <c r="D51" s="102" t="s">
        <v>10222</v>
      </c>
      <c r="E51" s="102" t="s">
        <v>521</v>
      </c>
      <c r="F51" s="102" t="s">
        <v>522</v>
      </c>
      <c r="G51" s="102" t="s">
        <v>521</v>
      </c>
      <c r="H51" s="102" t="s">
        <v>522</v>
      </c>
      <c r="I51" s="102" t="s">
        <v>284</v>
      </c>
      <c r="J51" s="102" t="s">
        <v>26</v>
      </c>
      <c r="L51" s="229" t="s">
        <v>10223</v>
      </c>
      <c r="M51" s="229" t="s">
        <v>10224</v>
      </c>
      <c r="O51" s="230"/>
      <c r="T51" s="246"/>
      <c r="U51" s="193" t="str">
        <f>IF(ISNUMBER(MATCH(B51, 'Sprint 5'!B:B, 0)), "มาจาก Sprint 5", "")</f>
        <v>มาจาก Sprint 5</v>
      </c>
      <c r="X51" s="102" t="s">
        <v>10125</v>
      </c>
      <c r="Y51" s="102" t="s">
        <v>10125</v>
      </c>
      <c r="Z51" s="102" t="s">
        <v>9183</v>
      </c>
      <c r="AA51" s="102" t="s">
        <v>9184</v>
      </c>
    </row>
    <row r="52" hidden="1">
      <c r="A52" s="102" t="s">
        <v>1459</v>
      </c>
      <c r="B52" s="102" t="s">
        <v>9915</v>
      </c>
      <c r="C52" s="229" t="s">
        <v>9916</v>
      </c>
      <c r="D52" s="102" t="s">
        <v>10225</v>
      </c>
      <c r="E52" s="102" t="s">
        <v>280</v>
      </c>
      <c r="F52" s="102" t="s">
        <v>281</v>
      </c>
      <c r="G52" s="102" t="s">
        <v>280</v>
      </c>
      <c r="H52" s="102" t="s">
        <v>281</v>
      </c>
      <c r="I52" s="102" t="s">
        <v>284</v>
      </c>
      <c r="J52" s="102" t="s">
        <v>34</v>
      </c>
      <c r="L52" s="229" t="s">
        <v>9918</v>
      </c>
      <c r="M52" s="229" t="s">
        <v>10226</v>
      </c>
      <c r="O52" s="230"/>
      <c r="T52" s="246"/>
      <c r="U52" s="193" t="str">
        <f>IF(ISNUMBER(MATCH(B52, 'Sprint 5'!B:B, 0)), "มาจาก Sprint 5", "")</f>
        <v/>
      </c>
      <c r="X52" s="102" t="s">
        <v>9882</v>
      </c>
    </row>
    <row r="53" hidden="1">
      <c r="A53" s="102" t="s">
        <v>1465</v>
      </c>
      <c r="B53" s="102" t="s">
        <v>9920</v>
      </c>
      <c r="C53" s="229" t="s">
        <v>9921</v>
      </c>
      <c r="D53" s="102" t="s">
        <v>10227</v>
      </c>
      <c r="E53" s="102" t="s">
        <v>280</v>
      </c>
      <c r="F53" s="102" t="s">
        <v>281</v>
      </c>
      <c r="G53" s="102" t="s">
        <v>280</v>
      </c>
      <c r="H53" s="102" t="s">
        <v>281</v>
      </c>
      <c r="I53" s="102" t="s">
        <v>284</v>
      </c>
      <c r="J53" s="102" t="s">
        <v>26</v>
      </c>
      <c r="L53" s="229" t="s">
        <v>9923</v>
      </c>
      <c r="M53" s="229" t="s">
        <v>10183</v>
      </c>
      <c r="O53" s="230"/>
      <c r="T53" s="246"/>
      <c r="U53" s="193" t="str">
        <f>IF(ISNUMBER(MATCH(B53, 'Sprint 5'!B:B, 0)), "มาจาก Sprint 5", "")</f>
        <v/>
      </c>
      <c r="X53" s="102" t="s">
        <v>9882</v>
      </c>
    </row>
    <row r="54" hidden="1">
      <c r="A54" s="102" t="s">
        <v>4306</v>
      </c>
      <c r="B54" s="102" t="s">
        <v>10228</v>
      </c>
      <c r="C54" s="229" t="s">
        <v>10229</v>
      </c>
      <c r="D54" s="102" t="s">
        <v>10230</v>
      </c>
      <c r="E54" s="102" t="s">
        <v>280</v>
      </c>
      <c r="F54" s="102" t="s">
        <v>281</v>
      </c>
      <c r="G54" s="102" t="s">
        <v>280</v>
      </c>
      <c r="H54" s="102" t="s">
        <v>281</v>
      </c>
      <c r="I54" s="102" t="s">
        <v>284</v>
      </c>
      <c r="J54" s="102" t="s">
        <v>26</v>
      </c>
      <c r="L54" s="229" t="s">
        <v>10231</v>
      </c>
      <c r="M54" s="229" t="s">
        <v>10183</v>
      </c>
      <c r="O54" s="230"/>
      <c r="T54" s="246"/>
      <c r="U54" s="193" t="str">
        <f>IF(ISNUMBER(MATCH(B54, 'Sprint 5'!B:B, 0)), "มาจาก Sprint 5", "")</f>
        <v/>
      </c>
      <c r="X54" s="102" t="s">
        <v>9882</v>
      </c>
    </row>
    <row r="55" hidden="1">
      <c r="A55" s="102" t="s">
        <v>310</v>
      </c>
      <c r="B55" s="102" t="s">
        <v>9925</v>
      </c>
      <c r="C55" s="229" t="s">
        <v>9926</v>
      </c>
      <c r="D55" s="102" t="s">
        <v>9927</v>
      </c>
      <c r="E55" s="102" t="s">
        <v>556</v>
      </c>
      <c r="F55" s="102" t="s">
        <v>557</v>
      </c>
      <c r="G55" s="102" t="s">
        <v>282</v>
      </c>
      <c r="H55" s="102" t="s">
        <v>283</v>
      </c>
      <c r="I55" s="102" t="s">
        <v>284</v>
      </c>
      <c r="J55" s="102" t="s">
        <v>678</v>
      </c>
      <c r="L55" s="229" t="s">
        <v>9928</v>
      </c>
      <c r="M55" s="229" t="s">
        <v>10232</v>
      </c>
      <c r="N55" s="229" t="s">
        <v>9544</v>
      </c>
      <c r="O55" s="102">
        <v>3.0</v>
      </c>
      <c r="T55" s="126">
        <v>28800.0</v>
      </c>
      <c r="U55" s="193" t="str">
        <f>IF(ISNUMBER(MATCH(B55, 'Sprint 5'!B:B, 0)), "มาจาก Sprint 5", "")</f>
        <v/>
      </c>
      <c r="W55" s="244" t="str">
        <f t="array" ref="W55">IF(ISNUMBER(MATCH(B55, 'Sprint 5'!B:B, 0)), INDEX('Sprint 5'!J:J, MATCH(B55, 'Sprint 5'!B:B, 0)), "")</f>
        <v/>
      </c>
      <c r="X55" s="102" t="s">
        <v>9865</v>
      </c>
    </row>
    <row r="56" hidden="1">
      <c r="A56" s="102" t="s">
        <v>310</v>
      </c>
      <c r="B56" s="102" t="s">
        <v>9934</v>
      </c>
      <c r="C56" s="229" t="s">
        <v>9935</v>
      </c>
      <c r="D56" s="102" t="s">
        <v>9936</v>
      </c>
      <c r="E56" s="102" t="s">
        <v>556</v>
      </c>
      <c r="F56" s="102" t="s">
        <v>557</v>
      </c>
      <c r="G56" s="102" t="s">
        <v>282</v>
      </c>
      <c r="H56" s="102" t="s">
        <v>283</v>
      </c>
      <c r="I56" s="102" t="s">
        <v>318</v>
      </c>
      <c r="J56" s="102" t="s">
        <v>678</v>
      </c>
      <c r="L56" s="229" t="s">
        <v>9937</v>
      </c>
      <c r="M56" s="229" t="s">
        <v>10233</v>
      </c>
      <c r="N56" s="229" t="s">
        <v>9509</v>
      </c>
      <c r="O56" s="102">
        <v>2.0</v>
      </c>
      <c r="T56" s="126">
        <v>14400.0</v>
      </c>
      <c r="U56" s="193" t="str">
        <f>IF(ISNUMBER(MATCH(B56, 'Sprint 5'!B:B, 0)), "มาจาก Sprint 5", "")</f>
        <v/>
      </c>
      <c r="W56" s="244" t="str">
        <f t="array" ref="W56">IF(ISNUMBER(MATCH(B56, 'Sprint 5'!B:B, 0)), INDEX('Sprint 5'!J:J, MATCH(B56, 'Sprint 5'!B:B, 0)), "")</f>
        <v/>
      </c>
      <c r="X56" s="102" t="s">
        <v>9865</v>
      </c>
    </row>
    <row r="57" hidden="1">
      <c r="A57" s="102" t="s">
        <v>310</v>
      </c>
      <c r="B57" s="102" t="s">
        <v>9938</v>
      </c>
      <c r="C57" s="229" t="s">
        <v>9939</v>
      </c>
      <c r="D57" s="102" t="s">
        <v>9940</v>
      </c>
      <c r="E57" s="102" t="s">
        <v>10234</v>
      </c>
      <c r="F57" s="102" t="s">
        <v>565</v>
      </c>
      <c r="G57" s="102" t="s">
        <v>282</v>
      </c>
      <c r="H57" s="102" t="s">
        <v>283</v>
      </c>
      <c r="I57" s="102" t="s">
        <v>318</v>
      </c>
      <c r="J57" s="102" t="s">
        <v>678</v>
      </c>
      <c r="L57" s="229" t="s">
        <v>9941</v>
      </c>
      <c r="M57" s="229" t="s">
        <v>10233</v>
      </c>
      <c r="N57" s="229" t="s">
        <v>9509</v>
      </c>
      <c r="O57" s="102">
        <v>2.0</v>
      </c>
      <c r="T57" s="126">
        <v>14400.0</v>
      </c>
      <c r="U57" s="193" t="str">
        <f>IF(ISNUMBER(MATCH(B57, 'Sprint 5'!B:B, 0)), "มาจาก Sprint 5", "")</f>
        <v/>
      </c>
      <c r="W57" s="244" t="str">
        <f t="array" ref="W57">IF(ISNUMBER(MATCH(B57, 'Sprint 5'!B:B, 0)), INDEX('Sprint 5'!J:J, MATCH(B57, 'Sprint 5'!B:B, 0)), "")</f>
        <v/>
      </c>
      <c r="X57" s="102" t="s">
        <v>9865</v>
      </c>
    </row>
    <row r="58" hidden="1">
      <c r="A58" s="102" t="s">
        <v>310</v>
      </c>
      <c r="B58" s="102" t="s">
        <v>7772</v>
      </c>
      <c r="C58" s="229" t="s">
        <v>7773</v>
      </c>
      <c r="D58" s="102" t="s">
        <v>10235</v>
      </c>
      <c r="E58" s="102" t="s">
        <v>282</v>
      </c>
      <c r="F58" s="102" t="s">
        <v>283</v>
      </c>
      <c r="G58" s="102" t="s">
        <v>282</v>
      </c>
      <c r="H58" s="102" t="s">
        <v>283</v>
      </c>
      <c r="I58" s="102" t="s">
        <v>648</v>
      </c>
      <c r="J58" s="102" t="s">
        <v>63</v>
      </c>
      <c r="L58" s="229" t="s">
        <v>7775</v>
      </c>
      <c r="M58" s="229" t="s">
        <v>10236</v>
      </c>
      <c r="O58" s="102">
        <v>1.0</v>
      </c>
      <c r="T58" s="246"/>
      <c r="U58" s="193" t="str">
        <f>IF(ISNUMBER(MATCH(B58, 'Sprint 5'!B:B, 0)), "มาจาก Sprint 5", "")</f>
        <v/>
      </c>
      <c r="W58" s="244" t="str">
        <f t="array" ref="W58">IF(ISNUMBER(MATCH(B58, 'Sprint 5'!B:B, 0)), INDEX('Sprint 5'!J:J, MATCH(B58, 'Sprint 5'!B:B, 0)), "")</f>
        <v/>
      </c>
      <c r="X58" s="102" t="s">
        <v>7696</v>
      </c>
    </row>
    <row r="59" hidden="1">
      <c r="A59" s="102" t="s">
        <v>310</v>
      </c>
      <c r="B59" s="102" t="s">
        <v>9521</v>
      </c>
      <c r="C59" s="229" t="s">
        <v>9522</v>
      </c>
      <c r="D59" s="102" t="s">
        <v>9523</v>
      </c>
      <c r="E59" s="102" t="s">
        <v>353</v>
      </c>
      <c r="F59" s="102" t="s">
        <v>354</v>
      </c>
      <c r="G59" s="102" t="s">
        <v>353</v>
      </c>
      <c r="H59" s="102" t="s">
        <v>354</v>
      </c>
      <c r="I59" s="102" t="s">
        <v>284</v>
      </c>
      <c r="J59" s="102" t="s">
        <v>63</v>
      </c>
      <c r="L59" s="229" t="s">
        <v>9524</v>
      </c>
      <c r="M59" s="229" t="s">
        <v>10237</v>
      </c>
      <c r="O59" s="102">
        <v>1.0</v>
      </c>
      <c r="P59" s="102" t="s">
        <v>593</v>
      </c>
      <c r="T59" s="246"/>
      <c r="U59" s="193" t="str">
        <f>IF(ISNUMBER(MATCH(B59, 'Sprint 5'!B:B, 0)), "มาจาก Sprint 5", "")</f>
        <v/>
      </c>
      <c r="W59" s="244" t="str">
        <f t="array" ref="W59">IF(ISNUMBER(MATCH(B59, 'Sprint 5'!B:B, 0)), INDEX('Sprint 5'!J:J, MATCH(B59, 'Sprint 5'!B:B, 0)), "")</f>
        <v/>
      </c>
      <c r="X59" s="102" t="s">
        <v>7696</v>
      </c>
    </row>
    <row r="60" hidden="1">
      <c r="A60" s="102" t="s">
        <v>310</v>
      </c>
      <c r="B60" s="102" t="s">
        <v>9525</v>
      </c>
      <c r="C60" s="229" t="s">
        <v>9526</v>
      </c>
      <c r="D60" s="102" t="s">
        <v>9527</v>
      </c>
      <c r="E60" s="102" t="s">
        <v>10144</v>
      </c>
      <c r="F60" s="102" t="s">
        <v>305</v>
      </c>
      <c r="G60" s="102" t="s">
        <v>353</v>
      </c>
      <c r="H60" s="102" t="s">
        <v>354</v>
      </c>
      <c r="I60" s="102" t="s">
        <v>515</v>
      </c>
      <c r="J60" s="102" t="s">
        <v>34</v>
      </c>
      <c r="L60" s="229" t="s">
        <v>9528</v>
      </c>
      <c r="M60" s="229" t="s">
        <v>10238</v>
      </c>
      <c r="O60" s="102">
        <v>2.0</v>
      </c>
      <c r="T60" s="126">
        <v>7200.0</v>
      </c>
      <c r="U60" s="193" t="str">
        <f>IF(ISNUMBER(MATCH(B60, 'Sprint 5'!B:B, 0)), "มาจาก Sprint 5", "")</f>
        <v/>
      </c>
      <c r="W60" s="244" t="str">
        <f t="array" ref="W60">IF(ISNUMBER(MATCH(B60, 'Sprint 5'!B:B, 0)), INDEX('Sprint 5'!J:J, MATCH(B60, 'Sprint 5'!B:B, 0)), "")</f>
        <v/>
      </c>
      <c r="X60" s="102" t="s">
        <v>7696</v>
      </c>
    </row>
    <row r="61" hidden="1">
      <c r="A61" s="102" t="s">
        <v>310</v>
      </c>
      <c r="B61" s="102" t="s">
        <v>9530</v>
      </c>
      <c r="C61" s="229" t="s">
        <v>9531</v>
      </c>
      <c r="D61" s="102" t="s">
        <v>9532</v>
      </c>
      <c r="E61" s="102" t="s">
        <v>10144</v>
      </c>
      <c r="F61" s="102" t="s">
        <v>305</v>
      </c>
      <c r="G61" s="102" t="s">
        <v>353</v>
      </c>
      <c r="H61" s="102" t="s">
        <v>354</v>
      </c>
      <c r="I61" s="102" t="s">
        <v>515</v>
      </c>
      <c r="J61" s="102" t="s">
        <v>678</v>
      </c>
      <c r="L61" s="229" t="s">
        <v>9533</v>
      </c>
      <c r="M61" s="229" t="s">
        <v>10239</v>
      </c>
      <c r="O61" s="102">
        <v>2.0</v>
      </c>
      <c r="P61" s="102" t="s">
        <v>7525</v>
      </c>
      <c r="T61" s="126">
        <v>10800.0</v>
      </c>
      <c r="U61" s="193" t="str">
        <f>IF(ISNUMBER(MATCH(B61, 'Sprint 5'!B:B, 0)), "มาจาก Sprint 5", "")</f>
        <v/>
      </c>
      <c r="W61" s="244" t="str">
        <f t="array" ref="W61">IF(ISNUMBER(MATCH(B61, 'Sprint 5'!B:B, 0)), INDEX('Sprint 5'!J:J, MATCH(B61, 'Sprint 5'!B:B, 0)), "")</f>
        <v/>
      </c>
      <c r="X61" s="102" t="s">
        <v>7696</v>
      </c>
    </row>
    <row r="62">
      <c r="A62" s="102" t="s">
        <v>310</v>
      </c>
      <c r="B62" s="102" t="s">
        <v>9534</v>
      </c>
      <c r="C62" s="229" t="s">
        <v>9535</v>
      </c>
      <c r="D62" s="102" t="s">
        <v>9536</v>
      </c>
      <c r="E62" s="102" t="s">
        <v>9102</v>
      </c>
      <c r="F62" s="102" t="s">
        <v>6861</v>
      </c>
      <c r="G62" s="102" t="s">
        <v>353</v>
      </c>
      <c r="H62" s="102" t="s">
        <v>354</v>
      </c>
      <c r="I62" s="102" t="s">
        <v>318</v>
      </c>
      <c r="J62" s="102" t="s">
        <v>678</v>
      </c>
      <c r="L62" s="229" t="s">
        <v>9537</v>
      </c>
      <c r="M62" s="229" t="s">
        <v>10240</v>
      </c>
      <c r="O62" s="102">
        <v>5.0</v>
      </c>
      <c r="P62" s="102" t="s">
        <v>538</v>
      </c>
      <c r="T62" s="246"/>
      <c r="U62" s="193" t="str">
        <f>IF(ISNUMBER(MATCH(B62, 'Sprint 5'!B:B, 0)), "มาจาก Sprint 5", "")</f>
        <v/>
      </c>
      <c r="W62" s="244" t="str">
        <f t="array" ref="W62">IF(ISNUMBER(MATCH(B62, 'Sprint 5'!B:B, 0)), INDEX('Sprint 5'!J:J, MATCH(B62, 'Sprint 5'!B:B, 0)), "")</f>
        <v/>
      </c>
      <c r="X62" s="102" t="s">
        <v>7696</v>
      </c>
    </row>
    <row r="63" hidden="1">
      <c r="A63" s="102" t="s">
        <v>310</v>
      </c>
      <c r="B63" s="102" t="s">
        <v>9539</v>
      </c>
      <c r="C63" s="229" t="s">
        <v>9540</v>
      </c>
      <c r="D63" s="102" t="s">
        <v>9541</v>
      </c>
      <c r="E63" s="102" t="s">
        <v>556</v>
      </c>
      <c r="F63" s="102" t="s">
        <v>557</v>
      </c>
      <c r="G63" s="102" t="s">
        <v>353</v>
      </c>
      <c r="H63" s="102" t="s">
        <v>354</v>
      </c>
      <c r="I63" s="102" t="s">
        <v>318</v>
      </c>
      <c r="J63" s="102" t="s">
        <v>454</v>
      </c>
      <c r="L63" s="229" t="s">
        <v>9542</v>
      </c>
      <c r="M63" s="229" t="s">
        <v>10241</v>
      </c>
      <c r="N63" s="229" t="s">
        <v>9544</v>
      </c>
      <c r="O63" s="102">
        <v>3.0</v>
      </c>
      <c r="P63" s="102" t="s">
        <v>6872</v>
      </c>
      <c r="T63" s="126">
        <v>28800.0</v>
      </c>
      <c r="U63" s="193" t="str">
        <f>IF(ISNUMBER(MATCH(B63, 'Sprint 5'!B:B, 0)), "มาจาก Sprint 5", "")</f>
        <v/>
      </c>
      <c r="W63" s="244" t="str">
        <f t="array" ref="W63">IF(ISNUMBER(MATCH(B63, 'Sprint 5'!B:B, 0)), INDEX('Sprint 5'!J:J, MATCH(B63, 'Sprint 5'!B:B, 0)), "")</f>
        <v/>
      </c>
      <c r="X63" s="102" t="s">
        <v>7696</v>
      </c>
    </row>
    <row r="64">
      <c r="A64" s="102" t="s">
        <v>310</v>
      </c>
      <c r="B64" s="102" t="s">
        <v>9545</v>
      </c>
      <c r="C64" s="229" t="s">
        <v>9546</v>
      </c>
      <c r="D64" s="102" t="s">
        <v>9547</v>
      </c>
      <c r="E64" s="102" t="s">
        <v>9102</v>
      </c>
      <c r="F64" s="102" t="s">
        <v>6861</v>
      </c>
      <c r="G64" s="102" t="s">
        <v>353</v>
      </c>
      <c r="H64" s="102" t="s">
        <v>354</v>
      </c>
      <c r="I64" s="102" t="s">
        <v>318</v>
      </c>
      <c r="J64" s="102" t="s">
        <v>355</v>
      </c>
      <c r="L64" s="229" t="s">
        <v>9548</v>
      </c>
      <c r="M64" s="229" t="s">
        <v>10145</v>
      </c>
      <c r="O64" s="102">
        <v>5.0</v>
      </c>
      <c r="T64" s="246"/>
      <c r="U64" s="193" t="str">
        <f>IF(ISNUMBER(MATCH(B64, 'Sprint 5'!B:B, 0)), "มาจาก Sprint 5", "")</f>
        <v/>
      </c>
      <c r="W64" s="244" t="str">
        <f t="array" ref="W64">IF(ISNUMBER(MATCH(B64, 'Sprint 5'!B:B, 0)), INDEX('Sprint 5'!J:J, MATCH(B64, 'Sprint 5'!B:B, 0)), "")</f>
        <v/>
      </c>
      <c r="X64" s="102" t="s">
        <v>7696</v>
      </c>
    </row>
    <row r="65" hidden="1">
      <c r="A65" s="102" t="s">
        <v>310</v>
      </c>
      <c r="B65" s="102" t="s">
        <v>9945</v>
      </c>
      <c r="C65" s="229" t="s">
        <v>9946</v>
      </c>
      <c r="D65" s="102" t="s">
        <v>9947</v>
      </c>
      <c r="E65" s="102" t="s">
        <v>353</v>
      </c>
      <c r="F65" s="102" t="s">
        <v>354</v>
      </c>
      <c r="G65" s="102" t="s">
        <v>353</v>
      </c>
      <c r="H65" s="102" t="s">
        <v>354</v>
      </c>
      <c r="I65" s="102" t="s">
        <v>284</v>
      </c>
      <c r="J65" s="102" t="s">
        <v>355</v>
      </c>
      <c r="L65" s="229" t="s">
        <v>9948</v>
      </c>
      <c r="M65" s="229" t="s">
        <v>10242</v>
      </c>
      <c r="O65" s="102">
        <v>2.0</v>
      </c>
      <c r="T65" s="126">
        <v>57600.0</v>
      </c>
      <c r="U65" s="193" t="str">
        <f>IF(ISNUMBER(MATCH(B65, 'Sprint 5'!B:B, 0)), "มาจาก Sprint 5", "")</f>
        <v/>
      </c>
      <c r="W65" s="244" t="str">
        <f t="array" ref="W65">IF(ISNUMBER(MATCH(B65, 'Sprint 5'!B:B, 0)), INDEX('Sprint 5'!J:J, MATCH(B65, 'Sprint 5'!B:B, 0)), "")</f>
        <v/>
      </c>
      <c r="X65" s="102" t="s">
        <v>7696</v>
      </c>
    </row>
    <row r="66" hidden="1">
      <c r="A66" s="102" t="s">
        <v>310</v>
      </c>
      <c r="B66" s="102" t="s">
        <v>9550</v>
      </c>
      <c r="C66" s="229" t="s">
        <v>9551</v>
      </c>
      <c r="D66" s="102" t="s">
        <v>9552</v>
      </c>
      <c r="E66" s="102" t="s">
        <v>556</v>
      </c>
      <c r="F66" s="102" t="s">
        <v>557</v>
      </c>
      <c r="G66" s="102" t="s">
        <v>353</v>
      </c>
      <c r="H66" s="102" t="s">
        <v>354</v>
      </c>
      <c r="I66" s="102" t="s">
        <v>318</v>
      </c>
      <c r="J66" s="102" t="s">
        <v>454</v>
      </c>
      <c r="L66" s="229" t="s">
        <v>9553</v>
      </c>
      <c r="M66" s="229" t="s">
        <v>10243</v>
      </c>
      <c r="N66" s="229" t="s">
        <v>9554</v>
      </c>
      <c r="O66" s="102">
        <v>8.0</v>
      </c>
      <c r="T66" s="126">
        <v>86400.0</v>
      </c>
      <c r="U66" s="193" t="str">
        <f>IF(ISNUMBER(MATCH(B66, 'Sprint 5'!B:B, 0)), "มาจาก Sprint 5", "")</f>
        <v/>
      </c>
      <c r="W66" s="244" t="str">
        <f t="array" ref="W66">IF(ISNUMBER(MATCH(B66, 'Sprint 5'!B:B, 0)), INDEX('Sprint 5'!J:J, MATCH(B66, 'Sprint 5'!B:B, 0)), "")</f>
        <v/>
      </c>
      <c r="X66" s="102" t="s">
        <v>7696</v>
      </c>
    </row>
    <row r="67" hidden="1">
      <c r="A67" s="102" t="s">
        <v>310</v>
      </c>
      <c r="B67" s="102" t="s">
        <v>9555</v>
      </c>
      <c r="C67" s="229" t="s">
        <v>9556</v>
      </c>
      <c r="D67" s="102" t="s">
        <v>9557</v>
      </c>
      <c r="E67" s="102" t="s">
        <v>10234</v>
      </c>
      <c r="F67" s="102" t="s">
        <v>565</v>
      </c>
      <c r="G67" s="102" t="s">
        <v>282</v>
      </c>
      <c r="H67" s="102" t="s">
        <v>283</v>
      </c>
      <c r="I67" s="102" t="s">
        <v>318</v>
      </c>
      <c r="J67" s="102" t="s">
        <v>454</v>
      </c>
      <c r="L67" s="229" t="s">
        <v>9558</v>
      </c>
      <c r="M67" s="229" t="s">
        <v>10244</v>
      </c>
      <c r="N67" s="229" t="s">
        <v>9554</v>
      </c>
      <c r="O67" s="102">
        <v>8.0</v>
      </c>
      <c r="T67" s="126">
        <v>86400.0</v>
      </c>
      <c r="U67" s="193" t="str">
        <f>IF(ISNUMBER(MATCH(B67, 'Sprint 5'!B:B, 0)), "มาจาก Sprint 5", "")</f>
        <v/>
      </c>
      <c r="W67" s="244" t="str">
        <f t="array" ref="W67">IF(ISNUMBER(MATCH(B67, 'Sprint 5'!B:B, 0)), INDEX('Sprint 5'!J:J, MATCH(B67, 'Sprint 5'!B:B, 0)), "")</f>
        <v/>
      </c>
      <c r="X67" s="102" t="s">
        <v>7696</v>
      </c>
    </row>
    <row r="68" hidden="1">
      <c r="A68" s="102" t="s">
        <v>310</v>
      </c>
      <c r="B68" s="102" t="s">
        <v>9949</v>
      </c>
      <c r="C68" s="229" t="s">
        <v>9950</v>
      </c>
      <c r="D68" s="102" t="s">
        <v>9951</v>
      </c>
      <c r="E68" s="102" t="s">
        <v>314</v>
      </c>
      <c r="F68" s="102" t="s">
        <v>315</v>
      </c>
      <c r="G68" s="102" t="s">
        <v>314</v>
      </c>
      <c r="H68" s="102" t="s">
        <v>315</v>
      </c>
      <c r="I68" s="102" t="s">
        <v>284</v>
      </c>
      <c r="J68" s="102" t="s">
        <v>454</v>
      </c>
      <c r="L68" s="229" t="s">
        <v>9952</v>
      </c>
      <c r="M68" s="229" t="s">
        <v>10245</v>
      </c>
      <c r="O68" s="102">
        <v>5.0</v>
      </c>
      <c r="P68" s="102" t="s">
        <v>593</v>
      </c>
      <c r="Q68" s="102" t="s">
        <v>8995</v>
      </c>
      <c r="T68" s="126">
        <v>57600.0</v>
      </c>
      <c r="U68" s="193" t="str">
        <f>IF(ISNUMBER(MATCH(B68, 'Sprint 5'!B:B, 0)), "มาจาก Sprint 5", "")</f>
        <v/>
      </c>
      <c r="W68" s="244" t="str">
        <f t="array" ref="W68">IF(ISNUMBER(MATCH(B68, 'Sprint 5'!B:B, 0)), INDEX('Sprint 5'!J:J, MATCH(B68, 'Sprint 5'!B:B, 0)), "")</f>
        <v/>
      </c>
      <c r="X68" s="102" t="s">
        <v>9882</v>
      </c>
    </row>
    <row r="69" hidden="1">
      <c r="A69" s="102" t="s">
        <v>310</v>
      </c>
      <c r="B69" s="102" t="s">
        <v>10246</v>
      </c>
      <c r="C69" s="229" t="s">
        <v>10247</v>
      </c>
      <c r="D69" s="102" t="s">
        <v>10248</v>
      </c>
      <c r="E69" s="102" t="s">
        <v>353</v>
      </c>
      <c r="F69" s="102" t="s">
        <v>354</v>
      </c>
      <c r="G69" s="102" t="s">
        <v>353</v>
      </c>
      <c r="H69" s="102" t="s">
        <v>354</v>
      </c>
      <c r="I69" s="102" t="s">
        <v>284</v>
      </c>
      <c r="J69" s="102" t="s">
        <v>26</v>
      </c>
      <c r="L69" s="229" t="s">
        <v>10249</v>
      </c>
      <c r="M69" s="229" t="s">
        <v>10242</v>
      </c>
      <c r="O69" s="102">
        <v>8.0</v>
      </c>
      <c r="P69" s="102" t="s">
        <v>538</v>
      </c>
      <c r="Q69" s="102" t="s">
        <v>593</v>
      </c>
      <c r="T69" s="126">
        <v>86400.0</v>
      </c>
      <c r="U69" s="193" t="str">
        <f>IF(ISNUMBER(MATCH(B69, 'Sprint 5'!B:B, 0)), "มาจาก Sprint 5", "")</f>
        <v/>
      </c>
      <c r="W69" s="244" t="str">
        <f t="array" ref="W69">IF(ISNUMBER(MATCH(B69, 'Sprint 5'!B:B, 0)), INDEX('Sprint 5'!J:J, MATCH(B69, 'Sprint 5'!B:B, 0)), "")</f>
        <v/>
      </c>
      <c r="X69" s="102" t="s">
        <v>7696</v>
      </c>
    </row>
    <row r="70" hidden="1">
      <c r="A70" s="102" t="s">
        <v>310</v>
      </c>
      <c r="B70" s="102" t="s">
        <v>10250</v>
      </c>
      <c r="C70" s="229" t="s">
        <v>10251</v>
      </c>
      <c r="D70" s="102" t="s">
        <v>10252</v>
      </c>
      <c r="E70" s="102" t="s">
        <v>353</v>
      </c>
      <c r="F70" s="102" t="s">
        <v>354</v>
      </c>
      <c r="G70" s="102" t="s">
        <v>353</v>
      </c>
      <c r="H70" s="102" t="s">
        <v>354</v>
      </c>
      <c r="I70" s="102" t="s">
        <v>284</v>
      </c>
      <c r="J70" s="102" t="s">
        <v>26</v>
      </c>
      <c r="L70" s="229" t="s">
        <v>10253</v>
      </c>
      <c r="M70" s="229" t="s">
        <v>10242</v>
      </c>
      <c r="O70" s="102">
        <v>3.0</v>
      </c>
      <c r="P70" s="102" t="s">
        <v>538</v>
      </c>
      <c r="Q70" s="102" t="s">
        <v>593</v>
      </c>
      <c r="T70" s="126">
        <v>28800.0</v>
      </c>
      <c r="U70" s="193" t="str">
        <f>IF(ISNUMBER(MATCH(B70, 'Sprint 5'!B:B, 0)), "มาจาก Sprint 5", "")</f>
        <v/>
      </c>
      <c r="W70" s="244" t="str">
        <f t="array" ref="W70">IF(ISNUMBER(MATCH(B70, 'Sprint 5'!B:B, 0)), INDEX('Sprint 5'!J:J, MATCH(B70, 'Sprint 5'!B:B, 0)), "")</f>
        <v/>
      </c>
      <c r="X70" s="102" t="s">
        <v>7696</v>
      </c>
    </row>
    <row r="71" hidden="1">
      <c r="A71" s="102" t="s">
        <v>310</v>
      </c>
      <c r="B71" s="102" t="s">
        <v>10254</v>
      </c>
      <c r="C71" s="229" t="s">
        <v>10255</v>
      </c>
      <c r="D71" s="102" t="s">
        <v>10256</v>
      </c>
      <c r="E71" s="102" t="s">
        <v>314</v>
      </c>
      <c r="F71" s="102" t="s">
        <v>315</v>
      </c>
      <c r="G71" s="102" t="s">
        <v>314</v>
      </c>
      <c r="H71" s="102" t="s">
        <v>315</v>
      </c>
      <c r="I71" s="102" t="s">
        <v>284</v>
      </c>
      <c r="J71" s="102" t="s">
        <v>26</v>
      </c>
      <c r="L71" s="229" t="s">
        <v>10257</v>
      </c>
      <c r="M71" s="229" t="s">
        <v>10258</v>
      </c>
      <c r="O71" s="102">
        <v>1.0</v>
      </c>
      <c r="P71" s="102" t="s">
        <v>593</v>
      </c>
      <c r="T71" s="126">
        <v>3600.0</v>
      </c>
      <c r="U71" s="193" t="str">
        <f>IF(ISNUMBER(MATCH(B71, 'Sprint 5'!B:B, 0)), "มาจาก Sprint 5", "")</f>
        <v/>
      </c>
      <c r="W71" s="244" t="str">
        <f t="array" ref="W71">IF(ISNUMBER(MATCH(B71, 'Sprint 5'!B:B, 0)), INDEX('Sprint 5'!J:J, MATCH(B71, 'Sprint 5'!B:B, 0)), "")</f>
        <v/>
      </c>
      <c r="X71" s="102" t="s">
        <v>9882</v>
      </c>
    </row>
    <row r="72" hidden="1">
      <c r="A72" s="102" t="s">
        <v>310</v>
      </c>
      <c r="B72" s="102" t="s">
        <v>9560</v>
      </c>
      <c r="C72" s="229" t="s">
        <v>9561</v>
      </c>
      <c r="D72" s="102" t="s">
        <v>9562</v>
      </c>
      <c r="E72" s="102" t="s">
        <v>495</v>
      </c>
      <c r="F72" s="102" t="s">
        <v>496</v>
      </c>
      <c r="G72" s="102" t="s">
        <v>282</v>
      </c>
      <c r="H72" s="102" t="s">
        <v>283</v>
      </c>
      <c r="I72" s="102" t="s">
        <v>515</v>
      </c>
      <c r="J72" s="102" t="s">
        <v>454</v>
      </c>
      <c r="L72" s="229" t="s">
        <v>9563</v>
      </c>
      <c r="M72" s="229" t="s">
        <v>10244</v>
      </c>
      <c r="O72" s="102">
        <v>2.0</v>
      </c>
      <c r="T72" s="126">
        <v>28800.0</v>
      </c>
      <c r="U72" s="193" t="str">
        <f>IF(ISNUMBER(MATCH(B72, 'Sprint 5'!B:B, 0)), "มาจาก Sprint 5", "")</f>
        <v/>
      </c>
      <c r="W72" s="244" t="str">
        <f t="array" ref="W72">IF(ISNUMBER(MATCH(B72, 'Sprint 5'!B:B, 0)), INDEX('Sprint 5'!J:J, MATCH(B72, 'Sprint 5'!B:B, 0)), "")</f>
        <v/>
      </c>
      <c r="X72" s="102" t="s">
        <v>7696</v>
      </c>
    </row>
    <row r="73" hidden="1">
      <c r="A73" s="102" t="s">
        <v>310</v>
      </c>
      <c r="B73" s="102" t="s">
        <v>9565</v>
      </c>
      <c r="C73" s="229" t="s">
        <v>9566</v>
      </c>
      <c r="D73" s="102" t="s">
        <v>9567</v>
      </c>
      <c r="E73" s="102" t="s">
        <v>495</v>
      </c>
      <c r="F73" s="102" t="s">
        <v>496</v>
      </c>
      <c r="G73" s="102" t="s">
        <v>282</v>
      </c>
      <c r="H73" s="102" t="s">
        <v>283</v>
      </c>
      <c r="I73" s="102" t="s">
        <v>515</v>
      </c>
      <c r="J73" s="102" t="s">
        <v>454</v>
      </c>
      <c r="L73" s="229" t="s">
        <v>9563</v>
      </c>
      <c r="M73" s="229" t="s">
        <v>10244</v>
      </c>
      <c r="O73" s="102">
        <v>3.0</v>
      </c>
      <c r="P73" s="102" t="s">
        <v>777</v>
      </c>
      <c r="T73" s="126">
        <v>36000.0</v>
      </c>
      <c r="U73" s="193" t="str">
        <f>IF(ISNUMBER(MATCH(B73, 'Sprint 5'!B:B, 0)), "มาจาก Sprint 5", "")</f>
        <v/>
      </c>
      <c r="W73" s="244" t="str">
        <f t="array" ref="W73">IF(ISNUMBER(MATCH(B73, 'Sprint 5'!B:B, 0)), INDEX('Sprint 5'!J:J, MATCH(B73, 'Sprint 5'!B:B, 0)), "")</f>
        <v/>
      </c>
      <c r="X73" s="102" t="s">
        <v>7696</v>
      </c>
    </row>
    <row r="74" hidden="1">
      <c r="A74" s="102" t="s">
        <v>310</v>
      </c>
      <c r="B74" s="102" t="s">
        <v>9568</v>
      </c>
      <c r="C74" s="229" t="s">
        <v>9569</v>
      </c>
      <c r="D74" s="102" t="s">
        <v>9570</v>
      </c>
      <c r="E74" s="102" t="s">
        <v>10234</v>
      </c>
      <c r="F74" s="102" t="s">
        <v>565</v>
      </c>
      <c r="G74" s="102" t="s">
        <v>282</v>
      </c>
      <c r="H74" s="102" t="s">
        <v>283</v>
      </c>
      <c r="I74" s="102" t="s">
        <v>318</v>
      </c>
      <c r="J74" s="102" t="s">
        <v>454</v>
      </c>
      <c r="L74" s="229" t="s">
        <v>9563</v>
      </c>
      <c r="M74" s="229" t="s">
        <v>10244</v>
      </c>
      <c r="N74" s="229" t="s">
        <v>9544</v>
      </c>
      <c r="O74" s="102">
        <v>5.0</v>
      </c>
      <c r="P74" s="102" t="s">
        <v>7525</v>
      </c>
      <c r="T74" s="126">
        <v>57600.0</v>
      </c>
      <c r="U74" s="193" t="str">
        <f>IF(ISNUMBER(MATCH(B74, 'Sprint 5'!B:B, 0)), "มาจาก Sprint 5", "")</f>
        <v/>
      </c>
      <c r="W74" s="244" t="str">
        <f t="array" ref="W74">IF(ISNUMBER(MATCH(B74, 'Sprint 5'!B:B, 0)), INDEX('Sprint 5'!J:J, MATCH(B74, 'Sprint 5'!B:B, 0)), "")</f>
        <v/>
      </c>
      <c r="X74" s="102" t="s">
        <v>7696</v>
      </c>
    </row>
    <row r="75" hidden="1">
      <c r="A75" s="102" t="s">
        <v>310</v>
      </c>
      <c r="B75" s="102" t="s">
        <v>10259</v>
      </c>
      <c r="C75" s="229" t="s">
        <v>10260</v>
      </c>
      <c r="D75" s="102" t="s">
        <v>10261</v>
      </c>
      <c r="E75" s="102" t="s">
        <v>282</v>
      </c>
      <c r="F75" s="102" t="s">
        <v>283</v>
      </c>
      <c r="G75" s="102" t="s">
        <v>282</v>
      </c>
      <c r="H75" s="102" t="s">
        <v>283</v>
      </c>
      <c r="I75" s="102" t="s">
        <v>318</v>
      </c>
      <c r="J75" s="102" t="s">
        <v>26</v>
      </c>
      <c r="L75" s="229" t="s">
        <v>9563</v>
      </c>
      <c r="M75" s="229" t="s">
        <v>10262</v>
      </c>
      <c r="N75" s="229" t="s">
        <v>8672</v>
      </c>
      <c r="O75" s="102">
        <v>8.0</v>
      </c>
      <c r="P75" s="102" t="s">
        <v>593</v>
      </c>
      <c r="T75" s="126">
        <v>86400.0</v>
      </c>
      <c r="U75" s="193" t="str">
        <f>IF(ISNUMBER(MATCH(B75, 'Sprint 5'!B:B, 0)), "มาจาก Sprint 5", "")</f>
        <v/>
      </c>
      <c r="W75" s="244" t="str">
        <f t="array" ref="W75">IF(ISNUMBER(MATCH(B75, 'Sprint 5'!B:B, 0)), INDEX('Sprint 5'!J:J, MATCH(B75, 'Sprint 5'!B:B, 0)), "")</f>
        <v/>
      </c>
      <c r="X75" s="102" t="s">
        <v>7696</v>
      </c>
    </row>
    <row r="76" hidden="1">
      <c r="A76" s="102" t="s">
        <v>310</v>
      </c>
      <c r="B76" s="102" t="s">
        <v>10263</v>
      </c>
      <c r="C76" s="229" t="s">
        <v>10264</v>
      </c>
      <c r="D76" s="102" t="s">
        <v>10265</v>
      </c>
      <c r="E76" s="102" t="s">
        <v>282</v>
      </c>
      <c r="F76" s="102" t="s">
        <v>283</v>
      </c>
      <c r="G76" s="102" t="s">
        <v>282</v>
      </c>
      <c r="H76" s="102" t="s">
        <v>283</v>
      </c>
      <c r="I76" s="102" t="s">
        <v>284</v>
      </c>
      <c r="J76" s="102" t="s">
        <v>26</v>
      </c>
      <c r="L76" s="229" t="s">
        <v>10266</v>
      </c>
      <c r="M76" s="229" t="s">
        <v>10267</v>
      </c>
      <c r="O76" s="102">
        <v>8.0</v>
      </c>
      <c r="P76" s="102" t="s">
        <v>593</v>
      </c>
      <c r="T76" s="126">
        <v>108000.0</v>
      </c>
      <c r="U76" s="193" t="str">
        <f>IF(ISNUMBER(MATCH(B76, 'Sprint 5'!B:B, 0)), "มาจาก Sprint 5", "")</f>
        <v/>
      </c>
      <c r="W76" s="244" t="str">
        <f t="array" ref="W76">IF(ISNUMBER(MATCH(B76, 'Sprint 5'!B:B, 0)), INDEX('Sprint 5'!J:J, MATCH(B76, 'Sprint 5'!B:B, 0)), "")</f>
        <v/>
      </c>
      <c r="X76" s="102" t="s">
        <v>7696</v>
      </c>
    </row>
    <row r="77" hidden="1">
      <c r="A77" s="102" t="s">
        <v>276</v>
      </c>
      <c r="B77" s="102" t="s">
        <v>10268</v>
      </c>
      <c r="C77" s="229" t="s">
        <v>10269</v>
      </c>
      <c r="D77" s="102" t="s">
        <v>347</v>
      </c>
      <c r="E77" s="102" t="s">
        <v>280</v>
      </c>
      <c r="F77" s="102" t="s">
        <v>281</v>
      </c>
      <c r="G77" s="102" t="s">
        <v>280</v>
      </c>
      <c r="H77" s="102" t="s">
        <v>281</v>
      </c>
      <c r="I77" s="102" t="s">
        <v>284</v>
      </c>
      <c r="J77" s="102" t="s">
        <v>26</v>
      </c>
      <c r="L77" s="229" t="s">
        <v>10270</v>
      </c>
      <c r="M77" s="229" t="s">
        <v>10208</v>
      </c>
      <c r="O77" s="230"/>
      <c r="T77" s="246"/>
      <c r="U77" s="193" t="str">
        <f>IF(ISNUMBER(MATCH(B77, 'Sprint 5'!B:B, 0)), "มาจาก Sprint 5", "")</f>
        <v>มาจาก Sprint 5</v>
      </c>
      <c r="X77" s="102" t="s">
        <v>9080</v>
      </c>
      <c r="Y77" s="102" t="s">
        <v>4967</v>
      </c>
    </row>
    <row r="78" hidden="1">
      <c r="A78" s="102" t="s">
        <v>276</v>
      </c>
      <c r="B78" s="102" t="s">
        <v>10271</v>
      </c>
      <c r="C78" s="229" t="s">
        <v>10272</v>
      </c>
      <c r="D78" s="102" t="s">
        <v>2030</v>
      </c>
      <c r="E78" s="102" t="s">
        <v>280</v>
      </c>
      <c r="F78" s="102" t="s">
        <v>281</v>
      </c>
      <c r="G78" s="102" t="s">
        <v>280</v>
      </c>
      <c r="H78" s="102" t="s">
        <v>281</v>
      </c>
      <c r="I78" s="102" t="s">
        <v>284</v>
      </c>
      <c r="J78" s="102" t="s">
        <v>26</v>
      </c>
      <c r="L78" s="229" t="s">
        <v>10270</v>
      </c>
      <c r="M78" s="229" t="s">
        <v>10273</v>
      </c>
      <c r="O78" s="230"/>
      <c r="T78" s="246"/>
      <c r="U78" s="193" t="str">
        <f>IF(ISNUMBER(MATCH(B78, 'Sprint 5'!B:B, 0)), "มาจาก Sprint 5", "")</f>
        <v>มาจาก Sprint 5</v>
      </c>
      <c r="X78" s="102" t="s">
        <v>9080</v>
      </c>
      <c r="Y78" s="102" t="s">
        <v>4967</v>
      </c>
    </row>
    <row r="79" hidden="1">
      <c r="A79" s="102" t="s">
        <v>310</v>
      </c>
      <c r="B79" s="102" t="s">
        <v>9954</v>
      </c>
      <c r="C79" s="229" t="s">
        <v>9955</v>
      </c>
      <c r="D79" s="102" t="s">
        <v>9956</v>
      </c>
      <c r="E79" s="102" t="s">
        <v>314</v>
      </c>
      <c r="F79" s="102" t="s">
        <v>315</v>
      </c>
      <c r="G79" s="102" t="s">
        <v>10144</v>
      </c>
      <c r="H79" s="102" t="s">
        <v>305</v>
      </c>
      <c r="I79" s="102" t="s">
        <v>515</v>
      </c>
      <c r="J79" s="102" t="s">
        <v>678</v>
      </c>
      <c r="L79" s="229" t="s">
        <v>9957</v>
      </c>
      <c r="M79" s="229" t="s">
        <v>10274</v>
      </c>
      <c r="O79" s="102">
        <v>3.0</v>
      </c>
      <c r="T79" s="126">
        <v>21600.0</v>
      </c>
      <c r="U79" s="193" t="str">
        <f>IF(ISNUMBER(MATCH(B79, 'Sprint 5'!B:B, 0)), "มาจาก Sprint 5", "")</f>
        <v/>
      </c>
      <c r="W79" s="244" t="str">
        <f t="array" ref="W79">IF(ISNUMBER(MATCH(B79, 'Sprint 5'!B:B, 0)), INDEX('Sprint 5'!J:J, MATCH(B79, 'Sprint 5'!B:B, 0)), "")</f>
        <v/>
      </c>
      <c r="X79" s="102" t="s">
        <v>9184</v>
      </c>
    </row>
    <row r="80" hidden="1">
      <c r="A80" s="102" t="s">
        <v>310</v>
      </c>
      <c r="B80" s="102" t="s">
        <v>9958</v>
      </c>
      <c r="C80" s="229" t="s">
        <v>9959</v>
      </c>
      <c r="D80" s="102" t="s">
        <v>9960</v>
      </c>
      <c r="E80" s="102" t="s">
        <v>10234</v>
      </c>
      <c r="F80" s="102" t="s">
        <v>565</v>
      </c>
      <c r="G80" s="102" t="s">
        <v>353</v>
      </c>
      <c r="H80" s="102" t="s">
        <v>354</v>
      </c>
      <c r="I80" s="102" t="s">
        <v>284</v>
      </c>
      <c r="J80" s="102" t="s">
        <v>678</v>
      </c>
      <c r="L80" s="229" t="s">
        <v>9961</v>
      </c>
      <c r="M80" s="229" t="s">
        <v>9433</v>
      </c>
      <c r="O80" s="102">
        <v>1.0</v>
      </c>
      <c r="T80" s="126">
        <v>3600.0</v>
      </c>
      <c r="U80" s="193" t="str">
        <f>IF(ISNUMBER(MATCH(B80, 'Sprint 5'!B:B, 0)), "มาจาก Sprint 5", "")</f>
        <v/>
      </c>
      <c r="W80" s="244" t="str">
        <f t="array" ref="W80">IF(ISNUMBER(MATCH(B80, 'Sprint 5'!B:B, 0)), INDEX('Sprint 5'!J:J, MATCH(B80, 'Sprint 5'!B:B, 0)), "")</f>
        <v/>
      </c>
      <c r="X80" s="102" t="s">
        <v>4967</v>
      </c>
    </row>
    <row r="81" hidden="1">
      <c r="A81" s="102" t="s">
        <v>310</v>
      </c>
      <c r="B81" s="102" t="s">
        <v>9571</v>
      </c>
      <c r="C81" s="229" t="s">
        <v>9572</v>
      </c>
      <c r="D81" s="102" t="s">
        <v>9573</v>
      </c>
      <c r="E81" s="102" t="s">
        <v>282</v>
      </c>
      <c r="F81" s="102" t="s">
        <v>283</v>
      </c>
      <c r="G81" s="102" t="s">
        <v>10144</v>
      </c>
      <c r="H81" s="102" t="s">
        <v>305</v>
      </c>
      <c r="I81" s="102" t="s">
        <v>515</v>
      </c>
      <c r="J81" s="102" t="s">
        <v>678</v>
      </c>
      <c r="L81" s="229" t="s">
        <v>9574</v>
      </c>
      <c r="M81" s="229" t="s">
        <v>10275</v>
      </c>
      <c r="N81" s="229" t="s">
        <v>9575</v>
      </c>
      <c r="O81" s="102">
        <v>3.0</v>
      </c>
      <c r="P81" s="102" t="s">
        <v>5907</v>
      </c>
      <c r="T81" s="126">
        <v>36000.0</v>
      </c>
      <c r="U81" s="193" t="str">
        <f>IF(ISNUMBER(MATCH(B81, 'Sprint 5'!B:B, 0)), "มาจาก Sprint 5", "")</f>
        <v/>
      </c>
      <c r="W81" s="244" t="str">
        <f t="array" ref="W81">IF(ISNUMBER(MATCH(B81, 'Sprint 5'!B:B, 0)), INDEX('Sprint 5'!J:J, MATCH(B81, 'Sprint 5'!B:B, 0)), "")</f>
        <v/>
      </c>
      <c r="X81" s="102" t="s">
        <v>9184</v>
      </c>
    </row>
    <row r="82" hidden="1">
      <c r="A82" s="102" t="s">
        <v>310</v>
      </c>
      <c r="B82" s="102" t="s">
        <v>4962</v>
      </c>
      <c r="C82" s="229" t="s">
        <v>4963</v>
      </c>
      <c r="D82" s="102" t="s">
        <v>4964</v>
      </c>
      <c r="E82" s="102" t="s">
        <v>556</v>
      </c>
      <c r="F82" s="102" t="s">
        <v>557</v>
      </c>
      <c r="G82" s="102" t="s">
        <v>353</v>
      </c>
      <c r="H82" s="102" t="s">
        <v>354</v>
      </c>
      <c r="I82" s="102" t="s">
        <v>284</v>
      </c>
      <c r="J82" s="102" t="s">
        <v>678</v>
      </c>
      <c r="L82" s="229" t="s">
        <v>4965</v>
      </c>
      <c r="M82" s="229" t="s">
        <v>10276</v>
      </c>
      <c r="N82" s="229" t="s">
        <v>4966</v>
      </c>
      <c r="O82" s="102">
        <v>1.0</v>
      </c>
      <c r="T82" s="126">
        <v>7200.0</v>
      </c>
      <c r="U82" s="193" t="str">
        <f>IF(ISNUMBER(MATCH(B82, 'Sprint 5'!B:B, 0)), "มาจาก Sprint 5", "")</f>
        <v/>
      </c>
      <c r="W82" s="244" t="str">
        <f t="array" ref="W82">IF(ISNUMBER(MATCH(B82, 'Sprint 5'!B:B, 0)), INDEX('Sprint 5'!J:J, MATCH(B82, 'Sprint 5'!B:B, 0)), "")</f>
        <v/>
      </c>
      <c r="X82" s="102" t="s">
        <v>4967</v>
      </c>
    </row>
    <row r="83" hidden="1">
      <c r="A83" s="102" t="s">
        <v>332</v>
      </c>
      <c r="B83" s="102" t="s">
        <v>9979</v>
      </c>
      <c r="C83" s="229" t="s">
        <v>9980</v>
      </c>
      <c r="D83" s="102" t="s">
        <v>9981</v>
      </c>
      <c r="E83" s="102" t="s">
        <v>353</v>
      </c>
      <c r="F83" s="102" t="s">
        <v>354</v>
      </c>
      <c r="G83" s="102" t="s">
        <v>316</v>
      </c>
      <c r="H83" s="102" t="s">
        <v>317</v>
      </c>
      <c r="I83" s="102" t="s">
        <v>284</v>
      </c>
      <c r="J83" s="102" t="s">
        <v>478</v>
      </c>
      <c r="L83" s="229" t="s">
        <v>9982</v>
      </c>
      <c r="M83" s="229" t="s">
        <v>10277</v>
      </c>
      <c r="N83" s="229" t="s">
        <v>8666</v>
      </c>
      <c r="O83" s="230"/>
      <c r="T83" s="246"/>
      <c r="U83" s="193" t="str">
        <f>IF(ISNUMBER(MATCH(B83, 'Sprint 5'!B:B, 0)), "มาจาก Sprint 5", "")</f>
        <v/>
      </c>
      <c r="X83" s="102" t="s">
        <v>4967</v>
      </c>
    </row>
    <row r="84" hidden="1">
      <c r="A84" s="102" t="s">
        <v>276</v>
      </c>
      <c r="B84" s="102" t="s">
        <v>10278</v>
      </c>
      <c r="C84" s="229" t="s">
        <v>10279</v>
      </c>
      <c r="D84" s="102" t="s">
        <v>347</v>
      </c>
      <c r="E84" s="102" t="s">
        <v>280</v>
      </c>
      <c r="F84" s="102" t="s">
        <v>281</v>
      </c>
      <c r="G84" s="102" t="s">
        <v>280</v>
      </c>
      <c r="H84" s="102" t="s">
        <v>281</v>
      </c>
      <c r="I84" s="102" t="s">
        <v>284</v>
      </c>
      <c r="J84" s="102" t="s">
        <v>26</v>
      </c>
      <c r="L84" s="229" t="s">
        <v>10280</v>
      </c>
      <c r="M84" s="229" t="s">
        <v>10281</v>
      </c>
      <c r="O84" s="230"/>
      <c r="T84" s="246"/>
      <c r="U84" s="193" t="str">
        <f>IF(ISNUMBER(MATCH(B84, 'Sprint 5'!B:B, 0)), "มาจาก Sprint 5", "")</f>
        <v>มาจาก Sprint 5</v>
      </c>
      <c r="X84" s="102" t="s">
        <v>10282</v>
      </c>
      <c r="Y84" s="102" t="s">
        <v>9882</v>
      </c>
    </row>
    <row r="85" hidden="1">
      <c r="A85" s="102" t="s">
        <v>332</v>
      </c>
      <c r="B85" s="102" t="s">
        <v>10283</v>
      </c>
      <c r="C85" s="229" t="s">
        <v>10284</v>
      </c>
      <c r="D85" s="102" t="s">
        <v>10285</v>
      </c>
      <c r="E85" s="102" t="s">
        <v>282</v>
      </c>
      <c r="F85" s="102" t="s">
        <v>283</v>
      </c>
      <c r="G85" s="102" t="s">
        <v>316</v>
      </c>
      <c r="H85" s="102" t="s">
        <v>317</v>
      </c>
      <c r="I85" s="102" t="s">
        <v>515</v>
      </c>
      <c r="J85" s="102" t="s">
        <v>2318</v>
      </c>
      <c r="L85" s="229" t="s">
        <v>10286</v>
      </c>
      <c r="M85" s="229" t="s">
        <v>10287</v>
      </c>
      <c r="N85" s="229" t="s">
        <v>9544</v>
      </c>
      <c r="O85" s="230"/>
      <c r="P85" s="102" t="s">
        <v>322</v>
      </c>
      <c r="T85" s="246"/>
      <c r="U85" s="193" t="str">
        <f>IF(ISNUMBER(MATCH(B85, 'Sprint 5'!B:B, 0)), "มาจาก Sprint 5", "")</f>
        <v/>
      </c>
      <c r="X85" s="102" t="s">
        <v>4967</v>
      </c>
    </row>
    <row r="86" hidden="1">
      <c r="A86" s="102" t="s">
        <v>332</v>
      </c>
      <c r="B86" s="102" t="s">
        <v>8661</v>
      </c>
      <c r="C86" s="229" t="s">
        <v>8662</v>
      </c>
      <c r="D86" s="102" t="s">
        <v>8663</v>
      </c>
      <c r="E86" s="102" t="s">
        <v>282</v>
      </c>
      <c r="F86" s="102" t="s">
        <v>283</v>
      </c>
      <c r="G86" s="102" t="s">
        <v>316</v>
      </c>
      <c r="H86" s="102" t="s">
        <v>317</v>
      </c>
      <c r="I86" s="102" t="s">
        <v>284</v>
      </c>
      <c r="J86" s="102" t="s">
        <v>1075</v>
      </c>
      <c r="L86" s="229" t="s">
        <v>8664</v>
      </c>
      <c r="M86" s="229" t="s">
        <v>10288</v>
      </c>
      <c r="N86" s="229" t="s">
        <v>8666</v>
      </c>
      <c r="O86" s="230"/>
      <c r="P86" s="102" t="s">
        <v>7229</v>
      </c>
      <c r="T86" s="246"/>
      <c r="U86" s="193" t="str">
        <f>IF(ISNUMBER(MATCH(B86, 'Sprint 5'!B:B, 0)), "มาจาก Sprint 5", "")</f>
        <v/>
      </c>
      <c r="X86" s="102" t="s">
        <v>4967</v>
      </c>
    </row>
    <row r="87" hidden="1">
      <c r="A87" s="102" t="s">
        <v>310</v>
      </c>
      <c r="B87" s="102" t="s">
        <v>9984</v>
      </c>
      <c r="C87" s="229" t="s">
        <v>9985</v>
      </c>
      <c r="D87" s="102" t="s">
        <v>9986</v>
      </c>
      <c r="E87" s="102" t="s">
        <v>513</v>
      </c>
      <c r="F87" s="102" t="s">
        <v>514</v>
      </c>
      <c r="G87" s="102" t="s">
        <v>314</v>
      </c>
      <c r="H87" s="102" t="s">
        <v>315</v>
      </c>
      <c r="I87" s="102" t="s">
        <v>284</v>
      </c>
      <c r="J87" s="102" t="s">
        <v>34</v>
      </c>
      <c r="L87" s="229" t="s">
        <v>9987</v>
      </c>
      <c r="M87" s="229" t="s">
        <v>10289</v>
      </c>
      <c r="O87" s="102">
        <v>3.0</v>
      </c>
      <c r="P87" s="102" t="s">
        <v>593</v>
      </c>
      <c r="Q87" s="102" t="s">
        <v>651</v>
      </c>
      <c r="T87" s="126">
        <v>28800.0</v>
      </c>
      <c r="U87" s="193" t="str">
        <f>IF(ISNUMBER(MATCH(B87, 'Sprint 5'!B:B, 0)), "มาจาก Sprint 5", "")</f>
        <v/>
      </c>
      <c r="W87" s="244" t="str">
        <f t="array" ref="W87">IF(ISNUMBER(MATCH(B87, 'Sprint 5'!B:B, 0)), INDEX('Sprint 5'!J:J, MATCH(B87, 'Sprint 5'!B:B, 0)), "")</f>
        <v/>
      </c>
      <c r="X87" s="102" t="s">
        <v>9882</v>
      </c>
    </row>
    <row r="88" hidden="1">
      <c r="A88" s="102" t="s">
        <v>332</v>
      </c>
      <c r="B88" s="102" t="s">
        <v>9989</v>
      </c>
      <c r="C88" s="229" t="s">
        <v>9990</v>
      </c>
      <c r="D88" s="102" t="s">
        <v>9991</v>
      </c>
      <c r="E88" s="102" t="s">
        <v>353</v>
      </c>
      <c r="F88" s="102" t="s">
        <v>354</v>
      </c>
      <c r="G88" s="102" t="s">
        <v>316</v>
      </c>
      <c r="H88" s="102" t="s">
        <v>317</v>
      </c>
      <c r="I88" s="102" t="s">
        <v>515</v>
      </c>
      <c r="J88" s="102" t="s">
        <v>1075</v>
      </c>
      <c r="L88" s="229" t="s">
        <v>9992</v>
      </c>
      <c r="M88" s="229" t="s">
        <v>10290</v>
      </c>
      <c r="N88" s="229" t="s">
        <v>9993</v>
      </c>
      <c r="O88" s="230"/>
      <c r="T88" s="246"/>
      <c r="U88" s="193" t="str">
        <f>IF(ISNUMBER(MATCH(B88, 'Sprint 5'!B:B, 0)), "มาจาก Sprint 5", "")</f>
        <v/>
      </c>
      <c r="X88" s="102" t="s">
        <v>4967</v>
      </c>
    </row>
    <row r="89" hidden="1">
      <c r="A89" s="102" t="s">
        <v>310</v>
      </c>
      <c r="B89" s="102" t="s">
        <v>10291</v>
      </c>
      <c r="C89" s="229" t="s">
        <v>10292</v>
      </c>
      <c r="D89" s="102" t="s">
        <v>10293</v>
      </c>
      <c r="E89" s="102" t="s">
        <v>314</v>
      </c>
      <c r="F89" s="102" t="s">
        <v>315</v>
      </c>
      <c r="G89" s="102" t="s">
        <v>314</v>
      </c>
      <c r="H89" s="102" t="s">
        <v>315</v>
      </c>
      <c r="I89" s="102" t="s">
        <v>284</v>
      </c>
      <c r="J89" s="102" t="s">
        <v>26</v>
      </c>
      <c r="L89" s="229" t="s">
        <v>10294</v>
      </c>
      <c r="M89" s="229" t="s">
        <v>10295</v>
      </c>
      <c r="O89" s="102">
        <v>1.0</v>
      </c>
      <c r="P89" s="102" t="s">
        <v>593</v>
      </c>
      <c r="T89" s="126">
        <v>3600.0</v>
      </c>
      <c r="U89" s="193" t="str">
        <f>IF(ISNUMBER(MATCH(B89, 'Sprint 5'!B:B, 0)), "มาจาก Sprint 5", "")</f>
        <v/>
      </c>
      <c r="W89" s="244" t="str">
        <f t="array" ref="W89">IF(ISNUMBER(MATCH(B89, 'Sprint 5'!B:B, 0)), INDEX('Sprint 5'!J:J, MATCH(B89, 'Sprint 5'!B:B, 0)), "")</f>
        <v/>
      </c>
      <c r="X89" s="102" t="s">
        <v>9882</v>
      </c>
    </row>
    <row r="90" hidden="1">
      <c r="A90" s="102" t="s">
        <v>310</v>
      </c>
      <c r="B90" s="102" t="s">
        <v>9994</v>
      </c>
      <c r="C90" s="229" t="s">
        <v>9995</v>
      </c>
      <c r="D90" s="102" t="s">
        <v>9996</v>
      </c>
      <c r="E90" s="102" t="s">
        <v>513</v>
      </c>
      <c r="F90" s="102" t="s">
        <v>514</v>
      </c>
      <c r="G90" s="102" t="s">
        <v>314</v>
      </c>
      <c r="H90" s="102" t="s">
        <v>315</v>
      </c>
      <c r="I90" s="102" t="s">
        <v>284</v>
      </c>
      <c r="J90" s="102" t="s">
        <v>454</v>
      </c>
      <c r="L90" s="229" t="s">
        <v>9997</v>
      </c>
      <c r="M90" s="229" t="s">
        <v>10296</v>
      </c>
      <c r="O90" s="102">
        <v>3.0</v>
      </c>
      <c r="P90" s="102" t="s">
        <v>593</v>
      </c>
      <c r="Q90" s="102" t="s">
        <v>651</v>
      </c>
      <c r="T90" s="126">
        <v>28800.0</v>
      </c>
      <c r="U90" s="193" t="str">
        <f>IF(ISNUMBER(MATCH(B90, 'Sprint 5'!B:B, 0)), "มาจาก Sprint 5", "")</f>
        <v/>
      </c>
      <c r="W90" s="244" t="str">
        <f t="array" ref="W90">IF(ISNUMBER(MATCH(B90, 'Sprint 5'!B:B, 0)), INDEX('Sprint 5'!J:J, MATCH(B90, 'Sprint 5'!B:B, 0)), "")</f>
        <v/>
      </c>
      <c r="X90" s="102" t="s">
        <v>9882</v>
      </c>
    </row>
    <row r="91" hidden="1">
      <c r="A91" s="102" t="s">
        <v>310</v>
      </c>
      <c r="B91" s="102" t="s">
        <v>9998</v>
      </c>
      <c r="C91" s="229" t="s">
        <v>9999</v>
      </c>
      <c r="D91" s="102" t="s">
        <v>10000</v>
      </c>
      <c r="E91" s="102" t="s">
        <v>513</v>
      </c>
      <c r="F91" s="102" t="s">
        <v>514</v>
      </c>
      <c r="G91" s="102" t="s">
        <v>314</v>
      </c>
      <c r="H91" s="102" t="s">
        <v>315</v>
      </c>
      <c r="I91" s="102" t="s">
        <v>284</v>
      </c>
      <c r="J91" s="102" t="s">
        <v>454</v>
      </c>
      <c r="L91" s="229" t="s">
        <v>10001</v>
      </c>
      <c r="M91" s="229" t="s">
        <v>10244</v>
      </c>
      <c r="O91" s="102">
        <v>3.0</v>
      </c>
      <c r="P91" s="102" t="s">
        <v>593</v>
      </c>
      <c r="Q91" s="102" t="s">
        <v>651</v>
      </c>
      <c r="T91" s="126">
        <v>28800.0</v>
      </c>
      <c r="U91" s="193" t="str">
        <f>IF(ISNUMBER(MATCH(B91, 'Sprint 5'!B:B, 0)), "มาจาก Sprint 5", "")</f>
        <v/>
      </c>
      <c r="W91" s="244" t="str">
        <f t="array" ref="W91">IF(ISNUMBER(MATCH(B91, 'Sprint 5'!B:B, 0)), INDEX('Sprint 5'!J:J, MATCH(B91, 'Sprint 5'!B:B, 0)), "")</f>
        <v/>
      </c>
      <c r="X91" s="102" t="s">
        <v>9882</v>
      </c>
    </row>
    <row r="92" hidden="1">
      <c r="A92" s="102" t="s">
        <v>310</v>
      </c>
      <c r="B92" s="102" t="s">
        <v>10002</v>
      </c>
      <c r="C92" s="229" t="s">
        <v>10003</v>
      </c>
      <c r="D92" s="102" t="s">
        <v>10004</v>
      </c>
      <c r="E92" s="102" t="s">
        <v>314</v>
      </c>
      <c r="F92" s="102" t="s">
        <v>315</v>
      </c>
      <c r="G92" s="102" t="s">
        <v>314</v>
      </c>
      <c r="H92" s="102" t="s">
        <v>315</v>
      </c>
      <c r="I92" s="102" t="s">
        <v>284</v>
      </c>
      <c r="J92" s="102" t="s">
        <v>454</v>
      </c>
      <c r="L92" s="229" t="s">
        <v>10005</v>
      </c>
      <c r="M92" s="229" t="s">
        <v>10297</v>
      </c>
      <c r="O92" s="102">
        <v>3.0</v>
      </c>
      <c r="P92" s="102" t="s">
        <v>593</v>
      </c>
      <c r="Q92" s="102" t="s">
        <v>8995</v>
      </c>
      <c r="T92" s="126">
        <v>21600.0</v>
      </c>
      <c r="U92" s="193" t="str">
        <f>IF(ISNUMBER(MATCH(B92, 'Sprint 5'!B:B, 0)), "มาจาก Sprint 5", "")</f>
        <v/>
      </c>
      <c r="W92" s="244" t="str">
        <f t="array" ref="W92">IF(ISNUMBER(MATCH(B92, 'Sprint 5'!B:B, 0)), INDEX('Sprint 5'!J:J, MATCH(B92, 'Sprint 5'!B:B, 0)), "")</f>
        <v/>
      </c>
      <c r="X92" s="102" t="s">
        <v>9882</v>
      </c>
    </row>
    <row r="93" hidden="1">
      <c r="A93" s="102" t="s">
        <v>310</v>
      </c>
      <c r="B93" s="102" t="s">
        <v>10006</v>
      </c>
      <c r="C93" s="229" t="s">
        <v>10007</v>
      </c>
      <c r="D93" s="102" t="s">
        <v>10008</v>
      </c>
      <c r="E93" s="102" t="s">
        <v>495</v>
      </c>
      <c r="F93" s="102" t="s">
        <v>496</v>
      </c>
      <c r="G93" s="102" t="s">
        <v>314</v>
      </c>
      <c r="H93" s="102" t="s">
        <v>315</v>
      </c>
      <c r="I93" s="102" t="s">
        <v>284</v>
      </c>
      <c r="J93" s="102" t="s">
        <v>454</v>
      </c>
      <c r="L93" s="229" t="s">
        <v>10009</v>
      </c>
      <c r="M93" s="229" t="s">
        <v>10298</v>
      </c>
      <c r="O93" s="102">
        <v>3.0</v>
      </c>
      <c r="P93" s="102" t="s">
        <v>777</v>
      </c>
      <c r="T93" s="126">
        <v>28800.0</v>
      </c>
      <c r="U93" s="193" t="str">
        <f>IF(ISNUMBER(MATCH(B93, 'Sprint 5'!B:B, 0)), "มาจาก Sprint 5", "")</f>
        <v/>
      </c>
      <c r="W93" s="244" t="str">
        <f t="array" ref="W93">IF(ISNUMBER(MATCH(B93, 'Sprint 5'!B:B, 0)), INDEX('Sprint 5'!J:J, MATCH(B93, 'Sprint 5'!B:B, 0)), "")</f>
        <v/>
      </c>
      <c r="X93" s="102" t="s">
        <v>9882</v>
      </c>
    </row>
    <row r="94" hidden="1">
      <c r="A94" s="102" t="s">
        <v>310</v>
      </c>
      <c r="B94" s="102" t="s">
        <v>10010</v>
      </c>
      <c r="C94" s="229" t="s">
        <v>10011</v>
      </c>
      <c r="D94" s="102" t="s">
        <v>10012</v>
      </c>
      <c r="E94" s="102" t="s">
        <v>314</v>
      </c>
      <c r="F94" s="102" t="s">
        <v>315</v>
      </c>
      <c r="G94" s="102" t="s">
        <v>314</v>
      </c>
      <c r="H94" s="102" t="s">
        <v>315</v>
      </c>
      <c r="I94" s="102" t="s">
        <v>284</v>
      </c>
      <c r="J94" s="102" t="s">
        <v>454</v>
      </c>
      <c r="L94" s="229" t="s">
        <v>10013</v>
      </c>
      <c r="M94" s="229" t="s">
        <v>10297</v>
      </c>
      <c r="O94" s="102">
        <v>8.0</v>
      </c>
      <c r="P94" s="102" t="s">
        <v>593</v>
      </c>
      <c r="Q94" s="102" t="s">
        <v>8995</v>
      </c>
      <c r="T94" s="126">
        <v>86400.0</v>
      </c>
      <c r="U94" s="193" t="str">
        <f>IF(ISNUMBER(MATCH(B94, 'Sprint 5'!B:B, 0)), "มาจาก Sprint 5", "")</f>
        <v/>
      </c>
      <c r="W94" s="244" t="str">
        <f t="array" ref="W94">IF(ISNUMBER(MATCH(B94, 'Sprint 5'!B:B, 0)), INDEX('Sprint 5'!J:J, MATCH(B94, 'Sprint 5'!B:B, 0)), "")</f>
        <v/>
      </c>
      <c r="X94" s="102" t="s">
        <v>9882</v>
      </c>
    </row>
    <row r="95" hidden="1">
      <c r="A95" s="102" t="s">
        <v>276</v>
      </c>
      <c r="B95" s="102" t="s">
        <v>10299</v>
      </c>
      <c r="C95" s="229" t="s">
        <v>10300</v>
      </c>
      <c r="D95" s="102" t="s">
        <v>10301</v>
      </c>
      <c r="E95" s="102" t="s">
        <v>521</v>
      </c>
      <c r="F95" s="102" t="s">
        <v>522</v>
      </c>
      <c r="G95" s="102" t="s">
        <v>10017</v>
      </c>
      <c r="H95" s="102" t="s">
        <v>10018</v>
      </c>
      <c r="I95" s="102" t="s">
        <v>284</v>
      </c>
      <c r="J95" s="102" t="s">
        <v>26</v>
      </c>
      <c r="L95" s="229" t="s">
        <v>10302</v>
      </c>
      <c r="M95" s="229" t="s">
        <v>10303</v>
      </c>
      <c r="O95" s="230"/>
      <c r="T95" s="246"/>
      <c r="U95" s="193" t="str">
        <f>IF(ISNUMBER(MATCH(B95, 'Sprint 5'!B:B, 0)), "มาจาก Sprint 5", "")</f>
        <v>มาจาก Sprint 5</v>
      </c>
      <c r="X95" s="102" t="s">
        <v>9183</v>
      </c>
      <c r="Y95" s="102" t="s">
        <v>9184</v>
      </c>
    </row>
    <row r="96" hidden="1">
      <c r="A96" s="102" t="s">
        <v>276</v>
      </c>
      <c r="B96" s="102" t="s">
        <v>10015</v>
      </c>
      <c r="C96" s="229" t="s">
        <v>10016</v>
      </c>
      <c r="D96" s="102" t="s">
        <v>9026</v>
      </c>
      <c r="E96" s="102" t="s">
        <v>521</v>
      </c>
      <c r="F96" s="102" t="s">
        <v>522</v>
      </c>
      <c r="G96" s="102" t="s">
        <v>10017</v>
      </c>
      <c r="H96" s="102" t="s">
        <v>10018</v>
      </c>
      <c r="I96" s="102" t="s">
        <v>284</v>
      </c>
      <c r="J96" s="102" t="s">
        <v>63</v>
      </c>
      <c r="L96" s="229" t="s">
        <v>10019</v>
      </c>
      <c r="M96" s="229" t="s">
        <v>10209</v>
      </c>
      <c r="O96" s="230"/>
      <c r="T96" s="246"/>
      <c r="U96" s="193" t="str">
        <f>IF(ISNUMBER(MATCH(B96, 'Sprint 5'!B:B, 0)), "มาจาก Sprint 5", "")</f>
        <v>มาจาก Sprint 5</v>
      </c>
      <c r="X96" s="102" t="s">
        <v>9183</v>
      </c>
      <c r="Y96" s="102" t="s">
        <v>9184</v>
      </c>
    </row>
    <row r="97" hidden="1">
      <c r="A97" s="102" t="s">
        <v>276</v>
      </c>
      <c r="B97" s="102" t="s">
        <v>10020</v>
      </c>
      <c r="C97" s="229" t="s">
        <v>10021</v>
      </c>
      <c r="D97" s="102" t="s">
        <v>9026</v>
      </c>
      <c r="E97" s="102" t="s">
        <v>521</v>
      </c>
      <c r="F97" s="102" t="s">
        <v>522</v>
      </c>
      <c r="G97" s="102" t="s">
        <v>10017</v>
      </c>
      <c r="H97" s="102" t="s">
        <v>10018</v>
      </c>
      <c r="I97" s="102" t="s">
        <v>284</v>
      </c>
      <c r="J97" s="102" t="s">
        <v>63</v>
      </c>
      <c r="L97" s="229" t="s">
        <v>10022</v>
      </c>
      <c r="M97" s="229" t="s">
        <v>10209</v>
      </c>
      <c r="O97" s="230"/>
      <c r="T97" s="246"/>
      <c r="U97" s="193" t="str">
        <f>IF(ISNUMBER(MATCH(B97, 'Sprint 5'!B:B, 0)), "มาจาก Sprint 5", "")</f>
        <v>มาจาก Sprint 5</v>
      </c>
      <c r="V97" s="102">
        <v>86400.0</v>
      </c>
      <c r="W97" s="102"/>
      <c r="X97" s="102" t="s">
        <v>9183</v>
      </c>
      <c r="Y97" s="102" t="s">
        <v>9184</v>
      </c>
    </row>
    <row r="98" hidden="1">
      <c r="A98" s="102" t="s">
        <v>276</v>
      </c>
      <c r="B98" s="102" t="s">
        <v>10304</v>
      </c>
      <c r="C98" s="229" t="s">
        <v>10305</v>
      </c>
      <c r="D98" s="102" t="s">
        <v>10306</v>
      </c>
      <c r="E98" s="102" t="s">
        <v>521</v>
      </c>
      <c r="F98" s="102" t="s">
        <v>522</v>
      </c>
      <c r="G98" s="102" t="s">
        <v>10017</v>
      </c>
      <c r="H98" s="102" t="s">
        <v>10018</v>
      </c>
      <c r="I98" s="102" t="s">
        <v>284</v>
      </c>
      <c r="J98" s="102" t="s">
        <v>63</v>
      </c>
      <c r="L98" s="229" t="s">
        <v>10307</v>
      </c>
      <c r="M98" s="229" t="s">
        <v>10308</v>
      </c>
      <c r="O98" s="230"/>
      <c r="T98" s="246"/>
      <c r="U98" s="193" t="str">
        <f>IF(ISNUMBER(MATCH(B98, 'Sprint 5'!B:B, 0)), "มาจาก Sprint 5", "")</f>
        <v>มาจาก Sprint 5</v>
      </c>
      <c r="X98" s="102" t="s">
        <v>10125</v>
      </c>
      <c r="Y98" s="102" t="s">
        <v>10125</v>
      </c>
      <c r="Z98" s="102" t="s">
        <v>9183</v>
      </c>
      <c r="AA98" s="102" t="s">
        <v>9184</v>
      </c>
    </row>
    <row r="99" hidden="1">
      <c r="A99" s="102" t="s">
        <v>276</v>
      </c>
      <c r="B99" s="102" t="s">
        <v>10309</v>
      </c>
      <c r="C99" s="229" t="s">
        <v>10310</v>
      </c>
      <c r="D99" s="102" t="s">
        <v>10301</v>
      </c>
      <c r="E99" s="102" t="s">
        <v>521</v>
      </c>
      <c r="F99" s="102" t="s">
        <v>522</v>
      </c>
      <c r="G99" s="102" t="s">
        <v>10017</v>
      </c>
      <c r="H99" s="102" t="s">
        <v>10018</v>
      </c>
      <c r="I99" s="102" t="s">
        <v>284</v>
      </c>
      <c r="J99" s="102" t="s">
        <v>26</v>
      </c>
      <c r="L99" s="229" t="s">
        <v>10311</v>
      </c>
      <c r="M99" s="229" t="s">
        <v>10312</v>
      </c>
      <c r="O99" s="230"/>
      <c r="T99" s="246"/>
      <c r="U99" s="193" t="str">
        <f>IF(ISNUMBER(MATCH(B99, 'Sprint 5'!B:B, 0)), "มาจาก Sprint 5", "")</f>
        <v>มาจาก Sprint 5</v>
      </c>
      <c r="X99" s="102" t="s">
        <v>9183</v>
      </c>
      <c r="Y99" s="102" t="s">
        <v>9184</v>
      </c>
    </row>
    <row r="100" hidden="1">
      <c r="A100" s="102" t="s">
        <v>276</v>
      </c>
      <c r="B100" s="102" t="s">
        <v>10313</v>
      </c>
      <c r="C100" s="229" t="s">
        <v>10314</v>
      </c>
      <c r="D100" s="102" t="s">
        <v>10301</v>
      </c>
      <c r="E100" s="102" t="s">
        <v>521</v>
      </c>
      <c r="F100" s="102" t="s">
        <v>522</v>
      </c>
      <c r="G100" s="102" t="s">
        <v>10017</v>
      </c>
      <c r="H100" s="102" t="s">
        <v>10018</v>
      </c>
      <c r="I100" s="102" t="s">
        <v>284</v>
      </c>
      <c r="J100" s="102" t="s">
        <v>26</v>
      </c>
      <c r="L100" s="229" t="s">
        <v>10315</v>
      </c>
      <c r="M100" s="229" t="s">
        <v>10316</v>
      </c>
      <c r="O100" s="230"/>
      <c r="T100" s="246"/>
      <c r="U100" s="193" t="str">
        <f>IF(ISNUMBER(MATCH(B100, 'Sprint 5'!B:B, 0)), "มาจาก Sprint 5", "")</f>
        <v>มาจาก Sprint 5</v>
      </c>
      <c r="X100" s="102" t="s">
        <v>9183</v>
      </c>
      <c r="Y100" s="102" t="s">
        <v>9184</v>
      </c>
    </row>
    <row r="101" hidden="1">
      <c r="A101" s="102" t="s">
        <v>276</v>
      </c>
      <c r="B101" s="102" t="s">
        <v>10317</v>
      </c>
      <c r="C101" s="229" t="s">
        <v>10318</v>
      </c>
      <c r="D101" s="102" t="s">
        <v>10301</v>
      </c>
      <c r="E101" s="102" t="s">
        <v>521</v>
      </c>
      <c r="F101" s="102" t="s">
        <v>522</v>
      </c>
      <c r="G101" s="102" t="s">
        <v>10017</v>
      </c>
      <c r="H101" s="102" t="s">
        <v>10018</v>
      </c>
      <c r="I101" s="102" t="s">
        <v>284</v>
      </c>
      <c r="J101" s="102" t="s">
        <v>26</v>
      </c>
      <c r="L101" s="229" t="s">
        <v>10319</v>
      </c>
      <c r="M101" s="229" t="s">
        <v>10303</v>
      </c>
      <c r="O101" s="230"/>
      <c r="T101" s="246"/>
      <c r="U101" s="193" t="str">
        <f>IF(ISNUMBER(MATCH(B101, 'Sprint 5'!B:B, 0)), "มาจาก Sprint 5", "")</f>
        <v>มาจาก Sprint 5</v>
      </c>
      <c r="X101" s="102" t="s">
        <v>9183</v>
      </c>
      <c r="Y101" s="102" t="s">
        <v>9184</v>
      </c>
    </row>
    <row r="102" hidden="1">
      <c r="A102" s="102" t="s">
        <v>276</v>
      </c>
      <c r="B102" s="102" t="s">
        <v>10320</v>
      </c>
      <c r="C102" s="229" t="s">
        <v>10321</v>
      </c>
      <c r="D102" s="102" t="s">
        <v>10322</v>
      </c>
      <c r="G102" s="102" t="s">
        <v>10017</v>
      </c>
      <c r="H102" s="102" t="s">
        <v>10018</v>
      </c>
      <c r="I102" s="102" t="s">
        <v>284</v>
      </c>
      <c r="J102" s="102" t="s">
        <v>26</v>
      </c>
      <c r="L102" s="229" t="s">
        <v>10323</v>
      </c>
      <c r="M102" s="229" t="s">
        <v>10324</v>
      </c>
      <c r="O102" s="230"/>
      <c r="T102" s="246"/>
      <c r="U102" s="193" t="str">
        <f>IF(ISNUMBER(MATCH(B102, 'Sprint 5'!B:B, 0)), "มาจาก Sprint 5", "")</f>
        <v>มาจาก Sprint 5</v>
      </c>
      <c r="V102" s="102" t="s">
        <v>3539</v>
      </c>
      <c r="W102" s="102"/>
      <c r="X102" s="102" t="s">
        <v>9183</v>
      </c>
      <c r="Y102" s="102" t="s">
        <v>9184</v>
      </c>
    </row>
    <row r="103" hidden="1">
      <c r="A103" s="102" t="s">
        <v>276</v>
      </c>
      <c r="B103" s="102" t="s">
        <v>10325</v>
      </c>
      <c r="C103" s="229" t="s">
        <v>10326</v>
      </c>
      <c r="D103" s="102" t="s">
        <v>2030</v>
      </c>
      <c r="E103" s="102" t="s">
        <v>280</v>
      </c>
      <c r="F103" s="102" t="s">
        <v>281</v>
      </c>
      <c r="G103" s="102" t="s">
        <v>10017</v>
      </c>
      <c r="H103" s="102" t="s">
        <v>10018</v>
      </c>
      <c r="I103" s="102" t="s">
        <v>284</v>
      </c>
      <c r="J103" s="102" t="s">
        <v>26</v>
      </c>
      <c r="L103" s="229" t="s">
        <v>10327</v>
      </c>
      <c r="M103" s="229" t="s">
        <v>10328</v>
      </c>
      <c r="O103" s="230"/>
      <c r="T103" s="246"/>
      <c r="U103" s="193" t="str">
        <f>IF(ISNUMBER(MATCH(B103, 'Sprint 5'!B:B, 0)), "มาจาก Sprint 5", "")</f>
        <v>มาจาก Sprint 5</v>
      </c>
      <c r="V103" s="102">
        <v>7200.0</v>
      </c>
      <c r="W103" s="102"/>
      <c r="X103" s="102" t="s">
        <v>10282</v>
      </c>
      <c r="Y103" s="102" t="s">
        <v>9882</v>
      </c>
    </row>
    <row r="104" hidden="1">
      <c r="A104" s="102" t="s">
        <v>276</v>
      </c>
      <c r="B104" s="102" t="s">
        <v>10023</v>
      </c>
      <c r="C104" s="229" t="s">
        <v>10024</v>
      </c>
      <c r="D104" s="102" t="s">
        <v>10025</v>
      </c>
      <c r="E104" s="102" t="s">
        <v>521</v>
      </c>
      <c r="F104" s="102" t="s">
        <v>522</v>
      </c>
      <c r="G104" s="102" t="s">
        <v>10017</v>
      </c>
      <c r="H104" s="102" t="s">
        <v>10018</v>
      </c>
      <c r="I104" s="102" t="s">
        <v>284</v>
      </c>
      <c r="J104" s="102" t="s">
        <v>26</v>
      </c>
      <c r="L104" s="229" t="s">
        <v>10026</v>
      </c>
      <c r="M104" s="229" t="s">
        <v>10027</v>
      </c>
      <c r="O104" s="230"/>
      <c r="T104" s="246"/>
      <c r="U104" s="193" t="str">
        <f>IF(ISNUMBER(MATCH(B104, 'Sprint 5'!B:B, 0)), "มาจาก Sprint 5", "")</f>
        <v>มาจาก Sprint 5</v>
      </c>
      <c r="V104" s="102" t="s">
        <v>3995</v>
      </c>
      <c r="W104" s="102"/>
      <c r="X104" s="102" t="s">
        <v>9865</v>
      </c>
    </row>
    <row r="105" hidden="1">
      <c r="A105" s="102" t="s">
        <v>276</v>
      </c>
      <c r="B105" s="102" t="s">
        <v>10028</v>
      </c>
      <c r="C105" s="229" t="s">
        <v>10029</v>
      </c>
      <c r="D105" s="102" t="s">
        <v>10030</v>
      </c>
      <c r="E105" s="102" t="s">
        <v>521</v>
      </c>
      <c r="F105" s="102" t="s">
        <v>522</v>
      </c>
      <c r="G105" s="102" t="s">
        <v>10017</v>
      </c>
      <c r="H105" s="102" t="s">
        <v>10018</v>
      </c>
      <c r="I105" s="102" t="s">
        <v>284</v>
      </c>
      <c r="J105" s="102" t="s">
        <v>26</v>
      </c>
      <c r="L105" s="229" t="s">
        <v>10031</v>
      </c>
      <c r="M105" s="229" t="s">
        <v>10032</v>
      </c>
      <c r="O105" s="230"/>
      <c r="T105" s="246"/>
      <c r="U105" s="193" t="str">
        <f>IF(ISNUMBER(MATCH(B105, 'Sprint 5'!B:B, 0)), "มาจาก Sprint 5", "")</f>
        <v>มาจาก Sprint 5</v>
      </c>
      <c r="X105" s="102" t="s">
        <v>9865</v>
      </c>
    </row>
    <row r="106" hidden="1">
      <c r="A106" s="102" t="s">
        <v>310</v>
      </c>
      <c r="B106" s="102" t="s">
        <v>10329</v>
      </c>
      <c r="C106" s="229" t="s">
        <v>10330</v>
      </c>
      <c r="D106" s="102" t="s">
        <v>10331</v>
      </c>
      <c r="E106" s="102" t="s">
        <v>10234</v>
      </c>
      <c r="F106" s="102" t="s">
        <v>565</v>
      </c>
      <c r="G106" s="102" t="s">
        <v>282</v>
      </c>
      <c r="H106" s="102" t="s">
        <v>283</v>
      </c>
      <c r="I106" s="102" t="s">
        <v>284</v>
      </c>
      <c r="J106" s="102" t="s">
        <v>26</v>
      </c>
      <c r="L106" s="229" t="s">
        <v>10332</v>
      </c>
      <c r="M106" s="229" t="s">
        <v>10168</v>
      </c>
      <c r="N106" s="229" t="s">
        <v>10333</v>
      </c>
      <c r="O106" s="102">
        <v>1.0</v>
      </c>
      <c r="P106" s="102" t="s">
        <v>593</v>
      </c>
      <c r="T106" s="126">
        <v>0.0</v>
      </c>
      <c r="U106" s="193" t="str">
        <f>IF(ISNUMBER(MATCH(B106, 'Sprint 5'!B:B, 0)), "มาจาก Sprint 5", "")</f>
        <v>มาจาก Sprint 5</v>
      </c>
      <c r="V106" s="102">
        <v>3600.0</v>
      </c>
      <c r="W106" s="244" t="str">
        <f t="array" ref="W106">IF(ISNUMBER(MATCH(B106, 'Sprint 5'!B:B, 0)), INDEX('Sprint 5'!J:J, MATCH(B106, 'Sprint 5'!B:B, 0)), "")</f>
        <v>Ready To Test</v>
      </c>
      <c r="X106" s="102" t="s">
        <v>9183</v>
      </c>
      <c r="Y106" s="102" t="s">
        <v>9184</v>
      </c>
    </row>
    <row r="107" hidden="1">
      <c r="A107" s="102" t="s">
        <v>310</v>
      </c>
      <c r="B107" s="102" t="s">
        <v>10033</v>
      </c>
      <c r="C107" s="229" t="s">
        <v>10034</v>
      </c>
      <c r="D107" s="102" t="s">
        <v>10035</v>
      </c>
      <c r="E107" s="102" t="s">
        <v>556</v>
      </c>
      <c r="F107" s="102" t="s">
        <v>557</v>
      </c>
      <c r="G107" s="102" t="s">
        <v>282</v>
      </c>
      <c r="H107" s="102" t="s">
        <v>283</v>
      </c>
      <c r="I107" s="102" t="s">
        <v>318</v>
      </c>
      <c r="J107" s="102" t="s">
        <v>678</v>
      </c>
      <c r="L107" s="229" t="s">
        <v>10036</v>
      </c>
      <c r="M107" s="229" t="s">
        <v>10334</v>
      </c>
      <c r="N107" s="229" t="s">
        <v>10037</v>
      </c>
      <c r="O107" s="102">
        <v>3.0</v>
      </c>
      <c r="P107" s="102" t="s">
        <v>777</v>
      </c>
      <c r="Q107" s="102" t="s">
        <v>10038</v>
      </c>
      <c r="T107" s="126">
        <v>28800.0</v>
      </c>
      <c r="U107" s="193" t="str">
        <f>IF(ISNUMBER(MATCH(B107, 'Sprint 5'!B:B, 0)), "มาจาก Sprint 5", "")</f>
        <v>มาจาก Sprint 5</v>
      </c>
      <c r="W107" s="244" t="str">
        <f t="array" ref="W107">IF(ISNUMBER(MATCH(B107, 'Sprint 5'!B:B, 0)), INDEX('Sprint 5'!J:J, MATCH(B107, 'Sprint 5'!B:B, 0)), "")</f>
        <v>To Do</v>
      </c>
      <c r="X107" s="102" t="s">
        <v>9865</v>
      </c>
    </row>
    <row r="108" hidden="1">
      <c r="A108" s="102" t="s">
        <v>310</v>
      </c>
      <c r="B108" s="102" t="s">
        <v>9580</v>
      </c>
      <c r="C108" s="229" t="s">
        <v>9581</v>
      </c>
      <c r="D108" s="102" t="s">
        <v>9582</v>
      </c>
      <c r="E108" s="102" t="s">
        <v>353</v>
      </c>
      <c r="F108" s="102" t="s">
        <v>354</v>
      </c>
      <c r="G108" s="102" t="s">
        <v>353</v>
      </c>
      <c r="H108" s="102" t="s">
        <v>354</v>
      </c>
      <c r="I108" s="102" t="s">
        <v>284</v>
      </c>
      <c r="J108" s="102" t="s">
        <v>454</v>
      </c>
      <c r="L108" s="229" t="s">
        <v>9583</v>
      </c>
      <c r="M108" s="229" t="s">
        <v>10335</v>
      </c>
      <c r="O108" s="102">
        <v>3.0</v>
      </c>
      <c r="T108" s="126">
        <v>14400.0</v>
      </c>
      <c r="U108" s="193" t="str">
        <f>IF(ISNUMBER(MATCH(B108, 'Sprint 5'!B:B, 0)), "มาจาก Sprint 5", "")</f>
        <v>มาจาก Sprint 5</v>
      </c>
      <c r="V108" s="102" t="s">
        <v>3539</v>
      </c>
      <c r="W108" s="244" t="str">
        <f t="array" ref="W108">IF(ISNUMBER(MATCH(B108, 'Sprint 5'!B:B, 0)), INDEX('Sprint 5'!J:J, MATCH(B108, 'Sprint 5'!B:B, 0)), "")</f>
        <v>In Progress</v>
      </c>
      <c r="X108" s="102" t="s">
        <v>9183</v>
      </c>
      <c r="Y108" s="102" t="s">
        <v>9184</v>
      </c>
    </row>
    <row r="109" hidden="1">
      <c r="A109" s="102" t="s">
        <v>310</v>
      </c>
      <c r="B109" s="102" t="s">
        <v>10336</v>
      </c>
      <c r="C109" s="229" t="s">
        <v>10337</v>
      </c>
      <c r="D109" s="102" t="s">
        <v>10338</v>
      </c>
      <c r="E109" s="102" t="s">
        <v>282</v>
      </c>
      <c r="F109" s="102" t="s">
        <v>283</v>
      </c>
      <c r="G109" s="102" t="s">
        <v>314</v>
      </c>
      <c r="H109" s="102" t="s">
        <v>315</v>
      </c>
      <c r="I109" s="102" t="s">
        <v>515</v>
      </c>
      <c r="J109" s="102" t="s">
        <v>26</v>
      </c>
      <c r="L109" s="229" t="s">
        <v>10339</v>
      </c>
      <c r="M109" s="229" t="s">
        <v>10281</v>
      </c>
      <c r="O109" s="102">
        <v>3.0</v>
      </c>
      <c r="P109" s="102" t="s">
        <v>777</v>
      </c>
      <c r="T109" s="126">
        <v>0.0</v>
      </c>
      <c r="U109" s="193" t="str">
        <f>IF(ISNUMBER(MATCH(B109, 'Sprint 5'!B:B, 0)), "มาจาก Sprint 5", "")</f>
        <v>มาจาก Sprint 5</v>
      </c>
      <c r="V109" s="102">
        <v>28800.0</v>
      </c>
      <c r="W109" s="244" t="str">
        <f t="array" ref="W109">IF(ISNUMBER(MATCH(B109, 'Sprint 5'!B:B, 0)), INDEX('Sprint 5'!J:J, MATCH(B109, 'Sprint 5'!B:B, 0)), "")</f>
        <v>Ready To Test</v>
      </c>
      <c r="X109" s="102" t="s">
        <v>10282</v>
      </c>
      <c r="Y109" s="102" t="s">
        <v>9882</v>
      </c>
    </row>
    <row r="110" hidden="1">
      <c r="A110" s="102" t="s">
        <v>310</v>
      </c>
      <c r="B110" s="102" t="s">
        <v>10039</v>
      </c>
      <c r="C110" s="229" t="s">
        <v>10040</v>
      </c>
      <c r="D110" s="102" t="s">
        <v>10041</v>
      </c>
      <c r="E110" s="102" t="s">
        <v>10234</v>
      </c>
      <c r="F110" s="102" t="s">
        <v>565</v>
      </c>
      <c r="G110" s="102" t="s">
        <v>10144</v>
      </c>
      <c r="H110" s="102" t="s">
        <v>305</v>
      </c>
      <c r="I110" s="102" t="s">
        <v>284</v>
      </c>
      <c r="J110" s="102" t="s">
        <v>678</v>
      </c>
      <c r="L110" s="229" t="s">
        <v>10042</v>
      </c>
      <c r="M110" s="229" t="s">
        <v>10340</v>
      </c>
      <c r="O110" s="102">
        <v>2.0</v>
      </c>
      <c r="P110" s="102" t="s">
        <v>435</v>
      </c>
      <c r="T110" s="126">
        <v>7200.0</v>
      </c>
      <c r="U110" s="193" t="str">
        <f>IF(ISNUMBER(MATCH(B110, 'Sprint 5'!B:B, 0)), "มาจาก Sprint 5", "")</f>
        <v>มาจาก Sprint 5</v>
      </c>
      <c r="W110" s="244" t="str">
        <f t="array" ref="W110">IF(ISNUMBER(MATCH(B110, 'Sprint 5'!B:B, 0)), INDEX('Sprint 5'!J:J, MATCH(B110, 'Sprint 5'!B:B, 0)), "")</f>
        <v>To Do</v>
      </c>
      <c r="X110" s="102" t="s">
        <v>9183</v>
      </c>
      <c r="Y110" s="102" t="s">
        <v>9184</v>
      </c>
    </row>
    <row r="111" hidden="1">
      <c r="A111" s="102" t="s">
        <v>310</v>
      </c>
      <c r="B111" s="102" t="s">
        <v>10044</v>
      </c>
      <c r="C111" s="229" t="s">
        <v>10045</v>
      </c>
      <c r="D111" s="102" t="s">
        <v>10046</v>
      </c>
      <c r="E111" s="102" t="s">
        <v>10234</v>
      </c>
      <c r="F111" s="102" t="s">
        <v>565</v>
      </c>
      <c r="G111" s="102" t="s">
        <v>10144</v>
      </c>
      <c r="H111" s="102" t="s">
        <v>305</v>
      </c>
      <c r="I111" s="102" t="s">
        <v>284</v>
      </c>
      <c r="J111" s="102" t="s">
        <v>678</v>
      </c>
      <c r="L111" s="229" t="s">
        <v>10047</v>
      </c>
      <c r="M111" s="229" t="s">
        <v>10340</v>
      </c>
      <c r="O111" s="102">
        <v>1.0</v>
      </c>
      <c r="P111" s="102" t="s">
        <v>435</v>
      </c>
      <c r="T111" s="126">
        <v>7200.0</v>
      </c>
      <c r="U111" s="193" t="str">
        <f>IF(ISNUMBER(MATCH(B111, 'Sprint 5'!B:B, 0)), "มาจาก Sprint 5", "")</f>
        <v>มาจาก Sprint 5</v>
      </c>
      <c r="W111" s="244" t="str">
        <f t="array" ref="W111">IF(ISNUMBER(MATCH(B111, 'Sprint 5'!B:B, 0)), INDEX('Sprint 5'!J:J, MATCH(B111, 'Sprint 5'!B:B, 0)), "")</f>
        <v>To Do</v>
      </c>
      <c r="X111" s="102" t="s">
        <v>9183</v>
      </c>
      <c r="Y111" s="102" t="s">
        <v>9184</v>
      </c>
    </row>
    <row r="112" hidden="1">
      <c r="A112" s="102" t="s">
        <v>310</v>
      </c>
      <c r="B112" s="102" t="s">
        <v>10049</v>
      </c>
      <c r="C112" s="229" t="s">
        <v>10050</v>
      </c>
      <c r="D112" s="102" t="s">
        <v>10051</v>
      </c>
      <c r="E112" s="102" t="s">
        <v>513</v>
      </c>
      <c r="F112" s="102" t="s">
        <v>514</v>
      </c>
      <c r="G112" s="102" t="s">
        <v>10144</v>
      </c>
      <c r="H112" s="102" t="s">
        <v>305</v>
      </c>
      <c r="I112" s="102" t="s">
        <v>648</v>
      </c>
      <c r="J112" s="102" t="s">
        <v>678</v>
      </c>
      <c r="L112" s="229" t="s">
        <v>10052</v>
      </c>
      <c r="M112" s="229" t="s">
        <v>10061</v>
      </c>
      <c r="O112" s="102">
        <v>1.0</v>
      </c>
      <c r="P112" s="102" t="s">
        <v>7593</v>
      </c>
      <c r="Q112" s="102" t="s">
        <v>5542</v>
      </c>
      <c r="T112" s="126">
        <v>7200.0</v>
      </c>
      <c r="U112" s="193" t="str">
        <f>IF(ISNUMBER(MATCH(B112, 'Sprint 5'!B:B, 0)), "มาจาก Sprint 5", "")</f>
        <v>มาจาก Sprint 5</v>
      </c>
      <c r="W112" s="244" t="str">
        <f t="array" ref="W112">IF(ISNUMBER(MATCH(B112, 'Sprint 5'!B:B, 0)), INDEX('Sprint 5'!J:J, MATCH(B112, 'Sprint 5'!B:B, 0)), "")</f>
        <v>Ready to Staging</v>
      </c>
      <c r="X112" s="102" t="s">
        <v>9080</v>
      </c>
      <c r="Y112" s="102" t="s">
        <v>4967</v>
      </c>
    </row>
    <row r="113" hidden="1">
      <c r="A113" s="102" t="s">
        <v>310</v>
      </c>
      <c r="B113" s="102" t="s">
        <v>10341</v>
      </c>
      <c r="C113" s="229" t="s">
        <v>10342</v>
      </c>
      <c r="D113" s="102" t="s">
        <v>10343</v>
      </c>
      <c r="E113" s="102" t="s">
        <v>282</v>
      </c>
      <c r="F113" s="102" t="s">
        <v>283</v>
      </c>
      <c r="G113" s="102" t="s">
        <v>282</v>
      </c>
      <c r="H113" s="102" t="s">
        <v>283</v>
      </c>
      <c r="I113" s="102" t="s">
        <v>284</v>
      </c>
      <c r="J113" s="102" t="s">
        <v>26</v>
      </c>
      <c r="L113" s="229" t="s">
        <v>10344</v>
      </c>
      <c r="M113" s="229" t="s">
        <v>10345</v>
      </c>
      <c r="O113" s="102">
        <v>2.0</v>
      </c>
      <c r="P113" s="102" t="s">
        <v>1808</v>
      </c>
      <c r="T113" s="126">
        <v>0.0</v>
      </c>
      <c r="U113" s="193" t="str">
        <f>IF(ISNUMBER(MATCH(B113, 'Sprint 5'!B:B, 0)), "มาจาก Sprint 5", "")</f>
        <v>มาจาก Sprint 5</v>
      </c>
      <c r="V113" s="102">
        <v>14400.0</v>
      </c>
      <c r="W113" s="244" t="str">
        <f t="array" ref="W113">IF(ISNUMBER(MATCH(B113, 'Sprint 5'!B:B, 0)), INDEX('Sprint 5'!J:J, MATCH(B113, 'Sprint 5'!B:B, 0)), "")</f>
        <v>In Review</v>
      </c>
      <c r="X113" s="102" t="s">
        <v>9183</v>
      </c>
      <c r="Y113" s="102" t="s">
        <v>9184</v>
      </c>
    </row>
    <row r="114" hidden="1">
      <c r="A114" s="102" t="s">
        <v>310</v>
      </c>
      <c r="B114" s="102" t="s">
        <v>10054</v>
      </c>
      <c r="C114" s="229" t="s">
        <v>10055</v>
      </c>
      <c r="D114" s="102" t="s">
        <v>10056</v>
      </c>
      <c r="E114" s="102" t="s">
        <v>10144</v>
      </c>
      <c r="F114" s="102" t="s">
        <v>305</v>
      </c>
      <c r="G114" s="102" t="s">
        <v>353</v>
      </c>
      <c r="H114" s="102" t="s">
        <v>354</v>
      </c>
      <c r="I114" s="102" t="s">
        <v>318</v>
      </c>
      <c r="J114" s="102" t="s">
        <v>678</v>
      </c>
      <c r="L114" s="229" t="s">
        <v>10057</v>
      </c>
      <c r="M114" s="229" t="s">
        <v>10346</v>
      </c>
      <c r="O114" s="102">
        <v>3.0</v>
      </c>
      <c r="P114" s="102" t="s">
        <v>777</v>
      </c>
      <c r="Q114" s="102" t="s">
        <v>10038</v>
      </c>
      <c r="R114" s="102" t="s">
        <v>7229</v>
      </c>
      <c r="T114" s="126">
        <v>28800.0</v>
      </c>
      <c r="U114" s="193" t="str">
        <f>IF(ISNUMBER(MATCH(B114, 'Sprint 5'!B:B, 0)), "มาจาก Sprint 5", "")</f>
        <v>มาจาก Sprint 5</v>
      </c>
      <c r="W114" s="244" t="str">
        <f t="array" ref="W114">IF(ISNUMBER(MATCH(B114, 'Sprint 5'!B:B, 0)), INDEX('Sprint 5'!J:J, MATCH(B114, 'Sprint 5'!B:B, 0)), "")</f>
        <v>To Do</v>
      </c>
      <c r="X114" s="102" t="s">
        <v>9865</v>
      </c>
    </row>
    <row r="115" hidden="1">
      <c r="A115" s="102" t="s">
        <v>276</v>
      </c>
      <c r="B115" s="102" t="s">
        <v>10058</v>
      </c>
      <c r="C115" s="229" t="s">
        <v>10059</v>
      </c>
      <c r="D115" s="102" t="s">
        <v>777</v>
      </c>
      <c r="G115" s="102" t="s">
        <v>282</v>
      </c>
      <c r="H115" s="102" t="s">
        <v>283</v>
      </c>
      <c r="I115" s="102" t="s">
        <v>284</v>
      </c>
      <c r="J115" s="102" t="s">
        <v>355</v>
      </c>
      <c r="L115" s="229" t="s">
        <v>10060</v>
      </c>
      <c r="M115" s="229" t="s">
        <v>10061</v>
      </c>
      <c r="O115" s="230"/>
      <c r="T115" s="246"/>
      <c r="U115" s="193" t="str">
        <f>IF(ISNUMBER(MATCH(B115, 'Sprint 5'!B:B, 0)), "มาจาก Sprint 5", "")</f>
        <v>มาจาก Sprint 5</v>
      </c>
      <c r="X115" s="102" t="s">
        <v>10062</v>
      </c>
      <c r="Y115" s="102" t="s">
        <v>9079</v>
      </c>
      <c r="Z115" s="102" t="s">
        <v>9080</v>
      </c>
      <c r="AA115" s="102" t="s">
        <v>4967</v>
      </c>
    </row>
    <row r="116" hidden="1">
      <c r="A116" s="102" t="s">
        <v>276</v>
      </c>
      <c r="B116" s="102" t="s">
        <v>10063</v>
      </c>
      <c r="C116" s="229" t="s">
        <v>10064</v>
      </c>
      <c r="D116" s="102" t="s">
        <v>10065</v>
      </c>
      <c r="E116" s="102" t="s">
        <v>282</v>
      </c>
      <c r="F116" s="102" t="s">
        <v>283</v>
      </c>
      <c r="G116" s="102" t="s">
        <v>282</v>
      </c>
      <c r="H116" s="102" t="s">
        <v>283</v>
      </c>
      <c r="I116" s="102" t="s">
        <v>284</v>
      </c>
      <c r="J116" s="102" t="s">
        <v>26</v>
      </c>
      <c r="L116" s="229" t="s">
        <v>10060</v>
      </c>
      <c r="M116" s="229" t="s">
        <v>10066</v>
      </c>
      <c r="O116" s="230"/>
      <c r="T116" s="246"/>
      <c r="U116" s="193" t="str">
        <f>IF(ISNUMBER(MATCH(B116, 'Sprint 5'!B:B, 0)), "มาจาก Sprint 5", "")</f>
        <v>มาจาก Sprint 5</v>
      </c>
      <c r="V116" s="102">
        <v>57600.0</v>
      </c>
      <c r="W116" s="102"/>
      <c r="X116" s="102" t="s">
        <v>10062</v>
      </c>
      <c r="Y116" s="102" t="s">
        <v>9079</v>
      </c>
      <c r="Z116" s="102" t="s">
        <v>9080</v>
      </c>
      <c r="AA116" s="102" t="s">
        <v>4967</v>
      </c>
    </row>
    <row r="117" hidden="1">
      <c r="A117" s="102" t="s">
        <v>310</v>
      </c>
      <c r="B117" s="102" t="s">
        <v>10347</v>
      </c>
      <c r="C117" s="229" t="s">
        <v>10348</v>
      </c>
      <c r="D117" s="102" t="s">
        <v>10349</v>
      </c>
      <c r="E117" s="102" t="s">
        <v>556</v>
      </c>
      <c r="F117" s="102" t="s">
        <v>557</v>
      </c>
      <c r="G117" s="102" t="s">
        <v>282</v>
      </c>
      <c r="H117" s="102" t="s">
        <v>283</v>
      </c>
      <c r="I117" s="102" t="s">
        <v>284</v>
      </c>
      <c r="J117" s="102" t="s">
        <v>26</v>
      </c>
      <c r="L117" s="229" t="s">
        <v>10350</v>
      </c>
      <c r="M117" s="229" t="s">
        <v>10351</v>
      </c>
      <c r="N117" s="229" t="s">
        <v>10352</v>
      </c>
      <c r="O117" s="102">
        <v>2.0</v>
      </c>
      <c r="T117" s="126">
        <v>0.0</v>
      </c>
      <c r="U117" s="193" t="str">
        <f>IF(ISNUMBER(MATCH(B117, 'Sprint 5'!B:B, 0)), "มาจาก Sprint 5", "")</f>
        <v>มาจาก Sprint 5</v>
      </c>
      <c r="V117" s="102">
        <v>14400.0</v>
      </c>
      <c r="W117" s="244" t="str">
        <f t="array" ref="W117">IF(ISNUMBER(MATCH(B117, 'Sprint 5'!B:B, 0)), INDEX('Sprint 5'!J:J, MATCH(B117, 'Sprint 5'!B:B, 0)), "")</f>
        <v>Ready to Staging</v>
      </c>
      <c r="X117" s="102" t="s">
        <v>9080</v>
      </c>
      <c r="Y117" s="102" t="s">
        <v>4967</v>
      </c>
    </row>
    <row r="118" hidden="1">
      <c r="A118" s="102" t="s">
        <v>4410</v>
      </c>
      <c r="B118" s="102" t="s">
        <v>9075</v>
      </c>
      <c r="C118" s="229" t="s">
        <v>9076</v>
      </c>
      <c r="D118" s="102" t="s">
        <v>9077</v>
      </c>
      <c r="E118" s="102" t="s">
        <v>353</v>
      </c>
      <c r="F118" s="102" t="s">
        <v>354</v>
      </c>
      <c r="G118" s="102" t="s">
        <v>353</v>
      </c>
      <c r="H118" s="102" t="s">
        <v>354</v>
      </c>
      <c r="I118" s="102" t="s">
        <v>284</v>
      </c>
      <c r="J118" s="102" t="s">
        <v>34</v>
      </c>
      <c r="L118" s="229" t="s">
        <v>9078</v>
      </c>
      <c r="M118" s="229" t="s">
        <v>10353</v>
      </c>
      <c r="O118" s="230"/>
      <c r="T118" s="246"/>
      <c r="U118" s="193" t="str">
        <f>IF(ISNUMBER(MATCH(B118, 'Sprint 5'!B:B, 0)), "มาจาก Sprint 5", "")</f>
        <v>มาจาก Sprint 5</v>
      </c>
      <c r="W118" s="244" t="str">
        <f t="array" ref="W118">IF(ISNUMBER(MATCH(B118, 'Sprint 5'!B:B, 0)), INDEX('Sprint 5'!J:J, MATCH(B118, 'Sprint 5'!B:B, 0)), "")</f>
        <v>To Do</v>
      </c>
      <c r="X118" s="102" t="s">
        <v>9079</v>
      </c>
      <c r="Y118" s="102" t="s">
        <v>9080</v>
      </c>
      <c r="Z118" s="102" t="s">
        <v>4967</v>
      </c>
    </row>
    <row r="119" hidden="1">
      <c r="A119" s="102" t="s">
        <v>310</v>
      </c>
      <c r="B119" s="102" t="s">
        <v>10067</v>
      </c>
      <c r="C119" s="229" t="s">
        <v>10068</v>
      </c>
      <c r="D119" s="102" t="s">
        <v>10069</v>
      </c>
      <c r="E119" s="102" t="s">
        <v>513</v>
      </c>
      <c r="F119" s="102" t="s">
        <v>514</v>
      </c>
      <c r="G119" s="102" t="s">
        <v>316</v>
      </c>
      <c r="H119" s="102" t="s">
        <v>317</v>
      </c>
      <c r="I119" s="102" t="s">
        <v>515</v>
      </c>
      <c r="J119" s="102" t="s">
        <v>355</v>
      </c>
      <c r="L119" s="229" t="s">
        <v>10070</v>
      </c>
      <c r="M119" s="229" t="s">
        <v>10061</v>
      </c>
      <c r="N119" s="229" t="s">
        <v>10071</v>
      </c>
      <c r="O119" s="230"/>
      <c r="T119" s="246"/>
      <c r="U119" s="193" t="str">
        <f>IF(ISNUMBER(MATCH(B119, 'Sprint 5'!B:B, 0)), "มาจาก Sprint 5", "")</f>
        <v>มาจาก Sprint 5</v>
      </c>
      <c r="W119" s="244" t="str">
        <f t="array" ref="W119">IF(ISNUMBER(MATCH(B119, 'Sprint 5'!B:B, 0)), INDEX('Sprint 5'!J:J, MATCH(B119, 'Sprint 5'!B:B, 0)), "")</f>
        <v>In Review</v>
      </c>
      <c r="X119" s="102" t="s">
        <v>9079</v>
      </c>
      <c r="Y119" s="102" t="s">
        <v>9080</v>
      </c>
      <c r="Z119" s="102" t="s">
        <v>4967</v>
      </c>
    </row>
    <row r="120" hidden="1">
      <c r="A120" s="102" t="s">
        <v>310</v>
      </c>
      <c r="B120" s="102" t="s">
        <v>10354</v>
      </c>
      <c r="C120" s="229" t="s">
        <v>10355</v>
      </c>
      <c r="D120" s="102" t="s">
        <v>10356</v>
      </c>
      <c r="E120" s="102" t="s">
        <v>353</v>
      </c>
      <c r="F120" s="102" t="s">
        <v>354</v>
      </c>
      <c r="G120" s="102" t="s">
        <v>282</v>
      </c>
      <c r="H120" s="102" t="s">
        <v>283</v>
      </c>
      <c r="I120" s="102" t="s">
        <v>284</v>
      </c>
      <c r="J120" s="102" t="s">
        <v>26</v>
      </c>
      <c r="L120" s="229" t="s">
        <v>10357</v>
      </c>
      <c r="M120" s="229" t="s">
        <v>10335</v>
      </c>
      <c r="O120" s="102">
        <v>3.0</v>
      </c>
      <c r="P120" s="102" t="s">
        <v>10358</v>
      </c>
      <c r="T120" s="126">
        <v>0.0</v>
      </c>
      <c r="U120" s="193" t="str">
        <f>IF(ISNUMBER(MATCH(B120, 'Sprint 5'!B:B, 0)), "มาจาก Sprint 5", "")</f>
        <v>มาจาก Sprint 5</v>
      </c>
      <c r="V120" s="102">
        <v>28800.0</v>
      </c>
      <c r="W120" s="244" t="str">
        <f t="array" ref="W120">IF(ISNUMBER(MATCH(B120, 'Sprint 5'!B:B, 0)), INDEX('Sprint 5'!J:J, MATCH(B120, 'Sprint 5'!B:B, 0)), "")</f>
        <v>Ready to Staging</v>
      </c>
      <c r="X120" s="102" t="s">
        <v>9183</v>
      </c>
      <c r="Y120" s="102" t="s">
        <v>9184</v>
      </c>
    </row>
    <row r="121" hidden="1">
      <c r="A121" s="102" t="s">
        <v>310</v>
      </c>
      <c r="B121" s="102" t="s">
        <v>10072</v>
      </c>
      <c r="C121" s="229" t="s">
        <v>10073</v>
      </c>
      <c r="D121" s="102" t="s">
        <v>10359</v>
      </c>
      <c r="E121" s="102" t="s">
        <v>10144</v>
      </c>
      <c r="F121" s="102" t="s">
        <v>305</v>
      </c>
      <c r="G121" s="102" t="s">
        <v>282</v>
      </c>
      <c r="H121" s="102" t="s">
        <v>283</v>
      </c>
      <c r="I121" s="102" t="s">
        <v>515</v>
      </c>
      <c r="J121" s="102" t="s">
        <v>678</v>
      </c>
      <c r="L121" s="229" t="s">
        <v>10075</v>
      </c>
      <c r="M121" s="229" t="s">
        <v>10360</v>
      </c>
      <c r="O121" s="102">
        <v>5.0</v>
      </c>
      <c r="P121" s="102" t="s">
        <v>1946</v>
      </c>
      <c r="T121" s="126">
        <v>72000.0</v>
      </c>
      <c r="U121" s="193" t="str">
        <f>IF(ISNUMBER(MATCH(B121, 'Sprint 5'!B:B, 0)), "มาจาก Sprint 5", "")</f>
        <v/>
      </c>
      <c r="W121" s="244" t="str">
        <f t="array" ref="W121">IF(ISNUMBER(MATCH(B121, 'Sprint 5'!B:B, 0)), INDEX('Sprint 5'!J:J, MATCH(B121, 'Sprint 5'!B:B, 0)), "")</f>
        <v/>
      </c>
      <c r="X121" s="102" t="s">
        <v>9184</v>
      </c>
    </row>
    <row r="122" hidden="1">
      <c r="A122" s="102" t="s">
        <v>276</v>
      </c>
      <c r="B122" s="102" t="s">
        <v>10361</v>
      </c>
      <c r="C122" s="229" t="s">
        <v>10362</v>
      </c>
      <c r="D122" s="102" t="s">
        <v>347</v>
      </c>
      <c r="E122" s="102" t="s">
        <v>280</v>
      </c>
      <c r="F122" s="102" t="s">
        <v>281</v>
      </c>
      <c r="G122" s="102" t="s">
        <v>280</v>
      </c>
      <c r="H122" s="102" t="s">
        <v>281</v>
      </c>
      <c r="I122" s="102" t="s">
        <v>284</v>
      </c>
      <c r="J122" s="102" t="s">
        <v>26</v>
      </c>
      <c r="L122" s="229" t="s">
        <v>10363</v>
      </c>
      <c r="M122" s="229" t="s">
        <v>10364</v>
      </c>
      <c r="O122" s="230"/>
      <c r="T122" s="246"/>
      <c r="U122" s="193" t="str">
        <f>IF(ISNUMBER(MATCH(B122, 'Sprint 5'!B:B, 0)), "มาจาก Sprint 5", "")</f>
        <v>มาจาก Sprint 5</v>
      </c>
      <c r="X122" s="102" t="s">
        <v>10282</v>
      </c>
      <c r="Y122" s="102" t="s">
        <v>9882</v>
      </c>
    </row>
    <row r="123" hidden="1">
      <c r="A123" s="102" t="s">
        <v>276</v>
      </c>
      <c r="B123" s="102" t="s">
        <v>10365</v>
      </c>
      <c r="C123" s="229" t="s">
        <v>10366</v>
      </c>
      <c r="D123" s="102" t="s">
        <v>2030</v>
      </c>
      <c r="E123" s="102" t="s">
        <v>280</v>
      </c>
      <c r="F123" s="102" t="s">
        <v>281</v>
      </c>
      <c r="G123" s="102" t="s">
        <v>280</v>
      </c>
      <c r="H123" s="102" t="s">
        <v>281</v>
      </c>
      <c r="I123" s="102" t="s">
        <v>284</v>
      </c>
      <c r="J123" s="102" t="s">
        <v>26</v>
      </c>
      <c r="L123" s="229" t="s">
        <v>10363</v>
      </c>
      <c r="M123" s="229" t="s">
        <v>10367</v>
      </c>
      <c r="O123" s="230"/>
      <c r="T123" s="246"/>
      <c r="U123" s="193" t="str">
        <f>IF(ISNUMBER(MATCH(B123, 'Sprint 5'!B:B, 0)), "มาจาก Sprint 5", "")</f>
        <v>มาจาก Sprint 5</v>
      </c>
      <c r="W123" s="102"/>
      <c r="X123" s="102" t="s">
        <v>10282</v>
      </c>
      <c r="Y123" s="102" t="s">
        <v>9882</v>
      </c>
    </row>
    <row r="124" hidden="1">
      <c r="A124" s="102" t="s">
        <v>310</v>
      </c>
      <c r="B124" s="102" t="s">
        <v>9081</v>
      </c>
      <c r="C124" s="229" t="s">
        <v>9082</v>
      </c>
      <c r="D124" s="102" t="s">
        <v>9083</v>
      </c>
      <c r="E124" s="102" t="s">
        <v>495</v>
      </c>
      <c r="F124" s="102" t="s">
        <v>496</v>
      </c>
      <c r="G124" s="102" t="s">
        <v>282</v>
      </c>
      <c r="H124" s="102" t="s">
        <v>283</v>
      </c>
      <c r="I124" s="102" t="s">
        <v>284</v>
      </c>
      <c r="J124" s="102" t="s">
        <v>454</v>
      </c>
      <c r="L124" s="229" t="s">
        <v>9084</v>
      </c>
      <c r="M124" s="229" t="s">
        <v>10368</v>
      </c>
      <c r="O124" s="102">
        <v>2.0</v>
      </c>
      <c r="P124" s="102" t="s">
        <v>593</v>
      </c>
      <c r="Q124" s="102" t="s">
        <v>1946</v>
      </c>
      <c r="T124" s="126">
        <v>14400.0</v>
      </c>
      <c r="U124" s="193" t="str">
        <f>IF(ISNUMBER(MATCH(B124, 'Sprint 5'!B:B, 0)), "มาจาก Sprint 5", "")</f>
        <v/>
      </c>
      <c r="W124" s="244" t="str">
        <f t="array" ref="W124">IF(ISNUMBER(MATCH(B124, 'Sprint 5'!B:B, 0)), INDEX('Sprint 5'!J:J, MATCH(B124, 'Sprint 5'!B:B, 0)), "")</f>
        <v/>
      </c>
      <c r="X124" s="102" t="s">
        <v>4967</v>
      </c>
    </row>
    <row r="125" hidden="1">
      <c r="A125" s="102" t="s">
        <v>310</v>
      </c>
      <c r="B125" s="102" t="s">
        <v>10369</v>
      </c>
      <c r="C125" s="229" t="s">
        <v>10370</v>
      </c>
      <c r="D125" s="102" t="s">
        <v>10371</v>
      </c>
      <c r="E125" s="102" t="s">
        <v>495</v>
      </c>
      <c r="F125" s="102" t="s">
        <v>496</v>
      </c>
      <c r="G125" s="102" t="s">
        <v>10144</v>
      </c>
      <c r="H125" s="102" t="s">
        <v>305</v>
      </c>
      <c r="I125" s="102" t="s">
        <v>284</v>
      </c>
      <c r="J125" s="102" t="s">
        <v>26</v>
      </c>
      <c r="L125" s="229" t="s">
        <v>10372</v>
      </c>
      <c r="M125" s="229" t="s">
        <v>10373</v>
      </c>
      <c r="N125" s="229" t="s">
        <v>10374</v>
      </c>
      <c r="O125" s="102">
        <v>8.0</v>
      </c>
      <c r="P125" s="102" t="s">
        <v>538</v>
      </c>
      <c r="T125" s="126">
        <v>0.0</v>
      </c>
      <c r="U125" s="193" t="str">
        <f>IF(ISNUMBER(MATCH(B125, 'Sprint 5'!B:B, 0)), "มาจาก Sprint 5", "")</f>
        <v>มาจาก Sprint 5</v>
      </c>
      <c r="V125" s="102">
        <v>172800.0</v>
      </c>
      <c r="W125" s="244" t="str">
        <f t="array" ref="W125">IF(ISNUMBER(MATCH(B125, 'Sprint 5'!B:B, 0)), INDEX('Sprint 5'!J:J, MATCH(B125, 'Sprint 5'!B:B, 0)), "")</f>
        <v>Ready To Test</v>
      </c>
      <c r="X125" s="102" t="s">
        <v>10125</v>
      </c>
      <c r="Y125" s="102" t="s">
        <v>10125</v>
      </c>
      <c r="Z125" s="102" t="s">
        <v>9183</v>
      </c>
      <c r="AA125" s="102" t="s">
        <v>9184</v>
      </c>
    </row>
    <row r="126" hidden="1">
      <c r="A126" s="102" t="s">
        <v>310</v>
      </c>
      <c r="B126" s="102" t="s">
        <v>10375</v>
      </c>
      <c r="C126" s="229" t="s">
        <v>10376</v>
      </c>
      <c r="D126" s="102" t="s">
        <v>10377</v>
      </c>
      <c r="E126" s="102" t="s">
        <v>495</v>
      </c>
      <c r="F126" s="102" t="s">
        <v>496</v>
      </c>
      <c r="G126" s="102" t="s">
        <v>314</v>
      </c>
      <c r="H126" s="102" t="s">
        <v>315</v>
      </c>
      <c r="I126" s="102" t="s">
        <v>515</v>
      </c>
      <c r="J126" s="102" t="s">
        <v>26</v>
      </c>
      <c r="L126" s="229" t="s">
        <v>10378</v>
      </c>
      <c r="M126" s="229" t="s">
        <v>10364</v>
      </c>
      <c r="O126" s="102">
        <v>3.0</v>
      </c>
      <c r="P126" s="102" t="s">
        <v>777</v>
      </c>
      <c r="T126" s="246"/>
      <c r="U126" s="193" t="str">
        <f>IF(ISNUMBER(MATCH(B126, 'Sprint 5'!B:B, 0)), "มาจาก Sprint 5", "")</f>
        <v>มาจาก Sprint 5</v>
      </c>
      <c r="W126" s="244" t="str">
        <f t="array" ref="W126">IF(ISNUMBER(MATCH(B126, 'Sprint 5'!B:B, 0)), INDEX('Sprint 5'!J:J, MATCH(B126, 'Sprint 5'!B:B, 0)), "")</f>
        <v>Ready To Test</v>
      </c>
      <c r="X126" s="102" t="s">
        <v>10282</v>
      </c>
      <c r="Y126" s="102" t="s">
        <v>9882</v>
      </c>
    </row>
    <row r="127">
      <c r="A127" s="102" t="s">
        <v>310</v>
      </c>
      <c r="B127" s="102" t="s">
        <v>10379</v>
      </c>
      <c r="C127" s="229" t="s">
        <v>10380</v>
      </c>
      <c r="D127" s="102" t="s">
        <v>10381</v>
      </c>
      <c r="E127" s="102" t="s">
        <v>9102</v>
      </c>
      <c r="F127" s="102" t="s">
        <v>6861</v>
      </c>
      <c r="G127" s="102" t="s">
        <v>353</v>
      </c>
      <c r="H127" s="102" t="s">
        <v>354</v>
      </c>
      <c r="I127" s="102" t="s">
        <v>284</v>
      </c>
      <c r="J127" s="102" t="s">
        <v>26</v>
      </c>
      <c r="L127" s="229" t="s">
        <v>10382</v>
      </c>
      <c r="M127" s="229" t="s">
        <v>10383</v>
      </c>
      <c r="O127" s="102">
        <v>1.0</v>
      </c>
      <c r="P127" s="102" t="s">
        <v>593</v>
      </c>
      <c r="Q127" s="102" t="s">
        <v>473</v>
      </c>
      <c r="T127" s="126">
        <v>0.0</v>
      </c>
      <c r="U127" s="193" t="str">
        <f>IF(ISNUMBER(MATCH(B127, 'Sprint 5'!B:B, 0)), "มาจาก Sprint 5", "")</f>
        <v>มาจาก Sprint 5</v>
      </c>
      <c r="V127" s="102">
        <v>28800.0</v>
      </c>
      <c r="W127" s="244" t="str">
        <f t="array" ref="W127">IF(ISNUMBER(MATCH(B127, 'Sprint 5'!B:B, 0)), INDEX('Sprint 5'!J:J, MATCH(B127, 'Sprint 5'!B:B, 0)), "")</f>
        <v>Ready to Staging</v>
      </c>
      <c r="X127" s="102" t="s">
        <v>9080</v>
      </c>
      <c r="Y127" s="102" t="s">
        <v>4967</v>
      </c>
    </row>
    <row r="128">
      <c r="A128" s="102" t="s">
        <v>310</v>
      </c>
      <c r="B128" s="102" t="s">
        <v>10384</v>
      </c>
      <c r="C128" s="229" t="s">
        <v>10385</v>
      </c>
      <c r="D128" s="102" t="s">
        <v>10386</v>
      </c>
      <c r="E128" s="102" t="s">
        <v>9102</v>
      </c>
      <c r="F128" s="102" t="s">
        <v>6861</v>
      </c>
      <c r="G128" s="102" t="s">
        <v>353</v>
      </c>
      <c r="H128" s="102" t="s">
        <v>354</v>
      </c>
      <c r="I128" s="102" t="s">
        <v>284</v>
      </c>
      <c r="J128" s="102" t="s">
        <v>26</v>
      </c>
      <c r="L128" s="229" t="s">
        <v>10387</v>
      </c>
      <c r="M128" s="229" t="s">
        <v>10388</v>
      </c>
      <c r="O128" s="102">
        <v>5.0</v>
      </c>
      <c r="P128" s="102" t="s">
        <v>538</v>
      </c>
      <c r="T128" s="126">
        <v>0.0</v>
      </c>
      <c r="U128" s="193" t="str">
        <f>IF(ISNUMBER(MATCH(B128, 'Sprint 5'!B:B, 0)), "มาจาก Sprint 5", "")</f>
        <v>มาจาก Sprint 5</v>
      </c>
      <c r="V128" s="102">
        <v>115200.0</v>
      </c>
      <c r="W128" s="244" t="str">
        <f t="array" ref="W128">IF(ISNUMBER(MATCH(B128, 'Sprint 5'!B:B, 0)), INDEX('Sprint 5'!J:J, MATCH(B128, 'Sprint 5'!B:B, 0)), "")</f>
        <v>Ready to Staging</v>
      </c>
      <c r="X128" s="102" t="s">
        <v>9080</v>
      </c>
      <c r="Y128" s="102" t="s">
        <v>4967</v>
      </c>
    </row>
    <row r="129">
      <c r="A129" s="102" t="s">
        <v>310</v>
      </c>
      <c r="B129" s="102" t="s">
        <v>10389</v>
      </c>
      <c r="C129" s="229" t="s">
        <v>10390</v>
      </c>
      <c r="D129" s="102" t="s">
        <v>10391</v>
      </c>
      <c r="E129" s="102" t="s">
        <v>9102</v>
      </c>
      <c r="F129" s="102" t="s">
        <v>6861</v>
      </c>
      <c r="G129" s="102" t="s">
        <v>353</v>
      </c>
      <c r="H129" s="102" t="s">
        <v>354</v>
      </c>
      <c r="I129" s="102" t="s">
        <v>284</v>
      </c>
      <c r="J129" s="102" t="s">
        <v>26</v>
      </c>
      <c r="L129" s="229" t="s">
        <v>10392</v>
      </c>
      <c r="M129" s="229" t="s">
        <v>10388</v>
      </c>
      <c r="O129" s="102">
        <v>2.0</v>
      </c>
      <c r="P129" s="102" t="s">
        <v>593</v>
      </c>
      <c r="Q129" s="102" t="s">
        <v>473</v>
      </c>
      <c r="T129" s="126">
        <v>0.0</v>
      </c>
      <c r="U129" s="193" t="str">
        <f>IF(ISNUMBER(MATCH(B129, 'Sprint 5'!B:B, 0)), "มาจาก Sprint 5", "")</f>
        <v>มาจาก Sprint 5</v>
      </c>
      <c r="V129" s="102">
        <v>28800.0</v>
      </c>
      <c r="W129" s="244" t="str">
        <f t="array" ref="W129">IF(ISNUMBER(MATCH(B129, 'Sprint 5'!B:B, 0)), INDEX('Sprint 5'!J:J, MATCH(B129, 'Sprint 5'!B:B, 0)), "")</f>
        <v>Ready to Staging</v>
      </c>
      <c r="X129" s="102" t="s">
        <v>9080</v>
      </c>
      <c r="Y129" s="102" t="s">
        <v>4967</v>
      </c>
    </row>
    <row r="130" hidden="1">
      <c r="A130" s="102" t="s">
        <v>310</v>
      </c>
      <c r="B130" s="102" t="s">
        <v>10393</v>
      </c>
      <c r="C130" s="229" t="s">
        <v>10394</v>
      </c>
      <c r="D130" s="102" t="s">
        <v>10395</v>
      </c>
      <c r="E130" s="102" t="s">
        <v>10234</v>
      </c>
      <c r="F130" s="102" t="s">
        <v>565</v>
      </c>
      <c r="G130" s="102" t="s">
        <v>282</v>
      </c>
      <c r="H130" s="102" t="s">
        <v>283</v>
      </c>
      <c r="I130" s="102" t="s">
        <v>284</v>
      </c>
      <c r="J130" s="102" t="s">
        <v>26</v>
      </c>
      <c r="L130" s="229" t="s">
        <v>10396</v>
      </c>
      <c r="M130" s="229" t="s">
        <v>10345</v>
      </c>
      <c r="N130" s="229" t="s">
        <v>10352</v>
      </c>
      <c r="O130" s="102">
        <v>5.0</v>
      </c>
      <c r="P130" s="102" t="s">
        <v>1946</v>
      </c>
      <c r="T130" s="126">
        <v>0.0</v>
      </c>
      <c r="U130" s="193" t="str">
        <f>IF(ISNUMBER(MATCH(B130, 'Sprint 5'!B:B, 0)), "มาจาก Sprint 5", "")</f>
        <v>มาจาก Sprint 5</v>
      </c>
      <c r="V130" s="102">
        <v>72000.0</v>
      </c>
      <c r="W130" s="244" t="str">
        <f t="array" ref="W130">IF(ISNUMBER(MATCH(B130, 'Sprint 5'!B:B, 0)), INDEX('Sprint 5'!J:J, MATCH(B130, 'Sprint 5'!B:B, 0)), "")</f>
        <v>Ready To Test</v>
      </c>
      <c r="X130" s="102" t="s">
        <v>9183</v>
      </c>
      <c r="Y130" s="102" t="s">
        <v>9184</v>
      </c>
    </row>
    <row r="131" hidden="1">
      <c r="A131" s="102" t="s">
        <v>310</v>
      </c>
      <c r="B131" s="102" t="s">
        <v>10397</v>
      </c>
      <c r="C131" s="229" t="s">
        <v>10398</v>
      </c>
      <c r="D131" s="102" t="s">
        <v>10399</v>
      </c>
      <c r="E131" s="102" t="s">
        <v>10144</v>
      </c>
      <c r="F131" s="102" t="s">
        <v>305</v>
      </c>
      <c r="G131" s="102" t="s">
        <v>282</v>
      </c>
      <c r="H131" s="102" t="s">
        <v>283</v>
      </c>
      <c r="I131" s="102" t="s">
        <v>284</v>
      </c>
      <c r="J131" s="102" t="s">
        <v>26</v>
      </c>
      <c r="L131" s="229" t="s">
        <v>10400</v>
      </c>
      <c r="M131" s="229" t="s">
        <v>10345</v>
      </c>
      <c r="O131" s="102">
        <v>3.0</v>
      </c>
      <c r="P131" s="102" t="s">
        <v>1808</v>
      </c>
      <c r="T131" s="126">
        <v>0.0</v>
      </c>
      <c r="U131" s="193" t="str">
        <f>IF(ISNUMBER(MATCH(B131, 'Sprint 5'!B:B, 0)), "มาจาก Sprint 5", "")</f>
        <v>มาจาก Sprint 5</v>
      </c>
      <c r="V131" s="102">
        <v>57600.0</v>
      </c>
      <c r="W131" s="244" t="str">
        <f t="array" ref="W131">IF(ISNUMBER(MATCH(B131, 'Sprint 5'!B:B, 0)), INDEX('Sprint 5'!J:J, MATCH(B131, 'Sprint 5'!B:B, 0)), "")</f>
        <v>Ready to Staging</v>
      </c>
      <c r="X131" s="102" t="s">
        <v>9183</v>
      </c>
      <c r="Y131" s="102" t="s">
        <v>9184</v>
      </c>
    </row>
    <row r="132" hidden="1">
      <c r="A132" s="102" t="s">
        <v>310</v>
      </c>
      <c r="B132" s="102" t="s">
        <v>10076</v>
      </c>
      <c r="C132" s="229" t="s">
        <v>10077</v>
      </c>
      <c r="D132" s="102" t="s">
        <v>10078</v>
      </c>
      <c r="E132" s="102" t="s">
        <v>495</v>
      </c>
      <c r="F132" s="102" t="s">
        <v>496</v>
      </c>
      <c r="G132" s="102" t="s">
        <v>282</v>
      </c>
      <c r="H132" s="102" t="s">
        <v>283</v>
      </c>
      <c r="I132" s="102" t="s">
        <v>284</v>
      </c>
      <c r="J132" s="102" t="s">
        <v>678</v>
      </c>
      <c r="L132" s="229" t="s">
        <v>10079</v>
      </c>
      <c r="M132" s="229" t="s">
        <v>10368</v>
      </c>
      <c r="O132" s="102">
        <v>3.0</v>
      </c>
      <c r="P132" s="102" t="s">
        <v>593</v>
      </c>
      <c r="Q132" s="102" t="s">
        <v>1808</v>
      </c>
      <c r="T132" s="126">
        <v>0.0</v>
      </c>
      <c r="U132" s="193" t="str">
        <f>IF(ISNUMBER(MATCH(B132, 'Sprint 5'!B:B, 0)), "มาจาก Sprint 5", "")</f>
        <v>มาจาก Sprint 5</v>
      </c>
      <c r="V132" s="102">
        <v>28800.0</v>
      </c>
      <c r="W132" s="244" t="str">
        <f t="array" ref="W132">IF(ISNUMBER(MATCH(B132, 'Sprint 5'!B:B, 0)), INDEX('Sprint 5'!J:J, MATCH(B132, 'Sprint 5'!B:B, 0)), "")</f>
        <v>Ready to Staging</v>
      </c>
      <c r="X132" s="102" t="s">
        <v>9079</v>
      </c>
      <c r="Y132" s="102" t="s">
        <v>9080</v>
      </c>
      <c r="Z132" s="102" t="s">
        <v>4967</v>
      </c>
    </row>
    <row r="133" hidden="1">
      <c r="A133" s="102" t="s">
        <v>310</v>
      </c>
      <c r="B133" s="102" t="s">
        <v>10080</v>
      </c>
      <c r="C133" s="229" t="s">
        <v>10081</v>
      </c>
      <c r="D133" s="102" t="s">
        <v>10082</v>
      </c>
      <c r="E133" s="102" t="s">
        <v>10212</v>
      </c>
      <c r="F133" s="102" t="s">
        <v>6316</v>
      </c>
      <c r="G133" s="102" t="s">
        <v>282</v>
      </c>
      <c r="H133" s="102" t="s">
        <v>283</v>
      </c>
      <c r="I133" s="102" t="s">
        <v>284</v>
      </c>
      <c r="J133" s="102" t="s">
        <v>678</v>
      </c>
      <c r="L133" s="229" t="s">
        <v>9091</v>
      </c>
      <c r="M133" s="229" t="s">
        <v>10401</v>
      </c>
      <c r="O133" s="102">
        <v>2.0</v>
      </c>
      <c r="P133" s="102" t="s">
        <v>777</v>
      </c>
      <c r="T133" s="246"/>
      <c r="U133" s="193" t="str">
        <f>IF(ISNUMBER(MATCH(B133, 'Sprint 5'!B:B, 0)), "มาจาก Sprint 5", "")</f>
        <v/>
      </c>
      <c r="W133" s="244" t="str">
        <f t="array" ref="W133">IF(ISNUMBER(MATCH(B133, 'Sprint 5'!B:B, 0)), INDEX('Sprint 5'!J:J, MATCH(B133, 'Sprint 5'!B:B, 0)), "")</f>
        <v/>
      </c>
      <c r="X133" s="102" t="s">
        <v>4967</v>
      </c>
    </row>
    <row r="134" hidden="1">
      <c r="A134" s="102" t="s">
        <v>310</v>
      </c>
      <c r="B134" s="102" t="s">
        <v>9088</v>
      </c>
      <c r="C134" s="229" t="s">
        <v>9089</v>
      </c>
      <c r="D134" s="102" t="s">
        <v>9090</v>
      </c>
      <c r="E134" s="102" t="s">
        <v>495</v>
      </c>
      <c r="F134" s="102" t="s">
        <v>496</v>
      </c>
      <c r="G134" s="102" t="s">
        <v>282</v>
      </c>
      <c r="H134" s="102" t="s">
        <v>283</v>
      </c>
      <c r="I134" s="102" t="s">
        <v>284</v>
      </c>
      <c r="J134" s="102" t="s">
        <v>678</v>
      </c>
      <c r="L134" s="229" t="s">
        <v>9091</v>
      </c>
      <c r="M134" s="229" t="s">
        <v>10402</v>
      </c>
      <c r="O134" s="102">
        <v>2.0</v>
      </c>
      <c r="P134" s="102" t="s">
        <v>593</v>
      </c>
      <c r="Q134" s="102" t="s">
        <v>7229</v>
      </c>
      <c r="T134" s="126">
        <v>0.0</v>
      </c>
      <c r="U134" s="193" t="str">
        <f>IF(ISNUMBER(MATCH(B134, 'Sprint 5'!B:B, 0)), "มาจาก Sprint 5", "")</f>
        <v>มาจาก Sprint 5</v>
      </c>
      <c r="V134" s="102">
        <v>14400.0</v>
      </c>
      <c r="W134" s="244" t="str">
        <f t="array" ref="W134">IF(ISNUMBER(MATCH(B134, 'Sprint 5'!B:B, 0)), INDEX('Sprint 5'!J:J, MATCH(B134, 'Sprint 5'!B:B, 0)), "")</f>
        <v>Ready to Staging</v>
      </c>
      <c r="X134" s="102" t="s">
        <v>9079</v>
      </c>
      <c r="Y134" s="102" t="s">
        <v>9080</v>
      </c>
      <c r="Z134" s="102" t="s">
        <v>4967</v>
      </c>
    </row>
    <row r="135" hidden="1">
      <c r="A135" s="102" t="s">
        <v>332</v>
      </c>
      <c r="B135" s="102" t="s">
        <v>10083</v>
      </c>
      <c r="C135" s="229" t="s">
        <v>10084</v>
      </c>
      <c r="D135" s="102" t="s">
        <v>10085</v>
      </c>
      <c r="E135" s="102" t="s">
        <v>282</v>
      </c>
      <c r="F135" s="102" t="s">
        <v>283</v>
      </c>
      <c r="G135" s="102" t="s">
        <v>316</v>
      </c>
      <c r="H135" s="102" t="s">
        <v>317</v>
      </c>
      <c r="I135" s="102" t="s">
        <v>515</v>
      </c>
      <c r="J135" s="102" t="s">
        <v>2231</v>
      </c>
      <c r="L135" s="229" t="s">
        <v>10086</v>
      </c>
      <c r="M135" s="229" t="s">
        <v>10290</v>
      </c>
      <c r="N135" s="229" t="s">
        <v>10087</v>
      </c>
      <c r="O135" s="230"/>
      <c r="T135" s="246"/>
      <c r="U135" s="193" t="str">
        <f>IF(ISNUMBER(MATCH(B135, 'Sprint 5'!B:B, 0)), "มาจาก Sprint 5", "")</f>
        <v>มาจาก Sprint 5</v>
      </c>
      <c r="X135" s="102" t="s">
        <v>9079</v>
      </c>
      <c r="Y135" s="102" t="s">
        <v>9080</v>
      </c>
      <c r="Z135" s="102" t="s">
        <v>4967</v>
      </c>
    </row>
    <row r="136" hidden="1">
      <c r="A136" s="102" t="s">
        <v>332</v>
      </c>
      <c r="B136" s="102" t="s">
        <v>10093</v>
      </c>
      <c r="C136" s="229" t="s">
        <v>10094</v>
      </c>
      <c r="D136" s="102" t="s">
        <v>10095</v>
      </c>
      <c r="E136" s="102" t="s">
        <v>282</v>
      </c>
      <c r="F136" s="102" t="s">
        <v>283</v>
      </c>
      <c r="G136" s="102" t="s">
        <v>316</v>
      </c>
      <c r="H136" s="102" t="s">
        <v>317</v>
      </c>
      <c r="I136" s="102" t="s">
        <v>284</v>
      </c>
      <c r="J136" s="102" t="s">
        <v>2231</v>
      </c>
      <c r="L136" s="229" t="s">
        <v>10096</v>
      </c>
      <c r="M136" s="229" t="s">
        <v>10403</v>
      </c>
      <c r="N136" s="229" t="s">
        <v>10097</v>
      </c>
      <c r="O136" s="230"/>
      <c r="T136" s="246"/>
      <c r="U136" s="193" t="str">
        <f>IF(ISNUMBER(MATCH(B136, 'Sprint 5'!B:B, 0)), "มาจาก Sprint 5", "")</f>
        <v>มาจาก Sprint 5</v>
      </c>
      <c r="X136" s="102" t="s">
        <v>9079</v>
      </c>
      <c r="Y136" s="102" t="s">
        <v>9080</v>
      </c>
      <c r="Z136" s="102" t="s">
        <v>4967</v>
      </c>
    </row>
    <row r="137" hidden="1">
      <c r="A137" s="102" t="s">
        <v>310</v>
      </c>
      <c r="B137" s="102" t="s">
        <v>10404</v>
      </c>
      <c r="C137" s="229" t="s">
        <v>10405</v>
      </c>
      <c r="D137" s="102" t="s">
        <v>10406</v>
      </c>
      <c r="G137" s="102" t="s">
        <v>10407</v>
      </c>
      <c r="H137" s="102" t="s">
        <v>10408</v>
      </c>
      <c r="I137" s="102" t="s">
        <v>284</v>
      </c>
      <c r="J137" s="102" t="s">
        <v>63</v>
      </c>
      <c r="L137" s="229" t="s">
        <v>10409</v>
      </c>
      <c r="M137" s="229" t="s">
        <v>10061</v>
      </c>
      <c r="O137" s="230"/>
      <c r="T137" s="246"/>
      <c r="U137" s="193" t="str">
        <f>IF(ISNUMBER(MATCH(B137, 'Sprint 5'!B:B, 0)), "มาจาก Sprint 5", "")</f>
        <v>มาจาก Sprint 5</v>
      </c>
      <c r="V137" s="247"/>
      <c r="W137" s="244" t="str">
        <f t="array" ref="W137">IF(ISNUMBER(MATCH(B137, 'Sprint 5'!B:B, 0)), INDEX('Sprint 5'!J:J, MATCH(B137, 'Sprint 5'!B:B, 0)), "")</f>
        <v>To Do</v>
      </c>
      <c r="X137" s="102" t="s">
        <v>9080</v>
      </c>
      <c r="Y137" s="102" t="s">
        <v>4967</v>
      </c>
    </row>
    <row r="138" hidden="1">
      <c r="A138" s="102" t="s">
        <v>310</v>
      </c>
      <c r="B138" s="102" t="s">
        <v>10103</v>
      </c>
      <c r="C138" s="229" t="s">
        <v>10104</v>
      </c>
      <c r="D138" s="102" t="s">
        <v>10105</v>
      </c>
      <c r="E138" s="102" t="s">
        <v>282</v>
      </c>
      <c r="F138" s="102" t="s">
        <v>283</v>
      </c>
      <c r="G138" s="102" t="s">
        <v>282</v>
      </c>
      <c r="H138" s="102" t="s">
        <v>283</v>
      </c>
      <c r="I138" s="102" t="s">
        <v>284</v>
      </c>
      <c r="J138" s="102" t="s">
        <v>454</v>
      </c>
      <c r="L138" s="229" t="s">
        <v>10106</v>
      </c>
      <c r="M138" s="229" t="s">
        <v>10061</v>
      </c>
      <c r="O138" s="102">
        <v>2.0</v>
      </c>
      <c r="P138" s="102" t="s">
        <v>1808</v>
      </c>
      <c r="T138" s="126">
        <v>0.0</v>
      </c>
      <c r="U138" s="193" t="str">
        <f>IF(ISNUMBER(MATCH(B138, 'Sprint 5'!B:B, 0)), "มาจาก Sprint 5", "")</f>
        <v>มาจาก Sprint 5</v>
      </c>
      <c r="V138" s="102">
        <v>21600.0</v>
      </c>
      <c r="W138" s="244" t="str">
        <f t="array" ref="W138">IF(ISNUMBER(MATCH(B138, 'Sprint 5'!B:B, 0)), INDEX('Sprint 5'!J:J, MATCH(B138, 'Sprint 5'!B:B, 0)), "")</f>
        <v>Ready To Test</v>
      </c>
      <c r="X138" s="102" t="s">
        <v>10062</v>
      </c>
      <c r="Y138" s="102" t="s">
        <v>9079</v>
      </c>
      <c r="Z138" s="102" t="s">
        <v>9080</v>
      </c>
      <c r="AA138" s="102" t="s">
        <v>4967</v>
      </c>
    </row>
    <row r="139" hidden="1">
      <c r="A139" s="102" t="s">
        <v>310</v>
      </c>
      <c r="B139" s="102" t="s">
        <v>10107</v>
      </c>
      <c r="C139" s="229" t="s">
        <v>10108</v>
      </c>
      <c r="D139" s="102" t="s">
        <v>10109</v>
      </c>
      <c r="E139" s="102" t="s">
        <v>282</v>
      </c>
      <c r="F139" s="102" t="s">
        <v>283</v>
      </c>
      <c r="G139" s="102" t="s">
        <v>316</v>
      </c>
      <c r="H139" s="102" t="s">
        <v>317</v>
      </c>
      <c r="I139" s="102" t="s">
        <v>284</v>
      </c>
      <c r="J139" s="102" t="s">
        <v>63</v>
      </c>
      <c r="L139" s="229" t="s">
        <v>10110</v>
      </c>
      <c r="M139" s="229" t="s">
        <v>10061</v>
      </c>
      <c r="N139" s="229" t="s">
        <v>10112</v>
      </c>
      <c r="O139" s="230"/>
      <c r="P139" s="102" t="s">
        <v>593</v>
      </c>
      <c r="T139" s="246"/>
      <c r="U139" s="193" t="str">
        <f>IF(ISNUMBER(MATCH(B139, 'Sprint 5'!B:B, 0)), "มาจาก Sprint 5", "")</f>
        <v>มาจาก Sprint 5</v>
      </c>
      <c r="V139" s="247"/>
      <c r="W139" s="244" t="str">
        <f t="array" ref="W139">IF(ISNUMBER(MATCH(B139, 'Sprint 5'!B:B, 0)), INDEX('Sprint 5'!J:J, MATCH(B139, 'Sprint 5'!B:B, 0)), "")</f>
        <v>To Do</v>
      </c>
      <c r="X139" s="102" t="s">
        <v>9079</v>
      </c>
      <c r="Y139" s="102" t="s">
        <v>9080</v>
      </c>
      <c r="Z139" s="102" t="s">
        <v>4967</v>
      </c>
    </row>
    <row r="140" hidden="1">
      <c r="A140" s="102" t="s">
        <v>332</v>
      </c>
      <c r="B140" s="102" t="s">
        <v>10113</v>
      </c>
      <c r="C140" s="229" t="s">
        <v>10114</v>
      </c>
      <c r="D140" s="102" t="s">
        <v>10115</v>
      </c>
      <c r="E140" s="102" t="s">
        <v>353</v>
      </c>
      <c r="F140" s="102" t="s">
        <v>354</v>
      </c>
      <c r="G140" s="102" t="s">
        <v>316</v>
      </c>
      <c r="H140" s="102" t="s">
        <v>317</v>
      </c>
      <c r="I140" s="102" t="s">
        <v>515</v>
      </c>
      <c r="J140" s="102" t="s">
        <v>922</v>
      </c>
      <c r="L140" s="229" t="s">
        <v>10116</v>
      </c>
      <c r="M140" s="229" t="s">
        <v>10061</v>
      </c>
      <c r="O140" s="102">
        <v>3.0</v>
      </c>
      <c r="T140" s="246"/>
      <c r="U140" s="193" t="str">
        <f>IF(ISNUMBER(MATCH(B140, 'Sprint 5'!B:B, 0)), "มาจาก Sprint 5", "")</f>
        <v>มาจาก Sprint 5</v>
      </c>
      <c r="X140" s="102" t="s">
        <v>10062</v>
      </c>
      <c r="Y140" s="102" t="s">
        <v>9079</v>
      </c>
      <c r="Z140" s="102" t="s">
        <v>9080</v>
      </c>
      <c r="AA140" s="102" t="s">
        <v>4967</v>
      </c>
    </row>
    <row r="141" hidden="1">
      <c r="A141" s="102" t="s">
        <v>332</v>
      </c>
      <c r="B141" s="102" t="s">
        <v>10118</v>
      </c>
      <c r="C141" s="229" t="s">
        <v>10119</v>
      </c>
      <c r="D141" s="102" t="s">
        <v>10120</v>
      </c>
      <c r="E141" s="102" t="s">
        <v>513</v>
      </c>
      <c r="F141" s="102" t="s">
        <v>514</v>
      </c>
      <c r="G141" s="102" t="s">
        <v>521</v>
      </c>
      <c r="H141" s="102" t="s">
        <v>522</v>
      </c>
      <c r="I141" s="102" t="s">
        <v>284</v>
      </c>
      <c r="J141" s="102" t="s">
        <v>922</v>
      </c>
      <c r="L141" s="229" t="s">
        <v>10121</v>
      </c>
      <c r="M141" s="229" t="s">
        <v>10410</v>
      </c>
      <c r="O141" s="230"/>
      <c r="T141" s="246"/>
      <c r="U141" s="193" t="str">
        <f>IF(ISNUMBER(MATCH(B141, 'Sprint 5'!B:B, 0)), "มาจาก Sprint 5", "")</f>
        <v>มาจาก Sprint 5</v>
      </c>
      <c r="X141" s="102" t="s">
        <v>10123</v>
      </c>
      <c r="Y141" s="102" t="s">
        <v>10124</v>
      </c>
      <c r="Z141" s="102" t="s">
        <v>10125</v>
      </c>
      <c r="AA141" s="102" t="s">
        <v>10125</v>
      </c>
      <c r="AB141" s="102" t="s">
        <v>9183</v>
      </c>
      <c r="AC141" s="102" t="s">
        <v>9184</v>
      </c>
    </row>
    <row r="142" hidden="1">
      <c r="A142" s="102" t="s">
        <v>4410</v>
      </c>
      <c r="B142" s="102" t="s">
        <v>10411</v>
      </c>
      <c r="C142" s="229" t="s">
        <v>10412</v>
      </c>
      <c r="D142" s="102" t="s">
        <v>10413</v>
      </c>
      <c r="E142" s="102" t="s">
        <v>314</v>
      </c>
      <c r="F142" s="102" t="s">
        <v>315</v>
      </c>
      <c r="G142" s="102" t="s">
        <v>314</v>
      </c>
      <c r="H142" s="102" t="s">
        <v>315</v>
      </c>
      <c r="I142" s="102" t="s">
        <v>284</v>
      </c>
      <c r="J142" s="102" t="s">
        <v>26</v>
      </c>
      <c r="L142" s="229" t="s">
        <v>10414</v>
      </c>
      <c r="M142" s="229" t="s">
        <v>10415</v>
      </c>
      <c r="O142" s="102">
        <v>2.0</v>
      </c>
      <c r="T142" s="126">
        <v>0.0</v>
      </c>
      <c r="U142" s="193" t="str">
        <f>IF(ISNUMBER(MATCH(B142, 'Sprint 5'!B:B, 0)), "มาจาก Sprint 5", "")</f>
        <v>มาจาก Sprint 5</v>
      </c>
      <c r="V142" s="102">
        <v>1800.0</v>
      </c>
      <c r="W142" s="244" t="str">
        <f t="array" ref="W142">IF(ISNUMBER(MATCH(B142, 'Sprint 5'!B:B, 0)), INDEX('Sprint 5'!J:J, MATCH(B142, 'Sprint 5'!B:B, 0)), "")</f>
        <v>In Review</v>
      </c>
      <c r="X142" s="102" t="s">
        <v>10062</v>
      </c>
      <c r="Y142" s="102" t="s">
        <v>9079</v>
      </c>
      <c r="Z142" s="102" t="s">
        <v>9080</v>
      </c>
      <c r="AA142" s="102" t="s">
        <v>4967</v>
      </c>
    </row>
    <row r="143" hidden="1">
      <c r="A143" s="102" t="s">
        <v>332</v>
      </c>
      <c r="B143" s="102" t="s">
        <v>10126</v>
      </c>
      <c r="C143" s="229" t="s">
        <v>10127</v>
      </c>
      <c r="D143" s="102" t="s">
        <v>10128</v>
      </c>
      <c r="E143" s="102" t="s">
        <v>513</v>
      </c>
      <c r="F143" s="102" t="s">
        <v>514</v>
      </c>
      <c r="G143" s="102" t="s">
        <v>316</v>
      </c>
      <c r="H143" s="102" t="s">
        <v>317</v>
      </c>
      <c r="I143" s="102" t="s">
        <v>515</v>
      </c>
      <c r="J143" s="102" t="s">
        <v>497</v>
      </c>
      <c r="L143" s="229" t="s">
        <v>10129</v>
      </c>
      <c r="M143" s="229" t="s">
        <v>10416</v>
      </c>
      <c r="N143" s="229" t="s">
        <v>10131</v>
      </c>
      <c r="O143" s="102">
        <v>3.0</v>
      </c>
      <c r="T143" s="246"/>
      <c r="U143" s="193" t="str">
        <f>IF(ISNUMBER(MATCH(B143, 'Sprint 5'!B:B, 0)), "มาจาก Sprint 5", "")</f>
        <v>มาจาก Sprint 5</v>
      </c>
      <c r="X143" s="102" t="s">
        <v>9079</v>
      </c>
      <c r="Y143" s="102" t="s">
        <v>4967</v>
      </c>
    </row>
    <row r="144" hidden="1">
      <c r="A144" s="102" t="s">
        <v>332</v>
      </c>
      <c r="B144" s="102" t="s">
        <v>10132</v>
      </c>
      <c r="C144" s="229" t="s">
        <v>10133</v>
      </c>
      <c r="D144" s="102" t="s">
        <v>10134</v>
      </c>
      <c r="E144" s="102" t="s">
        <v>282</v>
      </c>
      <c r="F144" s="102" t="s">
        <v>283</v>
      </c>
      <c r="G144" s="102" t="s">
        <v>316</v>
      </c>
      <c r="H144" s="102" t="s">
        <v>317</v>
      </c>
      <c r="I144" s="102" t="s">
        <v>515</v>
      </c>
      <c r="J144" s="102" t="s">
        <v>2231</v>
      </c>
      <c r="L144" s="229" t="s">
        <v>10135</v>
      </c>
      <c r="M144" s="229" t="s">
        <v>10417</v>
      </c>
      <c r="N144" s="229" t="s">
        <v>10136</v>
      </c>
      <c r="O144" s="230"/>
      <c r="T144" s="246"/>
      <c r="U144" s="193" t="str">
        <f>IF(ISNUMBER(MATCH(B144, 'Sprint 5'!B:B, 0)), "มาจาก Sprint 5", "")</f>
        <v>มาจาก Sprint 5</v>
      </c>
      <c r="X144" s="102" t="s">
        <v>9079</v>
      </c>
      <c r="Y144" s="102" t="s">
        <v>9080</v>
      </c>
      <c r="Z144" s="102" t="s">
        <v>4967</v>
      </c>
    </row>
    <row r="145" hidden="1">
      <c r="O145" s="230"/>
      <c r="R145" s="230"/>
      <c r="T145" s="246"/>
      <c r="U145" s="193" t="str">
        <f>IF(ISNUMBER(MATCH(I145, 'Sprint 3'!I:I, 0)), "มาจาก Sprint 3", "")</f>
        <v/>
      </c>
      <c r="X145" s="193"/>
    </row>
    <row r="146" hidden="1">
      <c r="O146" s="230"/>
      <c r="R146" s="230"/>
      <c r="T146" s="246"/>
      <c r="U146" s="193" t="str">
        <f>IF(ISNUMBER(MATCH(I146, 'Sprint 3'!I:I, 0)), "มาจาก Sprint 3", "")</f>
        <v/>
      </c>
      <c r="X146" s="193"/>
    </row>
    <row r="147" hidden="1">
      <c r="O147" s="230"/>
      <c r="R147" s="230"/>
      <c r="T147" s="246"/>
      <c r="U147" s="193" t="str">
        <f>IF(ISNUMBER(MATCH(I147, 'Sprint 3'!I:I, 0)), "มาจาก Sprint 3", "")</f>
        <v/>
      </c>
      <c r="X147" s="193"/>
    </row>
    <row r="148" hidden="1">
      <c r="O148" s="230"/>
      <c r="R148" s="230"/>
      <c r="T148" s="246"/>
      <c r="U148" s="193" t="str">
        <f>IF(ISNUMBER(MATCH(I148, 'Sprint 3'!I:I, 0)), "มาจาก Sprint 3", "")</f>
        <v/>
      </c>
      <c r="X148" s="193"/>
    </row>
    <row r="149" hidden="1">
      <c r="O149" s="230"/>
      <c r="R149" s="230"/>
      <c r="T149" s="246"/>
      <c r="U149" s="193"/>
      <c r="X149" s="193"/>
    </row>
    <row r="150" hidden="1">
      <c r="O150" s="230"/>
      <c r="R150" s="230"/>
      <c r="T150" s="246"/>
      <c r="U150" s="193"/>
      <c r="X150" s="193"/>
    </row>
    <row r="151" hidden="1">
      <c r="O151" s="230"/>
      <c r="R151" s="230"/>
      <c r="T151" s="246"/>
      <c r="U151" s="193"/>
      <c r="X151" s="193"/>
    </row>
    <row r="152" hidden="1">
      <c r="O152" s="230"/>
      <c r="R152" s="230"/>
      <c r="T152" s="246"/>
      <c r="U152" s="193"/>
      <c r="X152" s="193"/>
    </row>
    <row r="153" hidden="1">
      <c r="O153" s="230"/>
      <c r="R153" s="230"/>
      <c r="T153" s="246"/>
      <c r="U153" s="193"/>
      <c r="X153" s="193"/>
    </row>
    <row r="154" hidden="1">
      <c r="O154" s="230"/>
      <c r="R154" s="230"/>
      <c r="T154" s="246"/>
      <c r="U154" s="193"/>
      <c r="X154" s="193"/>
    </row>
    <row r="155" hidden="1">
      <c r="O155" s="230"/>
      <c r="R155" s="230"/>
      <c r="T155" s="246"/>
      <c r="U155" s="193"/>
      <c r="X155" s="193"/>
    </row>
    <row r="156" hidden="1">
      <c r="O156" s="230"/>
      <c r="R156" s="230"/>
      <c r="T156" s="246"/>
      <c r="U156" s="193"/>
      <c r="X156" s="193"/>
    </row>
    <row r="157" hidden="1">
      <c r="O157" s="230"/>
      <c r="R157" s="230"/>
      <c r="T157" s="246"/>
      <c r="U157" s="193"/>
      <c r="X157" s="193"/>
    </row>
    <row r="158" hidden="1">
      <c r="O158" s="230"/>
      <c r="R158" s="230"/>
      <c r="T158" s="246"/>
      <c r="U158" s="193"/>
      <c r="X158" s="193"/>
    </row>
    <row r="159" hidden="1">
      <c r="O159" s="230"/>
      <c r="R159" s="230"/>
      <c r="T159" s="246"/>
      <c r="U159" s="193"/>
      <c r="X159" s="193"/>
    </row>
    <row r="160" hidden="1">
      <c r="O160" s="230"/>
      <c r="R160" s="230"/>
      <c r="T160" s="246"/>
      <c r="U160" s="193"/>
      <c r="X160" s="193"/>
    </row>
    <row r="161" hidden="1">
      <c r="O161" s="230"/>
      <c r="R161" s="230"/>
      <c r="T161" s="246"/>
      <c r="U161" s="193"/>
      <c r="X161" s="193"/>
    </row>
    <row r="162" hidden="1">
      <c r="O162" s="230"/>
      <c r="R162" s="230"/>
      <c r="T162" s="246"/>
      <c r="U162" s="193"/>
      <c r="X162" s="193"/>
    </row>
    <row r="163" hidden="1">
      <c r="O163" s="230"/>
      <c r="R163" s="230"/>
      <c r="T163" s="246"/>
      <c r="U163" s="193"/>
      <c r="X163" s="193"/>
    </row>
    <row r="164" hidden="1">
      <c r="O164" s="230"/>
      <c r="R164" s="230"/>
      <c r="T164" s="246"/>
      <c r="U164" s="193"/>
      <c r="X164" s="193"/>
    </row>
    <row r="165" hidden="1">
      <c r="O165" s="230"/>
      <c r="R165" s="230"/>
      <c r="T165" s="246"/>
      <c r="U165" s="193"/>
      <c r="X165" s="193"/>
    </row>
    <row r="166" hidden="1">
      <c r="O166" s="230"/>
      <c r="R166" s="230"/>
      <c r="T166" s="246"/>
      <c r="U166" s="193"/>
      <c r="X166" s="193"/>
    </row>
    <row r="167" hidden="1">
      <c r="O167" s="230"/>
      <c r="R167" s="230"/>
      <c r="T167" s="246"/>
      <c r="U167" s="193"/>
      <c r="X167" s="193"/>
    </row>
    <row r="168" hidden="1">
      <c r="O168" s="230"/>
      <c r="R168" s="230"/>
      <c r="T168" s="246"/>
      <c r="U168" s="193"/>
      <c r="X168" s="193"/>
    </row>
    <row r="169" hidden="1">
      <c r="O169" s="230"/>
      <c r="R169" s="230"/>
      <c r="T169" s="246"/>
      <c r="U169" s="193"/>
      <c r="X169" s="193"/>
    </row>
    <row r="170" hidden="1">
      <c r="O170" s="230"/>
      <c r="R170" s="230"/>
      <c r="T170" s="246"/>
      <c r="U170" s="193"/>
      <c r="X170" s="193"/>
    </row>
    <row r="171" hidden="1">
      <c r="O171" s="230"/>
      <c r="R171" s="230"/>
      <c r="T171" s="246"/>
      <c r="U171" s="193"/>
      <c r="X171" s="193"/>
    </row>
    <row r="172" hidden="1">
      <c r="O172" s="230"/>
      <c r="R172" s="230"/>
      <c r="T172" s="246"/>
      <c r="U172" s="193"/>
      <c r="X172" s="193"/>
    </row>
    <row r="173" hidden="1">
      <c r="O173" s="230"/>
      <c r="R173" s="230"/>
      <c r="T173" s="246"/>
      <c r="U173" s="193"/>
      <c r="X173" s="193"/>
    </row>
    <row r="174" hidden="1">
      <c r="O174" s="230"/>
      <c r="R174" s="230"/>
      <c r="T174" s="246"/>
      <c r="U174" s="193"/>
      <c r="X174" s="193"/>
    </row>
    <row r="175" hidden="1">
      <c r="O175" s="230"/>
      <c r="R175" s="230"/>
      <c r="T175" s="246"/>
      <c r="U175" s="193"/>
      <c r="X175" s="193"/>
    </row>
    <row r="176" hidden="1">
      <c r="O176" s="230"/>
      <c r="R176" s="230"/>
      <c r="T176" s="246"/>
      <c r="U176" s="193"/>
      <c r="X176" s="193"/>
    </row>
    <row r="177" hidden="1">
      <c r="O177" s="230"/>
      <c r="R177" s="230"/>
      <c r="T177" s="246"/>
      <c r="U177" s="193"/>
      <c r="X177" s="193"/>
    </row>
    <row r="178" hidden="1">
      <c r="O178" s="230"/>
      <c r="R178" s="230"/>
      <c r="T178" s="246"/>
      <c r="U178" s="193"/>
      <c r="X178" s="193"/>
    </row>
    <row r="179" hidden="1">
      <c r="O179" s="230"/>
      <c r="R179" s="230"/>
      <c r="T179" s="246"/>
      <c r="U179" s="193"/>
      <c r="X179" s="193"/>
    </row>
    <row r="180" hidden="1">
      <c r="O180" s="230"/>
      <c r="R180" s="230"/>
      <c r="T180" s="246"/>
      <c r="U180" s="193"/>
      <c r="X180" s="193"/>
    </row>
    <row r="181" hidden="1">
      <c r="O181" s="230"/>
      <c r="R181" s="230"/>
      <c r="T181" s="246"/>
      <c r="U181" s="193"/>
      <c r="X181" s="193"/>
    </row>
    <row r="182" hidden="1">
      <c r="O182" s="230"/>
      <c r="R182" s="230"/>
      <c r="T182" s="246"/>
      <c r="U182" s="193"/>
      <c r="X182" s="193"/>
    </row>
    <row r="183" hidden="1">
      <c r="O183" s="230"/>
      <c r="R183" s="230"/>
      <c r="T183" s="246"/>
      <c r="U183" s="193"/>
      <c r="X183" s="193"/>
    </row>
    <row r="184" hidden="1">
      <c r="O184" s="230"/>
      <c r="R184" s="230"/>
      <c r="T184" s="246"/>
      <c r="U184" s="193"/>
      <c r="X184" s="193"/>
    </row>
    <row r="185" hidden="1">
      <c r="O185" s="230"/>
      <c r="R185" s="230"/>
      <c r="T185" s="246"/>
      <c r="U185" s="193"/>
      <c r="X185" s="193"/>
    </row>
    <row r="186" hidden="1">
      <c r="O186" s="230"/>
      <c r="R186" s="230"/>
      <c r="T186" s="246"/>
      <c r="U186" s="193"/>
      <c r="X186" s="193"/>
    </row>
    <row r="187" hidden="1">
      <c r="O187" s="230"/>
      <c r="R187" s="230"/>
      <c r="T187" s="246"/>
      <c r="U187" s="193"/>
      <c r="X187" s="193"/>
    </row>
    <row r="188" hidden="1">
      <c r="O188" s="230"/>
      <c r="R188" s="230"/>
      <c r="S188" s="229" t="s">
        <v>4886</v>
      </c>
      <c r="T188" s="246"/>
      <c r="U188" s="193"/>
      <c r="X188" s="193"/>
    </row>
    <row r="189" hidden="1">
      <c r="O189" s="230"/>
      <c r="R189" s="230"/>
      <c r="S189" s="229" t="s">
        <v>10418</v>
      </c>
      <c r="T189" s="246"/>
      <c r="U189" s="193"/>
      <c r="X189" s="193"/>
    </row>
    <row r="190" hidden="1">
      <c r="O190" s="230"/>
      <c r="R190" s="230"/>
      <c r="T190" s="246"/>
      <c r="U190" s="193"/>
      <c r="X190" s="193"/>
    </row>
    <row r="191" hidden="1">
      <c r="O191" s="230"/>
      <c r="R191" s="230"/>
      <c r="T191" s="246"/>
      <c r="U191" s="193"/>
      <c r="X191" s="193"/>
    </row>
    <row r="192" hidden="1">
      <c r="O192" s="230"/>
      <c r="R192" s="230"/>
      <c r="T192" s="246"/>
      <c r="U192" s="193"/>
      <c r="X192" s="193"/>
    </row>
    <row r="193" hidden="1">
      <c r="O193" s="230"/>
      <c r="R193" s="230"/>
      <c r="T193" s="246"/>
      <c r="U193" s="193"/>
      <c r="X193" s="193"/>
    </row>
    <row r="194" hidden="1">
      <c r="O194" s="230"/>
      <c r="R194" s="230"/>
      <c r="T194" s="246"/>
      <c r="U194" s="193"/>
      <c r="X194" s="193"/>
    </row>
    <row r="195" hidden="1">
      <c r="O195" s="230"/>
      <c r="R195" s="230"/>
      <c r="T195" s="246"/>
      <c r="U195" s="193"/>
      <c r="X195" s="193"/>
    </row>
    <row r="196" hidden="1">
      <c r="O196" s="230"/>
      <c r="R196" s="230"/>
      <c r="T196" s="246"/>
      <c r="U196" s="193"/>
      <c r="X196" s="193"/>
    </row>
    <row r="197" hidden="1">
      <c r="O197" s="230"/>
      <c r="R197" s="230"/>
      <c r="S197" s="229" t="s">
        <v>4791</v>
      </c>
      <c r="T197" s="246"/>
      <c r="U197" s="193"/>
      <c r="X197" s="193"/>
    </row>
    <row r="198" hidden="1">
      <c r="O198" s="230"/>
      <c r="R198" s="230"/>
      <c r="S198" s="229" t="s">
        <v>10418</v>
      </c>
      <c r="T198" s="246"/>
      <c r="U198" s="193"/>
      <c r="X198" s="193"/>
    </row>
    <row r="199" hidden="1">
      <c r="O199" s="230"/>
      <c r="R199" s="230"/>
      <c r="S199" s="229" t="s">
        <v>10418</v>
      </c>
      <c r="T199" s="246"/>
      <c r="U199" s="193"/>
      <c r="X199" s="193"/>
    </row>
    <row r="200" hidden="1">
      <c r="O200" s="230"/>
      <c r="R200" s="230"/>
      <c r="T200" s="246"/>
      <c r="U200" s="193"/>
      <c r="X200" s="193"/>
    </row>
    <row r="201" hidden="1">
      <c r="O201" s="230"/>
      <c r="R201" s="230"/>
      <c r="T201" s="246"/>
      <c r="U201" s="193"/>
      <c r="X201" s="193"/>
    </row>
    <row r="202" hidden="1">
      <c r="O202" s="230"/>
      <c r="R202" s="230"/>
      <c r="S202" s="229" t="s">
        <v>4783</v>
      </c>
      <c r="T202" s="246"/>
      <c r="U202" s="193"/>
      <c r="X202" s="193"/>
    </row>
    <row r="203" hidden="1">
      <c r="O203" s="230"/>
      <c r="R203" s="230"/>
      <c r="S203" s="229" t="s">
        <v>4852</v>
      </c>
      <c r="T203" s="246"/>
      <c r="U203" s="193"/>
      <c r="X203" s="193"/>
    </row>
    <row r="204" hidden="1">
      <c r="O204" s="230"/>
      <c r="R204" s="230"/>
      <c r="T204" s="246"/>
      <c r="U204" s="193"/>
      <c r="X204" s="193"/>
    </row>
    <row r="205" hidden="1">
      <c r="O205" s="230"/>
      <c r="R205" s="230"/>
      <c r="S205" s="229" t="s">
        <v>4791</v>
      </c>
      <c r="T205" s="246"/>
      <c r="U205" s="193"/>
      <c r="X205" s="193"/>
    </row>
    <row r="206" hidden="1">
      <c r="O206" s="230"/>
      <c r="R206" s="230"/>
      <c r="T206" s="246"/>
      <c r="U206" s="193"/>
      <c r="X206" s="193"/>
    </row>
    <row r="207" hidden="1">
      <c r="O207" s="230"/>
      <c r="R207" s="230"/>
      <c r="S207" s="229" t="s">
        <v>4886</v>
      </c>
      <c r="T207" s="246"/>
      <c r="U207" s="193"/>
      <c r="X207" s="193"/>
    </row>
    <row r="208" hidden="1">
      <c r="O208" s="230"/>
      <c r="R208" s="230"/>
      <c r="S208" s="229" t="s">
        <v>4892</v>
      </c>
      <c r="T208" s="246"/>
      <c r="U208" s="193"/>
      <c r="X208" s="193"/>
    </row>
    <row r="209" hidden="1">
      <c r="O209" s="230"/>
      <c r="R209" s="230"/>
      <c r="S209" s="229" t="s">
        <v>4892</v>
      </c>
      <c r="T209" s="246"/>
      <c r="U209" s="193"/>
      <c r="X209" s="193"/>
    </row>
    <row r="210" hidden="1">
      <c r="O210" s="230"/>
      <c r="R210" s="230"/>
      <c r="S210" s="229" t="s">
        <v>4886</v>
      </c>
      <c r="T210" s="246"/>
      <c r="U210" s="193"/>
      <c r="X210" s="193"/>
    </row>
    <row r="211" hidden="1">
      <c r="O211" s="230"/>
      <c r="R211" s="230"/>
      <c r="S211" s="229" t="s">
        <v>4892</v>
      </c>
      <c r="T211" s="246"/>
      <c r="U211" s="193"/>
      <c r="X211" s="193"/>
    </row>
    <row r="212" hidden="1">
      <c r="O212" s="230"/>
      <c r="R212" s="230"/>
      <c r="S212" s="229" t="s">
        <v>4791</v>
      </c>
      <c r="T212" s="246"/>
      <c r="U212" s="193"/>
      <c r="X212" s="193"/>
    </row>
    <row r="213" hidden="1">
      <c r="O213" s="230"/>
      <c r="R213" s="230"/>
      <c r="S213" s="229" t="s">
        <v>10419</v>
      </c>
      <c r="T213" s="246"/>
      <c r="U213" s="193"/>
      <c r="X213" s="193"/>
    </row>
    <row r="214" hidden="1">
      <c r="O214" s="230"/>
      <c r="R214" s="230"/>
      <c r="S214" s="229" t="s">
        <v>4791</v>
      </c>
      <c r="T214" s="246"/>
      <c r="U214" s="193"/>
      <c r="X214" s="193"/>
    </row>
    <row r="215" hidden="1">
      <c r="O215" s="230"/>
      <c r="R215" s="230"/>
      <c r="S215" s="229" t="s">
        <v>10420</v>
      </c>
      <c r="T215" s="246"/>
      <c r="U215" s="193"/>
      <c r="X215" s="193"/>
    </row>
    <row r="216" hidden="1">
      <c r="O216" s="230"/>
      <c r="R216" s="230"/>
      <c r="S216" s="229" t="s">
        <v>4886</v>
      </c>
      <c r="T216" s="246"/>
      <c r="U216" s="193"/>
      <c r="X216" s="193"/>
    </row>
    <row r="217" hidden="1">
      <c r="O217" s="230"/>
      <c r="R217" s="230"/>
      <c r="S217" s="229" t="s">
        <v>4892</v>
      </c>
      <c r="T217" s="246"/>
      <c r="U217" s="193"/>
      <c r="X217" s="193"/>
    </row>
    <row r="218" hidden="1">
      <c r="O218" s="230"/>
      <c r="R218" s="230"/>
      <c r="S218" s="229" t="s">
        <v>10421</v>
      </c>
      <c r="T218" s="246"/>
      <c r="U218" s="193"/>
      <c r="X218" s="193"/>
    </row>
    <row r="219" hidden="1">
      <c r="O219" s="230"/>
      <c r="R219" s="230"/>
      <c r="T219" s="246"/>
      <c r="U219" s="193"/>
      <c r="X219" s="193"/>
    </row>
    <row r="220" hidden="1">
      <c r="O220" s="230"/>
      <c r="R220" s="230"/>
      <c r="T220" s="246"/>
      <c r="U220" s="193"/>
      <c r="X220" s="193"/>
    </row>
    <row r="221" hidden="1">
      <c r="O221" s="230"/>
      <c r="R221" s="230"/>
      <c r="S221" s="229" t="s">
        <v>4901</v>
      </c>
      <c r="T221" s="246"/>
      <c r="U221" s="193"/>
      <c r="X221" s="193"/>
    </row>
    <row r="222" hidden="1">
      <c r="O222" s="230"/>
      <c r="R222" s="230"/>
      <c r="S222" s="229" t="s">
        <v>10419</v>
      </c>
      <c r="T222" s="246"/>
      <c r="U222" s="193"/>
      <c r="X222" s="193"/>
    </row>
    <row r="223" hidden="1">
      <c r="O223" s="230"/>
      <c r="R223" s="230"/>
      <c r="S223" s="229" t="s">
        <v>10420</v>
      </c>
      <c r="T223" s="246"/>
      <c r="U223" s="193"/>
      <c r="X223" s="193"/>
    </row>
    <row r="224" hidden="1">
      <c r="O224" s="230"/>
      <c r="R224" s="230"/>
      <c r="S224" s="229" t="s">
        <v>4783</v>
      </c>
      <c r="T224" s="246"/>
      <c r="U224" s="193"/>
      <c r="X224" s="193"/>
    </row>
    <row r="225" hidden="1">
      <c r="O225" s="230"/>
      <c r="R225" s="230"/>
      <c r="T225" s="246"/>
      <c r="U225" s="193"/>
      <c r="X225" s="193"/>
    </row>
    <row r="226" hidden="1">
      <c r="O226" s="230"/>
      <c r="R226" s="230"/>
      <c r="T226" s="246"/>
      <c r="U226" s="193"/>
      <c r="X226" s="193"/>
    </row>
    <row r="227" hidden="1">
      <c r="O227" s="230"/>
      <c r="R227" s="230"/>
      <c r="T227" s="246"/>
      <c r="U227" s="193"/>
      <c r="X227" s="193"/>
    </row>
    <row r="228" hidden="1">
      <c r="O228" s="230"/>
      <c r="R228" s="230"/>
      <c r="S228" s="229" t="s">
        <v>4791</v>
      </c>
      <c r="T228" s="246"/>
      <c r="U228" s="193"/>
      <c r="X228" s="193"/>
    </row>
    <row r="229" hidden="1">
      <c r="O229" s="230"/>
      <c r="R229" s="230"/>
      <c r="T229" s="246"/>
      <c r="U229" s="193"/>
      <c r="X229" s="193"/>
    </row>
    <row r="230" hidden="1">
      <c r="O230" s="230"/>
      <c r="R230" s="230"/>
      <c r="S230" s="229" t="s">
        <v>10419</v>
      </c>
      <c r="T230" s="246"/>
      <c r="U230" s="193"/>
      <c r="X230" s="193"/>
    </row>
    <row r="231" hidden="1">
      <c r="O231" s="230"/>
      <c r="R231" s="230"/>
      <c r="S231" s="229" t="s">
        <v>4791</v>
      </c>
      <c r="T231" s="246"/>
      <c r="U231" s="193"/>
      <c r="X231" s="193"/>
    </row>
    <row r="232" hidden="1">
      <c r="O232" s="230"/>
      <c r="R232" s="230"/>
      <c r="S232" s="229" t="s">
        <v>4791</v>
      </c>
      <c r="T232" s="246"/>
      <c r="U232" s="193"/>
      <c r="X232" s="193"/>
    </row>
    <row r="233" hidden="1">
      <c r="O233" s="230"/>
      <c r="R233" s="230"/>
      <c r="S233" s="229" t="s">
        <v>4901</v>
      </c>
      <c r="T233" s="246"/>
      <c r="U233" s="193"/>
      <c r="X233" s="193"/>
    </row>
    <row r="234" hidden="1">
      <c r="O234" s="230"/>
      <c r="R234" s="230"/>
      <c r="S234" s="229" t="s">
        <v>4791</v>
      </c>
      <c r="T234" s="246"/>
      <c r="U234" s="193"/>
      <c r="X234" s="193"/>
    </row>
    <row r="235" hidden="1">
      <c r="O235" s="230"/>
      <c r="R235" s="230"/>
      <c r="S235" s="229" t="s">
        <v>4892</v>
      </c>
      <c r="T235" s="246"/>
      <c r="U235" s="193"/>
      <c r="X235" s="193"/>
    </row>
    <row r="236" hidden="1">
      <c r="O236" s="230"/>
      <c r="R236" s="230"/>
      <c r="T236" s="246"/>
      <c r="U236" s="193"/>
      <c r="X236" s="193"/>
    </row>
    <row r="237" hidden="1">
      <c r="O237" s="230"/>
      <c r="R237" s="230"/>
      <c r="T237" s="246"/>
      <c r="U237" s="193"/>
      <c r="X237" s="193"/>
    </row>
    <row r="238" hidden="1">
      <c r="O238" s="230"/>
      <c r="R238" s="230"/>
      <c r="T238" s="246"/>
      <c r="U238" s="193"/>
      <c r="X238" s="193"/>
    </row>
    <row r="239" hidden="1">
      <c r="O239" s="230"/>
      <c r="R239" s="230"/>
      <c r="T239" s="246"/>
      <c r="U239" s="193"/>
      <c r="X239" s="193"/>
    </row>
    <row r="240" hidden="1">
      <c r="O240" s="230"/>
      <c r="R240" s="230"/>
      <c r="T240" s="246"/>
      <c r="U240" s="193"/>
      <c r="X240" s="193"/>
    </row>
    <row r="241" hidden="1">
      <c r="O241" s="230"/>
      <c r="R241" s="230"/>
      <c r="T241" s="246"/>
      <c r="U241" s="193"/>
      <c r="X241" s="193"/>
    </row>
    <row r="242" hidden="1">
      <c r="O242" s="230"/>
      <c r="R242" s="230"/>
      <c r="T242" s="246"/>
      <c r="U242" s="193"/>
      <c r="X242" s="193"/>
    </row>
    <row r="243" hidden="1">
      <c r="O243" s="230"/>
      <c r="R243" s="230"/>
      <c r="T243" s="246"/>
      <c r="U243" s="193"/>
      <c r="X243" s="193"/>
    </row>
    <row r="244" hidden="1">
      <c r="O244" s="230"/>
      <c r="R244" s="230"/>
      <c r="T244" s="246"/>
      <c r="U244" s="193"/>
      <c r="X244" s="193"/>
    </row>
    <row r="245" hidden="1">
      <c r="O245" s="230"/>
      <c r="R245" s="230"/>
      <c r="T245" s="246"/>
      <c r="U245" s="193"/>
      <c r="X245" s="193"/>
    </row>
    <row r="246" hidden="1">
      <c r="O246" s="230"/>
      <c r="R246" s="230"/>
      <c r="T246" s="246"/>
      <c r="U246" s="193"/>
      <c r="X246" s="193"/>
    </row>
    <row r="247" hidden="1">
      <c r="O247" s="230"/>
      <c r="R247" s="230"/>
      <c r="S247" s="229" t="s">
        <v>10419</v>
      </c>
      <c r="T247" s="246"/>
      <c r="U247" s="193"/>
      <c r="X247" s="193"/>
    </row>
    <row r="248" hidden="1">
      <c r="O248" s="230"/>
      <c r="R248" s="230"/>
      <c r="S248" s="229" t="s">
        <v>4791</v>
      </c>
      <c r="T248" s="246"/>
      <c r="U248" s="193"/>
      <c r="X248" s="193"/>
    </row>
    <row r="249" hidden="1">
      <c r="O249" s="230"/>
      <c r="R249" s="230"/>
      <c r="S249" s="229" t="s">
        <v>4791</v>
      </c>
      <c r="T249" s="246"/>
      <c r="U249" s="193"/>
      <c r="X249" s="193"/>
    </row>
    <row r="250" hidden="1">
      <c r="O250" s="230"/>
      <c r="R250" s="230"/>
      <c r="S250" s="229" t="s">
        <v>4791</v>
      </c>
      <c r="T250" s="246"/>
      <c r="U250" s="193"/>
      <c r="X250" s="193"/>
    </row>
    <row r="251" hidden="1">
      <c r="O251" s="230"/>
      <c r="R251" s="230"/>
      <c r="S251" s="229" t="s">
        <v>4783</v>
      </c>
      <c r="T251" s="246"/>
      <c r="U251" s="193"/>
      <c r="X251" s="193"/>
    </row>
    <row r="252" hidden="1">
      <c r="O252" s="230"/>
      <c r="R252" s="230"/>
      <c r="S252" s="229" t="s">
        <v>4783</v>
      </c>
      <c r="T252" s="246"/>
      <c r="U252" s="193"/>
      <c r="X252" s="193"/>
    </row>
    <row r="253" hidden="1">
      <c r="O253" s="230"/>
      <c r="R253" s="230"/>
      <c r="S253" s="229" t="s">
        <v>4783</v>
      </c>
      <c r="T253" s="246"/>
      <c r="U253" s="193"/>
      <c r="X253" s="193"/>
    </row>
    <row r="254" hidden="1">
      <c r="O254" s="230"/>
      <c r="R254" s="230"/>
      <c r="S254" s="229" t="s">
        <v>10418</v>
      </c>
      <c r="T254" s="246"/>
      <c r="U254" s="193"/>
      <c r="X254" s="193"/>
    </row>
    <row r="255" hidden="1">
      <c r="O255" s="230"/>
      <c r="R255" s="230"/>
      <c r="S255" s="229" t="s">
        <v>4791</v>
      </c>
      <c r="T255" s="246"/>
      <c r="U255" s="193"/>
      <c r="X255" s="193"/>
    </row>
    <row r="256" hidden="1">
      <c r="O256" s="230"/>
      <c r="R256" s="230"/>
      <c r="T256" s="246"/>
      <c r="U256" s="193"/>
      <c r="X256" s="193"/>
    </row>
    <row r="257" hidden="1">
      <c r="O257" s="230"/>
      <c r="R257" s="230"/>
      <c r="T257" s="246"/>
      <c r="U257" s="193"/>
      <c r="X257" s="193"/>
    </row>
    <row r="258" hidden="1">
      <c r="O258" s="230"/>
      <c r="R258" s="230"/>
      <c r="S258" s="229" t="s">
        <v>10418</v>
      </c>
      <c r="T258" s="246"/>
      <c r="U258" s="193"/>
      <c r="X258" s="193"/>
    </row>
    <row r="259" hidden="1">
      <c r="O259" s="230"/>
      <c r="R259" s="230"/>
      <c r="T259" s="246"/>
      <c r="U259" s="193"/>
      <c r="X259" s="193"/>
    </row>
    <row r="260" hidden="1">
      <c r="O260" s="230"/>
      <c r="R260" s="230"/>
      <c r="T260" s="246"/>
      <c r="U260" s="193"/>
      <c r="X260" s="193"/>
    </row>
    <row r="261" hidden="1">
      <c r="O261" s="230"/>
      <c r="R261" s="230"/>
      <c r="S261" s="229" t="s">
        <v>4791</v>
      </c>
      <c r="T261" s="246"/>
      <c r="U261" s="193"/>
      <c r="X261" s="193"/>
    </row>
    <row r="262" hidden="1">
      <c r="O262" s="230"/>
      <c r="R262" s="230"/>
      <c r="S262" s="229" t="s">
        <v>4890</v>
      </c>
      <c r="T262" s="246"/>
      <c r="U262" s="193"/>
      <c r="X262" s="193"/>
    </row>
    <row r="263" hidden="1">
      <c r="O263" s="230"/>
      <c r="R263" s="230"/>
      <c r="T263" s="246"/>
      <c r="U263" s="193"/>
      <c r="X263" s="193"/>
    </row>
    <row r="264" hidden="1">
      <c r="O264" s="230"/>
      <c r="R264" s="230"/>
      <c r="T264" s="246"/>
      <c r="U264" s="193"/>
      <c r="X264" s="193"/>
    </row>
    <row r="265" hidden="1">
      <c r="O265" s="230"/>
      <c r="R265" s="230"/>
      <c r="S265" s="229" t="s">
        <v>10418</v>
      </c>
      <c r="T265" s="246"/>
      <c r="U265" s="193"/>
      <c r="X265" s="193"/>
    </row>
    <row r="266" hidden="1">
      <c r="O266" s="230"/>
      <c r="R266" s="230"/>
      <c r="S266" s="229" t="s">
        <v>10422</v>
      </c>
      <c r="T266" s="246"/>
      <c r="U266" s="193"/>
      <c r="X266" s="193"/>
    </row>
    <row r="267" hidden="1">
      <c r="O267" s="230"/>
      <c r="R267" s="230"/>
      <c r="T267" s="246"/>
      <c r="U267" s="193"/>
      <c r="X267" s="193"/>
    </row>
    <row r="268" hidden="1">
      <c r="O268" s="230"/>
      <c r="R268" s="230"/>
      <c r="S268" s="229" t="s">
        <v>4791</v>
      </c>
      <c r="T268" s="246"/>
      <c r="U268" s="193"/>
      <c r="X268" s="193"/>
    </row>
    <row r="269" hidden="1">
      <c r="O269" s="230"/>
      <c r="R269" s="230"/>
      <c r="S269" s="229" t="s">
        <v>10423</v>
      </c>
      <c r="T269" s="246"/>
      <c r="U269" s="193"/>
      <c r="X269" s="193"/>
    </row>
    <row r="270" hidden="1">
      <c r="O270" s="230"/>
      <c r="R270" s="230"/>
      <c r="S270" s="229" t="s">
        <v>4791</v>
      </c>
      <c r="T270" s="246"/>
      <c r="U270" s="193"/>
      <c r="X270" s="193"/>
    </row>
    <row r="271" hidden="1">
      <c r="O271" s="230"/>
      <c r="R271" s="230"/>
      <c r="S271" s="229" t="s">
        <v>4890</v>
      </c>
      <c r="T271" s="246"/>
      <c r="U271" s="193"/>
      <c r="X271" s="193"/>
    </row>
    <row r="272" hidden="1">
      <c r="O272" s="230"/>
      <c r="R272" s="230"/>
      <c r="S272" s="229" t="s">
        <v>4886</v>
      </c>
      <c r="T272" s="246"/>
      <c r="U272" s="193"/>
      <c r="X272" s="193"/>
    </row>
    <row r="273" hidden="1">
      <c r="O273" s="230"/>
      <c r="R273" s="230"/>
      <c r="S273" s="229" t="s">
        <v>4791</v>
      </c>
      <c r="T273" s="246"/>
      <c r="U273" s="193"/>
      <c r="X273" s="193"/>
    </row>
    <row r="274" hidden="1">
      <c r="O274" s="230"/>
      <c r="R274" s="230"/>
      <c r="T274" s="246"/>
      <c r="U274" s="193"/>
      <c r="X274" s="193"/>
    </row>
    <row r="275" hidden="1">
      <c r="O275" s="230"/>
      <c r="R275" s="230"/>
      <c r="S275" s="229" t="s">
        <v>10418</v>
      </c>
      <c r="T275" s="246"/>
      <c r="U275" s="193"/>
      <c r="X275" s="193"/>
    </row>
    <row r="276" hidden="1">
      <c r="O276" s="230"/>
      <c r="R276" s="230"/>
      <c r="T276" s="246"/>
      <c r="U276" s="193"/>
      <c r="X276" s="193"/>
    </row>
    <row r="277" hidden="1">
      <c r="O277" s="230"/>
      <c r="R277" s="230"/>
      <c r="T277" s="246"/>
      <c r="U277" s="193"/>
      <c r="X277" s="193"/>
    </row>
    <row r="278" hidden="1">
      <c r="O278" s="230"/>
      <c r="R278" s="230"/>
      <c r="S278" s="229" t="s">
        <v>4901</v>
      </c>
      <c r="T278" s="246"/>
      <c r="U278" s="193"/>
      <c r="X278" s="193"/>
    </row>
    <row r="279" hidden="1">
      <c r="O279" s="230"/>
      <c r="R279" s="230"/>
      <c r="T279" s="246"/>
      <c r="U279" s="193"/>
      <c r="X279" s="193"/>
    </row>
    <row r="280" hidden="1">
      <c r="O280" s="230"/>
      <c r="R280" s="230"/>
      <c r="T280" s="246"/>
      <c r="U280" s="193"/>
      <c r="X280" s="193"/>
    </row>
    <row r="281" hidden="1">
      <c r="O281" s="230"/>
      <c r="R281" s="230"/>
      <c r="T281" s="246"/>
      <c r="U281" s="193"/>
      <c r="X281" s="193"/>
    </row>
    <row r="282" hidden="1">
      <c r="O282" s="230"/>
      <c r="R282" s="230"/>
      <c r="S282" s="229" t="s">
        <v>10424</v>
      </c>
      <c r="T282" s="246"/>
      <c r="U282" s="193"/>
      <c r="X282" s="193"/>
    </row>
    <row r="283" hidden="1">
      <c r="O283" s="230"/>
      <c r="R283" s="230"/>
      <c r="T283" s="246"/>
      <c r="U283" s="193"/>
      <c r="X283" s="193"/>
    </row>
    <row r="284" hidden="1">
      <c r="O284" s="230"/>
      <c r="R284" s="230"/>
      <c r="T284" s="246"/>
      <c r="U284" s="193"/>
      <c r="X284" s="193"/>
    </row>
    <row r="285" hidden="1">
      <c r="O285" s="230"/>
      <c r="R285" s="230"/>
      <c r="T285" s="246"/>
      <c r="U285" s="193"/>
      <c r="X285" s="193"/>
    </row>
    <row r="286" hidden="1">
      <c r="O286" s="230"/>
      <c r="R286" s="230"/>
      <c r="S286" s="229" t="s">
        <v>10424</v>
      </c>
      <c r="T286" s="246"/>
      <c r="U286" s="193"/>
      <c r="X286" s="193"/>
    </row>
    <row r="287" hidden="1">
      <c r="O287" s="230"/>
      <c r="R287" s="230"/>
      <c r="T287" s="246"/>
      <c r="U287" s="193"/>
      <c r="X287" s="193"/>
    </row>
    <row r="288" hidden="1">
      <c r="O288" s="230"/>
      <c r="R288" s="230"/>
      <c r="T288" s="246"/>
      <c r="U288" s="193"/>
      <c r="X288" s="193"/>
    </row>
    <row r="289" hidden="1">
      <c r="O289" s="230"/>
      <c r="R289" s="230"/>
      <c r="T289" s="246"/>
      <c r="U289" s="193"/>
      <c r="X289" s="193"/>
    </row>
    <row r="290" hidden="1">
      <c r="O290" s="230"/>
      <c r="R290" s="230"/>
      <c r="T290" s="246"/>
      <c r="U290" s="193"/>
      <c r="X290" s="193"/>
    </row>
    <row r="291" hidden="1">
      <c r="O291" s="230"/>
      <c r="R291" s="230"/>
      <c r="T291" s="246"/>
      <c r="U291" s="193"/>
      <c r="X291" s="193"/>
    </row>
    <row r="292" hidden="1">
      <c r="O292" s="230"/>
      <c r="R292" s="230"/>
      <c r="T292" s="246"/>
      <c r="U292" s="193"/>
      <c r="X292" s="193"/>
    </row>
    <row r="293" hidden="1">
      <c r="O293" s="230"/>
      <c r="R293" s="230"/>
      <c r="T293" s="246"/>
      <c r="U293" s="193"/>
      <c r="X293" s="193"/>
    </row>
    <row r="294" hidden="1">
      <c r="O294" s="230"/>
      <c r="R294" s="230"/>
      <c r="T294" s="246"/>
      <c r="U294" s="193"/>
      <c r="X294" s="193"/>
    </row>
    <row r="295" hidden="1">
      <c r="O295" s="230"/>
      <c r="R295" s="230"/>
      <c r="T295" s="246"/>
      <c r="U295" s="193"/>
      <c r="X295" s="193"/>
    </row>
    <row r="296" hidden="1">
      <c r="O296" s="230"/>
      <c r="R296" s="230"/>
      <c r="S296" s="229" t="s">
        <v>10419</v>
      </c>
      <c r="T296" s="246"/>
      <c r="U296" s="193"/>
      <c r="X296" s="193"/>
    </row>
    <row r="297" hidden="1">
      <c r="O297" s="230"/>
      <c r="R297" s="230"/>
      <c r="T297" s="246"/>
      <c r="U297" s="193"/>
      <c r="X297" s="193"/>
    </row>
    <row r="298" hidden="1">
      <c r="O298" s="230"/>
      <c r="R298" s="230"/>
      <c r="T298" s="246"/>
      <c r="U298" s="193"/>
      <c r="X298" s="193"/>
    </row>
    <row r="299" hidden="1">
      <c r="O299" s="230"/>
      <c r="R299" s="230"/>
      <c r="T299" s="246"/>
      <c r="U299" s="193"/>
      <c r="X299" s="193"/>
    </row>
    <row r="300" hidden="1">
      <c r="O300" s="230"/>
      <c r="R300" s="230"/>
      <c r="S300" s="229" t="s">
        <v>4852</v>
      </c>
      <c r="T300" s="246"/>
      <c r="U300" s="193"/>
      <c r="X300" s="193"/>
    </row>
    <row r="301" hidden="1">
      <c r="O301" s="230"/>
      <c r="R301" s="230"/>
      <c r="T301" s="246"/>
      <c r="U301" s="193"/>
      <c r="X301" s="193"/>
    </row>
    <row r="302" hidden="1">
      <c r="O302" s="230"/>
      <c r="R302" s="230"/>
      <c r="T302" s="246"/>
      <c r="U302" s="193"/>
      <c r="X302" s="193"/>
    </row>
    <row r="303" hidden="1">
      <c r="O303" s="230"/>
      <c r="R303" s="230"/>
      <c r="S303" s="229" t="s">
        <v>4901</v>
      </c>
      <c r="T303" s="246"/>
      <c r="U303" s="193"/>
      <c r="X303" s="193"/>
    </row>
    <row r="304" hidden="1">
      <c r="O304" s="230"/>
      <c r="R304" s="230"/>
      <c r="T304" s="246"/>
      <c r="U304" s="193"/>
      <c r="X304" s="193"/>
    </row>
    <row r="305" hidden="1">
      <c r="O305" s="230"/>
      <c r="R305" s="230"/>
      <c r="T305" s="246"/>
      <c r="U305" s="193"/>
      <c r="X305" s="193"/>
    </row>
    <row r="306" hidden="1">
      <c r="O306" s="230"/>
      <c r="R306" s="230"/>
      <c r="S306" s="229" t="s">
        <v>10418</v>
      </c>
      <c r="T306" s="246"/>
      <c r="U306" s="193"/>
      <c r="X306" s="193"/>
    </row>
    <row r="307" hidden="1">
      <c r="O307" s="230"/>
      <c r="R307" s="230"/>
      <c r="T307" s="246"/>
      <c r="U307" s="193"/>
      <c r="X307" s="193"/>
    </row>
    <row r="308" hidden="1">
      <c r="O308" s="230"/>
      <c r="R308" s="230"/>
      <c r="T308" s="246"/>
      <c r="U308" s="193"/>
      <c r="X308" s="193"/>
    </row>
    <row r="309" hidden="1">
      <c r="O309" s="230"/>
      <c r="R309" s="230"/>
      <c r="T309" s="246"/>
      <c r="U309" s="193"/>
      <c r="X309" s="193"/>
    </row>
    <row r="310" hidden="1">
      <c r="O310" s="230"/>
      <c r="R310" s="230"/>
      <c r="T310" s="246"/>
      <c r="U310" s="193"/>
      <c r="X310" s="193"/>
    </row>
    <row r="311" hidden="1">
      <c r="O311" s="230"/>
      <c r="R311" s="230"/>
      <c r="T311" s="246"/>
      <c r="U311" s="193"/>
      <c r="X311" s="193"/>
    </row>
    <row r="312" hidden="1">
      <c r="O312" s="230"/>
      <c r="R312" s="230"/>
      <c r="T312" s="246"/>
      <c r="U312" s="193"/>
      <c r="X312" s="193"/>
    </row>
    <row r="313" hidden="1">
      <c r="O313" s="230"/>
      <c r="R313" s="230"/>
      <c r="T313" s="246"/>
      <c r="U313" s="193"/>
      <c r="X313" s="193"/>
    </row>
    <row r="314" hidden="1">
      <c r="O314" s="230"/>
      <c r="R314" s="230"/>
      <c r="T314" s="246"/>
      <c r="U314" s="193"/>
      <c r="X314" s="193"/>
    </row>
    <row r="315" hidden="1">
      <c r="O315" s="230"/>
      <c r="R315" s="230"/>
      <c r="T315" s="246"/>
      <c r="U315" s="193"/>
      <c r="X315" s="193"/>
    </row>
    <row r="316" hidden="1">
      <c r="O316" s="230"/>
      <c r="R316" s="230"/>
      <c r="T316" s="246"/>
      <c r="U316" s="193"/>
      <c r="X316" s="193"/>
    </row>
    <row r="317" hidden="1">
      <c r="O317" s="230"/>
      <c r="R317" s="230"/>
      <c r="T317" s="246"/>
      <c r="U317" s="193"/>
      <c r="X317" s="193"/>
    </row>
    <row r="318" hidden="1">
      <c r="O318" s="230"/>
      <c r="R318" s="230"/>
      <c r="T318" s="246"/>
      <c r="U318" s="193"/>
      <c r="X318" s="193"/>
    </row>
    <row r="319" hidden="1">
      <c r="O319" s="230"/>
      <c r="R319" s="230"/>
      <c r="T319" s="246"/>
      <c r="U319" s="193"/>
      <c r="X319" s="193"/>
    </row>
    <row r="320" hidden="1">
      <c r="O320" s="230"/>
      <c r="R320" s="230"/>
      <c r="T320" s="246"/>
      <c r="U320" s="193"/>
      <c r="X320" s="193"/>
    </row>
    <row r="321" hidden="1">
      <c r="O321" s="230"/>
      <c r="R321" s="230"/>
      <c r="T321" s="246"/>
      <c r="U321" s="193"/>
      <c r="X321" s="193"/>
    </row>
    <row r="322" hidden="1">
      <c r="O322" s="230"/>
      <c r="R322" s="230"/>
      <c r="T322" s="246"/>
      <c r="U322" s="193"/>
      <c r="X322" s="193"/>
    </row>
    <row r="323" hidden="1">
      <c r="O323" s="230"/>
      <c r="R323" s="230"/>
      <c r="T323" s="246"/>
      <c r="U323" s="193"/>
      <c r="X323" s="193"/>
    </row>
    <row r="324" hidden="1">
      <c r="O324" s="230"/>
      <c r="R324" s="230"/>
      <c r="T324" s="246"/>
      <c r="U324" s="193"/>
      <c r="X324" s="193"/>
    </row>
    <row r="325" hidden="1">
      <c r="O325" s="230"/>
      <c r="R325" s="230"/>
      <c r="T325" s="246"/>
      <c r="U325" s="193"/>
      <c r="X325" s="193"/>
    </row>
    <row r="326" hidden="1">
      <c r="O326" s="230"/>
      <c r="R326" s="230"/>
      <c r="T326" s="246"/>
      <c r="U326" s="193"/>
      <c r="X326" s="193"/>
    </row>
    <row r="327" hidden="1">
      <c r="O327" s="230"/>
      <c r="R327" s="230"/>
      <c r="T327" s="246"/>
      <c r="U327" s="193"/>
      <c r="X327" s="193"/>
    </row>
    <row r="328" hidden="1">
      <c r="O328" s="230"/>
      <c r="R328" s="230"/>
      <c r="T328" s="246"/>
      <c r="U328" s="193"/>
      <c r="X328" s="193"/>
    </row>
    <row r="329" hidden="1">
      <c r="O329" s="230"/>
      <c r="R329" s="230"/>
      <c r="T329" s="246"/>
      <c r="U329" s="193"/>
      <c r="X329" s="193"/>
    </row>
    <row r="330" hidden="1">
      <c r="O330" s="230"/>
      <c r="R330" s="230"/>
      <c r="S330" s="229" t="s">
        <v>4886</v>
      </c>
      <c r="T330" s="246"/>
      <c r="U330" s="193"/>
      <c r="X330" s="193"/>
    </row>
    <row r="331" hidden="1">
      <c r="O331" s="230"/>
      <c r="R331" s="230"/>
      <c r="S331" s="229" t="s">
        <v>10418</v>
      </c>
      <c r="T331" s="246"/>
      <c r="U331" s="193"/>
      <c r="X331" s="193"/>
    </row>
    <row r="332" hidden="1">
      <c r="O332" s="230"/>
      <c r="R332" s="230"/>
      <c r="T332" s="246"/>
      <c r="U332" s="193"/>
      <c r="X332" s="193"/>
    </row>
    <row r="333" hidden="1">
      <c r="O333" s="230"/>
      <c r="R333" s="230"/>
      <c r="T333" s="246"/>
      <c r="U333" s="193"/>
      <c r="X333" s="193"/>
    </row>
    <row r="334" hidden="1">
      <c r="O334" s="230"/>
      <c r="R334" s="230"/>
      <c r="T334" s="246"/>
      <c r="U334" s="193"/>
      <c r="X334" s="193"/>
    </row>
    <row r="335" hidden="1">
      <c r="O335" s="230"/>
      <c r="R335" s="230"/>
      <c r="T335" s="246"/>
      <c r="U335" s="193"/>
      <c r="X335" s="193"/>
    </row>
    <row r="336" hidden="1">
      <c r="O336" s="230"/>
      <c r="R336" s="230"/>
      <c r="T336" s="246"/>
      <c r="U336" s="193"/>
      <c r="X336" s="193"/>
    </row>
    <row r="337" hidden="1">
      <c r="O337" s="230"/>
      <c r="R337" s="230"/>
      <c r="T337" s="246"/>
      <c r="U337" s="193"/>
      <c r="X337" s="193"/>
    </row>
    <row r="338" hidden="1">
      <c r="O338" s="230"/>
      <c r="R338" s="230"/>
      <c r="T338" s="246"/>
      <c r="U338" s="193"/>
      <c r="X338" s="193"/>
    </row>
    <row r="339" hidden="1">
      <c r="O339" s="230"/>
      <c r="R339" s="230"/>
      <c r="S339" s="229" t="s">
        <v>4791</v>
      </c>
      <c r="T339" s="246"/>
      <c r="U339" s="193"/>
      <c r="X339" s="193"/>
    </row>
    <row r="340" hidden="1">
      <c r="O340" s="230"/>
      <c r="R340" s="230"/>
      <c r="S340" s="229" t="s">
        <v>10418</v>
      </c>
      <c r="T340" s="246"/>
      <c r="U340" s="193"/>
      <c r="X340" s="193"/>
    </row>
    <row r="341" hidden="1">
      <c r="O341" s="230"/>
      <c r="R341" s="230"/>
      <c r="S341" s="229" t="s">
        <v>10418</v>
      </c>
      <c r="T341" s="246"/>
      <c r="U341" s="193"/>
      <c r="X341" s="193"/>
    </row>
    <row r="342" hidden="1">
      <c r="O342" s="230"/>
      <c r="R342" s="230"/>
      <c r="T342" s="246"/>
      <c r="U342" s="193"/>
      <c r="X342" s="193"/>
    </row>
    <row r="343" hidden="1">
      <c r="O343" s="230"/>
      <c r="R343" s="230"/>
      <c r="T343" s="246"/>
      <c r="U343" s="193"/>
      <c r="X343" s="193"/>
    </row>
    <row r="344" hidden="1">
      <c r="O344" s="230"/>
      <c r="R344" s="230"/>
      <c r="S344" s="229" t="s">
        <v>4783</v>
      </c>
      <c r="T344" s="246"/>
      <c r="U344" s="193"/>
      <c r="X344" s="193"/>
    </row>
    <row r="345" hidden="1">
      <c r="O345" s="230"/>
      <c r="R345" s="230"/>
      <c r="S345" s="229" t="s">
        <v>4852</v>
      </c>
      <c r="T345" s="246"/>
      <c r="U345" s="193"/>
      <c r="X345" s="193"/>
    </row>
    <row r="346" hidden="1">
      <c r="O346" s="230"/>
      <c r="R346" s="230"/>
      <c r="T346" s="246"/>
      <c r="U346" s="193"/>
      <c r="X346" s="193"/>
    </row>
    <row r="347" hidden="1">
      <c r="O347" s="230"/>
      <c r="R347" s="230"/>
      <c r="S347" s="229" t="s">
        <v>4791</v>
      </c>
      <c r="T347" s="246"/>
      <c r="U347" s="193"/>
      <c r="X347" s="193"/>
    </row>
    <row r="348" hidden="1">
      <c r="O348" s="230"/>
      <c r="R348" s="230"/>
      <c r="T348" s="246"/>
      <c r="U348" s="193"/>
      <c r="X348" s="193"/>
    </row>
    <row r="349" hidden="1">
      <c r="O349" s="230"/>
      <c r="R349" s="230"/>
      <c r="S349" s="229" t="s">
        <v>4886</v>
      </c>
      <c r="T349" s="246"/>
      <c r="U349" s="193"/>
      <c r="X349" s="193"/>
    </row>
    <row r="350" hidden="1">
      <c r="O350" s="230"/>
      <c r="R350" s="230"/>
      <c r="S350" s="229" t="s">
        <v>4892</v>
      </c>
      <c r="T350" s="246"/>
      <c r="U350" s="193"/>
      <c r="X350" s="193"/>
    </row>
    <row r="351" hidden="1">
      <c r="O351" s="230"/>
      <c r="R351" s="230"/>
      <c r="S351" s="229" t="s">
        <v>4892</v>
      </c>
      <c r="T351" s="246"/>
      <c r="U351" s="193"/>
      <c r="X351" s="193"/>
    </row>
    <row r="352" hidden="1">
      <c r="O352" s="230"/>
      <c r="R352" s="230"/>
      <c r="S352" s="229" t="s">
        <v>4886</v>
      </c>
      <c r="T352" s="246"/>
      <c r="U352" s="193"/>
      <c r="X352" s="193"/>
    </row>
    <row r="353" hidden="1">
      <c r="O353" s="230"/>
      <c r="R353" s="230"/>
      <c r="S353" s="229" t="s">
        <v>4892</v>
      </c>
      <c r="T353" s="246"/>
      <c r="U353" s="193"/>
      <c r="X353" s="193"/>
    </row>
    <row r="354" hidden="1">
      <c r="O354" s="230"/>
      <c r="R354" s="230"/>
      <c r="S354" s="229" t="s">
        <v>4791</v>
      </c>
      <c r="T354" s="246"/>
      <c r="U354" s="193"/>
      <c r="X354" s="193"/>
    </row>
    <row r="355" hidden="1">
      <c r="O355" s="230"/>
      <c r="R355" s="230"/>
      <c r="S355" s="229" t="s">
        <v>10419</v>
      </c>
      <c r="T355" s="246"/>
      <c r="U355" s="193"/>
      <c r="X355" s="193"/>
    </row>
    <row r="356" hidden="1">
      <c r="O356" s="230"/>
      <c r="R356" s="230"/>
      <c r="S356" s="229" t="s">
        <v>4791</v>
      </c>
      <c r="T356" s="246"/>
      <c r="U356" s="193"/>
      <c r="X356" s="193"/>
    </row>
    <row r="357" hidden="1">
      <c r="O357" s="230"/>
      <c r="R357" s="230"/>
      <c r="S357" s="229" t="s">
        <v>10420</v>
      </c>
      <c r="T357" s="246"/>
      <c r="U357" s="193"/>
      <c r="X357" s="193"/>
    </row>
    <row r="358" hidden="1">
      <c r="O358" s="230"/>
      <c r="R358" s="230"/>
      <c r="S358" s="229" t="s">
        <v>4886</v>
      </c>
      <c r="T358" s="246"/>
      <c r="U358" s="193"/>
      <c r="X358" s="193"/>
    </row>
    <row r="359" hidden="1">
      <c r="O359" s="230"/>
      <c r="R359" s="230"/>
      <c r="S359" s="229" t="s">
        <v>4892</v>
      </c>
      <c r="T359" s="246"/>
      <c r="U359" s="193"/>
      <c r="X359" s="193"/>
    </row>
    <row r="360" hidden="1">
      <c r="O360" s="230"/>
      <c r="R360" s="230"/>
      <c r="S360" s="229" t="s">
        <v>10421</v>
      </c>
      <c r="T360" s="246"/>
      <c r="U360" s="193"/>
      <c r="X360" s="193"/>
    </row>
    <row r="361" hidden="1">
      <c r="O361" s="230"/>
      <c r="R361" s="230"/>
      <c r="T361" s="246"/>
      <c r="U361" s="193"/>
      <c r="X361" s="193"/>
    </row>
    <row r="362" hidden="1">
      <c r="O362" s="230"/>
      <c r="R362" s="230"/>
      <c r="T362" s="246"/>
      <c r="U362" s="193"/>
      <c r="X362" s="193"/>
    </row>
    <row r="363" hidden="1">
      <c r="O363" s="230"/>
      <c r="R363" s="230"/>
      <c r="S363" s="229" t="s">
        <v>4901</v>
      </c>
      <c r="T363" s="246"/>
      <c r="U363" s="193"/>
      <c r="X363" s="193"/>
    </row>
    <row r="364" hidden="1">
      <c r="O364" s="230"/>
      <c r="R364" s="230"/>
      <c r="S364" s="229" t="s">
        <v>10419</v>
      </c>
      <c r="T364" s="246"/>
      <c r="U364" s="193"/>
      <c r="X364" s="193"/>
    </row>
    <row r="365" hidden="1">
      <c r="O365" s="230"/>
      <c r="R365" s="230"/>
      <c r="S365" s="229" t="s">
        <v>10420</v>
      </c>
      <c r="T365" s="246"/>
      <c r="U365" s="193"/>
      <c r="X365" s="193"/>
    </row>
    <row r="366" hidden="1">
      <c r="O366" s="230"/>
      <c r="R366" s="230"/>
      <c r="S366" s="229" t="s">
        <v>4783</v>
      </c>
      <c r="T366" s="246"/>
      <c r="U366" s="193"/>
      <c r="X366" s="193"/>
    </row>
    <row r="367" hidden="1">
      <c r="O367" s="230"/>
      <c r="R367" s="230"/>
      <c r="T367" s="246"/>
      <c r="U367" s="193"/>
      <c r="X367" s="193"/>
    </row>
    <row r="368" hidden="1">
      <c r="O368" s="230"/>
      <c r="R368" s="230"/>
      <c r="T368" s="246"/>
      <c r="U368" s="193"/>
      <c r="X368" s="193"/>
    </row>
    <row r="369" hidden="1">
      <c r="O369" s="230"/>
      <c r="R369" s="230"/>
      <c r="T369" s="246"/>
      <c r="U369" s="193"/>
      <c r="X369" s="193"/>
    </row>
    <row r="370" hidden="1">
      <c r="O370" s="230"/>
      <c r="R370" s="230"/>
      <c r="S370" s="229" t="s">
        <v>4791</v>
      </c>
      <c r="T370" s="246"/>
      <c r="U370" s="193"/>
      <c r="X370" s="193"/>
    </row>
    <row r="371" hidden="1">
      <c r="O371" s="230"/>
      <c r="R371" s="230"/>
      <c r="T371" s="246"/>
      <c r="U371" s="193"/>
      <c r="X371" s="193"/>
    </row>
    <row r="372" hidden="1">
      <c r="O372" s="230"/>
      <c r="R372" s="230"/>
      <c r="S372" s="229" t="s">
        <v>10419</v>
      </c>
      <c r="T372" s="246"/>
      <c r="U372" s="193"/>
      <c r="X372" s="193"/>
    </row>
    <row r="373" hidden="1">
      <c r="O373" s="230"/>
      <c r="R373" s="230"/>
      <c r="S373" s="229" t="s">
        <v>4791</v>
      </c>
      <c r="T373" s="246"/>
      <c r="U373" s="193"/>
      <c r="X373" s="193"/>
    </row>
    <row r="374" hidden="1">
      <c r="O374" s="230"/>
      <c r="R374" s="230"/>
      <c r="S374" s="229" t="s">
        <v>4791</v>
      </c>
      <c r="T374" s="246"/>
      <c r="U374" s="193"/>
      <c r="X374" s="193"/>
    </row>
    <row r="375" hidden="1">
      <c r="O375" s="230"/>
      <c r="R375" s="230"/>
      <c r="S375" s="229" t="s">
        <v>4901</v>
      </c>
      <c r="T375" s="246"/>
      <c r="U375" s="193"/>
      <c r="X375" s="193"/>
    </row>
    <row r="376" hidden="1">
      <c r="O376" s="230"/>
      <c r="R376" s="230"/>
      <c r="S376" s="229" t="s">
        <v>4791</v>
      </c>
      <c r="T376" s="246"/>
      <c r="U376" s="193"/>
      <c r="X376" s="193"/>
    </row>
    <row r="377" hidden="1">
      <c r="O377" s="230"/>
      <c r="R377" s="230"/>
      <c r="S377" s="229" t="s">
        <v>4892</v>
      </c>
      <c r="T377" s="246"/>
      <c r="U377" s="193"/>
      <c r="X377" s="193"/>
    </row>
    <row r="378" hidden="1">
      <c r="O378" s="230"/>
      <c r="R378" s="230"/>
      <c r="T378" s="246"/>
      <c r="U378" s="193"/>
      <c r="X378" s="193"/>
    </row>
    <row r="379" hidden="1">
      <c r="O379" s="230"/>
      <c r="R379" s="230"/>
      <c r="T379" s="246"/>
      <c r="U379" s="193"/>
      <c r="X379" s="193"/>
    </row>
    <row r="380" hidden="1">
      <c r="O380" s="230"/>
      <c r="R380" s="230"/>
      <c r="T380" s="246"/>
      <c r="U380" s="193"/>
      <c r="X380" s="193"/>
    </row>
    <row r="381" hidden="1">
      <c r="O381" s="230"/>
      <c r="R381" s="230"/>
      <c r="T381" s="246"/>
      <c r="U381" s="193"/>
      <c r="X381" s="193"/>
    </row>
    <row r="382" hidden="1">
      <c r="O382" s="230"/>
      <c r="R382" s="230"/>
      <c r="T382" s="246"/>
      <c r="U382" s="193"/>
      <c r="X382" s="193"/>
    </row>
    <row r="383" hidden="1">
      <c r="O383" s="230"/>
      <c r="R383" s="230"/>
      <c r="T383" s="246"/>
      <c r="U383" s="193"/>
      <c r="X383" s="193"/>
    </row>
    <row r="384" hidden="1">
      <c r="O384" s="230"/>
      <c r="R384" s="230"/>
      <c r="T384" s="246"/>
      <c r="U384" s="193"/>
      <c r="X384" s="193"/>
    </row>
    <row r="385" hidden="1">
      <c r="O385" s="230"/>
      <c r="R385" s="230"/>
      <c r="T385" s="246"/>
      <c r="U385" s="193"/>
      <c r="X385" s="193"/>
    </row>
    <row r="386" hidden="1">
      <c r="O386" s="230"/>
      <c r="R386" s="230"/>
      <c r="T386" s="246"/>
      <c r="U386" s="193"/>
      <c r="X386" s="193"/>
    </row>
    <row r="387" hidden="1">
      <c r="O387" s="230"/>
      <c r="R387" s="230"/>
      <c r="T387" s="246"/>
      <c r="U387" s="193"/>
      <c r="X387" s="193"/>
    </row>
    <row r="388" hidden="1">
      <c r="O388" s="230"/>
      <c r="R388" s="230"/>
      <c r="T388" s="246"/>
      <c r="U388" s="193"/>
      <c r="X388" s="193"/>
    </row>
    <row r="389" hidden="1">
      <c r="O389" s="230"/>
      <c r="R389" s="230"/>
      <c r="S389" s="229" t="s">
        <v>10419</v>
      </c>
      <c r="T389" s="246"/>
      <c r="U389" s="193"/>
      <c r="X389" s="193"/>
    </row>
    <row r="390" hidden="1">
      <c r="O390" s="230"/>
      <c r="R390" s="230"/>
      <c r="S390" s="229" t="s">
        <v>4791</v>
      </c>
      <c r="T390" s="246"/>
      <c r="U390" s="193"/>
      <c r="X390" s="193"/>
    </row>
    <row r="391" hidden="1">
      <c r="O391" s="230"/>
      <c r="R391" s="230"/>
      <c r="S391" s="229" t="s">
        <v>4791</v>
      </c>
      <c r="T391" s="246"/>
      <c r="U391" s="193"/>
      <c r="X391" s="193"/>
    </row>
    <row r="392" hidden="1">
      <c r="O392" s="230"/>
      <c r="R392" s="230"/>
      <c r="S392" s="229" t="s">
        <v>4791</v>
      </c>
      <c r="T392" s="246"/>
      <c r="U392" s="193"/>
      <c r="X392" s="193"/>
    </row>
    <row r="393" hidden="1">
      <c r="O393" s="230"/>
      <c r="R393" s="230"/>
      <c r="S393" s="229" t="s">
        <v>4783</v>
      </c>
      <c r="T393" s="246"/>
      <c r="U393" s="193"/>
      <c r="X393" s="193"/>
    </row>
    <row r="394" hidden="1">
      <c r="O394" s="230"/>
      <c r="R394" s="230"/>
      <c r="S394" s="229" t="s">
        <v>4783</v>
      </c>
      <c r="T394" s="246"/>
      <c r="U394" s="193"/>
      <c r="X394" s="193"/>
    </row>
    <row r="395" hidden="1">
      <c r="O395" s="230"/>
      <c r="R395" s="230"/>
      <c r="S395" s="229" t="s">
        <v>4783</v>
      </c>
      <c r="T395" s="246"/>
      <c r="U395" s="193"/>
      <c r="X395" s="193"/>
    </row>
    <row r="396" hidden="1">
      <c r="O396" s="230"/>
      <c r="R396" s="230"/>
      <c r="S396" s="229" t="s">
        <v>10418</v>
      </c>
      <c r="T396" s="246"/>
      <c r="U396" s="193"/>
      <c r="X396" s="193"/>
    </row>
    <row r="397" hidden="1">
      <c r="O397" s="230"/>
      <c r="R397" s="230"/>
      <c r="S397" s="229" t="s">
        <v>4791</v>
      </c>
      <c r="T397" s="246"/>
      <c r="U397" s="193"/>
      <c r="X397" s="193"/>
    </row>
    <row r="398" hidden="1">
      <c r="O398" s="230"/>
      <c r="R398" s="230"/>
      <c r="T398" s="246"/>
      <c r="U398" s="193"/>
      <c r="X398" s="193"/>
    </row>
    <row r="399" hidden="1">
      <c r="O399" s="230"/>
      <c r="R399" s="230"/>
      <c r="T399" s="246"/>
      <c r="U399" s="193"/>
      <c r="X399" s="193"/>
    </row>
    <row r="400" hidden="1">
      <c r="O400" s="230"/>
      <c r="R400" s="230"/>
      <c r="S400" s="229" t="s">
        <v>10418</v>
      </c>
      <c r="T400" s="246"/>
      <c r="U400" s="193"/>
      <c r="X400" s="193"/>
    </row>
    <row r="401" hidden="1">
      <c r="O401" s="230"/>
      <c r="R401" s="230"/>
      <c r="T401" s="246"/>
      <c r="U401" s="193"/>
      <c r="X401" s="193"/>
    </row>
    <row r="402" hidden="1">
      <c r="O402" s="230"/>
      <c r="R402" s="230"/>
      <c r="T402" s="246"/>
      <c r="U402" s="193"/>
      <c r="X402" s="193"/>
    </row>
    <row r="403" hidden="1">
      <c r="O403" s="230"/>
      <c r="R403" s="230"/>
      <c r="S403" s="229" t="s">
        <v>4791</v>
      </c>
      <c r="T403" s="246"/>
      <c r="U403" s="193"/>
      <c r="X403" s="193"/>
    </row>
    <row r="404" hidden="1">
      <c r="O404" s="230"/>
      <c r="R404" s="230"/>
      <c r="S404" s="229" t="s">
        <v>4890</v>
      </c>
      <c r="T404" s="246"/>
      <c r="U404" s="193"/>
      <c r="X404" s="193"/>
    </row>
    <row r="405" hidden="1">
      <c r="O405" s="230"/>
      <c r="R405" s="230"/>
      <c r="T405" s="246"/>
      <c r="U405" s="193"/>
      <c r="X405" s="193"/>
    </row>
    <row r="406" hidden="1">
      <c r="O406" s="230"/>
      <c r="R406" s="230"/>
      <c r="T406" s="246"/>
      <c r="U406" s="193"/>
      <c r="X406" s="193"/>
    </row>
    <row r="407" hidden="1">
      <c r="O407" s="230"/>
      <c r="R407" s="230"/>
      <c r="S407" s="229" t="s">
        <v>10418</v>
      </c>
      <c r="T407" s="246"/>
      <c r="U407" s="193"/>
      <c r="X407" s="193"/>
    </row>
    <row r="408" hidden="1">
      <c r="O408" s="230"/>
      <c r="R408" s="230"/>
      <c r="S408" s="229" t="s">
        <v>10422</v>
      </c>
      <c r="T408" s="246"/>
      <c r="U408" s="193"/>
      <c r="X408" s="193"/>
    </row>
    <row r="409" hidden="1">
      <c r="O409" s="230"/>
      <c r="R409" s="230"/>
      <c r="T409" s="246"/>
      <c r="U409" s="193"/>
      <c r="X409" s="193"/>
    </row>
    <row r="410" hidden="1">
      <c r="O410" s="230"/>
      <c r="R410" s="230"/>
      <c r="S410" s="229" t="s">
        <v>4791</v>
      </c>
      <c r="T410" s="246"/>
      <c r="U410" s="193"/>
      <c r="X410" s="193"/>
    </row>
    <row r="411" hidden="1">
      <c r="O411" s="230"/>
      <c r="R411" s="230"/>
      <c r="S411" s="229" t="s">
        <v>10423</v>
      </c>
      <c r="T411" s="246"/>
      <c r="U411" s="193"/>
      <c r="X411" s="193"/>
    </row>
    <row r="412" hidden="1">
      <c r="O412" s="230"/>
      <c r="R412" s="230"/>
      <c r="S412" s="229" t="s">
        <v>4791</v>
      </c>
      <c r="T412" s="246"/>
      <c r="U412" s="193"/>
      <c r="X412" s="193"/>
    </row>
    <row r="413" hidden="1">
      <c r="O413" s="230"/>
      <c r="R413" s="230"/>
      <c r="S413" s="229" t="s">
        <v>4890</v>
      </c>
      <c r="T413" s="246"/>
      <c r="U413" s="193"/>
      <c r="X413" s="193"/>
    </row>
    <row r="414" hidden="1">
      <c r="O414" s="230"/>
      <c r="R414" s="230"/>
      <c r="S414" s="229" t="s">
        <v>4886</v>
      </c>
      <c r="T414" s="246"/>
      <c r="U414" s="193"/>
      <c r="X414" s="193"/>
    </row>
    <row r="415" hidden="1">
      <c r="O415" s="230"/>
      <c r="R415" s="230"/>
      <c r="S415" s="229" t="s">
        <v>4791</v>
      </c>
      <c r="T415" s="246"/>
      <c r="U415" s="193"/>
      <c r="X415" s="193"/>
    </row>
    <row r="416" hidden="1">
      <c r="O416" s="230"/>
      <c r="R416" s="230"/>
      <c r="T416" s="246"/>
      <c r="U416" s="193"/>
      <c r="X416" s="193"/>
    </row>
    <row r="417" hidden="1">
      <c r="O417" s="230"/>
      <c r="R417" s="230"/>
      <c r="S417" s="229" t="s">
        <v>10418</v>
      </c>
      <c r="T417" s="246"/>
      <c r="U417" s="193"/>
      <c r="X417" s="193"/>
    </row>
    <row r="418" hidden="1">
      <c r="O418" s="230"/>
      <c r="R418" s="230"/>
      <c r="T418" s="246"/>
      <c r="U418" s="193"/>
      <c r="X418" s="193"/>
    </row>
    <row r="419" hidden="1">
      <c r="O419" s="230"/>
      <c r="R419" s="230"/>
      <c r="T419" s="246"/>
      <c r="U419" s="193"/>
      <c r="X419" s="193"/>
    </row>
    <row r="420" hidden="1">
      <c r="O420" s="230"/>
      <c r="R420" s="230"/>
      <c r="S420" s="229" t="s">
        <v>4901</v>
      </c>
      <c r="T420" s="246"/>
      <c r="U420" s="193"/>
      <c r="X420" s="193"/>
    </row>
    <row r="421" hidden="1">
      <c r="O421" s="230"/>
      <c r="R421" s="230"/>
      <c r="T421" s="246"/>
      <c r="U421" s="193"/>
      <c r="X421" s="193"/>
    </row>
    <row r="422" hidden="1">
      <c r="O422" s="230"/>
      <c r="R422" s="230"/>
      <c r="T422" s="246"/>
      <c r="U422" s="193"/>
      <c r="X422" s="193"/>
    </row>
    <row r="423" hidden="1">
      <c r="O423" s="230"/>
      <c r="R423" s="230"/>
      <c r="T423" s="246"/>
      <c r="U423" s="193"/>
      <c r="X423" s="193"/>
    </row>
    <row r="424" hidden="1">
      <c r="O424" s="230"/>
      <c r="R424" s="230"/>
      <c r="S424" s="229" t="s">
        <v>10424</v>
      </c>
      <c r="T424" s="246"/>
      <c r="U424" s="193"/>
      <c r="X424" s="193"/>
    </row>
    <row r="425" hidden="1">
      <c r="O425" s="230"/>
      <c r="R425" s="230"/>
      <c r="T425" s="246"/>
      <c r="U425" s="193"/>
      <c r="X425" s="193"/>
    </row>
    <row r="426" hidden="1">
      <c r="O426" s="230"/>
      <c r="R426" s="230"/>
      <c r="T426" s="246"/>
      <c r="U426" s="193"/>
      <c r="X426" s="193"/>
    </row>
    <row r="427" hidden="1">
      <c r="O427" s="230"/>
      <c r="R427" s="230"/>
      <c r="T427" s="246"/>
      <c r="U427" s="193"/>
      <c r="X427" s="193"/>
    </row>
    <row r="428" hidden="1">
      <c r="O428" s="230"/>
      <c r="R428" s="230"/>
      <c r="S428" s="229" t="s">
        <v>10424</v>
      </c>
      <c r="T428" s="246"/>
      <c r="U428" s="193"/>
      <c r="X428" s="193"/>
    </row>
    <row r="429" hidden="1">
      <c r="O429" s="230"/>
      <c r="R429" s="230"/>
      <c r="T429" s="246"/>
      <c r="U429" s="193"/>
      <c r="X429" s="193"/>
    </row>
    <row r="430" hidden="1">
      <c r="O430" s="230"/>
      <c r="R430" s="230"/>
      <c r="T430" s="246"/>
      <c r="U430" s="193"/>
      <c r="X430" s="193"/>
    </row>
    <row r="431" hidden="1">
      <c r="O431" s="230"/>
      <c r="R431" s="230"/>
      <c r="T431" s="246"/>
      <c r="U431" s="193"/>
      <c r="X431" s="193"/>
    </row>
    <row r="432" hidden="1">
      <c r="O432" s="230"/>
      <c r="R432" s="230"/>
      <c r="T432" s="246"/>
      <c r="U432" s="193"/>
      <c r="X432" s="193"/>
    </row>
    <row r="433" hidden="1">
      <c r="O433" s="230"/>
      <c r="R433" s="230"/>
      <c r="T433" s="246"/>
      <c r="U433" s="193"/>
      <c r="X433" s="193"/>
    </row>
    <row r="434" hidden="1">
      <c r="O434" s="230"/>
      <c r="R434" s="230"/>
      <c r="T434" s="246"/>
      <c r="U434" s="193"/>
      <c r="X434" s="193"/>
    </row>
    <row r="435" hidden="1">
      <c r="O435" s="230"/>
      <c r="R435" s="230"/>
      <c r="T435" s="246"/>
      <c r="U435" s="193"/>
      <c r="X435" s="193"/>
    </row>
    <row r="436" hidden="1">
      <c r="O436" s="230"/>
      <c r="R436" s="230"/>
      <c r="T436" s="246"/>
      <c r="U436" s="193"/>
      <c r="X436" s="193"/>
    </row>
    <row r="437" hidden="1">
      <c r="O437" s="230"/>
      <c r="R437" s="230"/>
      <c r="T437" s="246"/>
      <c r="U437" s="193"/>
      <c r="X437" s="193"/>
    </row>
    <row r="438" hidden="1">
      <c r="O438" s="230"/>
      <c r="R438" s="230"/>
      <c r="S438" s="229" t="s">
        <v>10419</v>
      </c>
      <c r="T438" s="246"/>
      <c r="U438" s="193"/>
      <c r="X438" s="193"/>
    </row>
    <row r="439" hidden="1">
      <c r="O439" s="230"/>
      <c r="R439" s="230"/>
      <c r="T439" s="246"/>
      <c r="U439" s="193"/>
      <c r="X439" s="193"/>
    </row>
    <row r="440" hidden="1">
      <c r="O440" s="230"/>
      <c r="R440" s="230"/>
      <c r="T440" s="246"/>
      <c r="U440" s="193"/>
      <c r="X440" s="193"/>
    </row>
    <row r="441" hidden="1">
      <c r="O441" s="230"/>
      <c r="R441" s="230"/>
      <c r="T441" s="246"/>
      <c r="U441" s="193"/>
      <c r="X441" s="193"/>
    </row>
    <row r="442" hidden="1">
      <c r="O442" s="230"/>
      <c r="R442" s="230"/>
      <c r="S442" s="229" t="s">
        <v>4852</v>
      </c>
      <c r="T442" s="246"/>
      <c r="U442" s="193"/>
      <c r="X442" s="193"/>
    </row>
    <row r="443" hidden="1">
      <c r="O443" s="230"/>
      <c r="R443" s="230"/>
      <c r="T443" s="246"/>
      <c r="U443" s="193"/>
      <c r="X443" s="193"/>
    </row>
    <row r="444" hidden="1">
      <c r="O444" s="230"/>
      <c r="R444" s="230"/>
      <c r="T444" s="246"/>
      <c r="U444" s="193"/>
      <c r="X444" s="193"/>
    </row>
    <row r="445" hidden="1">
      <c r="O445" s="230"/>
      <c r="R445" s="230"/>
      <c r="S445" s="229" t="s">
        <v>4901</v>
      </c>
      <c r="T445" s="246"/>
      <c r="U445" s="193"/>
      <c r="X445" s="193"/>
    </row>
    <row r="446" hidden="1">
      <c r="O446" s="230"/>
      <c r="R446" s="230"/>
      <c r="T446" s="246"/>
      <c r="U446" s="193"/>
      <c r="X446" s="193"/>
    </row>
    <row r="447" hidden="1">
      <c r="O447" s="230"/>
      <c r="R447" s="230"/>
      <c r="T447" s="246"/>
      <c r="U447" s="193"/>
      <c r="X447" s="193"/>
    </row>
    <row r="448" hidden="1">
      <c r="O448" s="230"/>
      <c r="R448" s="230"/>
      <c r="S448" s="229" t="s">
        <v>10418</v>
      </c>
      <c r="T448" s="246"/>
      <c r="U448" s="193"/>
      <c r="X448" s="193"/>
    </row>
    <row r="449" hidden="1">
      <c r="O449" s="230"/>
      <c r="R449" s="230"/>
      <c r="T449" s="246"/>
      <c r="U449" s="193"/>
      <c r="X449" s="193"/>
    </row>
    <row r="450" hidden="1">
      <c r="O450" s="230"/>
      <c r="R450" s="230"/>
      <c r="T450" s="246"/>
      <c r="U450" s="193"/>
      <c r="X450" s="193"/>
    </row>
    <row r="451" hidden="1">
      <c r="O451" s="230"/>
      <c r="R451" s="230"/>
      <c r="T451" s="246"/>
      <c r="U451" s="193"/>
      <c r="X451" s="193"/>
    </row>
    <row r="452" hidden="1">
      <c r="O452" s="230"/>
      <c r="R452" s="230"/>
      <c r="T452" s="246"/>
      <c r="U452" s="193"/>
      <c r="X452" s="193"/>
    </row>
    <row r="453" hidden="1">
      <c r="O453" s="230"/>
      <c r="R453" s="230"/>
      <c r="T453" s="246"/>
      <c r="U453" s="193"/>
      <c r="X453" s="193"/>
    </row>
    <row r="454" hidden="1">
      <c r="O454" s="230"/>
      <c r="R454" s="230"/>
      <c r="T454" s="246"/>
      <c r="U454" s="193"/>
      <c r="X454" s="193"/>
    </row>
    <row r="455" hidden="1">
      <c r="O455" s="230"/>
      <c r="R455" s="230"/>
      <c r="T455" s="246"/>
      <c r="U455" s="193"/>
      <c r="X455" s="193"/>
    </row>
    <row r="456" hidden="1">
      <c r="O456" s="230"/>
      <c r="R456" s="230"/>
      <c r="T456" s="246"/>
      <c r="U456" s="193"/>
      <c r="X456" s="193"/>
    </row>
    <row r="457" hidden="1">
      <c r="O457" s="230"/>
      <c r="R457" s="230"/>
      <c r="T457" s="246"/>
      <c r="U457" s="193"/>
      <c r="X457" s="193"/>
    </row>
    <row r="458" hidden="1">
      <c r="O458" s="230"/>
      <c r="R458" s="230"/>
      <c r="T458" s="246"/>
      <c r="U458" s="193"/>
      <c r="X458" s="193"/>
    </row>
    <row r="459" hidden="1">
      <c r="O459" s="230"/>
      <c r="R459" s="230"/>
      <c r="T459" s="246"/>
      <c r="U459" s="193"/>
      <c r="X459" s="193"/>
    </row>
    <row r="460" hidden="1">
      <c r="O460" s="230"/>
      <c r="R460" s="230"/>
      <c r="T460" s="246"/>
      <c r="U460" s="193"/>
      <c r="X460" s="193"/>
    </row>
    <row r="461" hidden="1">
      <c r="O461" s="230"/>
      <c r="R461" s="230"/>
      <c r="T461" s="246"/>
      <c r="U461" s="193"/>
      <c r="X461" s="193"/>
    </row>
    <row r="462" hidden="1">
      <c r="O462" s="230"/>
      <c r="R462" s="230"/>
      <c r="T462" s="246"/>
      <c r="U462" s="193"/>
      <c r="X462" s="193"/>
    </row>
    <row r="463" hidden="1">
      <c r="O463" s="230"/>
      <c r="R463" s="230"/>
      <c r="T463" s="246"/>
      <c r="U463" s="193"/>
      <c r="X463" s="193"/>
    </row>
    <row r="464" hidden="1">
      <c r="O464" s="230"/>
      <c r="R464" s="230"/>
      <c r="T464" s="246"/>
      <c r="U464" s="193"/>
      <c r="X464" s="193"/>
    </row>
    <row r="465" hidden="1">
      <c r="O465" s="230"/>
      <c r="R465" s="230"/>
      <c r="T465" s="246"/>
      <c r="U465" s="193"/>
      <c r="X465" s="193"/>
    </row>
    <row r="466" hidden="1">
      <c r="O466" s="230"/>
      <c r="R466" s="230"/>
      <c r="T466" s="246"/>
      <c r="U466" s="193"/>
      <c r="X466" s="193"/>
    </row>
    <row r="467" hidden="1">
      <c r="O467" s="230"/>
      <c r="R467" s="230"/>
      <c r="T467" s="246"/>
      <c r="U467" s="193"/>
      <c r="X467" s="193"/>
    </row>
    <row r="468" hidden="1">
      <c r="O468" s="230"/>
      <c r="R468" s="230"/>
      <c r="T468" s="246"/>
      <c r="U468" s="193"/>
      <c r="X468" s="193"/>
    </row>
    <row r="469" hidden="1">
      <c r="O469" s="230"/>
      <c r="R469" s="230"/>
      <c r="T469" s="246"/>
      <c r="U469" s="193"/>
      <c r="X469" s="193"/>
    </row>
    <row r="470" hidden="1">
      <c r="O470" s="230"/>
      <c r="R470" s="230"/>
      <c r="T470" s="246"/>
      <c r="U470" s="193"/>
      <c r="X470" s="193"/>
    </row>
    <row r="471" hidden="1">
      <c r="O471" s="230"/>
      <c r="R471" s="230"/>
      <c r="T471" s="246"/>
      <c r="U471" s="193"/>
      <c r="X471" s="193"/>
    </row>
    <row r="472" hidden="1">
      <c r="O472" s="230"/>
      <c r="R472" s="230"/>
      <c r="S472" s="229" t="s">
        <v>4886</v>
      </c>
      <c r="T472" s="246"/>
      <c r="U472" s="193"/>
      <c r="X472" s="193"/>
    </row>
    <row r="473" hidden="1">
      <c r="O473" s="230"/>
      <c r="R473" s="230"/>
      <c r="S473" s="229" t="s">
        <v>10418</v>
      </c>
      <c r="T473" s="246"/>
      <c r="U473" s="193"/>
      <c r="X473" s="193"/>
    </row>
    <row r="474" hidden="1">
      <c r="O474" s="230"/>
      <c r="R474" s="230"/>
      <c r="T474" s="246"/>
      <c r="U474" s="193"/>
      <c r="X474" s="193"/>
    </row>
    <row r="475" hidden="1">
      <c r="O475" s="230"/>
      <c r="R475" s="230"/>
      <c r="T475" s="246"/>
      <c r="U475" s="193"/>
      <c r="X475" s="193"/>
    </row>
    <row r="476" hidden="1">
      <c r="O476" s="230"/>
      <c r="R476" s="230"/>
      <c r="T476" s="246"/>
      <c r="U476" s="193"/>
      <c r="X476" s="193"/>
    </row>
    <row r="477" hidden="1">
      <c r="O477" s="230"/>
      <c r="R477" s="230"/>
      <c r="T477" s="246"/>
      <c r="U477" s="193"/>
      <c r="X477" s="193"/>
    </row>
    <row r="478" hidden="1">
      <c r="O478" s="230"/>
      <c r="R478" s="230"/>
      <c r="T478" s="246"/>
      <c r="U478" s="193"/>
      <c r="X478" s="193"/>
    </row>
    <row r="479" hidden="1">
      <c r="O479" s="230"/>
      <c r="R479" s="230"/>
      <c r="T479" s="246"/>
      <c r="U479" s="193"/>
      <c r="X479" s="193"/>
    </row>
    <row r="480" hidden="1">
      <c r="O480" s="230"/>
      <c r="R480" s="230"/>
      <c r="T480" s="246"/>
      <c r="U480" s="193"/>
      <c r="X480" s="193"/>
    </row>
    <row r="481" hidden="1">
      <c r="O481" s="230"/>
      <c r="R481" s="230"/>
      <c r="S481" s="229" t="s">
        <v>4791</v>
      </c>
      <c r="T481" s="246"/>
      <c r="U481" s="193"/>
      <c r="X481" s="193"/>
    </row>
    <row r="482" hidden="1">
      <c r="O482" s="230"/>
      <c r="R482" s="230"/>
      <c r="S482" s="229" t="s">
        <v>10418</v>
      </c>
      <c r="T482" s="246"/>
      <c r="U482" s="193"/>
      <c r="X482" s="193"/>
    </row>
    <row r="483" hidden="1">
      <c r="O483" s="230"/>
      <c r="R483" s="230"/>
      <c r="S483" s="229" t="s">
        <v>10418</v>
      </c>
      <c r="T483" s="246"/>
      <c r="U483" s="193"/>
      <c r="X483" s="193"/>
    </row>
    <row r="484" hidden="1">
      <c r="O484" s="230"/>
      <c r="R484" s="230"/>
      <c r="T484" s="246"/>
      <c r="U484" s="193"/>
      <c r="X484" s="193"/>
    </row>
    <row r="485" hidden="1">
      <c r="O485" s="230"/>
      <c r="R485" s="230"/>
      <c r="T485" s="246"/>
      <c r="U485" s="193"/>
      <c r="X485" s="193"/>
    </row>
    <row r="486" hidden="1">
      <c r="O486" s="230"/>
      <c r="R486" s="230"/>
      <c r="S486" s="229" t="s">
        <v>4783</v>
      </c>
      <c r="T486" s="246"/>
      <c r="U486" s="193"/>
      <c r="X486" s="193"/>
    </row>
    <row r="487" hidden="1">
      <c r="O487" s="230"/>
      <c r="R487" s="230"/>
      <c r="S487" s="229" t="s">
        <v>4852</v>
      </c>
      <c r="T487" s="246"/>
      <c r="U487" s="193"/>
      <c r="X487" s="193"/>
    </row>
    <row r="488" hidden="1">
      <c r="O488" s="230"/>
      <c r="R488" s="230"/>
      <c r="T488" s="246"/>
      <c r="U488" s="193"/>
      <c r="X488" s="193"/>
    </row>
    <row r="489" hidden="1">
      <c r="O489" s="230"/>
      <c r="R489" s="230"/>
      <c r="S489" s="229" t="s">
        <v>4791</v>
      </c>
      <c r="T489" s="246"/>
      <c r="U489" s="193"/>
      <c r="X489" s="193"/>
    </row>
    <row r="490" hidden="1">
      <c r="O490" s="230"/>
      <c r="R490" s="230"/>
      <c r="T490" s="246"/>
      <c r="U490" s="193"/>
      <c r="X490" s="193"/>
    </row>
    <row r="491" hidden="1">
      <c r="O491" s="230"/>
      <c r="R491" s="230"/>
      <c r="S491" s="229" t="s">
        <v>4886</v>
      </c>
      <c r="T491" s="246"/>
      <c r="U491" s="193"/>
      <c r="X491" s="193"/>
    </row>
    <row r="492" hidden="1">
      <c r="O492" s="230"/>
      <c r="R492" s="230"/>
      <c r="S492" s="229" t="s">
        <v>4892</v>
      </c>
      <c r="T492" s="246"/>
      <c r="U492" s="193"/>
      <c r="X492" s="193"/>
    </row>
    <row r="493" hidden="1">
      <c r="O493" s="230"/>
      <c r="R493" s="230"/>
      <c r="S493" s="229" t="s">
        <v>4892</v>
      </c>
      <c r="T493" s="246"/>
      <c r="U493" s="193"/>
      <c r="X493" s="193"/>
    </row>
    <row r="494" hidden="1">
      <c r="O494" s="230"/>
      <c r="R494" s="230"/>
      <c r="S494" s="229" t="s">
        <v>4886</v>
      </c>
      <c r="T494" s="246"/>
      <c r="U494" s="193"/>
      <c r="X494" s="193"/>
    </row>
    <row r="495" hidden="1">
      <c r="O495" s="230"/>
      <c r="R495" s="230"/>
      <c r="S495" s="229" t="s">
        <v>4892</v>
      </c>
      <c r="T495" s="246"/>
      <c r="U495" s="193"/>
      <c r="X495" s="193"/>
    </row>
    <row r="496" hidden="1">
      <c r="O496" s="230"/>
      <c r="R496" s="230"/>
      <c r="S496" s="229" t="s">
        <v>4791</v>
      </c>
      <c r="T496" s="246"/>
      <c r="U496" s="193"/>
      <c r="X496" s="193"/>
    </row>
    <row r="497" hidden="1">
      <c r="O497" s="230"/>
      <c r="R497" s="230"/>
      <c r="S497" s="229" t="s">
        <v>10419</v>
      </c>
      <c r="T497" s="246"/>
      <c r="U497" s="193"/>
      <c r="X497" s="193"/>
    </row>
    <row r="498" hidden="1">
      <c r="O498" s="230"/>
      <c r="R498" s="230"/>
      <c r="S498" s="229" t="s">
        <v>4791</v>
      </c>
      <c r="T498" s="246"/>
      <c r="U498" s="193"/>
      <c r="X498" s="193"/>
    </row>
    <row r="499" hidden="1">
      <c r="O499" s="230"/>
      <c r="R499" s="230"/>
      <c r="S499" s="229" t="s">
        <v>10420</v>
      </c>
      <c r="T499" s="246"/>
      <c r="U499" s="193"/>
      <c r="X499" s="193"/>
    </row>
    <row r="500" hidden="1">
      <c r="O500" s="230"/>
      <c r="R500" s="230"/>
      <c r="S500" s="229" t="s">
        <v>4886</v>
      </c>
      <c r="T500" s="246"/>
      <c r="U500" s="193"/>
      <c r="X500" s="193"/>
    </row>
    <row r="501" hidden="1">
      <c r="O501" s="230"/>
      <c r="R501" s="230"/>
      <c r="S501" s="229" t="s">
        <v>4892</v>
      </c>
      <c r="T501" s="246"/>
      <c r="U501" s="193"/>
      <c r="X501" s="193"/>
    </row>
    <row r="502" hidden="1">
      <c r="O502" s="230"/>
      <c r="R502" s="230"/>
      <c r="S502" s="229" t="s">
        <v>10421</v>
      </c>
      <c r="T502" s="246"/>
      <c r="U502" s="193"/>
      <c r="X502" s="193"/>
    </row>
    <row r="503" hidden="1">
      <c r="O503" s="230"/>
      <c r="R503" s="230"/>
      <c r="T503" s="246"/>
      <c r="U503" s="193"/>
      <c r="X503" s="193"/>
    </row>
    <row r="504" hidden="1">
      <c r="O504" s="230"/>
      <c r="R504" s="230"/>
      <c r="T504" s="246"/>
      <c r="U504" s="193"/>
      <c r="X504" s="193"/>
    </row>
    <row r="505" hidden="1">
      <c r="O505" s="230"/>
      <c r="R505" s="230"/>
      <c r="S505" s="229" t="s">
        <v>4901</v>
      </c>
      <c r="T505" s="246"/>
      <c r="U505" s="193"/>
      <c r="X505" s="193"/>
    </row>
    <row r="506" hidden="1">
      <c r="O506" s="230"/>
      <c r="R506" s="230"/>
      <c r="S506" s="229" t="s">
        <v>10419</v>
      </c>
      <c r="T506" s="246"/>
      <c r="U506" s="193"/>
      <c r="X506" s="193"/>
    </row>
    <row r="507" hidden="1">
      <c r="O507" s="230"/>
      <c r="R507" s="230"/>
      <c r="S507" s="229" t="s">
        <v>10420</v>
      </c>
      <c r="T507" s="246"/>
      <c r="U507" s="193"/>
      <c r="X507" s="193"/>
    </row>
    <row r="508" hidden="1">
      <c r="O508" s="230"/>
      <c r="R508" s="230"/>
      <c r="S508" s="229" t="s">
        <v>4783</v>
      </c>
      <c r="T508" s="246"/>
      <c r="U508" s="193"/>
      <c r="X508" s="193"/>
    </row>
    <row r="509" hidden="1">
      <c r="O509" s="230"/>
      <c r="R509" s="230"/>
      <c r="T509" s="246"/>
      <c r="U509" s="193"/>
      <c r="X509" s="193"/>
    </row>
    <row r="510" hidden="1">
      <c r="O510" s="230"/>
      <c r="R510" s="230"/>
      <c r="T510" s="246"/>
      <c r="U510" s="193"/>
      <c r="X510" s="193"/>
    </row>
    <row r="511" hidden="1">
      <c r="O511" s="230"/>
      <c r="R511" s="230"/>
      <c r="T511" s="246"/>
      <c r="U511" s="193"/>
      <c r="X511" s="193"/>
    </row>
    <row r="512" hidden="1">
      <c r="O512" s="230"/>
      <c r="R512" s="230"/>
      <c r="S512" s="229" t="s">
        <v>4791</v>
      </c>
      <c r="T512" s="246"/>
      <c r="U512" s="193"/>
      <c r="X512" s="193"/>
    </row>
    <row r="513" hidden="1">
      <c r="O513" s="230"/>
      <c r="R513" s="230"/>
      <c r="T513" s="246"/>
      <c r="U513" s="193"/>
      <c r="X513" s="193"/>
    </row>
    <row r="514" hidden="1">
      <c r="O514" s="230"/>
      <c r="R514" s="230"/>
      <c r="S514" s="229" t="s">
        <v>10419</v>
      </c>
      <c r="T514" s="246"/>
      <c r="U514" s="193"/>
      <c r="X514" s="193"/>
    </row>
    <row r="515" hidden="1">
      <c r="O515" s="230"/>
      <c r="R515" s="230"/>
      <c r="S515" s="229" t="s">
        <v>4791</v>
      </c>
      <c r="T515" s="246"/>
      <c r="U515" s="193"/>
      <c r="X515" s="193"/>
    </row>
    <row r="516" hidden="1">
      <c r="O516" s="230"/>
      <c r="R516" s="230"/>
      <c r="S516" s="229" t="s">
        <v>4791</v>
      </c>
      <c r="T516" s="246"/>
      <c r="U516" s="193"/>
      <c r="X516" s="193"/>
    </row>
    <row r="517" hidden="1">
      <c r="O517" s="230"/>
      <c r="R517" s="230"/>
      <c r="S517" s="229" t="s">
        <v>4901</v>
      </c>
      <c r="T517" s="246"/>
      <c r="U517" s="193"/>
      <c r="X517" s="193"/>
    </row>
    <row r="518" hidden="1">
      <c r="O518" s="230"/>
      <c r="R518" s="230"/>
      <c r="S518" s="229" t="s">
        <v>4791</v>
      </c>
      <c r="T518" s="246"/>
      <c r="U518" s="193"/>
      <c r="X518" s="193"/>
    </row>
    <row r="519" hidden="1">
      <c r="O519" s="230"/>
      <c r="R519" s="230"/>
      <c r="S519" s="229" t="s">
        <v>4892</v>
      </c>
      <c r="T519" s="246"/>
      <c r="U519" s="193"/>
      <c r="X519" s="193"/>
    </row>
    <row r="520" hidden="1">
      <c r="O520" s="230"/>
      <c r="R520" s="230"/>
      <c r="T520" s="246"/>
      <c r="U520" s="193"/>
      <c r="X520" s="193"/>
    </row>
    <row r="521" hidden="1">
      <c r="O521" s="230"/>
      <c r="R521" s="230"/>
      <c r="T521" s="246"/>
      <c r="U521" s="193"/>
      <c r="X521" s="193"/>
    </row>
    <row r="522" hidden="1">
      <c r="O522" s="230"/>
      <c r="R522" s="230"/>
      <c r="T522" s="246"/>
      <c r="U522" s="193"/>
      <c r="X522" s="193"/>
    </row>
    <row r="523" hidden="1">
      <c r="O523" s="230"/>
      <c r="R523" s="230"/>
      <c r="T523" s="246"/>
      <c r="U523" s="193"/>
      <c r="X523" s="193"/>
    </row>
    <row r="524" hidden="1">
      <c r="O524" s="230"/>
      <c r="R524" s="230"/>
      <c r="T524" s="246"/>
      <c r="U524" s="193"/>
      <c r="X524" s="193"/>
    </row>
    <row r="525" hidden="1">
      <c r="O525" s="230"/>
      <c r="R525" s="230"/>
      <c r="T525" s="246"/>
      <c r="U525" s="193"/>
      <c r="X525" s="193"/>
    </row>
    <row r="526" hidden="1">
      <c r="O526" s="230"/>
      <c r="R526" s="230"/>
      <c r="T526" s="246"/>
      <c r="U526" s="193"/>
      <c r="X526" s="193"/>
    </row>
    <row r="527" hidden="1">
      <c r="O527" s="230"/>
      <c r="R527" s="230"/>
      <c r="T527" s="246"/>
      <c r="U527" s="193"/>
      <c r="X527" s="193"/>
    </row>
    <row r="528" hidden="1">
      <c r="O528" s="230"/>
      <c r="R528" s="230"/>
      <c r="T528" s="246"/>
      <c r="U528" s="193"/>
      <c r="X528" s="193"/>
    </row>
    <row r="529" hidden="1">
      <c r="O529" s="230"/>
      <c r="R529" s="230"/>
      <c r="T529" s="246"/>
      <c r="U529" s="193"/>
      <c r="X529" s="193"/>
    </row>
    <row r="530" hidden="1">
      <c r="O530" s="230"/>
      <c r="R530" s="230"/>
      <c r="T530" s="246"/>
      <c r="U530" s="193"/>
      <c r="X530" s="193"/>
    </row>
    <row r="531" hidden="1">
      <c r="O531" s="230"/>
      <c r="R531" s="230"/>
      <c r="S531" s="229" t="s">
        <v>10419</v>
      </c>
      <c r="T531" s="246"/>
      <c r="U531" s="193"/>
      <c r="X531" s="193"/>
    </row>
    <row r="532" hidden="1">
      <c r="O532" s="230"/>
      <c r="R532" s="230"/>
      <c r="S532" s="229" t="s">
        <v>4791</v>
      </c>
      <c r="T532" s="246"/>
      <c r="U532" s="193"/>
      <c r="X532" s="193"/>
    </row>
    <row r="533" hidden="1">
      <c r="O533" s="230"/>
      <c r="R533" s="230"/>
      <c r="S533" s="229" t="s">
        <v>4791</v>
      </c>
      <c r="T533" s="246"/>
      <c r="U533" s="193"/>
      <c r="X533" s="193"/>
    </row>
    <row r="534" hidden="1">
      <c r="O534" s="230"/>
      <c r="R534" s="230"/>
      <c r="S534" s="229" t="s">
        <v>4791</v>
      </c>
      <c r="T534" s="246"/>
      <c r="U534" s="193"/>
      <c r="X534" s="193"/>
    </row>
    <row r="535" hidden="1">
      <c r="O535" s="230"/>
      <c r="R535" s="230"/>
      <c r="S535" s="229" t="s">
        <v>4783</v>
      </c>
      <c r="T535" s="246"/>
      <c r="U535" s="193"/>
      <c r="X535" s="193"/>
    </row>
    <row r="536" hidden="1">
      <c r="O536" s="230"/>
      <c r="R536" s="230"/>
      <c r="S536" s="229" t="s">
        <v>4783</v>
      </c>
      <c r="T536" s="246"/>
      <c r="U536" s="193"/>
      <c r="X536" s="193"/>
    </row>
    <row r="537" hidden="1">
      <c r="O537" s="230"/>
      <c r="R537" s="230"/>
      <c r="S537" s="229" t="s">
        <v>4783</v>
      </c>
      <c r="T537" s="246"/>
      <c r="U537" s="193"/>
      <c r="X537" s="193"/>
    </row>
    <row r="538" hidden="1">
      <c r="O538" s="230"/>
      <c r="R538" s="230"/>
      <c r="S538" s="229" t="s">
        <v>10418</v>
      </c>
      <c r="T538" s="246"/>
      <c r="U538" s="193"/>
      <c r="X538" s="193"/>
    </row>
    <row r="539" hidden="1">
      <c r="O539" s="230"/>
      <c r="R539" s="230"/>
      <c r="S539" s="229" t="s">
        <v>4791</v>
      </c>
      <c r="T539" s="246"/>
      <c r="U539" s="193"/>
      <c r="X539" s="193"/>
    </row>
    <row r="540" hidden="1">
      <c r="O540" s="230"/>
      <c r="R540" s="230"/>
      <c r="T540" s="246"/>
      <c r="U540" s="193"/>
      <c r="X540" s="193"/>
    </row>
    <row r="541" hidden="1">
      <c r="O541" s="230"/>
      <c r="R541" s="230"/>
      <c r="T541" s="246"/>
      <c r="U541" s="193"/>
      <c r="X541" s="193"/>
    </row>
    <row r="542" hidden="1">
      <c r="O542" s="230"/>
      <c r="R542" s="230"/>
      <c r="S542" s="229" t="s">
        <v>10418</v>
      </c>
      <c r="T542" s="246"/>
      <c r="U542" s="193"/>
      <c r="X542" s="193"/>
    </row>
    <row r="543" hidden="1">
      <c r="O543" s="230"/>
      <c r="R543" s="230"/>
      <c r="T543" s="246"/>
      <c r="U543" s="193"/>
      <c r="X543" s="193"/>
    </row>
    <row r="544" hidden="1">
      <c r="O544" s="230"/>
      <c r="R544" s="230"/>
      <c r="T544" s="246"/>
      <c r="U544" s="193"/>
      <c r="X544" s="193"/>
    </row>
    <row r="545" hidden="1">
      <c r="O545" s="230"/>
      <c r="R545" s="230"/>
      <c r="S545" s="229" t="s">
        <v>4791</v>
      </c>
      <c r="T545" s="246"/>
      <c r="U545" s="193"/>
      <c r="X545" s="193"/>
    </row>
    <row r="546" hidden="1">
      <c r="O546" s="230"/>
      <c r="R546" s="230"/>
      <c r="S546" s="229" t="s">
        <v>4890</v>
      </c>
      <c r="T546" s="246"/>
      <c r="U546" s="193"/>
      <c r="X546" s="193"/>
    </row>
    <row r="547" hidden="1">
      <c r="O547" s="230"/>
      <c r="R547" s="230"/>
      <c r="T547" s="246"/>
      <c r="U547" s="193"/>
      <c r="X547" s="193"/>
    </row>
    <row r="548" hidden="1">
      <c r="O548" s="230"/>
      <c r="R548" s="230"/>
      <c r="T548" s="246"/>
      <c r="U548" s="193"/>
      <c r="X548" s="193"/>
    </row>
    <row r="549" hidden="1">
      <c r="O549" s="230"/>
      <c r="R549" s="230"/>
      <c r="S549" s="229" t="s">
        <v>10418</v>
      </c>
      <c r="T549" s="246"/>
      <c r="U549" s="193"/>
      <c r="X549" s="193"/>
    </row>
    <row r="550" hidden="1">
      <c r="O550" s="230"/>
      <c r="R550" s="230"/>
      <c r="S550" s="229" t="s">
        <v>10422</v>
      </c>
      <c r="T550" s="246"/>
      <c r="U550" s="193"/>
      <c r="X550" s="193"/>
    </row>
    <row r="551" hidden="1">
      <c r="O551" s="230"/>
      <c r="R551" s="230"/>
      <c r="T551" s="246"/>
      <c r="U551" s="193"/>
      <c r="X551" s="193"/>
    </row>
    <row r="552" hidden="1">
      <c r="O552" s="230"/>
      <c r="R552" s="230"/>
      <c r="S552" s="229" t="s">
        <v>4791</v>
      </c>
      <c r="T552" s="246"/>
      <c r="U552" s="193"/>
      <c r="X552" s="193"/>
    </row>
    <row r="553" hidden="1">
      <c r="O553" s="230"/>
      <c r="R553" s="230"/>
      <c r="S553" s="229" t="s">
        <v>10423</v>
      </c>
      <c r="T553" s="246"/>
      <c r="U553" s="193"/>
      <c r="X553" s="193"/>
    </row>
    <row r="554" hidden="1">
      <c r="O554" s="230"/>
      <c r="R554" s="230"/>
      <c r="S554" s="229" t="s">
        <v>4791</v>
      </c>
      <c r="T554" s="246"/>
      <c r="U554" s="193"/>
      <c r="X554" s="193"/>
    </row>
    <row r="555" hidden="1">
      <c r="O555" s="230"/>
      <c r="R555" s="230"/>
      <c r="S555" s="229" t="s">
        <v>4890</v>
      </c>
      <c r="T555" s="246"/>
      <c r="U555" s="193"/>
      <c r="X555" s="193"/>
    </row>
    <row r="556" hidden="1">
      <c r="O556" s="230"/>
      <c r="R556" s="230"/>
      <c r="S556" s="229" t="s">
        <v>4886</v>
      </c>
      <c r="T556" s="246"/>
      <c r="U556" s="193"/>
      <c r="X556" s="193"/>
    </row>
    <row r="557" hidden="1">
      <c r="O557" s="230"/>
      <c r="R557" s="230"/>
      <c r="S557" s="229" t="s">
        <v>4791</v>
      </c>
      <c r="T557" s="246"/>
      <c r="U557" s="193"/>
      <c r="X557" s="193"/>
    </row>
    <row r="558" hidden="1">
      <c r="O558" s="230"/>
      <c r="R558" s="230"/>
      <c r="T558" s="246"/>
      <c r="U558" s="193"/>
      <c r="X558" s="193"/>
    </row>
    <row r="559" hidden="1">
      <c r="O559" s="230"/>
      <c r="R559" s="230"/>
      <c r="S559" s="229" t="s">
        <v>10418</v>
      </c>
      <c r="T559" s="246"/>
      <c r="U559" s="193"/>
      <c r="X559" s="193"/>
    </row>
    <row r="560" hidden="1">
      <c r="O560" s="230"/>
      <c r="R560" s="230"/>
      <c r="T560" s="246"/>
      <c r="U560" s="193"/>
      <c r="X560" s="193"/>
    </row>
    <row r="561" hidden="1">
      <c r="O561" s="230"/>
      <c r="R561" s="230"/>
      <c r="T561" s="246"/>
      <c r="U561" s="193"/>
      <c r="X561" s="193"/>
    </row>
    <row r="562" hidden="1">
      <c r="O562" s="230"/>
      <c r="R562" s="230"/>
      <c r="S562" s="229" t="s">
        <v>4901</v>
      </c>
      <c r="T562" s="246"/>
      <c r="U562" s="193"/>
      <c r="X562" s="193"/>
    </row>
    <row r="563" hidden="1">
      <c r="O563" s="230"/>
      <c r="R563" s="230"/>
      <c r="T563" s="246"/>
      <c r="U563" s="193"/>
      <c r="X563" s="193"/>
    </row>
    <row r="564" hidden="1">
      <c r="O564" s="230"/>
      <c r="R564" s="230"/>
      <c r="T564" s="246"/>
      <c r="U564" s="193"/>
      <c r="X564" s="193"/>
    </row>
    <row r="565" hidden="1">
      <c r="O565" s="230"/>
      <c r="R565" s="230"/>
      <c r="T565" s="246"/>
      <c r="U565" s="193"/>
      <c r="X565" s="193"/>
    </row>
    <row r="566" hidden="1">
      <c r="O566" s="230"/>
      <c r="R566" s="230"/>
      <c r="S566" s="229" t="s">
        <v>10424</v>
      </c>
      <c r="T566" s="246"/>
      <c r="U566" s="193"/>
      <c r="X566" s="193"/>
    </row>
    <row r="567" hidden="1">
      <c r="O567" s="230"/>
      <c r="R567" s="230"/>
      <c r="T567" s="246"/>
      <c r="U567" s="193"/>
      <c r="X567" s="193"/>
    </row>
    <row r="568" hidden="1">
      <c r="O568" s="230"/>
      <c r="R568" s="230"/>
      <c r="T568" s="246"/>
      <c r="U568" s="193"/>
      <c r="X568" s="193"/>
    </row>
    <row r="569" hidden="1">
      <c r="O569" s="230"/>
      <c r="R569" s="230"/>
      <c r="T569" s="246"/>
      <c r="U569" s="193"/>
      <c r="X569" s="193"/>
    </row>
    <row r="570" hidden="1">
      <c r="O570" s="230"/>
      <c r="R570" s="230"/>
      <c r="S570" s="229" t="s">
        <v>10424</v>
      </c>
      <c r="T570" s="246"/>
      <c r="U570" s="193"/>
      <c r="X570" s="193"/>
    </row>
    <row r="571" hidden="1">
      <c r="O571" s="230"/>
      <c r="R571" s="230"/>
      <c r="T571" s="246"/>
      <c r="U571" s="193"/>
      <c r="X571" s="193"/>
    </row>
    <row r="572" hidden="1">
      <c r="O572" s="230"/>
      <c r="R572" s="230"/>
      <c r="T572" s="246"/>
      <c r="U572" s="193"/>
      <c r="X572" s="193"/>
    </row>
    <row r="573" hidden="1">
      <c r="O573" s="230"/>
      <c r="R573" s="230"/>
      <c r="T573" s="246"/>
      <c r="U573" s="193"/>
      <c r="X573" s="193"/>
    </row>
    <row r="574" hidden="1">
      <c r="O574" s="230"/>
      <c r="R574" s="230"/>
      <c r="T574" s="246"/>
      <c r="U574" s="193"/>
      <c r="X574" s="193"/>
    </row>
    <row r="575" hidden="1">
      <c r="O575" s="230"/>
      <c r="R575" s="230"/>
      <c r="T575" s="246"/>
      <c r="U575" s="193"/>
      <c r="X575" s="193"/>
    </row>
    <row r="576" hidden="1">
      <c r="O576" s="230"/>
      <c r="R576" s="230"/>
      <c r="T576" s="246"/>
      <c r="U576" s="193"/>
      <c r="X576" s="193"/>
    </row>
    <row r="577" hidden="1">
      <c r="O577" s="230"/>
      <c r="R577" s="230"/>
      <c r="T577" s="246"/>
      <c r="U577" s="193"/>
      <c r="X577" s="193"/>
    </row>
    <row r="578" hidden="1">
      <c r="O578" s="230"/>
      <c r="R578" s="230"/>
      <c r="T578" s="246"/>
      <c r="U578" s="193"/>
      <c r="X578" s="193"/>
    </row>
    <row r="579" hidden="1">
      <c r="O579" s="230"/>
      <c r="R579" s="230"/>
      <c r="T579" s="246"/>
      <c r="U579" s="193"/>
      <c r="X579" s="193"/>
    </row>
    <row r="580" hidden="1">
      <c r="O580" s="230"/>
      <c r="R580" s="230"/>
      <c r="S580" s="229" t="s">
        <v>10419</v>
      </c>
      <c r="T580" s="246"/>
      <c r="U580" s="193"/>
      <c r="X580" s="193"/>
    </row>
    <row r="581" hidden="1">
      <c r="O581" s="230"/>
      <c r="R581" s="230"/>
      <c r="T581" s="246"/>
      <c r="U581" s="193"/>
      <c r="X581" s="193"/>
    </row>
    <row r="582" hidden="1">
      <c r="O582" s="230"/>
      <c r="R582" s="230"/>
      <c r="T582" s="246"/>
      <c r="U582" s="193"/>
      <c r="X582" s="193"/>
    </row>
    <row r="583" hidden="1">
      <c r="O583" s="230"/>
      <c r="R583" s="230"/>
      <c r="T583" s="246"/>
      <c r="U583" s="193"/>
      <c r="X583" s="193"/>
    </row>
    <row r="584" hidden="1">
      <c r="O584" s="230"/>
      <c r="R584" s="230"/>
      <c r="S584" s="229" t="s">
        <v>4852</v>
      </c>
      <c r="T584" s="246"/>
      <c r="U584" s="193"/>
      <c r="X584" s="193"/>
    </row>
    <row r="585" hidden="1">
      <c r="O585" s="230"/>
      <c r="R585" s="230"/>
      <c r="T585" s="246"/>
      <c r="U585" s="193"/>
      <c r="X585" s="193"/>
    </row>
    <row r="586" hidden="1">
      <c r="O586" s="230"/>
      <c r="R586" s="230"/>
      <c r="T586" s="246"/>
      <c r="U586" s="193"/>
      <c r="X586" s="193"/>
    </row>
    <row r="587" hidden="1">
      <c r="O587" s="230"/>
      <c r="R587" s="230"/>
      <c r="S587" s="229" t="s">
        <v>4901</v>
      </c>
      <c r="T587" s="246"/>
      <c r="U587" s="193"/>
      <c r="X587" s="193"/>
    </row>
    <row r="588" hidden="1">
      <c r="O588" s="230"/>
      <c r="R588" s="230"/>
      <c r="T588" s="246"/>
      <c r="U588" s="193"/>
      <c r="X588" s="193"/>
    </row>
    <row r="589" hidden="1">
      <c r="O589" s="230"/>
      <c r="R589" s="230"/>
      <c r="T589" s="246"/>
      <c r="U589" s="193"/>
      <c r="X589" s="193"/>
    </row>
    <row r="590" hidden="1">
      <c r="O590" s="230"/>
      <c r="R590" s="230"/>
      <c r="S590" s="229" t="s">
        <v>10418</v>
      </c>
      <c r="T590" s="246"/>
      <c r="U590" s="193"/>
      <c r="X590" s="193"/>
    </row>
    <row r="591" hidden="1">
      <c r="O591" s="230"/>
      <c r="R591" s="230"/>
      <c r="T591" s="246"/>
      <c r="U591" s="193"/>
      <c r="X591" s="193"/>
    </row>
    <row r="592" hidden="1">
      <c r="O592" s="230"/>
      <c r="R592" s="230"/>
      <c r="T592" s="246"/>
      <c r="U592" s="193"/>
      <c r="X592" s="193"/>
    </row>
    <row r="593" hidden="1">
      <c r="O593" s="230"/>
      <c r="R593" s="230"/>
      <c r="T593" s="246"/>
      <c r="U593" s="193"/>
      <c r="X593" s="193"/>
    </row>
    <row r="594" hidden="1">
      <c r="O594" s="230"/>
      <c r="R594" s="230"/>
      <c r="T594" s="246"/>
      <c r="U594" s="193"/>
      <c r="X594" s="193"/>
    </row>
    <row r="595" hidden="1">
      <c r="O595" s="230"/>
      <c r="R595" s="230"/>
      <c r="T595" s="246"/>
      <c r="U595" s="193"/>
      <c r="X595" s="193"/>
    </row>
    <row r="596" hidden="1">
      <c r="O596" s="230"/>
      <c r="R596" s="230"/>
      <c r="T596" s="246"/>
      <c r="U596" s="193"/>
      <c r="X596" s="193"/>
    </row>
    <row r="597" hidden="1">
      <c r="O597" s="230"/>
      <c r="R597" s="230"/>
      <c r="T597" s="246"/>
      <c r="U597" s="193"/>
      <c r="X597" s="193"/>
    </row>
    <row r="598" hidden="1">
      <c r="O598" s="230"/>
      <c r="R598" s="230"/>
      <c r="T598" s="246"/>
      <c r="U598" s="193"/>
      <c r="X598" s="193"/>
    </row>
    <row r="599" hidden="1">
      <c r="O599" s="230"/>
      <c r="R599" s="230"/>
      <c r="T599" s="246"/>
      <c r="U599" s="193"/>
      <c r="X599" s="193"/>
    </row>
    <row r="600" hidden="1">
      <c r="O600" s="230"/>
      <c r="R600" s="230"/>
      <c r="T600" s="246"/>
      <c r="U600" s="193"/>
      <c r="X600" s="193"/>
    </row>
    <row r="601" hidden="1">
      <c r="O601" s="230"/>
      <c r="R601" s="230"/>
      <c r="T601" s="246"/>
      <c r="U601" s="193"/>
      <c r="X601" s="193"/>
    </row>
    <row r="602" hidden="1">
      <c r="O602" s="230"/>
      <c r="R602" s="230"/>
      <c r="T602" s="246"/>
      <c r="U602" s="193"/>
      <c r="X602" s="193"/>
    </row>
    <row r="603" hidden="1">
      <c r="O603" s="230"/>
      <c r="R603" s="230"/>
      <c r="T603" s="246"/>
      <c r="U603" s="193"/>
      <c r="X603" s="193"/>
    </row>
    <row r="604" hidden="1">
      <c r="O604" s="230"/>
      <c r="R604" s="230"/>
      <c r="T604" s="246"/>
      <c r="U604" s="193"/>
      <c r="X604" s="193"/>
    </row>
    <row r="605" hidden="1">
      <c r="O605" s="230"/>
      <c r="R605" s="230"/>
      <c r="T605" s="246"/>
      <c r="U605" s="193"/>
      <c r="X605" s="193"/>
    </row>
    <row r="606" hidden="1">
      <c r="O606" s="230"/>
      <c r="R606" s="230"/>
      <c r="T606" s="246"/>
      <c r="U606" s="193"/>
      <c r="X606" s="193"/>
    </row>
    <row r="607" hidden="1">
      <c r="O607" s="230"/>
      <c r="R607" s="230"/>
      <c r="T607" s="246"/>
      <c r="U607" s="193"/>
      <c r="X607" s="193"/>
    </row>
    <row r="608" hidden="1">
      <c r="O608" s="230"/>
      <c r="R608" s="230"/>
      <c r="T608" s="246"/>
      <c r="U608" s="193"/>
      <c r="X608" s="193"/>
    </row>
    <row r="609" hidden="1">
      <c r="O609" s="230"/>
      <c r="R609" s="230"/>
      <c r="T609" s="246"/>
      <c r="U609" s="193"/>
      <c r="X609" s="193"/>
    </row>
    <row r="610" hidden="1">
      <c r="O610" s="230"/>
      <c r="R610" s="230"/>
      <c r="T610" s="246"/>
      <c r="U610" s="193"/>
      <c r="X610" s="193"/>
    </row>
    <row r="611" hidden="1">
      <c r="O611" s="230"/>
      <c r="R611" s="230"/>
      <c r="T611" s="246"/>
      <c r="U611" s="193"/>
      <c r="X611" s="193"/>
    </row>
    <row r="612" hidden="1">
      <c r="O612" s="230"/>
      <c r="R612" s="230"/>
      <c r="T612" s="246"/>
      <c r="U612" s="193"/>
      <c r="X612" s="193"/>
    </row>
    <row r="613" hidden="1">
      <c r="O613" s="230"/>
      <c r="R613" s="230"/>
      <c r="T613" s="246"/>
      <c r="U613" s="193"/>
      <c r="X613" s="193"/>
    </row>
    <row r="614" hidden="1">
      <c r="O614" s="230"/>
      <c r="R614" s="230"/>
      <c r="S614" s="229" t="s">
        <v>4886</v>
      </c>
      <c r="T614" s="246"/>
      <c r="U614" s="193"/>
      <c r="X614" s="193"/>
    </row>
    <row r="615" hidden="1">
      <c r="O615" s="230"/>
      <c r="R615" s="230"/>
      <c r="S615" s="229" t="s">
        <v>10418</v>
      </c>
      <c r="T615" s="246"/>
      <c r="U615" s="193"/>
      <c r="X615" s="193"/>
    </row>
    <row r="616" hidden="1">
      <c r="O616" s="230"/>
      <c r="R616" s="230"/>
      <c r="T616" s="246"/>
      <c r="U616" s="193"/>
      <c r="X616" s="193"/>
    </row>
    <row r="617" hidden="1">
      <c r="O617" s="230"/>
      <c r="R617" s="230"/>
      <c r="T617" s="246"/>
      <c r="U617" s="193"/>
      <c r="X617" s="193"/>
    </row>
    <row r="618" hidden="1">
      <c r="O618" s="230"/>
      <c r="R618" s="230"/>
      <c r="T618" s="246"/>
      <c r="U618" s="193"/>
      <c r="X618" s="193"/>
    </row>
    <row r="619" hidden="1">
      <c r="O619" s="230"/>
      <c r="R619" s="230"/>
      <c r="T619" s="246"/>
      <c r="U619" s="193"/>
      <c r="X619" s="193"/>
    </row>
    <row r="620" hidden="1">
      <c r="O620" s="230"/>
      <c r="R620" s="230"/>
      <c r="T620" s="246"/>
      <c r="U620" s="193"/>
      <c r="X620" s="193"/>
    </row>
    <row r="621" hidden="1">
      <c r="O621" s="230"/>
      <c r="R621" s="230"/>
      <c r="T621" s="246"/>
      <c r="U621" s="193"/>
      <c r="X621" s="193"/>
    </row>
    <row r="622" hidden="1">
      <c r="O622" s="230"/>
      <c r="R622" s="230"/>
      <c r="T622" s="246"/>
      <c r="U622" s="193"/>
      <c r="X622" s="193"/>
    </row>
    <row r="623" hidden="1">
      <c r="O623" s="230"/>
      <c r="R623" s="230"/>
      <c r="S623" s="229" t="s">
        <v>4791</v>
      </c>
      <c r="T623" s="246"/>
      <c r="U623" s="193"/>
      <c r="X623" s="193"/>
    </row>
    <row r="624" hidden="1">
      <c r="O624" s="230"/>
      <c r="R624" s="230"/>
      <c r="S624" s="229" t="s">
        <v>10418</v>
      </c>
      <c r="T624" s="246"/>
      <c r="U624" s="193"/>
      <c r="X624" s="193"/>
    </row>
    <row r="625" hidden="1">
      <c r="O625" s="230"/>
      <c r="R625" s="230"/>
      <c r="S625" s="229" t="s">
        <v>10418</v>
      </c>
      <c r="T625" s="246"/>
      <c r="U625" s="193"/>
      <c r="X625" s="193"/>
    </row>
    <row r="626" hidden="1">
      <c r="O626" s="230"/>
      <c r="R626" s="230"/>
      <c r="T626" s="246"/>
      <c r="U626" s="193"/>
      <c r="X626" s="193"/>
    </row>
    <row r="627" hidden="1">
      <c r="O627" s="230"/>
      <c r="R627" s="230"/>
      <c r="T627" s="246"/>
      <c r="U627" s="193"/>
      <c r="X627" s="193"/>
    </row>
    <row r="628" hidden="1">
      <c r="O628" s="230"/>
      <c r="R628" s="230"/>
      <c r="S628" s="229" t="s">
        <v>4783</v>
      </c>
      <c r="T628" s="246"/>
      <c r="U628" s="193"/>
      <c r="X628" s="193"/>
    </row>
    <row r="629" hidden="1">
      <c r="O629" s="230"/>
      <c r="R629" s="230"/>
      <c r="S629" s="229" t="s">
        <v>4852</v>
      </c>
      <c r="T629" s="246"/>
      <c r="U629" s="193"/>
      <c r="X629" s="193"/>
    </row>
    <row r="630" hidden="1">
      <c r="O630" s="230"/>
      <c r="R630" s="230"/>
      <c r="T630" s="246"/>
      <c r="U630" s="193"/>
      <c r="X630" s="193"/>
    </row>
    <row r="631" hidden="1">
      <c r="O631" s="230"/>
      <c r="R631" s="230"/>
      <c r="S631" s="229" t="s">
        <v>4791</v>
      </c>
      <c r="T631" s="246"/>
      <c r="U631" s="193"/>
      <c r="X631" s="193"/>
    </row>
    <row r="632" hidden="1">
      <c r="O632" s="230"/>
      <c r="R632" s="230"/>
      <c r="T632" s="246"/>
      <c r="U632" s="193"/>
      <c r="X632" s="193"/>
    </row>
    <row r="633" hidden="1">
      <c r="O633" s="230"/>
      <c r="R633" s="230"/>
      <c r="S633" s="229" t="s">
        <v>4886</v>
      </c>
      <c r="T633" s="246"/>
      <c r="U633" s="193"/>
      <c r="X633" s="193"/>
    </row>
    <row r="634" hidden="1">
      <c r="O634" s="230"/>
      <c r="R634" s="230"/>
      <c r="S634" s="229" t="s">
        <v>4892</v>
      </c>
      <c r="T634" s="246"/>
      <c r="U634" s="193"/>
      <c r="X634" s="193"/>
    </row>
    <row r="635" hidden="1">
      <c r="O635" s="230"/>
      <c r="R635" s="230"/>
      <c r="S635" s="229" t="s">
        <v>4892</v>
      </c>
      <c r="T635" s="246"/>
      <c r="U635" s="193"/>
      <c r="X635" s="193"/>
    </row>
    <row r="636" hidden="1">
      <c r="O636" s="230"/>
      <c r="R636" s="230"/>
      <c r="S636" s="229" t="s">
        <v>4886</v>
      </c>
      <c r="T636" s="246"/>
      <c r="U636" s="193"/>
      <c r="X636" s="193"/>
    </row>
    <row r="637" hidden="1">
      <c r="O637" s="230"/>
      <c r="R637" s="230"/>
      <c r="S637" s="229" t="s">
        <v>4892</v>
      </c>
      <c r="T637" s="246"/>
      <c r="U637" s="193"/>
      <c r="X637" s="193"/>
    </row>
    <row r="638" hidden="1">
      <c r="O638" s="230"/>
      <c r="R638" s="230"/>
      <c r="S638" s="229" t="s">
        <v>4791</v>
      </c>
      <c r="T638" s="246"/>
      <c r="U638" s="193"/>
      <c r="X638" s="193"/>
    </row>
    <row r="639" hidden="1">
      <c r="O639" s="230"/>
      <c r="R639" s="230"/>
      <c r="S639" s="229" t="s">
        <v>10419</v>
      </c>
      <c r="T639" s="246"/>
      <c r="U639" s="193"/>
      <c r="X639" s="193"/>
    </row>
    <row r="640" hidden="1">
      <c r="O640" s="230"/>
      <c r="R640" s="230"/>
      <c r="S640" s="229" t="s">
        <v>4791</v>
      </c>
      <c r="T640" s="246"/>
      <c r="U640" s="193"/>
      <c r="X640" s="193"/>
    </row>
    <row r="641" hidden="1">
      <c r="O641" s="230"/>
      <c r="R641" s="230"/>
      <c r="S641" s="229" t="s">
        <v>10420</v>
      </c>
      <c r="T641" s="246"/>
      <c r="U641" s="193"/>
      <c r="X641" s="193"/>
    </row>
    <row r="642" hidden="1">
      <c r="O642" s="230"/>
      <c r="R642" s="230"/>
      <c r="S642" s="229" t="s">
        <v>4886</v>
      </c>
      <c r="T642" s="246"/>
      <c r="U642" s="193"/>
      <c r="X642" s="193"/>
    </row>
    <row r="643" hidden="1">
      <c r="O643" s="230"/>
      <c r="R643" s="230"/>
      <c r="S643" s="229" t="s">
        <v>4892</v>
      </c>
      <c r="T643" s="246"/>
      <c r="U643" s="193"/>
      <c r="X643" s="193"/>
    </row>
    <row r="644" hidden="1">
      <c r="O644" s="230"/>
      <c r="R644" s="230"/>
      <c r="S644" s="229" t="s">
        <v>10421</v>
      </c>
      <c r="T644" s="246"/>
      <c r="U644" s="193"/>
      <c r="X644" s="193"/>
    </row>
    <row r="645" hidden="1">
      <c r="O645" s="230"/>
      <c r="R645" s="230"/>
      <c r="T645" s="246"/>
      <c r="U645" s="193"/>
      <c r="X645" s="193"/>
    </row>
    <row r="646" hidden="1">
      <c r="O646" s="230"/>
      <c r="R646" s="230"/>
      <c r="T646" s="246"/>
      <c r="U646" s="193"/>
      <c r="X646" s="193"/>
    </row>
    <row r="647" hidden="1">
      <c r="O647" s="230"/>
      <c r="R647" s="230"/>
      <c r="S647" s="229" t="s">
        <v>4901</v>
      </c>
      <c r="T647" s="246"/>
      <c r="U647" s="193"/>
      <c r="X647" s="193"/>
    </row>
    <row r="648" hidden="1">
      <c r="O648" s="230"/>
      <c r="R648" s="230"/>
      <c r="S648" s="229" t="s">
        <v>10419</v>
      </c>
      <c r="T648" s="246"/>
      <c r="U648" s="193"/>
      <c r="X648" s="193"/>
    </row>
    <row r="649" hidden="1">
      <c r="O649" s="230"/>
      <c r="R649" s="230"/>
      <c r="S649" s="229" t="s">
        <v>10420</v>
      </c>
      <c r="T649" s="246"/>
      <c r="U649" s="193"/>
      <c r="X649" s="193"/>
    </row>
    <row r="650" hidden="1">
      <c r="O650" s="230"/>
      <c r="R650" s="230"/>
      <c r="S650" s="229" t="s">
        <v>4783</v>
      </c>
      <c r="T650" s="246"/>
      <c r="U650" s="193"/>
      <c r="X650" s="193"/>
    </row>
    <row r="651" hidden="1">
      <c r="O651" s="230"/>
      <c r="R651" s="230"/>
      <c r="T651" s="246"/>
      <c r="U651" s="193"/>
      <c r="X651" s="193"/>
    </row>
    <row r="652" hidden="1">
      <c r="O652" s="230"/>
      <c r="R652" s="230"/>
      <c r="T652" s="246"/>
      <c r="U652" s="193"/>
      <c r="X652" s="193"/>
    </row>
    <row r="653" hidden="1">
      <c r="O653" s="230"/>
      <c r="R653" s="230"/>
      <c r="T653" s="246"/>
      <c r="U653" s="193"/>
      <c r="X653" s="193"/>
    </row>
    <row r="654" hidden="1">
      <c r="O654" s="230"/>
      <c r="R654" s="230"/>
      <c r="S654" s="229" t="s">
        <v>4791</v>
      </c>
      <c r="T654" s="246"/>
      <c r="U654" s="193"/>
      <c r="X654" s="193"/>
    </row>
    <row r="655" hidden="1">
      <c r="O655" s="230"/>
      <c r="R655" s="230"/>
      <c r="T655" s="246"/>
      <c r="U655" s="193"/>
      <c r="X655" s="193"/>
    </row>
    <row r="656" hidden="1">
      <c r="O656" s="230"/>
      <c r="R656" s="230"/>
      <c r="S656" s="229" t="s">
        <v>10419</v>
      </c>
      <c r="T656" s="246"/>
      <c r="U656" s="193"/>
      <c r="X656" s="193"/>
    </row>
    <row r="657" hidden="1">
      <c r="O657" s="230"/>
      <c r="R657" s="230"/>
      <c r="S657" s="229" t="s">
        <v>4791</v>
      </c>
      <c r="T657" s="246"/>
      <c r="U657" s="193"/>
      <c r="X657" s="193"/>
    </row>
    <row r="658" hidden="1">
      <c r="O658" s="230"/>
      <c r="R658" s="230"/>
      <c r="S658" s="229" t="s">
        <v>4791</v>
      </c>
      <c r="T658" s="246"/>
      <c r="U658" s="193"/>
      <c r="X658" s="193"/>
    </row>
    <row r="659" hidden="1">
      <c r="O659" s="230"/>
      <c r="R659" s="230"/>
      <c r="S659" s="229" t="s">
        <v>4901</v>
      </c>
      <c r="T659" s="246"/>
      <c r="U659" s="193"/>
      <c r="X659" s="193"/>
    </row>
    <row r="660" hidden="1">
      <c r="O660" s="230"/>
      <c r="R660" s="230"/>
      <c r="S660" s="229" t="s">
        <v>4791</v>
      </c>
      <c r="T660" s="246"/>
      <c r="U660" s="193"/>
      <c r="X660" s="193"/>
    </row>
    <row r="661" hidden="1">
      <c r="O661" s="230"/>
      <c r="R661" s="230"/>
      <c r="S661" s="229" t="s">
        <v>4892</v>
      </c>
      <c r="T661" s="246"/>
      <c r="U661" s="193"/>
      <c r="X661" s="193"/>
    </row>
    <row r="662" hidden="1">
      <c r="O662" s="230"/>
      <c r="R662" s="230"/>
      <c r="T662" s="246"/>
      <c r="U662" s="193"/>
      <c r="X662" s="193"/>
    </row>
    <row r="663" hidden="1">
      <c r="O663" s="230"/>
      <c r="R663" s="230"/>
      <c r="T663" s="246"/>
      <c r="U663" s="193"/>
      <c r="X663" s="193"/>
    </row>
    <row r="664" hidden="1">
      <c r="O664" s="230"/>
      <c r="R664" s="230"/>
      <c r="T664" s="246"/>
      <c r="U664" s="193"/>
      <c r="X664" s="193"/>
    </row>
    <row r="665" hidden="1">
      <c r="O665" s="230"/>
      <c r="R665" s="230"/>
      <c r="T665" s="246"/>
      <c r="U665" s="193"/>
      <c r="X665" s="193"/>
    </row>
    <row r="666" hidden="1">
      <c r="O666" s="230"/>
      <c r="R666" s="230"/>
      <c r="T666" s="246"/>
      <c r="U666" s="193"/>
      <c r="X666" s="193"/>
    </row>
    <row r="667" hidden="1">
      <c r="O667" s="230"/>
      <c r="R667" s="230"/>
      <c r="T667" s="246"/>
      <c r="U667" s="193"/>
      <c r="X667" s="193"/>
    </row>
    <row r="668" hidden="1">
      <c r="O668" s="230"/>
      <c r="R668" s="230"/>
      <c r="T668" s="246"/>
      <c r="U668" s="193"/>
      <c r="X668" s="193"/>
    </row>
    <row r="669" hidden="1">
      <c r="O669" s="230"/>
      <c r="R669" s="230"/>
      <c r="T669" s="246"/>
      <c r="U669" s="193"/>
      <c r="X669" s="193"/>
    </row>
    <row r="670" hidden="1">
      <c r="O670" s="230"/>
      <c r="R670" s="230"/>
      <c r="T670" s="246"/>
      <c r="U670" s="193"/>
      <c r="X670" s="193"/>
    </row>
    <row r="671" hidden="1">
      <c r="O671" s="230"/>
      <c r="R671" s="230"/>
      <c r="T671" s="246"/>
      <c r="U671" s="193"/>
      <c r="X671" s="193"/>
    </row>
    <row r="672" hidden="1">
      <c r="O672" s="230"/>
      <c r="R672" s="230"/>
      <c r="T672" s="246"/>
      <c r="U672" s="193"/>
      <c r="X672" s="193"/>
    </row>
    <row r="673" hidden="1">
      <c r="O673" s="230"/>
      <c r="R673" s="230"/>
      <c r="S673" s="229" t="s">
        <v>10419</v>
      </c>
      <c r="T673" s="246"/>
      <c r="U673" s="193"/>
      <c r="X673" s="193"/>
    </row>
    <row r="674" hidden="1">
      <c r="O674" s="230"/>
      <c r="R674" s="230"/>
      <c r="S674" s="229" t="s">
        <v>4791</v>
      </c>
      <c r="T674" s="246"/>
      <c r="U674" s="193"/>
      <c r="X674" s="193"/>
    </row>
    <row r="675" hidden="1">
      <c r="O675" s="230"/>
      <c r="R675" s="230"/>
      <c r="S675" s="229" t="s">
        <v>4791</v>
      </c>
      <c r="T675" s="246"/>
      <c r="U675" s="193"/>
      <c r="X675" s="193"/>
    </row>
    <row r="676" hidden="1">
      <c r="O676" s="230"/>
      <c r="R676" s="230"/>
      <c r="S676" s="229" t="s">
        <v>4791</v>
      </c>
      <c r="T676" s="246"/>
      <c r="U676" s="193"/>
      <c r="X676" s="193"/>
    </row>
    <row r="677" hidden="1">
      <c r="O677" s="230"/>
      <c r="R677" s="230"/>
      <c r="S677" s="229" t="s">
        <v>4783</v>
      </c>
      <c r="T677" s="246"/>
      <c r="U677" s="193"/>
      <c r="X677" s="193"/>
    </row>
    <row r="678" hidden="1">
      <c r="O678" s="230"/>
      <c r="R678" s="230"/>
      <c r="S678" s="229" t="s">
        <v>4783</v>
      </c>
      <c r="T678" s="246"/>
      <c r="U678" s="193"/>
      <c r="X678" s="193"/>
    </row>
    <row r="679" hidden="1">
      <c r="O679" s="230"/>
      <c r="R679" s="230"/>
      <c r="S679" s="229" t="s">
        <v>4783</v>
      </c>
      <c r="T679" s="246"/>
      <c r="U679" s="193"/>
      <c r="X679" s="193"/>
    </row>
    <row r="680" hidden="1">
      <c r="O680" s="230"/>
      <c r="R680" s="230"/>
      <c r="S680" s="229" t="s">
        <v>10418</v>
      </c>
      <c r="T680" s="246"/>
      <c r="U680" s="193"/>
      <c r="X680" s="193"/>
    </row>
    <row r="681" hidden="1">
      <c r="O681" s="230"/>
      <c r="R681" s="230"/>
      <c r="S681" s="229" t="s">
        <v>4791</v>
      </c>
      <c r="T681" s="246"/>
      <c r="U681" s="193"/>
      <c r="X681" s="193"/>
    </row>
    <row r="682" hidden="1">
      <c r="O682" s="230"/>
      <c r="R682" s="230"/>
      <c r="T682" s="246"/>
      <c r="U682" s="193"/>
      <c r="X682" s="193"/>
    </row>
    <row r="683" hidden="1">
      <c r="O683" s="230"/>
      <c r="R683" s="230"/>
      <c r="T683" s="246"/>
      <c r="U683" s="193"/>
      <c r="X683" s="193"/>
    </row>
    <row r="684" hidden="1">
      <c r="O684" s="230"/>
      <c r="R684" s="230"/>
      <c r="S684" s="229" t="s">
        <v>10418</v>
      </c>
      <c r="T684" s="246"/>
      <c r="U684" s="193"/>
      <c r="X684" s="193"/>
    </row>
    <row r="685" hidden="1">
      <c r="O685" s="230"/>
      <c r="R685" s="230"/>
      <c r="T685" s="246"/>
      <c r="U685" s="193"/>
      <c r="X685" s="193"/>
    </row>
    <row r="686" hidden="1">
      <c r="O686" s="230"/>
      <c r="R686" s="230"/>
      <c r="T686" s="246"/>
      <c r="U686" s="193"/>
      <c r="X686" s="193"/>
    </row>
    <row r="687" hidden="1">
      <c r="O687" s="230"/>
      <c r="R687" s="230"/>
      <c r="S687" s="229" t="s">
        <v>4791</v>
      </c>
      <c r="T687" s="246"/>
      <c r="U687" s="193"/>
      <c r="X687" s="193"/>
    </row>
    <row r="688" hidden="1">
      <c r="O688" s="230"/>
      <c r="R688" s="230"/>
      <c r="S688" s="229" t="s">
        <v>4890</v>
      </c>
      <c r="T688" s="246"/>
      <c r="U688" s="193"/>
      <c r="X688" s="193"/>
    </row>
    <row r="689" hidden="1">
      <c r="O689" s="230"/>
      <c r="R689" s="230"/>
      <c r="T689" s="246"/>
      <c r="U689" s="193"/>
      <c r="X689" s="193"/>
    </row>
    <row r="690" hidden="1">
      <c r="O690" s="230"/>
      <c r="R690" s="230"/>
      <c r="T690" s="246"/>
      <c r="U690" s="193"/>
      <c r="X690" s="193"/>
    </row>
    <row r="691" hidden="1">
      <c r="O691" s="230"/>
      <c r="R691" s="230"/>
      <c r="S691" s="229" t="s">
        <v>10418</v>
      </c>
      <c r="T691" s="246"/>
      <c r="U691" s="193"/>
      <c r="X691" s="193"/>
    </row>
    <row r="692" hidden="1">
      <c r="O692" s="230"/>
      <c r="R692" s="230"/>
      <c r="S692" s="229" t="s">
        <v>10422</v>
      </c>
      <c r="T692" s="246"/>
      <c r="U692" s="193"/>
      <c r="X692" s="193"/>
    </row>
    <row r="693" hidden="1">
      <c r="O693" s="230"/>
      <c r="R693" s="230"/>
      <c r="T693" s="246"/>
      <c r="U693" s="193"/>
      <c r="X693" s="193"/>
    </row>
    <row r="694" hidden="1">
      <c r="O694" s="230"/>
      <c r="R694" s="230"/>
      <c r="S694" s="229" t="s">
        <v>4791</v>
      </c>
      <c r="T694" s="246"/>
      <c r="U694" s="193"/>
      <c r="X694" s="193"/>
    </row>
    <row r="695" hidden="1">
      <c r="O695" s="230"/>
      <c r="R695" s="230"/>
      <c r="S695" s="229" t="s">
        <v>10423</v>
      </c>
      <c r="T695" s="246"/>
      <c r="U695" s="193"/>
      <c r="X695" s="193"/>
    </row>
    <row r="696" hidden="1">
      <c r="O696" s="230"/>
      <c r="R696" s="230"/>
      <c r="S696" s="229" t="s">
        <v>4791</v>
      </c>
      <c r="T696" s="246"/>
      <c r="U696" s="193"/>
      <c r="X696" s="193"/>
    </row>
    <row r="697" hidden="1">
      <c r="O697" s="230"/>
      <c r="R697" s="230"/>
      <c r="S697" s="229" t="s">
        <v>4890</v>
      </c>
      <c r="T697" s="246"/>
      <c r="U697" s="193"/>
      <c r="X697" s="193"/>
    </row>
    <row r="698" hidden="1">
      <c r="O698" s="230"/>
      <c r="R698" s="230"/>
      <c r="S698" s="229" t="s">
        <v>4886</v>
      </c>
      <c r="T698" s="246"/>
      <c r="U698" s="193"/>
      <c r="X698" s="193"/>
    </row>
    <row r="699" hidden="1">
      <c r="O699" s="230"/>
      <c r="R699" s="230"/>
      <c r="S699" s="229" t="s">
        <v>4791</v>
      </c>
      <c r="T699" s="246"/>
      <c r="U699" s="193"/>
      <c r="X699" s="193"/>
    </row>
    <row r="700" hidden="1">
      <c r="O700" s="230"/>
      <c r="R700" s="230"/>
      <c r="T700" s="246"/>
      <c r="U700" s="193"/>
      <c r="X700" s="193"/>
    </row>
    <row r="701" hidden="1">
      <c r="O701" s="230"/>
      <c r="R701" s="230"/>
      <c r="S701" s="229" t="s">
        <v>10418</v>
      </c>
      <c r="T701" s="246"/>
      <c r="U701" s="193"/>
      <c r="X701" s="193"/>
    </row>
    <row r="702" hidden="1">
      <c r="O702" s="230"/>
      <c r="R702" s="230"/>
      <c r="T702" s="246"/>
      <c r="U702" s="193"/>
      <c r="X702" s="193"/>
    </row>
    <row r="703" hidden="1">
      <c r="O703" s="230"/>
      <c r="R703" s="230"/>
      <c r="T703" s="246"/>
      <c r="U703" s="193"/>
      <c r="X703" s="193"/>
    </row>
    <row r="704" hidden="1">
      <c r="O704" s="230"/>
      <c r="R704" s="230"/>
      <c r="S704" s="229" t="s">
        <v>4901</v>
      </c>
      <c r="T704" s="246"/>
      <c r="U704" s="193"/>
      <c r="X704" s="193"/>
    </row>
    <row r="705" hidden="1">
      <c r="O705" s="230"/>
      <c r="R705" s="230"/>
      <c r="T705" s="246"/>
      <c r="U705" s="193"/>
      <c r="X705" s="193"/>
    </row>
    <row r="706" hidden="1">
      <c r="O706" s="230"/>
      <c r="R706" s="230"/>
      <c r="T706" s="246"/>
      <c r="U706" s="193"/>
      <c r="X706" s="193"/>
    </row>
    <row r="707" hidden="1">
      <c r="O707" s="230"/>
      <c r="R707" s="230"/>
      <c r="T707" s="246"/>
      <c r="U707" s="193"/>
      <c r="X707" s="193"/>
    </row>
    <row r="708" hidden="1">
      <c r="O708" s="230"/>
      <c r="R708" s="230"/>
      <c r="S708" s="229" t="s">
        <v>10424</v>
      </c>
      <c r="T708" s="246"/>
      <c r="U708" s="193"/>
      <c r="X708" s="193"/>
    </row>
    <row r="709" hidden="1">
      <c r="O709" s="230"/>
      <c r="R709" s="230"/>
      <c r="T709" s="246"/>
      <c r="U709" s="193"/>
      <c r="X709" s="193"/>
    </row>
    <row r="710" hidden="1">
      <c r="O710" s="230"/>
      <c r="R710" s="230"/>
      <c r="T710" s="246"/>
      <c r="U710" s="193"/>
      <c r="X710" s="193"/>
    </row>
    <row r="711" hidden="1">
      <c r="O711" s="230"/>
      <c r="R711" s="230"/>
      <c r="T711" s="246"/>
      <c r="U711" s="193"/>
      <c r="X711" s="193"/>
    </row>
    <row r="712" hidden="1">
      <c r="O712" s="230"/>
      <c r="R712" s="230"/>
      <c r="S712" s="229" t="s">
        <v>10424</v>
      </c>
      <c r="T712" s="246"/>
      <c r="U712" s="193"/>
      <c r="X712" s="193"/>
    </row>
    <row r="713" hidden="1">
      <c r="O713" s="230"/>
      <c r="R713" s="230"/>
      <c r="T713" s="246"/>
      <c r="U713" s="193"/>
      <c r="X713" s="193"/>
    </row>
    <row r="714" hidden="1">
      <c r="O714" s="230"/>
      <c r="R714" s="230"/>
      <c r="T714" s="246"/>
      <c r="U714" s="193"/>
      <c r="X714" s="193"/>
    </row>
    <row r="715" hidden="1">
      <c r="O715" s="230"/>
      <c r="R715" s="230"/>
      <c r="T715" s="246"/>
      <c r="U715" s="193"/>
      <c r="X715" s="193"/>
    </row>
    <row r="716" hidden="1">
      <c r="O716" s="230"/>
      <c r="R716" s="230"/>
      <c r="T716" s="246"/>
      <c r="U716" s="193"/>
      <c r="X716" s="193"/>
    </row>
    <row r="717" hidden="1">
      <c r="O717" s="230"/>
      <c r="R717" s="230"/>
      <c r="T717" s="246"/>
      <c r="U717" s="193"/>
      <c r="X717" s="193"/>
    </row>
    <row r="718" hidden="1">
      <c r="O718" s="230"/>
      <c r="R718" s="230"/>
      <c r="T718" s="246"/>
      <c r="U718" s="193"/>
      <c r="X718" s="193"/>
    </row>
    <row r="719" hidden="1">
      <c r="O719" s="230"/>
      <c r="R719" s="230"/>
      <c r="T719" s="246"/>
      <c r="U719" s="193"/>
      <c r="X719" s="193"/>
    </row>
    <row r="720" hidden="1">
      <c r="O720" s="230"/>
      <c r="R720" s="230"/>
      <c r="T720" s="246"/>
      <c r="U720" s="193"/>
      <c r="X720" s="193"/>
    </row>
    <row r="721" hidden="1">
      <c r="O721" s="230"/>
      <c r="R721" s="230"/>
      <c r="T721" s="246"/>
      <c r="U721" s="193"/>
      <c r="X721" s="193"/>
    </row>
    <row r="722" hidden="1">
      <c r="O722" s="230"/>
      <c r="R722" s="230"/>
      <c r="S722" s="229" t="s">
        <v>10419</v>
      </c>
      <c r="T722" s="246"/>
      <c r="U722" s="193"/>
      <c r="X722" s="193"/>
    </row>
    <row r="723" hidden="1">
      <c r="O723" s="230"/>
      <c r="R723" s="230"/>
      <c r="T723" s="246"/>
      <c r="U723" s="193"/>
      <c r="X723" s="193"/>
    </row>
    <row r="724" hidden="1">
      <c r="O724" s="230"/>
      <c r="R724" s="230"/>
      <c r="T724" s="246"/>
      <c r="U724" s="193"/>
      <c r="X724" s="193"/>
    </row>
    <row r="725" hidden="1">
      <c r="O725" s="230"/>
      <c r="R725" s="230"/>
      <c r="T725" s="246"/>
      <c r="U725" s="193"/>
      <c r="X725" s="193"/>
    </row>
    <row r="726" hidden="1">
      <c r="O726" s="230"/>
      <c r="R726" s="230"/>
      <c r="S726" s="229" t="s">
        <v>4852</v>
      </c>
      <c r="T726" s="246"/>
      <c r="U726" s="193"/>
      <c r="X726" s="193"/>
    </row>
    <row r="727" hidden="1">
      <c r="O727" s="230"/>
      <c r="R727" s="230"/>
      <c r="T727" s="246"/>
      <c r="U727" s="193"/>
      <c r="X727" s="193"/>
    </row>
    <row r="728" hidden="1">
      <c r="O728" s="230"/>
      <c r="R728" s="230"/>
      <c r="T728" s="246"/>
      <c r="U728" s="193"/>
      <c r="X728" s="193"/>
    </row>
    <row r="729" hidden="1">
      <c r="O729" s="230"/>
      <c r="R729" s="230"/>
      <c r="S729" s="229" t="s">
        <v>4901</v>
      </c>
      <c r="T729" s="246"/>
      <c r="U729" s="193"/>
      <c r="X729" s="193"/>
    </row>
    <row r="730" hidden="1">
      <c r="O730" s="230"/>
      <c r="R730" s="230"/>
      <c r="T730" s="246"/>
      <c r="U730" s="193"/>
      <c r="X730" s="193"/>
    </row>
    <row r="731" hidden="1">
      <c r="O731" s="230"/>
      <c r="R731" s="230"/>
      <c r="T731" s="246"/>
      <c r="U731" s="193"/>
      <c r="X731" s="193"/>
    </row>
    <row r="732" hidden="1">
      <c r="O732" s="230"/>
      <c r="R732" s="230"/>
      <c r="S732" s="229" t="s">
        <v>10418</v>
      </c>
      <c r="T732" s="246"/>
      <c r="U732" s="193"/>
      <c r="X732" s="193"/>
    </row>
    <row r="733" hidden="1">
      <c r="O733" s="230"/>
      <c r="R733" s="230"/>
      <c r="T733" s="246"/>
      <c r="U733" s="193"/>
      <c r="X733" s="193"/>
    </row>
    <row r="734" hidden="1">
      <c r="O734" s="230"/>
      <c r="R734" s="230"/>
      <c r="T734" s="246"/>
      <c r="U734" s="193"/>
      <c r="X734" s="193"/>
    </row>
    <row r="735" hidden="1">
      <c r="O735" s="230"/>
      <c r="R735" s="230"/>
      <c r="T735" s="246"/>
      <c r="U735" s="193"/>
      <c r="X735" s="193"/>
    </row>
    <row r="736" hidden="1">
      <c r="O736" s="230"/>
      <c r="R736" s="230"/>
      <c r="T736" s="246"/>
      <c r="U736" s="193"/>
      <c r="X736" s="193"/>
    </row>
    <row r="737" hidden="1">
      <c r="O737" s="230"/>
      <c r="R737" s="230"/>
      <c r="T737" s="246"/>
      <c r="U737" s="193"/>
      <c r="X737" s="193"/>
    </row>
    <row r="738" hidden="1">
      <c r="O738" s="230"/>
      <c r="R738" s="230"/>
      <c r="T738" s="246"/>
      <c r="U738" s="193"/>
      <c r="X738" s="193"/>
    </row>
    <row r="739" hidden="1">
      <c r="O739" s="230"/>
      <c r="R739" s="230"/>
      <c r="T739" s="246"/>
      <c r="U739" s="193"/>
      <c r="X739" s="193"/>
    </row>
    <row r="740" hidden="1">
      <c r="O740" s="230"/>
      <c r="R740" s="230"/>
      <c r="T740" s="246"/>
      <c r="U740" s="193"/>
      <c r="X740" s="193"/>
    </row>
    <row r="741" hidden="1">
      <c r="O741" s="230"/>
      <c r="R741" s="230"/>
      <c r="T741" s="246"/>
      <c r="U741" s="193"/>
      <c r="X741" s="193"/>
    </row>
    <row r="742" hidden="1">
      <c r="O742" s="230"/>
      <c r="R742" s="230"/>
      <c r="T742" s="246"/>
      <c r="U742" s="193"/>
      <c r="X742" s="193"/>
    </row>
    <row r="743" hidden="1">
      <c r="O743" s="230"/>
      <c r="R743" s="230"/>
      <c r="T743" s="246"/>
      <c r="U743" s="193"/>
      <c r="X743" s="193"/>
    </row>
    <row r="744" hidden="1">
      <c r="O744" s="230"/>
      <c r="R744" s="230"/>
      <c r="T744" s="246"/>
      <c r="U744" s="193"/>
      <c r="X744" s="193"/>
    </row>
    <row r="745" hidden="1">
      <c r="O745" s="230"/>
      <c r="R745" s="230"/>
      <c r="T745" s="246"/>
      <c r="U745" s="193"/>
      <c r="X745" s="193"/>
    </row>
    <row r="746" hidden="1">
      <c r="O746" s="230"/>
      <c r="R746" s="230"/>
      <c r="T746" s="246"/>
      <c r="U746" s="193"/>
      <c r="X746" s="193"/>
    </row>
    <row r="747" hidden="1">
      <c r="O747" s="230"/>
      <c r="R747" s="230"/>
      <c r="T747" s="246"/>
      <c r="U747" s="193"/>
      <c r="X747" s="193"/>
    </row>
    <row r="748" hidden="1">
      <c r="O748" s="230"/>
      <c r="R748" s="230"/>
      <c r="T748" s="246"/>
      <c r="U748" s="193"/>
      <c r="X748" s="193"/>
    </row>
    <row r="749" hidden="1">
      <c r="O749" s="230"/>
      <c r="R749" s="230"/>
      <c r="T749" s="246"/>
      <c r="U749" s="193"/>
      <c r="X749" s="193"/>
    </row>
    <row r="750" hidden="1">
      <c r="O750" s="230"/>
      <c r="R750" s="230"/>
      <c r="T750" s="246"/>
      <c r="U750" s="193"/>
      <c r="X750" s="193"/>
    </row>
    <row r="751" hidden="1">
      <c r="O751" s="230"/>
      <c r="R751" s="230"/>
      <c r="T751" s="246"/>
      <c r="U751" s="193"/>
      <c r="X751" s="193"/>
    </row>
    <row r="752" hidden="1">
      <c r="O752" s="230"/>
      <c r="R752" s="230"/>
      <c r="T752" s="246"/>
      <c r="U752" s="193"/>
      <c r="X752" s="193"/>
    </row>
    <row r="753" hidden="1">
      <c r="O753" s="230"/>
      <c r="R753" s="230"/>
      <c r="T753" s="246"/>
      <c r="U753" s="193"/>
      <c r="X753" s="193"/>
    </row>
    <row r="754" hidden="1">
      <c r="O754" s="230"/>
      <c r="R754" s="230"/>
      <c r="T754" s="246"/>
      <c r="U754" s="193"/>
      <c r="X754" s="193"/>
    </row>
    <row r="755" hidden="1">
      <c r="O755" s="230"/>
      <c r="R755" s="230"/>
      <c r="T755" s="246"/>
      <c r="U755" s="193"/>
      <c r="X755" s="193"/>
    </row>
    <row r="756" hidden="1">
      <c r="O756" s="230"/>
      <c r="R756" s="230"/>
      <c r="S756" s="229" t="s">
        <v>4886</v>
      </c>
      <c r="T756" s="246"/>
      <c r="U756" s="193"/>
      <c r="X756" s="193"/>
    </row>
    <row r="757" hidden="1">
      <c r="O757" s="230"/>
      <c r="R757" s="230"/>
      <c r="S757" s="229" t="s">
        <v>10418</v>
      </c>
      <c r="T757" s="246"/>
      <c r="U757" s="193"/>
      <c r="X757" s="193"/>
    </row>
    <row r="758" hidden="1">
      <c r="O758" s="230"/>
      <c r="R758" s="230"/>
      <c r="T758" s="246"/>
      <c r="U758" s="193"/>
      <c r="X758" s="193"/>
    </row>
    <row r="759" hidden="1">
      <c r="O759" s="230"/>
      <c r="R759" s="230"/>
      <c r="T759" s="246"/>
      <c r="U759" s="193"/>
      <c r="X759" s="193"/>
    </row>
    <row r="760" hidden="1">
      <c r="O760" s="230"/>
      <c r="R760" s="230"/>
      <c r="T760" s="246"/>
      <c r="U760" s="193"/>
      <c r="X760" s="193"/>
    </row>
    <row r="761" hidden="1">
      <c r="O761" s="230"/>
      <c r="R761" s="230"/>
      <c r="T761" s="246"/>
      <c r="U761" s="193"/>
      <c r="X761" s="193"/>
    </row>
    <row r="762" hidden="1">
      <c r="O762" s="230"/>
      <c r="R762" s="230"/>
      <c r="T762" s="246"/>
      <c r="U762" s="193"/>
      <c r="X762" s="193"/>
    </row>
    <row r="763" hidden="1">
      <c r="O763" s="230"/>
      <c r="R763" s="230"/>
      <c r="T763" s="246"/>
      <c r="U763" s="193"/>
      <c r="X763" s="193"/>
    </row>
    <row r="764" hidden="1">
      <c r="O764" s="230"/>
      <c r="R764" s="230"/>
      <c r="T764" s="246"/>
      <c r="U764" s="193"/>
      <c r="X764" s="193"/>
    </row>
    <row r="765" hidden="1">
      <c r="O765" s="230"/>
      <c r="R765" s="230"/>
      <c r="S765" s="229" t="s">
        <v>4791</v>
      </c>
      <c r="T765" s="246"/>
      <c r="U765" s="193"/>
      <c r="X765" s="193"/>
    </row>
    <row r="766" hidden="1">
      <c r="O766" s="230"/>
      <c r="R766" s="230"/>
      <c r="S766" s="229" t="s">
        <v>10418</v>
      </c>
      <c r="T766" s="246"/>
      <c r="U766" s="193"/>
      <c r="X766" s="193"/>
    </row>
    <row r="767" hidden="1">
      <c r="O767" s="230"/>
      <c r="R767" s="230"/>
      <c r="S767" s="229" t="s">
        <v>10418</v>
      </c>
      <c r="T767" s="246"/>
      <c r="U767" s="193"/>
      <c r="X767" s="193"/>
    </row>
    <row r="768" hidden="1">
      <c r="O768" s="230"/>
      <c r="R768" s="230"/>
      <c r="T768" s="246"/>
      <c r="U768" s="193"/>
      <c r="X768" s="193"/>
    </row>
    <row r="769" hidden="1">
      <c r="O769" s="230"/>
      <c r="R769" s="230"/>
      <c r="T769" s="246"/>
      <c r="U769" s="193"/>
      <c r="X769" s="193"/>
    </row>
    <row r="770" hidden="1">
      <c r="O770" s="230"/>
      <c r="R770" s="230"/>
      <c r="S770" s="229" t="s">
        <v>4783</v>
      </c>
      <c r="T770" s="246"/>
      <c r="U770" s="193"/>
      <c r="X770" s="193"/>
    </row>
    <row r="771" hidden="1">
      <c r="O771" s="230"/>
      <c r="R771" s="230"/>
      <c r="S771" s="229" t="s">
        <v>4852</v>
      </c>
      <c r="T771" s="246"/>
      <c r="U771" s="193"/>
      <c r="X771" s="193"/>
    </row>
    <row r="772" hidden="1">
      <c r="O772" s="230"/>
      <c r="R772" s="230"/>
      <c r="T772" s="246"/>
      <c r="U772" s="193"/>
      <c r="X772" s="193"/>
    </row>
    <row r="773" hidden="1">
      <c r="O773" s="230"/>
      <c r="R773" s="230"/>
      <c r="S773" s="229" t="s">
        <v>4791</v>
      </c>
      <c r="T773" s="246"/>
      <c r="U773" s="193"/>
      <c r="X773" s="193"/>
    </row>
    <row r="774" hidden="1">
      <c r="O774" s="230"/>
      <c r="R774" s="230"/>
      <c r="T774" s="246"/>
      <c r="U774" s="193"/>
      <c r="X774" s="193"/>
    </row>
    <row r="775" hidden="1">
      <c r="O775" s="230"/>
      <c r="R775" s="230"/>
      <c r="S775" s="229" t="s">
        <v>4886</v>
      </c>
      <c r="T775" s="246"/>
      <c r="U775" s="193"/>
      <c r="X775" s="193"/>
    </row>
    <row r="776" hidden="1">
      <c r="O776" s="230"/>
      <c r="R776" s="230"/>
      <c r="S776" s="229" t="s">
        <v>4892</v>
      </c>
      <c r="T776" s="246"/>
      <c r="U776" s="193"/>
      <c r="X776" s="193"/>
    </row>
    <row r="777" hidden="1">
      <c r="O777" s="230"/>
      <c r="R777" s="230"/>
      <c r="S777" s="229" t="s">
        <v>4892</v>
      </c>
      <c r="T777" s="246"/>
      <c r="U777" s="193"/>
      <c r="X777" s="193"/>
    </row>
    <row r="778" hidden="1">
      <c r="O778" s="230"/>
      <c r="R778" s="230"/>
      <c r="S778" s="229" t="s">
        <v>4886</v>
      </c>
      <c r="T778" s="246"/>
      <c r="U778" s="193"/>
      <c r="X778" s="193"/>
    </row>
    <row r="779" hidden="1">
      <c r="O779" s="230"/>
      <c r="R779" s="230"/>
      <c r="S779" s="229" t="s">
        <v>4892</v>
      </c>
      <c r="T779" s="246"/>
      <c r="U779" s="193"/>
      <c r="X779" s="193"/>
    </row>
    <row r="780" hidden="1">
      <c r="O780" s="230"/>
      <c r="R780" s="230"/>
      <c r="S780" s="229" t="s">
        <v>4791</v>
      </c>
      <c r="T780" s="246"/>
      <c r="U780" s="193"/>
      <c r="X780" s="193"/>
    </row>
    <row r="781" hidden="1">
      <c r="O781" s="230"/>
      <c r="R781" s="230"/>
      <c r="S781" s="229" t="s">
        <v>10419</v>
      </c>
      <c r="T781" s="246"/>
      <c r="U781" s="193"/>
      <c r="X781" s="193"/>
    </row>
    <row r="782" hidden="1">
      <c r="O782" s="230"/>
      <c r="R782" s="230"/>
      <c r="S782" s="229" t="s">
        <v>4791</v>
      </c>
      <c r="T782" s="246"/>
      <c r="U782" s="193"/>
      <c r="X782" s="193"/>
    </row>
    <row r="783" hidden="1">
      <c r="O783" s="230"/>
      <c r="R783" s="230"/>
      <c r="S783" s="229" t="s">
        <v>10420</v>
      </c>
      <c r="T783" s="246"/>
      <c r="U783" s="193"/>
      <c r="X783" s="193"/>
    </row>
    <row r="784" hidden="1">
      <c r="O784" s="230"/>
      <c r="R784" s="230"/>
      <c r="S784" s="229" t="s">
        <v>4886</v>
      </c>
      <c r="T784" s="246"/>
      <c r="U784" s="193"/>
      <c r="X784" s="193"/>
    </row>
    <row r="785" hidden="1">
      <c r="O785" s="230"/>
      <c r="R785" s="230"/>
      <c r="S785" s="229" t="s">
        <v>4892</v>
      </c>
      <c r="T785" s="246"/>
      <c r="U785" s="193"/>
      <c r="X785" s="193"/>
    </row>
    <row r="786" hidden="1">
      <c r="O786" s="230"/>
      <c r="R786" s="230"/>
      <c r="S786" s="229" t="s">
        <v>10421</v>
      </c>
      <c r="T786" s="246"/>
      <c r="U786" s="193"/>
      <c r="X786" s="193"/>
    </row>
    <row r="787" hidden="1">
      <c r="O787" s="230"/>
      <c r="R787" s="230"/>
      <c r="T787" s="246"/>
      <c r="U787" s="193"/>
      <c r="X787" s="193"/>
    </row>
    <row r="788" hidden="1">
      <c r="O788" s="230"/>
      <c r="R788" s="230"/>
      <c r="T788" s="246"/>
      <c r="U788" s="193"/>
      <c r="X788" s="193"/>
    </row>
    <row r="789" hidden="1">
      <c r="O789" s="230"/>
      <c r="R789" s="230"/>
      <c r="S789" s="229" t="s">
        <v>4901</v>
      </c>
      <c r="T789" s="246"/>
      <c r="U789" s="193"/>
      <c r="X789" s="193"/>
    </row>
    <row r="790" hidden="1">
      <c r="O790" s="230"/>
      <c r="R790" s="230"/>
      <c r="S790" s="229" t="s">
        <v>10419</v>
      </c>
      <c r="T790" s="246"/>
      <c r="U790" s="193"/>
      <c r="X790" s="193"/>
    </row>
    <row r="791" hidden="1">
      <c r="O791" s="230"/>
      <c r="R791" s="230"/>
      <c r="S791" s="229" t="s">
        <v>10420</v>
      </c>
      <c r="T791" s="246"/>
      <c r="U791" s="193"/>
      <c r="X791" s="193"/>
    </row>
    <row r="792" hidden="1">
      <c r="O792" s="230"/>
      <c r="R792" s="230"/>
      <c r="S792" s="229" t="s">
        <v>4783</v>
      </c>
      <c r="T792" s="246"/>
      <c r="U792" s="193"/>
      <c r="X792" s="193"/>
    </row>
    <row r="793" hidden="1">
      <c r="O793" s="230"/>
      <c r="R793" s="230"/>
      <c r="T793" s="246"/>
      <c r="U793" s="193"/>
      <c r="X793" s="193"/>
    </row>
    <row r="794" hidden="1">
      <c r="O794" s="230"/>
      <c r="R794" s="230"/>
      <c r="T794" s="246"/>
      <c r="U794" s="193"/>
      <c r="X794" s="193"/>
    </row>
    <row r="795" hidden="1">
      <c r="O795" s="230"/>
      <c r="R795" s="230"/>
      <c r="T795" s="246"/>
      <c r="U795" s="193"/>
      <c r="X795" s="193"/>
    </row>
    <row r="796" hidden="1">
      <c r="O796" s="230"/>
      <c r="R796" s="230"/>
      <c r="S796" s="229" t="s">
        <v>4791</v>
      </c>
      <c r="T796" s="246"/>
      <c r="U796" s="193"/>
      <c r="X796" s="193"/>
    </row>
    <row r="797" hidden="1">
      <c r="O797" s="230"/>
      <c r="R797" s="230"/>
      <c r="T797" s="246"/>
      <c r="U797" s="193"/>
      <c r="X797" s="193"/>
    </row>
    <row r="798" hidden="1">
      <c r="O798" s="230"/>
      <c r="R798" s="230"/>
      <c r="S798" s="229" t="s">
        <v>10419</v>
      </c>
      <c r="T798" s="246"/>
      <c r="U798" s="193"/>
      <c r="X798" s="193"/>
    </row>
    <row r="799" hidden="1">
      <c r="O799" s="230"/>
      <c r="R799" s="230"/>
      <c r="S799" s="229" t="s">
        <v>4791</v>
      </c>
      <c r="T799" s="246"/>
      <c r="U799" s="193"/>
      <c r="X799" s="193"/>
    </row>
    <row r="800" hidden="1">
      <c r="O800" s="230"/>
      <c r="R800" s="230"/>
      <c r="S800" s="229" t="s">
        <v>4791</v>
      </c>
      <c r="T800" s="246"/>
      <c r="U800" s="193"/>
      <c r="X800" s="193"/>
    </row>
    <row r="801" hidden="1">
      <c r="O801" s="230"/>
      <c r="R801" s="230"/>
      <c r="S801" s="229" t="s">
        <v>4901</v>
      </c>
      <c r="T801" s="246"/>
      <c r="U801" s="193"/>
      <c r="X801" s="193"/>
    </row>
    <row r="802" hidden="1">
      <c r="O802" s="230"/>
      <c r="R802" s="230"/>
      <c r="S802" s="229" t="s">
        <v>4791</v>
      </c>
      <c r="T802" s="246"/>
      <c r="U802" s="193"/>
      <c r="X802" s="193"/>
    </row>
    <row r="803" hidden="1">
      <c r="O803" s="230"/>
      <c r="R803" s="230"/>
      <c r="S803" s="229" t="s">
        <v>4892</v>
      </c>
      <c r="T803" s="246"/>
      <c r="U803" s="193"/>
      <c r="X803" s="193"/>
    </row>
    <row r="804" hidden="1">
      <c r="O804" s="230"/>
      <c r="R804" s="230"/>
      <c r="T804" s="246"/>
      <c r="U804" s="193"/>
      <c r="X804" s="193"/>
    </row>
    <row r="805" hidden="1">
      <c r="O805" s="230"/>
      <c r="R805" s="230"/>
      <c r="T805" s="246"/>
      <c r="U805" s="193"/>
      <c r="X805" s="193"/>
    </row>
    <row r="806" hidden="1">
      <c r="O806" s="230"/>
      <c r="R806" s="230"/>
      <c r="T806" s="246"/>
      <c r="U806" s="193"/>
      <c r="X806" s="193"/>
    </row>
    <row r="807" hidden="1">
      <c r="O807" s="230"/>
      <c r="R807" s="230"/>
      <c r="T807" s="246"/>
      <c r="U807" s="193"/>
      <c r="X807" s="193"/>
    </row>
    <row r="808" hidden="1">
      <c r="O808" s="230"/>
      <c r="R808" s="230"/>
      <c r="T808" s="246"/>
      <c r="U808" s="193"/>
      <c r="X808" s="193"/>
    </row>
    <row r="809" hidden="1">
      <c r="O809" s="230"/>
      <c r="R809" s="230"/>
      <c r="T809" s="246"/>
      <c r="U809" s="193"/>
      <c r="X809" s="193"/>
    </row>
    <row r="810" hidden="1">
      <c r="O810" s="230"/>
      <c r="R810" s="230"/>
      <c r="T810" s="246"/>
      <c r="U810" s="193"/>
      <c r="X810" s="193"/>
    </row>
    <row r="811" hidden="1">
      <c r="O811" s="230"/>
      <c r="R811" s="230"/>
      <c r="T811" s="246"/>
      <c r="U811" s="193"/>
      <c r="X811" s="193"/>
    </row>
    <row r="812" hidden="1">
      <c r="O812" s="230"/>
      <c r="R812" s="230"/>
      <c r="T812" s="246"/>
      <c r="U812" s="193"/>
      <c r="X812" s="193"/>
    </row>
    <row r="813" hidden="1">
      <c r="O813" s="230"/>
      <c r="R813" s="230"/>
      <c r="T813" s="246"/>
      <c r="U813" s="193"/>
      <c r="X813" s="193"/>
    </row>
    <row r="814" hidden="1">
      <c r="O814" s="230"/>
      <c r="R814" s="230"/>
      <c r="T814" s="246"/>
      <c r="U814" s="193"/>
      <c r="X814" s="193"/>
    </row>
    <row r="815" hidden="1">
      <c r="O815" s="230"/>
      <c r="R815" s="230"/>
      <c r="S815" s="229" t="s">
        <v>10419</v>
      </c>
      <c r="T815" s="246"/>
      <c r="U815" s="193"/>
      <c r="X815" s="193"/>
    </row>
    <row r="816" hidden="1">
      <c r="O816" s="230"/>
      <c r="R816" s="230"/>
      <c r="S816" s="229" t="s">
        <v>4791</v>
      </c>
      <c r="T816" s="246"/>
      <c r="U816" s="193"/>
      <c r="X816" s="193"/>
    </row>
    <row r="817" hidden="1">
      <c r="O817" s="230"/>
      <c r="R817" s="230"/>
      <c r="S817" s="229" t="s">
        <v>4791</v>
      </c>
      <c r="T817" s="246"/>
      <c r="U817" s="193"/>
      <c r="X817" s="193"/>
    </row>
    <row r="818" hidden="1">
      <c r="O818" s="230"/>
      <c r="R818" s="230"/>
      <c r="S818" s="229" t="s">
        <v>4791</v>
      </c>
      <c r="T818" s="246"/>
      <c r="U818" s="193"/>
      <c r="X818" s="193"/>
    </row>
    <row r="819" hidden="1">
      <c r="O819" s="230"/>
      <c r="R819" s="230"/>
      <c r="S819" s="229" t="s">
        <v>4783</v>
      </c>
      <c r="T819" s="246"/>
      <c r="U819" s="193"/>
      <c r="X819" s="193"/>
    </row>
    <row r="820" hidden="1">
      <c r="O820" s="230"/>
      <c r="R820" s="230"/>
      <c r="S820" s="229" t="s">
        <v>4783</v>
      </c>
      <c r="T820" s="246"/>
      <c r="U820" s="193"/>
      <c r="X820" s="193"/>
    </row>
    <row r="821" hidden="1">
      <c r="O821" s="230"/>
      <c r="R821" s="230"/>
      <c r="S821" s="229" t="s">
        <v>4783</v>
      </c>
      <c r="T821" s="246"/>
      <c r="U821" s="193"/>
      <c r="X821" s="193"/>
    </row>
    <row r="822" hidden="1">
      <c r="O822" s="230"/>
      <c r="R822" s="230"/>
      <c r="S822" s="229" t="s">
        <v>10418</v>
      </c>
      <c r="T822" s="246"/>
      <c r="U822" s="193"/>
      <c r="X822" s="193"/>
    </row>
    <row r="823" hidden="1">
      <c r="O823" s="230"/>
      <c r="R823" s="230"/>
      <c r="S823" s="229" t="s">
        <v>4791</v>
      </c>
      <c r="T823" s="246"/>
      <c r="U823" s="193"/>
      <c r="X823" s="193"/>
    </row>
    <row r="824" hidden="1">
      <c r="O824" s="230"/>
      <c r="R824" s="230"/>
      <c r="T824" s="246"/>
      <c r="U824" s="193"/>
      <c r="X824" s="193"/>
    </row>
    <row r="825" hidden="1">
      <c r="O825" s="230"/>
      <c r="R825" s="230"/>
      <c r="T825" s="246"/>
      <c r="U825" s="193"/>
      <c r="X825" s="193"/>
    </row>
    <row r="826" hidden="1">
      <c r="O826" s="230"/>
      <c r="R826" s="230"/>
      <c r="S826" s="229" t="s">
        <v>10418</v>
      </c>
      <c r="T826" s="246"/>
      <c r="U826" s="193"/>
      <c r="X826" s="193"/>
    </row>
    <row r="827" hidden="1">
      <c r="O827" s="230"/>
      <c r="R827" s="230"/>
      <c r="T827" s="246"/>
      <c r="U827" s="193"/>
      <c r="X827" s="193"/>
    </row>
    <row r="828" hidden="1">
      <c r="O828" s="230"/>
      <c r="R828" s="230"/>
      <c r="T828" s="246"/>
      <c r="U828" s="193"/>
      <c r="X828" s="193"/>
    </row>
    <row r="829" hidden="1">
      <c r="O829" s="230"/>
      <c r="R829" s="230"/>
      <c r="S829" s="229" t="s">
        <v>4791</v>
      </c>
      <c r="T829" s="246"/>
      <c r="U829" s="193"/>
      <c r="X829" s="193"/>
    </row>
    <row r="830" hidden="1">
      <c r="O830" s="230"/>
      <c r="R830" s="230"/>
      <c r="S830" s="229" t="s">
        <v>4890</v>
      </c>
      <c r="T830" s="246"/>
      <c r="U830" s="193"/>
      <c r="X830" s="193"/>
    </row>
    <row r="831" hidden="1">
      <c r="O831" s="230"/>
      <c r="R831" s="230"/>
      <c r="T831" s="246"/>
      <c r="U831" s="193"/>
      <c r="X831" s="193"/>
    </row>
    <row r="832" hidden="1">
      <c r="O832" s="230"/>
      <c r="R832" s="230"/>
      <c r="T832" s="246"/>
      <c r="U832" s="193"/>
      <c r="X832" s="193"/>
    </row>
    <row r="833" hidden="1">
      <c r="O833" s="230"/>
      <c r="R833" s="230"/>
      <c r="S833" s="229" t="s">
        <v>10418</v>
      </c>
      <c r="T833" s="246"/>
      <c r="U833" s="193"/>
      <c r="X833" s="193"/>
    </row>
    <row r="834" hidden="1">
      <c r="O834" s="230"/>
      <c r="R834" s="230"/>
      <c r="S834" s="229" t="s">
        <v>10422</v>
      </c>
      <c r="T834" s="246"/>
      <c r="U834" s="193"/>
      <c r="X834" s="193"/>
    </row>
    <row r="835" hidden="1">
      <c r="O835" s="230"/>
      <c r="R835" s="230"/>
      <c r="T835" s="246"/>
      <c r="U835" s="193"/>
      <c r="X835" s="193"/>
    </row>
    <row r="836" hidden="1">
      <c r="O836" s="230"/>
      <c r="R836" s="230"/>
      <c r="S836" s="229" t="s">
        <v>4791</v>
      </c>
      <c r="T836" s="246"/>
      <c r="U836" s="193"/>
      <c r="X836" s="193"/>
    </row>
    <row r="837" hidden="1">
      <c r="O837" s="230"/>
      <c r="R837" s="230"/>
      <c r="S837" s="229" t="s">
        <v>10423</v>
      </c>
      <c r="T837" s="246"/>
      <c r="U837" s="193"/>
      <c r="X837" s="193"/>
    </row>
    <row r="838" hidden="1">
      <c r="O838" s="230"/>
      <c r="R838" s="230"/>
      <c r="S838" s="229" t="s">
        <v>4791</v>
      </c>
      <c r="T838" s="246"/>
      <c r="U838" s="193"/>
      <c r="X838" s="193"/>
    </row>
    <row r="839" hidden="1">
      <c r="O839" s="230"/>
      <c r="R839" s="230"/>
      <c r="S839" s="229" t="s">
        <v>4890</v>
      </c>
      <c r="T839" s="246"/>
      <c r="U839" s="193"/>
      <c r="X839" s="193"/>
    </row>
    <row r="840" hidden="1">
      <c r="O840" s="230"/>
      <c r="R840" s="230"/>
      <c r="S840" s="229" t="s">
        <v>4886</v>
      </c>
      <c r="T840" s="246"/>
      <c r="U840" s="193"/>
      <c r="X840" s="193"/>
    </row>
    <row r="841" hidden="1">
      <c r="O841" s="230"/>
      <c r="R841" s="230"/>
      <c r="S841" s="229" t="s">
        <v>4791</v>
      </c>
      <c r="T841" s="246"/>
      <c r="U841" s="193"/>
      <c r="X841" s="193"/>
    </row>
    <row r="842" hidden="1">
      <c r="O842" s="230"/>
      <c r="R842" s="230"/>
      <c r="T842" s="246"/>
      <c r="U842" s="193"/>
      <c r="X842" s="193"/>
    </row>
    <row r="843" hidden="1">
      <c r="O843" s="230"/>
      <c r="R843" s="230"/>
      <c r="S843" s="229" t="s">
        <v>10418</v>
      </c>
      <c r="T843" s="246"/>
      <c r="U843" s="193"/>
      <c r="X843" s="193"/>
    </row>
    <row r="844" hidden="1">
      <c r="O844" s="230"/>
      <c r="R844" s="230"/>
      <c r="T844" s="246"/>
      <c r="U844" s="193"/>
      <c r="X844" s="193"/>
    </row>
    <row r="845" hidden="1">
      <c r="O845" s="230"/>
      <c r="R845" s="230"/>
      <c r="T845" s="246"/>
      <c r="U845" s="193"/>
      <c r="X845" s="193"/>
    </row>
    <row r="846" hidden="1">
      <c r="O846" s="230"/>
      <c r="R846" s="230"/>
      <c r="S846" s="229" t="s">
        <v>4901</v>
      </c>
      <c r="T846" s="246"/>
      <c r="U846" s="193"/>
      <c r="X846" s="193"/>
    </row>
    <row r="847" hidden="1">
      <c r="O847" s="230"/>
      <c r="R847" s="230"/>
      <c r="T847" s="246"/>
      <c r="U847" s="193"/>
      <c r="X847" s="193"/>
    </row>
    <row r="848" hidden="1">
      <c r="O848" s="230"/>
      <c r="R848" s="230"/>
      <c r="T848" s="246"/>
      <c r="U848" s="193"/>
      <c r="X848" s="193"/>
    </row>
    <row r="849" hidden="1">
      <c r="O849" s="230"/>
      <c r="R849" s="230"/>
      <c r="T849" s="246"/>
      <c r="U849" s="193"/>
      <c r="X849" s="193"/>
    </row>
    <row r="850" hidden="1">
      <c r="O850" s="230"/>
      <c r="R850" s="230"/>
      <c r="S850" s="229" t="s">
        <v>10424</v>
      </c>
      <c r="T850" s="246"/>
      <c r="U850" s="193"/>
      <c r="X850" s="193"/>
    </row>
    <row r="851" hidden="1">
      <c r="O851" s="230"/>
      <c r="R851" s="230"/>
      <c r="T851" s="246"/>
      <c r="U851" s="193"/>
      <c r="X851" s="193"/>
    </row>
    <row r="852" hidden="1">
      <c r="O852" s="230"/>
      <c r="R852" s="230"/>
      <c r="T852" s="246"/>
      <c r="U852" s="193"/>
      <c r="X852" s="193"/>
    </row>
    <row r="853" hidden="1">
      <c r="O853" s="230"/>
      <c r="R853" s="230"/>
      <c r="T853" s="246"/>
      <c r="U853" s="193"/>
      <c r="X853" s="193"/>
    </row>
    <row r="854" hidden="1">
      <c r="O854" s="230"/>
      <c r="R854" s="230"/>
      <c r="S854" s="229" t="s">
        <v>10424</v>
      </c>
      <c r="T854" s="246"/>
      <c r="U854" s="193"/>
      <c r="X854" s="193"/>
    </row>
    <row r="855" hidden="1">
      <c r="O855" s="230"/>
      <c r="R855" s="230"/>
      <c r="T855" s="246"/>
      <c r="U855" s="193"/>
      <c r="X855" s="193"/>
    </row>
    <row r="856" hidden="1">
      <c r="O856" s="230"/>
      <c r="R856" s="230"/>
      <c r="T856" s="246"/>
      <c r="U856" s="193"/>
      <c r="X856" s="193"/>
    </row>
    <row r="857" hidden="1">
      <c r="O857" s="230"/>
      <c r="R857" s="230"/>
      <c r="T857" s="246"/>
      <c r="U857" s="193"/>
      <c r="X857" s="193"/>
    </row>
    <row r="858" hidden="1">
      <c r="O858" s="230"/>
      <c r="R858" s="230"/>
      <c r="T858" s="246"/>
      <c r="U858" s="193"/>
      <c r="X858" s="193"/>
    </row>
    <row r="859" hidden="1">
      <c r="O859" s="230"/>
      <c r="R859" s="230"/>
      <c r="T859" s="246"/>
      <c r="U859" s="193"/>
      <c r="X859" s="193"/>
    </row>
    <row r="860" hidden="1">
      <c r="O860" s="230"/>
      <c r="R860" s="230"/>
      <c r="T860" s="246"/>
      <c r="U860" s="193"/>
      <c r="X860" s="193"/>
    </row>
    <row r="861" hidden="1">
      <c r="O861" s="230"/>
      <c r="R861" s="230"/>
      <c r="T861" s="246"/>
      <c r="U861" s="193"/>
      <c r="X861" s="193"/>
    </row>
    <row r="862" hidden="1">
      <c r="O862" s="230"/>
      <c r="R862" s="230"/>
      <c r="T862" s="246"/>
      <c r="U862" s="193"/>
      <c r="X862" s="193"/>
    </row>
    <row r="863" hidden="1">
      <c r="O863" s="230"/>
      <c r="R863" s="230"/>
      <c r="T863" s="246"/>
      <c r="U863" s="193"/>
      <c r="X863" s="193"/>
    </row>
    <row r="864" hidden="1">
      <c r="O864" s="230"/>
      <c r="R864" s="230"/>
      <c r="S864" s="229" t="s">
        <v>10419</v>
      </c>
      <c r="T864" s="246"/>
      <c r="U864" s="193"/>
      <c r="X864" s="193"/>
    </row>
    <row r="865" hidden="1">
      <c r="O865" s="230"/>
      <c r="R865" s="230"/>
      <c r="T865" s="246"/>
      <c r="U865" s="193"/>
      <c r="X865" s="193"/>
    </row>
    <row r="866" hidden="1">
      <c r="O866" s="230"/>
      <c r="R866" s="230"/>
      <c r="T866" s="246"/>
      <c r="U866" s="193"/>
      <c r="X866" s="193"/>
    </row>
    <row r="867" hidden="1">
      <c r="O867" s="230"/>
      <c r="R867" s="230"/>
      <c r="T867" s="246"/>
      <c r="U867" s="193"/>
      <c r="X867" s="193"/>
    </row>
    <row r="868" hidden="1">
      <c r="O868" s="230"/>
      <c r="R868" s="230"/>
      <c r="S868" s="229" t="s">
        <v>4852</v>
      </c>
      <c r="T868" s="246"/>
      <c r="U868" s="193"/>
      <c r="X868" s="193"/>
    </row>
    <row r="869" hidden="1">
      <c r="O869" s="230"/>
      <c r="R869" s="230"/>
      <c r="T869" s="246"/>
      <c r="U869" s="193"/>
      <c r="X869" s="193"/>
    </row>
    <row r="870" hidden="1">
      <c r="O870" s="230"/>
      <c r="R870" s="230"/>
      <c r="T870" s="246"/>
      <c r="U870" s="193"/>
      <c r="X870" s="193"/>
    </row>
    <row r="871" hidden="1">
      <c r="O871" s="230"/>
      <c r="R871" s="230"/>
      <c r="S871" s="229" t="s">
        <v>4901</v>
      </c>
      <c r="T871" s="246"/>
      <c r="U871" s="193"/>
      <c r="X871" s="193"/>
    </row>
    <row r="872" hidden="1">
      <c r="O872" s="230"/>
      <c r="R872" s="230"/>
      <c r="T872" s="246"/>
      <c r="U872" s="193"/>
      <c r="X872" s="193"/>
    </row>
    <row r="873" hidden="1">
      <c r="O873" s="230"/>
      <c r="R873" s="230"/>
      <c r="T873" s="246"/>
      <c r="U873" s="193"/>
      <c r="X873" s="193"/>
    </row>
    <row r="874" hidden="1">
      <c r="O874" s="230"/>
      <c r="R874" s="230"/>
      <c r="S874" s="229" t="s">
        <v>10418</v>
      </c>
      <c r="T874" s="246"/>
      <c r="U874" s="193"/>
      <c r="X874" s="193"/>
    </row>
    <row r="875" hidden="1">
      <c r="O875" s="230"/>
      <c r="R875" s="230"/>
      <c r="T875" s="246"/>
      <c r="U875" s="193"/>
      <c r="X875" s="193"/>
    </row>
    <row r="876" hidden="1">
      <c r="O876" s="230"/>
      <c r="R876" s="230"/>
      <c r="T876" s="246"/>
      <c r="U876" s="193"/>
      <c r="X876" s="193"/>
    </row>
    <row r="877" hidden="1">
      <c r="O877" s="230"/>
      <c r="R877" s="230"/>
      <c r="T877" s="246"/>
      <c r="U877" s="193"/>
      <c r="X877" s="193"/>
    </row>
    <row r="878" hidden="1">
      <c r="O878" s="230"/>
      <c r="R878" s="230"/>
      <c r="T878" s="246"/>
      <c r="U878" s="193"/>
      <c r="X878" s="193"/>
    </row>
    <row r="879" hidden="1">
      <c r="O879" s="230"/>
      <c r="R879" s="230"/>
      <c r="T879" s="246"/>
      <c r="U879" s="193"/>
      <c r="X879" s="193"/>
    </row>
    <row r="880" hidden="1">
      <c r="O880" s="230"/>
      <c r="R880" s="230"/>
      <c r="T880" s="246"/>
      <c r="U880" s="193"/>
      <c r="X880" s="193"/>
    </row>
    <row r="881" hidden="1">
      <c r="O881" s="230"/>
      <c r="R881" s="230"/>
      <c r="T881" s="246"/>
      <c r="U881" s="193"/>
      <c r="X881" s="193"/>
    </row>
    <row r="882" hidden="1">
      <c r="O882" s="230"/>
      <c r="R882" s="230"/>
      <c r="T882" s="246"/>
      <c r="U882" s="193"/>
      <c r="X882" s="193"/>
    </row>
    <row r="883" hidden="1">
      <c r="O883" s="230"/>
      <c r="R883" s="230"/>
      <c r="T883" s="246"/>
      <c r="U883" s="193"/>
      <c r="X883" s="193"/>
    </row>
    <row r="884" hidden="1">
      <c r="O884" s="230"/>
      <c r="R884" s="230"/>
      <c r="T884" s="246"/>
      <c r="U884" s="193"/>
      <c r="X884" s="193"/>
    </row>
    <row r="885" hidden="1">
      <c r="O885" s="230"/>
      <c r="R885" s="230"/>
      <c r="T885" s="246"/>
      <c r="U885" s="193"/>
      <c r="X885" s="193"/>
    </row>
    <row r="886" hidden="1">
      <c r="O886" s="230"/>
      <c r="R886" s="230"/>
      <c r="T886" s="246"/>
      <c r="U886" s="193"/>
      <c r="X886" s="193"/>
    </row>
    <row r="887" hidden="1">
      <c r="O887" s="230"/>
      <c r="R887" s="230"/>
      <c r="T887" s="246"/>
      <c r="U887" s="193"/>
      <c r="X887" s="193"/>
    </row>
    <row r="888" hidden="1">
      <c r="O888" s="230"/>
      <c r="R888" s="230"/>
      <c r="T888" s="246"/>
      <c r="U888" s="193"/>
      <c r="X888" s="193"/>
    </row>
    <row r="889" hidden="1">
      <c r="O889" s="230"/>
      <c r="R889" s="230"/>
      <c r="T889" s="246"/>
      <c r="U889" s="193"/>
      <c r="X889" s="193"/>
    </row>
    <row r="890" hidden="1">
      <c r="O890" s="230"/>
      <c r="R890" s="230"/>
      <c r="T890" s="246"/>
      <c r="U890" s="193"/>
      <c r="X890" s="193"/>
    </row>
    <row r="891" hidden="1">
      <c r="O891" s="230"/>
      <c r="R891" s="230"/>
      <c r="T891" s="246"/>
      <c r="U891" s="193"/>
      <c r="X891" s="193"/>
    </row>
    <row r="892" hidden="1">
      <c r="O892" s="230"/>
      <c r="R892" s="230"/>
      <c r="T892" s="246"/>
      <c r="U892" s="193"/>
      <c r="X892" s="193"/>
    </row>
    <row r="893" hidden="1">
      <c r="O893" s="230"/>
      <c r="R893" s="230"/>
      <c r="T893" s="246"/>
      <c r="U893" s="193"/>
      <c r="X893" s="193"/>
    </row>
    <row r="894" hidden="1">
      <c r="O894" s="230"/>
      <c r="R894" s="230"/>
      <c r="T894" s="246"/>
      <c r="U894" s="193"/>
      <c r="X894" s="193"/>
    </row>
    <row r="895" hidden="1">
      <c r="O895" s="230"/>
      <c r="R895" s="230"/>
      <c r="T895" s="246"/>
      <c r="U895" s="193"/>
      <c r="X895" s="193"/>
    </row>
    <row r="896" hidden="1">
      <c r="O896" s="230"/>
      <c r="R896" s="230"/>
      <c r="T896" s="246"/>
      <c r="U896" s="193"/>
      <c r="X896" s="193"/>
    </row>
    <row r="897" hidden="1">
      <c r="O897" s="230"/>
      <c r="R897" s="230"/>
      <c r="T897" s="246"/>
      <c r="U897" s="193"/>
      <c r="X897" s="193"/>
    </row>
    <row r="898" hidden="1">
      <c r="O898" s="230"/>
      <c r="R898" s="230"/>
      <c r="S898" s="229" t="s">
        <v>4886</v>
      </c>
      <c r="T898" s="246"/>
      <c r="U898" s="193"/>
      <c r="X898" s="193"/>
    </row>
    <row r="899" hidden="1">
      <c r="O899" s="230"/>
      <c r="R899" s="230"/>
      <c r="S899" s="229" t="s">
        <v>10418</v>
      </c>
      <c r="T899" s="246"/>
      <c r="U899" s="193"/>
      <c r="X899" s="193"/>
    </row>
    <row r="900" hidden="1">
      <c r="O900" s="230"/>
      <c r="R900" s="230"/>
      <c r="T900" s="246"/>
      <c r="U900" s="193"/>
      <c r="X900" s="193"/>
    </row>
    <row r="901" hidden="1">
      <c r="O901" s="230"/>
      <c r="R901" s="230"/>
      <c r="T901" s="246"/>
      <c r="U901" s="193"/>
      <c r="X901" s="193"/>
    </row>
    <row r="902" hidden="1">
      <c r="O902" s="230"/>
      <c r="R902" s="230"/>
      <c r="T902" s="246"/>
      <c r="U902" s="193"/>
      <c r="X902" s="193"/>
    </row>
    <row r="903" hidden="1">
      <c r="O903" s="230"/>
      <c r="R903" s="230"/>
      <c r="T903" s="246"/>
      <c r="U903" s="193"/>
      <c r="X903" s="193"/>
    </row>
    <row r="904" hidden="1">
      <c r="O904" s="230"/>
      <c r="R904" s="230"/>
      <c r="T904" s="246"/>
      <c r="U904" s="193"/>
      <c r="X904" s="193"/>
    </row>
    <row r="905" hidden="1">
      <c r="O905" s="230"/>
      <c r="R905" s="230"/>
      <c r="T905" s="246"/>
      <c r="U905" s="193"/>
      <c r="X905" s="193"/>
    </row>
    <row r="906" hidden="1">
      <c r="O906" s="230"/>
      <c r="R906" s="230"/>
      <c r="T906" s="246"/>
      <c r="U906" s="193"/>
      <c r="X906" s="193"/>
    </row>
    <row r="907" hidden="1">
      <c r="O907" s="230"/>
      <c r="R907" s="230"/>
      <c r="S907" s="229" t="s">
        <v>4791</v>
      </c>
      <c r="T907" s="246"/>
      <c r="U907" s="193"/>
      <c r="X907" s="193"/>
    </row>
    <row r="908" hidden="1">
      <c r="O908" s="230"/>
      <c r="R908" s="230"/>
      <c r="S908" s="229" t="s">
        <v>10418</v>
      </c>
      <c r="T908" s="246"/>
      <c r="U908" s="193"/>
      <c r="X908" s="193"/>
    </row>
    <row r="909" hidden="1">
      <c r="O909" s="230"/>
      <c r="R909" s="230"/>
      <c r="S909" s="229" t="s">
        <v>10418</v>
      </c>
      <c r="T909" s="246"/>
      <c r="U909" s="193"/>
      <c r="X909" s="193"/>
    </row>
    <row r="910" hidden="1">
      <c r="O910" s="230"/>
      <c r="R910" s="230"/>
      <c r="T910" s="246"/>
      <c r="U910" s="193"/>
      <c r="X910" s="193"/>
    </row>
    <row r="911" hidden="1">
      <c r="O911" s="230"/>
      <c r="R911" s="230"/>
      <c r="T911" s="246"/>
      <c r="U911" s="193"/>
      <c r="X911" s="193"/>
    </row>
    <row r="912" hidden="1">
      <c r="O912" s="230"/>
      <c r="R912" s="230"/>
      <c r="S912" s="229" t="s">
        <v>4783</v>
      </c>
      <c r="T912" s="246"/>
      <c r="U912" s="193"/>
      <c r="X912" s="193"/>
    </row>
    <row r="913" hidden="1">
      <c r="O913" s="230"/>
      <c r="R913" s="230"/>
      <c r="S913" s="229" t="s">
        <v>4852</v>
      </c>
      <c r="T913" s="246"/>
      <c r="U913" s="193"/>
      <c r="X913" s="193"/>
    </row>
    <row r="914" hidden="1">
      <c r="O914" s="230"/>
      <c r="R914" s="230"/>
      <c r="T914" s="246"/>
      <c r="U914" s="193"/>
      <c r="X914" s="193"/>
    </row>
    <row r="915" hidden="1">
      <c r="O915" s="230"/>
      <c r="R915" s="230"/>
      <c r="S915" s="229" t="s">
        <v>4791</v>
      </c>
      <c r="T915" s="246"/>
      <c r="U915" s="193"/>
      <c r="X915" s="193"/>
    </row>
    <row r="916" hidden="1">
      <c r="O916" s="230"/>
      <c r="R916" s="230"/>
      <c r="T916" s="246"/>
      <c r="U916" s="193"/>
      <c r="X916" s="193"/>
    </row>
    <row r="917" hidden="1">
      <c r="O917" s="230"/>
      <c r="R917" s="230"/>
      <c r="S917" s="229" t="s">
        <v>4886</v>
      </c>
      <c r="T917" s="246"/>
      <c r="U917" s="193"/>
      <c r="X917" s="193"/>
    </row>
    <row r="918" hidden="1">
      <c r="O918" s="230"/>
      <c r="R918" s="230"/>
      <c r="S918" s="229" t="s">
        <v>4892</v>
      </c>
      <c r="T918" s="246"/>
      <c r="U918" s="193"/>
      <c r="X918" s="193"/>
    </row>
    <row r="919" hidden="1">
      <c r="O919" s="230"/>
      <c r="R919" s="230"/>
      <c r="S919" s="229" t="s">
        <v>4892</v>
      </c>
      <c r="T919" s="246"/>
      <c r="U919" s="193"/>
      <c r="X919" s="193"/>
    </row>
    <row r="920" hidden="1">
      <c r="O920" s="230"/>
      <c r="R920" s="230"/>
      <c r="S920" s="229" t="s">
        <v>4886</v>
      </c>
      <c r="T920" s="246"/>
      <c r="U920" s="193"/>
      <c r="X920" s="193"/>
    </row>
    <row r="921" hidden="1">
      <c r="O921" s="230"/>
      <c r="R921" s="230"/>
      <c r="S921" s="229" t="s">
        <v>4892</v>
      </c>
      <c r="T921" s="246"/>
      <c r="U921" s="193"/>
      <c r="X921" s="193"/>
    </row>
    <row r="922" hidden="1">
      <c r="O922" s="230"/>
      <c r="R922" s="230"/>
      <c r="S922" s="229" t="s">
        <v>4791</v>
      </c>
      <c r="T922" s="246"/>
      <c r="U922" s="193"/>
      <c r="X922" s="193"/>
    </row>
    <row r="923" hidden="1">
      <c r="O923" s="230"/>
      <c r="R923" s="230"/>
      <c r="S923" s="229" t="s">
        <v>10419</v>
      </c>
      <c r="T923" s="246"/>
      <c r="U923" s="193"/>
      <c r="X923" s="193"/>
    </row>
    <row r="924" hidden="1">
      <c r="O924" s="230"/>
      <c r="R924" s="230"/>
      <c r="S924" s="229" t="s">
        <v>4791</v>
      </c>
      <c r="T924" s="246"/>
      <c r="U924" s="193"/>
      <c r="X924" s="193"/>
    </row>
    <row r="925" hidden="1">
      <c r="O925" s="230"/>
      <c r="R925" s="230"/>
      <c r="S925" s="229" t="s">
        <v>10420</v>
      </c>
      <c r="T925" s="246"/>
      <c r="U925" s="193"/>
      <c r="X925" s="193"/>
    </row>
    <row r="926" hidden="1">
      <c r="O926" s="230"/>
      <c r="R926" s="230"/>
      <c r="S926" s="229" t="s">
        <v>4886</v>
      </c>
      <c r="T926" s="246"/>
      <c r="U926" s="193"/>
      <c r="X926" s="193"/>
    </row>
    <row r="927" hidden="1">
      <c r="O927" s="230"/>
      <c r="R927" s="230"/>
      <c r="S927" s="229" t="s">
        <v>4892</v>
      </c>
      <c r="T927" s="246"/>
      <c r="U927" s="193"/>
      <c r="X927" s="193"/>
    </row>
    <row r="928" hidden="1">
      <c r="O928" s="230"/>
      <c r="R928" s="230"/>
      <c r="S928" s="229" t="s">
        <v>10421</v>
      </c>
      <c r="T928" s="246"/>
      <c r="U928" s="193"/>
      <c r="X928" s="193"/>
    </row>
    <row r="929" hidden="1">
      <c r="O929" s="230"/>
      <c r="R929" s="230"/>
      <c r="T929" s="246"/>
      <c r="U929" s="193"/>
      <c r="X929" s="193"/>
    </row>
    <row r="930" hidden="1">
      <c r="O930" s="230"/>
      <c r="R930" s="230"/>
      <c r="T930" s="246"/>
      <c r="U930" s="193"/>
      <c r="X930" s="193"/>
    </row>
    <row r="931" hidden="1">
      <c r="O931" s="230"/>
      <c r="R931" s="230"/>
      <c r="S931" s="229" t="s">
        <v>4901</v>
      </c>
      <c r="T931" s="246"/>
      <c r="U931" s="193"/>
      <c r="X931" s="193"/>
    </row>
    <row r="932" hidden="1">
      <c r="O932" s="230"/>
      <c r="R932" s="230"/>
      <c r="S932" s="229" t="s">
        <v>10419</v>
      </c>
      <c r="T932" s="246"/>
      <c r="U932" s="193"/>
      <c r="X932" s="193"/>
    </row>
    <row r="933" hidden="1">
      <c r="O933" s="230"/>
      <c r="R933" s="230"/>
      <c r="S933" s="229" t="s">
        <v>10420</v>
      </c>
      <c r="T933" s="246"/>
      <c r="U933" s="193"/>
      <c r="X933" s="193"/>
    </row>
    <row r="934" hidden="1">
      <c r="O934" s="230"/>
      <c r="R934" s="230"/>
      <c r="S934" s="229" t="s">
        <v>4783</v>
      </c>
      <c r="T934" s="246"/>
      <c r="U934" s="193"/>
      <c r="X934" s="193"/>
    </row>
    <row r="935" hidden="1">
      <c r="O935" s="230"/>
      <c r="R935" s="230"/>
      <c r="T935" s="246"/>
      <c r="U935" s="193"/>
      <c r="X935" s="193"/>
    </row>
    <row r="936" hidden="1">
      <c r="O936" s="230"/>
      <c r="R936" s="230"/>
      <c r="T936" s="246"/>
      <c r="U936" s="193"/>
      <c r="X936" s="193"/>
    </row>
    <row r="937" hidden="1">
      <c r="O937" s="230"/>
      <c r="R937" s="230"/>
      <c r="T937" s="246"/>
      <c r="U937" s="193"/>
      <c r="X937" s="193"/>
    </row>
    <row r="938" hidden="1">
      <c r="O938" s="230"/>
      <c r="R938" s="230"/>
      <c r="S938" s="229" t="s">
        <v>4791</v>
      </c>
      <c r="T938" s="246"/>
      <c r="U938" s="193"/>
      <c r="X938" s="193"/>
    </row>
    <row r="939" hidden="1">
      <c r="O939" s="230"/>
      <c r="R939" s="230"/>
      <c r="T939" s="246"/>
      <c r="U939" s="193"/>
      <c r="X939" s="193"/>
    </row>
    <row r="940" hidden="1">
      <c r="O940" s="230"/>
      <c r="R940" s="230"/>
      <c r="S940" s="229" t="s">
        <v>10419</v>
      </c>
      <c r="T940" s="246"/>
      <c r="U940" s="193"/>
      <c r="X940" s="193"/>
    </row>
    <row r="941" hidden="1">
      <c r="O941" s="230"/>
      <c r="R941" s="230"/>
      <c r="S941" s="229" t="s">
        <v>4791</v>
      </c>
      <c r="T941" s="246"/>
      <c r="U941" s="193"/>
      <c r="X941" s="193"/>
    </row>
    <row r="942" hidden="1">
      <c r="O942" s="230"/>
      <c r="R942" s="230"/>
      <c r="S942" s="229" t="s">
        <v>4791</v>
      </c>
      <c r="T942" s="246"/>
      <c r="U942" s="193"/>
      <c r="X942" s="193"/>
    </row>
    <row r="943" hidden="1">
      <c r="O943" s="230"/>
      <c r="R943" s="230"/>
      <c r="S943" s="229" t="s">
        <v>4901</v>
      </c>
      <c r="T943" s="246"/>
      <c r="U943" s="193"/>
      <c r="X943" s="193"/>
    </row>
    <row r="944" hidden="1">
      <c r="O944" s="230"/>
      <c r="R944" s="230"/>
      <c r="S944" s="229" t="s">
        <v>4791</v>
      </c>
      <c r="T944" s="246"/>
      <c r="U944" s="193"/>
      <c r="X944" s="193"/>
    </row>
    <row r="945" hidden="1">
      <c r="O945" s="230"/>
      <c r="R945" s="230"/>
      <c r="S945" s="229" t="s">
        <v>4892</v>
      </c>
      <c r="T945" s="246"/>
      <c r="U945" s="193"/>
      <c r="X945" s="193"/>
    </row>
    <row r="946" hidden="1">
      <c r="O946" s="230"/>
      <c r="R946" s="230"/>
      <c r="T946" s="246"/>
      <c r="U946" s="193"/>
      <c r="X946" s="193"/>
    </row>
    <row r="947" hidden="1">
      <c r="O947" s="230"/>
      <c r="R947" s="230"/>
      <c r="T947" s="246"/>
      <c r="U947" s="193"/>
      <c r="X947" s="193"/>
    </row>
    <row r="948" hidden="1">
      <c r="O948" s="230"/>
      <c r="R948" s="230"/>
      <c r="T948" s="246"/>
      <c r="U948" s="193"/>
      <c r="X948" s="193"/>
    </row>
    <row r="949" hidden="1">
      <c r="O949" s="230"/>
      <c r="R949" s="230"/>
      <c r="T949" s="246"/>
      <c r="U949" s="193"/>
      <c r="X949" s="193"/>
    </row>
    <row r="950" hidden="1">
      <c r="O950" s="230"/>
      <c r="R950" s="230"/>
      <c r="T950" s="246"/>
      <c r="U950" s="193"/>
      <c r="X950" s="193"/>
    </row>
    <row r="951" hidden="1">
      <c r="O951" s="230"/>
      <c r="R951" s="230"/>
      <c r="T951" s="246"/>
      <c r="U951" s="193"/>
      <c r="X951" s="193"/>
    </row>
    <row r="952" hidden="1">
      <c r="O952" s="230"/>
      <c r="R952" s="230"/>
      <c r="T952" s="246"/>
      <c r="U952" s="193"/>
      <c r="X952" s="193"/>
    </row>
    <row r="953" hidden="1">
      <c r="O953" s="230"/>
      <c r="R953" s="230"/>
      <c r="T953" s="246"/>
      <c r="U953" s="193"/>
      <c r="X953" s="193"/>
    </row>
    <row r="954" hidden="1">
      <c r="O954" s="230"/>
      <c r="R954" s="230"/>
      <c r="T954" s="246"/>
      <c r="U954" s="193"/>
      <c r="X954" s="193"/>
    </row>
    <row r="955" hidden="1">
      <c r="O955" s="230"/>
      <c r="R955" s="230"/>
      <c r="T955" s="246"/>
      <c r="U955" s="193"/>
      <c r="X955" s="193"/>
    </row>
    <row r="956" hidden="1">
      <c r="O956" s="230"/>
      <c r="R956" s="230"/>
      <c r="T956" s="246"/>
      <c r="U956" s="193"/>
      <c r="X956" s="193"/>
    </row>
    <row r="957" hidden="1">
      <c r="O957" s="230"/>
      <c r="R957" s="230"/>
      <c r="S957" s="229" t="s">
        <v>10419</v>
      </c>
      <c r="T957" s="246"/>
      <c r="U957" s="193"/>
      <c r="X957" s="193"/>
    </row>
    <row r="958" hidden="1">
      <c r="O958" s="230"/>
      <c r="R958" s="230"/>
      <c r="S958" s="229" t="s">
        <v>4791</v>
      </c>
      <c r="T958" s="246"/>
      <c r="U958" s="193"/>
      <c r="X958" s="193"/>
    </row>
    <row r="959" hidden="1">
      <c r="O959" s="230"/>
      <c r="R959" s="230"/>
      <c r="S959" s="229" t="s">
        <v>4791</v>
      </c>
      <c r="T959" s="246"/>
      <c r="U959" s="193"/>
      <c r="X959" s="193"/>
    </row>
    <row r="960" hidden="1">
      <c r="O960" s="230"/>
      <c r="R960" s="230"/>
      <c r="S960" s="229" t="s">
        <v>4791</v>
      </c>
      <c r="T960" s="246"/>
      <c r="U960" s="193"/>
      <c r="X960" s="193"/>
    </row>
    <row r="961" hidden="1">
      <c r="O961" s="230"/>
      <c r="R961" s="230"/>
      <c r="S961" s="229" t="s">
        <v>4783</v>
      </c>
      <c r="T961" s="246"/>
      <c r="U961" s="193"/>
      <c r="X961" s="193"/>
    </row>
    <row r="962" hidden="1">
      <c r="O962" s="230"/>
      <c r="R962" s="230"/>
      <c r="S962" s="229" t="s">
        <v>4783</v>
      </c>
      <c r="T962" s="246"/>
      <c r="U962" s="193"/>
      <c r="X962" s="193"/>
    </row>
    <row r="963" hidden="1">
      <c r="O963" s="230"/>
      <c r="R963" s="230"/>
      <c r="S963" s="229" t="s">
        <v>4783</v>
      </c>
      <c r="T963" s="246"/>
      <c r="U963" s="193"/>
      <c r="X963" s="193"/>
    </row>
    <row r="964" hidden="1">
      <c r="O964" s="230"/>
      <c r="R964" s="230"/>
      <c r="S964" s="229" t="s">
        <v>10418</v>
      </c>
      <c r="T964" s="246"/>
      <c r="U964" s="193"/>
      <c r="X964" s="193"/>
    </row>
    <row r="965" hidden="1">
      <c r="O965" s="230"/>
      <c r="R965" s="230"/>
      <c r="S965" s="229" t="s">
        <v>4791</v>
      </c>
      <c r="T965" s="246"/>
      <c r="U965" s="193"/>
      <c r="X965" s="193"/>
    </row>
    <row r="966" hidden="1">
      <c r="O966" s="230"/>
      <c r="R966" s="230"/>
      <c r="T966" s="246"/>
      <c r="U966" s="193"/>
      <c r="X966" s="193"/>
    </row>
    <row r="967" hidden="1">
      <c r="O967" s="230"/>
      <c r="R967" s="230"/>
      <c r="T967" s="246"/>
      <c r="U967" s="193"/>
      <c r="X967" s="193"/>
    </row>
    <row r="968" hidden="1">
      <c r="O968" s="230"/>
      <c r="R968" s="230"/>
      <c r="S968" s="229" t="s">
        <v>10418</v>
      </c>
      <c r="T968" s="246"/>
      <c r="U968" s="193"/>
      <c r="X968" s="193"/>
    </row>
    <row r="969" hidden="1">
      <c r="O969" s="230"/>
      <c r="R969" s="230"/>
      <c r="T969" s="246"/>
      <c r="U969" s="193"/>
      <c r="X969" s="193"/>
    </row>
    <row r="970" hidden="1">
      <c r="O970" s="230"/>
      <c r="R970" s="230"/>
      <c r="T970" s="246"/>
      <c r="U970" s="193"/>
      <c r="X970" s="193"/>
    </row>
    <row r="971" hidden="1">
      <c r="O971" s="230"/>
      <c r="R971" s="230"/>
      <c r="S971" s="229" t="s">
        <v>4791</v>
      </c>
      <c r="T971" s="246"/>
      <c r="U971" s="193"/>
      <c r="X971" s="193"/>
    </row>
    <row r="972" hidden="1">
      <c r="O972" s="230"/>
      <c r="R972" s="230"/>
      <c r="S972" s="229" t="s">
        <v>4890</v>
      </c>
      <c r="T972" s="246"/>
      <c r="U972" s="193"/>
      <c r="X972" s="193"/>
    </row>
    <row r="973" hidden="1">
      <c r="O973" s="230"/>
      <c r="R973" s="230"/>
      <c r="T973" s="246"/>
      <c r="U973" s="193"/>
      <c r="X973" s="193"/>
    </row>
    <row r="974" hidden="1">
      <c r="O974" s="230"/>
      <c r="R974" s="230"/>
      <c r="T974" s="246"/>
      <c r="U974" s="193"/>
      <c r="X974" s="193"/>
    </row>
    <row r="975" hidden="1">
      <c r="O975" s="230"/>
      <c r="R975" s="230"/>
      <c r="S975" s="229" t="s">
        <v>10418</v>
      </c>
      <c r="T975" s="246"/>
      <c r="U975" s="193"/>
      <c r="X975" s="193"/>
    </row>
    <row r="976" hidden="1">
      <c r="O976" s="230"/>
      <c r="R976" s="230"/>
      <c r="S976" s="229" t="s">
        <v>10422</v>
      </c>
      <c r="T976" s="246"/>
      <c r="U976" s="193"/>
      <c r="X976" s="193"/>
    </row>
    <row r="977" hidden="1">
      <c r="O977" s="230"/>
      <c r="R977" s="230"/>
      <c r="T977" s="246"/>
      <c r="U977" s="193"/>
      <c r="X977" s="193"/>
    </row>
    <row r="978" hidden="1">
      <c r="O978" s="230"/>
      <c r="R978" s="230"/>
      <c r="S978" s="229" t="s">
        <v>4791</v>
      </c>
      <c r="T978" s="246"/>
      <c r="U978" s="193"/>
      <c r="X978" s="193"/>
    </row>
    <row r="979" hidden="1">
      <c r="O979" s="230"/>
      <c r="R979" s="230"/>
      <c r="S979" s="229" t="s">
        <v>10423</v>
      </c>
      <c r="T979" s="246"/>
      <c r="U979" s="193"/>
      <c r="X979" s="193"/>
    </row>
    <row r="980" hidden="1">
      <c r="O980" s="230"/>
      <c r="R980" s="230"/>
      <c r="S980" s="229" t="s">
        <v>4791</v>
      </c>
      <c r="T980" s="246"/>
      <c r="U980" s="193"/>
      <c r="X980" s="193"/>
    </row>
    <row r="981" hidden="1">
      <c r="O981" s="230"/>
      <c r="R981" s="230"/>
      <c r="S981" s="229" t="s">
        <v>4890</v>
      </c>
      <c r="T981" s="246"/>
      <c r="U981" s="193"/>
      <c r="X981" s="193"/>
    </row>
    <row r="982" hidden="1">
      <c r="O982" s="230"/>
      <c r="R982" s="230"/>
      <c r="S982" s="229" t="s">
        <v>4886</v>
      </c>
      <c r="T982" s="246"/>
      <c r="U982" s="193"/>
      <c r="X982" s="193"/>
    </row>
    <row r="983" hidden="1">
      <c r="O983" s="230"/>
      <c r="R983" s="230"/>
      <c r="S983" s="229" t="s">
        <v>4791</v>
      </c>
      <c r="T983" s="246"/>
      <c r="U983" s="193"/>
      <c r="X983" s="193"/>
    </row>
    <row r="984" hidden="1">
      <c r="O984" s="230"/>
      <c r="R984" s="230"/>
      <c r="T984" s="246"/>
      <c r="U984" s="193"/>
      <c r="X984" s="193"/>
    </row>
    <row r="985" hidden="1">
      <c r="O985" s="230"/>
      <c r="R985" s="230"/>
      <c r="S985" s="229" t="s">
        <v>10418</v>
      </c>
      <c r="T985" s="246"/>
      <c r="U985" s="193"/>
      <c r="X985" s="193"/>
    </row>
    <row r="986" hidden="1">
      <c r="O986" s="230"/>
      <c r="R986" s="230"/>
      <c r="T986" s="246"/>
      <c r="U986" s="193"/>
      <c r="X986" s="193"/>
    </row>
    <row r="987" hidden="1">
      <c r="O987" s="230"/>
      <c r="R987" s="230"/>
      <c r="T987" s="246"/>
      <c r="U987" s="193"/>
      <c r="X987" s="193"/>
    </row>
    <row r="988" hidden="1">
      <c r="O988" s="230"/>
      <c r="R988" s="230"/>
      <c r="S988" s="229" t="s">
        <v>4901</v>
      </c>
      <c r="T988" s="246"/>
      <c r="U988" s="193"/>
      <c r="X988" s="193"/>
    </row>
    <row r="989" hidden="1">
      <c r="O989" s="230"/>
      <c r="R989" s="230"/>
      <c r="T989" s="246"/>
      <c r="U989" s="193"/>
      <c r="X989" s="193"/>
    </row>
    <row r="990" hidden="1">
      <c r="O990" s="230"/>
      <c r="R990" s="230"/>
      <c r="T990" s="246"/>
      <c r="U990" s="193"/>
      <c r="X990" s="193"/>
    </row>
    <row r="991" hidden="1">
      <c r="O991" s="230"/>
      <c r="R991" s="230"/>
      <c r="T991" s="246"/>
      <c r="U991" s="193"/>
      <c r="X991" s="193"/>
    </row>
    <row r="992" hidden="1">
      <c r="O992" s="230"/>
      <c r="R992" s="230"/>
      <c r="S992" s="229" t="s">
        <v>10424</v>
      </c>
      <c r="T992" s="246"/>
      <c r="U992" s="193"/>
      <c r="X992" s="193"/>
    </row>
    <row r="993" hidden="1">
      <c r="O993" s="230"/>
      <c r="R993" s="230"/>
      <c r="T993" s="246"/>
      <c r="U993" s="193"/>
      <c r="X993" s="193"/>
    </row>
    <row r="994" hidden="1">
      <c r="O994" s="230"/>
      <c r="R994" s="230"/>
      <c r="T994" s="246"/>
      <c r="U994" s="193"/>
      <c r="X994" s="193"/>
    </row>
    <row r="995" hidden="1">
      <c r="O995" s="230"/>
      <c r="R995" s="230"/>
      <c r="S995" s="230"/>
      <c r="T995" s="246"/>
      <c r="U995" s="193"/>
      <c r="X995" s="193"/>
    </row>
    <row r="996" hidden="1">
      <c r="O996" s="230"/>
      <c r="R996" s="230"/>
      <c r="S996" s="230"/>
      <c r="T996" s="246"/>
      <c r="U996" s="193"/>
      <c r="X996" s="193"/>
    </row>
    <row r="997" hidden="1">
      <c r="O997" s="230"/>
      <c r="R997" s="230"/>
      <c r="S997" s="230"/>
      <c r="T997" s="246"/>
      <c r="U997" s="193"/>
      <c r="X997" s="193"/>
    </row>
    <row r="998" hidden="1">
      <c r="O998" s="230"/>
      <c r="R998" s="230"/>
      <c r="S998" s="230"/>
      <c r="T998" s="246"/>
      <c r="U998" s="193"/>
      <c r="X998" s="193"/>
    </row>
    <row r="999" hidden="1">
      <c r="O999" s="230"/>
      <c r="R999" s="230"/>
      <c r="S999" s="230"/>
      <c r="T999" s="246"/>
      <c r="U999" s="193"/>
      <c r="X999" s="193"/>
    </row>
    <row r="1000" hidden="1">
      <c r="O1000" s="230"/>
      <c r="R1000" s="230"/>
      <c r="S1000" s="230"/>
      <c r="T1000" s="246"/>
      <c r="U1000" s="193"/>
      <c r="X1000" s="193"/>
    </row>
  </sheetData>
  <autoFilter ref="$A$1:$U$1000">
    <filterColumn colId="4">
      <filters>
        <filter val="Art_narupontp"/>
      </filters>
    </filterColumn>
  </autoFil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10425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6"/>
      <c r="C3" s="219">
        <v>383.5</v>
      </c>
      <c r="D3" s="216"/>
      <c r="E3" s="212"/>
      <c r="F3" s="217"/>
    </row>
    <row r="4" ht="22.5" customHeight="1">
      <c r="A4" s="218" t="s">
        <v>250</v>
      </c>
      <c r="B4" s="216"/>
      <c r="C4" s="212">
        <v>150.0</v>
      </c>
      <c r="D4" s="216"/>
      <c r="E4" s="212"/>
      <c r="F4" s="220" t="s">
        <v>251</v>
      </c>
    </row>
    <row r="5" ht="22.5" customHeight="1">
      <c r="A5" s="218" t="s">
        <v>252</v>
      </c>
      <c r="B5" s="216"/>
      <c r="C5" s="212">
        <v>82.75</v>
      </c>
      <c r="D5" s="216"/>
      <c r="E5" s="212"/>
      <c r="F5" s="220" t="s">
        <v>251</v>
      </c>
    </row>
    <row r="6" ht="22.5" customHeight="1">
      <c r="A6" s="218" t="s">
        <v>253</v>
      </c>
      <c r="B6" s="216"/>
      <c r="C6" s="212">
        <v>8.0</v>
      </c>
      <c r="D6" s="216"/>
      <c r="E6" s="212"/>
      <c r="F6" s="221" t="s">
        <v>10426</v>
      </c>
    </row>
    <row r="7" ht="22.5" customHeight="1">
      <c r="A7" s="218" t="s">
        <v>255</v>
      </c>
      <c r="B7" s="216">
        <f>SUM('Sprint 5'!O:O)</f>
        <v>153</v>
      </c>
      <c r="C7" s="212">
        <f>ROUND(SUM('Sprint 5'!S:S)/3600,2)</f>
        <v>203.5</v>
      </c>
      <c r="D7" s="216">
        <f>SUMIF('Sprint 5'!J:J, "Done", 'Sprint 5'!O:O)</f>
        <v>73</v>
      </c>
      <c r="E7" s="212">
        <f>ROUND(SUMIF('Sprint 5'!J:J, "Done", 'Sprint 5'!S:S)/3600,2)</f>
        <v>105</v>
      </c>
      <c r="F7" s="217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>
        <f>IFERROR(__xludf.DUMMYFUNCTION("IFERROR(SUM(FILTER('Sprint 5'!O:O, ('Sprint 5'!P:P = ""mid-sprint""))),0)"),4.0)</f>
        <v>4</v>
      </c>
      <c r="C9" s="212">
        <f>IFERROR(__xludf.DUMMYFUNCTION("ROUND(IFERROR(SUM(FILTER('Sprint 5'!S:S, ('Sprint 5'!P:P = ""mid-sprint"")))/3600,0),2)"),4.5)</f>
        <v>4.5</v>
      </c>
      <c r="D9" s="212">
        <f>IFERROR(__xludf.DUMMYFUNCTION("IFERROR(SUM(FILTER('Sprint 5'!O:O, (('Sprint 5'!J:J = ""Done"")) * ('Sprint 5'!P:P = ""mid-sprint""))),0)"),2.0)</f>
        <v>2</v>
      </c>
      <c r="E9" s="212">
        <f>IFERROR(__xludf.DUMMYFUNCTION("ROUND(IFERROR(SUM(FILTER('Sprint 5'!S:S, (('Sprint 5'!J:J = ""Done"")) * ('Sprint 5'!P:P = ""mid-sprint"")))/3600,0),2)"),1.0)</f>
        <v>1</v>
      </c>
      <c r="F9" s="245"/>
    </row>
    <row r="10" ht="22.5" customHeight="1">
      <c r="A10" s="218" t="s">
        <v>258</v>
      </c>
      <c r="B10" s="212" t="s">
        <v>210</v>
      </c>
      <c r="C10" s="212" t="s">
        <v>210</v>
      </c>
      <c r="D10" s="212" t="s">
        <v>210</v>
      </c>
      <c r="E10" s="212" t="s">
        <v>210</v>
      </c>
      <c r="F10" s="245"/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5'!O:O, ('Sprint 5'!E:E = ""Aek:Atiphat Nanthachitvanich""))),0)"),21.0)</f>
        <v>21</v>
      </c>
      <c r="C12" s="223">
        <f>IFERROR(__xludf.DUMMYFUNCTION("ROUND(IFERROR(SUM(FILTER('Sprint 5'!S:S, ('Sprint 5'!E:E = ""Aek:Atiphat Nanthachitvanich"")))/3600,0),2)"),34.5)</f>
        <v>34.5</v>
      </c>
      <c r="D12" s="216">
        <f>IFERROR(__xludf.DUMMYFUNCTION("IFERROR(SUM(FILTER('Sprint 5'!O:O, (('Sprint 5'!J:J = ""Done"")) * ('Sprint 5'!E:E = ""Aek:Atiphat Nanthachitvanich""))),0)"),19.0)</f>
        <v>19</v>
      </c>
      <c r="E12" s="223">
        <f>IFERROR(__xludf.DUMMYFUNCTION("ROUND(IFERROR(SUM(FILTER('Sprint 5'!S:S, (('Sprint 5'!J:J = ""Done"")) * ('Sprint 5'!E:E = ""Aek:Atiphat Nanthachitvanich"")))/3600,0),2)"),34.5)</f>
        <v>34.5</v>
      </c>
      <c r="F12" s="224"/>
    </row>
    <row r="13" ht="22.5" customHeight="1">
      <c r="A13" s="218" t="s">
        <v>32</v>
      </c>
      <c r="B13" s="216">
        <f>IFERROR(__xludf.DUMMYFUNCTION("IFERROR(SUM(FILTER('Sprint 5'!O:O, ('Sprint 5'!E:E = ""A:Phongthorn""))),0)"),18.0)</f>
        <v>18</v>
      </c>
      <c r="C13" s="223">
        <f>IFERROR(__xludf.DUMMYFUNCTION("ROUND(IFERROR(SUM(FILTER('Sprint 5'!S:S, ('Sprint 5'!E:E = ""A:Phongthorn"")))/3600,0),2)"),35.0)</f>
        <v>35</v>
      </c>
      <c r="D13" s="216">
        <f>IFERROR(__xludf.DUMMYFUNCTION("IFERROR(SUM(FILTER('Sprint 5'!O:O, (('Sprint 5'!J:J = ""Done"")) * ('Sprint 5'!E:E = ""A:Phongthorn""))),0)"),17.0)</f>
        <v>17</v>
      </c>
      <c r="E13" s="223">
        <f>IFERROR(__xludf.DUMMYFUNCTION("ROUND(IFERROR(SUM(FILTER('Sprint 5'!S:S, (('Sprint 5'!J:J = ""Done"")) * ('Sprint 5'!E:E = ""A:Phongthorn"")))/3600,0),2)"),33.0)</f>
        <v>33</v>
      </c>
      <c r="F13" s="224"/>
    </row>
    <row r="14" ht="22.5" customHeight="1">
      <c r="A14" s="218" t="s">
        <v>72</v>
      </c>
      <c r="B14" s="216">
        <f>IFERROR(__xludf.DUMMYFUNCTION("IFERROR(SUM(FILTER('Sprint 5'!O:O, ('Sprint 5'!E:E = ""Aom: Pornsawan Polnyiem""))),0)"),17.0)</f>
        <v>17</v>
      </c>
      <c r="C14" s="223">
        <f>IFERROR(__xludf.DUMMYFUNCTION("ROUND(IFERROR(SUM(FILTER('Sprint 5'!S:S, ('Sprint 5'!E:E = ""Aom: Pornsawan Polnyiem"")))/3600,0),2)"),15.0)</f>
        <v>15</v>
      </c>
      <c r="D14" s="216">
        <f>IFERROR(__xludf.DUMMYFUNCTION("IFERROR(SUM(FILTER('Sprint 5'!O:O, (('Sprint 5'!J:J = ""Done"")) * ('Sprint 5'!E:E = ""Aom: Pornsawan Polnyiem""))),0)"),6.0)</f>
        <v>6</v>
      </c>
      <c r="E14" s="223">
        <f>IFERROR(__xludf.DUMMYFUNCTION("ROUND(IFERROR(SUM(FILTER('Sprint 5'!S:S, (('Sprint 5'!J:J = ""Done"")) * ('Sprint 5'!E:E = ""Aom: Pornsawan Polnyiem"")))/3600,0),2)"),3.5)</f>
        <v>3.5</v>
      </c>
      <c r="F14" s="224"/>
    </row>
    <row r="15" ht="22.5" customHeight="1">
      <c r="A15" s="218" t="s">
        <v>24</v>
      </c>
      <c r="B15" s="216">
        <f>IFERROR(__xludf.DUMMYFUNCTION("IFERROR(SUM(FILTER('Sprint 5'!O:O, ('Sprint 5'!E:E = ""Zan : Isarapong Bulan""))),0)"),13.0)</f>
        <v>13</v>
      </c>
      <c r="C15" s="223">
        <f>IFERROR(__xludf.DUMMYFUNCTION("ROUND(IFERROR(SUM(FILTER('Sprint 5'!S:S, ('Sprint 5'!E:E = ""Zan : Isarapong Bulan"")))/3600,0),2)"),5.0)</f>
        <v>5</v>
      </c>
      <c r="D15" s="216">
        <f>IFERROR(__xludf.DUMMYFUNCTION("IFERROR(SUM(FILTER('Sprint 5'!O:O, (('Sprint 5'!J:J = ""Done"")) * ('Sprint 5'!E:E = ""Zan : Isarapong Bulan""))),0)"),1.0)</f>
        <v>1</v>
      </c>
      <c r="E15" s="223">
        <f>IFERROR(__xludf.DUMMYFUNCTION("ROUND(IFERROR(SUM(FILTER('Sprint 5'!S:S, (('Sprint 5'!J:J = ""Done"")) * ('Sprint 5'!E:E = ""Zan : Isarapong Bulan"")))/3600,0),2)"),1.0)</f>
        <v>1</v>
      </c>
      <c r="F15" s="224"/>
    </row>
    <row r="16" ht="22.5" customHeight="1">
      <c r="A16" s="218" t="s">
        <v>73</v>
      </c>
      <c r="B16" s="216">
        <f>IFERROR(__xludf.DUMMYFUNCTION("IFERROR(SUM(FILTER('Sprint 5'!O:O, ('Sprint 5'!E:E = ""Mai:Sateta Abvanawong""))),0)"),25.0)</f>
        <v>25</v>
      </c>
      <c r="C16" s="223">
        <f>IFERROR(__xludf.DUMMYFUNCTION("ROUND(IFERROR(SUM(FILTER('Sprint 5'!S:S, ('Sprint 5'!E:E = ""Mai:Sateta Abvanawong"")))/3600,0),2)"),33.0)</f>
        <v>33</v>
      </c>
      <c r="D16" s="216">
        <f>IFERROR(__xludf.DUMMYFUNCTION("IFERROR(SUM(FILTER('Sprint 5'!O:O, (('Sprint 5'!J:J = ""Done"")) * ('Sprint 5'!E:E = ""Mai:Sateta Abvanawong""))),0)"),10.0)</f>
        <v>10</v>
      </c>
      <c r="E16" s="223">
        <f>IFERROR(__xludf.DUMMYFUNCTION("ROUND(IFERROR(SUM(FILTER('Sprint 5'!S:S, (('Sprint 5'!J:J = ""Done"")) * ('Sprint 5'!E:E = ""Mai:Sateta Abvanawong""))),0)/3600,2)"),17.0)</f>
        <v>17</v>
      </c>
      <c r="F16" s="224"/>
    </row>
    <row r="17" ht="22.5" customHeight="1">
      <c r="A17" s="218" t="s">
        <v>74</v>
      </c>
      <c r="B17" s="216">
        <f>IFERROR(__xludf.DUMMYFUNCTION("IFERROR(SUM(FILTER('Sprint 5'!O:O, ('Sprint 5'!E:E = ""Jarupong Pawichpongkul""))),0)"),12.0)</f>
        <v>12</v>
      </c>
      <c r="C17" s="223">
        <f>IFERROR(__xludf.DUMMYFUNCTION("ROUND(IFERROR(SUM(FILTER('Sprint 5'!S:S, ('Sprint 5'!E:E = ""Jarupong Pawichpongkul"")))/3600,0),2)"),33.0)</f>
        <v>33</v>
      </c>
      <c r="D17" s="216">
        <f>IFERROR(__xludf.DUMMYFUNCTION("IFERROR(SUM(FILTER('Sprint 5'!O:O, (('Sprint 5'!J:J = ""Done"")) * ('Sprint 5'!E:E = ""Jarupong Pawichpongkul""))),0)"),3.0)</f>
        <v>3</v>
      </c>
      <c r="E17" s="223">
        <f>IFERROR(__xludf.DUMMYFUNCTION("ROUND(IFERROR(SUM(FILTER('Sprint 5'!S:S, (('Sprint 5'!J:J = ""Done"")) * ('Sprint 5'!E:E = ""Jarupong Pawichpongkul"")))/3600,0),2)"),8.0)</f>
        <v>8</v>
      </c>
      <c r="F17" s="224"/>
    </row>
    <row r="18" ht="22.5" customHeight="1">
      <c r="A18" s="218" t="s">
        <v>75</v>
      </c>
      <c r="B18" s="216">
        <f>IFERROR(__xludf.DUMMYFUNCTION("IFERROR(SUM(FILTER('Sprint 5'!O:O, ('Sprint 5'!E:E = ""Moss : Kittapath Sangvikukit""))),0)"),25.0)</f>
        <v>25</v>
      </c>
      <c r="C18" s="223">
        <f>IFERROR(__xludf.DUMMYFUNCTION("ROUND(IFERROR(SUM(FILTER('Sprint 5'!S:S, ('Sprint 5'!E:E = ""Moss : Kittapath Sangvikukit"")))/3600,0),2)"),32.0)</f>
        <v>32</v>
      </c>
      <c r="D18" s="216">
        <f>IFERROR(__xludf.DUMMYFUNCTION("IFERROR(SUM(FILTER('Sprint 5'!O:O, (('Sprint 5'!J:J = ""Done"")) * ('Sprint 5'!E:E = ""Moss : Kittapath Sangvikukit""))),0)"),9.0)</f>
        <v>9</v>
      </c>
      <c r="E18" s="223">
        <f>IFERROR(__xludf.DUMMYFUNCTION("ROUND(IFERROR(SUM(FILTER('Sprint 5'!S:S, (('Sprint 5'!J:J = ""Done"")) * ('Sprint 5'!E:E = ""Moss : Kittapath Sangvikukit"")))/3600,0),2)"),8.0)</f>
        <v>8</v>
      </c>
      <c r="F18" s="224"/>
    </row>
    <row r="19" ht="22.5" customHeight="1">
      <c r="A19" s="218" t="s">
        <v>28</v>
      </c>
      <c r="B19" s="216">
        <f>IFERROR(__xludf.DUMMYFUNCTION("IFERROR(SUM(FILTER('Sprint 5'!O:O, ('Sprint 5'!E:E = ""Jack:Warin Kesorn""))),0)"),14.0)</f>
        <v>14</v>
      </c>
      <c r="C19" s="223">
        <f>IFERROR(__xludf.DUMMYFUNCTION("ROUND(IFERROR(SUM(FILTER('Sprint 5'!S:S, ('Sprint 5'!E:E = ""Jack:Warin Kesorn"")))/3600,0),2)"),16.0)</f>
        <v>16</v>
      </c>
      <c r="D19" s="216">
        <f>IFERROR(__xludf.DUMMYFUNCTION("IFERROR(SUM(FILTER('Sprint 5'!O:O, (('Sprint 5'!J:J = ""Done"")) * ('Sprint 5'!E:E = ""Jack:Warin Kesorn""))),0)"),8.0)</f>
        <v>8</v>
      </c>
      <c r="E19" s="223">
        <f>IFERROR(__xludf.DUMMYFUNCTION("ROUND(IFERROR(SUM(FILTER('Sprint 5'!S:S, (('Sprint 5'!J:J = ""Done"")) * ('Sprint 5'!E:E = ""Jack:Warin Kesorn"")))/3600,0),2)"),0.0)</f>
        <v>0</v>
      </c>
      <c r="F19" s="224"/>
    </row>
    <row r="20" ht="22.5" customHeight="1">
      <c r="A20" s="218" t="s">
        <v>3616</v>
      </c>
      <c r="B20" s="216">
        <f>IFERROR(__xludf.DUMMYFUNCTION("IFERROR(SUM(FILTER('Sprint 5'!O:O, ('Sprint 5'!E:E = ""Art_narupontp""))),0)"),8.0)</f>
        <v>8</v>
      </c>
      <c r="C20" s="223">
        <f>IFERROR(__xludf.DUMMYFUNCTION("ROUND(IFERROR(SUM(FILTER('Sprint 5'!S:S, ('Sprint 5'!E:E = ""Art_narupontp"")))/3600,0),2)"),0.0)</f>
        <v>0</v>
      </c>
      <c r="D20" s="216">
        <f>IFERROR(__xludf.DUMMYFUNCTION("IFERROR(SUM(FILTER('Sprint 5'!O:O, (('Sprint 5'!J:J = ""Done"")) * ('Sprint 5'!E:E = ""Art_narupontp""))),0)"),0.0)</f>
        <v>0</v>
      </c>
      <c r="E20" s="223">
        <f>IFERROR(__xludf.DUMMYFUNCTION("ROUND(IFERROR(SUM(FILTER('Sprint 5'!S:S, (('Sprint 5'!J:J = ""Done"")) * ('Sprint 5'!E:E = ""Art_narupontp"")))/3600,0),2)"),0.0)</f>
        <v>0</v>
      </c>
      <c r="F20" s="224"/>
    </row>
    <row r="21">
      <c r="C21" s="125"/>
    </row>
    <row r="22">
      <c r="C22" s="125"/>
    </row>
    <row r="23">
      <c r="A23" s="126"/>
      <c r="B23" s="126"/>
      <c r="C23" s="126"/>
      <c r="D23" s="102"/>
      <c r="E23" s="102"/>
      <c r="F23" s="102"/>
    </row>
    <row r="24">
      <c r="A24" s="126"/>
      <c r="B24" s="126"/>
      <c r="C24" s="126"/>
      <c r="D24" s="102"/>
      <c r="E24" s="102"/>
      <c r="F24" s="102"/>
    </row>
    <row r="25">
      <c r="C25" s="125"/>
    </row>
    <row r="26">
      <c r="C26" s="125"/>
    </row>
    <row r="27">
      <c r="C27" s="125"/>
    </row>
    <row r="28">
      <c r="C28" s="125"/>
    </row>
    <row r="29">
      <c r="C29" s="125"/>
    </row>
    <row r="30">
      <c r="C30" s="125"/>
    </row>
    <row r="31">
      <c r="C31" s="125"/>
    </row>
    <row r="32">
      <c r="C32" s="125"/>
    </row>
    <row r="33">
      <c r="C33" s="125"/>
    </row>
    <row r="34">
      <c r="C34" s="125"/>
    </row>
    <row r="35">
      <c r="C35" s="125"/>
    </row>
    <row r="36">
      <c r="C36" s="125"/>
    </row>
    <row r="37">
      <c r="C37" s="125"/>
    </row>
    <row r="38">
      <c r="C38" s="125"/>
    </row>
    <row r="39">
      <c r="C39" s="125"/>
    </row>
    <row r="40">
      <c r="C40" s="125"/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  <row r="988">
      <c r="C988" s="125"/>
    </row>
    <row r="989">
      <c r="C989" s="125"/>
    </row>
    <row r="990">
      <c r="C990" s="125"/>
    </row>
    <row r="991">
      <c r="C991" s="125"/>
    </row>
    <row r="992">
      <c r="C992" s="125"/>
    </row>
    <row r="993">
      <c r="C993" s="125"/>
    </row>
    <row r="994">
      <c r="C994" s="125"/>
    </row>
    <row r="995">
      <c r="C995" s="125"/>
    </row>
    <row r="996">
      <c r="C996" s="125"/>
    </row>
    <row r="997">
      <c r="C997" s="125"/>
    </row>
    <row r="998">
      <c r="C998" s="125"/>
    </row>
    <row r="999">
      <c r="C999" s="125"/>
    </row>
    <row r="1000">
      <c r="C1000" s="125"/>
    </row>
    <row r="1001">
      <c r="C1001" s="125"/>
    </row>
    <row r="1002">
      <c r="C1002" s="125"/>
    </row>
    <row r="1003">
      <c r="C1003" s="125"/>
    </row>
    <row r="1004">
      <c r="C1004" s="125"/>
    </row>
    <row r="1005">
      <c r="C1005" s="125"/>
    </row>
    <row r="1006">
      <c r="C1006" s="125"/>
    </row>
  </sheetData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4" max="4" width="55.5"/>
    <col customWidth="1" min="17" max="17" width="21.38"/>
    <col customWidth="1" min="19" max="20" width="18.5"/>
    <col customWidth="1" min="21" max="21" width="23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49" t="s">
        <v>3245</v>
      </c>
      <c r="U1" s="115" t="s">
        <v>6</v>
      </c>
      <c r="V1" s="88"/>
      <c r="W1" s="88"/>
      <c r="X1" s="88"/>
      <c r="Y1" s="88"/>
      <c r="Z1" s="88"/>
    </row>
    <row r="2" hidden="1">
      <c r="A2" s="102" t="s">
        <v>276</v>
      </c>
      <c r="B2" s="102" t="s">
        <v>10220</v>
      </c>
      <c r="C2" s="229" t="s">
        <v>10221</v>
      </c>
      <c r="D2" s="102" t="s">
        <v>10222</v>
      </c>
      <c r="E2" s="102" t="s">
        <v>521</v>
      </c>
      <c r="F2" s="102" t="s">
        <v>522</v>
      </c>
      <c r="G2" s="102" t="s">
        <v>521</v>
      </c>
      <c r="H2" s="102" t="s">
        <v>522</v>
      </c>
      <c r="I2" s="102" t="s">
        <v>284</v>
      </c>
      <c r="J2" s="102" t="s">
        <v>34</v>
      </c>
      <c r="L2" s="229" t="s">
        <v>10223</v>
      </c>
      <c r="M2" s="229" t="s">
        <v>10427</v>
      </c>
      <c r="O2" s="230"/>
      <c r="R2" s="230"/>
      <c r="S2" s="247"/>
      <c r="T2" s="193" t="str">
        <f>IF(ISNUMBER(MATCH(C2, 'Sprint 4'!C:C, 0)), "มาจาก Sprint 4", "")</f>
        <v/>
      </c>
    </row>
    <row r="3" hidden="1">
      <c r="A3" s="102" t="s">
        <v>1465</v>
      </c>
      <c r="B3" s="102" t="s">
        <v>10428</v>
      </c>
      <c r="C3" s="229" t="s">
        <v>10429</v>
      </c>
      <c r="D3" s="102" t="s">
        <v>10430</v>
      </c>
      <c r="G3" s="102" t="s">
        <v>280</v>
      </c>
      <c r="H3" s="102" t="s">
        <v>281</v>
      </c>
      <c r="I3" s="102" t="s">
        <v>284</v>
      </c>
      <c r="J3" s="102" t="s">
        <v>63</v>
      </c>
      <c r="L3" s="229" t="s">
        <v>10431</v>
      </c>
      <c r="M3" s="229" t="s">
        <v>10432</v>
      </c>
      <c r="O3" s="230"/>
      <c r="R3" s="230"/>
      <c r="S3" s="247"/>
      <c r="T3" s="193" t="str">
        <f>IF(ISNUMBER(MATCH(C3, 'Sprint 4'!C:C, 0)), "มาจาก Sprint 4", "")</f>
        <v/>
      </c>
    </row>
    <row r="4" hidden="1">
      <c r="A4" s="102" t="s">
        <v>1459</v>
      </c>
      <c r="B4" s="102" t="s">
        <v>10433</v>
      </c>
      <c r="C4" s="229" t="s">
        <v>10434</v>
      </c>
      <c r="D4" s="102" t="s">
        <v>10435</v>
      </c>
      <c r="G4" s="102" t="s">
        <v>280</v>
      </c>
      <c r="H4" s="102" t="s">
        <v>281</v>
      </c>
      <c r="I4" s="102" t="s">
        <v>284</v>
      </c>
      <c r="J4" s="102" t="s">
        <v>34</v>
      </c>
      <c r="L4" s="229" t="s">
        <v>10436</v>
      </c>
      <c r="M4" s="229" t="s">
        <v>10437</v>
      </c>
      <c r="O4" s="230"/>
      <c r="R4" s="230"/>
      <c r="S4" s="247"/>
      <c r="T4" s="193" t="str">
        <f>IF(ISNUMBER(MATCH(C4, 'Sprint 4'!C:C, 0)), "มาจาก Sprint 4", "")</f>
        <v/>
      </c>
    </row>
    <row r="5" hidden="1">
      <c r="A5" s="102" t="s">
        <v>4306</v>
      </c>
      <c r="B5" s="102" t="s">
        <v>10438</v>
      </c>
      <c r="C5" s="229" t="s">
        <v>10439</v>
      </c>
      <c r="D5" s="102" t="s">
        <v>10440</v>
      </c>
      <c r="E5" s="102"/>
      <c r="F5" s="102"/>
      <c r="G5" s="102" t="s">
        <v>280</v>
      </c>
      <c r="H5" s="102" t="s">
        <v>281</v>
      </c>
      <c r="I5" s="102" t="s">
        <v>284</v>
      </c>
      <c r="J5" s="102" t="s">
        <v>63</v>
      </c>
      <c r="L5" s="229" t="s">
        <v>10441</v>
      </c>
      <c r="M5" s="229" t="s">
        <v>10432</v>
      </c>
      <c r="O5" s="230"/>
      <c r="R5" s="230"/>
      <c r="S5" s="247"/>
      <c r="T5" s="193" t="str">
        <f>IF(ISNUMBER(MATCH(C5, 'Sprint 4'!C:C, 0)), "มาจาก Sprint 4", "")</f>
        <v/>
      </c>
    </row>
    <row r="6" hidden="1">
      <c r="A6" s="102" t="s">
        <v>1459</v>
      </c>
      <c r="B6" s="102" t="s">
        <v>10442</v>
      </c>
      <c r="C6" s="229" t="s">
        <v>10443</v>
      </c>
      <c r="D6" s="102" t="s">
        <v>10444</v>
      </c>
      <c r="E6" s="102"/>
      <c r="F6" s="102"/>
      <c r="G6" s="102" t="s">
        <v>10445</v>
      </c>
      <c r="H6" s="102" t="s">
        <v>3289</v>
      </c>
      <c r="I6" s="102" t="s">
        <v>284</v>
      </c>
      <c r="J6" s="102" t="s">
        <v>63</v>
      </c>
      <c r="L6" s="229" t="s">
        <v>10446</v>
      </c>
      <c r="M6" s="229" t="s">
        <v>10446</v>
      </c>
      <c r="O6" s="230"/>
      <c r="R6" s="230"/>
      <c r="S6" s="247"/>
      <c r="T6" s="193" t="str">
        <f>IF(ISNUMBER(MATCH(C6, 'Sprint 4'!C:C, 0)), "มาจาก Sprint 4", "")</f>
        <v/>
      </c>
    </row>
    <row r="7" hidden="1">
      <c r="A7" s="102" t="s">
        <v>1465</v>
      </c>
      <c r="B7" s="102" t="s">
        <v>10447</v>
      </c>
      <c r="C7" s="229" t="s">
        <v>10448</v>
      </c>
      <c r="D7" s="102" t="s">
        <v>10449</v>
      </c>
      <c r="E7" s="102"/>
      <c r="F7" s="102"/>
      <c r="G7" s="102" t="s">
        <v>10445</v>
      </c>
      <c r="H7" s="102" t="s">
        <v>3289</v>
      </c>
      <c r="I7" s="102" t="s">
        <v>284</v>
      </c>
      <c r="J7" s="102" t="s">
        <v>63</v>
      </c>
      <c r="L7" s="229" t="s">
        <v>10446</v>
      </c>
      <c r="M7" s="229" t="s">
        <v>10446</v>
      </c>
      <c r="O7" s="230"/>
      <c r="R7" s="230"/>
      <c r="S7" s="247"/>
      <c r="T7" s="193" t="str">
        <f>IF(ISNUMBER(MATCH(C7, 'Sprint 4'!C:C, 0)), "มาจาก Sprint 4", "")</f>
        <v/>
      </c>
    </row>
    <row r="8" hidden="1">
      <c r="A8" s="102" t="s">
        <v>4306</v>
      </c>
      <c r="B8" s="102" t="s">
        <v>10450</v>
      </c>
      <c r="C8" s="229" t="s">
        <v>10451</v>
      </c>
      <c r="D8" s="102" t="s">
        <v>10452</v>
      </c>
      <c r="E8" s="102"/>
      <c r="F8" s="102"/>
      <c r="G8" s="102" t="s">
        <v>10445</v>
      </c>
      <c r="H8" s="102" t="s">
        <v>3289</v>
      </c>
      <c r="I8" s="102" t="s">
        <v>284</v>
      </c>
      <c r="J8" s="102" t="s">
        <v>63</v>
      </c>
      <c r="L8" s="229" t="s">
        <v>10453</v>
      </c>
      <c r="M8" s="229" t="s">
        <v>10453</v>
      </c>
      <c r="O8" s="230"/>
      <c r="R8" s="230"/>
      <c r="S8" s="247"/>
      <c r="T8" s="193" t="str">
        <f>IF(ISNUMBER(MATCH(C8, 'Sprint 4'!C:C, 0)), "มาจาก Sprint 4", "")</f>
        <v/>
      </c>
    </row>
    <row r="9" hidden="1">
      <c r="A9" s="102" t="s">
        <v>276</v>
      </c>
      <c r="B9" s="102" t="s">
        <v>10454</v>
      </c>
      <c r="C9" s="229" t="s">
        <v>10455</v>
      </c>
      <c r="D9" s="102" t="s">
        <v>347</v>
      </c>
      <c r="E9" s="102" t="s">
        <v>280</v>
      </c>
      <c r="F9" s="102" t="s">
        <v>281</v>
      </c>
      <c r="G9" s="102" t="s">
        <v>280</v>
      </c>
      <c r="H9" s="102" t="s">
        <v>281</v>
      </c>
      <c r="I9" s="102" t="s">
        <v>284</v>
      </c>
      <c r="J9" s="102" t="s">
        <v>63</v>
      </c>
      <c r="L9" s="229" t="s">
        <v>10456</v>
      </c>
      <c r="M9" s="229" t="s">
        <v>10456</v>
      </c>
      <c r="O9" s="230"/>
      <c r="R9" s="230"/>
      <c r="S9" s="247"/>
      <c r="T9" s="193" t="str">
        <f>IF(ISNUMBER(MATCH(C9, 'Sprint 4'!C:C, 0)), "มาจาก Sprint 4", "")</f>
        <v/>
      </c>
    </row>
    <row r="10" hidden="1">
      <c r="A10" s="102" t="s">
        <v>276</v>
      </c>
      <c r="B10" s="102" t="s">
        <v>10457</v>
      </c>
      <c r="C10" s="229" t="s">
        <v>10458</v>
      </c>
      <c r="D10" s="102" t="s">
        <v>347</v>
      </c>
      <c r="E10" s="102" t="s">
        <v>280</v>
      </c>
      <c r="F10" s="102" t="s">
        <v>281</v>
      </c>
      <c r="G10" s="102" t="s">
        <v>280</v>
      </c>
      <c r="H10" s="102" t="s">
        <v>281</v>
      </c>
      <c r="I10" s="102" t="s">
        <v>284</v>
      </c>
      <c r="J10" s="102" t="s">
        <v>34</v>
      </c>
      <c r="L10" s="229" t="s">
        <v>10459</v>
      </c>
      <c r="M10" s="229" t="s">
        <v>10432</v>
      </c>
      <c r="O10" s="230"/>
      <c r="R10" s="230"/>
      <c r="S10" s="247"/>
      <c r="T10" s="193" t="str">
        <f>IF(ISNUMBER(MATCH(C10, 'Sprint 4'!C:C, 0)), "มาจาก Sprint 4", "")</f>
        <v/>
      </c>
    </row>
    <row r="11" hidden="1">
      <c r="A11" s="102" t="s">
        <v>276</v>
      </c>
      <c r="B11" s="102" t="s">
        <v>10268</v>
      </c>
      <c r="C11" s="229" t="s">
        <v>10269</v>
      </c>
      <c r="D11" s="102" t="s">
        <v>347</v>
      </c>
      <c r="E11" s="102" t="s">
        <v>280</v>
      </c>
      <c r="F11" s="102" t="s">
        <v>281</v>
      </c>
      <c r="G11" s="102" t="s">
        <v>280</v>
      </c>
      <c r="H11" s="102" t="s">
        <v>281</v>
      </c>
      <c r="I11" s="102" t="s">
        <v>284</v>
      </c>
      <c r="J11" s="102" t="s">
        <v>63</v>
      </c>
      <c r="L11" s="229" t="s">
        <v>10270</v>
      </c>
      <c r="M11" s="229" t="s">
        <v>10270</v>
      </c>
      <c r="O11" s="230"/>
      <c r="R11" s="230"/>
      <c r="S11" s="247"/>
      <c r="T11" s="193" t="str">
        <f>IF(ISNUMBER(MATCH(C11, 'Sprint 4'!C:C, 0)), "มาจาก Sprint 4", "")</f>
        <v/>
      </c>
    </row>
    <row r="12" hidden="1">
      <c r="A12" s="102" t="s">
        <v>276</v>
      </c>
      <c r="B12" s="102" t="s">
        <v>10271</v>
      </c>
      <c r="C12" s="229" t="s">
        <v>10272</v>
      </c>
      <c r="D12" s="102" t="s">
        <v>2030</v>
      </c>
      <c r="E12" s="102" t="s">
        <v>280</v>
      </c>
      <c r="F12" s="102" t="s">
        <v>281</v>
      </c>
      <c r="G12" s="102" t="s">
        <v>280</v>
      </c>
      <c r="H12" s="102" t="s">
        <v>281</v>
      </c>
      <c r="I12" s="102" t="s">
        <v>284</v>
      </c>
      <c r="J12" s="102" t="s">
        <v>26</v>
      </c>
      <c r="L12" s="229" t="s">
        <v>10270</v>
      </c>
      <c r="M12" s="229" t="s">
        <v>10460</v>
      </c>
      <c r="O12" s="230"/>
      <c r="R12" s="230"/>
      <c r="S12" s="247"/>
      <c r="T12" s="193" t="str">
        <f>IF(ISNUMBER(MATCH(C12, 'Sprint 4'!C:C, 0)), "มาจาก Sprint 4", "")</f>
        <v/>
      </c>
    </row>
    <row r="13" hidden="1">
      <c r="A13" s="102" t="s">
        <v>276</v>
      </c>
      <c r="B13" s="102" t="s">
        <v>10278</v>
      </c>
      <c r="C13" s="229" t="s">
        <v>10279</v>
      </c>
      <c r="D13" s="102" t="s">
        <v>347</v>
      </c>
      <c r="E13" s="102" t="s">
        <v>280</v>
      </c>
      <c r="F13" s="102" t="s">
        <v>281</v>
      </c>
      <c r="G13" s="102" t="s">
        <v>280</v>
      </c>
      <c r="H13" s="102" t="s">
        <v>281</v>
      </c>
      <c r="I13" s="102" t="s">
        <v>284</v>
      </c>
      <c r="J13" s="102" t="s">
        <v>63</v>
      </c>
      <c r="L13" s="229" t="s">
        <v>10280</v>
      </c>
      <c r="M13" s="229" t="s">
        <v>10280</v>
      </c>
      <c r="O13" s="230"/>
      <c r="R13" s="230"/>
      <c r="S13" s="247"/>
      <c r="T13" s="193" t="str">
        <f>IF(ISNUMBER(MATCH(C13, 'Sprint 4'!C:C, 0)), "มาจาก Sprint 4", "")</f>
        <v/>
      </c>
    </row>
    <row r="14" hidden="1">
      <c r="A14" s="102" t="s">
        <v>332</v>
      </c>
      <c r="B14" s="102" t="s">
        <v>10461</v>
      </c>
      <c r="C14" s="229" t="s">
        <v>10462</v>
      </c>
      <c r="D14" s="102" t="s">
        <v>10463</v>
      </c>
      <c r="E14" s="102" t="s">
        <v>513</v>
      </c>
      <c r="F14" s="102" t="s">
        <v>514</v>
      </c>
      <c r="G14" s="102" t="s">
        <v>521</v>
      </c>
      <c r="H14" s="102" t="s">
        <v>522</v>
      </c>
      <c r="I14" s="102" t="s">
        <v>284</v>
      </c>
      <c r="J14" s="102" t="s">
        <v>336</v>
      </c>
      <c r="L14" s="229" t="s">
        <v>10464</v>
      </c>
      <c r="M14" s="229" t="s">
        <v>10465</v>
      </c>
      <c r="O14" s="102"/>
      <c r="P14" s="102"/>
      <c r="R14" s="102"/>
      <c r="S14" s="247"/>
      <c r="T14" s="193" t="str">
        <f>IF(ISNUMBER(MATCH(C14, 'Sprint 4'!C:C, 0)), "มาจาก Sprint 4", "")</f>
        <v/>
      </c>
    </row>
    <row r="15" hidden="1">
      <c r="A15" s="102" t="s">
        <v>276</v>
      </c>
      <c r="B15" s="102" t="s">
        <v>10466</v>
      </c>
      <c r="C15" s="229" t="s">
        <v>10467</v>
      </c>
      <c r="D15" s="102" t="s">
        <v>10468</v>
      </c>
      <c r="E15" s="102" t="s">
        <v>521</v>
      </c>
      <c r="F15" s="102" t="s">
        <v>522</v>
      </c>
      <c r="G15" s="102" t="s">
        <v>521</v>
      </c>
      <c r="H15" s="102" t="s">
        <v>522</v>
      </c>
      <c r="I15" s="102" t="s">
        <v>284</v>
      </c>
      <c r="J15" s="102" t="s">
        <v>26</v>
      </c>
      <c r="L15" s="229" t="s">
        <v>10469</v>
      </c>
      <c r="M15" s="229" t="s">
        <v>10470</v>
      </c>
      <c r="N15" s="102"/>
      <c r="O15" s="102"/>
      <c r="P15" s="102"/>
      <c r="R15" s="102"/>
      <c r="S15" s="247"/>
      <c r="T15" s="193" t="str">
        <f>IF(ISNUMBER(MATCH(C15, 'Sprint 4'!C:C, 0)), "มาจาก Sprint 4", "")</f>
        <v/>
      </c>
    </row>
    <row r="16" hidden="1">
      <c r="A16" s="102" t="s">
        <v>276</v>
      </c>
      <c r="B16" s="102" t="s">
        <v>10471</v>
      </c>
      <c r="C16" s="229" t="s">
        <v>10472</v>
      </c>
      <c r="D16" s="102" t="s">
        <v>10473</v>
      </c>
      <c r="E16" s="102" t="s">
        <v>521</v>
      </c>
      <c r="F16" s="102" t="s">
        <v>522</v>
      </c>
      <c r="G16" s="102" t="s">
        <v>521</v>
      </c>
      <c r="H16" s="102" t="s">
        <v>522</v>
      </c>
      <c r="I16" s="102" t="s">
        <v>284</v>
      </c>
      <c r="J16" s="102" t="s">
        <v>26</v>
      </c>
      <c r="L16" s="229" t="s">
        <v>10474</v>
      </c>
      <c r="M16" s="229" t="s">
        <v>10475</v>
      </c>
      <c r="O16" s="102"/>
      <c r="P16" s="102"/>
      <c r="R16" s="230"/>
      <c r="S16" s="247"/>
      <c r="T16" s="193" t="str">
        <f>IF(ISNUMBER(MATCH(C16, 'Sprint 4'!C:C, 0)), "มาจาก Sprint 4", "")</f>
        <v/>
      </c>
    </row>
    <row r="17" hidden="1">
      <c r="A17" s="102" t="s">
        <v>276</v>
      </c>
      <c r="B17" s="102" t="s">
        <v>10476</v>
      </c>
      <c r="C17" s="229" t="s">
        <v>10477</v>
      </c>
      <c r="D17" s="102" t="s">
        <v>10478</v>
      </c>
      <c r="E17" s="102" t="s">
        <v>521</v>
      </c>
      <c r="F17" s="102" t="s">
        <v>522</v>
      </c>
      <c r="G17" s="102" t="s">
        <v>521</v>
      </c>
      <c r="H17" s="102" t="s">
        <v>522</v>
      </c>
      <c r="I17" s="102" t="s">
        <v>284</v>
      </c>
      <c r="J17" s="102" t="s">
        <v>26</v>
      </c>
      <c r="L17" s="229" t="s">
        <v>10479</v>
      </c>
      <c r="M17" s="229" t="s">
        <v>10475</v>
      </c>
      <c r="O17" s="102"/>
      <c r="P17" s="102"/>
      <c r="Q17" s="102"/>
      <c r="R17" s="102"/>
      <c r="S17" s="247"/>
      <c r="T17" s="193" t="str">
        <f>IF(ISNUMBER(MATCH(C17, 'Sprint 4'!C:C, 0)), "มาจาก Sprint 4", "")</f>
        <v/>
      </c>
    </row>
    <row r="18" hidden="1">
      <c r="A18" s="102" t="s">
        <v>310</v>
      </c>
      <c r="B18" s="102" t="s">
        <v>10480</v>
      </c>
      <c r="C18" s="229" t="s">
        <v>10481</v>
      </c>
      <c r="D18" s="102" t="s">
        <v>10482</v>
      </c>
      <c r="E18" s="102" t="s">
        <v>282</v>
      </c>
      <c r="F18" s="102" t="s">
        <v>283</v>
      </c>
      <c r="G18" s="102" t="s">
        <v>316</v>
      </c>
      <c r="H18" s="102" t="s">
        <v>317</v>
      </c>
      <c r="I18" s="102" t="s">
        <v>284</v>
      </c>
      <c r="J18" s="102" t="s">
        <v>26</v>
      </c>
      <c r="L18" s="229" t="s">
        <v>10483</v>
      </c>
      <c r="M18" s="229" t="s">
        <v>10484</v>
      </c>
      <c r="O18" s="102">
        <v>1.0</v>
      </c>
      <c r="P18" s="102" t="s">
        <v>4656</v>
      </c>
      <c r="R18" s="230"/>
      <c r="S18" s="102">
        <v>1800.0</v>
      </c>
      <c r="T18" s="193" t="str">
        <f>IF(ISNUMBER(MATCH(C18, 'Sprint 4'!C:C, 0)), "มาจาก Sprint 4", "")</f>
        <v/>
      </c>
    </row>
    <row r="19" hidden="1">
      <c r="A19" s="102" t="s">
        <v>310</v>
      </c>
      <c r="B19" s="102" t="s">
        <v>10485</v>
      </c>
      <c r="C19" s="229" t="s">
        <v>10486</v>
      </c>
      <c r="D19" s="102" t="s">
        <v>10487</v>
      </c>
      <c r="E19" s="102" t="s">
        <v>282</v>
      </c>
      <c r="F19" s="102" t="s">
        <v>283</v>
      </c>
      <c r="G19" s="102" t="s">
        <v>316</v>
      </c>
      <c r="H19" s="102" t="s">
        <v>317</v>
      </c>
      <c r="I19" s="102" t="s">
        <v>515</v>
      </c>
      <c r="J19" s="102" t="s">
        <v>26</v>
      </c>
      <c r="L19" s="229" t="s">
        <v>10488</v>
      </c>
      <c r="M19" s="229" t="s">
        <v>10489</v>
      </c>
      <c r="N19" s="229" t="s">
        <v>10333</v>
      </c>
      <c r="O19" s="102">
        <v>1.0</v>
      </c>
      <c r="P19" s="102" t="s">
        <v>4656</v>
      </c>
      <c r="R19" s="230"/>
      <c r="S19" s="102">
        <v>1800.0</v>
      </c>
      <c r="T19" s="193" t="str">
        <f>IF(ISNUMBER(MATCH(C19, 'Sprint 4'!C:C, 0)), "มาจาก Sprint 4", "")</f>
        <v/>
      </c>
    </row>
    <row r="20" hidden="1">
      <c r="A20" s="102" t="s">
        <v>310</v>
      </c>
      <c r="B20" s="102" t="s">
        <v>10490</v>
      </c>
      <c r="C20" s="229" t="s">
        <v>10491</v>
      </c>
      <c r="D20" s="102" t="s">
        <v>10492</v>
      </c>
      <c r="E20" s="102" t="s">
        <v>314</v>
      </c>
      <c r="F20" s="102" t="s">
        <v>315</v>
      </c>
      <c r="G20" s="102" t="s">
        <v>353</v>
      </c>
      <c r="H20" s="102" t="s">
        <v>354</v>
      </c>
      <c r="I20" s="102" t="s">
        <v>284</v>
      </c>
      <c r="J20" s="102" t="s">
        <v>26</v>
      </c>
      <c r="L20" s="229" t="s">
        <v>10493</v>
      </c>
      <c r="M20" s="229" t="s">
        <v>10494</v>
      </c>
      <c r="O20" s="102">
        <v>1.0</v>
      </c>
      <c r="P20" s="102" t="s">
        <v>593</v>
      </c>
      <c r="R20" s="102"/>
      <c r="S20" s="102">
        <v>1800.0</v>
      </c>
      <c r="T20" s="193" t="str">
        <f>IF(ISNUMBER(MATCH(C20, 'Sprint 4'!C:C, 0)), "มาจาก Sprint 4", "")</f>
        <v/>
      </c>
    </row>
    <row r="21">
      <c r="A21" s="102" t="s">
        <v>310</v>
      </c>
      <c r="B21" s="102" t="s">
        <v>10495</v>
      </c>
      <c r="C21" s="229" t="s">
        <v>10496</v>
      </c>
      <c r="D21" s="102" t="s">
        <v>10497</v>
      </c>
      <c r="E21" s="102" t="s">
        <v>495</v>
      </c>
      <c r="F21" s="102" t="s">
        <v>496</v>
      </c>
      <c r="G21" s="102" t="s">
        <v>314</v>
      </c>
      <c r="H21" s="102" t="s">
        <v>315</v>
      </c>
      <c r="I21" s="102" t="s">
        <v>515</v>
      </c>
      <c r="J21" s="102" t="s">
        <v>26</v>
      </c>
      <c r="L21" s="229" t="s">
        <v>10498</v>
      </c>
      <c r="M21" s="229" t="s">
        <v>10499</v>
      </c>
      <c r="O21" s="102">
        <v>3.0</v>
      </c>
      <c r="P21" s="102" t="s">
        <v>593</v>
      </c>
      <c r="Q21" s="102" t="s">
        <v>651</v>
      </c>
      <c r="R21" s="230"/>
      <c r="S21" s="102">
        <v>28800.0</v>
      </c>
      <c r="T21" s="193" t="str">
        <f>IF(ISNUMBER(MATCH(C21, 'Sprint 4'!C:C, 0)), "มาจาก Sprint 4", "")</f>
        <v/>
      </c>
    </row>
    <row r="22" hidden="1">
      <c r="A22" s="102" t="s">
        <v>276</v>
      </c>
      <c r="B22" s="102" t="s">
        <v>10500</v>
      </c>
      <c r="C22" s="229" t="s">
        <v>10501</v>
      </c>
      <c r="D22" s="102" t="s">
        <v>10502</v>
      </c>
      <c r="E22" s="102" t="s">
        <v>521</v>
      </c>
      <c r="F22" s="102" t="s">
        <v>522</v>
      </c>
      <c r="G22" s="102" t="s">
        <v>521</v>
      </c>
      <c r="H22" s="102" t="s">
        <v>522</v>
      </c>
      <c r="I22" s="102" t="s">
        <v>284</v>
      </c>
      <c r="J22" s="102" t="s">
        <v>26</v>
      </c>
      <c r="L22" s="229" t="s">
        <v>10503</v>
      </c>
      <c r="M22" s="229" t="s">
        <v>10504</v>
      </c>
      <c r="O22" s="230"/>
      <c r="R22" s="230"/>
      <c r="S22" s="247"/>
      <c r="T22" s="193" t="str">
        <f>IF(ISNUMBER(MATCH(C22, 'Sprint 4'!C:C, 0)), "มาจาก Sprint 4", "")</f>
        <v/>
      </c>
    </row>
    <row r="23" hidden="1">
      <c r="A23" s="102" t="s">
        <v>276</v>
      </c>
      <c r="B23" s="102" t="s">
        <v>10505</v>
      </c>
      <c r="C23" s="229" t="s">
        <v>10506</v>
      </c>
      <c r="D23" s="102" t="s">
        <v>10507</v>
      </c>
      <c r="E23" s="102" t="s">
        <v>521</v>
      </c>
      <c r="F23" s="102" t="s">
        <v>522</v>
      </c>
      <c r="G23" s="102" t="s">
        <v>521</v>
      </c>
      <c r="H23" s="102" t="s">
        <v>522</v>
      </c>
      <c r="I23" s="102" t="s">
        <v>284</v>
      </c>
      <c r="J23" s="102" t="s">
        <v>26</v>
      </c>
      <c r="L23" s="229" t="s">
        <v>10508</v>
      </c>
      <c r="M23" s="229" t="s">
        <v>10509</v>
      </c>
      <c r="O23" s="230"/>
      <c r="R23" s="230"/>
      <c r="S23" s="247"/>
      <c r="T23" s="193" t="str">
        <f>IF(ISNUMBER(MATCH(C23, 'Sprint 4'!C:C, 0)), "มาจาก Sprint 4", "")</f>
        <v/>
      </c>
    </row>
    <row r="24" hidden="1">
      <c r="A24" s="102" t="s">
        <v>310</v>
      </c>
      <c r="B24" s="102" t="s">
        <v>10510</v>
      </c>
      <c r="C24" s="229" t="s">
        <v>10511</v>
      </c>
      <c r="D24" s="102" t="s">
        <v>10512</v>
      </c>
      <c r="E24" s="102" t="s">
        <v>282</v>
      </c>
      <c r="F24" s="102" t="s">
        <v>283</v>
      </c>
      <c r="G24" s="102" t="s">
        <v>316</v>
      </c>
      <c r="H24" s="102" t="s">
        <v>317</v>
      </c>
      <c r="I24" s="102" t="s">
        <v>515</v>
      </c>
      <c r="J24" s="102" t="s">
        <v>355</v>
      </c>
      <c r="L24" s="229" t="s">
        <v>10513</v>
      </c>
      <c r="M24" s="229" t="s">
        <v>10514</v>
      </c>
      <c r="O24" s="102">
        <v>2.0</v>
      </c>
      <c r="P24" s="102" t="s">
        <v>4656</v>
      </c>
      <c r="R24" s="230"/>
      <c r="S24" s="102">
        <v>12600.0</v>
      </c>
      <c r="T24" s="193" t="str">
        <f>IF(ISNUMBER(MATCH(C24, 'Sprint 4'!C:C, 0)), "มาจาก Sprint 4", "")</f>
        <v/>
      </c>
    </row>
    <row r="25" hidden="1">
      <c r="A25" s="102" t="s">
        <v>276</v>
      </c>
      <c r="B25" s="102" t="s">
        <v>10299</v>
      </c>
      <c r="C25" s="229" t="s">
        <v>10300</v>
      </c>
      <c r="D25" s="102" t="s">
        <v>10301</v>
      </c>
      <c r="E25" s="102" t="s">
        <v>521</v>
      </c>
      <c r="F25" s="102" t="s">
        <v>522</v>
      </c>
      <c r="G25" s="102" t="s">
        <v>10017</v>
      </c>
      <c r="H25" s="102" t="s">
        <v>10018</v>
      </c>
      <c r="I25" s="102" t="s">
        <v>284</v>
      </c>
      <c r="J25" s="102" t="s">
        <v>63</v>
      </c>
      <c r="L25" s="229" t="s">
        <v>10302</v>
      </c>
      <c r="M25" s="229" t="s">
        <v>10515</v>
      </c>
      <c r="O25" s="230"/>
      <c r="R25" s="230"/>
      <c r="S25" s="247"/>
      <c r="T25" s="193" t="str">
        <f>IF(ISNUMBER(MATCH(C25, 'Sprint 4'!C:C, 0)), "มาจาก Sprint 4", "")</f>
        <v/>
      </c>
    </row>
    <row r="26" hidden="1">
      <c r="A26" s="102" t="s">
        <v>276</v>
      </c>
      <c r="B26" s="102" t="s">
        <v>10015</v>
      </c>
      <c r="C26" s="229" t="s">
        <v>10016</v>
      </c>
      <c r="D26" s="102" t="s">
        <v>9735</v>
      </c>
      <c r="E26" s="102" t="s">
        <v>521</v>
      </c>
      <c r="F26" s="102" t="s">
        <v>522</v>
      </c>
      <c r="G26" s="102" t="s">
        <v>10017</v>
      </c>
      <c r="H26" s="102" t="s">
        <v>10018</v>
      </c>
      <c r="I26" s="102" t="s">
        <v>284</v>
      </c>
      <c r="J26" s="102" t="s">
        <v>63</v>
      </c>
      <c r="L26" s="229" t="s">
        <v>10019</v>
      </c>
      <c r="M26" s="229" t="s">
        <v>10019</v>
      </c>
      <c r="O26" s="230"/>
      <c r="R26" s="230"/>
      <c r="S26" s="247"/>
      <c r="T26" s="193" t="str">
        <f>IF(ISNUMBER(MATCH(C26, 'Sprint 4'!C:C, 0)), "มาจาก Sprint 4", "")</f>
        <v/>
      </c>
    </row>
    <row r="27" hidden="1">
      <c r="A27" s="102" t="s">
        <v>276</v>
      </c>
      <c r="B27" s="102" t="s">
        <v>10516</v>
      </c>
      <c r="C27" s="229" t="s">
        <v>10517</v>
      </c>
      <c r="D27" s="102" t="s">
        <v>10518</v>
      </c>
      <c r="E27" s="102" t="s">
        <v>521</v>
      </c>
      <c r="F27" s="102" t="s">
        <v>522</v>
      </c>
      <c r="G27" s="102" t="s">
        <v>10017</v>
      </c>
      <c r="H27" s="102" t="s">
        <v>10018</v>
      </c>
      <c r="I27" s="102" t="s">
        <v>284</v>
      </c>
      <c r="J27" s="102" t="s">
        <v>63</v>
      </c>
      <c r="L27" s="229" t="s">
        <v>10022</v>
      </c>
      <c r="M27" s="229" t="s">
        <v>10469</v>
      </c>
      <c r="O27" s="230"/>
      <c r="R27" s="230"/>
      <c r="S27" s="247"/>
      <c r="T27" s="193" t="str">
        <f>IF(ISNUMBER(MATCH(C27, 'Sprint 4'!C:C, 0)), "มาจาก Sprint 4", "")</f>
        <v/>
      </c>
    </row>
    <row r="28" hidden="1">
      <c r="A28" s="102" t="s">
        <v>276</v>
      </c>
      <c r="B28" s="102" t="s">
        <v>10020</v>
      </c>
      <c r="C28" s="229" t="s">
        <v>10021</v>
      </c>
      <c r="D28" s="102" t="s">
        <v>9735</v>
      </c>
      <c r="E28" s="102" t="s">
        <v>521</v>
      </c>
      <c r="F28" s="102" t="s">
        <v>522</v>
      </c>
      <c r="G28" s="102" t="s">
        <v>10017</v>
      </c>
      <c r="H28" s="102" t="s">
        <v>10018</v>
      </c>
      <c r="I28" s="102" t="s">
        <v>284</v>
      </c>
      <c r="J28" s="102" t="s">
        <v>63</v>
      </c>
      <c r="L28" s="229" t="s">
        <v>10022</v>
      </c>
      <c r="M28" s="229" t="s">
        <v>10022</v>
      </c>
      <c r="O28" s="230"/>
      <c r="R28" s="230"/>
      <c r="S28" s="247"/>
      <c r="T28" s="193" t="str">
        <f>IF(ISNUMBER(MATCH(C28, 'Sprint 4'!C:C, 0)), "มาจาก Sprint 4", "")</f>
        <v/>
      </c>
    </row>
    <row r="29" hidden="1">
      <c r="A29" s="102" t="s">
        <v>276</v>
      </c>
      <c r="B29" s="102" t="s">
        <v>10519</v>
      </c>
      <c r="C29" s="229" t="s">
        <v>10520</v>
      </c>
      <c r="D29" s="102" t="s">
        <v>9735</v>
      </c>
      <c r="E29" s="102" t="s">
        <v>521</v>
      </c>
      <c r="F29" s="102" t="s">
        <v>522</v>
      </c>
      <c r="G29" s="102" t="s">
        <v>10017</v>
      </c>
      <c r="H29" s="102" t="s">
        <v>10018</v>
      </c>
      <c r="I29" s="102" t="s">
        <v>284</v>
      </c>
      <c r="J29" s="102" t="s">
        <v>63</v>
      </c>
      <c r="L29" s="229" t="s">
        <v>10307</v>
      </c>
      <c r="M29" s="229" t="s">
        <v>10307</v>
      </c>
      <c r="O29" s="230"/>
      <c r="R29" s="230"/>
      <c r="S29" s="247"/>
      <c r="T29" s="193" t="str">
        <f>IF(ISNUMBER(MATCH(C29, 'Sprint 4'!C:C, 0)), "มาจาก Sprint 4", "")</f>
        <v/>
      </c>
    </row>
    <row r="30" hidden="1">
      <c r="A30" s="102" t="s">
        <v>276</v>
      </c>
      <c r="B30" s="102" t="s">
        <v>10521</v>
      </c>
      <c r="C30" s="229" t="s">
        <v>10522</v>
      </c>
      <c r="D30" s="102" t="s">
        <v>9735</v>
      </c>
      <c r="E30" s="102" t="s">
        <v>521</v>
      </c>
      <c r="F30" s="102" t="s">
        <v>522</v>
      </c>
      <c r="G30" s="102" t="s">
        <v>10017</v>
      </c>
      <c r="H30" s="102" t="s">
        <v>10018</v>
      </c>
      <c r="I30" s="102" t="s">
        <v>284</v>
      </c>
      <c r="J30" s="102" t="s">
        <v>63</v>
      </c>
      <c r="L30" s="229" t="s">
        <v>10307</v>
      </c>
      <c r="M30" s="229" t="s">
        <v>10307</v>
      </c>
      <c r="O30" s="230"/>
      <c r="R30" s="230"/>
      <c r="S30" s="247"/>
      <c r="T30" s="193" t="str">
        <f>IF(ISNUMBER(MATCH(C30, 'Sprint 4'!C:C, 0)), "มาจาก Sprint 4", "")</f>
        <v/>
      </c>
    </row>
    <row r="31" hidden="1">
      <c r="A31" s="102" t="s">
        <v>276</v>
      </c>
      <c r="B31" s="102" t="s">
        <v>10304</v>
      </c>
      <c r="C31" s="229" t="s">
        <v>10305</v>
      </c>
      <c r="D31" s="102" t="s">
        <v>10306</v>
      </c>
      <c r="E31" s="102" t="s">
        <v>521</v>
      </c>
      <c r="F31" s="102" t="s">
        <v>522</v>
      </c>
      <c r="G31" s="102" t="s">
        <v>10017</v>
      </c>
      <c r="H31" s="102" t="s">
        <v>10018</v>
      </c>
      <c r="I31" s="102" t="s">
        <v>284</v>
      </c>
      <c r="J31" s="102" t="s">
        <v>63</v>
      </c>
      <c r="L31" s="229" t="s">
        <v>10307</v>
      </c>
      <c r="M31" s="229" t="s">
        <v>10308</v>
      </c>
      <c r="O31" s="230"/>
      <c r="R31" s="230"/>
      <c r="S31" s="247"/>
      <c r="T31" s="193" t="str">
        <f>IF(ISNUMBER(MATCH(C31, 'Sprint 4'!C:C, 0)), "มาจาก Sprint 4", "")</f>
        <v/>
      </c>
    </row>
    <row r="32" hidden="1">
      <c r="A32" s="102" t="s">
        <v>276</v>
      </c>
      <c r="B32" s="102" t="s">
        <v>10523</v>
      </c>
      <c r="C32" s="229" t="s">
        <v>10524</v>
      </c>
      <c r="D32" s="102" t="s">
        <v>10525</v>
      </c>
      <c r="E32" s="102" t="s">
        <v>521</v>
      </c>
      <c r="F32" s="102" t="s">
        <v>522</v>
      </c>
      <c r="G32" s="102" t="s">
        <v>10017</v>
      </c>
      <c r="H32" s="102" t="s">
        <v>10018</v>
      </c>
      <c r="I32" s="102" t="s">
        <v>284</v>
      </c>
      <c r="J32" s="102" t="s">
        <v>26</v>
      </c>
      <c r="L32" s="229" t="s">
        <v>10526</v>
      </c>
      <c r="M32" s="229" t="s">
        <v>10527</v>
      </c>
      <c r="O32" s="230"/>
      <c r="R32" s="230"/>
      <c r="S32" s="247"/>
      <c r="T32" s="193" t="str">
        <f>IF(ISNUMBER(MATCH(C32, 'Sprint 4'!C:C, 0)), "มาจาก Sprint 4", "")</f>
        <v/>
      </c>
    </row>
    <row r="33" hidden="1">
      <c r="A33" s="102" t="s">
        <v>276</v>
      </c>
      <c r="B33" s="102" t="s">
        <v>10528</v>
      </c>
      <c r="C33" s="229" t="s">
        <v>10529</v>
      </c>
      <c r="D33" s="102" t="s">
        <v>10530</v>
      </c>
      <c r="E33" s="102" t="s">
        <v>521</v>
      </c>
      <c r="F33" s="102" t="s">
        <v>522</v>
      </c>
      <c r="G33" s="102" t="s">
        <v>10017</v>
      </c>
      <c r="H33" s="102" t="s">
        <v>10018</v>
      </c>
      <c r="I33" s="102" t="s">
        <v>284</v>
      </c>
      <c r="J33" s="102" t="s">
        <v>34</v>
      </c>
      <c r="L33" s="229" t="s">
        <v>10526</v>
      </c>
      <c r="M33" s="229" t="s">
        <v>10531</v>
      </c>
      <c r="O33" s="230"/>
      <c r="R33" s="230"/>
      <c r="S33" s="247"/>
      <c r="T33" s="193" t="str">
        <f>IF(ISNUMBER(MATCH(C33, 'Sprint 4'!C:C, 0)), "มาจาก Sprint 4", "")</f>
        <v/>
      </c>
    </row>
    <row r="34" hidden="1">
      <c r="A34" s="102" t="s">
        <v>276</v>
      </c>
      <c r="B34" s="102" t="s">
        <v>10532</v>
      </c>
      <c r="C34" s="229" t="s">
        <v>10533</v>
      </c>
      <c r="D34" s="102" t="s">
        <v>2030</v>
      </c>
      <c r="E34" s="102" t="s">
        <v>280</v>
      </c>
      <c r="F34" s="102" t="s">
        <v>281</v>
      </c>
      <c r="G34" s="102" t="s">
        <v>10017</v>
      </c>
      <c r="H34" s="102" t="s">
        <v>10018</v>
      </c>
      <c r="I34" s="102" t="s">
        <v>284</v>
      </c>
      <c r="J34" s="102" t="s">
        <v>26</v>
      </c>
      <c r="L34" s="229" t="s">
        <v>10526</v>
      </c>
      <c r="M34" s="229" t="s">
        <v>10534</v>
      </c>
      <c r="O34" s="230"/>
      <c r="R34" s="230"/>
      <c r="S34" s="247"/>
      <c r="T34" s="193" t="str">
        <f>IF(ISNUMBER(MATCH(C34, 'Sprint 4'!C:C, 0)), "มาจาก Sprint 4", "")</f>
        <v/>
      </c>
    </row>
    <row r="35" hidden="1">
      <c r="A35" s="102" t="s">
        <v>276</v>
      </c>
      <c r="B35" s="102" t="s">
        <v>10309</v>
      </c>
      <c r="C35" s="229" t="s">
        <v>10310</v>
      </c>
      <c r="D35" s="102" t="s">
        <v>10301</v>
      </c>
      <c r="E35" s="102" t="s">
        <v>521</v>
      </c>
      <c r="F35" s="102" t="s">
        <v>522</v>
      </c>
      <c r="G35" s="102" t="s">
        <v>10017</v>
      </c>
      <c r="H35" s="102" t="s">
        <v>10018</v>
      </c>
      <c r="I35" s="102" t="s">
        <v>284</v>
      </c>
      <c r="J35" s="102" t="s">
        <v>63</v>
      </c>
      <c r="L35" s="229" t="s">
        <v>10311</v>
      </c>
      <c r="M35" s="229" t="s">
        <v>10515</v>
      </c>
      <c r="O35" s="230"/>
      <c r="R35" s="230"/>
      <c r="S35" s="247"/>
      <c r="T35" s="193" t="str">
        <f>IF(ISNUMBER(MATCH(C35, 'Sprint 4'!C:C, 0)), "มาจาก Sprint 4", "")</f>
        <v/>
      </c>
    </row>
    <row r="36" hidden="1">
      <c r="A36" s="102" t="s">
        <v>276</v>
      </c>
      <c r="B36" s="102" t="s">
        <v>10535</v>
      </c>
      <c r="C36" s="229" t="s">
        <v>10536</v>
      </c>
      <c r="D36" s="102" t="s">
        <v>9735</v>
      </c>
      <c r="E36" s="102" t="s">
        <v>521</v>
      </c>
      <c r="F36" s="102" t="s">
        <v>522</v>
      </c>
      <c r="G36" s="102" t="s">
        <v>10017</v>
      </c>
      <c r="H36" s="102" t="s">
        <v>10018</v>
      </c>
      <c r="I36" s="102" t="s">
        <v>284</v>
      </c>
      <c r="J36" s="102" t="s">
        <v>63</v>
      </c>
      <c r="L36" s="229" t="s">
        <v>10315</v>
      </c>
      <c r="M36" s="229" t="s">
        <v>10315</v>
      </c>
      <c r="O36" s="230"/>
      <c r="R36" s="230"/>
      <c r="S36" s="247"/>
      <c r="T36" s="193" t="str">
        <f>IF(ISNUMBER(MATCH(C36, 'Sprint 4'!C:C, 0)), "มาจาก Sprint 4", "")</f>
        <v/>
      </c>
    </row>
    <row r="37" hidden="1">
      <c r="A37" s="102" t="s">
        <v>276</v>
      </c>
      <c r="B37" s="102" t="s">
        <v>10313</v>
      </c>
      <c r="C37" s="229" t="s">
        <v>10314</v>
      </c>
      <c r="D37" s="102" t="s">
        <v>10301</v>
      </c>
      <c r="E37" s="102" t="s">
        <v>521</v>
      </c>
      <c r="F37" s="102" t="s">
        <v>522</v>
      </c>
      <c r="G37" s="102" t="s">
        <v>10017</v>
      </c>
      <c r="H37" s="102" t="s">
        <v>10018</v>
      </c>
      <c r="I37" s="102" t="s">
        <v>284</v>
      </c>
      <c r="J37" s="102" t="s">
        <v>63</v>
      </c>
      <c r="L37" s="229" t="s">
        <v>10315</v>
      </c>
      <c r="M37" s="229" t="s">
        <v>10515</v>
      </c>
      <c r="O37" s="230"/>
      <c r="R37" s="230"/>
      <c r="S37" s="247"/>
      <c r="T37" s="193" t="str">
        <f>IF(ISNUMBER(MATCH(C37, 'Sprint 4'!C:C, 0)), "มาจาก Sprint 4", "")</f>
        <v/>
      </c>
    </row>
    <row r="38" hidden="1">
      <c r="A38" s="102" t="s">
        <v>276</v>
      </c>
      <c r="B38" s="102" t="s">
        <v>10317</v>
      </c>
      <c r="C38" s="229" t="s">
        <v>10318</v>
      </c>
      <c r="D38" s="102" t="s">
        <v>10301</v>
      </c>
      <c r="E38" s="102" t="s">
        <v>521</v>
      </c>
      <c r="F38" s="102" t="s">
        <v>522</v>
      </c>
      <c r="G38" s="102" t="s">
        <v>10017</v>
      </c>
      <c r="H38" s="102" t="s">
        <v>10018</v>
      </c>
      <c r="I38" s="102" t="s">
        <v>284</v>
      </c>
      <c r="J38" s="102" t="s">
        <v>63</v>
      </c>
      <c r="L38" s="229" t="s">
        <v>10319</v>
      </c>
      <c r="M38" s="229" t="s">
        <v>10515</v>
      </c>
      <c r="O38" s="230"/>
      <c r="R38" s="230"/>
      <c r="S38" s="247"/>
      <c r="T38" s="193" t="str">
        <f>IF(ISNUMBER(MATCH(C38, 'Sprint 4'!C:C, 0)), "มาจาก Sprint 4", "")</f>
        <v/>
      </c>
    </row>
    <row r="39" hidden="1">
      <c r="A39" s="102" t="s">
        <v>276</v>
      </c>
      <c r="B39" s="102" t="s">
        <v>10320</v>
      </c>
      <c r="C39" s="229" t="s">
        <v>10321</v>
      </c>
      <c r="D39" s="102" t="s">
        <v>10537</v>
      </c>
      <c r="E39" s="102" t="s">
        <v>521</v>
      </c>
      <c r="F39" s="102" t="s">
        <v>522</v>
      </c>
      <c r="G39" s="102" t="s">
        <v>10017</v>
      </c>
      <c r="H39" s="102" t="s">
        <v>10018</v>
      </c>
      <c r="I39" s="102" t="s">
        <v>284</v>
      </c>
      <c r="J39" s="102" t="s">
        <v>63</v>
      </c>
      <c r="L39" s="229" t="s">
        <v>10323</v>
      </c>
      <c r="M39" s="229" t="s">
        <v>10538</v>
      </c>
      <c r="O39" s="230"/>
      <c r="R39" s="230"/>
      <c r="S39" s="247"/>
      <c r="T39" s="193" t="str">
        <f>IF(ISNUMBER(MATCH(C39, 'Sprint 4'!C:C, 0)), "มาจาก Sprint 4", "")</f>
        <v/>
      </c>
    </row>
    <row r="40" hidden="1">
      <c r="A40" s="102" t="s">
        <v>276</v>
      </c>
      <c r="B40" s="102" t="s">
        <v>10539</v>
      </c>
      <c r="C40" s="229" t="s">
        <v>10540</v>
      </c>
      <c r="D40" s="102" t="s">
        <v>2030</v>
      </c>
      <c r="E40" s="102" t="s">
        <v>280</v>
      </c>
      <c r="F40" s="102" t="s">
        <v>281</v>
      </c>
      <c r="G40" s="102" t="s">
        <v>10017</v>
      </c>
      <c r="H40" s="102" t="s">
        <v>10018</v>
      </c>
      <c r="I40" s="102" t="s">
        <v>284</v>
      </c>
      <c r="J40" s="102" t="s">
        <v>26</v>
      </c>
      <c r="L40" s="229" t="s">
        <v>10323</v>
      </c>
      <c r="M40" s="229" t="s">
        <v>10541</v>
      </c>
      <c r="O40" s="230"/>
      <c r="R40" s="230"/>
      <c r="S40" s="247"/>
      <c r="T40" s="193" t="str">
        <f>IF(ISNUMBER(MATCH(C40, 'Sprint 4'!C:C, 0)), "มาจาก Sprint 4", "")</f>
        <v/>
      </c>
    </row>
    <row r="41" hidden="1">
      <c r="A41" s="102" t="s">
        <v>276</v>
      </c>
      <c r="B41" s="102" t="s">
        <v>10542</v>
      </c>
      <c r="C41" s="229" t="s">
        <v>10543</v>
      </c>
      <c r="D41" s="102" t="s">
        <v>10544</v>
      </c>
      <c r="E41" s="102" t="s">
        <v>521</v>
      </c>
      <c r="F41" s="102" t="s">
        <v>522</v>
      </c>
      <c r="G41" s="102" t="s">
        <v>10017</v>
      </c>
      <c r="H41" s="102" t="s">
        <v>10018</v>
      </c>
      <c r="I41" s="102" t="s">
        <v>284</v>
      </c>
      <c r="J41" s="102" t="s">
        <v>63</v>
      </c>
      <c r="L41" s="229" t="s">
        <v>10545</v>
      </c>
      <c r="M41" s="229" t="s">
        <v>10302</v>
      </c>
      <c r="O41" s="230"/>
      <c r="R41" s="230"/>
      <c r="S41" s="247"/>
      <c r="T41" s="193" t="str">
        <f>IF(ISNUMBER(MATCH(C41, 'Sprint 4'!C:C, 0)), "มาจาก Sprint 4", "")</f>
        <v/>
      </c>
    </row>
    <row r="42" hidden="1">
      <c r="A42" s="102" t="s">
        <v>276</v>
      </c>
      <c r="B42" s="102" t="s">
        <v>10325</v>
      </c>
      <c r="C42" s="229" t="s">
        <v>10326</v>
      </c>
      <c r="D42" s="102" t="s">
        <v>2030</v>
      </c>
      <c r="E42" s="102" t="s">
        <v>280</v>
      </c>
      <c r="F42" s="102" t="s">
        <v>281</v>
      </c>
      <c r="G42" s="102" t="s">
        <v>10017</v>
      </c>
      <c r="H42" s="102" t="s">
        <v>10018</v>
      </c>
      <c r="I42" s="102" t="s">
        <v>284</v>
      </c>
      <c r="J42" s="102" t="s">
        <v>26</v>
      </c>
      <c r="L42" s="229" t="s">
        <v>10327</v>
      </c>
      <c r="M42" s="229" t="s">
        <v>10546</v>
      </c>
      <c r="O42" s="230"/>
      <c r="R42" s="230"/>
      <c r="S42" s="247"/>
      <c r="T42" s="193" t="str">
        <f>IF(ISNUMBER(MATCH(C42, 'Sprint 4'!C:C, 0)), "มาจาก Sprint 4", "")</f>
        <v/>
      </c>
    </row>
    <row r="43" hidden="1">
      <c r="A43" s="102" t="s">
        <v>276</v>
      </c>
      <c r="B43" s="102" t="s">
        <v>10547</v>
      </c>
      <c r="C43" s="229" t="s">
        <v>10548</v>
      </c>
      <c r="D43" s="102" t="s">
        <v>10549</v>
      </c>
      <c r="E43" s="102" t="s">
        <v>10445</v>
      </c>
      <c r="F43" s="102" t="s">
        <v>3289</v>
      </c>
      <c r="G43" s="102" t="s">
        <v>10017</v>
      </c>
      <c r="H43" s="102" t="s">
        <v>10018</v>
      </c>
      <c r="I43" s="102" t="s">
        <v>284</v>
      </c>
      <c r="J43" s="102" t="s">
        <v>63</v>
      </c>
      <c r="L43" s="229" t="s">
        <v>10550</v>
      </c>
      <c r="M43" s="229" t="s">
        <v>10551</v>
      </c>
      <c r="O43" s="230"/>
      <c r="R43" s="230"/>
      <c r="S43" s="247"/>
      <c r="T43" s="193" t="str">
        <f>IF(ISNUMBER(MATCH(C43, 'Sprint 4'!C:C, 0)), "มาจาก Sprint 4", "")</f>
        <v/>
      </c>
    </row>
    <row r="44" hidden="1">
      <c r="A44" s="102" t="s">
        <v>276</v>
      </c>
      <c r="B44" s="102" t="s">
        <v>10552</v>
      </c>
      <c r="C44" s="229" t="s">
        <v>10553</v>
      </c>
      <c r="D44" s="102" t="s">
        <v>10554</v>
      </c>
      <c r="E44" s="102" t="s">
        <v>10445</v>
      </c>
      <c r="F44" s="102" t="s">
        <v>3289</v>
      </c>
      <c r="G44" s="102" t="s">
        <v>10017</v>
      </c>
      <c r="H44" s="102" t="s">
        <v>10018</v>
      </c>
      <c r="I44" s="102" t="s">
        <v>284</v>
      </c>
      <c r="J44" s="102" t="s">
        <v>63</v>
      </c>
      <c r="L44" s="229" t="s">
        <v>10555</v>
      </c>
      <c r="M44" s="229" t="s">
        <v>10556</v>
      </c>
      <c r="O44" s="230"/>
      <c r="R44" s="230"/>
      <c r="S44" s="247"/>
      <c r="T44" s="193" t="str">
        <f>IF(ISNUMBER(MATCH(C44, 'Sprint 4'!C:C, 0)), "มาจาก Sprint 4", "")</f>
        <v/>
      </c>
    </row>
    <row r="45" hidden="1">
      <c r="A45" s="102" t="s">
        <v>276</v>
      </c>
      <c r="B45" s="102" t="s">
        <v>10557</v>
      </c>
      <c r="C45" s="229" t="s">
        <v>10558</v>
      </c>
      <c r="D45" s="102" t="s">
        <v>10559</v>
      </c>
      <c r="E45" s="102" t="s">
        <v>10445</v>
      </c>
      <c r="F45" s="102" t="s">
        <v>3289</v>
      </c>
      <c r="G45" s="102" t="s">
        <v>10017</v>
      </c>
      <c r="H45" s="102" t="s">
        <v>10018</v>
      </c>
      <c r="I45" s="102" t="s">
        <v>284</v>
      </c>
      <c r="J45" s="102" t="s">
        <v>63</v>
      </c>
      <c r="L45" s="229" t="s">
        <v>10560</v>
      </c>
      <c r="M45" s="229" t="s">
        <v>10556</v>
      </c>
      <c r="O45" s="230"/>
      <c r="R45" s="230"/>
      <c r="S45" s="247"/>
      <c r="T45" s="193" t="str">
        <f>IF(ISNUMBER(MATCH(C45, 'Sprint 4'!C:C, 0)), "มาจาก Sprint 4", "")</f>
        <v/>
      </c>
    </row>
    <row r="46" hidden="1">
      <c r="A46" s="102" t="s">
        <v>276</v>
      </c>
      <c r="B46" s="102" t="s">
        <v>10561</v>
      </c>
      <c r="C46" s="229" t="s">
        <v>10562</v>
      </c>
      <c r="D46" s="102" t="s">
        <v>9735</v>
      </c>
      <c r="E46" s="102" t="s">
        <v>521</v>
      </c>
      <c r="F46" s="102" t="s">
        <v>522</v>
      </c>
      <c r="G46" s="102" t="s">
        <v>10017</v>
      </c>
      <c r="H46" s="102" t="s">
        <v>10018</v>
      </c>
      <c r="I46" s="102" t="s">
        <v>284</v>
      </c>
      <c r="J46" s="102" t="s">
        <v>63</v>
      </c>
      <c r="L46" s="229" t="s">
        <v>10563</v>
      </c>
      <c r="M46" s="229" t="s">
        <v>10563</v>
      </c>
      <c r="O46" s="230"/>
      <c r="R46" s="230"/>
      <c r="S46" s="247"/>
      <c r="T46" s="193" t="str">
        <f>IF(ISNUMBER(MATCH(C46, 'Sprint 4'!C:C, 0)), "มาจาก Sprint 4", "")</f>
        <v/>
      </c>
    </row>
    <row r="47" hidden="1">
      <c r="A47" s="102" t="s">
        <v>276</v>
      </c>
      <c r="B47" s="102" t="s">
        <v>10023</v>
      </c>
      <c r="C47" s="229" t="s">
        <v>10024</v>
      </c>
      <c r="D47" s="102" t="s">
        <v>9735</v>
      </c>
      <c r="E47" s="102" t="s">
        <v>521</v>
      </c>
      <c r="F47" s="102" t="s">
        <v>522</v>
      </c>
      <c r="G47" s="102" t="s">
        <v>10017</v>
      </c>
      <c r="H47" s="102" t="s">
        <v>10018</v>
      </c>
      <c r="I47" s="102" t="s">
        <v>284</v>
      </c>
      <c r="J47" s="102" t="s">
        <v>63</v>
      </c>
      <c r="L47" s="229" t="s">
        <v>10026</v>
      </c>
      <c r="M47" s="229" t="s">
        <v>10026</v>
      </c>
      <c r="O47" s="230"/>
      <c r="R47" s="230"/>
      <c r="S47" s="247"/>
      <c r="T47" s="193" t="str">
        <f>IF(ISNUMBER(MATCH(C47, 'Sprint 4'!C:C, 0)), "มาจาก Sprint 4", "")</f>
        <v/>
      </c>
    </row>
    <row r="48" hidden="1">
      <c r="A48" s="102" t="s">
        <v>276</v>
      </c>
      <c r="B48" s="102" t="s">
        <v>10564</v>
      </c>
      <c r="C48" s="229" t="s">
        <v>10565</v>
      </c>
      <c r="D48" s="102" t="s">
        <v>9735</v>
      </c>
      <c r="E48" s="102" t="s">
        <v>391</v>
      </c>
      <c r="F48" s="102" t="s">
        <v>392</v>
      </c>
      <c r="G48" s="102" t="s">
        <v>10017</v>
      </c>
      <c r="H48" s="102" t="s">
        <v>10018</v>
      </c>
      <c r="I48" s="102" t="s">
        <v>284</v>
      </c>
      <c r="J48" s="102" t="s">
        <v>63</v>
      </c>
      <c r="L48" s="229" t="s">
        <v>10566</v>
      </c>
      <c r="M48" s="229" t="s">
        <v>10567</v>
      </c>
      <c r="O48" s="230"/>
      <c r="R48" s="230"/>
      <c r="S48" s="247"/>
      <c r="T48" s="193" t="str">
        <f>IF(ISNUMBER(MATCH(C48, 'Sprint 4'!C:C, 0)), "มาจาก Sprint 4", "")</f>
        <v/>
      </c>
    </row>
    <row r="49" hidden="1">
      <c r="A49" s="102" t="s">
        <v>276</v>
      </c>
      <c r="B49" s="102" t="s">
        <v>10028</v>
      </c>
      <c r="C49" s="229" t="s">
        <v>10029</v>
      </c>
      <c r="D49" s="102" t="s">
        <v>9735</v>
      </c>
      <c r="E49" s="102" t="s">
        <v>391</v>
      </c>
      <c r="F49" s="102" t="s">
        <v>392</v>
      </c>
      <c r="G49" s="102" t="s">
        <v>10017</v>
      </c>
      <c r="H49" s="102" t="s">
        <v>10018</v>
      </c>
      <c r="I49" s="102" t="s">
        <v>284</v>
      </c>
      <c r="J49" s="102" t="s">
        <v>63</v>
      </c>
      <c r="L49" s="229" t="s">
        <v>10031</v>
      </c>
      <c r="M49" s="229" t="s">
        <v>10031</v>
      </c>
      <c r="N49" s="102"/>
      <c r="O49" s="102"/>
      <c r="R49" s="102"/>
      <c r="S49" s="247"/>
      <c r="T49" s="193" t="str">
        <f>IF(ISNUMBER(MATCH(C49, 'Sprint 4'!C:C, 0)), "มาจาก Sprint 4", "")</f>
        <v/>
      </c>
    </row>
    <row r="50" hidden="1">
      <c r="A50" s="102" t="s">
        <v>276</v>
      </c>
      <c r="B50" s="102" t="s">
        <v>10568</v>
      </c>
      <c r="C50" s="229" t="s">
        <v>10569</v>
      </c>
      <c r="D50" s="102" t="s">
        <v>9735</v>
      </c>
      <c r="E50" s="102" t="s">
        <v>391</v>
      </c>
      <c r="F50" s="102" t="s">
        <v>392</v>
      </c>
      <c r="G50" s="102" t="s">
        <v>10017</v>
      </c>
      <c r="H50" s="102" t="s">
        <v>10018</v>
      </c>
      <c r="I50" s="102" t="s">
        <v>284</v>
      </c>
      <c r="J50" s="102" t="s">
        <v>63</v>
      </c>
      <c r="L50" s="229" t="s">
        <v>10570</v>
      </c>
      <c r="M50" s="229" t="s">
        <v>10570</v>
      </c>
      <c r="O50" s="102"/>
      <c r="R50" s="230"/>
      <c r="S50" s="247"/>
      <c r="T50" s="193" t="str">
        <f>IF(ISNUMBER(MATCH(C50, 'Sprint 4'!C:C, 0)), "มาจาก Sprint 4", "")</f>
        <v/>
      </c>
    </row>
    <row r="51" hidden="1">
      <c r="A51" s="102" t="s">
        <v>276</v>
      </c>
      <c r="B51" s="102" t="s">
        <v>10571</v>
      </c>
      <c r="C51" s="229" t="s">
        <v>10572</v>
      </c>
      <c r="D51" s="102" t="s">
        <v>10573</v>
      </c>
      <c r="E51" s="102" t="s">
        <v>521</v>
      </c>
      <c r="F51" s="102" t="s">
        <v>522</v>
      </c>
      <c r="G51" s="102" t="s">
        <v>10017</v>
      </c>
      <c r="H51" s="102" t="s">
        <v>10018</v>
      </c>
      <c r="I51" s="102" t="s">
        <v>284</v>
      </c>
      <c r="J51" s="102" t="s">
        <v>26</v>
      </c>
      <c r="L51" s="229" t="s">
        <v>10574</v>
      </c>
      <c r="M51" s="229" t="s">
        <v>10575</v>
      </c>
      <c r="N51" s="102"/>
      <c r="O51" s="102"/>
      <c r="R51" s="230"/>
      <c r="S51" s="247"/>
      <c r="T51" s="193" t="str">
        <f>IF(ISNUMBER(MATCH(C51, 'Sprint 4'!C:C, 0)), "มาจาก Sprint 4", "")</f>
        <v/>
      </c>
    </row>
    <row r="52" hidden="1">
      <c r="A52" s="102" t="s">
        <v>276</v>
      </c>
      <c r="B52" s="102" t="s">
        <v>10576</v>
      </c>
      <c r="C52" s="229" t="s">
        <v>10577</v>
      </c>
      <c r="D52" s="102" t="s">
        <v>10578</v>
      </c>
      <c r="E52" s="102" t="s">
        <v>521</v>
      </c>
      <c r="F52" s="102" t="s">
        <v>522</v>
      </c>
      <c r="G52" s="102" t="s">
        <v>10017</v>
      </c>
      <c r="H52" s="102" t="s">
        <v>10018</v>
      </c>
      <c r="I52" s="102" t="s">
        <v>284</v>
      </c>
      <c r="J52" s="102" t="s">
        <v>26</v>
      </c>
      <c r="L52" s="229" t="s">
        <v>10574</v>
      </c>
      <c r="M52" s="229" t="s">
        <v>10579</v>
      </c>
      <c r="O52" s="230"/>
      <c r="R52" s="230"/>
      <c r="S52" s="247"/>
      <c r="T52" s="193" t="str">
        <f>IF(ISNUMBER(MATCH(C52, 'Sprint 4'!C:C, 0)), "มาจาก Sprint 4", "")</f>
        <v/>
      </c>
    </row>
    <row r="53" hidden="1">
      <c r="A53" s="102" t="s">
        <v>310</v>
      </c>
      <c r="B53" s="102" t="s">
        <v>10329</v>
      </c>
      <c r="C53" s="229" t="s">
        <v>10330</v>
      </c>
      <c r="D53" s="102" t="s">
        <v>10331</v>
      </c>
      <c r="E53" s="102" t="s">
        <v>10234</v>
      </c>
      <c r="F53" s="102" t="s">
        <v>565</v>
      </c>
      <c r="G53" s="102" t="s">
        <v>282</v>
      </c>
      <c r="H53" s="102" t="s">
        <v>283</v>
      </c>
      <c r="I53" s="102" t="s">
        <v>284</v>
      </c>
      <c r="J53" s="102" t="s">
        <v>454</v>
      </c>
      <c r="L53" s="229" t="s">
        <v>10332</v>
      </c>
      <c r="M53" s="229" t="s">
        <v>10580</v>
      </c>
      <c r="N53" s="229" t="s">
        <v>10333</v>
      </c>
      <c r="O53" s="102">
        <v>1.0</v>
      </c>
      <c r="P53" s="102" t="s">
        <v>593</v>
      </c>
      <c r="R53" s="102"/>
      <c r="S53" s="102">
        <v>3600.0</v>
      </c>
      <c r="T53" s="193" t="str">
        <f>IF(ISNUMBER(MATCH(C53, 'Sprint 4'!C:C, 0)), "มาจาก Sprint 4", "")</f>
        <v/>
      </c>
    </row>
    <row r="54" hidden="1">
      <c r="A54" s="102" t="s">
        <v>310</v>
      </c>
      <c r="B54" s="102" t="s">
        <v>10581</v>
      </c>
      <c r="C54" s="229" t="s">
        <v>10582</v>
      </c>
      <c r="D54" s="102" t="s">
        <v>10583</v>
      </c>
      <c r="E54" s="102" t="s">
        <v>314</v>
      </c>
      <c r="F54" s="102" t="s">
        <v>315</v>
      </c>
      <c r="G54" s="102" t="s">
        <v>314</v>
      </c>
      <c r="H54" s="102" t="s">
        <v>315</v>
      </c>
      <c r="I54" s="102" t="s">
        <v>284</v>
      </c>
      <c r="J54" s="102" t="s">
        <v>26</v>
      </c>
      <c r="L54" s="229" t="s">
        <v>10584</v>
      </c>
      <c r="M54" s="229" t="s">
        <v>10567</v>
      </c>
      <c r="O54" s="102">
        <v>1.0</v>
      </c>
      <c r="P54" s="102"/>
      <c r="R54" s="230"/>
      <c r="S54" s="247"/>
      <c r="T54" s="193" t="str">
        <f>IF(ISNUMBER(MATCH(C54, 'Sprint 4'!C:C, 0)), "มาจาก Sprint 4", "")</f>
        <v/>
      </c>
    </row>
    <row r="55" hidden="1">
      <c r="A55" s="102" t="s">
        <v>310</v>
      </c>
      <c r="B55" s="102" t="s">
        <v>10585</v>
      </c>
      <c r="C55" s="229" t="s">
        <v>10586</v>
      </c>
      <c r="D55" s="102" t="s">
        <v>10587</v>
      </c>
      <c r="E55" s="102" t="s">
        <v>10234</v>
      </c>
      <c r="F55" s="102" t="s">
        <v>565</v>
      </c>
      <c r="G55" s="102" t="s">
        <v>282</v>
      </c>
      <c r="H55" s="102" t="s">
        <v>283</v>
      </c>
      <c r="I55" s="102" t="s">
        <v>284</v>
      </c>
      <c r="J55" s="102" t="s">
        <v>678</v>
      </c>
      <c r="L55" s="229" t="s">
        <v>10588</v>
      </c>
      <c r="M55" s="229" t="s">
        <v>10589</v>
      </c>
      <c r="N55" s="229" t="s">
        <v>10352</v>
      </c>
      <c r="O55" s="102">
        <v>3.0</v>
      </c>
      <c r="P55" s="102"/>
      <c r="R55" s="230"/>
      <c r="S55" s="102">
        <v>14400.0</v>
      </c>
      <c r="T55" s="193" t="str">
        <f>IF(ISNUMBER(MATCH(C55, 'Sprint 4'!C:C, 0)), "มาจาก Sprint 4", "")</f>
        <v/>
      </c>
    </row>
    <row r="56" hidden="1">
      <c r="A56" s="102" t="s">
        <v>332</v>
      </c>
      <c r="B56" s="102" t="s">
        <v>10590</v>
      </c>
      <c r="C56" s="229" t="s">
        <v>10591</v>
      </c>
      <c r="D56" s="102" t="s">
        <v>10592</v>
      </c>
      <c r="E56" s="102" t="s">
        <v>353</v>
      </c>
      <c r="F56" s="102" t="s">
        <v>354</v>
      </c>
      <c r="G56" s="102" t="s">
        <v>391</v>
      </c>
      <c r="H56" s="102" t="s">
        <v>392</v>
      </c>
      <c r="I56" s="102" t="s">
        <v>284</v>
      </c>
      <c r="J56" s="102" t="s">
        <v>2318</v>
      </c>
      <c r="L56" s="229" t="s">
        <v>10593</v>
      </c>
      <c r="M56" s="229" t="s">
        <v>10594</v>
      </c>
      <c r="O56" s="230"/>
      <c r="R56" s="230"/>
      <c r="S56" s="247"/>
      <c r="T56" s="193" t="str">
        <f>IF(ISNUMBER(MATCH(C56, 'Sprint 4'!C:C, 0)), "มาจาก Sprint 4", "")</f>
        <v/>
      </c>
    </row>
    <row r="57" hidden="1">
      <c r="A57" s="102" t="s">
        <v>310</v>
      </c>
      <c r="B57" s="102" t="s">
        <v>10595</v>
      </c>
      <c r="C57" s="229" t="s">
        <v>10596</v>
      </c>
      <c r="D57" s="102" t="s">
        <v>10597</v>
      </c>
      <c r="E57" s="102" t="s">
        <v>556</v>
      </c>
      <c r="F57" s="102" t="s">
        <v>557</v>
      </c>
      <c r="G57" s="102" t="s">
        <v>282</v>
      </c>
      <c r="H57" s="102" t="s">
        <v>283</v>
      </c>
      <c r="I57" s="102" t="s">
        <v>318</v>
      </c>
      <c r="J57" s="102" t="s">
        <v>26</v>
      </c>
      <c r="L57" s="229" t="s">
        <v>10598</v>
      </c>
      <c r="M57" s="229" t="s">
        <v>10599</v>
      </c>
      <c r="N57" s="229" t="s">
        <v>10600</v>
      </c>
      <c r="O57" s="102">
        <v>1.0</v>
      </c>
      <c r="P57" s="102" t="s">
        <v>7593</v>
      </c>
      <c r="R57" s="230"/>
      <c r="S57" s="102">
        <v>3600.0</v>
      </c>
      <c r="T57" s="193" t="str">
        <f>IF(ISNUMBER(MATCH(C57, 'Sprint 4'!C:C, 0)), "มาจาก Sprint 4", "")</f>
        <v/>
      </c>
    </row>
    <row r="58" hidden="1">
      <c r="A58" s="102" t="s">
        <v>310</v>
      </c>
      <c r="B58" s="102" t="s">
        <v>10033</v>
      </c>
      <c r="C58" s="229" t="s">
        <v>10034</v>
      </c>
      <c r="D58" s="102" t="s">
        <v>10035</v>
      </c>
      <c r="E58" s="102" t="s">
        <v>556</v>
      </c>
      <c r="F58" s="102" t="s">
        <v>557</v>
      </c>
      <c r="G58" s="102" t="s">
        <v>282</v>
      </c>
      <c r="H58" s="102" t="s">
        <v>283</v>
      </c>
      <c r="I58" s="102" t="s">
        <v>284</v>
      </c>
      <c r="J58" s="102" t="s">
        <v>63</v>
      </c>
      <c r="L58" s="229" t="s">
        <v>10036</v>
      </c>
      <c r="M58" s="229" t="s">
        <v>10601</v>
      </c>
      <c r="N58" s="102"/>
      <c r="O58" s="102">
        <v>3.0</v>
      </c>
      <c r="P58" s="102" t="s">
        <v>777</v>
      </c>
      <c r="Q58" s="102" t="s">
        <v>10038</v>
      </c>
      <c r="R58" s="102"/>
      <c r="S58" s="102">
        <v>28800.0</v>
      </c>
      <c r="T58" s="193" t="str">
        <f>IF(ISNUMBER(MATCH(C58, 'Sprint 4'!C:C, 0)), "มาจาก Sprint 4", "")</f>
        <v/>
      </c>
    </row>
    <row r="59" hidden="1">
      <c r="A59" s="102" t="s">
        <v>332</v>
      </c>
      <c r="B59" s="102" t="s">
        <v>10602</v>
      </c>
      <c r="C59" s="229" t="s">
        <v>10603</v>
      </c>
      <c r="D59" s="102" t="s">
        <v>10604</v>
      </c>
      <c r="E59" s="102" t="s">
        <v>10234</v>
      </c>
      <c r="F59" s="102" t="s">
        <v>565</v>
      </c>
      <c r="G59" s="102" t="s">
        <v>391</v>
      </c>
      <c r="H59" s="102" t="s">
        <v>392</v>
      </c>
      <c r="I59" s="102" t="s">
        <v>515</v>
      </c>
      <c r="J59" s="102" t="s">
        <v>336</v>
      </c>
      <c r="L59" s="229" t="s">
        <v>10605</v>
      </c>
      <c r="M59" s="229" t="s">
        <v>10606</v>
      </c>
      <c r="N59" s="229" t="s">
        <v>10600</v>
      </c>
      <c r="O59" s="102"/>
      <c r="P59" s="102" t="s">
        <v>10607</v>
      </c>
      <c r="R59" s="102"/>
      <c r="S59" s="247"/>
      <c r="T59" s="193" t="str">
        <f>IF(ISNUMBER(MATCH(C59, 'Sprint 4'!C:C, 0)), "มาจาก Sprint 4", "")</f>
        <v/>
      </c>
    </row>
    <row r="60" hidden="1">
      <c r="A60" s="102" t="s">
        <v>310</v>
      </c>
      <c r="B60" s="102" t="s">
        <v>9580</v>
      </c>
      <c r="C60" s="229" t="s">
        <v>9581</v>
      </c>
      <c r="D60" s="102" t="s">
        <v>9582</v>
      </c>
      <c r="E60" s="102" t="s">
        <v>353</v>
      </c>
      <c r="F60" s="102" t="s">
        <v>354</v>
      </c>
      <c r="G60" s="102" t="s">
        <v>353</v>
      </c>
      <c r="H60" s="102" t="s">
        <v>354</v>
      </c>
      <c r="I60" s="102" t="s">
        <v>284</v>
      </c>
      <c r="J60" s="102" t="s">
        <v>34</v>
      </c>
      <c r="L60" s="229" t="s">
        <v>9583</v>
      </c>
      <c r="M60" s="229" t="s">
        <v>10608</v>
      </c>
      <c r="O60" s="102">
        <v>3.0</v>
      </c>
      <c r="P60" s="102"/>
      <c r="R60" s="230"/>
      <c r="S60" s="247"/>
      <c r="T60" s="193" t="str">
        <f>IF(ISNUMBER(MATCH(C60, 'Sprint 4'!C:C, 0)), "มาจาก Sprint 4", "")</f>
        <v/>
      </c>
    </row>
    <row r="61" hidden="1">
      <c r="A61" s="102" t="s">
        <v>310</v>
      </c>
      <c r="B61" s="102" t="s">
        <v>10336</v>
      </c>
      <c r="C61" s="229" t="s">
        <v>10337</v>
      </c>
      <c r="D61" s="102" t="s">
        <v>10338</v>
      </c>
      <c r="E61" s="102" t="s">
        <v>282</v>
      </c>
      <c r="F61" s="102" t="s">
        <v>283</v>
      </c>
      <c r="G61" s="102" t="s">
        <v>314</v>
      </c>
      <c r="H61" s="102" t="s">
        <v>315</v>
      </c>
      <c r="I61" s="102" t="s">
        <v>515</v>
      </c>
      <c r="J61" s="102" t="s">
        <v>454</v>
      </c>
      <c r="L61" s="229" t="s">
        <v>10339</v>
      </c>
      <c r="M61" s="229" t="s">
        <v>10609</v>
      </c>
      <c r="O61" s="102">
        <v>3.0</v>
      </c>
      <c r="P61" s="102" t="s">
        <v>777</v>
      </c>
      <c r="R61" s="230"/>
      <c r="S61" s="102">
        <v>28800.0</v>
      </c>
      <c r="T61" s="193" t="str">
        <f>IF(ISNUMBER(MATCH(C61, 'Sprint 4'!C:C, 0)), "มาจาก Sprint 4", "")</f>
        <v/>
      </c>
    </row>
    <row r="62" hidden="1">
      <c r="A62" s="102" t="s">
        <v>310</v>
      </c>
      <c r="B62" s="102" t="s">
        <v>10610</v>
      </c>
      <c r="C62" s="229" t="s">
        <v>10611</v>
      </c>
      <c r="D62" s="102" t="s">
        <v>10612</v>
      </c>
      <c r="E62" s="102" t="s">
        <v>556</v>
      </c>
      <c r="F62" s="102" t="s">
        <v>557</v>
      </c>
      <c r="G62" s="102" t="s">
        <v>314</v>
      </c>
      <c r="H62" s="102" t="s">
        <v>315</v>
      </c>
      <c r="I62" s="102" t="s">
        <v>515</v>
      </c>
      <c r="J62" s="102" t="s">
        <v>26</v>
      </c>
      <c r="L62" s="229" t="s">
        <v>10613</v>
      </c>
      <c r="M62" s="229" t="s">
        <v>10608</v>
      </c>
      <c r="N62" s="229" t="s">
        <v>10614</v>
      </c>
      <c r="O62" s="102">
        <v>2.0</v>
      </c>
      <c r="P62" s="102" t="s">
        <v>1305</v>
      </c>
      <c r="Q62" s="102" t="s">
        <v>593</v>
      </c>
      <c r="R62" s="230"/>
      <c r="S62" s="102">
        <v>14400.0</v>
      </c>
      <c r="T62" s="193" t="str">
        <f>IF(ISNUMBER(MATCH(C62, 'Sprint 4'!C:C, 0)), "มาจาก Sprint 4", "")</f>
        <v/>
      </c>
    </row>
    <row r="63" hidden="1">
      <c r="A63" s="102" t="s">
        <v>310</v>
      </c>
      <c r="B63" s="102" t="s">
        <v>10615</v>
      </c>
      <c r="C63" s="229" t="s">
        <v>10616</v>
      </c>
      <c r="D63" s="102" t="s">
        <v>10617</v>
      </c>
      <c r="E63" s="102" t="s">
        <v>513</v>
      </c>
      <c r="F63" s="102" t="s">
        <v>514</v>
      </c>
      <c r="G63" s="102" t="s">
        <v>314</v>
      </c>
      <c r="H63" s="102" t="s">
        <v>315</v>
      </c>
      <c r="I63" s="102" t="s">
        <v>284</v>
      </c>
      <c r="J63" s="102" t="s">
        <v>26</v>
      </c>
      <c r="L63" s="229" t="s">
        <v>10618</v>
      </c>
      <c r="M63" s="229" t="s">
        <v>10619</v>
      </c>
      <c r="N63" s="229" t="s">
        <v>10333</v>
      </c>
      <c r="O63" s="102">
        <v>1.0</v>
      </c>
      <c r="P63" s="102" t="s">
        <v>593</v>
      </c>
      <c r="R63" s="230"/>
      <c r="S63" s="102">
        <v>3600.0</v>
      </c>
      <c r="T63" s="193" t="str">
        <f>IF(ISNUMBER(MATCH(C63, 'Sprint 4'!C:C, 0)), "มาจาก Sprint 4", "")</f>
        <v/>
      </c>
    </row>
    <row r="64" hidden="1">
      <c r="A64" s="102" t="s">
        <v>310</v>
      </c>
      <c r="B64" s="102" t="s">
        <v>10039</v>
      </c>
      <c r="C64" s="229" t="s">
        <v>10040</v>
      </c>
      <c r="D64" s="102" t="s">
        <v>10620</v>
      </c>
      <c r="E64" s="102"/>
      <c r="F64" s="102"/>
      <c r="G64" s="102" t="s">
        <v>10144</v>
      </c>
      <c r="H64" s="102" t="s">
        <v>305</v>
      </c>
      <c r="I64" s="102" t="s">
        <v>284</v>
      </c>
      <c r="J64" s="102" t="s">
        <v>63</v>
      </c>
      <c r="L64" s="229" t="s">
        <v>10042</v>
      </c>
      <c r="M64" s="229" t="s">
        <v>10599</v>
      </c>
      <c r="O64" s="102"/>
      <c r="P64" s="102" t="s">
        <v>435</v>
      </c>
      <c r="Q64" s="102"/>
      <c r="R64" s="102"/>
      <c r="S64" s="247"/>
      <c r="T64" s="193" t="str">
        <f>IF(ISNUMBER(MATCH(C64, 'Sprint 4'!C:C, 0)), "มาจาก Sprint 4", "")</f>
        <v/>
      </c>
    </row>
    <row r="65" hidden="1">
      <c r="A65" s="102" t="s">
        <v>310</v>
      </c>
      <c r="B65" s="102" t="s">
        <v>10044</v>
      </c>
      <c r="C65" s="229" t="s">
        <v>10045</v>
      </c>
      <c r="D65" s="102" t="s">
        <v>10046</v>
      </c>
      <c r="E65" s="102"/>
      <c r="F65" s="102"/>
      <c r="G65" s="102" t="s">
        <v>10144</v>
      </c>
      <c r="H65" s="102" t="s">
        <v>305</v>
      </c>
      <c r="I65" s="102" t="s">
        <v>284</v>
      </c>
      <c r="J65" s="102" t="s">
        <v>63</v>
      </c>
      <c r="L65" s="229" t="s">
        <v>10047</v>
      </c>
      <c r="M65" s="229" t="s">
        <v>10599</v>
      </c>
      <c r="O65" s="102"/>
      <c r="P65" s="102" t="s">
        <v>435</v>
      </c>
      <c r="R65" s="230"/>
      <c r="S65" s="247"/>
      <c r="T65" s="193" t="str">
        <f>IF(ISNUMBER(MATCH(C65, 'Sprint 4'!C:C, 0)), "มาจาก Sprint 4", "")</f>
        <v/>
      </c>
    </row>
    <row r="66" hidden="1">
      <c r="A66" s="102" t="s">
        <v>310</v>
      </c>
      <c r="B66" s="102" t="s">
        <v>10621</v>
      </c>
      <c r="C66" s="229" t="s">
        <v>10622</v>
      </c>
      <c r="D66" s="102" t="s">
        <v>10623</v>
      </c>
      <c r="E66" s="102"/>
      <c r="F66" s="102"/>
      <c r="G66" s="102" t="s">
        <v>10144</v>
      </c>
      <c r="H66" s="102" t="s">
        <v>305</v>
      </c>
      <c r="I66" s="102" t="s">
        <v>284</v>
      </c>
      <c r="J66" s="102" t="s">
        <v>63</v>
      </c>
      <c r="L66" s="229" t="s">
        <v>10624</v>
      </c>
      <c r="M66" s="229" t="s">
        <v>10599</v>
      </c>
      <c r="O66" s="230"/>
      <c r="R66" s="230"/>
      <c r="S66" s="247"/>
      <c r="T66" s="193" t="str">
        <f>IF(ISNUMBER(MATCH(C66, 'Sprint 4'!C:C, 0)), "มาจาก Sprint 4", "")</f>
        <v/>
      </c>
    </row>
    <row r="67" hidden="1">
      <c r="A67" s="102" t="s">
        <v>310</v>
      </c>
      <c r="B67" s="102" t="s">
        <v>10625</v>
      </c>
      <c r="C67" s="229" t="s">
        <v>10626</v>
      </c>
      <c r="D67" s="102" t="s">
        <v>10627</v>
      </c>
      <c r="E67" s="102"/>
      <c r="F67" s="102"/>
      <c r="G67" s="102" t="s">
        <v>10144</v>
      </c>
      <c r="H67" s="102" t="s">
        <v>305</v>
      </c>
      <c r="I67" s="102" t="s">
        <v>284</v>
      </c>
      <c r="J67" s="102" t="s">
        <v>63</v>
      </c>
      <c r="L67" s="229" t="s">
        <v>10628</v>
      </c>
      <c r="M67" s="229" t="s">
        <v>10599</v>
      </c>
      <c r="O67" s="102"/>
      <c r="P67" s="102" t="s">
        <v>538</v>
      </c>
      <c r="R67" s="230"/>
      <c r="S67" s="247"/>
      <c r="T67" s="193" t="str">
        <f>IF(ISNUMBER(MATCH(C67, 'Sprint 4'!C:C, 0)), "มาจาก Sprint 4", "")</f>
        <v/>
      </c>
    </row>
    <row r="68" hidden="1">
      <c r="A68" s="102" t="s">
        <v>310</v>
      </c>
      <c r="B68" s="102" t="s">
        <v>10049</v>
      </c>
      <c r="C68" s="229" t="s">
        <v>10050</v>
      </c>
      <c r="D68" s="102" t="s">
        <v>10051</v>
      </c>
      <c r="E68" s="102" t="s">
        <v>513</v>
      </c>
      <c r="F68" s="102" t="s">
        <v>514</v>
      </c>
      <c r="G68" s="102" t="s">
        <v>10144</v>
      </c>
      <c r="H68" s="102" t="s">
        <v>305</v>
      </c>
      <c r="I68" s="102" t="s">
        <v>648</v>
      </c>
      <c r="J68" s="102" t="s">
        <v>678</v>
      </c>
      <c r="L68" s="229" t="s">
        <v>10052</v>
      </c>
      <c r="M68" s="229" t="s">
        <v>10629</v>
      </c>
      <c r="O68" s="102">
        <v>1.0</v>
      </c>
      <c r="P68" s="102" t="s">
        <v>7593</v>
      </c>
      <c r="Q68" s="102" t="s">
        <v>5542</v>
      </c>
      <c r="R68" s="230"/>
      <c r="S68" s="102">
        <v>7200.0</v>
      </c>
      <c r="T68" s="193" t="str">
        <f>IF(ISNUMBER(MATCH(C68, 'Sprint 4'!C:C, 0)), "มาจาก Sprint 4", "")</f>
        <v/>
      </c>
    </row>
    <row r="69" hidden="1">
      <c r="A69" s="102" t="s">
        <v>310</v>
      </c>
      <c r="B69" s="102" t="s">
        <v>10630</v>
      </c>
      <c r="C69" s="229" t="s">
        <v>10631</v>
      </c>
      <c r="D69" s="102" t="s">
        <v>10632</v>
      </c>
      <c r="E69" s="102" t="s">
        <v>10144</v>
      </c>
      <c r="F69" s="102" t="s">
        <v>305</v>
      </c>
      <c r="G69" s="102" t="s">
        <v>10144</v>
      </c>
      <c r="H69" s="102" t="s">
        <v>305</v>
      </c>
      <c r="I69" s="102" t="s">
        <v>284</v>
      </c>
      <c r="J69" s="102" t="s">
        <v>26</v>
      </c>
      <c r="L69" s="229" t="s">
        <v>10633</v>
      </c>
      <c r="M69" s="229" t="s">
        <v>10634</v>
      </c>
      <c r="N69" s="102"/>
      <c r="O69" s="102">
        <v>3.0</v>
      </c>
      <c r="P69" s="102" t="s">
        <v>1612</v>
      </c>
      <c r="R69" s="230"/>
      <c r="S69" s="247"/>
      <c r="T69" s="193" t="str">
        <f>IF(ISNUMBER(MATCH(C69, 'Sprint 4'!C:C, 0)), "มาจาก Sprint 4", "")</f>
        <v/>
      </c>
    </row>
    <row r="70" hidden="1">
      <c r="A70" s="102" t="s">
        <v>332</v>
      </c>
      <c r="B70" s="102" t="s">
        <v>10635</v>
      </c>
      <c r="C70" s="229" t="s">
        <v>10636</v>
      </c>
      <c r="D70" s="102" t="s">
        <v>10637</v>
      </c>
      <c r="E70" s="102" t="s">
        <v>10234</v>
      </c>
      <c r="F70" s="102" t="s">
        <v>565</v>
      </c>
      <c r="G70" s="102" t="s">
        <v>521</v>
      </c>
      <c r="H70" s="102" t="s">
        <v>522</v>
      </c>
      <c r="I70" s="102" t="s">
        <v>284</v>
      </c>
      <c r="J70" s="102" t="s">
        <v>336</v>
      </c>
      <c r="L70" s="229" t="s">
        <v>10638</v>
      </c>
      <c r="M70" s="229" t="s">
        <v>10639</v>
      </c>
      <c r="N70" s="102"/>
      <c r="O70" s="102"/>
      <c r="R70" s="230"/>
      <c r="S70" s="247"/>
      <c r="T70" s="193" t="str">
        <f>IF(ISNUMBER(MATCH(C70, 'Sprint 4'!C:C, 0)), "มาจาก Sprint 4", "")</f>
        <v/>
      </c>
    </row>
    <row r="71" hidden="1">
      <c r="A71" s="102" t="s">
        <v>310</v>
      </c>
      <c r="B71" s="102" t="s">
        <v>10341</v>
      </c>
      <c r="C71" s="229" t="s">
        <v>10342</v>
      </c>
      <c r="D71" s="102" t="s">
        <v>10343</v>
      </c>
      <c r="E71" s="102" t="s">
        <v>282</v>
      </c>
      <c r="F71" s="102" t="s">
        <v>283</v>
      </c>
      <c r="G71" s="102" t="s">
        <v>282</v>
      </c>
      <c r="H71" s="102" t="s">
        <v>283</v>
      </c>
      <c r="I71" s="102" t="s">
        <v>284</v>
      </c>
      <c r="J71" s="102" t="s">
        <v>355</v>
      </c>
      <c r="L71" s="229" t="s">
        <v>10344</v>
      </c>
      <c r="M71" s="229" t="s">
        <v>10640</v>
      </c>
      <c r="O71" s="102">
        <v>2.0</v>
      </c>
      <c r="P71" s="102" t="s">
        <v>1808</v>
      </c>
      <c r="R71" s="230"/>
      <c r="S71" s="247"/>
      <c r="T71" s="193" t="str">
        <f>IF(ISNUMBER(MATCH(C71, 'Sprint 4'!C:C, 0)), "มาจาก Sprint 4", "")</f>
        <v/>
      </c>
    </row>
    <row r="72" hidden="1">
      <c r="A72" s="102" t="s">
        <v>310</v>
      </c>
      <c r="B72" s="102" t="s">
        <v>10641</v>
      </c>
      <c r="C72" s="229" t="s">
        <v>10642</v>
      </c>
      <c r="D72" s="102" t="s">
        <v>10643</v>
      </c>
      <c r="E72" s="102" t="s">
        <v>353</v>
      </c>
      <c r="F72" s="102" t="s">
        <v>354</v>
      </c>
      <c r="G72" s="102" t="s">
        <v>353</v>
      </c>
      <c r="H72" s="102" t="s">
        <v>354</v>
      </c>
      <c r="I72" s="102" t="s">
        <v>284</v>
      </c>
      <c r="J72" s="102" t="s">
        <v>26</v>
      </c>
      <c r="L72" s="229" t="s">
        <v>10644</v>
      </c>
      <c r="M72" s="229" t="s">
        <v>10645</v>
      </c>
      <c r="O72" s="102"/>
      <c r="P72" s="102" t="s">
        <v>593</v>
      </c>
      <c r="Q72" s="102"/>
      <c r="R72" s="230"/>
      <c r="S72" s="247"/>
      <c r="T72" s="193" t="str">
        <f>IF(ISNUMBER(MATCH(C72, 'Sprint 4'!C:C, 0)), "มาจาก Sprint 4", "")</f>
        <v/>
      </c>
    </row>
    <row r="73" hidden="1">
      <c r="A73" s="102" t="s">
        <v>310</v>
      </c>
      <c r="B73" s="102" t="s">
        <v>10646</v>
      </c>
      <c r="C73" s="229" t="s">
        <v>10647</v>
      </c>
      <c r="D73" s="102" t="s">
        <v>10648</v>
      </c>
      <c r="E73" s="102" t="s">
        <v>513</v>
      </c>
      <c r="F73" s="102" t="s">
        <v>514</v>
      </c>
      <c r="G73" s="102" t="s">
        <v>353</v>
      </c>
      <c r="H73" s="102" t="s">
        <v>354</v>
      </c>
      <c r="I73" s="102" t="s">
        <v>284</v>
      </c>
      <c r="J73" s="102" t="s">
        <v>26</v>
      </c>
      <c r="L73" s="229" t="s">
        <v>10649</v>
      </c>
      <c r="M73" s="229" t="s">
        <v>10650</v>
      </c>
      <c r="N73" s="229" t="s">
        <v>10614</v>
      </c>
      <c r="O73" s="102">
        <v>3.0</v>
      </c>
      <c r="P73" s="102" t="s">
        <v>10038</v>
      </c>
      <c r="R73" s="102"/>
      <c r="S73" s="102">
        <v>28800.0</v>
      </c>
      <c r="T73" s="193" t="str">
        <f>IF(ISNUMBER(MATCH(C73, 'Sprint 4'!C:C, 0)), "มาจาก Sprint 4", "")</f>
        <v/>
      </c>
    </row>
    <row r="74" hidden="1">
      <c r="A74" s="102" t="s">
        <v>310</v>
      </c>
      <c r="B74" s="102" t="s">
        <v>10651</v>
      </c>
      <c r="C74" s="229" t="s">
        <v>10652</v>
      </c>
      <c r="D74" s="102" t="s">
        <v>9936</v>
      </c>
      <c r="E74" s="102" t="s">
        <v>556</v>
      </c>
      <c r="F74" s="102" t="s">
        <v>557</v>
      </c>
      <c r="G74" s="102" t="s">
        <v>353</v>
      </c>
      <c r="H74" s="102" t="s">
        <v>354</v>
      </c>
      <c r="I74" s="102" t="s">
        <v>284</v>
      </c>
      <c r="J74" s="102" t="s">
        <v>26</v>
      </c>
      <c r="L74" s="229" t="s">
        <v>10649</v>
      </c>
      <c r="M74" s="229" t="s">
        <v>10608</v>
      </c>
      <c r="N74" s="229" t="s">
        <v>10614</v>
      </c>
      <c r="O74" s="102">
        <v>3.0</v>
      </c>
      <c r="P74" s="102" t="s">
        <v>10038</v>
      </c>
      <c r="R74" s="102"/>
      <c r="S74" s="102">
        <v>28800.0</v>
      </c>
      <c r="T74" s="193" t="str">
        <f>IF(ISNUMBER(MATCH(C74, 'Sprint 4'!C:C, 0)), "มาจาก Sprint 4", "")</f>
        <v/>
      </c>
    </row>
    <row r="75" hidden="1">
      <c r="A75" s="102" t="s">
        <v>310</v>
      </c>
      <c r="B75" s="102" t="s">
        <v>10653</v>
      </c>
      <c r="C75" s="229" t="s">
        <v>10654</v>
      </c>
      <c r="D75" s="102" t="s">
        <v>10655</v>
      </c>
      <c r="E75" s="102" t="s">
        <v>282</v>
      </c>
      <c r="F75" s="102" t="s">
        <v>283</v>
      </c>
      <c r="G75" s="102" t="s">
        <v>282</v>
      </c>
      <c r="H75" s="102" t="s">
        <v>283</v>
      </c>
      <c r="I75" s="102" t="s">
        <v>515</v>
      </c>
      <c r="J75" s="102" t="s">
        <v>26</v>
      </c>
      <c r="L75" s="229" t="s">
        <v>10656</v>
      </c>
      <c r="M75" s="229" t="s">
        <v>10657</v>
      </c>
      <c r="O75" s="102">
        <v>2.0</v>
      </c>
      <c r="P75" s="102" t="s">
        <v>5547</v>
      </c>
      <c r="R75" s="230"/>
      <c r="S75" s="247"/>
      <c r="T75" s="193" t="str">
        <f>IF(ISNUMBER(MATCH(C75, 'Sprint 4'!C:C, 0)), "มาจาก Sprint 4", "")</f>
        <v/>
      </c>
    </row>
    <row r="76" hidden="1">
      <c r="A76" s="102" t="s">
        <v>310</v>
      </c>
      <c r="B76" s="102" t="s">
        <v>10054</v>
      </c>
      <c r="C76" s="229" t="s">
        <v>10055</v>
      </c>
      <c r="D76" s="102" t="s">
        <v>10056</v>
      </c>
      <c r="E76" s="102" t="s">
        <v>10144</v>
      </c>
      <c r="F76" s="102" t="s">
        <v>305</v>
      </c>
      <c r="G76" s="102" t="s">
        <v>353</v>
      </c>
      <c r="H76" s="102" t="s">
        <v>354</v>
      </c>
      <c r="I76" s="102" t="s">
        <v>284</v>
      </c>
      <c r="J76" s="102" t="s">
        <v>63</v>
      </c>
      <c r="L76" s="229" t="s">
        <v>10057</v>
      </c>
      <c r="M76" s="229" t="s">
        <v>10658</v>
      </c>
      <c r="O76" s="102">
        <v>3.0</v>
      </c>
      <c r="P76" s="102" t="s">
        <v>777</v>
      </c>
      <c r="Q76" s="102" t="s">
        <v>10038</v>
      </c>
      <c r="R76" s="102" t="s">
        <v>7229</v>
      </c>
      <c r="S76" s="247"/>
      <c r="T76" s="193" t="str">
        <f>IF(ISNUMBER(MATCH(C76, 'Sprint 4'!C:C, 0)), "มาจาก Sprint 4", "")</f>
        <v/>
      </c>
    </row>
    <row r="77" hidden="1">
      <c r="A77" s="102" t="s">
        <v>310</v>
      </c>
      <c r="B77" s="102" t="s">
        <v>10659</v>
      </c>
      <c r="C77" s="229" t="s">
        <v>10660</v>
      </c>
      <c r="D77" s="102" t="s">
        <v>10661</v>
      </c>
      <c r="E77" s="102" t="s">
        <v>10234</v>
      </c>
      <c r="F77" s="102" t="s">
        <v>565</v>
      </c>
      <c r="G77" s="102" t="s">
        <v>353</v>
      </c>
      <c r="H77" s="102" t="s">
        <v>354</v>
      </c>
      <c r="I77" s="102" t="s">
        <v>515</v>
      </c>
      <c r="J77" s="102" t="s">
        <v>26</v>
      </c>
      <c r="L77" s="229" t="s">
        <v>10662</v>
      </c>
      <c r="M77" s="229" t="s">
        <v>10663</v>
      </c>
      <c r="N77" s="229" t="s">
        <v>10333</v>
      </c>
      <c r="O77" s="102">
        <v>3.0</v>
      </c>
      <c r="P77" s="102" t="s">
        <v>10038</v>
      </c>
      <c r="R77" s="230"/>
      <c r="S77" s="102">
        <v>28800.0</v>
      </c>
      <c r="T77" s="193" t="str">
        <f>IF(ISNUMBER(MATCH(C77, 'Sprint 4'!C:C, 0)), "มาจาก Sprint 4", "")</f>
        <v/>
      </c>
    </row>
    <row r="78" hidden="1">
      <c r="A78" s="102" t="s">
        <v>310</v>
      </c>
      <c r="B78" s="102" t="s">
        <v>10664</v>
      </c>
      <c r="C78" s="229" t="s">
        <v>10665</v>
      </c>
      <c r="D78" s="102" t="s">
        <v>10666</v>
      </c>
      <c r="E78" s="102" t="s">
        <v>556</v>
      </c>
      <c r="F78" s="102" t="s">
        <v>557</v>
      </c>
      <c r="G78" s="102" t="s">
        <v>282</v>
      </c>
      <c r="H78" s="102" t="s">
        <v>283</v>
      </c>
      <c r="I78" s="102" t="s">
        <v>318</v>
      </c>
      <c r="J78" s="102" t="s">
        <v>26</v>
      </c>
      <c r="L78" s="229" t="s">
        <v>10667</v>
      </c>
      <c r="M78" s="229" t="s">
        <v>10599</v>
      </c>
      <c r="N78" s="229" t="s">
        <v>10600</v>
      </c>
      <c r="O78" s="102">
        <v>2.0</v>
      </c>
      <c r="P78" s="102" t="s">
        <v>7593</v>
      </c>
      <c r="R78" s="102"/>
      <c r="S78" s="102">
        <v>14400.0</v>
      </c>
      <c r="T78" s="193" t="str">
        <f>IF(ISNUMBER(MATCH(C78, 'Sprint 4'!C:C, 0)), "มาจาก Sprint 4", "")</f>
        <v/>
      </c>
    </row>
    <row r="79" hidden="1">
      <c r="A79" s="102" t="s">
        <v>276</v>
      </c>
      <c r="B79" s="102" t="s">
        <v>10058</v>
      </c>
      <c r="C79" s="229" t="s">
        <v>10059</v>
      </c>
      <c r="D79" s="102" t="s">
        <v>777</v>
      </c>
      <c r="E79" s="102"/>
      <c r="F79" s="102"/>
      <c r="G79" s="102" t="s">
        <v>282</v>
      </c>
      <c r="H79" s="102" t="s">
        <v>283</v>
      </c>
      <c r="I79" s="102" t="s">
        <v>284</v>
      </c>
      <c r="J79" s="102" t="s">
        <v>355</v>
      </c>
      <c r="L79" s="229" t="s">
        <v>10060</v>
      </c>
      <c r="M79" s="229" t="s">
        <v>10668</v>
      </c>
      <c r="O79" s="230"/>
      <c r="R79" s="230"/>
      <c r="S79" s="247"/>
      <c r="T79" s="193" t="str">
        <f>IF(ISNUMBER(MATCH(C79, 'Sprint 4'!C:C, 0)), "มาจาก Sprint 4", "")</f>
        <v>มาจาก Sprint 4</v>
      </c>
    </row>
    <row r="80" hidden="1">
      <c r="A80" s="102" t="s">
        <v>276</v>
      </c>
      <c r="B80" s="102" t="s">
        <v>10063</v>
      </c>
      <c r="C80" s="229" t="s">
        <v>10064</v>
      </c>
      <c r="D80" s="102" t="s">
        <v>10065</v>
      </c>
      <c r="E80" s="102" t="s">
        <v>282</v>
      </c>
      <c r="F80" s="102" t="s">
        <v>283</v>
      </c>
      <c r="G80" s="102" t="s">
        <v>282</v>
      </c>
      <c r="H80" s="102" t="s">
        <v>283</v>
      </c>
      <c r="I80" s="102" t="s">
        <v>284</v>
      </c>
      <c r="J80" s="102" t="s">
        <v>26</v>
      </c>
      <c r="L80" s="229" t="s">
        <v>10060</v>
      </c>
      <c r="M80" s="229" t="s">
        <v>10066</v>
      </c>
      <c r="N80" s="102"/>
      <c r="O80" s="230"/>
      <c r="R80" s="230"/>
      <c r="S80" s="247"/>
      <c r="T80" s="193" t="str">
        <f>IF(ISNUMBER(MATCH(C80, 'Sprint 4'!C:C, 0)), "มาจาก Sprint 4", "")</f>
        <v>มาจาก Sprint 4</v>
      </c>
    </row>
    <row r="81" hidden="1">
      <c r="A81" s="102" t="s">
        <v>310</v>
      </c>
      <c r="B81" s="102" t="s">
        <v>10669</v>
      </c>
      <c r="C81" s="229" t="s">
        <v>10670</v>
      </c>
      <c r="D81" s="102" t="s">
        <v>10671</v>
      </c>
      <c r="E81" s="102" t="s">
        <v>282</v>
      </c>
      <c r="F81" s="102" t="s">
        <v>283</v>
      </c>
      <c r="G81" s="102" t="s">
        <v>282</v>
      </c>
      <c r="H81" s="102" t="s">
        <v>283</v>
      </c>
      <c r="I81" s="102" t="s">
        <v>284</v>
      </c>
      <c r="J81" s="102" t="s">
        <v>355</v>
      </c>
      <c r="L81" s="229" t="s">
        <v>10672</v>
      </c>
      <c r="M81" s="229" t="s">
        <v>10673</v>
      </c>
      <c r="O81" s="102">
        <v>1.0</v>
      </c>
      <c r="P81" s="102" t="s">
        <v>593</v>
      </c>
      <c r="Q81" s="102"/>
      <c r="R81" s="102"/>
      <c r="S81" s="247"/>
      <c r="T81" s="193" t="str">
        <f>IF(ISNUMBER(MATCH(C81, 'Sprint 4'!C:C, 0)), "มาจาก Sprint 4", "")</f>
        <v/>
      </c>
    </row>
    <row r="82" hidden="1">
      <c r="A82" s="102" t="s">
        <v>310</v>
      </c>
      <c r="B82" s="102" t="s">
        <v>10347</v>
      </c>
      <c r="C82" s="229" t="s">
        <v>10348</v>
      </c>
      <c r="D82" s="102" t="s">
        <v>10349</v>
      </c>
      <c r="E82" s="102" t="s">
        <v>556</v>
      </c>
      <c r="F82" s="102" t="s">
        <v>557</v>
      </c>
      <c r="G82" s="102" t="s">
        <v>282</v>
      </c>
      <c r="H82" s="102" t="s">
        <v>283</v>
      </c>
      <c r="I82" s="102" t="s">
        <v>284</v>
      </c>
      <c r="J82" s="102" t="s">
        <v>678</v>
      </c>
      <c r="L82" s="229" t="s">
        <v>10350</v>
      </c>
      <c r="M82" s="229" t="s">
        <v>10674</v>
      </c>
      <c r="N82" s="229" t="s">
        <v>10352</v>
      </c>
      <c r="O82" s="102">
        <v>2.0</v>
      </c>
      <c r="P82" s="102"/>
      <c r="R82" s="230"/>
      <c r="S82" s="102">
        <v>14400.0</v>
      </c>
      <c r="T82" s="193" t="str">
        <f>IF(ISNUMBER(MATCH(C82, 'Sprint 4'!C:C, 0)), "มาจาก Sprint 4", "")</f>
        <v/>
      </c>
    </row>
    <row r="83" hidden="1">
      <c r="A83" s="102" t="s">
        <v>4410</v>
      </c>
      <c r="B83" s="102" t="s">
        <v>9075</v>
      </c>
      <c r="C83" s="229" t="s">
        <v>9076</v>
      </c>
      <c r="D83" s="102" t="s">
        <v>9077</v>
      </c>
      <c r="E83" s="102" t="s">
        <v>353</v>
      </c>
      <c r="F83" s="102" t="s">
        <v>354</v>
      </c>
      <c r="G83" s="102" t="s">
        <v>353</v>
      </c>
      <c r="H83" s="102" t="s">
        <v>354</v>
      </c>
      <c r="I83" s="102" t="s">
        <v>284</v>
      </c>
      <c r="J83" s="102" t="s">
        <v>63</v>
      </c>
      <c r="L83" s="229" t="s">
        <v>9078</v>
      </c>
      <c r="M83" s="229" t="s">
        <v>10668</v>
      </c>
      <c r="O83" s="102"/>
      <c r="P83" s="102"/>
      <c r="R83" s="230"/>
      <c r="S83" s="247"/>
      <c r="T83" s="193" t="str">
        <f>IF(ISNUMBER(MATCH(C83, 'Sprint 4'!C:C, 0)), "มาจาก Sprint 4", "")</f>
        <v>มาจาก Sprint 4</v>
      </c>
    </row>
    <row r="84" hidden="1">
      <c r="A84" s="102" t="s">
        <v>310</v>
      </c>
      <c r="B84" s="102" t="s">
        <v>10067</v>
      </c>
      <c r="C84" s="229" t="s">
        <v>10068</v>
      </c>
      <c r="D84" s="102" t="s">
        <v>10069</v>
      </c>
      <c r="E84" s="102" t="s">
        <v>513</v>
      </c>
      <c r="F84" s="102" t="s">
        <v>514</v>
      </c>
      <c r="G84" s="102" t="s">
        <v>316</v>
      </c>
      <c r="H84" s="102" t="s">
        <v>317</v>
      </c>
      <c r="I84" s="102" t="s">
        <v>515</v>
      </c>
      <c r="J84" s="102" t="s">
        <v>355</v>
      </c>
      <c r="L84" s="229" t="s">
        <v>10070</v>
      </c>
      <c r="M84" s="229" t="s">
        <v>10675</v>
      </c>
      <c r="N84" s="229" t="s">
        <v>10071</v>
      </c>
      <c r="O84" s="230"/>
      <c r="R84" s="230"/>
      <c r="S84" s="247"/>
      <c r="T84" s="193" t="str">
        <f>IF(ISNUMBER(MATCH(C84, 'Sprint 4'!C:C, 0)), "มาจาก Sprint 4", "")</f>
        <v>มาจาก Sprint 4</v>
      </c>
    </row>
    <row r="85" hidden="1">
      <c r="A85" s="102" t="s">
        <v>4410</v>
      </c>
      <c r="B85" s="102" t="s">
        <v>10676</v>
      </c>
      <c r="C85" s="229" t="s">
        <v>10677</v>
      </c>
      <c r="D85" s="102" t="s">
        <v>10678</v>
      </c>
      <c r="E85" s="102" t="s">
        <v>282</v>
      </c>
      <c r="F85" s="102" t="s">
        <v>283</v>
      </c>
      <c r="G85" s="102" t="s">
        <v>282</v>
      </c>
      <c r="H85" s="102" t="s">
        <v>283</v>
      </c>
      <c r="I85" s="102" t="s">
        <v>284</v>
      </c>
      <c r="J85" s="102" t="s">
        <v>26</v>
      </c>
      <c r="L85" s="229" t="s">
        <v>7779</v>
      </c>
      <c r="M85" s="229" t="s">
        <v>10673</v>
      </c>
      <c r="O85" s="102">
        <v>1.0</v>
      </c>
      <c r="P85" s="102" t="s">
        <v>593</v>
      </c>
      <c r="Q85" s="102" t="s">
        <v>6898</v>
      </c>
      <c r="R85" s="230"/>
      <c r="S85" s="102">
        <v>1800.0</v>
      </c>
      <c r="T85" s="193" t="str">
        <f>IF(ISNUMBER(MATCH(C85, 'Sprint 4'!C:C, 0)), "มาจาก Sprint 4", "")</f>
        <v/>
      </c>
    </row>
    <row r="86" hidden="1">
      <c r="A86" s="102" t="s">
        <v>310</v>
      </c>
      <c r="B86" s="102" t="s">
        <v>10354</v>
      </c>
      <c r="C86" s="229" t="s">
        <v>10355</v>
      </c>
      <c r="D86" s="102" t="s">
        <v>10356</v>
      </c>
      <c r="E86" s="102" t="s">
        <v>353</v>
      </c>
      <c r="F86" s="102" t="s">
        <v>354</v>
      </c>
      <c r="G86" s="102" t="s">
        <v>282</v>
      </c>
      <c r="H86" s="102" t="s">
        <v>283</v>
      </c>
      <c r="I86" s="102" t="s">
        <v>284</v>
      </c>
      <c r="J86" s="102" t="s">
        <v>678</v>
      </c>
      <c r="L86" s="229" t="s">
        <v>10357</v>
      </c>
      <c r="M86" s="229" t="s">
        <v>10679</v>
      </c>
      <c r="O86" s="102">
        <v>3.0</v>
      </c>
      <c r="P86" s="102" t="s">
        <v>10358</v>
      </c>
      <c r="R86" s="230"/>
      <c r="S86" s="247"/>
      <c r="T86" s="193" t="str">
        <f>IF(ISNUMBER(MATCH(C86, 'Sprint 4'!C:C, 0)), "มาจาก Sprint 4", "")</f>
        <v/>
      </c>
    </row>
    <row r="87" hidden="1">
      <c r="A87" s="102" t="s">
        <v>310</v>
      </c>
      <c r="B87" s="102" t="s">
        <v>10680</v>
      </c>
      <c r="C87" s="229" t="s">
        <v>10681</v>
      </c>
      <c r="D87" s="102" t="s">
        <v>10682</v>
      </c>
      <c r="E87" s="102" t="s">
        <v>282</v>
      </c>
      <c r="F87" s="102" t="s">
        <v>283</v>
      </c>
      <c r="G87" s="102" t="s">
        <v>282</v>
      </c>
      <c r="H87" s="102" t="s">
        <v>283</v>
      </c>
      <c r="I87" s="102" t="s">
        <v>284</v>
      </c>
      <c r="J87" s="102" t="s">
        <v>34</v>
      </c>
      <c r="L87" s="229" t="s">
        <v>10683</v>
      </c>
      <c r="M87" s="229" t="s">
        <v>10684</v>
      </c>
      <c r="O87" s="102">
        <v>1.0</v>
      </c>
      <c r="P87" s="102" t="s">
        <v>504</v>
      </c>
      <c r="R87" s="102"/>
      <c r="S87" s="247"/>
      <c r="T87" s="193" t="str">
        <f>IF(ISNUMBER(MATCH(C87, 'Sprint 4'!C:C, 0)), "มาจาก Sprint 4", "")</f>
        <v/>
      </c>
    </row>
    <row r="88" hidden="1">
      <c r="A88" s="102" t="s">
        <v>276</v>
      </c>
      <c r="B88" s="102" t="s">
        <v>10685</v>
      </c>
      <c r="C88" s="229" t="s">
        <v>10686</v>
      </c>
      <c r="D88" s="102" t="s">
        <v>10687</v>
      </c>
      <c r="E88" s="102" t="s">
        <v>521</v>
      </c>
      <c r="F88" s="102" t="s">
        <v>522</v>
      </c>
      <c r="G88" s="102" t="s">
        <v>521</v>
      </c>
      <c r="H88" s="102" t="s">
        <v>522</v>
      </c>
      <c r="I88" s="102" t="s">
        <v>284</v>
      </c>
      <c r="J88" s="102" t="s">
        <v>26</v>
      </c>
      <c r="L88" s="229" t="s">
        <v>10688</v>
      </c>
      <c r="M88" s="229" t="s">
        <v>10689</v>
      </c>
      <c r="N88" s="102"/>
      <c r="O88" s="102"/>
      <c r="P88" s="102"/>
      <c r="R88" s="102"/>
      <c r="S88" s="247"/>
      <c r="T88" s="193" t="str">
        <f>IF(ISNUMBER(MATCH(C88, 'Sprint 4'!C:C, 0)), "มาจาก Sprint 4", "")</f>
        <v>มาจาก Sprint 4</v>
      </c>
    </row>
    <row r="89" hidden="1">
      <c r="A89" s="102" t="s">
        <v>276</v>
      </c>
      <c r="B89" s="102" t="s">
        <v>10361</v>
      </c>
      <c r="C89" s="229" t="s">
        <v>10362</v>
      </c>
      <c r="D89" s="102" t="s">
        <v>347</v>
      </c>
      <c r="E89" s="102" t="s">
        <v>280</v>
      </c>
      <c r="F89" s="102" t="s">
        <v>281</v>
      </c>
      <c r="G89" s="102" t="s">
        <v>280</v>
      </c>
      <c r="H89" s="102" t="s">
        <v>281</v>
      </c>
      <c r="I89" s="102" t="s">
        <v>284</v>
      </c>
      <c r="J89" s="102" t="s">
        <v>63</v>
      </c>
      <c r="L89" s="229" t="s">
        <v>10363</v>
      </c>
      <c r="M89" s="229" t="s">
        <v>10690</v>
      </c>
      <c r="O89" s="102"/>
      <c r="P89" s="102"/>
      <c r="R89" s="230"/>
      <c r="S89" s="247"/>
      <c r="T89" s="193" t="str">
        <f>IF(ISNUMBER(MATCH(C89, 'Sprint 4'!C:C, 0)), "มาจาก Sprint 4", "")</f>
        <v/>
      </c>
    </row>
    <row r="90" hidden="1">
      <c r="A90" s="102" t="s">
        <v>276</v>
      </c>
      <c r="B90" s="102" t="s">
        <v>10365</v>
      </c>
      <c r="C90" s="229" t="s">
        <v>10366</v>
      </c>
      <c r="D90" s="102" t="s">
        <v>2030</v>
      </c>
      <c r="E90" s="102" t="s">
        <v>280</v>
      </c>
      <c r="F90" s="102" t="s">
        <v>281</v>
      </c>
      <c r="G90" s="102" t="s">
        <v>280</v>
      </c>
      <c r="H90" s="102" t="s">
        <v>281</v>
      </c>
      <c r="I90" s="102" t="s">
        <v>284</v>
      </c>
      <c r="J90" s="102" t="s">
        <v>26</v>
      </c>
      <c r="L90" s="229" t="s">
        <v>10363</v>
      </c>
      <c r="M90" s="229" t="s">
        <v>10691</v>
      </c>
      <c r="O90" s="102"/>
      <c r="P90" s="102"/>
      <c r="Q90" s="102"/>
      <c r="R90" s="230"/>
      <c r="S90" s="247"/>
      <c r="T90" s="193" t="str">
        <f>IF(ISNUMBER(MATCH(C90, 'Sprint 4'!C:C, 0)), "มาจาก Sprint 4", "")</f>
        <v/>
      </c>
    </row>
    <row r="91" hidden="1">
      <c r="A91" s="102" t="s">
        <v>310</v>
      </c>
      <c r="B91" s="102" t="s">
        <v>10692</v>
      </c>
      <c r="C91" s="229" t="s">
        <v>10693</v>
      </c>
      <c r="D91" s="102" t="s">
        <v>10694</v>
      </c>
      <c r="E91" s="102" t="s">
        <v>314</v>
      </c>
      <c r="F91" s="102" t="s">
        <v>315</v>
      </c>
      <c r="G91" s="102" t="s">
        <v>314</v>
      </c>
      <c r="H91" s="102" t="s">
        <v>315</v>
      </c>
      <c r="I91" s="102" t="s">
        <v>284</v>
      </c>
      <c r="J91" s="102" t="s">
        <v>26</v>
      </c>
      <c r="L91" s="229" t="s">
        <v>10695</v>
      </c>
      <c r="M91" s="229" t="s">
        <v>10696</v>
      </c>
      <c r="N91" s="102"/>
      <c r="O91" s="102">
        <v>5.0</v>
      </c>
      <c r="P91" s="102" t="s">
        <v>593</v>
      </c>
      <c r="Q91" s="102"/>
      <c r="R91" s="102"/>
      <c r="S91" s="102">
        <v>43200.0</v>
      </c>
      <c r="T91" s="193" t="str">
        <f>IF(ISNUMBER(MATCH(C91, 'Sprint 4'!C:C, 0)), "มาจาก Sprint 4", "")</f>
        <v>มาจาก Sprint 4</v>
      </c>
    </row>
    <row r="92">
      <c r="A92" s="102" t="s">
        <v>310</v>
      </c>
      <c r="B92" s="102" t="s">
        <v>10369</v>
      </c>
      <c r="C92" s="229" t="s">
        <v>10370</v>
      </c>
      <c r="D92" s="102" t="s">
        <v>10371</v>
      </c>
      <c r="E92" s="102" t="s">
        <v>495</v>
      </c>
      <c r="F92" s="102" t="s">
        <v>496</v>
      </c>
      <c r="G92" s="102" t="s">
        <v>10144</v>
      </c>
      <c r="H92" s="102" t="s">
        <v>305</v>
      </c>
      <c r="I92" s="102" t="s">
        <v>284</v>
      </c>
      <c r="J92" s="102" t="s">
        <v>454</v>
      </c>
      <c r="L92" s="229" t="s">
        <v>10372</v>
      </c>
      <c r="M92" s="229" t="s">
        <v>10599</v>
      </c>
      <c r="N92" s="229" t="s">
        <v>10374</v>
      </c>
      <c r="O92" s="102">
        <v>8.0</v>
      </c>
      <c r="P92" s="102" t="s">
        <v>538</v>
      </c>
      <c r="Q92" s="102"/>
      <c r="R92" s="102"/>
      <c r="S92" s="102">
        <v>86400.0</v>
      </c>
      <c r="T92" s="193" t="str">
        <f>IF(ISNUMBER(MATCH(C92, 'Sprint 4'!C:C, 0)), "มาจาก Sprint 4", "")</f>
        <v>มาจาก Sprint 4</v>
      </c>
      <c r="U92" s="102" t="s">
        <v>10697</v>
      </c>
    </row>
    <row r="93">
      <c r="A93" s="102" t="s">
        <v>310</v>
      </c>
      <c r="B93" s="102" t="s">
        <v>10375</v>
      </c>
      <c r="C93" s="229" t="s">
        <v>10376</v>
      </c>
      <c r="D93" s="102" t="s">
        <v>10377</v>
      </c>
      <c r="E93" s="102" t="s">
        <v>495</v>
      </c>
      <c r="F93" s="102" t="s">
        <v>496</v>
      </c>
      <c r="G93" s="102" t="s">
        <v>314</v>
      </c>
      <c r="H93" s="102" t="s">
        <v>315</v>
      </c>
      <c r="I93" s="102" t="s">
        <v>515</v>
      </c>
      <c r="J93" s="102" t="s">
        <v>454</v>
      </c>
      <c r="L93" s="229" t="s">
        <v>10378</v>
      </c>
      <c r="M93" s="229" t="s">
        <v>10608</v>
      </c>
      <c r="O93" s="102">
        <v>3.0</v>
      </c>
      <c r="P93" s="102" t="s">
        <v>777</v>
      </c>
      <c r="Q93" s="102"/>
      <c r="R93" s="102"/>
      <c r="S93" s="247"/>
      <c r="T93" s="193" t="str">
        <f>IF(ISNUMBER(MATCH(C93, 'Sprint 4'!C:C, 0)), "มาจาก Sprint 4", "")</f>
        <v/>
      </c>
    </row>
    <row r="94">
      <c r="A94" s="102" t="s">
        <v>310</v>
      </c>
      <c r="B94" s="102" t="s">
        <v>10698</v>
      </c>
      <c r="C94" s="229" t="s">
        <v>10699</v>
      </c>
      <c r="D94" s="102" t="s">
        <v>10700</v>
      </c>
      <c r="E94" s="102" t="s">
        <v>495</v>
      </c>
      <c r="F94" s="102" t="s">
        <v>496</v>
      </c>
      <c r="G94" s="102" t="s">
        <v>314</v>
      </c>
      <c r="H94" s="102" t="s">
        <v>315</v>
      </c>
      <c r="I94" s="102" t="s">
        <v>515</v>
      </c>
      <c r="J94" s="102" t="s">
        <v>26</v>
      </c>
      <c r="L94" s="229" t="s">
        <v>10701</v>
      </c>
      <c r="M94" s="229" t="s">
        <v>10608</v>
      </c>
      <c r="N94" s="102"/>
      <c r="O94" s="102">
        <v>3.0</v>
      </c>
      <c r="P94" s="102" t="s">
        <v>593</v>
      </c>
      <c r="Q94" s="102" t="s">
        <v>651</v>
      </c>
      <c r="R94" s="102"/>
      <c r="S94" s="247"/>
      <c r="T94" s="193" t="str">
        <f>IF(ISNUMBER(MATCH(C94, 'Sprint 4'!C:C, 0)), "มาจาก Sprint 4", "")</f>
        <v/>
      </c>
    </row>
    <row r="95" hidden="1">
      <c r="A95" s="102" t="s">
        <v>310</v>
      </c>
      <c r="B95" s="102" t="s">
        <v>10702</v>
      </c>
      <c r="C95" s="229" t="s">
        <v>10703</v>
      </c>
      <c r="D95" s="102" t="s">
        <v>10704</v>
      </c>
      <c r="E95" s="102" t="s">
        <v>513</v>
      </c>
      <c r="F95" s="102" t="s">
        <v>514</v>
      </c>
      <c r="G95" s="102" t="s">
        <v>314</v>
      </c>
      <c r="H95" s="102" t="s">
        <v>315</v>
      </c>
      <c r="I95" s="102" t="s">
        <v>515</v>
      </c>
      <c r="J95" s="102" t="s">
        <v>26</v>
      </c>
      <c r="L95" s="229" t="s">
        <v>10705</v>
      </c>
      <c r="M95" s="229" t="s">
        <v>10608</v>
      </c>
      <c r="N95" s="229" t="s">
        <v>9993</v>
      </c>
      <c r="O95" s="102">
        <v>3.0</v>
      </c>
      <c r="P95" s="102" t="s">
        <v>593</v>
      </c>
      <c r="Q95" s="102" t="s">
        <v>651</v>
      </c>
      <c r="R95" s="230"/>
      <c r="S95" s="102">
        <v>28800.0</v>
      </c>
      <c r="T95" s="193" t="str">
        <f>IF(ISNUMBER(MATCH(C95, 'Sprint 4'!C:C, 0)), "มาจาก Sprint 4", "")</f>
        <v/>
      </c>
    </row>
    <row r="96" hidden="1">
      <c r="A96" s="102" t="s">
        <v>310</v>
      </c>
      <c r="B96" s="102" t="s">
        <v>10706</v>
      </c>
      <c r="C96" s="229" t="s">
        <v>10707</v>
      </c>
      <c r="D96" s="102" t="s">
        <v>10708</v>
      </c>
      <c r="E96" s="102" t="s">
        <v>513</v>
      </c>
      <c r="F96" s="102" t="s">
        <v>514</v>
      </c>
      <c r="G96" s="102" t="s">
        <v>314</v>
      </c>
      <c r="H96" s="102" t="s">
        <v>315</v>
      </c>
      <c r="I96" s="102" t="s">
        <v>515</v>
      </c>
      <c r="J96" s="102" t="s">
        <v>26</v>
      </c>
      <c r="L96" s="229" t="s">
        <v>10709</v>
      </c>
      <c r="M96" s="229" t="s">
        <v>10608</v>
      </c>
      <c r="N96" s="229" t="s">
        <v>10352</v>
      </c>
      <c r="O96" s="102">
        <v>5.0</v>
      </c>
      <c r="P96" s="102" t="s">
        <v>593</v>
      </c>
      <c r="Q96" s="102" t="s">
        <v>651</v>
      </c>
      <c r="R96" s="230"/>
      <c r="S96" s="102">
        <v>57600.0</v>
      </c>
      <c r="T96" s="193" t="str">
        <f>IF(ISNUMBER(MATCH(C96, 'Sprint 4'!C:C, 0)), "มาจาก Sprint 4", "")</f>
        <v/>
      </c>
    </row>
    <row r="97" hidden="1">
      <c r="A97" s="102" t="s">
        <v>310</v>
      </c>
      <c r="B97" s="102" t="s">
        <v>10710</v>
      </c>
      <c r="C97" s="229" t="s">
        <v>10711</v>
      </c>
      <c r="D97" s="102" t="s">
        <v>10712</v>
      </c>
      <c r="E97" s="102" t="s">
        <v>10144</v>
      </c>
      <c r="F97" s="102" t="s">
        <v>305</v>
      </c>
      <c r="G97" s="102" t="s">
        <v>10144</v>
      </c>
      <c r="H97" s="102" t="s">
        <v>305</v>
      </c>
      <c r="I97" s="102" t="s">
        <v>284</v>
      </c>
      <c r="J97" s="102" t="s">
        <v>26</v>
      </c>
      <c r="L97" s="229" t="s">
        <v>10713</v>
      </c>
      <c r="M97" s="229" t="s">
        <v>10714</v>
      </c>
      <c r="O97" s="102">
        <v>5.0</v>
      </c>
      <c r="P97" s="102" t="s">
        <v>27</v>
      </c>
      <c r="Q97" s="102" t="s">
        <v>593</v>
      </c>
      <c r="R97" s="230"/>
      <c r="S97" s="102">
        <v>0.0</v>
      </c>
      <c r="T97" s="193" t="str">
        <f>IF(ISNUMBER(MATCH(C97, 'Sprint 4'!C:C, 0)), "มาจาก Sprint 4", "")</f>
        <v>มาจาก Sprint 4</v>
      </c>
      <c r="U97" s="102">
        <v>86400.0</v>
      </c>
    </row>
    <row r="98" hidden="1">
      <c r="A98" s="102" t="s">
        <v>310</v>
      </c>
      <c r="B98" s="102" t="s">
        <v>10715</v>
      </c>
      <c r="C98" s="229" t="s">
        <v>10716</v>
      </c>
      <c r="D98" s="102" t="s">
        <v>10717</v>
      </c>
      <c r="E98" s="102" t="s">
        <v>314</v>
      </c>
      <c r="F98" s="102" t="s">
        <v>315</v>
      </c>
      <c r="G98" s="102" t="s">
        <v>314</v>
      </c>
      <c r="H98" s="102" t="s">
        <v>315</v>
      </c>
      <c r="I98" s="102" t="s">
        <v>284</v>
      </c>
      <c r="J98" s="102" t="s">
        <v>26</v>
      </c>
      <c r="L98" s="229" t="s">
        <v>10718</v>
      </c>
      <c r="M98" s="229" t="s">
        <v>10608</v>
      </c>
      <c r="N98" s="229" t="s">
        <v>10600</v>
      </c>
      <c r="O98" s="102">
        <v>1.0</v>
      </c>
      <c r="P98" s="102" t="s">
        <v>593</v>
      </c>
      <c r="R98" s="230"/>
      <c r="S98" s="102">
        <v>3600.0</v>
      </c>
      <c r="T98" s="193" t="str">
        <f>IF(ISNUMBER(MATCH(C98, 'Sprint 4'!C:C, 0)), "มาจาก Sprint 4", "")</f>
        <v/>
      </c>
    </row>
    <row r="99" hidden="1">
      <c r="A99" s="102" t="s">
        <v>310</v>
      </c>
      <c r="B99" s="102" t="s">
        <v>10379</v>
      </c>
      <c r="C99" s="229" t="s">
        <v>10380</v>
      </c>
      <c r="D99" s="102" t="s">
        <v>10381</v>
      </c>
      <c r="E99" s="102" t="s">
        <v>9102</v>
      </c>
      <c r="F99" s="102" t="s">
        <v>6861</v>
      </c>
      <c r="G99" s="102" t="s">
        <v>353</v>
      </c>
      <c r="H99" s="102" t="s">
        <v>354</v>
      </c>
      <c r="I99" s="102" t="s">
        <v>284</v>
      </c>
      <c r="J99" s="102" t="s">
        <v>678</v>
      </c>
      <c r="L99" s="229" t="s">
        <v>10382</v>
      </c>
      <c r="M99" s="229" t="s">
        <v>10719</v>
      </c>
      <c r="N99" s="102"/>
      <c r="O99" s="102">
        <v>1.0</v>
      </c>
      <c r="P99" s="102" t="s">
        <v>473</v>
      </c>
      <c r="R99" s="102"/>
      <c r="S99" s="247"/>
      <c r="T99" s="193" t="str">
        <f>IF(ISNUMBER(MATCH(C99, 'Sprint 4'!C:C, 0)), "มาจาก Sprint 4", "")</f>
        <v/>
      </c>
    </row>
    <row r="100" hidden="1">
      <c r="A100" s="102" t="s">
        <v>310</v>
      </c>
      <c r="B100" s="102" t="s">
        <v>10384</v>
      </c>
      <c r="C100" s="229" t="s">
        <v>10385</v>
      </c>
      <c r="D100" s="102" t="s">
        <v>10386</v>
      </c>
      <c r="E100" s="102" t="s">
        <v>9102</v>
      </c>
      <c r="F100" s="102" t="s">
        <v>6861</v>
      </c>
      <c r="G100" s="102" t="s">
        <v>353</v>
      </c>
      <c r="H100" s="102" t="s">
        <v>354</v>
      </c>
      <c r="I100" s="102" t="s">
        <v>284</v>
      </c>
      <c r="J100" s="102" t="s">
        <v>678</v>
      </c>
      <c r="L100" s="229" t="s">
        <v>10387</v>
      </c>
      <c r="M100" s="229" t="s">
        <v>10720</v>
      </c>
      <c r="N100" s="102"/>
      <c r="O100" s="102">
        <v>5.0</v>
      </c>
      <c r="P100" s="102" t="s">
        <v>538</v>
      </c>
      <c r="R100" s="102"/>
      <c r="S100" s="247"/>
      <c r="T100" s="193" t="str">
        <f>IF(ISNUMBER(MATCH(C100, 'Sprint 4'!C:C, 0)), "มาจาก Sprint 4", "")</f>
        <v/>
      </c>
    </row>
    <row r="101" hidden="1">
      <c r="A101" s="102" t="s">
        <v>310</v>
      </c>
      <c r="B101" s="102" t="s">
        <v>10389</v>
      </c>
      <c r="C101" s="229" t="s">
        <v>10390</v>
      </c>
      <c r="D101" s="102" t="s">
        <v>10391</v>
      </c>
      <c r="E101" s="102" t="s">
        <v>9102</v>
      </c>
      <c r="F101" s="102" t="s">
        <v>6861</v>
      </c>
      <c r="G101" s="102" t="s">
        <v>353</v>
      </c>
      <c r="H101" s="102" t="s">
        <v>354</v>
      </c>
      <c r="I101" s="102" t="s">
        <v>284</v>
      </c>
      <c r="J101" s="102" t="s">
        <v>678</v>
      </c>
      <c r="L101" s="229" t="s">
        <v>10392</v>
      </c>
      <c r="M101" s="229" t="s">
        <v>10719</v>
      </c>
      <c r="N101" s="102"/>
      <c r="O101" s="102">
        <v>2.0</v>
      </c>
      <c r="P101" s="102" t="s">
        <v>473</v>
      </c>
      <c r="R101" s="102"/>
      <c r="S101" s="247"/>
      <c r="T101" s="193" t="str">
        <f>IF(ISNUMBER(MATCH(C101, 'Sprint 4'!C:C, 0)), "มาจาก Sprint 4", "")</f>
        <v/>
      </c>
    </row>
    <row r="102" hidden="1">
      <c r="A102" s="102" t="s">
        <v>310</v>
      </c>
      <c r="B102" s="102" t="s">
        <v>10721</v>
      </c>
      <c r="C102" s="229" t="s">
        <v>10722</v>
      </c>
      <c r="D102" s="102" t="s">
        <v>10723</v>
      </c>
      <c r="E102" s="102" t="s">
        <v>353</v>
      </c>
      <c r="F102" s="102" t="s">
        <v>354</v>
      </c>
      <c r="G102" s="102" t="s">
        <v>353</v>
      </c>
      <c r="H102" s="102" t="s">
        <v>354</v>
      </c>
      <c r="I102" s="102" t="s">
        <v>284</v>
      </c>
      <c r="J102" s="102" t="s">
        <v>454</v>
      </c>
      <c r="L102" s="229" t="s">
        <v>10724</v>
      </c>
      <c r="M102" s="229" t="s">
        <v>10725</v>
      </c>
      <c r="N102" s="102"/>
      <c r="O102" s="102">
        <v>3.0</v>
      </c>
      <c r="P102" s="102" t="s">
        <v>6872</v>
      </c>
      <c r="R102" s="102"/>
      <c r="S102" s="102">
        <v>14400.0</v>
      </c>
      <c r="T102" s="193" t="str">
        <f>IF(ISNUMBER(MATCH(C102, 'Sprint 4'!C:C, 0)), "มาจาก Sprint 4", "")</f>
        <v>มาจาก Sprint 4</v>
      </c>
      <c r="U102" s="102" t="s">
        <v>3539</v>
      </c>
    </row>
    <row r="103" hidden="1">
      <c r="A103" s="102" t="s">
        <v>310</v>
      </c>
      <c r="B103" s="102" t="s">
        <v>10726</v>
      </c>
      <c r="C103" s="229" t="s">
        <v>10727</v>
      </c>
      <c r="D103" s="102" t="s">
        <v>10728</v>
      </c>
      <c r="E103" s="102" t="s">
        <v>556</v>
      </c>
      <c r="F103" s="102" t="s">
        <v>557</v>
      </c>
      <c r="G103" s="102" t="s">
        <v>353</v>
      </c>
      <c r="H103" s="102" t="s">
        <v>354</v>
      </c>
      <c r="I103" s="102" t="s">
        <v>284</v>
      </c>
      <c r="J103" s="102" t="s">
        <v>26</v>
      </c>
      <c r="L103" s="229" t="s">
        <v>10729</v>
      </c>
      <c r="M103" s="229" t="s">
        <v>10730</v>
      </c>
      <c r="N103" s="229" t="s">
        <v>10731</v>
      </c>
      <c r="O103" s="102">
        <v>2.0</v>
      </c>
      <c r="P103" s="102" t="s">
        <v>435</v>
      </c>
      <c r="R103" s="102"/>
      <c r="S103" s="102">
        <v>0.0</v>
      </c>
      <c r="T103" s="193" t="str">
        <f>IF(ISNUMBER(MATCH(C103, 'Sprint 4'!C:C, 0)), "มาจาก Sprint 4", "")</f>
        <v>มาจาก Sprint 4</v>
      </c>
      <c r="U103" s="102">
        <v>7200.0</v>
      </c>
    </row>
    <row r="104" hidden="1">
      <c r="A104" s="102" t="s">
        <v>310</v>
      </c>
      <c r="B104" s="102" t="s">
        <v>10732</v>
      </c>
      <c r="C104" s="229" t="s">
        <v>10733</v>
      </c>
      <c r="D104" s="102" t="s">
        <v>10734</v>
      </c>
      <c r="E104" s="102" t="s">
        <v>314</v>
      </c>
      <c r="F104" s="102" t="s">
        <v>315</v>
      </c>
      <c r="G104" s="102" t="s">
        <v>353</v>
      </c>
      <c r="H104" s="102" t="s">
        <v>354</v>
      </c>
      <c r="I104" s="102" t="s">
        <v>284</v>
      </c>
      <c r="J104" s="102" t="s">
        <v>26</v>
      </c>
      <c r="L104" s="229" t="s">
        <v>10735</v>
      </c>
      <c r="M104" s="229" t="s">
        <v>10599</v>
      </c>
      <c r="N104" s="229" t="s">
        <v>10736</v>
      </c>
      <c r="O104" s="102">
        <v>5.0</v>
      </c>
      <c r="P104" s="102" t="s">
        <v>6991</v>
      </c>
      <c r="R104" s="230"/>
      <c r="S104" s="102">
        <v>28800.0</v>
      </c>
      <c r="T104" s="193" t="str">
        <f>IF(ISNUMBER(MATCH(C104, 'Sprint 4'!C:C, 0)), "มาจาก Sprint 4", "")</f>
        <v>มาจาก Sprint 4</v>
      </c>
      <c r="U104" s="102" t="s">
        <v>3995</v>
      </c>
    </row>
    <row r="105" hidden="1">
      <c r="A105" s="102" t="s">
        <v>310</v>
      </c>
      <c r="B105" s="102" t="s">
        <v>10737</v>
      </c>
      <c r="C105" s="229" t="s">
        <v>10738</v>
      </c>
      <c r="D105" s="102" t="s">
        <v>10739</v>
      </c>
      <c r="E105" s="102" t="s">
        <v>314</v>
      </c>
      <c r="F105" s="102" t="s">
        <v>315</v>
      </c>
      <c r="G105" s="102" t="s">
        <v>314</v>
      </c>
      <c r="H105" s="102" t="s">
        <v>315</v>
      </c>
      <c r="I105" s="102" t="s">
        <v>284</v>
      </c>
      <c r="J105" s="102" t="s">
        <v>26</v>
      </c>
      <c r="L105" s="229" t="s">
        <v>10740</v>
      </c>
      <c r="M105" s="229" t="s">
        <v>10608</v>
      </c>
      <c r="N105" s="229" t="s">
        <v>10600</v>
      </c>
      <c r="O105" s="102">
        <v>1.0</v>
      </c>
      <c r="P105" s="102" t="s">
        <v>593</v>
      </c>
      <c r="R105" s="230"/>
      <c r="S105" s="102">
        <v>3600.0</v>
      </c>
      <c r="T105" s="193" t="str">
        <f>IF(ISNUMBER(MATCH(C105, 'Sprint 4'!C:C, 0)), "มาจาก Sprint 4", "")</f>
        <v/>
      </c>
    </row>
    <row r="106" hidden="1">
      <c r="A106" s="102" t="s">
        <v>310</v>
      </c>
      <c r="B106" s="102" t="s">
        <v>10741</v>
      </c>
      <c r="C106" s="229" t="s">
        <v>10742</v>
      </c>
      <c r="D106" s="102" t="s">
        <v>10743</v>
      </c>
      <c r="E106" s="102" t="s">
        <v>513</v>
      </c>
      <c r="F106" s="102" t="s">
        <v>514</v>
      </c>
      <c r="G106" s="102" t="s">
        <v>353</v>
      </c>
      <c r="H106" s="102" t="s">
        <v>354</v>
      </c>
      <c r="I106" s="102" t="s">
        <v>284</v>
      </c>
      <c r="J106" s="102" t="s">
        <v>26</v>
      </c>
      <c r="L106" s="229" t="s">
        <v>10744</v>
      </c>
      <c r="M106" s="229" t="s">
        <v>10599</v>
      </c>
      <c r="N106" s="229" t="s">
        <v>10097</v>
      </c>
      <c r="O106" s="102">
        <v>5.0</v>
      </c>
      <c r="P106" s="102" t="s">
        <v>7593</v>
      </c>
      <c r="R106" s="102"/>
      <c r="S106" s="102">
        <v>0.0</v>
      </c>
      <c r="T106" s="193" t="str">
        <f>IF(ISNUMBER(MATCH(C106, 'Sprint 4'!C:C, 0)), "มาจาก Sprint 4", "")</f>
        <v>มาจาก Sprint 4</v>
      </c>
      <c r="U106" s="102">
        <v>86400.0</v>
      </c>
    </row>
    <row r="107" hidden="1">
      <c r="A107" s="102" t="s">
        <v>310</v>
      </c>
      <c r="B107" s="102" t="s">
        <v>10745</v>
      </c>
      <c r="C107" s="229" t="s">
        <v>10746</v>
      </c>
      <c r="D107" s="102" t="s">
        <v>10747</v>
      </c>
      <c r="E107" s="102" t="s">
        <v>314</v>
      </c>
      <c r="F107" s="102" t="s">
        <v>315</v>
      </c>
      <c r="G107" s="102" t="s">
        <v>314</v>
      </c>
      <c r="H107" s="102" t="s">
        <v>315</v>
      </c>
      <c r="I107" s="102" t="s">
        <v>284</v>
      </c>
      <c r="J107" s="102" t="s">
        <v>26</v>
      </c>
      <c r="L107" s="229" t="s">
        <v>10748</v>
      </c>
      <c r="M107" s="229" t="s">
        <v>10696</v>
      </c>
      <c r="N107" s="102"/>
      <c r="O107" s="102">
        <v>5.0</v>
      </c>
      <c r="P107" s="102" t="s">
        <v>593</v>
      </c>
      <c r="R107" s="102"/>
      <c r="S107" s="102">
        <v>43200.0</v>
      </c>
      <c r="T107" s="193" t="str">
        <f>IF(ISNUMBER(MATCH(C107, 'Sprint 4'!C:C, 0)), "มาจาก Sprint 4", "")</f>
        <v>มาจาก Sprint 4</v>
      </c>
    </row>
    <row r="108" hidden="1">
      <c r="A108" s="102" t="s">
        <v>310</v>
      </c>
      <c r="B108" s="102" t="s">
        <v>10393</v>
      </c>
      <c r="C108" s="229" t="s">
        <v>10394</v>
      </c>
      <c r="D108" s="102" t="s">
        <v>10395</v>
      </c>
      <c r="E108" s="102" t="s">
        <v>10234</v>
      </c>
      <c r="F108" s="102" t="s">
        <v>565</v>
      </c>
      <c r="G108" s="102" t="s">
        <v>282</v>
      </c>
      <c r="H108" s="102" t="s">
        <v>283</v>
      </c>
      <c r="I108" s="102" t="s">
        <v>284</v>
      </c>
      <c r="J108" s="102" t="s">
        <v>454</v>
      </c>
      <c r="L108" s="229" t="s">
        <v>10396</v>
      </c>
      <c r="M108" s="229" t="s">
        <v>10601</v>
      </c>
      <c r="N108" s="229" t="s">
        <v>10352</v>
      </c>
      <c r="O108" s="102">
        <v>5.0</v>
      </c>
      <c r="P108" s="102" t="s">
        <v>1946</v>
      </c>
      <c r="Q108" s="102"/>
      <c r="R108" s="102"/>
      <c r="S108" s="102">
        <v>72000.0</v>
      </c>
      <c r="T108" s="193" t="str">
        <f>IF(ISNUMBER(MATCH(C108, 'Sprint 4'!C:C, 0)), "มาจาก Sprint 4", "")</f>
        <v/>
      </c>
    </row>
    <row r="109" hidden="1">
      <c r="A109" s="102" t="s">
        <v>310</v>
      </c>
      <c r="B109" s="102" t="s">
        <v>10397</v>
      </c>
      <c r="C109" s="229" t="s">
        <v>10398</v>
      </c>
      <c r="D109" s="102" t="s">
        <v>10399</v>
      </c>
      <c r="E109" s="102" t="s">
        <v>10144</v>
      </c>
      <c r="F109" s="102" t="s">
        <v>305</v>
      </c>
      <c r="G109" s="102" t="s">
        <v>282</v>
      </c>
      <c r="H109" s="102" t="s">
        <v>283</v>
      </c>
      <c r="I109" s="102" t="s">
        <v>284</v>
      </c>
      <c r="J109" s="102" t="s">
        <v>678</v>
      </c>
      <c r="L109" s="229" t="s">
        <v>10400</v>
      </c>
      <c r="M109" s="229" t="s">
        <v>10749</v>
      </c>
      <c r="O109" s="102">
        <v>3.0</v>
      </c>
      <c r="P109" s="102" t="s">
        <v>1808</v>
      </c>
      <c r="Q109" s="102"/>
      <c r="R109" s="102"/>
      <c r="S109" s="102">
        <v>57600.0</v>
      </c>
      <c r="T109" s="193" t="str">
        <f>IF(ISNUMBER(MATCH(C109, 'Sprint 4'!C:C, 0)), "มาจาก Sprint 4", "")</f>
        <v/>
      </c>
    </row>
    <row r="110" hidden="1">
      <c r="A110" s="102" t="s">
        <v>310</v>
      </c>
      <c r="B110" s="102" t="s">
        <v>10750</v>
      </c>
      <c r="C110" s="229" t="s">
        <v>10751</v>
      </c>
      <c r="D110" s="102" t="s">
        <v>10752</v>
      </c>
      <c r="E110" s="102" t="s">
        <v>282</v>
      </c>
      <c r="F110" s="102" t="s">
        <v>283</v>
      </c>
      <c r="G110" s="102" t="s">
        <v>282</v>
      </c>
      <c r="H110" s="102" t="s">
        <v>283</v>
      </c>
      <c r="I110" s="102" t="s">
        <v>284</v>
      </c>
      <c r="J110" s="102" t="s">
        <v>26</v>
      </c>
      <c r="L110" s="229" t="s">
        <v>10753</v>
      </c>
      <c r="M110" s="229" t="s">
        <v>10754</v>
      </c>
      <c r="O110" s="102">
        <v>1.0</v>
      </c>
      <c r="P110" s="102" t="s">
        <v>6898</v>
      </c>
      <c r="R110" s="230"/>
      <c r="S110" s="102">
        <v>7200.0</v>
      </c>
      <c r="T110" s="193" t="str">
        <f>IF(ISNUMBER(MATCH(C110, 'Sprint 4'!C:C, 0)), "มาจาก Sprint 4", "")</f>
        <v/>
      </c>
    </row>
    <row r="111" hidden="1">
      <c r="A111" s="102" t="s">
        <v>310</v>
      </c>
      <c r="B111" s="102" t="s">
        <v>10755</v>
      </c>
      <c r="C111" s="229" t="s">
        <v>10756</v>
      </c>
      <c r="D111" s="102" t="s">
        <v>10757</v>
      </c>
      <c r="E111" s="102" t="s">
        <v>556</v>
      </c>
      <c r="F111" s="102" t="s">
        <v>557</v>
      </c>
      <c r="G111" s="102" t="s">
        <v>282</v>
      </c>
      <c r="H111" s="102" t="s">
        <v>283</v>
      </c>
      <c r="I111" s="102" t="s">
        <v>284</v>
      </c>
      <c r="J111" s="102" t="s">
        <v>454</v>
      </c>
      <c r="L111" s="229" t="s">
        <v>10753</v>
      </c>
      <c r="M111" s="229" t="s">
        <v>10758</v>
      </c>
      <c r="N111" s="229" t="s">
        <v>10759</v>
      </c>
      <c r="O111" s="102">
        <v>2.0</v>
      </c>
      <c r="P111" s="102" t="s">
        <v>504</v>
      </c>
      <c r="R111" s="230"/>
      <c r="S111" s="102">
        <v>14400.0</v>
      </c>
      <c r="T111" s="193" t="str">
        <f>IF(ISNUMBER(MATCH(C111, 'Sprint 4'!C:C, 0)), "มาจาก Sprint 4", "")</f>
        <v/>
      </c>
    </row>
    <row r="112">
      <c r="A112" s="102" t="s">
        <v>310</v>
      </c>
      <c r="B112" s="102" t="s">
        <v>10076</v>
      </c>
      <c r="C112" s="229" t="s">
        <v>10077</v>
      </c>
      <c r="D112" s="102" t="s">
        <v>10078</v>
      </c>
      <c r="E112" s="102" t="s">
        <v>495</v>
      </c>
      <c r="F112" s="102" t="s">
        <v>496</v>
      </c>
      <c r="G112" s="102" t="s">
        <v>282</v>
      </c>
      <c r="H112" s="102" t="s">
        <v>283</v>
      </c>
      <c r="I112" s="102" t="s">
        <v>284</v>
      </c>
      <c r="J112" s="102" t="s">
        <v>678</v>
      </c>
      <c r="L112" s="229" t="s">
        <v>10079</v>
      </c>
      <c r="M112" s="229" t="s">
        <v>10760</v>
      </c>
      <c r="N112" s="102"/>
      <c r="O112" s="102">
        <v>3.0</v>
      </c>
      <c r="P112" s="102" t="s">
        <v>593</v>
      </c>
      <c r="Q112" s="102" t="s">
        <v>1808</v>
      </c>
      <c r="R112" s="102"/>
      <c r="S112" s="102">
        <v>0.0</v>
      </c>
      <c r="T112" s="193" t="str">
        <f>IF(ISNUMBER(MATCH(C112, 'Sprint 4'!C:C, 0)), "มาจาก Sprint 4", "")</f>
        <v>มาจาก Sprint 4</v>
      </c>
      <c r="U112" s="102">
        <v>28800.0</v>
      </c>
    </row>
    <row r="113">
      <c r="A113" s="102" t="s">
        <v>310</v>
      </c>
      <c r="B113" s="102" t="s">
        <v>9088</v>
      </c>
      <c r="C113" s="229" t="s">
        <v>9089</v>
      </c>
      <c r="D113" s="102" t="s">
        <v>9090</v>
      </c>
      <c r="E113" s="102" t="s">
        <v>495</v>
      </c>
      <c r="F113" s="102" t="s">
        <v>496</v>
      </c>
      <c r="G113" s="102" t="s">
        <v>282</v>
      </c>
      <c r="H113" s="102" t="s">
        <v>283</v>
      </c>
      <c r="I113" s="102" t="s">
        <v>284</v>
      </c>
      <c r="J113" s="102" t="s">
        <v>678</v>
      </c>
      <c r="L113" s="229" t="s">
        <v>9091</v>
      </c>
      <c r="M113" s="229" t="s">
        <v>10760</v>
      </c>
      <c r="O113" s="102">
        <v>2.0</v>
      </c>
      <c r="P113" s="102" t="s">
        <v>593</v>
      </c>
      <c r="Q113" s="102" t="s">
        <v>7229</v>
      </c>
      <c r="R113" s="230"/>
      <c r="S113" s="102">
        <v>0.0</v>
      </c>
      <c r="T113" s="193" t="str">
        <f>IF(ISNUMBER(MATCH(C113, 'Sprint 4'!C:C, 0)), "มาจาก Sprint 4", "")</f>
        <v>มาจาก Sprint 4</v>
      </c>
      <c r="U113" s="102">
        <v>14400.0</v>
      </c>
    </row>
    <row r="114" hidden="1">
      <c r="A114" s="102" t="s">
        <v>332</v>
      </c>
      <c r="B114" s="102" t="s">
        <v>10083</v>
      </c>
      <c r="C114" s="229" t="s">
        <v>10084</v>
      </c>
      <c r="D114" s="102" t="s">
        <v>10085</v>
      </c>
      <c r="E114" s="102" t="s">
        <v>282</v>
      </c>
      <c r="F114" s="102" t="s">
        <v>283</v>
      </c>
      <c r="G114" s="102" t="s">
        <v>316</v>
      </c>
      <c r="H114" s="102" t="s">
        <v>317</v>
      </c>
      <c r="I114" s="102" t="s">
        <v>515</v>
      </c>
      <c r="J114" s="102" t="s">
        <v>2231</v>
      </c>
      <c r="L114" s="229" t="s">
        <v>10086</v>
      </c>
      <c r="M114" s="229" t="s">
        <v>10668</v>
      </c>
      <c r="O114" s="230"/>
      <c r="R114" s="230"/>
      <c r="S114" s="247"/>
      <c r="T114" s="193" t="str">
        <f>IF(ISNUMBER(MATCH(C114, 'Sprint 4'!C:C, 0)), "มาจาก Sprint 4", "")</f>
        <v>มาจาก Sprint 4</v>
      </c>
    </row>
    <row r="115" hidden="1">
      <c r="A115" s="102" t="s">
        <v>4410</v>
      </c>
      <c r="B115" s="102" t="s">
        <v>10761</v>
      </c>
      <c r="C115" s="229" t="s">
        <v>10762</v>
      </c>
      <c r="D115" s="102" t="s">
        <v>10763</v>
      </c>
      <c r="E115" s="102" t="s">
        <v>556</v>
      </c>
      <c r="F115" s="102" t="s">
        <v>557</v>
      </c>
      <c r="G115" s="102" t="s">
        <v>353</v>
      </c>
      <c r="H115" s="102" t="s">
        <v>354</v>
      </c>
      <c r="I115" s="102" t="s">
        <v>284</v>
      </c>
      <c r="J115" s="102" t="s">
        <v>454</v>
      </c>
      <c r="L115" s="229" t="s">
        <v>10764</v>
      </c>
      <c r="M115" s="229" t="s">
        <v>10599</v>
      </c>
      <c r="N115" s="229" t="s">
        <v>10333</v>
      </c>
      <c r="O115" s="102">
        <v>3.0</v>
      </c>
      <c r="P115" s="102" t="s">
        <v>6872</v>
      </c>
      <c r="R115" s="102"/>
      <c r="S115" s="247"/>
      <c r="T115" s="193" t="str">
        <f>IF(ISNUMBER(MATCH(C115, 'Sprint 4'!C:C, 0)), "มาจาก Sprint 4", "")</f>
        <v/>
      </c>
    </row>
    <row r="116" hidden="1">
      <c r="A116" s="102" t="s">
        <v>310</v>
      </c>
      <c r="B116" s="102" t="s">
        <v>10765</v>
      </c>
      <c r="C116" s="229" t="s">
        <v>10766</v>
      </c>
      <c r="D116" s="102" t="s">
        <v>10767</v>
      </c>
      <c r="E116" s="102" t="s">
        <v>556</v>
      </c>
      <c r="F116" s="102" t="s">
        <v>557</v>
      </c>
      <c r="G116" s="102" t="s">
        <v>353</v>
      </c>
      <c r="H116" s="102" t="s">
        <v>354</v>
      </c>
      <c r="I116" s="102" t="s">
        <v>284</v>
      </c>
      <c r="J116" s="102" t="s">
        <v>454</v>
      </c>
      <c r="L116" s="229" t="s">
        <v>10764</v>
      </c>
      <c r="M116" s="229" t="s">
        <v>10599</v>
      </c>
      <c r="N116" s="229" t="s">
        <v>10071</v>
      </c>
      <c r="O116" s="102">
        <v>5.0</v>
      </c>
      <c r="P116" s="102"/>
      <c r="R116" s="230"/>
      <c r="S116" s="102">
        <v>0.0</v>
      </c>
      <c r="T116" s="193" t="str">
        <f>IF(ISNUMBER(MATCH(C116, 'Sprint 4'!C:C, 0)), "มาจาก Sprint 4", "")</f>
        <v>มาจาก Sprint 4</v>
      </c>
      <c r="U116" s="102">
        <v>57600.0</v>
      </c>
    </row>
    <row r="117" hidden="1">
      <c r="A117" s="102" t="s">
        <v>332</v>
      </c>
      <c r="B117" s="102" t="s">
        <v>10093</v>
      </c>
      <c r="C117" s="229" t="s">
        <v>10094</v>
      </c>
      <c r="D117" s="102" t="s">
        <v>10095</v>
      </c>
      <c r="E117" s="102" t="s">
        <v>282</v>
      </c>
      <c r="F117" s="102" t="s">
        <v>283</v>
      </c>
      <c r="G117" s="102" t="s">
        <v>316</v>
      </c>
      <c r="H117" s="102" t="s">
        <v>317</v>
      </c>
      <c r="I117" s="102" t="s">
        <v>284</v>
      </c>
      <c r="J117" s="102" t="s">
        <v>2231</v>
      </c>
      <c r="L117" s="229" t="s">
        <v>10096</v>
      </c>
      <c r="M117" s="229" t="s">
        <v>10768</v>
      </c>
      <c r="O117" s="102"/>
      <c r="R117" s="230"/>
      <c r="S117" s="247"/>
      <c r="T117" s="193" t="str">
        <f>IF(ISNUMBER(MATCH(C117, 'Sprint 4'!C:C, 0)), "มาจาก Sprint 4", "")</f>
        <v>มาจาก Sprint 4</v>
      </c>
    </row>
    <row r="118" hidden="1">
      <c r="A118" s="102" t="s">
        <v>310</v>
      </c>
      <c r="B118" s="102" t="s">
        <v>10404</v>
      </c>
      <c r="C118" s="229" t="s">
        <v>10405</v>
      </c>
      <c r="D118" s="102" t="s">
        <v>10406</v>
      </c>
      <c r="E118" s="102"/>
      <c r="F118" s="102"/>
      <c r="G118" s="102" t="s">
        <v>10407</v>
      </c>
      <c r="H118" s="102" t="s">
        <v>10408</v>
      </c>
      <c r="I118" s="102" t="s">
        <v>284</v>
      </c>
      <c r="J118" s="102" t="s">
        <v>63</v>
      </c>
      <c r="L118" s="229" t="s">
        <v>10409</v>
      </c>
      <c r="M118" s="229" t="s">
        <v>10769</v>
      </c>
      <c r="O118" s="230"/>
      <c r="R118" s="230"/>
      <c r="S118" s="247"/>
      <c r="T118" s="193" t="str">
        <f>IF(ISNUMBER(MATCH(C118, 'Sprint 4'!C:C, 0)), "มาจาก Sprint 4", "")</f>
        <v/>
      </c>
    </row>
    <row r="119" hidden="1">
      <c r="A119" s="102" t="s">
        <v>310</v>
      </c>
      <c r="B119" s="102" t="s">
        <v>10103</v>
      </c>
      <c r="C119" s="229" t="s">
        <v>10104</v>
      </c>
      <c r="D119" s="102" t="s">
        <v>10105</v>
      </c>
      <c r="E119" s="102" t="s">
        <v>282</v>
      </c>
      <c r="F119" s="102" t="s">
        <v>283</v>
      </c>
      <c r="G119" s="102" t="s">
        <v>282</v>
      </c>
      <c r="H119" s="102" t="s">
        <v>283</v>
      </c>
      <c r="I119" s="102" t="s">
        <v>284</v>
      </c>
      <c r="J119" s="102" t="s">
        <v>454</v>
      </c>
      <c r="L119" s="229" t="s">
        <v>10106</v>
      </c>
      <c r="M119" s="229" t="s">
        <v>10668</v>
      </c>
      <c r="O119" s="102">
        <v>2.0</v>
      </c>
      <c r="P119" s="102" t="s">
        <v>1808</v>
      </c>
      <c r="R119" s="102"/>
      <c r="S119" s="102">
        <v>0.0</v>
      </c>
      <c r="T119" s="193" t="str">
        <f>IF(ISNUMBER(MATCH(C119, 'Sprint 4'!C:C, 0)), "มาจาก Sprint 4", "")</f>
        <v>มาจาก Sprint 4</v>
      </c>
      <c r="U119" s="102">
        <v>21600.0</v>
      </c>
    </row>
    <row r="120" hidden="1">
      <c r="A120" s="102" t="s">
        <v>310</v>
      </c>
      <c r="B120" s="102" t="s">
        <v>10107</v>
      </c>
      <c r="C120" s="229" t="s">
        <v>10108</v>
      </c>
      <c r="D120" s="102" t="s">
        <v>10109</v>
      </c>
      <c r="E120" s="102" t="s">
        <v>282</v>
      </c>
      <c r="F120" s="102" t="s">
        <v>283</v>
      </c>
      <c r="G120" s="102" t="s">
        <v>316</v>
      </c>
      <c r="H120" s="102" t="s">
        <v>317</v>
      </c>
      <c r="I120" s="102" t="s">
        <v>284</v>
      </c>
      <c r="J120" s="102" t="s">
        <v>63</v>
      </c>
      <c r="L120" s="229" t="s">
        <v>10110</v>
      </c>
      <c r="M120" s="229" t="s">
        <v>10770</v>
      </c>
      <c r="N120" s="229" t="s">
        <v>10112</v>
      </c>
      <c r="O120" s="102"/>
      <c r="P120" s="102" t="s">
        <v>593</v>
      </c>
      <c r="R120" s="230"/>
      <c r="S120" s="247"/>
      <c r="T120" s="193" t="str">
        <f>IF(ISNUMBER(MATCH(C120, 'Sprint 4'!C:C, 0)), "มาจาก Sprint 4", "")</f>
        <v>มาจาก Sprint 4</v>
      </c>
    </row>
    <row r="121" hidden="1">
      <c r="A121" s="102" t="s">
        <v>332</v>
      </c>
      <c r="B121" s="102" t="s">
        <v>10113</v>
      </c>
      <c r="C121" s="229" t="s">
        <v>10114</v>
      </c>
      <c r="D121" s="102" t="s">
        <v>10115</v>
      </c>
      <c r="E121" s="102" t="s">
        <v>353</v>
      </c>
      <c r="F121" s="102" t="s">
        <v>354</v>
      </c>
      <c r="G121" s="102" t="s">
        <v>316</v>
      </c>
      <c r="H121" s="102" t="s">
        <v>317</v>
      </c>
      <c r="I121" s="102" t="s">
        <v>515</v>
      </c>
      <c r="J121" s="102" t="s">
        <v>922</v>
      </c>
      <c r="L121" s="229" t="s">
        <v>10116</v>
      </c>
      <c r="M121" s="229" t="s">
        <v>10668</v>
      </c>
      <c r="O121" s="102">
        <v>3.0</v>
      </c>
      <c r="P121" s="102"/>
      <c r="R121" s="102"/>
      <c r="S121" s="247"/>
      <c r="T121" s="193" t="str">
        <f>IF(ISNUMBER(MATCH(C121, 'Sprint 4'!C:C, 0)), "มาจาก Sprint 4", "")</f>
        <v>มาจาก Sprint 4</v>
      </c>
    </row>
    <row r="122" hidden="1">
      <c r="A122" s="102" t="s">
        <v>332</v>
      </c>
      <c r="B122" s="102" t="s">
        <v>10118</v>
      </c>
      <c r="C122" s="229" t="s">
        <v>10119</v>
      </c>
      <c r="D122" s="102" t="s">
        <v>10120</v>
      </c>
      <c r="E122" s="102" t="s">
        <v>513</v>
      </c>
      <c r="F122" s="102" t="s">
        <v>514</v>
      </c>
      <c r="G122" s="102" t="s">
        <v>521</v>
      </c>
      <c r="H122" s="102" t="s">
        <v>522</v>
      </c>
      <c r="I122" s="102" t="s">
        <v>284</v>
      </c>
      <c r="J122" s="102" t="s">
        <v>922</v>
      </c>
      <c r="L122" s="229" t="s">
        <v>10121</v>
      </c>
      <c r="M122" s="229" t="s">
        <v>10771</v>
      </c>
      <c r="O122" s="230"/>
      <c r="R122" s="230"/>
      <c r="S122" s="247"/>
      <c r="T122" s="193" t="str">
        <f>IF(ISNUMBER(MATCH(C122, 'Sprint 4'!C:C, 0)), "มาจาก Sprint 4", "")</f>
        <v>มาจาก Sprint 4</v>
      </c>
    </row>
    <row r="123" hidden="1">
      <c r="A123" s="102" t="s">
        <v>4410</v>
      </c>
      <c r="B123" s="102" t="s">
        <v>10411</v>
      </c>
      <c r="C123" s="229" t="s">
        <v>10412</v>
      </c>
      <c r="D123" s="102" t="s">
        <v>10413</v>
      </c>
      <c r="E123" s="102" t="s">
        <v>314</v>
      </c>
      <c r="F123" s="102" t="s">
        <v>315</v>
      </c>
      <c r="G123" s="102" t="s">
        <v>314</v>
      </c>
      <c r="H123" s="102" t="s">
        <v>315</v>
      </c>
      <c r="I123" s="102" t="s">
        <v>284</v>
      </c>
      <c r="J123" s="102" t="s">
        <v>355</v>
      </c>
      <c r="L123" s="229" t="s">
        <v>10414</v>
      </c>
      <c r="M123" s="229" t="s">
        <v>10668</v>
      </c>
      <c r="O123" s="102">
        <v>2.0</v>
      </c>
      <c r="R123" s="230"/>
      <c r="S123" s="102">
        <v>0.0</v>
      </c>
      <c r="T123" s="193" t="str">
        <f>IF(ISNUMBER(MATCH(C123, 'Sprint 4'!C:C, 0)), "มาจาก Sprint 4", "")</f>
        <v>มาจาก Sprint 4</v>
      </c>
      <c r="U123" s="102">
        <v>1800.0</v>
      </c>
    </row>
    <row r="124" hidden="1">
      <c r="A124" s="102" t="s">
        <v>4410</v>
      </c>
      <c r="B124" s="102" t="s">
        <v>10772</v>
      </c>
      <c r="C124" s="229" t="s">
        <v>10773</v>
      </c>
      <c r="D124" s="102" t="s">
        <v>10774</v>
      </c>
      <c r="E124" s="102" t="s">
        <v>353</v>
      </c>
      <c r="F124" s="102" t="s">
        <v>354</v>
      </c>
      <c r="G124" s="102" t="s">
        <v>353</v>
      </c>
      <c r="H124" s="102" t="s">
        <v>354</v>
      </c>
      <c r="I124" s="102" t="s">
        <v>284</v>
      </c>
      <c r="J124" s="102" t="s">
        <v>26</v>
      </c>
      <c r="L124" s="229" t="s">
        <v>10775</v>
      </c>
      <c r="M124" s="229" t="s">
        <v>10776</v>
      </c>
      <c r="O124" s="102">
        <v>1.0</v>
      </c>
      <c r="P124" s="102" t="s">
        <v>593</v>
      </c>
      <c r="R124" s="230"/>
      <c r="S124" s="102">
        <v>3600.0</v>
      </c>
      <c r="T124" s="193" t="str">
        <f>IF(ISNUMBER(MATCH(C124, 'Sprint 4'!C:C, 0)), "มาจาก Sprint 4", "")</f>
        <v>มาจาก Sprint 4</v>
      </c>
    </row>
    <row r="125">
      <c r="A125" s="102" t="s">
        <v>310</v>
      </c>
      <c r="B125" s="102" t="s">
        <v>10777</v>
      </c>
      <c r="C125" s="229" t="s">
        <v>10778</v>
      </c>
      <c r="D125" s="102" t="s">
        <v>10779</v>
      </c>
      <c r="E125" s="102" t="s">
        <v>495</v>
      </c>
      <c r="F125" s="102" t="s">
        <v>496</v>
      </c>
      <c r="G125" s="102" t="s">
        <v>10144</v>
      </c>
      <c r="H125" s="102" t="s">
        <v>305</v>
      </c>
      <c r="I125" s="102" t="s">
        <v>284</v>
      </c>
      <c r="J125" s="102" t="s">
        <v>26</v>
      </c>
      <c r="L125" s="229" t="s">
        <v>10780</v>
      </c>
      <c r="M125" s="229" t="s">
        <v>10781</v>
      </c>
      <c r="O125" s="102">
        <v>3.0</v>
      </c>
      <c r="P125" s="102" t="s">
        <v>6415</v>
      </c>
      <c r="R125" s="230"/>
      <c r="S125" s="102">
        <v>0.0</v>
      </c>
      <c r="T125" s="193" t="str">
        <f>IF(ISNUMBER(MATCH(C125, 'Sprint 4'!C:C, 0)), "มาจาก Sprint 4", "")</f>
        <v>มาจาก Sprint 4</v>
      </c>
      <c r="U125" s="102">
        <v>14400.0</v>
      </c>
    </row>
    <row r="126" hidden="1">
      <c r="A126" s="102" t="s">
        <v>332</v>
      </c>
      <c r="B126" s="102" t="s">
        <v>10126</v>
      </c>
      <c r="C126" s="229" t="s">
        <v>10127</v>
      </c>
      <c r="D126" s="102" t="s">
        <v>10128</v>
      </c>
      <c r="E126" s="102" t="s">
        <v>513</v>
      </c>
      <c r="F126" s="102" t="s">
        <v>514</v>
      </c>
      <c r="G126" s="102" t="s">
        <v>316</v>
      </c>
      <c r="H126" s="102" t="s">
        <v>317</v>
      </c>
      <c r="I126" s="102" t="s">
        <v>515</v>
      </c>
      <c r="J126" s="102" t="s">
        <v>1540</v>
      </c>
      <c r="L126" s="229" t="s">
        <v>10129</v>
      </c>
      <c r="M126" s="229" t="s">
        <v>10650</v>
      </c>
      <c r="O126" s="230"/>
      <c r="R126" s="230"/>
      <c r="S126" s="247"/>
      <c r="T126" s="193" t="str">
        <f>IF(ISNUMBER(MATCH(C126, 'Sprint 4'!C:C, 0)), "มาจาก Sprint 4", "")</f>
        <v>มาจาก Sprint 4</v>
      </c>
    </row>
    <row r="127" hidden="1">
      <c r="A127" s="102" t="s">
        <v>332</v>
      </c>
      <c r="B127" s="102" t="s">
        <v>10132</v>
      </c>
      <c r="C127" s="229" t="s">
        <v>10133</v>
      </c>
      <c r="D127" s="102" t="s">
        <v>10134</v>
      </c>
      <c r="E127" s="102" t="s">
        <v>282</v>
      </c>
      <c r="F127" s="102" t="s">
        <v>283</v>
      </c>
      <c r="G127" s="102" t="s">
        <v>316</v>
      </c>
      <c r="H127" s="102" t="s">
        <v>317</v>
      </c>
      <c r="I127" s="102" t="s">
        <v>515</v>
      </c>
      <c r="J127" s="102" t="s">
        <v>2231</v>
      </c>
      <c r="L127" s="229" t="s">
        <v>10135</v>
      </c>
      <c r="M127" s="229" t="s">
        <v>10668</v>
      </c>
      <c r="O127" s="230"/>
      <c r="R127" s="230"/>
      <c r="S127" s="247"/>
      <c r="T127" s="193" t="str">
        <f>IF(ISNUMBER(MATCH(C127, 'Sprint 4'!C:C, 0)), "มาจาก Sprint 4", "")</f>
        <v>มาจาก Sprint 4</v>
      </c>
    </row>
    <row r="128" hidden="1">
      <c r="O128" s="230"/>
      <c r="R128" s="230"/>
      <c r="S128" s="247"/>
      <c r="T128" s="193" t="str">
        <f>IF(ISNUMBER(MATCH(C128, 'Sprint 3'!C:C, 0)), "มาจาก Sprint 3", "")</f>
        <v/>
      </c>
    </row>
    <row r="129" hidden="1">
      <c r="O129" s="230"/>
      <c r="R129" s="230"/>
      <c r="S129" s="247"/>
      <c r="T129" s="193" t="str">
        <f>IF(ISNUMBER(MATCH(C129, 'Sprint 3'!C:C, 0)), "มาจาก Sprint 3", "")</f>
        <v/>
      </c>
    </row>
    <row r="130" hidden="1">
      <c r="O130" s="230"/>
      <c r="R130" s="230"/>
      <c r="S130" s="247"/>
      <c r="T130" s="193" t="str">
        <f>IF(ISNUMBER(MATCH(C130, 'Sprint 3'!C:C, 0)), "มาจาก Sprint 3", "")</f>
        <v/>
      </c>
    </row>
    <row r="131" hidden="1">
      <c r="O131" s="230"/>
      <c r="R131" s="230"/>
      <c r="S131" s="247"/>
      <c r="T131" s="193" t="str">
        <f>IF(ISNUMBER(MATCH(C131, 'Sprint 3'!C:C, 0)), "มาจาก Sprint 3", "")</f>
        <v/>
      </c>
    </row>
    <row r="132" hidden="1">
      <c r="O132" s="230"/>
      <c r="R132" s="230"/>
      <c r="S132" s="247"/>
      <c r="T132" s="193" t="str">
        <f>IF(ISNUMBER(MATCH(C132, 'Sprint 3'!C:C, 0)), "มาจาก Sprint 3", "")</f>
        <v/>
      </c>
    </row>
    <row r="133" hidden="1">
      <c r="O133" s="230"/>
      <c r="R133" s="230"/>
      <c r="S133" s="247"/>
      <c r="T133" s="193" t="str">
        <f>IF(ISNUMBER(MATCH(C133, 'Sprint 3'!C:C, 0)), "มาจาก Sprint 3", "")</f>
        <v/>
      </c>
    </row>
    <row r="134" hidden="1">
      <c r="O134" s="230"/>
      <c r="R134" s="230"/>
      <c r="S134" s="247"/>
      <c r="T134" s="193" t="str">
        <f>IF(ISNUMBER(MATCH(C134, 'Sprint 3'!C:C, 0)), "มาจาก Sprint 3", "")</f>
        <v/>
      </c>
    </row>
    <row r="135" hidden="1">
      <c r="O135" s="230"/>
      <c r="R135" s="230"/>
      <c r="S135" s="247"/>
      <c r="T135" s="193" t="str">
        <f>IF(ISNUMBER(MATCH(C135, 'Sprint 3'!C:C, 0)), "มาจาก Sprint 3", "")</f>
        <v/>
      </c>
    </row>
    <row r="136" hidden="1">
      <c r="O136" s="230"/>
      <c r="R136" s="230"/>
      <c r="S136" s="247"/>
      <c r="T136" s="193" t="str">
        <f>IF(ISNUMBER(MATCH(C136, 'Sprint 3'!C:C, 0)), "มาจาก Sprint 3", "")</f>
        <v/>
      </c>
    </row>
    <row r="137" hidden="1">
      <c r="O137" s="230"/>
      <c r="R137" s="230"/>
      <c r="S137" s="247"/>
      <c r="T137" s="193" t="str">
        <f>IF(ISNUMBER(MATCH(C137, 'Sprint 3'!C:C, 0)), "มาจาก Sprint 3", "")</f>
        <v/>
      </c>
    </row>
    <row r="138" hidden="1">
      <c r="O138" s="230"/>
      <c r="R138" s="230"/>
      <c r="S138" s="247"/>
      <c r="T138" s="193" t="str">
        <f>IF(ISNUMBER(MATCH(C138, 'Sprint 3'!C:C, 0)), "มาจาก Sprint 3", "")</f>
        <v/>
      </c>
    </row>
    <row r="139" hidden="1">
      <c r="O139" s="230"/>
      <c r="R139" s="230"/>
      <c r="S139" s="247"/>
      <c r="T139" s="193" t="str">
        <f>IF(ISNUMBER(MATCH(C139, 'Sprint 3'!C:C, 0)), "มาจาก Sprint 3", "")</f>
        <v/>
      </c>
    </row>
    <row r="140" hidden="1">
      <c r="O140" s="230"/>
      <c r="R140" s="230"/>
      <c r="S140" s="247"/>
      <c r="T140" s="193" t="str">
        <f>IF(ISNUMBER(MATCH(C140, 'Sprint 3'!C:C, 0)), "มาจาก Sprint 3", "")</f>
        <v/>
      </c>
    </row>
    <row r="141" hidden="1">
      <c r="O141" s="230"/>
      <c r="R141" s="230"/>
      <c r="S141" s="247"/>
      <c r="T141" s="193" t="str">
        <f>IF(ISNUMBER(MATCH(C141, 'Sprint 3'!C:C, 0)), "มาจาก Sprint 3", "")</f>
        <v/>
      </c>
    </row>
    <row r="142" hidden="1">
      <c r="O142" s="230"/>
      <c r="R142" s="230"/>
      <c r="S142" s="247"/>
      <c r="T142" s="193" t="str">
        <f>IF(ISNUMBER(MATCH(C142, 'Sprint 3'!C:C, 0)), "มาจาก Sprint 3", "")</f>
        <v/>
      </c>
    </row>
    <row r="143" hidden="1">
      <c r="O143" s="230"/>
      <c r="R143" s="230"/>
      <c r="S143" s="247"/>
      <c r="T143" s="193" t="str">
        <f>IF(ISNUMBER(MATCH(C143, 'Sprint 3'!C:C, 0)), "มาจาก Sprint 3", "")</f>
        <v/>
      </c>
    </row>
    <row r="144" hidden="1">
      <c r="O144" s="230"/>
      <c r="R144" s="230"/>
      <c r="S144" s="247"/>
      <c r="T144" s="193" t="str">
        <f>IF(ISNUMBER(MATCH(C144, 'Sprint 3'!C:C, 0)), "มาจาก Sprint 3", "")</f>
        <v/>
      </c>
    </row>
    <row r="145" hidden="1">
      <c r="O145" s="230"/>
      <c r="R145" s="230"/>
      <c r="S145" s="247"/>
      <c r="T145" s="193" t="str">
        <f>IF(ISNUMBER(MATCH(C145, 'Sprint 3'!C:C, 0)), "มาจาก Sprint 3", "")</f>
        <v/>
      </c>
    </row>
    <row r="146" hidden="1">
      <c r="O146" s="230"/>
      <c r="R146" s="230"/>
      <c r="S146" s="247"/>
      <c r="T146" s="193" t="str">
        <f>IF(ISNUMBER(MATCH(C146, 'Sprint 3'!C:C, 0)), "มาจาก Sprint 3", "")</f>
        <v/>
      </c>
    </row>
    <row r="147" hidden="1">
      <c r="O147" s="230"/>
      <c r="R147" s="230"/>
      <c r="S147" s="247"/>
      <c r="T147" s="193" t="str">
        <f>IF(ISNUMBER(MATCH(C147, 'Sprint 3'!C:C, 0)), "มาจาก Sprint 3", "")</f>
        <v/>
      </c>
    </row>
    <row r="148" hidden="1">
      <c r="O148" s="230"/>
      <c r="R148" s="230"/>
      <c r="S148" s="247"/>
      <c r="T148" s="193" t="str">
        <f>IF(ISNUMBER(MATCH(C148, 'Sprint 3'!C:C, 0)), "มาจาก Sprint 3", "")</f>
        <v/>
      </c>
    </row>
    <row r="149" hidden="1">
      <c r="O149" s="230"/>
      <c r="R149" s="230"/>
      <c r="S149" s="247"/>
      <c r="T149" s="193"/>
    </row>
    <row r="150" hidden="1">
      <c r="O150" s="230"/>
      <c r="R150" s="230"/>
      <c r="S150" s="247"/>
      <c r="T150" s="193"/>
    </row>
    <row r="151" hidden="1">
      <c r="O151" s="230"/>
      <c r="R151" s="230"/>
      <c r="S151" s="247"/>
      <c r="T151" s="193"/>
    </row>
    <row r="152" hidden="1">
      <c r="O152" s="230"/>
      <c r="R152" s="230"/>
      <c r="S152" s="247"/>
      <c r="T152" s="193"/>
    </row>
    <row r="153" hidden="1">
      <c r="O153" s="230"/>
      <c r="R153" s="230"/>
      <c r="S153" s="247"/>
      <c r="T153" s="193"/>
    </row>
    <row r="154" hidden="1">
      <c r="O154" s="230"/>
      <c r="R154" s="230"/>
      <c r="S154" s="247"/>
      <c r="T154" s="193"/>
    </row>
    <row r="155" hidden="1">
      <c r="O155" s="230"/>
      <c r="R155" s="230"/>
      <c r="S155" s="247"/>
      <c r="T155" s="193"/>
    </row>
    <row r="156" hidden="1">
      <c r="O156" s="230"/>
      <c r="R156" s="230"/>
      <c r="S156" s="247"/>
      <c r="T156" s="193"/>
    </row>
    <row r="157" hidden="1">
      <c r="O157" s="230"/>
      <c r="R157" s="230"/>
      <c r="S157" s="247"/>
      <c r="T157" s="193"/>
    </row>
    <row r="158" hidden="1">
      <c r="O158" s="230"/>
      <c r="R158" s="230"/>
      <c r="S158" s="247"/>
      <c r="T158" s="193"/>
    </row>
    <row r="159" hidden="1">
      <c r="O159" s="230"/>
      <c r="R159" s="230"/>
      <c r="S159" s="247"/>
      <c r="T159" s="193"/>
    </row>
    <row r="160" hidden="1">
      <c r="O160" s="230"/>
      <c r="R160" s="230"/>
      <c r="S160" s="247"/>
      <c r="T160" s="193"/>
    </row>
    <row r="161" hidden="1">
      <c r="O161" s="230"/>
      <c r="R161" s="230"/>
      <c r="S161" s="247"/>
      <c r="T161" s="193"/>
    </row>
    <row r="162" hidden="1">
      <c r="O162" s="230"/>
      <c r="R162" s="230"/>
      <c r="S162" s="247"/>
      <c r="T162" s="193"/>
    </row>
    <row r="163" hidden="1">
      <c r="O163" s="230"/>
      <c r="R163" s="230"/>
      <c r="S163" s="247"/>
      <c r="T163" s="193"/>
    </row>
    <row r="164" hidden="1">
      <c r="O164" s="230"/>
      <c r="R164" s="230"/>
      <c r="S164" s="247"/>
      <c r="T164" s="193"/>
    </row>
    <row r="165" hidden="1">
      <c r="O165" s="230"/>
      <c r="R165" s="230"/>
      <c r="S165" s="247"/>
      <c r="T165" s="193"/>
    </row>
    <row r="166" hidden="1">
      <c r="O166" s="230"/>
      <c r="R166" s="230"/>
      <c r="S166" s="247"/>
      <c r="T166" s="193"/>
    </row>
    <row r="167" hidden="1">
      <c r="O167" s="230"/>
      <c r="R167" s="230"/>
      <c r="S167" s="247"/>
      <c r="T167" s="193"/>
    </row>
    <row r="168" hidden="1">
      <c r="O168" s="230"/>
      <c r="R168" s="230"/>
      <c r="S168" s="247"/>
      <c r="T168" s="193"/>
    </row>
    <row r="169" hidden="1">
      <c r="O169" s="230"/>
      <c r="R169" s="230"/>
      <c r="S169" s="247"/>
      <c r="T169" s="193"/>
    </row>
    <row r="170" hidden="1">
      <c r="O170" s="230"/>
      <c r="R170" s="230"/>
      <c r="S170" s="247"/>
      <c r="T170" s="193"/>
    </row>
    <row r="171" hidden="1">
      <c r="O171" s="230"/>
      <c r="R171" s="230"/>
      <c r="S171" s="247"/>
      <c r="T171" s="193"/>
    </row>
    <row r="172" hidden="1">
      <c r="O172" s="230"/>
      <c r="R172" s="230"/>
      <c r="S172" s="247"/>
      <c r="T172" s="193"/>
    </row>
    <row r="173" hidden="1">
      <c r="O173" s="230"/>
      <c r="R173" s="230"/>
      <c r="S173" s="247"/>
      <c r="T173" s="193"/>
    </row>
    <row r="174" hidden="1">
      <c r="O174" s="230"/>
      <c r="R174" s="230"/>
      <c r="S174" s="247"/>
      <c r="T174" s="193"/>
    </row>
    <row r="175" hidden="1">
      <c r="O175" s="230"/>
      <c r="R175" s="230"/>
      <c r="S175" s="247"/>
      <c r="T175" s="193"/>
    </row>
    <row r="176" hidden="1">
      <c r="O176" s="230"/>
      <c r="R176" s="230"/>
      <c r="S176" s="247"/>
      <c r="T176" s="193"/>
    </row>
    <row r="177" hidden="1">
      <c r="O177" s="230"/>
      <c r="R177" s="230"/>
      <c r="S177" s="247"/>
      <c r="T177" s="193"/>
    </row>
    <row r="178" hidden="1">
      <c r="O178" s="230"/>
      <c r="R178" s="230"/>
      <c r="S178" s="247"/>
      <c r="T178" s="193"/>
    </row>
    <row r="179" hidden="1">
      <c r="O179" s="230"/>
      <c r="R179" s="230"/>
      <c r="S179" s="247"/>
      <c r="T179" s="193"/>
    </row>
    <row r="180" hidden="1">
      <c r="O180" s="230"/>
      <c r="R180" s="230"/>
      <c r="S180" s="247"/>
      <c r="T180" s="193"/>
    </row>
    <row r="181" hidden="1">
      <c r="O181" s="230"/>
      <c r="R181" s="230"/>
      <c r="S181" s="247"/>
      <c r="T181" s="193"/>
    </row>
    <row r="182" hidden="1">
      <c r="O182" s="230"/>
      <c r="R182" s="230"/>
      <c r="S182" s="247"/>
      <c r="T182" s="193"/>
    </row>
    <row r="183" hidden="1">
      <c r="O183" s="230"/>
      <c r="R183" s="230"/>
      <c r="S183" s="247"/>
      <c r="T183" s="193"/>
    </row>
    <row r="184" hidden="1">
      <c r="O184" s="230"/>
      <c r="R184" s="230"/>
      <c r="S184" s="247"/>
      <c r="T184" s="193"/>
    </row>
    <row r="185" hidden="1">
      <c r="O185" s="230"/>
      <c r="R185" s="230"/>
      <c r="S185" s="247"/>
      <c r="T185" s="193"/>
    </row>
    <row r="186" hidden="1">
      <c r="O186" s="230"/>
      <c r="R186" s="230"/>
      <c r="S186" s="247"/>
      <c r="T186" s="193"/>
    </row>
    <row r="187" hidden="1">
      <c r="O187" s="230"/>
      <c r="R187" s="230"/>
      <c r="S187" s="247"/>
      <c r="T187" s="193"/>
    </row>
    <row r="188" hidden="1">
      <c r="O188" s="230"/>
      <c r="R188" s="230"/>
      <c r="S188" s="247"/>
      <c r="T188" s="193"/>
    </row>
    <row r="189" hidden="1">
      <c r="O189" s="230"/>
      <c r="R189" s="230"/>
      <c r="S189" s="247"/>
      <c r="T189" s="193"/>
    </row>
    <row r="190" hidden="1">
      <c r="O190" s="230"/>
      <c r="R190" s="230"/>
      <c r="S190" s="247"/>
      <c r="T190" s="193"/>
    </row>
    <row r="191" hidden="1">
      <c r="O191" s="230"/>
      <c r="R191" s="230"/>
      <c r="S191" s="247"/>
      <c r="T191" s="193"/>
    </row>
    <row r="192" hidden="1">
      <c r="O192" s="230"/>
      <c r="R192" s="230"/>
      <c r="S192" s="247"/>
      <c r="T192" s="193"/>
    </row>
    <row r="193" hidden="1">
      <c r="O193" s="230"/>
      <c r="R193" s="230"/>
      <c r="S193" s="247"/>
      <c r="T193" s="193"/>
    </row>
    <row r="194" hidden="1">
      <c r="O194" s="230"/>
      <c r="R194" s="230"/>
      <c r="S194" s="247"/>
      <c r="T194" s="193"/>
    </row>
    <row r="195" hidden="1">
      <c r="O195" s="230"/>
      <c r="R195" s="230"/>
      <c r="S195" s="247"/>
      <c r="T195" s="193"/>
    </row>
    <row r="196" hidden="1">
      <c r="O196" s="230"/>
      <c r="R196" s="230"/>
      <c r="S196" s="247"/>
      <c r="T196" s="193"/>
    </row>
    <row r="197" hidden="1">
      <c r="O197" s="230"/>
      <c r="R197" s="230"/>
      <c r="S197" s="247"/>
      <c r="T197" s="193"/>
    </row>
    <row r="198" hidden="1">
      <c r="O198" s="230"/>
      <c r="R198" s="230"/>
      <c r="S198" s="247"/>
      <c r="T198" s="193"/>
    </row>
    <row r="199" hidden="1">
      <c r="O199" s="230"/>
      <c r="R199" s="230"/>
      <c r="S199" s="247"/>
      <c r="T199" s="193"/>
    </row>
    <row r="200" hidden="1">
      <c r="O200" s="230"/>
      <c r="R200" s="230"/>
      <c r="S200" s="247"/>
      <c r="T200" s="193"/>
    </row>
    <row r="201" hidden="1">
      <c r="O201" s="230"/>
      <c r="R201" s="230"/>
      <c r="S201" s="247"/>
      <c r="T201" s="193"/>
    </row>
    <row r="202" hidden="1">
      <c r="O202" s="230"/>
      <c r="R202" s="230"/>
      <c r="S202" s="247"/>
      <c r="T202" s="193"/>
    </row>
    <row r="203" hidden="1">
      <c r="O203" s="230"/>
      <c r="R203" s="230"/>
      <c r="S203" s="247"/>
      <c r="T203" s="193"/>
    </row>
    <row r="204" hidden="1">
      <c r="O204" s="230"/>
      <c r="R204" s="230"/>
      <c r="S204" s="247"/>
      <c r="T204" s="193"/>
    </row>
    <row r="205" hidden="1">
      <c r="O205" s="230"/>
      <c r="R205" s="230"/>
      <c r="S205" s="247"/>
      <c r="T205" s="193"/>
    </row>
    <row r="206" hidden="1">
      <c r="O206" s="230"/>
      <c r="R206" s="230"/>
      <c r="S206" s="247"/>
      <c r="T206" s="193"/>
    </row>
    <row r="207" hidden="1">
      <c r="O207" s="230"/>
      <c r="R207" s="230"/>
      <c r="S207" s="247"/>
      <c r="T207" s="193"/>
    </row>
    <row r="208" hidden="1">
      <c r="O208" s="230"/>
      <c r="R208" s="230"/>
      <c r="S208" s="247"/>
      <c r="T208" s="193"/>
    </row>
    <row r="209" hidden="1">
      <c r="O209" s="230"/>
      <c r="R209" s="230"/>
      <c r="S209" s="247"/>
      <c r="T209" s="193"/>
    </row>
    <row r="210" hidden="1">
      <c r="O210" s="230"/>
      <c r="R210" s="230"/>
      <c r="S210" s="247"/>
      <c r="T210" s="193"/>
    </row>
    <row r="211" hidden="1">
      <c r="O211" s="230"/>
      <c r="R211" s="230"/>
      <c r="S211" s="247"/>
      <c r="T211" s="193"/>
    </row>
    <row r="212" hidden="1">
      <c r="O212" s="230"/>
      <c r="R212" s="230"/>
      <c r="S212" s="247"/>
      <c r="T212" s="193"/>
    </row>
    <row r="213" hidden="1">
      <c r="O213" s="230"/>
      <c r="R213" s="230"/>
      <c r="S213" s="247"/>
      <c r="T213" s="193"/>
    </row>
    <row r="214" hidden="1">
      <c r="O214" s="230"/>
      <c r="R214" s="230"/>
      <c r="S214" s="247"/>
      <c r="T214" s="193"/>
    </row>
    <row r="215" hidden="1">
      <c r="O215" s="230"/>
      <c r="R215" s="230"/>
      <c r="S215" s="247"/>
      <c r="T215" s="193"/>
    </row>
    <row r="216" hidden="1">
      <c r="O216" s="230"/>
      <c r="R216" s="230"/>
      <c r="S216" s="247"/>
      <c r="T216" s="193"/>
    </row>
    <row r="217" hidden="1">
      <c r="O217" s="230"/>
      <c r="R217" s="230"/>
      <c r="S217" s="247"/>
      <c r="T217" s="193"/>
    </row>
    <row r="218" hidden="1">
      <c r="O218" s="230"/>
      <c r="R218" s="230"/>
      <c r="S218" s="247"/>
      <c r="T218" s="193"/>
    </row>
    <row r="219" hidden="1">
      <c r="O219" s="230"/>
      <c r="R219" s="230"/>
      <c r="S219" s="247"/>
      <c r="T219" s="193"/>
    </row>
    <row r="220" hidden="1">
      <c r="O220" s="230"/>
      <c r="R220" s="230"/>
      <c r="S220" s="247"/>
      <c r="T220" s="193"/>
    </row>
    <row r="221" hidden="1">
      <c r="O221" s="230"/>
      <c r="R221" s="230"/>
      <c r="S221" s="247"/>
      <c r="T221" s="193"/>
    </row>
    <row r="222" hidden="1">
      <c r="O222" s="230"/>
      <c r="R222" s="230"/>
      <c r="S222" s="247"/>
      <c r="T222" s="193"/>
    </row>
    <row r="223" hidden="1">
      <c r="O223" s="230"/>
      <c r="R223" s="230"/>
      <c r="S223" s="247"/>
      <c r="T223" s="193"/>
    </row>
    <row r="224" hidden="1">
      <c r="O224" s="230"/>
      <c r="R224" s="230"/>
      <c r="S224" s="247"/>
      <c r="T224" s="193"/>
    </row>
    <row r="225" hidden="1">
      <c r="O225" s="230"/>
      <c r="R225" s="230"/>
      <c r="S225" s="247"/>
      <c r="T225" s="193"/>
    </row>
    <row r="226" hidden="1">
      <c r="O226" s="230"/>
      <c r="R226" s="230"/>
      <c r="S226" s="247"/>
      <c r="T226" s="193"/>
    </row>
    <row r="227" hidden="1">
      <c r="O227" s="230"/>
      <c r="R227" s="230"/>
      <c r="S227" s="247"/>
      <c r="T227" s="193"/>
    </row>
    <row r="228" hidden="1">
      <c r="O228" s="230"/>
      <c r="R228" s="230"/>
      <c r="S228" s="247"/>
      <c r="T228" s="193"/>
    </row>
    <row r="229" hidden="1">
      <c r="O229" s="230"/>
      <c r="R229" s="230"/>
      <c r="S229" s="247"/>
      <c r="T229" s="193"/>
    </row>
    <row r="230" hidden="1">
      <c r="O230" s="230"/>
      <c r="R230" s="230"/>
      <c r="S230" s="247"/>
      <c r="T230" s="193"/>
    </row>
    <row r="231" hidden="1">
      <c r="O231" s="230"/>
      <c r="R231" s="230"/>
      <c r="S231" s="247"/>
      <c r="T231" s="193"/>
    </row>
    <row r="232" hidden="1">
      <c r="O232" s="230"/>
      <c r="R232" s="230"/>
      <c r="S232" s="247"/>
      <c r="T232" s="193"/>
    </row>
    <row r="233" hidden="1">
      <c r="O233" s="230"/>
      <c r="R233" s="230"/>
      <c r="S233" s="247"/>
      <c r="T233" s="193"/>
    </row>
    <row r="234" hidden="1">
      <c r="O234" s="230"/>
      <c r="R234" s="230"/>
      <c r="S234" s="247"/>
      <c r="T234" s="193"/>
    </row>
    <row r="235" hidden="1">
      <c r="O235" s="230"/>
      <c r="R235" s="230"/>
      <c r="S235" s="247"/>
      <c r="T235" s="193"/>
    </row>
    <row r="236" hidden="1">
      <c r="O236" s="230"/>
      <c r="R236" s="230"/>
      <c r="S236" s="247"/>
      <c r="T236" s="193"/>
    </row>
    <row r="237" hidden="1">
      <c r="O237" s="230"/>
      <c r="R237" s="230"/>
      <c r="S237" s="247"/>
      <c r="T237" s="193"/>
    </row>
    <row r="238" hidden="1">
      <c r="O238" s="230"/>
      <c r="R238" s="230"/>
      <c r="S238" s="247"/>
      <c r="T238" s="193"/>
    </row>
    <row r="239" hidden="1">
      <c r="O239" s="230"/>
      <c r="R239" s="230"/>
      <c r="S239" s="247"/>
      <c r="T239" s="193"/>
    </row>
    <row r="240" hidden="1">
      <c r="O240" s="230"/>
      <c r="R240" s="230"/>
      <c r="S240" s="247"/>
      <c r="T240" s="193"/>
    </row>
    <row r="241" hidden="1">
      <c r="O241" s="230"/>
      <c r="R241" s="230"/>
      <c r="S241" s="247"/>
      <c r="T241" s="193"/>
    </row>
    <row r="242" hidden="1">
      <c r="O242" s="230"/>
      <c r="R242" s="230"/>
      <c r="S242" s="247"/>
      <c r="T242" s="193"/>
    </row>
    <row r="243" hidden="1">
      <c r="O243" s="230"/>
      <c r="R243" s="230"/>
      <c r="S243" s="247"/>
      <c r="T243" s="193"/>
    </row>
    <row r="244" hidden="1">
      <c r="O244" s="230"/>
      <c r="R244" s="230"/>
      <c r="S244" s="247"/>
      <c r="T244" s="193"/>
    </row>
    <row r="245" hidden="1">
      <c r="O245" s="230"/>
      <c r="R245" s="230"/>
      <c r="S245" s="247"/>
      <c r="T245" s="193"/>
    </row>
    <row r="246" hidden="1">
      <c r="O246" s="230"/>
      <c r="R246" s="230"/>
      <c r="S246" s="247"/>
      <c r="T246" s="193"/>
    </row>
    <row r="247" hidden="1">
      <c r="O247" s="230"/>
      <c r="R247" s="230"/>
      <c r="S247" s="247"/>
      <c r="T247" s="193"/>
    </row>
    <row r="248" hidden="1">
      <c r="O248" s="230"/>
      <c r="R248" s="230"/>
      <c r="S248" s="247"/>
      <c r="T248" s="193"/>
    </row>
    <row r="249" hidden="1">
      <c r="O249" s="230"/>
      <c r="R249" s="230"/>
      <c r="S249" s="247"/>
      <c r="T249" s="193"/>
    </row>
    <row r="250" hidden="1">
      <c r="O250" s="230"/>
      <c r="R250" s="230"/>
      <c r="S250" s="247"/>
      <c r="T250" s="193"/>
    </row>
    <row r="251" hidden="1">
      <c r="O251" s="230"/>
      <c r="R251" s="230"/>
      <c r="S251" s="247"/>
      <c r="T251" s="193"/>
    </row>
    <row r="252" hidden="1">
      <c r="O252" s="230"/>
      <c r="R252" s="230"/>
      <c r="S252" s="247"/>
      <c r="T252" s="193"/>
    </row>
    <row r="253" hidden="1">
      <c r="O253" s="230"/>
      <c r="R253" s="230"/>
      <c r="S253" s="247"/>
      <c r="T253" s="193"/>
    </row>
    <row r="254" hidden="1">
      <c r="O254" s="230"/>
      <c r="R254" s="230"/>
      <c r="S254" s="247"/>
      <c r="T254" s="193"/>
    </row>
    <row r="255" hidden="1">
      <c r="O255" s="230"/>
      <c r="R255" s="230"/>
      <c r="S255" s="247"/>
      <c r="T255" s="193"/>
    </row>
    <row r="256" hidden="1">
      <c r="O256" s="230"/>
      <c r="R256" s="230"/>
      <c r="S256" s="247"/>
      <c r="T256" s="193"/>
    </row>
    <row r="257" hidden="1">
      <c r="O257" s="230"/>
      <c r="R257" s="230"/>
      <c r="S257" s="247"/>
      <c r="T257" s="193"/>
    </row>
    <row r="258" hidden="1">
      <c r="O258" s="230"/>
      <c r="R258" s="230"/>
      <c r="S258" s="247"/>
      <c r="T258" s="193"/>
    </row>
    <row r="259" hidden="1">
      <c r="O259" s="230"/>
      <c r="R259" s="230"/>
      <c r="S259" s="247"/>
      <c r="T259" s="193"/>
    </row>
    <row r="260" hidden="1">
      <c r="O260" s="230"/>
      <c r="R260" s="230"/>
      <c r="S260" s="247"/>
      <c r="T260" s="193"/>
    </row>
    <row r="261" hidden="1">
      <c r="O261" s="230"/>
      <c r="R261" s="230"/>
      <c r="S261" s="247"/>
      <c r="T261" s="193"/>
    </row>
    <row r="262" hidden="1">
      <c r="O262" s="230"/>
      <c r="R262" s="230"/>
      <c r="S262" s="247"/>
      <c r="T262" s="193"/>
    </row>
    <row r="263" hidden="1">
      <c r="O263" s="230"/>
      <c r="R263" s="230"/>
      <c r="S263" s="247"/>
      <c r="T263" s="193"/>
    </row>
    <row r="264" hidden="1">
      <c r="O264" s="230"/>
      <c r="R264" s="230"/>
      <c r="S264" s="247"/>
      <c r="T264" s="193"/>
    </row>
    <row r="265" hidden="1">
      <c r="O265" s="230"/>
      <c r="R265" s="230"/>
      <c r="S265" s="247"/>
      <c r="T265" s="193"/>
    </row>
    <row r="266" hidden="1">
      <c r="O266" s="230"/>
      <c r="R266" s="230"/>
      <c r="S266" s="247"/>
      <c r="T266" s="193"/>
    </row>
    <row r="267" hidden="1">
      <c r="O267" s="230"/>
      <c r="R267" s="230"/>
      <c r="S267" s="247"/>
      <c r="T267" s="193"/>
    </row>
    <row r="268" hidden="1">
      <c r="O268" s="230"/>
      <c r="R268" s="230"/>
      <c r="S268" s="247"/>
      <c r="T268" s="193"/>
    </row>
    <row r="269" hidden="1">
      <c r="O269" s="230"/>
      <c r="R269" s="230"/>
      <c r="S269" s="247"/>
      <c r="T269" s="193"/>
    </row>
    <row r="270" hidden="1">
      <c r="O270" s="230"/>
      <c r="R270" s="230"/>
      <c r="S270" s="247"/>
      <c r="T270" s="193"/>
    </row>
    <row r="271" hidden="1">
      <c r="O271" s="230"/>
      <c r="R271" s="230"/>
      <c r="S271" s="247"/>
      <c r="T271" s="193"/>
    </row>
    <row r="272" hidden="1">
      <c r="O272" s="230"/>
      <c r="R272" s="230"/>
      <c r="S272" s="247"/>
      <c r="T272" s="193"/>
    </row>
    <row r="273" hidden="1">
      <c r="O273" s="230"/>
      <c r="R273" s="230"/>
      <c r="S273" s="247"/>
      <c r="T273" s="193"/>
    </row>
    <row r="274" hidden="1">
      <c r="O274" s="230"/>
      <c r="R274" s="230"/>
      <c r="S274" s="247"/>
      <c r="T274" s="193"/>
    </row>
    <row r="275" hidden="1">
      <c r="O275" s="230"/>
      <c r="R275" s="230"/>
      <c r="S275" s="247"/>
      <c r="T275" s="193"/>
    </row>
    <row r="276" hidden="1">
      <c r="O276" s="230"/>
      <c r="R276" s="230"/>
      <c r="S276" s="247"/>
      <c r="T276" s="193"/>
    </row>
    <row r="277" hidden="1">
      <c r="O277" s="230"/>
      <c r="R277" s="230"/>
      <c r="S277" s="247"/>
      <c r="T277" s="193"/>
    </row>
    <row r="278" hidden="1">
      <c r="O278" s="230"/>
      <c r="R278" s="230"/>
      <c r="S278" s="247"/>
      <c r="T278" s="193"/>
    </row>
    <row r="279" hidden="1">
      <c r="O279" s="230"/>
      <c r="R279" s="230"/>
      <c r="S279" s="247"/>
      <c r="T279" s="193"/>
    </row>
    <row r="280" hidden="1">
      <c r="O280" s="230"/>
      <c r="R280" s="230"/>
      <c r="S280" s="247"/>
      <c r="T280" s="193"/>
    </row>
    <row r="281" hidden="1">
      <c r="O281" s="230"/>
      <c r="R281" s="230"/>
      <c r="S281" s="247"/>
      <c r="T281" s="193"/>
    </row>
    <row r="282" hidden="1">
      <c r="O282" s="230"/>
      <c r="R282" s="230"/>
      <c r="S282" s="247"/>
      <c r="T282" s="193"/>
    </row>
    <row r="283" hidden="1">
      <c r="O283" s="230"/>
      <c r="R283" s="230"/>
      <c r="S283" s="247"/>
      <c r="T283" s="193"/>
    </row>
    <row r="284" hidden="1">
      <c r="O284" s="230"/>
      <c r="R284" s="230"/>
      <c r="S284" s="247"/>
      <c r="T284" s="193"/>
    </row>
    <row r="285" hidden="1">
      <c r="O285" s="230"/>
      <c r="R285" s="230"/>
      <c r="S285" s="247"/>
      <c r="T285" s="193"/>
    </row>
    <row r="286" hidden="1">
      <c r="O286" s="230"/>
      <c r="R286" s="230"/>
      <c r="S286" s="247"/>
      <c r="T286" s="193"/>
    </row>
    <row r="287" hidden="1">
      <c r="O287" s="230"/>
      <c r="R287" s="230"/>
      <c r="S287" s="247"/>
      <c r="T287" s="193"/>
    </row>
    <row r="288" hidden="1">
      <c r="O288" s="230"/>
      <c r="R288" s="230"/>
      <c r="S288" s="247"/>
      <c r="T288" s="193"/>
    </row>
    <row r="289" hidden="1">
      <c r="O289" s="230"/>
      <c r="R289" s="230"/>
      <c r="S289" s="247"/>
      <c r="T289" s="193"/>
    </row>
    <row r="290" hidden="1">
      <c r="O290" s="230"/>
      <c r="R290" s="230"/>
      <c r="S290" s="247"/>
      <c r="T290" s="193"/>
    </row>
    <row r="291" hidden="1">
      <c r="O291" s="230"/>
      <c r="R291" s="230"/>
      <c r="S291" s="247"/>
      <c r="T291" s="193"/>
    </row>
    <row r="292" hidden="1">
      <c r="O292" s="230"/>
      <c r="R292" s="230"/>
      <c r="S292" s="247"/>
      <c r="T292" s="193"/>
    </row>
    <row r="293" hidden="1">
      <c r="O293" s="230"/>
      <c r="R293" s="230"/>
      <c r="S293" s="247"/>
      <c r="T293" s="193"/>
    </row>
    <row r="294" hidden="1">
      <c r="O294" s="230"/>
      <c r="R294" s="230"/>
      <c r="S294" s="247"/>
      <c r="T294" s="193"/>
    </row>
    <row r="295" hidden="1">
      <c r="O295" s="230"/>
      <c r="R295" s="230"/>
      <c r="S295" s="247"/>
      <c r="T295" s="193"/>
    </row>
    <row r="296" hidden="1">
      <c r="O296" s="230"/>
      <c r="R296" s="230"/>
      <c r="S296" s="247"/>
      <c r="T296" s="193"/>
    </row>
    <row r="297" hidden="1">
      <c r="O297" s="230"/>
      <c r="R297" s="230"/>
      <c r="S297" s="247"/>
      <c r="T297" s="193"/>
    </row>
    <row r="298" hidden="1">
      <c r="O298" s="230"/>
      <c r="R298" s="230"/>
      <c r="S298" s="247"/>
      <c r="T298" s="193"/>
    </row>
    <row r="299" hidden="1">
      <c r="O299" s="230"/>
      <c r="R299" s="230"/>
      <c r="S299" s="247"/>
      <c r="T299" s="193"/>
    </row>
    <row r="300" hidden="1">
      <c r="O300" s="230"/>
      <c r="R300" s="230"/>
      <c r="S300" s="247"/>
      <c r="T300" s="193"/>
    </row>
    <row r="301" hidden="1">
      <c r="O301" s="230"/>
      <c r="R301" s="230"/>
      <c r="S301" s="247"/>
      <c r="T301" s="193"/>
    </row>
    <row r="302" hidden="1">
      <c r="O302" s="230"/>
      <c r="R302" s="230"/>
      <c r="S302" s="247"/>
      <c r="T302" s="193"/>
    </row>
    <row r="303" hidden="1">
      <c r="O303" s="230"/>
      <c r="R303" s="230"/>
      <c r="S303" s="247"/>
      <c r="T303" s="193"/>
    </row>
    <row r="304" hidden="1">
      <c r="O304" s="230"/>
      <c r="R304" s="230"/>
      <c r="S304" s="247"/>
      <c r="T304" s="193"/>
    </row>
    <row r="305" hidden="1">
      <c r="O305" s="230"/>
      <c r="R305" s="230"/>
      <c r="S305" s="247"/>
      <c r="T305" s="193"/>
    </row>
    <row r="306" hidden="1">
      <c r="O306" s="230"/>
      <c r="R306" s="230"/>
      <c r="S306" s="247"/>
      <c r="T306" s="193"/>
    </row>
    <row r="307" hidden="1">
      <c r="O307" s="230"/>
      <c r="R307" s="230"/>
      <c r="S307" s="247"/>
      <c r="T307" s="193"/>
    </row>
    <row r="308" hidden="1">
      <c r="O308" s="230"/>
      <c r="R308" s="230"/>
      <c r="S308" s="247"/>
      <c r="T308" s="193"/>
    </row>
    <row r="309" hidden="1">
      <c r="O309" s="230"/>
      <c r="R309" s="230"/>
      <c r="S309" s="247"/>
      <c r="T309" s="193"/>
    </row>
    <row r="310" hidden="1">
      <c r="O310" s="230"/>
      <c r="R310" s="230"/>
      <c r="S310" s="247"/>
      <c r="T310" s="193"/>
    </row>
    <row r="311" hidden="1">
      <c r="O311" s="230"/>
      <c r="R311" s="230"/>
      <c r="S311" s="247"/>
      <c r="T311" s="193"/>
    </row>
    <row r="312" hidden="1">
      <c r="O312" s="230"/>
      <c r="R312" s="230"/>
      <c r="S312" s="247"/>
      <c r="T312" s="193"/>
    </row>
    <row r="313" hidden="1">
      <c r="O313" s="230"/>
      <c r="R313" s="230"/>
      <c r="S313" s="247"/>
      <c r="T313" s="193"/>
    </row>
    <row r="314" hidden="1">
      <c r="O314" s="230"/>
      <c r="R314" s="230"/>
      <c r="S314" s="247"/>
      <c r="T314" s="193"/>
    </row>
    <row r="315" hidden="1">
      <c r="O315" s="230"/>
      <c r="R315" s="230"/>
      <c r="S315" s="247"/>
      <c r="T315" s="193"/>
    </row>
    <row r="316" hidden="1">
      <c r="O316" s="230"/>
      <c r="R316" s="230"/>
      <c r="S316" s="247"/>
      <c r="T316" s="193"/>
    </row>
    <row r="317" hidden="1">
      <c r="O317" s="230"/>
      <c r="R317" s="230"/>
      <c r="S317" s="247"/>
      <c r="T317" s="193"/>
    </row>
    <row r="318" hidden="1">
      <c r="O318" s="230"/>
      <c r="R318" s="230"/>
      <c r="S318" s="247"/>
      <c r="T318" s="193"/>
    </row>
    <row r="319" hidden="1">
      <c r="O319" s="230"/>
      <c r="R319" s="230"/>
      <c r="S319" s="247"/>
      <c r="T319" s="193"/>
    </row>
    <row r="320" hidden="1">
      <c r="O320" s="230"/>
      <c r="R320" s="230"/>
      <c r="S320" s="247"/>
      <c r="T320" s="193"/>
    </row>
    <row r="321" hidden="1">
      <c r="O321" s="230"/>
      <c r="R321" s="230"/>
      <c r="S321" s="247"/>
      <c r="T321" s="193"/>
    </row>
    <row r="322" hidden="1">
      <c r="O322" s="230"/>
      <c r="R322" s="230"/>
      <c r="S322" s="247"/>
      <c r="T322" s="193"/>
    </row>
    <row r="323" hidden="1">
      <c r="O323" s="230"/>
      <c r="R323" s="230"/>
      <c r="S323" s="247"/>
      <c r="T323" s="193"/>
    </row>
    <row r="324" hidden="1">
      <c r="O324" s="230"/>
      <c r="R324" s="230"/>
      <c r="S324" s="247"/>
      <c r="T324" s="193"/>
    </row>
    <row r="325" hidden="1">
      <c r="O325" s="230"/>
      <c r="R325" s="230"/>
      <c r="S325" s="247"/>
      <c r="T325" s="193"/>
    </row>
    <row r="326" hidden="1">
      <c r="O326" s="230"/>
      <c r="R326" s="230"/>
      <c r="S326" s="247"/>
      <c r="T326" s="193"/>
    </row>
    <row r="327" hidden="1">
      <c r="O327" s="230"/>
      <c r="R327" s="230"/>
      <c r="S327" s="247"/>
      <c r="T327" s="193"/>
    </row>
    <row r="328" hidden="1">
      <c r="O328" s="230"/>
      <c r="R328" s="230"/>
      <c r="S328" s="247"/>
      <c r="T328" s="193"/>
    </row>
    <row r="329" hidden="1">
      <c r="O329" s="230"/>
      <c r="R329" s="230"/>
      <c r="S329" s="247"/>
      <c r="T329" s="193"/>
    </row>
    <row r="330" hidden="1">
      <c r="O330" s="230"/>
      <c r="R330" s="230"/>
      <c r="S330" s="247"/>
      <c r="T330" s="193"/>
    </row>
    <row r="331" hidden="1">
      <c r="O331" s="230"/>
      <c r="R331" s="230"/>
      <c r="S331" s="247"/>
      <c r="T331" s="193"/>
    </row>
    <row r="332" hidden="1">
      <c r="O332" s="230"/>
      <c r="R332" s="230"/>
      <c r="S332" s="247"/>
      <c r="T332" s="193"/>
    </row>
    <row r="333" hidden="1">
      <c r="O333" s="230"/>
      <c r="R333" s="230"/>
      <c r="S333" s="247"/>
      <c r="T333" s="193"/>
    </row>
    <row r="334" hidden="1">
      <c r="O334" s="230"/>
      <c r="R334" s="230"/>
      <c r="S334" s="247"/>
      <c r="T334" s="193"/>
    </row>
    <row r="335" hidden="1">
      <c r="O335" s="230"/>
      <c r="R335" s="230"/>
      <c r="S335" s="247"/>
      <c r="T335" s="193"/>
    </row>
    <row r="336" hidden="1">
      <c r="O336" s="230"/>
      <c r="R336" s="230"/>
      <c r="S336" s="247"/>
      <c r="T336" s="193"/>
    </row>
    <row r="337" hidden="1">
      <c r="O337" s="230"/>
      <c r="R337" s="230"/>
      <c r="S337" s="247"/>
      <c r="T337" s="193"/>
    </row>
    <row r="338" hidden="1">
      <c r="O338" s="230"/>
      <c r="R338" s="230"/>
      <c r="S338" s="247"/>
      <c r="T338" s="193"/>
    </row>
    <row r="339" hidden="1">
      <c r="O339" s="230"/>
      <c r="R339" s="230"/>
      <c r="S339" s="247"/>
      <c r="T339" s="193"/>
    </row>
    <row r="340" hidden="1">
      <c r="O340" s="230"/>
      <c r="R340" s="230"/>
      <c r="S340" s="247"/>
      <c r="T340" s="193"/>
    </row>
    <row r="341" hidden="1">
      <c r="O341" s="230"/>
      <c r="R341" s="230"/>
      <c r="S341" s="247"/>
      <c r="T341" s="193"/>
    </row>
    <row r="342" hidden="1">
      <c r="O342" s="230"/>
      <c r="R342" s="230"/>
      <c r="S342" s="247"/>
      <c r="T342" s="193"/>
    </row>
    <row r="343" hidden="1">
      <c r="O343" s="230"/>
      <c r="R343" s="230"/>
      <c r="S343" s="247"/>
      <c r="T343" s="193"/>
    </row>
    <row r="344" hidden="1">
      <c r="O344" s="230"/>
      <c r="R344" s="230"/>
      <c r="S344" s="247"/>
      <c r="T344" s="193"/>
    </row>
    <row r="345" hidden="1">
      <c r="O345" s="230"/>
      <c r="R345" s="230"/>
      <c r="S345" s="247"/>
      <c r="T345" s="193"/>
    </row>
    <row r="346" hidden="1">
      <c r="O346" s="230"/>
      <c r="R346" s="230"/>
      <c r="S346" s="247"/>
      <c r="T346" s="193"/>
    </row>
    <row r="347" hidden="1">
      <c r="O347" s="230"/>
      <c r="R347" s="230"/>
      <c r="S347" s="247"/>
      <c r="T347" s="193"/>
    </row>
    <row r="348" hidden="1">
      <c r="O348" s="230"/>
      <c r="R348" s="230"/>
      <c r="S348" s="247"/>
      <c r="T348" s="193"/>
    </row>
    <row r="349" hidden="1">
      <c r="O349" s="230"/>
      <c r="R349" s="230"/>
      <c r="S349" s="247"/>
      <c r="T349" s="193"/>
    </row>
    <row r="350" hidden="1">
      <c r="O350" s="230"/>
      <c r="R350" s="230"/>
      <c r="S350" s="247"/>
      <c r="T350" s="193"/>
    </row>
    <row r="351" hidden="1">
      <c r="O351" s="230"/>
      <c r="R351" s="230"/>
      <c r="S351" s="247"/>
      <c r="T351" s="193"/>
    </row>
    <row r="352" hidden="1">
      <c r="O352" s="230"/>
      <c r="R352" s="230"/>
      <c r="S352" s="247"/>
      <c r="T352" s="193"/>
    </row>
    <row r="353" hidden="1">
      <c r="O353" s="230"/>
      <c r="R353" s="230"/>
      <c r="S353" s="247"/>
      <c r="T353" s="193"/>
    </row>
    <row r="354" hidden="1">
      <c r="O354" s="230"/>
      <c r="R354" s="230"/>
      <c r="S354" s="247"/>
      <c r="T354" s="193"/>
    </row>
    <row r="355" hidden="1">
      <c r="O355" s="230"/>
      <c r="R355" s="230"/>
      <c r="S355" s="247"/>
      <c r="T355" s="193"/>
    </row>
    <row r="356" hidden="1">
      <c r="O356" s="230"/>
      <c r="R356" s="230"/>
      <c r="S356" s="247"/>
      <c r="T356" s="193"/>
    </row>
    <row r="357" hidden="1">
      <c r="O357" s="230"/>
      <c r="R357" s="230"/>
      <c r="S357" s="247"/>
      <c r="T357" s="193"/>
    </row>
    <row r="358" hidden="1">
      <c r="O358" s="230"/>
      <c r="R358" s="230"/>
      <c r="S358" s="247"/>
      <c r="T358" s="193"/>
    </row>
    <row r="359" hidden="1">
      <c r="O359" s="230"/>
      <c r="R359" s="230"/>
      <c r="S359" s="247"/>
      <c r="T359" s="193"/>
    </row>
    <row r="360" hidden="1">
      <c r="O360" s="230"/>
      <c r="R360" s="230"/>
      <c r="S360" s="247"/>
      <c r="T360" s="193"/>
    </row>
    <row r="361" hidden="1">
      <c r="O361" s="230"/>
      <c r="R361" s="230"/>
      <c r="S361" s="247"/>
      <c r="T361" s="193"/>
    </row>
    <row r="362" hidden="1">
      <c r="O362" s="230"/>
      <c r="R362" s="230"/>
      <c r="S362" s="247"/>
      <c r="T362" s="193"/>
    </row>
    <row r="363" hidden="1">
      <c r="O363" s="230"/>
      <c r="R363" s="230"/>
      <c r="S363" s="247"/>
      <c r="T363" s="193"/>
    </row>
    <row r="364" hidden="1">
      <c r="O364" s="230"/>
      <c r="R364" s="230"/>
      <c r="S364" s="247"/>
      <c r="T364" s="193"/>
    </row>
    <row r="365" hidden="1">
      <c r="O365" s="230"/>
      <c r="R365" s="230"/>
      <c r="S365" s="247"/>
      <c r="T365" s="193"/>
    </row>
    <row r="366" hidden="1">
      <c r="O366" s="230"/>
      <c r="R366" s="230"/>
      <c r="S366" s="247"/>
      <c r="T366" s="193"/>
    </row>
    <row r="367" hidden="1">
      <c r="O367" s="230"/>
      <c r="R367" s="230"/>
      <c r="S367" s="247"/>
      <c r="T367" s="193"/>
    </row>
    <row r="368" hidden="1">
      <c r="O368" s="230"/>
      <c r="R368" s="230"/>
      <c r="S368" s="247"/>
      <c r="T368" s="193"/>
    </row>
    <row r="369" hidden="1">
      <c r="O369" s="230"/>
      <c r="R369" s="230"/>
      <c r="S369" s="247"/>
      <c r="T369" s="193"/>
    </row>
    <row r="370" hidden="1">
      <c r="O370" s="230"/>
      <c r="R370" s="230"/>
      <c r="S370" s="247"/>
      <c r="T370" s="193"/>
    </row>
    <row r="371" hidden="1">
      <c r="O371" s="230"/>
      <c r="R371" s="230"/>
      <c r="S371" s="247"/>
      <c r="T371" s="193"/>
    </row>
    <row r="372" hidden="1">
      <c r="O372" s="230"/>
      <c r="R372" s="230"/>
      <c r="S372" s="247"/>
      <c r="T372" s="193"/>
    </row>
    <row r="373" hidden="1">
      <c r="O373" s="230"/>
      <c r="R373" s="230"/>
      <c r="S373" s="247"/>
      <c r="T373" s="193"/>
    </row>
    <row r="374" hidden="1">
      <c r="O374" s="230"/>
      <c r="R374" s="230"/>
      <c r="S374" s="247"/>
      <c r="T374" s="193"/>
    </row>
    <row r="375" hidden="1">
      <c r="O375" s="230"/>
      <c r="R375" s="230"/>
      <c r="S375" s="247"/>
      <c r="T375" s="193"/>
    </row>
    <row r="376" hidden="1">
      <c r="O376" s="230"/>
      <c r="R376" s="230"/>
      <c r="S376" s="247"/>
      <c r="T376" s="193"/>
    </row>
    <row r="377" hidden="1">
      <c r="O377" s="230"/>
      <c r="R377" s="230"/>
      <c r="S377" s="247"/>
      <c r="T377" s="193"/>
    </row>
    <row r="378" hidden="1">
      <c r="O378" s="230"/>
      <c r="R378" s="230"/>
      <c r="S378" s="247"/>
      <c r="T378" s="193"/>
    </row>
    <row r="379" hidden="1">
      <c r="O379" s="230"/>
      <c r="R379" s="230"/>
      <c r="S379" s="247"/>
      <c r="T379" s="193"/>
    </row>
    <row r="380" hidden="1">
      <c r="O380" s="230"/>
      <c r="R380" s="230"/>
      <c r="S380" s="247"/>
      <c r="T380" s="193"/>
    </row>
    <row r="381" hidden="1">
      <c r="O381" s="230"/>
      <c r="R381" s="230"/>
      <c r="S381" s="247"/>
      <c r="T381" s="193"/>
    </row>
    <row r="382" hidden="1">
      <c r="O382" s="230"/>
      <c r="R382" s="230"/>
      <c r="S382" s="247"/>
      <c r="T382" s="193"/>
    </row>
    <row r="383" hidden="1">
      <c r="O383" s="230"/>
      <c r="R383" s="230"/>
      <c r="S383" s="247"/>
      <c r="T383" s="193"/>
    </row>
    <row r="384" hidden="1">
      <c r="O384" s="230"/>
      <c r="R384" s="230"/>
      <c r="S384" s="247"/>
      <c r="T384" s="193"/>
    </row>
    <row r="385" hidden="1">
      <c r="O385" s="230"/>
      <c r="R385" s="230"/>
      <c r="S385" s="247"/>
      <c r="T385" s="193"/>
    </row>
    <row r="386" hidden="1">
      <c r="O386" s="230"/>
      <c r="R386" s="230"/>
      <c r="S386" s="247"/>
      <c r="T386" s="193"/>
    </row>
    <row r="387" hidden="1">
      <c r="O387" s="230"/>
      <c r="R387" s="230"/>
      <c r="S387" s="247"/>
      <c r="T387" s="193"/>
    </row>
    <row r="388" hidden="1">
      <c r="O388" s="230"/>
      <c r="R388" s="230"/>
      <c r="S388" s="247"/>
      <c r="T388" s="193"/>
    </row>
    <row r="389" hidden="1">
      <c r="O389" s="230"/>
      <c r="R389" s="230"/>
      <c r="S389" s="247"/>
      <c r="T389" s="193"/>
    </row>
    <row r="390" hidden="1">
      <c r="O390" s="230"/>
      <c r="R390" s="230"/>
      <c r="S390" s="247"/>
      <c r="T390" s="193"/>
    </row>
    <row r="391" hidden="1">
      <c r="O391" s="230"/>
      <c r="R391" s="230"/>
      <c r="S391" s="247"/>
      <c r="T391" s="193"/>
    </row>
    <row r="392" hidden="1">
      <c r="O392" s="230"/>
      <c r="R392" s="230"/>
      <c r="S392" s="247"/>
      <c r="T392" s="193"/>
    </row>
    <row r="393" hidden="1">
      <c r="O393" s="230"/>
      <c r="R393" s="230"/>
      <c r="S393" s="247"/>
      <c r="T393" s="193"/>
    </row>
    <row r="394" hidden="1">
      <c r="O394" s="230"/>
      <c r="R394" s="230"/>
      <c r="S394" s="247"/>
      <c r="T394" s="193"/>
    </row>
    <row r="395" hidden="1">
      <c r="O395" s="230"/>
      <c r="R395" s="230"/>
      <c r="S395" s="247"/>
      <c r="T395" s="193"/>
    </row>
    <row r="396" hidden="1">
      <c r="O396" s="230"/>
      <c r="R396" s="230"/>
      <c r="S396" s="247"/>
      <c r="T396" s="193"/>
    </row>
    <row r="397" hidden="1">
      <c r="O397" s="230"/>
      <c r="R397" s="230"/>
      <c r="S397" s="247"/>
      <c r="T397" s="193"/>
    </row>
    <row r="398" hidden="1">
      <c r="O398" s="230"/>
      <c r="R398" s="230"/>
      <c r="S398" s="247"/>
      <c r="T398" s="193"/>
    </row>
    <row r="399" hidden="1">
      <c r="O399" s="230"/>
      <c r="R399" s="230"/>
      <c r="S399" s="247"/>
      <c r="T399" s="193"/>
    </row>
    <row r="400" hidden="1">
      <c r="O400" s="230"/>
      <c r="R400" s="230"/>
      <c r="S400" s="247"/>
      <c r="T400" s="193"/>
    </row>
    <row r="401" hidden="1">
      <c r="O401" s="230"/>
      <c r="R401" s="230"/>
      <c r="S401" s="247"/>
      <c r="T401" s="193"/>
    </row>
    <row r="402" hidden="1">
      <c r="O402" s="230"/>
      <c r="R402" s="230"/>
      <c r="S402" s="247"/>
      <c r="T402" s="193"/>
    </row>
    <row r="403" hidden="1">
      <c r="O403" s="230"/>
      <c r="R403" s="230"/>
      <c r="S403" s="247"/>
      <c r="T403" s="193"/>
    </row>
    <row r="404" hidden="1">
      <c r="O404" s="230"/>
      <c r="R404" s="230"/>
      <c r="S404" s="247"/>
      <c r="T404" s="193"/>
    </row>
    <row r="405" hidden="1">
      <c r="O405" s="230"/>
      <c r="R405" s="230"/>
      <c r="S405" s="247"/>
      <c r="T405" s="193"/>
    </row>
    <row r="406" hidden="1">
      <c r="O406" s="230"/>
      <c r="R406" s="230"/>
      <c r="S406" s="247"/>
      <c r="T406" s="193"/>
    </row>
    <row r="407" hidden="1">
      <c r="O407" s="230"/>
      <c r="R407" s="230"/>
      <c r="S407" s="247"/>
      <c r="T407" s="193"/>
    </row>
    <row r="408" hidden="1">
      <c r="O408" s="230"/>
      <c r="R408" s="230"/>
      <c r="S408" s="247"/>
      <c r="T408" s="193"/>
    </row>
    <row r="409" hidden="1">
      <c r="O409" s="230"/>
      <c r="R409" s="230"/>
      <c r="S409" s="247"/>
      <c r="T409" s="193"/>
    </row>
    <row r="410" hidden="1">
      <c r="O410" s="230"/>
      <c r="R410" s="230"/>
      <c r="S410" s="247"/>
      <c r="T410" s="193"/>
    </row>
    <row r="411" hidden="1">
      <c r="O411" s="230"/>
      <c r="R411" s="230"/>
      <c r="S411" s="247"/>
      <c r="T411" s="193"/>
    </row>
    <row r="412" hidden="1">
      <c r="O412" s="230"/>
      <c r="R412" s="230"/>
      <c r="S412" s="247"/>
      <c r="T412" s="193"/>
    </row>
    <row r="413" hidden="1">
      <c r="O413" s="230"/>
      <c r="R413" s="230"/>
      <c r="S413" s="247"/>
      <c r="T413" s="193"/>
    </row>
    <row r="414" hidden="1">
      <c r="O414" s="230"/>
      <c r="R414" s="230"/>
      <c r="S414" s="247"/>
      <c r="T414" s="193"/>
    </row>
    <row r="415" hidden="1">
      <c r="O415" s="230"/>
      <c r="R415" s="230"/>
      <c r="S415" s="247"/>
      <c r="T415" s="193"/>
    </row>
    <row r="416" hidden="1">
      <c r="O416" s="230"/>
      <c r="R416" s="230"/>
      <c r="S416" s="247"/>
      <c r="T416" s="193"/>
    </row>
    <row r="417" hidden="1">
      <c r="O417" s="230"/>
      <c r="R417" s="230"/>
      <c r="S417" s="247"/>
      <c r="T417" s="193"/>
    </row>
    <row r="418" hidden="1">
      <c r="O418" s="230"/>
      <c r="R418" s="230"/>
      <c r="S418" s="247"/>
      <c r="T418" s="193"/>
    </row>
    <row r="419" hidden="1">
      <c r="O419" s="230"/>
      <c r="R419" s="230"/>
      <c r="S419" s="247"/>
      <c r="T419" s="193"/>
    </row>
    <row r="420" hidden="1">
      <c r="O420" s="230"/>
      <c r="R420" s="230"/>
      <c r="S420" s="247"/>
      <c r="T420" s="193"/>
    </row>
    <row r="421" hidden="1">
      <c r="O421" s="230"/>
      <c r="R421" s="230"/>
      <c r="S421" s="247"/>
      <c r="T421" s="193"/>
    </row>
    <row r="422" hidden="1">
      <c r="O422" s="230"/>
      <c r="R422" s="230"/>
      <c r="S422" s="247"/>
      <c r="T422" s="193"/>
    </row>
    <row r="423" hidden="1">
      <c r="O423" s="230"/>
      <c r="R423" s="230"/>
      <c r="S423" s="247"/>
      <c r="T423" s="193"/>
    </row>
    <row r="424" hidden="1">
      <c r="O424" s="230"/>
      <c r="R424" s="230"/>
      <c r="S424" s="247"/>
      <c r="T424" s="193"/>
    </row>
    <row r="425" hidden="1">
      <c r="O425" s="230"/>
      <c r="R425" s="230"/>
      <c r="S425" s="247"/>
      <c r="T425" s="193"/>
    </row>
    <row r="426" hidden="1">
      <c r="O426" s="230"/>
      <c r="R426" s="230"/>
      <c r="S426" s="247"/>
      <c r="T426" s="193"/>
    </row>
    <row r="427" hidden="1">
      <c r="O427" s="230"/>
      <c r="R427" s="230"/>
      <c r="S427" s="247"/>
      <c r="T427" s="193"/>
    </row>
    <row r="428" hidden="1">
      <c r="O428" s="230"/>
      <c r="R428" s="230"/>
      <c r="S428" s="247"/>
      <c r="T428" s="193"/>
    </row>
    <row r="429" hidden="1">
      <c r="O429" s="230"/>
      <c r="R429" s="230"/>
      <c r="S429" s="247"/>
      <c r="T429" s="193"/>
    </row>
    <row r="430" hidden="1">
      <c r="O430" s="230"/>
      <c r="R430" s="230"/>
      <c r="S430" s="247"/>
      <c r="T430" s="193"/>
    </row>
    <row r="431" hidden="1">
      <c r="O431" s="230"/>
      <c r="R431" s="230"/>
      <c r="S431" s="247"/>
      <c r="T431" s="193"/>
    </row>
    <row r="432" hidden="1">
      <c r="O432" s="230"/>
      <c r="R432" s="230"/>
      <c r="S432" s="247"/>
      <c r="T432" s="193"/>
    </row>
    <row r="433" hidden="1">
      <c r="O433" s="230"/>
      <c r="R433" s="230"/>
      <c r="S433" s="247"/>
      <c r="T433" s="193"/>
    </row>
    <row r="434" hidden="1">
      <c r="O434" s="230"/>
      <c r="R434" s="230"/>
      <c r="S434" s="247"/>
      <c r="T434" s="193"/>
    </row>
    <row r="435" hidden="1">
      <c r="O435" s="230"/>
      <c r="R435" s="230"/>
      <c r="S435" s="247"/>
      <c r="T435" s="193"/>
    </row>
    <row r="436" hidden="1">
      <c r="O436" s="230"/>
      <c r="R436" s="230"/>
      <c r="S436" s="247"/>
      <c r="T436" s="193"/>
    </row>
    <row r="437" hidden="1">
      <c r="O437" s="230"/>
      <c r="R437" s="230"/>
      <c r="S437" s="247"/>
      <c r="T437" s="193"/>
    </row>
    <row r="438" hidden="1">
      <c r="O438" s="230"/>
      <c r="R438" s="230"/>
      <c r="S438" s="247"/>
      <c r="T438" s="193"/>
    </row>
    <row r="439" hidden="1">
      <c r="O439" s="230"/>
      <c r="R439" s="230"/>
      <c r="S439" s="247"/>
      <c r="T439" s="193"/>
    </row>
    <row r="440" hidden="1">
      <c r="O440" s="230"/>
      <c r="R440" s="230"/>
      <c r="S440" s="247"/>
      <c r="T440" s="193"/>
    </row>
    <row r="441" hidden="1">
      <c r="O441" s="230"/>
      <c r="R441" s="230"/>
      <c r="S441" s="247"/>
      <c r="T441" s="193"/>
    </row>
    <row r="442" hidden="1">
      <c r="O442" s="230"/>
      <c r="R442" s="230"/>
      <c r="S442" s="247"/>
      <c r="T442" s="193"/>
    </row>
    <row r="443" hidden="1">
      <c r="O443" s="230"/>
      <c r="R443" s="230"/>
      <c r="S443" s="247"/>
      <c r="T443" s="193"/>
    </row>
    <row r="444" hidden="1">
      <c r="O444" s="230"/>
      <c r="R444" s="230"/>
      <c r="S444" s="247"/>
      <c r="T444" s="193"/>
    </row>
    <row r="445" hidden="1">
      <c r="O445" s="230"/>
      <c r="R445" s="230"/>
      <c r="S445" s="247"/>
      <c r="T445" s="193"/>
    </row>
    <row r="446" hidden="1">
      <c r="O446" s="230"/>
      <c r="R446" s="230"/>
      <c r="S446" s="247"/>
      <c r="T446" s="193"/>
    </row>
    <row r="447" hidden="1">
      <c r="O447" s="230"/>
      <c r="R447" s="230"/>
      <c r="S447" s="247"/>
      <c r="T447" s="193"/>
    </row>
    <row r="448" hidden="1">
      <c r="O448" s="230"/>
      <c r="R448" s="230"/>
      <c r="S448" s="247"/>
      <c r="T448" s="193"/>
    </row>
    <row r="449" hidden="1">
      <c r="O449" s="230"/>
      <c r="R449" s="230"/>
      <c r="S449" s="247"/>
      <c r="T449" s="193"/>
    </row>
    <row r="450" hidden="1">
      <c r="O450" s="230"/>
      <c r="R450" s="230"/>
      <c r="S450" s="247"/>
      <c r="T450" s="193"/>
    </row>
    <row r="451" hidden="1">
      <c r="O451" s="230"/>
      <c r="R451" s="230"/>
      <c r="S451" s="247"/>
      <c r="T451" s="193"/>
    </row>
    <row r="452" hidden="1">
      <c r="O452" s="230"/>
      <c r="R452" s="230"/>
      <c r="S452" s="247"/>
      <c r="T452" s="193"/>
    </row>
    <row r="453" hidden="1">
      <c r="O453" s="230"/>
      <c r="R453" s="230"/>
      <c r="S453" s="247"/>
      <c r="T453" s="193"/>
    </row>
    <row r="454" hidden="1">
      <c r="O454" s="230"/>
      <c r="R454" s="230"/>
      <c r="S454" s="247"/>
      <c r="T454" s="193"/>
    </row>
    <row r="455" hidden="1">
      <c r="O455" s="230"/>
      <c r="R455" s="230"/>
      <c r="S455" s="247"/>
      <c r="T455" s="193"/>
    </row>
    <row r="456" hidden="1">
      <c r="O456" s="230"/>
      <c r="R456" s="230"/>
      <c r="S456" s="247"/>
      <c r="T456" s="193"/>
    </row>
    <row r="457" hidden="1">
      <c r="O457" s="230"/>
      <c r="R457" s="230"/>
      <c r="S457" s="247"/>
      <c r="T457" s="193"/>
    </row>
    <row r="458" hidden="1">
      <c r="O458" s="230"/>
      <c r="R458" s="230"/>
      <c r="S458" s="247"/>
      <c r="T458" s="193"/>
    </row>
    <row r="459" hidden="1">
      <c r="O459" s="230"/>
      <c r="R459" s="230"/>
      <c r="S459" s="247"/>
      <c r="T459" s="193"/>
    </row>
    <row r="460" hidden="1">
      <c r="O460" s="230"/>
      <c r="R460" s="230"/>
      <c r="S460" s="247"/>
      <c r="T460" s="193"/>
    </row>
    <row r="461" hidden="1">
      <c r="O461" s="230"/>
      <c r="R461" s="230"/>
      <c r="S461" s="247"/>
      <c r="T461" s="193"/>
    </row>
    <row r="462" hidden="1">
      <c r="O462" s="230"/>
      <c r="R462" s="230"/>
      <c r="S462" s="247"/>
      <c r="T462" s="193"/>
    </row>
    <row r="463" hidden="1">
      <c r="O463" s="230"/>
      <c r="R463" s="230"/>
      <c r="S463" s="247"/>
      <c r="T463" s="193"/>
    </row>
    <row r="464" hidden="1">
      <c r="O464" s="230"/>
      <c r="R464" s="230"/>
      <c r="S464" s="247"/>
      <c r="T464" s="193"/>
    </row>
    <row r="465" hidden="1">
      <c r="O465" s="230"/>
      <c r="R465" s="230"/>
      <c r="S465" s="247"/>
      <c r="T465" s="193"/>
    </row>
    <row r="466" hidden="1">
      <c r="O466" s="230"/>
      <c r="R466" s="230"/>
      <c r="S466" s="247"/>
      <c r="T466" s="193"/>
    </row>
    <row r="467" hidden="1">
      <c r="O467" s="230"/>
      <c r="R467" s="230"/>
      <c r="S467" s="247"/>
      <c r="T467" s="193"/>
    </row>
    <row r="468" hidden="1">
      <c r="O468" s="230"/>
      <c r="R468" s="230"/>
      <c r="S468" s="247"/>
      <c r="T468" s="193"/>
    </row>
    <row r="469" hidden="1">
      <c r="O469" s="230"/>
      <c r="R469" s="230"/>
      <c r="S469" s="247"/>
      <c r="T469" s="193"/>
    </row>
    <row r="470" hidden="1">
      <c r="O470" s="230"/>
      <c r="R470" s="230"/>
      <c r="S470" s="247"/>
      <c r="T470" s="193"/>
    </row>
    <row r="471" hidden="1">
      <c r="O471" s="230"/>
      <c r="R471" s="230"/>
      <c r="S471" s="247"/>
      <c r="T471" s="193"/>
    </row>
    <row r="472" hidden="1">
      <c r="O472" s="230"/>
      <c r="R472" s="230"/>
      <c r="S472" s="247"/>
      <c r="T472" s="193"/>
    </row>
    <row r="473" hidden="1">
      <c r="O473" s="230"/>
      <c r="R473" s="230"/>
      <c r="S473" s="247"/>
      <c r="T473" s="193"/>
    </row>
    <row r="474" hidden="1">
      <c r="O474" s="230"/>
      <c r="R474" s="230"/>
      <c r="S474" s="247"/>
      <c r="T474" s="193"/>
    </row>
    <row r="475" hidden="1">
      <c r="O475" s="230"/>
      <c r="R475" s="230"/>
      <c r="S475" s="247"/>
      <c r="T475" s="193"/>
    </row>
    <row r="476" hidden="1">
      <c r="O476" s="230"/>
      <c r="R476" s="230"/>
      <c r="S476" s="247"/>
      <c r="T476" s="193"/>
    </row>
    <row r="477" hidden="1">
      <c r="O477" s="230"/>
      <c r="R477" s="230"/>
      <c r="S477" s="247"/>
      <c r="T477" s="193"/>
    </row>
    <row r="478" hidden="1">
      <c r="O478" s="230"/>
      <c r="R478" s="230"/>
      <c r="S478" s="247"/>
      <c r="T478" s="193"/>
    </row>
    <row r="479" hidden="1">
      <c r="O479" s="230"/>
      <c r="R479" s="230"/>
      <c r="S479" s="247"/>
      <c r="T479" s="193"/>
    </row>
    <row r="480" hidden="1">
      <c r="O480" s="230"/>
      <c r="R480" s="230"/>
      <c r="S480" s="247"/>
      <c r="T480" s="193"/>
    </row>
    <row r="481" hidden="1">
      <c r="O481" s="230"/>
      <c r="R481" s="230"/>
      <c r="S481" s="247"/>
      <c r="T481" s="193"/>
    </row>
    <row r="482" hidden="1">
      <c r="O482" s="230"/>
      <c r="R482" s="230"/>
      <c r="S482" s="247"/>
      <c r="T482" s="193"/>
    </row>
    <row r="483" hidden="1">
      <c r="O483" s="230"/>
      <c r="R483" s="230"/>
      <c r="S483" s="247"/>
      <c r="T483" s="193"/>
    </row>
    <row r="484" hidden="1">
      <c r="O484" s="230"/>
      <c r="R484" s="230"/>
      <c r="S484" s="247"/>
      <c r="T484" s="193"/>
    </row>
    <row r="485" hidden="1">
      <c r="O485" s="230"/>
      <c r="R485" s="230"/>
      <c r="S485" s="247"/>
      <c r="T485" s="193"/>
    </row>
    <row r="486" hidden="1">
      <c r="O486" s="230"/>
      <c r="R486" s="230"/>
      <c r="S486" s="247"/>
      <c r="T486" s="193"/>
    </row>
    <row r="487" hidden="1">
      <c r="O487" s="230"/>
      <c r="R487" s="230"/>
      <c r="S487" s="247"/>
      <c r="T487" s="193"/>
    </row>
    <row r="488" hidden="1">
      <c r="O488" s="230"/>
      <c r="R488" s="230"/>
      <c r="S488" s="247"/>
      <c r="T488" s="193"/>
    </row>
    <row r="489" hidden="1">
      <c r="O489" s="230"/>
      <c r="R489" s="230"/>
      <c r="S489" s="247"/>
      <c r="T489" s="193"/>
    </row>
    <row r="490" hidden="1">
      <c r="O490" s="230"/>
      <c r="R490" s="230"/>
      <c r="S490" s="247"/>
      <c r="T490" s="193"/>
    </row>
    <row r="491" hidden="1">
      <c r="O491" s="230"/>
      <c r="R491" s="230"/>
      <c r="S491" s="247"/>
      <c r="T491" s="193"/>
    </row>
    <row r="492" hidden="1">
      <c r="O492" s="230"/>
      <c r="R492" s="230"/>
      <c r="S492" s="247"/>
      <c r="T492" s="193"/>
    </row>
    <row r="493" hidden="1">
      <c r="O493" s="230"/>
      <c r="R493" s="230"/>
      <c r="S493" s="247"/>
      <c r="T493" s="193"/>
    </row>
    <row r="494" hidden="1">
      <c r="O494" s="230"/>
      <c r="R494" s="230"/>
      <c r="S494" s="247"/>
      <c r="T494" s="193"/>
    </row>
    <row r="495" hidden="1">
      <c r="O495" s="230"/>
      <c r="R495" s="230"/>
      <c r="S495" s="247"/>
      <c r="T495" s="193"/>
    </row>
    <row r="496" hidden="1">
      <c r="O496" s="230"/>
      <c r="R496" s="230"/>
      <c r="S496" s="247"/>
      <c r="T496" s="193"/>
    </row>
    <row r="497" hidden="1">
      <c r="O497" s="230"/>
      <c r="R497" s="230"/>
      <c r="S497" s="247"/>
      <c r="T497" s="193"/>
    </row>
    <row r="498" hidden="1">
      <c r="O498" s="230"/>
      <c r="R498" s="230"/>
      <c r="S498" s="247"/>
      <c r="T498" s="193"/>
    </row>
    <row r="499" hidden="1">
      <c r="O499" s="230"/>
      <c r="R499" s="230"/>
      <c r="S499" s="247"/>
      <c r="T499" s="193"/>
    </row>
    <row r="500" hidden="1">
      <c r="O500" s="230"/>
      <c r="R500" s="230"/>
      <c r="S500" s="247"/>
      <c r="T500" s="193"/>
    </row>
    <row r="501" hidden="1">
      <c r="O501" s="230"/>
      <c r="R501" s="230"/>
      <c r="S501" s="247"/>
      <c r="T501" s="193"/>
    </row>
    <row r="502" hidden="1">
      <c r="O502" s="230"/>
      <c r="R502" s="230"/>
      <c r="S502" s="247"/>
      <c r="T502" s="193"/>
    </row>
    <row r="503" hidden="1">
      <c r="O503" s="230"/>
      <c r="R503" s="230"/>
      <c r="S503" s="247"/>
      <c r="T503" s="193"/>
    </row>
    <row r="504" hidden="1">
      <c r="O504" s="230"/>
      <c r="R504" s="230"/>
      <c r="S504" s="247"/>
      <c r="T504" s="193"/>
    </row>
    <row r="505" hidden="1">
      <c r="O505" s="230"/>
      <c r="R505" s="230"/>
      <c r="S505" s="247"/>
      <c r="T505" s="193"/>
    </row>
    <row r="506" hidden="1">
      <c r="O506" s="230"/>
      <c r="R506" s="230"/>
      <c r="S506" s="247"/>
      <c r="T506" s="193"/>
    </row>
    <row r="507" hidden="1">
      <c r="O507" s="230"/>
      <c r="R507" s="230"/>
      <c r="S507" s="247"/>
      <c r="T507" s="193"/>
    </row>
    <row r="508" hidden="1">
      <c r="O508" s="230"/>
      <c r="R508" s="230"/>
      <c r="S508" s="247"/>
      <c r="T508" s="193"/>
    </row>
    <row r="509" hidden="1">
      <c r="O509" s="230"/>
      <c r="R509" s="230"/>
      <c r="S509" s="247"/>
      <c r="T509" s="193"/>
    </row>
    <row r="510" hidden="1">
      <c r="O510" s="230"/>
      <c r="R510" s="230"/>
      <c r="S510" s="247"/>
      <c r="T510" s="193"/>
    </row>
    <row r="511" hidden="1">
      <c r="O511" s="230"/>
      <c r="R511" s="230"/>
      <c r="S511" s="247"/>
      <c r="T511" s="193"/>
    </row>
    <row r="512" hidden="1">
      <c r="O512" s="230"/>
      <c r="R512" s="230"/>
      <c r="S512" s="247"/>
      <c r="T512" s="193"/>
    </row>
    <row r="513" hidden="1">
      <c r="O513" s="230"/>
      <c r="R513" s="230"/>
      <c r="S513" s="247"/>
      <c r="T513" s="193"/>
    </row>
    <row r="514" hidden="1">
      <c r="O514" s="230"/>
      <c r="R514" s="230"/>
      <c r="S514" s="247"/>
      <c r="T514" s="193"/>
    </row>
    <row r="515" hidden="1">
      <c r="O515" s="230"/>
      <c r="R515" s="230"/>
      <c r="S515" s="247"/>
      <c r="T515" s="193"/>
    </row>
    <row r="516" hidden="1">
      <c r="O516" s="230"/>
      <c r="R516" s="230"/>
      <c r="S516" s="247"/>
      <c r="T516" s="193"/>
    </row>
    <row r="517" hidden="1">
      <c r="O517" s="230"/>
      <c r="R517" s="230"/>
      <c r="S517" s="247"/>
      <c r="T517" s="193"/>
    </row>
    <row r="518" hidden="1">
      <c r="O518" s="230"/>
      <c r="R518" s="230"/>
      <c r="S518" s="247"/>
      <c r="T518" s="193"/>
    </row>
    <row r="519" hidden="1">
      <c r="O519" s="230"/>
      <c r="R519" s="230"/>
      <c r="S519" s="247"/>
      <c r="T519" s="193"/>
    </row>
    <row r="520" hidden="1">
      <c r="O520" s="230"/>
      <c r="R520" s="230"/>
      <c r="S520" s="247"/>
      <c r="T520" s="193"/>
    </row>
    <row r="521" hidden="1">
      <c r="O521" s="230"/>
      <c r="R521" s="230"/>
      <c r="S521" s="247"/>
      <c r="T521" s="193"/>
    </row>
    <row r="522" hidden="1">
      <c r="O522" s="230"/>
      <c r="R522" s="230"/>
      <c r="S522" s="247"/>
      <c r="T522" s="193"/>
    </row>
    <row r="523" hidden="1">
      <c r="O523" s="230"/>
      <c r="R523" s="230"/>
      <c r="S523" s="247"/>
      <c r="T523" s="193"/>
    </row>
    <row r="524" hidden="1">
      <c r="O524" s="230"/>
      <c r="R524" s="230"/>
      <c r="S524" s="247"/>
      <c r="T524" s="193"/>
    </row>
    <row r="525" hidden="1">
      <c r="O525" s="230"/>
      <c r="R525" s="230"/>
      <c r="S525" s="247"/>
      <c r="T525" s="193"/>
    </row>
    <row r="526" hidden="1">
      <c r="O526" s="230"/>
      <c r="R526" s="230"/>
      <c r="S526" s="247"/>
      <c r="T526" s="193"/>
    </row>
    <row r="527" hidden="1">
      <c r="O527" s="230"/>
      <c r="R527" s="230"/>
      <c r="S527" s="247"/>
      <c r="T527" s="193"/>
    </row>
    <row r="528" hidden="1">
      <c r="O528" s="230"/>
      <c r="R528" s="230"/>
      <c r="S528" s="247"/>
      <c r="T528" s="193"/>
    </row>
    <row r="529" hidden="1">
      <c r="O529" s="230"/>
      <c r="R529" s="230"/>
      <c r="S529" s="247"/>
      <c r="T529" s="193"/>
    </row>
    <row r="530" hidden="1">
      <c r="O530" s="230"/>
      <c r="R530" s="230"/>
      <c r="S530" s="247"/>
      <c r="T530" s="193"/>
    </row>
    <row r="531" hidden="1">
      <c r="O531" s="230"/>
      <c r="R531" s="230"/>
      <c r="S531" s="247"/>
      <c r="T531" s="193"/>
    </row>
    <row r="532" hidden="1">
      <c r="O532" s="230"/>
      <c r="R532" s="230"/>
      <c r="S532" s="247"/>
      <c r="T532" s="193"/>
    </row>
    <row r="533" hidden="1">
      <c r="O533" s="230"/>
      <c r="R533" s="230"/>
      <c r="S533" s="247"/>
      <c r="T533" s="193"/>
    </row>
    <row r="534" hidden="1">
      <c r="O534" s="230"/>
      <c r="R534" s="230"/>
      <c r="S534" s="247"/>
      <c r="T534" s="193"/>
    </row>
    <row r="535" hidden="1">
      <c r="O535" s="230"/>
      <c r="R535" s="230"/>
      <c r="S535" s="247"/>
      <c r="T535" s="193"/>
    </row>
    <row r="536" hidden="1">
      <c r="O536" s="230"/>
      <c r="R536" s="230"/>
      <c r="S536" s="247"/>
      <c r="T536" s="193"/>
    </row>
    <row r="537" hidden="1">
      <c r="O537" s="230"/>
      <c r="R537" s="230"/>
      <c r="S537" s="247"/>
      <c r="T537" s="193"/>
    </row>
    <row r="538" hidden="1">
      <c r="O538" s="230"/>
      <c r="R538" s="230"/>
      <c r="S538" s="247"/>
      <c r="T538" s="193"/>
    </row>
    <row r="539" hidden="1">
      <c r="O539" s="230"/>
      <c r="R539" s="230"/>
      <c r="S539" s="247"/>
      <c r="T539" s="193"/>
    </row>
    <row r="540" hidden="1">
      <c r="O540" s="230"/>
      <c r="R540" s="230"/>
      <c r="S540" s="247"/>
      <c r="T540" s="193"/>
    </row>
    <row r="541" hidden="1">
      <c r="O541" s="230"/>
      <c r="R541" s="230"/>
      <c r="S541" s="247"/>
      <c r="T541" s="193"/>
    </row>
    <row r="542" hidden="1">
      <c r="O542" s="230"/>
      <c r="R542" s="230"/>
      <c r="S542" s="247"/>
      <c r="T542" s="193"/>
    </row>
    <row r="543" hidden="1">
      <c r="O543" s="230"/>
      <c r="R543" s="230"/>
      <c r="S543" s="247"/>
      <c r="T543" s="193"/>
    </row>
    <row r="544" hidden="1">
      <c r="O544" s="230"/>
      <c r="R544" s="230"/>
      <c r="S544" s="247"/>
      <c r="T544" s="193"/>
    </row>
    <row r="545" hidden="1">
      <c r="O545" s="230"/>
      <c r="R545" s="230"/>
      <c r="S545" s="247"/>
      <c r="T545" s="193"/>
    </row>
    <row r="546" hidden="1">
      <c r="O546" s="230"/>
      <c r="R546" s="230"/>
      <c r="S546" s="247"/>
      <c r="T546" s="193"/>
    </row>
    <row r="547" hidden="1">
      <c r="O547" s="230"/>
      <c r="R547" s="230"/>
      <c r="S547" s="247"/>
      <c r="T547" s="193"/>
    </row>
    <row r="548" hidden="1">
      <c r="O548" s="230"/>
      <c r="R548" s="230"/>
      <c r="S548" s="247"/>
      <c r="T548" s="193"/>
    </row>
    <row r="549" hidden="1">
      <c r="O549" s="230"/>
      <c r="R549" s="230"/>
      <c r="S549" s="247"/>
      <c r="T549" s="193"/>
    </row>
    <row r="550" hidden="1">
      <c r="O550" s="230"/>
      <c r="R550" s="230"/>
      <c r="S550" s="247"/>
      <c r="T550" s="193"/>
    </row>
    <row r="551" hidden="1">
      <c r="O551" s="230"/>
      <c r="R551" s="230"/>
      <c r="S551" s="247"/>
      <c r="T551" s="193"/>
    </row>
    <row r="552" hidden="1">
      <c r="O552" s="230"/>
      <c r="R552" s="230"/>
      <c r="S552" s="247"/>
      <c r="T552" s="193"/>
    </row>
    <row r="553" hidden="1">
      <c r="O553" s="230"/>
      <c r="R553" s="230"/>
      <c r="S553" s="247"/>
      <c r="T553" s="193"/>
    </row>
    <row r="554" hidden="1">
      <c r="O554" s="230"/>
      <c r="R554" s="230"/>
      <c r="S554" s="247"/>
      <c r="T554" s="193"/>
    </row>
    <row r="555" hidden="1">
      <c r="O555" s="230"/>
      <c r="R555" s="230"/>
      <c r="S555" s="247"/>
      <c r="T555" s="193"/>
    </row>
    <row r="556" hidden="1">
      <c r="O556" s="230"/>
      <c r="R556" s="230"/>
      <c r="S556" s="247"/>
      <c r="T556" s="193"/>
    </row>
    <row r="557" hidden="1">
      <c r="O557" s="230"/>
      <c r="R557" s="230"/>
      <c r="S557" s="247"/>
      <c r="T557" s="193"/>
    </row>
    <row r="558" hidden="1">
      <c r="O558" s="230"/>
      <c r="R558" s="230"/>
      <c r="S558" s="247"/>
      <c r="T558" s="193"/>
    </row>
    <row r="559" hidden="1">
      <c r="O559" s="230"/>
      <c r="R559" s="230"/>
      <c r="S559" s="247"/>
      <c r="T559" s="193"/>
    </row>
    <row r="560" hidden="1">
      <c r="O560" s="230"/>
      <c r="R560" s="230"/>
      <c r="S560" s="247"/>
      <c r="T560" s="193"/>
    </row>
    <row r="561" hidden="1">
      <c r="O561" s="230"/>
      <c r="R561" s="230"/>
      <c r="S561" s="247"/>
      <c r="T561" s="193"/>
    </row>
    <row r="562" hidden="1">
      <c r="O562" s="230"/>
      <c r="R562" s="230"/>
      <c r="S562" s="247"/>
      <c r="T562" s="193"/>
    </row>
    <row r="563" hidden="1">
      <c r="O563" s="230"/>
      <c r="R563" s="230"/>
      <c r="S563" s="247"/>
      <c r="T563" s="193"/>
    </row>
    <row r="564" hidden="1">
      <c r="O564" s="230"/>
      <c r="R564" s="230"/>
      <c r="S564" s="247"/>
      <c r="T564" s="193"/>
    </row>
    <row r="565" hidden="1">
      <c r="O565" s="230"/>
      <c r="R565" s="230"/>
      <c r="S565" s="247"/>
      <c r="T565" s="193"/>
    </row>
    <row r="566" hidden="1">
      <c r="O566" s="230"/>
      <c r="R566" s="230"/>
      <c r="S566" s="247"/>
      <c r="T566" s="193"/>
    </row>
    <row r="567" hidden="1">
      <c r="O567" s="230"/>
      <c r="R567" s="230"/>
      <c r="S567" s="247"/>
      <c r="T567" s="193"/>
    </row>
    <row r="568" hidden="1">
      <c r="O568" s="230"/>
      <c r="R568" s="230"/>
      <c r="S568" s="247"/>
      <c r="T568" s="193"/>
    </row>
    <row r="569" hidden="1">
      <c r="O569" s="230"/>
      <c r="R569" s="230"/>
      <c r="S569" s="247"/>
      <c r="T569" s="193"/>
    </row>
    <row r="570" hidden="1">
      <c r="O570" s="230"/>
      <c r="R570" s="230"/>
      <c r="S570" s="247"/>
      <c r="T570" s="193"/>
    </row>
    <row r="571" hidden="1">
      <c r="O571" s="230"/>
      <c r="R571" s="230"/>
      <c r="S571" s="247"/>
      <c r="T571" s="193"/>
    </row>
    <row r="572" hidden="1">
      <c r="O572" s="230"/>
      <c r="R572" s="230"/>
      <c r="S572" s="247"/>
      <c r="T572" s="193"/>
    </row>
    <row r="573" hidden="1">
      <c r="O573" s="230"/>
      <c r="R573" s="230"/>
      <c r="S573" s="247"/>
      <c r="T573" s="193"/>
    </row>
    <row r="574" hidden="1">
      <c r="O574" s="230"/>
      <c r="R574" s="230"/>
      <c r="S574" s="247"/>
      <c r="T574" s="193"/>
    </row>
    <row r="575" hidden="1">
      <c r="O575" s="230"/>
      <c r="R575" s="230"/>
      <c r="S575" s="247"/>
      <c r="T575" s="193"/>
    </row>
    <row r="576" hidden="1">
      <c r="O576" s="230"/>
      <c r="R576" s="230"/>
      <c r="S576" s="247"/>
      <c r="T576" s="193"/>
    </row>
    <row r="577" hidden="1">
      <c r="O577" s="230"/>
      <c r="R577" s="230"/>
      <c r="S577" s="247"/>
      <c r="T577" s="193"/>
    </row>
    <row r="578" hidden="1">
      <c r="O578" s="230"/>
      <c r="R578" s="230"/>
      <c r="S578" s="247"/>
      <c r="T578" s="193"/>
    </row>
    <row r="579" hidden="1">
      <c r="O579" s="230"/>
      <c r="R579" s="230"/>
      <c r="S579" s="247"/>
      <c r="T579" s="193"/>
    </row>
    <row r="580" hidden="1">
      <c r="O580" s="230"/>
      <c r="R580" s="230"/>
      <c r="S580" s="247"/>
      <c r="T580" s="193"/>
    </row>
    <row r="581" hidden="1">
      <c r="O581" s="230"/>
      <c r="R581" s="230"/>
      <c r="S581" s="247"/>
      <c r="T581" s="193"/>
    </row>
    <row r="582" hidden="1">
      <c r="O582" s="230"/>
      <c r="R582" s="230"/>
      <c r="S582" s="247"/>
      <c r="T582" s="193"/>
    </row>
    <row r="583" hidden="1">
      <c r="O583" s="230"/>
      <c r="R583" s="230"/>
      <c r="S583" s="247"/>
      <c r="T583" s="193"/>
    </row>
    <row r="584" hidden="1">
      <c r="O584" s="230"/>
      <c r="R584" s="230"/>
      <c r="S584" s="247"/>
      <c r="T584" s="193"/>
    </row>
    <row r="585" hidden="1">
      <c r="O585" s="230"/>
      <c r="R585" s="230"/>
      <c r="S585" s="247"/>
      <c r="T585" s="193"/>
    </row>
    <row r="586" hidden="1">
      <c r="O586" s="230"/>
      <c r="R586" s="230"/>
      <c r="S586" s="247"/>
      <c r="T586" s="193"/>
    </row>
    <row r="587" hidden="1">
      <c r="O587" s="230"/>
      <c r="R587" s="230"/>
      <c r="S587" s="247"/>
      <c r="T587" s="193"/>
    </row>
    <row r="588" hidden="1">
      <c r="O588" s="230"/>
      <c r="R588" s="230"/>
      <c r="S588" s="247"/>
      <c r="T588" s="193"/>
    </row>
    <row r="589" hidden="1">
      <c r="O589" s="230"/>
      <c r="R589" s="230"/>
      <c r="S589" s="247"/>
      <c r="T589" s="193"/>
    </row>
    <row r="590" hidden="1">
      <c r="O590" s="230"/>
      <c r="R590" s="230"/>
      <c r="S590" s="247"/>
      <c r="T590" s="193"/>
    </row>
    <row r="591" hidden="1">
      <c r="O591" s="230"/>
      <c r="R591" s="230"/>
      <c r="S591" s="247"/>
      <c r="T591" s="193"/>
    </row>
    <row r="592" hidden="1">
      <c r="O592" s="230"/>
      <c r="R592" s="230"/>
      <c r="S592" s="247"/>
      <c r="T592" s="193"/>
    </row>
    <row r="593" hidden="1">
      <c r="O593" s="230"/>
      <c r="R593" s="230"/>
      <c r="S593" s="247"/>
      <c r="T593" s="193"/>
    </row>
    <row r="594" hidden="1">
      <c r="O594" s="230"/>
      <c r="R594" s="230"/>
      <c r="S594" s="247"/>
      <c r="T594" s="193"/>
    </row>
    <row r="595" hidden="1">
      <c r="O595" s="230"/>
      <c r="R595" s="230"/>
      <c r="S595" s="247"/>
      <c r="T595" s="193"/>
    </row>
    <row r="596" hidden="1">
      <c r="O596" s="230"/>
      <c r="R596" s="230"/>
      <c r="S596" s="247"/>
      <c r="T596" s="193"/>
    </row>
    <row r="597" hidden="1">
      <c r="O597" s="230"/>
      <c r="R597" s="230"/>
      <c r="S597" s="247"/>
      <c r="T597" s="193"/>
    </row>
    <row r="598" hidden="1">
      <c r="O598" s="230"/>
      <c r="R598" s="230"/>
      <c r="S598" s="247"/>
      <c r="T598" s="193"/>
    </row>
    <row r="599" hidden="1">
      <c r="O599" s="230"/>
      <c r="R599" s="230"/>
      <c r="S599" s="247"/>
      <c r="T599" s="193"/>
    </row>
    <row r="600" hidden="1">
      <c r="O600" s="230"/>
      <c r="R600" s="230"/>
      <c r="S600" s="247"/>
      <c r="T600" s="193"/>
    </row>
    <row r="601" hidden="1">
      <c r="O601" s="230"/>
      <c r="R601" s="230"/>
      <c r="S601" s="247"/>
      <c r="T601" s="193"/>
    </row>
    <row r="602" hidden="1">
      <c r="O602" s="230"/>
      <c r="R602" s="230"/>
      <c r="S602" s="247"/>
      <c r="T602" s="193"/>
    </row>
    <row r="603" hidden="1">
      <c r="O603" s="230"/>
      <c r="R603" s="230"/>
      <c r="S603" s="247"/>
      <c r="T603" s="193"/>
    </row>
    <row r="604" hidden="1">
      <c r="O604" s="230"/>
      <c r="R604" s="230"/>
      <c r="S604" s="247"/>
      <c r="T604" s="193"/>
    </row>
    <row r="605" hidden="1">
      <c r="O605" s="230"/>
      <c r="R605" s="230"/>
      <c r="S605" s="247"/>
      <c r="T605" s="193"/>
    </row>
    <row r="606" hidden="1">
      <c r="O606" s="230"/>
      <c r="R606" s="230"/>
      <c r="S606" s="247"/>
      <c r="T606" s="193"/>
    </row>
    <row r="607" hidden="1">
      <c r="O607" s="230"/>
      <c r="R607" s="230"/>
      <c r="S607" s="247"/>
      <c r="T607" s="193"/>
    </row>
    <row r="608" hidden="1">
      <c r="O608" s="230"/>
      <c r="R608" s="230"/>
      <c r="S608" s="247"/>
      <c r="T608" s="193"/>
    </row>
    <row r="609" hidden="1">
      <c r="O609" s="230"/>
      <c r="R609" s="230"/>
      <c r="S609" s="247"/>
      <c r="T609" s="193"/>
    </row>
    <row r="610" hidden="1">
      <c r="O610" s="230"/>
      <c r="R610" s="230"/>
      <c r="S610" s="247"/>
      <c r="T610" s="193"/>
    </row>
    <row r="611" hidden="1">
      <c r="O611" s="230"/>
      <c r="R611" s="230"/>
      <c r="S611" s="247"/>
      <c r="T611" s="193"/>
    </row>
    <row r="612" hidden="1">
      <c r="O612" s="230"/>
      <c r="R612" s="230"/>
      <c r="S612" s="247"/>
      <c r="T612" s="193"/>
    </row>
    <row r="613" hidden="1">
      <c r="O613" s="230"/>
      <c r="R613" s="230"/>
      <c r="S613" s="247"/>
      <c r="T613" s="193"/>
    </row>
    <row r="614" hidden="1">
      <c r="O614" s="230"/>
      <c r="R614" s="230"/>
      <c r="S614" s="247"/>
      <c r="T614" s="193"/>
    </row>
    <row r="615" hidden="1">
      <c r="O615" s="230"/>
      <c r="R615" s="230"/>
      <c r="S615" s="247"/>
      <c r="T615" s="193"/>
    </row>
    <row r="616" hidden="1">
      <c r="O616" s="230"/>
      <c r="R616" s="230"/>
      <c r="S616" s="247"/>
      <c r="T616" s="193"/>
    </row>
    <row r="617" hidden="1">
      <c r="O617" s="230"/>
      <c r="R617" s="230"/>
      <c r="S617" s="247"/>
      <c r="T617" s="193"/>
    </row>
    <row r="618" hidden="1">
      <c r="O618" s="230"/>
      <c r="R618" s="230"/>
      <c r="S618" s="247"/>
      <c r="T618" s="193"/>
    </row>
    <row r="619" hidden="1">
      <c r="O619" s="230"/>
      <c r="R619" s="230"/>
      <c r="S619" s="247"/>
      <c r="T619" s="193"/>
    </row>
    <row r="620" hidden="1">
      <c r="O620" s="230"/>
      <c r="R620" s="230"/>
      <c r="S620" s="247"/>
      <c r="T620" s="193"/>
    </row>
    <row r="621" hidden="1">
      <c r="O621" s="230"/>
      <c r="R621" s="230"/>
      <c r="S621" s="247"/>
      <c r="T621" s="193"/>
    </row>
    <row r="622" hidden="1">
      <c r="O622" s="230"/>
      <c r="R622" s="230"/>
      <c r="S622" s="247"/>
      <c r="T622" s="193"/>
    </row>
    <row r="623" hidden="1">
      <c r="O623" s="230"/>
      <c r="R623" s="230"/>
      <c r="S623" s="247"/>
      <c r="T623" s="193"/>
    </row>
    <row r="624" hidden="1">
      <c r="O624" s="230"/>
      <c r="R624" s="230"/>
      <c r="S624" s="247"/>
      <c r="T624" s="193"/>
    </row>
    <row r="625" hidden="1">
      <c r="O625" s="230"/>
      <c r="R625" s="230"/>
      <c r="S625" s="247"/>
      <c r="T625" s="193"/>
    </row>
    <row r="626" hidden="1">
      <c r="O626" s="230"/>
      <c r="R626" s="230"/>
      <c r="S626" s="247"/>
      <c r="T626" s="193"/>
    </row>
    <row r="627" hidden="1">
      <c r="O627" s="230"/>
      <c r="R627" s="230"/>
      <c r="S627" s="247"/>
      <c r="T627" s="193"/>
    </row>
    <row r="628" hidden="1">
      <c r="O628" s="230"/>
      <c r="R628" s="230"/>
      <c r="S628" s="247"/>
      <c r="T628" s="193"/>
    </row>
    <row r="629" hidden="1">
      <c r="O629" s="230"/>
      <c r="R629" s="230"/>
      <c r="S629" s="247"/>
      <c r="T629" s="193"/>
    </row>
    <row r="630" hidden="1">
      <c r="O630" s="230"/>
      <c r="R630" s="230"/>
      <c r="S630" s="247"/>
      <c r="T630" s="193"/>
    </row>
    <row r="631" hidden="1">
      <c r="O631" s="230"/>
      <c r="R631" s="230"/>
      <c r="S631" s="247"/>
      <c r="T631" s="193"/>
    </row>
    <row r="632" hidden="1">
      <c r="O632" s="230"/>
      <c r="R632" s="230"/>
      <c r="S632" s="247"/>
      <c r="T632" s="193"/>
    </row>
    <row r="633" hidden="1">
      <c r="O633" s="230"/>
      <c r="R633" s="230"/>
      <c r="S633" s="247"/>
      <c r="T633" s="193"/>
    </row>
    <row r="634" hidden="1">
      <c r="O634" s="230"/>
      <c r="R634" s="230"/>
      <c r="S634" s="247"/>
      <c r="T634" s="193"/>
    </row>
    <row r="635" hidden="1">
      <c r="O635" s="230"/>
      <c r="R635" s="230"/>
      <c r="S635" s="247"/>
      <c r="T635" s="193"/>
    </row>
    <row r="636" hidden="1">
      <c r="O636" s="230"/>
      <c r="R636" s="230"/>
      <c r="S636" s="247"/>
      <c r="T636" s="193"/>
    </row>
    <row r="637" hidden="1">
      <c r="O637" s="230"/>
      <c r="R637" s="230"/>
      <c r="S637" s="247"/>
      <c r="T637" s="193"/>
    </row>
    <row r="638" hidden="1">
      <c r="O638" s="230"/>
      <c r="R638" s="230"/>
      <c r="S638" s="247"/>
      <c r="T638" s="193"/>
    </row>
    <row r="639" hidden="1">
      <c r="O639" s="230"/>
      <c r="R639" s="230"/>
      <c r="S639" s="247"/>
      <c r="T639" s="193"/>
    </row>
    <row r="640" hidden="1">
      <c r="O640" s="230"/>
      <c r="R640" s="230"/>
      <c r="S640" s="247"/>
      <c r="T640" s="193"/>
    </row>
    <row r="641" hidden="1">
      <c r="O641" s="230"/>
      <c r="R641" s="230"/>
      <c r="S641" s="247"/>
      <c r="T641" s="193"/>
    </row>
    <row r="642" hidden="1">
      <c r="O642" s="230"/>
      <c r="R642" s="230"/>
      <c r="S642" s="247"/>
      <c r="T642" s="193"/>
    </row>
    <row r="643" hidden="1">
      <c r="O643" s="230"/>
      <c r="R643" s="230"/>
      <c r="S643" s="247"/>
      <c r="T643" s="193"/>
    </row>
    <row r="644" hidden="1">
      <c r="O644" s="230"/>
      <c r="R644" s="230"/>
      <c r="S644" s="247"/>
      <c r="T644" s="193"/>
    </row>
    <row r="645" hidden="1">
      <c r="O645" s="230"/>
      <c r="R645" s="230"/>
      <c r="S645" s="247"/>
      <c r="T645" s="193"/>
    </row>
    <row r="646" hidden="1">
      <c r="O646" s="230"/>
      <c r="R646" s="230"/>
      <c r="S646" s="247"/>
      <c r="T646" s="193"/>
    </row>
    <row r="647" hidden="1">
      <c r="O647" s="230"/>
      <c r="R647" s="230"/>
      <c r="S647" s="247"/>
      <c r="T647" s="193"/>
    </row>
    <row r="648" hidden="1">
      <c r="O648" s="230"/>
      <c r="R648" s="230"/>
      <c r="S648" s="247"/>
      <c r="T648" s="193"/>
    </row>
    <row r="649" hidden="1">
      <c r="O649" s="230"/>
      <c r="R649" s="230"/>
      <c r="S649" s="247"/>
      <c r="T649" s="193"/>
    </row>
    <row r="650" hidden="1">
      <c r="O650" s="230"/>
      <c r="R650" s="230"/>
      <c r="S650" s="247"/>
      <c r="T650" s="193"/>
    </row>
    <row r="651" hidden="1">
      <c r="O651" s="230"/>
      <c r="R651" s="230"/>
      <c r="S651" s="247"/>
      <c r="T651" s="193"/>
    </row>
    <row r="652" hidden="1">
      <c r="O652" s="230"/>
      <c r="R652" s="230"/>
      <c r="S652" s="247"/>
      <c r="T652" s="193"/>
    </row>
    <row r="653" hidden="1">
      <c r="O653" s="230"/>
      <c r="R653" s="230"/>
      <c r="S653" s="247"/>
      <c r="T653" s="193"/>
    </row>
    <row r="654" hidden="1">
      <c r="O654" s="230"/>
      <c r="R654" s="230"/>
      <c r="S654" s="247"/>
      <c r="T654" s="193"/>
    </row>
    <row r="655" hidden="1">
      <c r="O655" s="230"/>
      <c r="R655" s="230"/>
      <c r="S655" s="247"/>
      <c r="T655" s="193"/>
    </row>
    <row r="656" hidden="1">
      <c r="O656" s="230"/>
      <c r="R656" s="230"/>
      <c r="S656" s="247"/>
      <c r="T656" s="193"/>
    </row>
    <row r="657" hidden="1">
      <c r="O657" s="230"/>
      <c r="R657" s="230"/>
      <c r="S657" s="247"/>
      <c r="T657" s="193"/>
    </row>
    <row r="658" hidden="1">
      <c r="O658" s="230"/>
      <c r="R658" s="230"/>
      <c r="S658" s="247"/>
      <c r="T658" s="193"/>
    </row>
    <row r="659" hidden="1">
      <c r="O659" s="230"/>
      <c r="R659" s="230"/>
      <c r="S659" s="247"/>
      <c r="T659" s="193"/>
    </row>
    <row r="660" hidden="1">
      <c r="O660" s="230"/>
      <c r="R660" s="230"/>
      <c r="S660" s="247"/>
      <c r="T660" s="193"/>
    </row>
    <row r="661" hidden="1">
      <c r="O661" s="230"/>
      <c r="R661" s="230"/>
      <c r="S661" s="247"/>
      <c r="T661" s="193"/>
    </row>
    <row r="662" hidden="1">
      <c r="O662" s="230"/>
      <c r="R662" s="230"/>
      <c r="S662" s="247"/>
      <c r="T662" s="193"/>
    </row>
    <row r="663" hidden="1">
      <c r="O663" s="230"/>
      <c r="R663" s="230"/>
      <c r="S663" s="247"/>
      <c r="T663" s="193"/>
    </row>
    <row r="664" hidden="1">
      <c r="O664" s="230"/>
      <c r="R664" s="230"/>
      <c r="S664" s="247"/>
      <c r="T664" s="193"/>
    </row>
    <row r="665" hidden="1">
      <c r="O665" s="230"/>
      <c r="R665" s="230"/>
      <c r="S665" s="247"/>
      <c r="T665" s="193"/>
    </row>
    <row r="666" hidden="1">
      <c r="O666" s="230"/>
      <c r="R666" s="230"/>
      <c r="S666" s="247"/>
      <c r="T666" s="193"/>
    </row>
    <row r="667" hidden="1">
      <c r="O667" s="230"/>
      <c r="R667" s="230"/>
      <c r="S667" s="247"/>
      <c r="T667" s="193"/>
    </row>
    <row r="668" hidden="1">
      <c r="O668" s="230"/>
      <c r="R668" s="230"/>
      <c r="S668" s="247"/>
      <c r="T668" s="193"/>
    </row>
    <row r="669" hidden="1">
      <c r="O669" s="230"/>
      <c r="R669" s="230"/>
      <c r="S669" s="247"/>
      <c r="T669" s="193"/>
    </row>
    <row r="670" hidden="1">
      <c r="O670" s="230"/>
      <c r="R670" s="230"/>
      <c r="S670" s="247"/>
      <c r="T670" s="193"/>
    </row>
    <row r="671" hidden="1">
      <c r="O671" s="230"/>
      <c r="R671" s="230"/>
      <c r="S671" s="247"/>
      <c r="T671" s="193"/>
    </row>
    <row r="672" hidden="1">
      <c r="O672" s="230"/>
      <c r="R672" s="230"/>
      <c r="S672" s="247"/>
      <c r="T672" s="193"/>
    </row>
    <row r="673" hidden="1">
      <c r="O673" s="230"/>
      <c r="R673" s="230"/>
      <c r="S673" s="247"/>
      <c r="T673" s="193"/>
    </row>
    <row r="674" hidden="1">
      <c r="O674" s="230"/>
      <c r="R674" s="230"/>
      <c r="S674" s="247"/>
      <c r="T674" s="193"/>
    </row>
    <row r="675" hidden="1">
      <c r="O675" s="230"/>
      <c r="R675" s="230"/>
      <c r="S675" s="247"/>
      <c r="T675" s="193"/>
    </row>
    <row r="676" hidden="1">
      <c r="O676" s="230"/>
      <c r="R676" s="230"/>
      <c r="S676" s="247"/>
      <c r="T676" s="193"/>
    </row>
    <row r="677" hidden="1">
      <c r="O677" s="230"/>
      <c r="R677" s="230"/>
      <c r="S677" s="247"/>
      <c r="T677" s="193"/>
    </row>
    <row r="678" hidden="1">
      <c r="O678" s="230"/>
      <c r="R678" s="230"/>
      <c r="S678" s="247"/>
      <c r="T678" s="193"/>
    </row>
    <row r="679" hidden="1">
      <c r="O679" s="230"/>
      <c r="R679" s="230"/>
      <c r="S679" s="247"/>
      <c r="T679" s="193"/>
    </row>
    <row r="680" hidden="1">
      <c r="O680" s="230"/>
      <c r="R680" s="230"/>
      <c r="S680" s="247"/>
      <c r="T680" s="193"/>
    </row>
    <row r="681" hidden="1">
      <c r="O681" s="230"/>
      <c r="R681" s="230"/>
      <c r="S681" s="247"/>
      <c r="T681" s="193"/>
    </row>
    <row r="682" hidden="1">
      <c r="O682" s="230"/>
      <c r="R682" s="230"/>
      <c r="S682" s="247"/>
      <c r="T682" s="193"/>
    </row>
    <row r="683" hidden="1">
      <c r="O683" s="230"/>
      <c r="R683" s="230"/>
      <c r="S683" s="247"/>
      <c r="T683" s="193"/>
    </row>
    <row r="684" hidden="1">
      <c r="O684" s="230"/>
      <c r="R684" s="230"/>
      <c r="S684" s="247"/>
      <c r="T684" s="193"/>
    </row>
    <row r="685" hidden="1">
      <c r="O685" s="230"/>
      <c r="R685" s="230"/>
      <c r="S685" s="247"/>
      <c r="T685" s="193"/>
    </row>
    <row r="686" hidden="1">
      <c r="O686" s="230"/>
      <c r="R686" s="230"/>
      <c r="S686" s="247"/>
      <c r="T686" s="193"/>
    </row>
    <row r="687" hidden="1">
      <c r="O687" s="230"/>
      <c r="R687" s="230"/>
      <c r="S687" s="247"/>
      <c r="T687" s="193"/>
    </row>
    <row r="688" hidden="1">
      <c r="O688" s="230"/>
      <c r="R688" s="230"/>
      <c r="S688" s="247"/>
      <c r="T688" s="193"/>
    </row>
    <row r="689" hidden="1">
      <c r="O689" s="230"/>
      <c r="R689" s="230"/>
      <c r="S689" s="247"/>
      <c r="T689" s="193"/>
    </row>
    <row r="690" hidden="1">
      <c r="O690" s="230"/>
      <c r="R690" s="230"/>
      <c r="S690" s="247"/>
      <c r="T690" s="193"/>
    </row>
    <row r="691" hidden="1">
      <c r="O691" s="230"/>
      <c r="R691" s="230"/>
      <c r="S691" s="247"/>
      <c r="T691" s="193"/>
    </row>
    <row r="692" hidden="1">
      <c r="O692" s="230"/>
      <c r="R692" s="230"/>
      <c r="S692" s="247"/>
      <c r="T692" s="193"/>
    </row>
    <row r="693" hidden="1">
      <c r="O693" s="230"/>
      <c r="R693" s="230"/>
      <c r="S693" s="247"/>
      <c r="T693" s="193"/>
    </row>
    <row r="694" hidden="1">
      <c r="O694" s="230"/>
      <c r="R694" s="230"/>
      <c r="S694" s="247"/>
      <c r="T694" s="193"/>
    </row>
    <row r="695" hidden="1">
      <c r="O695" s="230"/>
      <c r="R695" s="230"/>
      <c r="S695" s="247"/>
      <c r="T695" s="193"/>
    </row>
    <row r="696" hidden="1">
      <c r="O696" s="230"/>
      <c r="R696" s="230"/>
      <c r="S696" s="247"/>
      <c r="T696" s="193"/>
    </row>
    <row r="697" hidden="1">
      <c r="O697" s="230"/>
      <c r="R697" s="230"/>
      <c r="S697" s="247"/>
      <c r="T697" s="193"/>
    </row>
    <row r="698" hidden="1">
      <c r="O698" s="230"/>
      <c r="R698" s="230"/>
      <c r="S698" s="247"/>
      <c r="T698" s="193"/>
    </row>
    <row r="699" hidden="1">
      <c r="O699" s="230"/>
      <c r="R699" s="230"/>
      <c r="S699" s="247"/>
      <c r="T699" s="193"/>
    </row>
    <row r="700" hidden="1">
      <c r="O700" s="230"/>
      <c r="R700" s="230"/>
      <c r="S700" s="247"/>
      <c r="T700" s="193"/>
    </row>
    <row r="701" hidden="1">
      <c r="O701" s="230"/>
      <c r="R701" s="230"/>
      <c r="S701" s="247"/>
      <c r="T701" s="193"/>
    </row>
    <row r="702" hidden="1">
      <c r="O702" s="230"/>
      <c r="R702" s="230"/>
      <c r="S702" s="247"/>
      <c r="T702" s="193"/>
    </row>
    <row r="703" hidden="1">
      <c r="O703" s="230"/>
      <c r="R703" s="230"/>
      <c r="S703" s="247"/>
      <c r="T703" s="193"/>
    </row>
    <row r="704" hidden="1">
      <c r="O704" s="230"/>
      <c r="R704" s="230"/>
      <c r="S704" s="247"/>
      <c r="T704" s="193"/>
    </row>
    <row r="705" hidden="1">
      <c r="O705" s="230"/>
      <c r="R705" s="230"/>
      <c r="S705" s="247"/>
      <c r="T705" s="193"/>
    </row>
    <row r="706" hidden="1">
      <c r="O706" s="230"/>
      <c r="R706" s="230"/>
      <c r="S706" s="247"/>
      <c r="T706" s="193"/>
    </row>
    <row r="707" hidden="1">
      <c r="O707" s="230"/>
      <c r="R707" s="230"/>
      <c r="S707" s="247"/>
      <c r="T707" s="193"/>
    </row>
    <row r="708" hidden="1">
      <c r="O708" s="230"/>
      <c r="R708" s="230"/>
      <c r="S708" s="247"/>
      <c r="T708" s="193"/>
    </row>
    <row r="709" hidden="1">
      <c r="O709" s="230"/>
      <c r="R709" s="230"/>
      <c r="S709" s="247"/>
      <c r="T709" s="193"/>
    </row>
    <row r="710" hidden="1">
      <c r="O710" s="230"/>
      <c r="R710" s="230"/>
      <c r="S710" s="247"/>
      <c r="T710" s="193"/>
    </row>
    <row r="711" hidden="1">
      <c r="O711" s="230"/>
      <c r="R711" s="230"/>
      <c r="S711" s="247"/>
      <c r="T711" s="193"/>
    </row>
    <row r="712" hidden="1">
      <c r="O712" s="230"/>
      <c r="R712" s="230"/>
      <c r="S712" s="247"/>
      <c r="T712" s="193"/>
    </row>
    <row r="713" hidden="1">
      <c r="O713" s="230"/>
      <c r="R713" s="230"/>
      <c r="S713" s="247"/>
      <c r="T713" s="193"/>
    </row>
    <row r="714" hidden="1">
      <c r="O714" s="230"/>
      <c r="R714" s="230"/>
      <c r="S714" s="247"/>
      <c r="T714" s="193"/>
    </row>
    <row r="715" hidden="1">
      <c r="O715" s="230"/>
      <c r="R715" s="230"/>
      <c r="S715" s="247"/>
      <c r="T715" s="193"/>
    </row>
    <row r="716" hidden="1">
      <c r="O716" s="230"/>
      <c r="R716" s="230"/>
      <c r="S716" s="247"/>
      <c r="T716" s="193"/>
    </row>
    <row r="717" hidden="1">
      <c r="O717" s="230"/>
      <c r="R717" s="230"/>
      <c r="S717" s="247"/>
      <c r="T717" s="193"/>
    </row>
    <row r="718" hidden="1">
      <c r="O718" s="230"/>
      <c r="R718" s="230"/>
      <c r="S718" s="247"/>
      <c r="T718" s="193"/>
    </row>
    <row r="719" hidden="1">
      <c r="O719" s="230"/>
      <c r="R719" s="230"/>
      <c r="S719" s="247"/>
      <c r="T719" s="193"/>
    </row>
    <row r="720" hidden="1">
      <c r="O720" s="230"/>
      <c r="R720" s="230"/>
      <c r="S720" s="247"/>
      <c r="T720" s="193"/>
    </row>
    <row r="721" hidden="1">
      <c r="O721" s="230"/>
      <c r="R721" s="230"/>
      <c r="S721" s="247"/>
      <c r="T721" s="193"/>
    </row>
    <row r="722" hidden="1">
      <c r="O722" s="230"/>
      <c r="R722" s="230"/>
      <c r="S722" s="247"/>
      <c r="T722" s="193"/>
    </row>
    <row r="723" hidden="1">
      <c r="O723" s="230"/>
      <c r="R723" s="230"/>
      <c r="S723" s="247"/>
      <c r="T723" s="193"/>
    </row>
    <row r="724" hidden="1">
      <c r="O724" s="230"/>
      <c r="R724" s="230"/>
      <c r="S724" s="247"/>
      <c r="T724" s="193"/>
    </row>
    <row r="725" hidden="1">
      <c r="O725" s="230"/>
      <c r="R725" s="230"/>
      <c r="S725" s="247"/>
      <c r="T725" s="193"/>
    </row>
    <row r="726" hidden="1">
      <c r="O726" s="230"/>
      <c r="R726" s="230"/>
      <c r="S726" s="247"/>
      <c r="T726" s="193"/>
    </row>
    <row r="727" hidden="1">
      <c r="O727" s="230"/>
      <c r="R727" s="230"/>
      <c r="S727" s="247"/>
      <c r="T727" s="193"/>
    </row>
    <row r="728" hidden="1">
      <c r="O728" s="230"/>
      <c r="R728" s="230"/>
      <c r="S728" s="247"/>
      <c r="T728" s="193"/>
    </row>
    <row r="729" hidden="1">
      <c r="O729" s="230"/>
      <c r="R729" s="230"/>
      <c r="S729" s="247"/>
      <c r="T729" s="193"/>
    </row>
    <row r="730" hidden="1">
      <c r="O730" s="230"/>
      <c r="R730" s="230"/>
      <c r="S730" s="247"/>
      <c r="T730" s="193"/>
    </row>
    <row r="731" hidden="1">
      <c r="O731" s="230"/>
      <c r="R731" s="230"/>
      <c r="S731" s="247"/>
      <c r="T731" s="193"/>
    </row>
    <row r="732" hidden="1">
      <c r="O732" s="230"/>
      <c r="R732" s="230"/>
      <c r="S732" s="247"/>
      <c r="T732" s="193"/>
    </row>
    <row r="733" hidden="1">
      <c r="O733" s="230"/>
      <c r="R733" s="230"/>
      <c r="S733" s="247"/>
      <c r="T733" s="193"/>
    </row>
    <row r="734" hidden="1">
      <c r="O734" s="230"/>
      <c r="R734" s="230"/>
      <c r="S734" s="247"/>
      <c r="T734" s="193"/>
    </row>
    <row r="735" hidden="1">
      <c r="O735" s="230"/>
      <c r="R735" s="230"/>
      <c r="S735" s="247"/>
      <c r="T735" s="193"/>
    </row>
    <row r="736" hidden="1">
      <c r="O736" s="230"/>
      <c r="R736" s="230"/>
      <c r="S736" s="247"/>
      <c r="T736" s="193"/>
    </row>
    <row r="737" hidden="1">
      <c r="O737" s="230"/>
      <c r="R737" s="230"/>
      <c r="S737" s="247"/>
      <c r="T737" s="193"/>
    </row>
    <row r="738" hidden="1">
      <c r="O738" s="230"/>
      <c r="R738" s="230"/>
      <c r="S738" s="247"/>
      <c r="T738" s="193"/>
    </row>
    <row r="739" hidden="1">
      <c r="O739" s="230"/>
      <c r="R739" s="230"/>
      <c r="S739" s="247"/>
      <c r="T739" s="193"/>
    </row>
    <row r="740" hidden="1">
      <c r="O740" s="230"/>
      <c r="R740" s="230"/>
      <c r="S740" s="247"/>
      <c r="T740" s="193"/>
    </row>
    <row r="741" hidden="1">
      <c r="O741" s="230"/>
      <c r="R741" s="230"/>
      <c r="S741" s="247"/>
      <c r="T741" s="193"/>
    </row>
    <row r="742" hidden="1">
      <c r="O742" s="230"/>
      <c r="R742" s="230"/>
      <c r="S742" s="247"/>
      <c r="T742" s="193"/>
    </row>
    <row r="743" hidden="1">
      <c r="O743" s="230"/>
      <c r="R743" s="230"/>
      <c r="S743" s="247"/>
      <c r="T743" s="193"/>
    </row>
    <row r="744" hidden="1">
      <c r="O744" s="230"/>
      <c r="R744" s="230"/>
      <c r="S744" s="247"/>
      <c r="T744" s="193"/>
    </row>
    <row r="745" hidden="1">
      <c r="O745" s="230"/>
      <c r="R745" s="230"/>
      <c r="S745" s="247"/>
      <c r="T745" s="193"/>
    </row>
    <row r="746" hidden="1">
      <c r="O746" s="230"/>
      <c r="R746" s="230"/>
      <c r="S746" s="247"/>
      <c r="T746" s="193"/>
    </row>
    <row r="747" hidden="1">
      <c r="O747" s="230"/>
      <c r="R747" s="230"/>
      <c r="S747" s="247"/>
      <c r="T747" s="193"/>
    </row>
    <row r="748" hidden="1">
      <c r="O748" s="230"/>
      <c r="R748" s="230"/>
      <c r="S748" s="247"/>
      <c r="T748" s="193"/>
    </row>
    <row r="749" hidden="1">
      <c r="O749" s="230"/>
      <c r="R749" s="230"/>
      <c r="S749" s="247"/>
      <c r="T749" s="193"/>
    </row>
    <row r="750" hidden="1">
      <c r="O750" s="230"/>
      <c r="R750" s="230"/>
      <c r="S750" s="247"/>
      <c r="T750" s="193"/>
    </row>
    <row r="751" hidden="1">
      <c r="O751" s="230"/>
      <c r="R751" s="230"/>
      <c r="S751" s="247"/>
      <c r="T751" s="193"/>
    </row>
    <row r="752" hidden="1">
      <c r="O752" s="230"/>
      <c r="R752" s="230"/>
      <c r="S752" s="247"/>
      <c r="T752" s="193"/>
    </row>
    <row r="753" hidden="1">
      <c r="O753" s="230"/>
      <c r="R753" s="230"/>
      <c r="S753" s="247"/>
      <c r="T753" s="193"/>
    </row>
    <row r="754" hidden="1">
      <c r="O754" s="230"/>
      <c r="R754" s="230"/>
      <c r="S754" s="247"/>
      <c r="T754" s="193"/>
    </row>
    <row r="755" hidden="1">
      <c r="O755" s="230"/>
      <c r="R755" s="230"/>
      <c r="S755" s="247"/>
      <c r="T755" s="193"/>
    </row>
    <row r="756" hidden="1">
      <c r="O756" s="230"/>
      <c r="R756" s="230"/>
      <c r="S756" s="247"/>
      <c r="T756" s="193"/>
    </row>
    <row r="757" hidden="1">
      <c r="O757" s="230"/>
      <c r="R757" s="230"/>
      <c r="S757" s="247"/>
      <c r="T757" s="193"/>
    </row>
    <row r="758" hidden="1">
      <c r="O758" s="230"/>
      <c r="R758" s="230"/>
      <c r="S758" s="247"/>
      <c r="T758" s="193"/>
    </row>
    <row r="759" hidden="1">
      <c r="O759" s="230"/>
      <c r="R759" s="230"/>
      <c r="S759" s="247"/>
      <c r="T759" s="193"/>
    </row>
    <row r="760" hidden="1">
      <c r="O760" s="230"/>
      <c r="R760" s="230"/>
      <c r="S760" s="247"/>
      <c r="T760" s="193"/>
    </row>
    <row r="761" hidden="1">
      <c r="O761" s="230"/>
      <c r="R761" s="230"/>
      <c r="S761" s="247"/>
      <c r="T761" s="193"/>
    </row>
    <row r="762" hidden="1">
      <c r="O762" s="230"/>
      <c r="R762" s="230"/>
      <c r="S762" s="247"/>
      <c r="T762" s="193"/>
    </row>
    <row r="763" hidden="1">
      <c r="O763" s="230"/>
      <c r="R763" s="230"/>
      <c r="S763" s="247"/>
      <c r="T763" s="193"/>
    </row>
    <row r="764" hidden="1">
      <c r="O764" s="230"/>
      <c r="R764" s="230"/>
      <c r="S764" s="247"/>
      <c r="T764" s="193"/>
    </row>
    <row r="765" hidden="1">
      <c r="O765" s="230"/>
      <c r="R765" s="230"/>
      <c r="S765" s="247"/>
      <c r="T765" s="193"/>
    </row>
    <row r="766" hidden="1">
      <c r="O766" s="230"/>
      <c r="R766" s="230"/>
      <c r="S766" s="247"/>
      <c r="T766" s="193"/>
    </row>
    <row r="767" hidden="1">
      <c r="O767" s="230"/>
      <c r="R767" s="230"/>
      <c r="S767" s="247"/>
      <c r="T767" s="193"/>
    </row>
    <row r="768" hidden="1">
      <c r="O768" s="230"/>
      <c r="R768" s="230"/>
      <c r="S768" s="247"/>
      <c r="T768" s="193"/>
    </row>
    <row r="769" hidden="1">
      <c r="O769" s="230"/>
      <c r="R769" s="230"/>
      <c r="S769" s="247"/>
      <c r="T769" s="193"/>
    </row>
    <row r="770" hidden="1">
      <c r="O770" s="230"/>
      <c r="R770" s="230"/>
      <c r="S770" s="247"/>
      <c r="T770" s="193"/>
    </row>
    <row r="771" hidden="1">
      <c r="O771" s="230"/>
      <c r="R771" s="230"/>
      <c r="S771" s="247"/>
      <c r="T771" s="193"/>
    </row>
    <row r="772" hidden="1">
      <c r="O772" s="230"/>
      <c r="R772" s="230"/>
      <c r="S772" s="247"/>
      <c r="T772" s="193"/>
    </row>
    <row r="773" hidden="1">
      <c r="O773" s="230"/>
      <c r="R773" s="230"/>
      <c r="S773" s="247"/>
      <c r="T773" s="193"/>
    </row>
    <row r="774" hidden="1">
      <c r="O774" s="230"/>
      <c r="R774" s="230"/>
      <c r="S774" s="247"/>
      <c r="T774" s="193"/>
    </row>
    <row r="775" hidden="1">
      <c r="O775" s="230"/>
      <c r="R775" s="230"/>
      <c r="S775" s="247"/>
      <c r="T775" s="193"/>
    </row>
    <row r="776" hidden="1">
      <c r="O776" s="230"/>
      <c r="R776" s="230"/>
      <c r="S776" s="247"/>
      <c r="T776" s="193"/>
    </row>
    <row r="777" hidden="1">
      <c r="O777" s="230"/>
      <c r="R777" s="230"/>
      <c r="S777" s="247"/>
      <c r="T777" s="193"/>
    </row>
    <row r="778" hidden="1">
      <c r="O778" s="230"/>
      <c r="R778" s="230"/>
      <c r="S778" s="247"/>
      <c r="T778" s="193"/>
    </row>
    <row r="779" hidden="1">
      <c r="O779" s="230"/>
      <c r="R779" s="230"/>
      <c r="S779" s="247"/>
      <c r="T779" s="193"/>
    </row>
    <row r="780" hidden="1">
      <c r="O780" s="230"/>
      <c r="R780" s="230"/>
      <c r="S780" s="247"/>
      <c r="T780" s="193"/>
    </row>
    <row r="781" hidden="1">
      <c r="O781" s="230"/>
      <c r="R781" s="230"/>
      <c r="S781" s="247"/>
      <c r="T781" s="193"/>
    </row>
    <row r="782" hidden="1">
      <c r="O782" s="230"/>
      <c r="R782" s="230"/>
      <c r="S782" s="247"/>
      <c r="T782" s="193"/>
    </row>
    <row r="783" hidden="1">
      <c r="O783" s="230"/>
      <c r="R783" s="230"/>
      <c r="S783" s="247"/>
      <c r="T783" s="193"/>
    </row>
    <row r="784" hidden="1">
      <c r="O784" s="230"/>
      <c r="R784" s="230"/>
      <c r="S784" s="247"/>
      <c r="T784" s="193"/>
    </row>
    <row r="785" hidden="1">
      <c r="O785" s="230"/>
      <c r="R785" s="230"/>
      <c r="S785" s="247"/>
      <c r="T785" s="193"/>
    </row>
    <row r="786" hidden="1">
      <c r="O786" s="230"/>
      <c r="R786" s="230"/>
      <c r="S786" s="247"/>
      <c r="T786" s="193"/>
    </row>
    <row r="787" hidden="1">
      <c r="O787" s="230"/>
      <c r="R787" s="230"/>
      <c r="S787" s="247"/>
      <c r="T787" s="193"/>
    </row>
    <row r="788" hidden="1">
      <c r="O788" s="230"/>
      <c r="R788" s="230"/>
      <c r="S788" s="247"/>
      <c r="T788" s="193"/>
    </row>
    <row r="789" hidden="1">
      <c r="O789" s="230"/>
      <c r="R789" s="230"/>
      <c r="S789" s="247"/>
      <c r="T789" s="193"/>
    </row>
    <row r="790" hidden="1">
      <c r="O790" s="230"/>
      <c r="R790" s="230"/>
      <c r="S790" s="247"/>
      <c r="T790" s="193"/>
    </row>
    <row r="791" hidden="1">
      <c r="O791" s="230"/>
      <c r="R791" s="230"/>
      <c r="S791" s="247"/>
      <c r="T791" s="193"/>
    </row>
    <row r="792" hidden="1">
      <c r="O792" s="230"/>
      <c r="R792" s="230"/>
      <c r="S792" s="247"/>
      <c r="T792" s="193"/>
    </row>
    <row r="793" hidden="1">
      <c r="O793" s="230"/>
      <c r="R793" s="230"/>
      <c r="S793" s="247"/>
      <c r="T793" s="193"/>
    </row>
    <row r="794" hidden="1">
      <c r="O794" s="230"/>
      <c r="R794" s="230"/>
      <c r="S794" s="247"/>
      <c r="T794" s="193"/>
    </row>
    <row r="795" hidden="1">
      <c r="O795" s="230"/>
      <c r="R795" s="230"/>
      <c r="S795" s="247"/>
      <c r="T795" s="193"/>
    </row>
    <row r="796" hidden="1">
      <c r="O796" s="230"/>
      <c r="R796" s="230"/>
      <c r="S796" s="247"/>
      <c r="T796" s="193"/>
    </row>
    <row r="797" hidden="1">
      <c r="O797" s="230"/>
      <c r="R797" s="230"/>
      <c r="S797" s="247"/>
      <c r="T797" s="193"/>
    </row>
    <row r="798" hidden="1">
      <c r="O798" s="230"/>
      <c r="R798" s="230"/>
      <c r="S798" s="247"/>
      <c r="T798" s="193"/>
    </row>
    <row r="799" hidden="1">
      <c r="O799" s="230"/>
      <c r="R799" s="230"/>
      <c r="S799" s="247"/>
      <c r="T799" s="193"/>
    </row>
    <row r="800" hidden="1">
      <c r="O800" s="230"/>
      <c r="R800" s="230"/>
      <c r="S800" s="247"/>
      <c r="T800" s="193"/>
    </row>
    <row r="801" hidden="1">
      <c r="O801" s="230"/>
      <c r="R801" s="230"/>
      <c r="S801" s="247"/>
      <c r="T801" s="193"/>
    </row>
    <row r="802" hidden="1">
      <c r="O802" s="230"/>
      <c r="R802" s="230"/>
      <c r="S802" s="247"/>
      <c r="T802" s="193"/>
    </row>
    <row r="803" hidden="1">
      <c r="O803" s="230"/>
      <c r="R803" s="230"/>
      <c r="S803" s="247"/>
      <c r="T803" s="193"/>
    </row>
    <row r="804" hidden="1">
      <c r="O804" s="230"/>
      <c r="R804" s="230"/>
      <c r="S804" s="247"/>
      <c r="T804" s="193"/>
    </row>
    <row r="805" hidden="1">
      <c r="O805" s="230"/>
      <c r="R805" s="230"/>
      <c r="S805" s="247"/>
      <c r="T805" s="193"/>
    </row>
    <row r="806" hidden="1">
      <c r="O806" s="230"/>
      <c r="R806" s="230"/>
      <c r="S806" s="247"/>
      <c r="T806" s="193"/>
    </row>
    <row r="807" hidden="1">
      <c r="O807" s="230"/>
      <c r="R807" s="230"/>
      <c r="S807" s="247"/>
      <c r="T807" s="193"/>
    </row>
    <row r="808" hidden="1">
      <c r="O808" s="230"/>
      <c r="R808" s="230"/>
      <c r="S808" s="247"/>
      <c r="T808" s="193"/>
    </row>
    <row r="809" hidden="1">
      <c r="O809" s="230"/>
      <c r="R809" s="230"/>
      <c r="S809" s="247"/>
      <c r="T809" s="193"/>
    </row>
    <row r="810" hidden="1">
      <c r="O810" s="230"/>
      <c r="R810" s="230"/>
      <c r="S810" s="247"/>
      <c r="T810" s="193"/>
    </row>
    <row r="811" hidden="1">
      <c r="O811" s="230"/>
      <c r="R811" s="230"/>
      <c r="S811" s="247"/>
      <c r="T811" s="193"/>
    </row>
    <row r="812" hidden="1">
      <c r="O812" s="230"/>
      <c r="R812" s="230"/>
      <c r="S812" s="247"/>
      <c r="T812" s="193"/>
    </row>
    <row r="813" hidden="1">
      <c r="O813" s="230"/>
      <c r="R813" s="230"/>
      <c r="S813" s="247"/>
      <c r="T813" s="193"/>
    </row>
    <row r="814" hidden="1">
      <c r="O814" s="230"/>
      <c r="R814" s="230"/>
      <c r="S814" s="247"/>
      <c r="T814" s="193"/>
    </row>
    <row r="815" hidden="1">
      <c r="O815" s="230"/>
      <c r="R815" s="230"/>
      <c r="S815" s="247"/>
      <c r="T815" s="193"/>
    </row>
    <row r="816" hidden="1">
      <c r="O816" s="230"/>
      <c r="R816" s="230"/>
      <c r="S816" s="247"/>
      <c r="T816" s="193"/>
    </row>
    <row r="817" hidden="1">
      <c r="O817" s="230"/>
      <c r="R817" s="230"/>
      <c r="S817" s="247"/>
      <c r="T817" s="193"/>
    </row>
    <row r="818" hidden="1">
      <c r="O818" s="230"/>
      <c r="R818" s="230"/>
      <c r="S818" s="247"/>
      <c r="T818" s="193"/>
    </row>
    <row r="819" hidden="1">
      <c r="O819" s="230"/>
      <c r="R819" s="230"/>
      <c r="S819" s="247"/>
      <c r="T819" s="193"/>
    </row>
    <row r="820" hidden="1">
      <c r="O820" s="230"/>
      <c r="R820" s="230"/>
      <c r="S820" s="247"/>
      <c r="T820" s="193"/>
    </row>
    <row r="821" hidden="1">
      <c r="O821" s="230"/>
      <c r="R821" s="230"/>
      <c r="S821" s="247"/>
      <c r="T821" s="193"/>
    </row>
    <row r="822" hidden="1">
      <c r="O822" s="230"/>
      <c r="R822" s="230"/>
      <c r="S822" s="247"/>
      <c r="T822" s="193"/>
    </row>
    <row r="823" hidden="1">
      <c r="O823" s="230"/>
      <c r="R823" s="230"/>
      <c r="S823" s="247"/>
      <c r="T823" s="193"/>
    </row>
    <row r="824" hidden="1">
      <c r="O824" s="230"/>
      <c r="R824" s="230"/>
      <c r="S824" s="247"/>
      <c r="T824" s="193"/>
    </row>
    <row r="825" hidden="1">
      <c r="O825" s="230"/>
      <c r="R825" s="230"/>
      <c r="S825" s="247"/>
      <c r="T825" s="193"/>
    </row>
    <row r="826" hidden="1">
      <c r="O826" s="230"/>
      <c r="R826" s="230"/>
      <c r="S826" s="247"/>
      <c r="T826" s="193"/>
    </row>
    <row r="827" hidden="1">
      <c r="O827" s="230"/>
      <c r="R827" s="230"/>
      <c r="S827" s="247"/>
      <c r="T827" s="193"/>
    </row>
    <row r="828" hidden="1">
      <c r="O828" s="230"/>
      <c r="R828" s="230"/>
      <c r="S828" s="247"/>
      <c r="T828" s="193"/>
    </row>
    <row r="829" hidden="1">
      <c r="O829" s="230"/>
      <c r="R829" s="230"/>
      <c r="S829" s="247"/>
      <c r="T829" s="193"/>
    </row>
    <row r="830" hidden="1">
      <c r="O830" s="230"/>
      <c r="R830" s="230"/>
      <c r="S830" s="247"/>
      <c r="T830" s="193"/>
    </row>
    <row r="831" hidden="1">
      <c r="O831" s="230"/>
      <c r="R831" s="230"/>
      <c r="S831" s="247"/>
      <c r="T831" s="193"/>
    </row>
    <row r="832" hidden="1">
      <c r="O832" s="230"/>
      <c r="R832" s="230"/>
      <c r="S832" s="247"/>
      <c r="T832" s="193"/>
    </row>
    <row r="833" hidden="1">
      <c r="O833" s="230"/>
      <c r="R833" s="230"/>
      <c r="S833" s="247"/>
      <c r="T833" s="193"/>
    </row>
    <row r="834" hidden="1">
      <c r="O834" s="230"/>
      <c r="R834" s="230"/>
      <c r="S834" s="247"/>
      <c r="T834" s="193"/>
    </row>
    <row r="835" hidden="1">
      <c r="O835" s="230"/>
      <c r="R835" s="230"/>
      <c r="S835" s="247"/>
      <c r="T835" s="193"/>
    </row>
    <row r="836" hidden="1">
      <c r="O836" s="230"/>
      <c r="R836" s="230"/>
      <c r="S836" s="247"/>
      <c r="T836" s="193"/>
    </row>
    <row r="837" hidden="1">
      <c r="O837" s="230"/>
      <c r="R837" s="230"/>
      <c r="S837" s="247"/>
      <c r="T837" s="193"/>
    </row>
    <row r="838" hidden="1">
      <c r="O838" s="230"/>
      <c r="R838" s="230"/>
      <c r="S838" s="247"/>
      <c r="T838" s="193"/>
    </row>
    <row r="839" hidden="1">
      <c r="O839" s="230"/>
      <c r="R839" s="230"/>
      <c r="S839" s="247"/>
      <c r="T839" s="193"/>
    </row>
    <row r="840" hidden="1">
      <c r="O840" s="230"/>
      <c r="R840" s="230"/>
      <c r="S840" s="247"/>
      <c r="T840" s="193"/>
    </row>
    <row r="841" hidden="1">
      <c r="O841" s="230"/>
      <c r="R841" s="230"/>
      <c r="S841" s="247"/>
      <c r="T841" s="193"/>
    </row>
    <row r="842" hidden="1">
      <c r="O842" s="230"/>
      <c r="R842" s="230"/>
      <c r="S842" s="247"/>
      <c r="T842" s="193"/>
    </row>
    <row r="843" hidden="1">
      <c r="O843" s="230"/>
      <c r="R843" s="230"/>
      <c r="S843" s="247"/>
      <c r="T843" s="193"/>
    </row>
    <row r="844" hidden="1">
      <c r="O844" s="230"/>
      <c r="R844" s="230"/>
      <c r="S844" s="247"/>
      <c r="T844" s="193"/>
    </row>
    <row r="845" hidden="1">
      <c r="O845" s="230"/>
      <c r="R845" s="230"/>
      <c r="S845" s="247"/>
      <c r="T845" s="193"/>
    </row>
    <row r="846" hidden="1">
      <c r="O846" s="230"/>
      <c r="R846" s="230"/>
      <c r="S846" s="247"/>
      <c r="T846" s="193"/>
    </row>
    <row r="847" hidden="1">
      <c r="O847" s="230"/>
      <c r="R847" s="230"/>
      <c r="S847" s="247"/>
      <c r="T847" s="193"/>
    </row>
    <row r="848" hidden="1">
      <c r="O848" s="230"/>
      <c r="R848" s="230"/>
      <c r="S848" s="247"/>
      <c r="T848" s="193"/>
    </row>
    <row r="849" hidden="1">
      <c r="O849" s="230"/>
      <c r="R849" s="230"/>
      <c r="S849" s="247"/>
      <c r="T849" s="193"/>
    </row>
    <row r="850" hidden="1">
      <c r="O850" s="230"/>
      <c r="R850" s="230"/>
      <c r="S850" s="247"/>
      <c r="T850" s="193"/>
    </row>
    <row r="851" hidden="1">
      <c r="O851" s="230"/>
      <c r="R851" s="230"/>
      <c r="S851" s="247"/>
      <c r="T851" s="193"/>
    </row>
    <row r="852" hidden="1">
      <c r="O852" s="230"/>
      <c r="R852" s="230"/>
      <c r="S852" s="247"/>
      <c r="T852" s="193"/>
    </row>
    <row r="853" hidden="1">
      <c r="O853" s="230"/>
      <c r="R853" s="230"/>
      <c r="S853" s="247"/>
      <c r="T853" s="193"/>
    </row>
    <row r="854" hidden="1">
      <c r="O854" s="230"/>
      <c r="R854" s="230"/>
      <c r="S854" s="247"/>
      <c r="T854" s="193"/>
    </row>
    <row r="855" hidden="1">
      <c r="O855" s="230"/>
      <c r="R855" s="230"/>
      <c r="S855" s="247"/>
      <c r="T855" s="193"/>
    </row>
    <row r="856" hidden="1">
      <c r="O856" s="230"/>
      <c r="R856" s="230"/>
      <c r="S856" s="247"/>
      <c r="T856" s="193"/>
    </row>
    <row r="857" hidden="1">
      <c r="O857" s="230"/>
      <c r="R857" s="230"/>
      <c r="S857" s="247"/>
      <c r="T857" s="193"/>
    </row>
    <row r="858" hidden="1">
      <c r="O858" s="230"/>
      <c r="R858" s="230"/>
      <c r="S858" s="247"/>
      <c r="T858" s="193"/>
    </row>
    <row r="859" hidden="1">
      <c r="O859" s="230"/>
      <c r="R859" s="230"/>
      <c r="S859" s="247"/>
      <c r="T859" s="193"/>
    </row>
    <row r="860" hidden="1">
      <c r="O860" s="230"/>
      <c r="R860" s="230"/>
      <c r="S860" s="247"/>
      <c r="T860" s="193"/>
    </row>
    <row r="861" hidden="1">
      <c r="O861" s="230"/>
      <c r="R861" s="230"/>
      <c r="S861" s="247"/>
      <c r="T861" s="193"/>
    </row>
    <row r="862" hidden="1">
      <c r="O862" s="230"/>
      <c r="R862" s="230"/>
      <c r="S862" s="247"/>
      <c r="T862" s="193"/>
    </row>
    <row r="863" hidden="1">
      <c r="O863" s="230"/>
      <c r="R863" s="230"/>
      <c r="S863" s="247"/>
      <c r="T863" s="193"/>
    </row>
    <row r="864" hidden="1">
      <c r="O864" s="230"/>
      <c r="R864" s="230"/>
      <c r="S864" s="247"/>
      <c r="T864" s="193"/>
    </row>
    <row r="865" hidden="1">
      <c r="O865" s="230"/>
      <c r="R865" s="230"/>
      <c r="S865" s="247"/>
      <c r="T865" s="193"/>
    </row>
    <row r="866" hidden="1">
      <c r="O866" s="230"/>
      <c r="R866" s="230"/>
      <c r="S866" s="247"/>
      <c r="T866" s="193"/>
    </row>
    <row r="867" hidden="1">
      <c r="O867" s="230"/>
      <c r="R867" s="230"/>
      <c r="S867" s="247"/>
      <c r="T867" s="193"/>
    </row>
    <row r="868" hidden="1">
      <c r="O868" s="230"/>
      <c r="R868" s="230"/>
      <c r="S868" s="247"/>
      <c r="T868" s="193"/>
    </row>
    <row r="869" hidden="1">
      <c r="O869" s="230"/>
      <c r="R869" s="230"/>
      <c r="S869" s="247"/>
      <c r="T869" s="193"/>
    </row>
    <row r="870" hidden="1">
      <c r="O870" s="230"/>
      <c r="R870" s="230"/>
      <c r="S870" s="247"/>
      <c r="T870" s="193"/>
    </row>
    <row r="871" hidden="1">
      <c r="O871" s="230"/>
      <c r="R871" s="230"/>
      <c r="S871" s="247"/>
      <c r="T871" s="193"/>
    </row>
    <row r="872" hidden="1">
      <c r="O872" s="230"/>
      <c r="R872" s="230"/>
      <c r="S872" s="247"/>
      <c r="T872" s="193"/>
    </row>
    <row r="873" hidden="1">
      <c r="O873" s="230"/>
      <c r="R873" s="230"/>
      <c r="S873" s="247"/>
      <c r="T873" s="193"/>
    </row>
    <row r="874" hidden="1">
      <c r="O874" s="230"/>
      <c r="R874" s="230"/>
      <c r="S874" s="247"/>
      <c r="T874" s="193"/>
    </row>
    <row r="875" hidden="1">
      <c r="O875" s="230"/>
      <c r="R875" s="230"/>
      <c r="S875" s="247"/>
      <c r="T875" s="193"/>
    </row>
    <row r="876" hidden="1">
      <c r="O876" s="230"/>
      <c r="R876" s="230"/>
      <c r="S876" s="247"/>
      <c r="T876" s="193"/>
    </row>
    <row r="877" hidden="1">
      <c r="O877" s="230"/>
      <c r="R877" s="230"/>
      <c r="S877" s="247"/>
      <c r="T877" s="193"/>
    </row>
    <row r="878" hidden="1">
      <c r="O878" s="230"/>
      <c r="R878" s="230"/>
      <c r="S878" s="247"/>
      <c r="T878" s="193"/>
    </row>
    <row r="879" hidden="1">
      <c r="O879" s="230"/>
      <c r="R879" s="230"/>
      <c r="S879" s="247"/>
      <c r="T879" s="193"/>
    </row>
    <row r="880" hidden="1">
      <c r="O880" s="230"/>
      <c r="R880" s="230"/>
      <c r="S880" s="247"/>
      <c r="T880" s="193"/>
    </row>
    <row r="881" hidden="1">
      <c r="O881" s="230"/>
      <c r="R881" s="230"/>
      <c r="S881" s="247"/>
      <c r="T881" s="193"/>
    </row>
    <row r="882" hidden="1">
      <c r="O882" s="230"/>
      <c r="R882" s="230"/>
      <c r="S882" s="247"/>
      <c r="T882" s="193"/>
    </row>
    <row r="883" hidden="1">
      <c r="O883" s="230"/>
      <c r="R883" s="230"/>
      <c r="S883" s="247"/>
      <c r="T883" s="193"/>
    </row>
    <row r="884" hidden="1">
      <c r="O884" s="230"/>
      <c r="R884" s="230"/>
      <c r="S884" s="247"/>
      <c r="T884" s="193"/>
    </row>
    <row r="885" hidden="1">
      <c r="O885" s="230"/>
      <c r="R885" s="230"/>
      <c r="S885" s="247"/>
      <c r="T885" s="193"/>
    </row>
    <row r="886" hidden="1">
      <c r="O886" s="230"/>
      <c r="R886" s="230"/>
      <c r="S886" s="247"/>
      <c r="T886" s="193"/>
    </row>
    <row r="887" hidden="1">
      <c r="O887" s="230"/>
      <c r="R887" s="230"/>
      <c r="S887" s="247"/>
      <c r="T887" s="193"/>
    </row>
    <row r="888" hidden="1">
      <c r="O888" s="230"/>
      <c r="R888" s="230"/>
      <c r="S888" s="247"/>
      <c r="T888" s="193"/>
    </row>
    <row r="889" hidden="1">
      <c r="O889" s="230"/>
      <c r="R889" s="230"/>
      <c r="S889" s="247"/>
      <c r="T889" s="193"/>
    </row>
    <row r="890" hidden="1">
      <c r="O890" s="230"/>
      <c r="R890" s="230"/>
      <c r="S890" s="247"/>
      <c r="T890" s="193"/>
    </row>
    <row r="891" hidden="1">
      <c r="O891" s="230"/>
      <c r="R891" s="230"/>
      <c r="S891" s="247"/>
      <c r="T891" s="193"/>
    </row>
    <row r="892" hidden="1">
      <c r="O892" s="230"/>
      <c r="R892" s="230"/>
      <c r="S892" s="247"/>
      <c r="T892" s="193"/>
    </row>
    <row r="893" hidden="1">
      <c r="O893" s="230"/>
      <c r="R893" s="230"/>
      <c r="S893" s="247"/>
      <c r="T893" s="193"/>
    </row>
    <row r="894" hidden="1">
      <c r="O894" s="230"/>
      <c r="R894" s="230"/>
      <c r="S894" s="247"/>
      <c r="T894" s="193"/>
    </row>
    <row r="895" hidden="1">
      <c r="O895" s="230"/>
      <c r="R895" s="230"/>
      <c r="S895" s="247"/>
      <c r="T895" s="193"/>
    </row>
    <row r="896" hidden="1">
      <c r="O896" s="230"/>
      <c r="R896" s="230"/>
      <c r="S896" s="247"/>
      <c r="T896" s="193"/>
    </row>
    <row r="897" hidden="1">
      <c r="O897" s="230"/>
      <c r="R897" s="230"/>
      <c r="S897" s="247"/>
      <c r="T897" s="193"/>
    </row>
    <row r="898" hidden="1">
      <c r="O898" s="230"/>
      <c r="R898" s="230"/>
      <c r="S898" s="247"/>
      <c r="T898" s="193"/>
    </row>
    <row r="899" hidden="1">
      <c r="O899" s="230"/>
      <c r="R899" s="230"/>
      <c r="S899" s="247"/>
      <c r="T899" s="193"/>
    </row>
    <row r="900" hidden="1">
      <c r="O900" s="230"/>
      <c r="R900" s="230"/>
      <c r="S900" s="247"/>
      <c r="T900" s="193"/>
    </row>
    <row r="901" hidden="1">
      <c r="O901" s="230"/>
      <c r="R901" s="230"/>
      <c r="S901" s="247"/>
      <c r="T901" s="193"/>
    </row>
    <row r="902" hidden="1">
      <c r="O902" s="230"/>
      <c r="R902" s="230"/>
      <c r="S902" s="247"/>
      <c r="T902" s="193"/>
    </row>
    <row r="903" hidden="1">
      <c r="O903" s="230"/>
      <c r="R903" s="230"/>
      <c r="S903" s="247"/>
      <c r="T903" s="193"/>
    </row>
    <row r="904" hidden="1">
      <c r="O904" s="230"/>
      <c r="R904" s="230"/>
      <c r="S904" s="247"/>
      <c r="T904" s="193"/>
    </row>
    <row r="905" hidden="1">
      <c r="O905" s="230"/>
      <c r="R905" s="230"/>
      <c r="S905" s="247"/>
      <c r="T905" s="193"/>
    </row>
    <row r="906" hidden="1">
      <c r="O906" s="230"/>
      <c r="R906" s="230"/>
      <c r="S906" s="247"/>
      <c r="T906" s="193"/>
    </row>
    <row r="907" hidden="1">
      <c r="O907" s="230"/>
      <c r="R907" s="230"/>
      <c r="S907" s="247"/>
      <c r="T907" s="193"/>
    </row>
    <row r="908" hidden="1">
      <c r="O908" s="230"/>
      <c r="R908" s="230"/>
      <c r="S908" s="247"/>
      <c r="T908" s="193"/>
    </row>
    <row r="909" hidden="1">
      <c r="O909" s="230"/>
      <c r="R909" s="230"/>
      <c r="S909" s="247"/>
      <c r="T909" s="193"/>
    </row>
    <row r="910" hidden="1">
      <c r="O910" s="230"/>
      <c r="R910" s="230"/>
      <c r="S910" s="247"/>
      <c r="T910" s="193"/>
    </row>
    <row r="911" hidden="1">
      <c r="O911" s="230"/>
      <c r="R911" s="230"/>
      <c r="S911" s="247"/>
      <c r="T911" s="193"/>
    </row>
    <row r="912" hidden="1">
      <c r="O912" s="230"/>
      <c r="R912" s="230"/>
      <c r="S912" s="247"/>
      <c r="T912" s="193"/>
    </row>
    <row r="913" hidden="1">
      <c r="O913" s="230"/>
      <c r="R913" s="230"/>
      <c r="S913" s="247"/>
      <c r="T913" s="193"/>
    </row>
    <row r="914" hidden="1">
      <c r="O914" s="230"/>
      <c r="R914" s="230"/>
      <c r="S914" s="247"/>
      <c r="T914" s="193"/>
    </row>
    <row r="915" hidden="1">
      <c r="O915" s="230"/>
      <c r="R915" s="230"/>
      <c r="S915" s="247"/>
      <c r="T915" s="193"/>
    </row>
    <row r="916" hidden="1">
      <c r="O916" s="230"/>
      <c r="R916" s="230"/>
      <c r="S916" s="247"/>
      <c r="T916" s="193"/>
    </row>
    <row r="917" hidden="1">
      <c r="O917" s="230"/>
      <c r="R917" s="230"/>
      <c r="S917" s="247"/>
      <c r="T917" s="193"/>
    </row>
    <row r="918" hidden="1">
      <c r="O918" s="230"/>
      <c r="R918" s="230"/>
      <c r="S918" s="247"/>
      <c r="T918" s="193"/>
    </row>
    <row r="919" hidden="1">
      <c r="O919" s="230"/>
      <c r="R919" s="230"/>
      <c r="S919" s="247"/>
      <c r="T919" s="193"/>
    </row>
    <row r="920" hidden="1">
      <c r="O920" s="230"/>
      <c r="R920" s="230"/>
      <c r="S920" s="247"/>
      <c r="T920" s="193"/>
    </row>
    <row r="921" hidden="1">
      <c r="O921" s="230"/>
      <c r="R921" s="230"/>
      <c r="S921" s="247"/>
      <c r="T921" s="193"/>
    </row>
    <row r="922" hidden="1">
      <c r="O922" s="230"/>
      <c r="R922" s="230"/>
      <c r="S922" s="247"/>
      <c r="T922" s="193"/>
    </row>
    <row r="923" hidden="1">
      <c r="O923" s="230"/>
      <c r="R923" s="230"/>
      <c r="S923" s="247"/>
      <c r="T923" s="193"/>
    </row>
    <row r="924" hidden="1">
      <c r="O924" s="230"/>
      <c r="R924" s="230"/>
      <c r="S924" s="247"/>
      <c r="T924" s="193"/>
    </row>
    <row r="925" hidden="1">
      <c r="O925" s="230"/>
      <c r="R925" s="230"/>
      <c r="S925" s="247"/>
      <c r="T925" s="193"/>
    </row>
    <row r="926" hidden="1">
      <c r="O926" s="230"/>
      <c r="R926" s="230"/>
      <c r="S926" s="247"/>
      <c r="T926" s="193"/>
    </row>
    <row r="927" hidden="1">
      <c r="O927" s="230"/>
      <c r="R927" s="230"/>
      <c r="S927" s="247"/>
      <c r="T927" s="193"/>
    </row>
    <row r="928" hidden="1">
      <c r="O928" s="230"/>
      <c r="R928" s="230"/>
      <c r="S928" s="247"/>
      <c r="T928" s="193"/>
    </row>
    <row r="929" hidden="1">
      <c r="O929" s="230"/>
      <c r="R929" s="230"/>
      <c r="S929" s="247"/>
      <c r="T929" s="193"/>
    </row>
    <row r="930" hidden="1">
      <c r="O930" s="230"/>
      <c r="R930" s="230"/>
      <c r="S930" s="247"/>
      <c r="T930" s="193"/>
    </row>
    <row r="931" hidden="1">
      <c r="O931" s="230"/>
      <c r="R931" s="230"/>
      <c r="S931" s="247"/>
      <c r="T931" s="193"/>
    </row>
    <row r="932" hidden="1">
      <c r="O932" s="230"/>
      <c r="R932" s="230"/>
      <c r="S932" s="247"/>
      <c r="T932" s="193"/>
    </row>
    <row r="933" hidden="1">
      <c r="O933" s="230"/>
      <c r="R933" s="230"/>
      <c r="S933" s="247"/>
      <c r="T933" s="193"/>
    </row>
    <row r="934" hidden="1">
      <c r="O934" s="230"/>
      <c r="R934" s="230"/>
      <c r="S934" s="247"/>
      <c r="T934" s="193"/>
    </row>
    <row r="935" hidden="1">
      <c r="O935" s="230"/>
      <c r="R935" s="230"/>
      <c r="S935" s="247"/>
      <c r="T935" s="193"/>
    </row>
    <row r="936" hidden="1">
      <c r="O936" s="230"/>
      <c r="R936" s="230"/>
      <c r="S936" s="247"/>
      <c r="T936" s="193"/>
    </row>
    <row r="937" hidden="1">
      <c r="O937" s="230"/>
      <c r="R937" s="230"/>
      <c r="S937" s="247"/>
      <c r="T937" s="193"/>
    </row>
    <row r="938" hidden="1">
      <c r="O938" s="230"/>
      <c r="R938" s="230"/>
      <c r="S938" s="247"/>
      <c r="T938" s="193"/>
    </row>
    <row r="939" hidden="1">
      <c r="O939" s="230"/>
      <c r="R939" s="230"/>
      <c r="S939" s="247"/>
      <c r="T939" s="193"/>
    </row>
    <row r="940" hidden="1">
      <c r="O940" s="230"/>
      <c r="R940" s="230"/>
      <c r="S940" s="247"/>
      <c r="T940" s="193"/>
    </row>
    <row r="941" hidden="1">
      <c r="O941" s="230"/>
      <c r="R941" s="230"/>
      <c r="S941" s="247"/>
      <c r="T941" s="193"/>
    </row>
    <row r="942" hidden="1">
      <c r="O942" s="230"/>
      <c r="R942" s="230"/>
      <c r="S942" s="247"/>
      <c r="T942" s="193"/>
    </row>
    <row r="943" hidden="1">
      <c r="O943" s="230"/>
      <c r="R943" s="230"/>
      <c r="S943" s="247"/>
      <c r="T943" s="193"/>
    </row>
    <row r="944" hidden="1">
      <c r="O944" s="230"/>
      <c r="R944" s="230"/>
      <c r="S944" s="247"/>
      <c r="T944" s="193"/>
    </row>
    <row r="945" hidden="1">
      <c r="O945" s="230"/>
      <c r="R945" s="230"/>
      <c r="S945" s="247"/>
      <c r="T945" s="193"/>
    </row>
    <row r="946" hidden="1">
      <c r="O946" s="230"/>
      <c r="R946" s="230"/>
      <c r="S946" s="247"/>
      <c r="T946" s="193"/>
    </row>
    <row r="947" hidden="1">
      <c r="O947" s="230"/>
      <c r="R947" s="230"/>
      <c r="S947" s="247"/>
      <c r="T947" s="193"/>
    </row>
    <row r="948" hidden="1">
      <c r="O948" s="230"/>
      <c r="R948" s="230"/>
      <c r="S948" s="247"/>
      <c r="T948" s="193"/>
    </row>
    <row r="949" hidden="1">
      <c r="O949" s="230"/>
      <c r="R949" s="230"/>
      <c r="S949" s="247"/>
      <c r="T949" s="193"/>
    </row>
    <row r="950" hidden="1">
      <c r="O950" s="230"/>
      <c r="R950" s="230"/>
      <c r="S950" s="247"/>
      <c r="T950" s="193"/>
    </row>
    <row r="951" hidden="1">
      <c r="O951" s="230"/>
      <c r="R951" s="230"/>
      <c r="S951" s="247"/>
      <c r="T951" s="193"/>
    </row>
    <row r="952" hidden="1">
      <c r="O952" s="230"/>
      <c r="R952" s="230"/>
      <c r="S952" s="247"/>
      <c r="T952" s="193"/>
    </row>
    <row r="953" hidden="1">
      <c r="O953" s="230"/>
      <c r="R953" s="230"/>
      <c r="S953" s="247"/>
      <c r="T953" s="193"/>
    </row>
    <row r="954" hidden="1">
      <c r="O954" s="230"/>
      <c r="R954" s="230"/>
      <c r="S954" s="247"/>
      <c r="T954" s="193"/>
    </row>
    <row r="955" hidden="1">
      <c r="O955" s="230"/>
      <c r="R955" s="230"/>
      <c r="S955" s="247"/>
      <c r="T955" s="193"/>
    </row>
    <row r="956" hidden="1">
      <c r="O956" s="230"/>
      <c r="R956" s="230"/>
      <c r="S956" s="247"/>
      <c r="T956" s="193"/>
    </row>
    <row r="957" hidden="1">
      <c r="O957" s="230"/>
      <c r="R957" s="230"/>
      <c r="S957" s="247"/>
      <c r="T957" s="193"/>
    </row>
    <row r="958" hidden="1">
      <c r="O958" s="230"/>
      <c r="R958" s="230"/>
      <c r="S958" s="247"/>
      <c r="T958" s="193"/>
    </row>
    <row r="959" hidden="1">
      <c r="O959" s="230"/>
      <c r="R959" s="230"/>
      <c r="S959" s="247"/>
      <c r="T959" s="193"/>
    </row>
    <row r="960" hidden="1">
      <c r="O960" s="230"/>
      <c r="R960" s="230"/>
      <c r="S960" s="247"/>
      <c r="T960" s="193"/>
    </row>
    <row r="961" hidden="1">
      <c r="O961" s="230"/>
      <c r="R961" s="230"/>
      <c r="S961" s="247"/>
      <c r="T961" s="193"/>
    </row>
    <row r="962" hidden="1">
      <c r="O962" s="230"/>
      <c r="R962" s="230"/>
      <c r="S962" s="247"/>
      <c r="T962" s="193"/>
    </row>
    <row r="963" hidden="1">
      <c r="O963" s="230"/>
      <c r="R963" s="230"/>
      <c r="S963" s="247"/>
      <c r="T963" s="193"/>
    </row>
    <row r="964" hidden="1">
      <c r="O964" s="230"/>
      <c r="R964" s="230"/>
      <c r="S964" s="247"/>
      <c r="T964" s="193"/>
    </row>
    <row r="965" hidden="1">
      <c r="O965" s="230"/>
      <c r="R965" s="230"/>
      <c r="S965" s="247"/>
      <c r="T965" s="193"/>
    </row>
    <row r="966" hidden="1">
      <c r="O966" s="230"/>
      <c r="R966" s="230"/>
      <c r="S966" s="247"/>
      <c r="T966" s="193"/>
    </row>
    <row r="967" hidden="1">
      <c r="O967" s="230"/>
      <c r="R967" s="230"/>
      <c r="S967" s="247"/>
      <c r="T967" s="193"/>
    </row>
    <row r="968" hidden="1">
      <c r="O968" s="230"/>
      <c r="R968" s="230"/>
      <c r="S968" s="247"/>
      <c r="T968" s="193"/>
    </row>
    <row r="969" hidden="1">
      <c r="O969" s="230"/>
      <c r="R969" s="230"/>
      <c r="S969" s="247"/>
      <c r="T969" s="193"/>
    </row>
    <row r="970" hidden="1">
      <c r="O970" s="230"/>
      <c r="R970" s="230"/>
      <c r="S970" s="247"/>
      <c r="T970" s="193"/>
    </row>
    <row r="971" hidden="1">
      <c r="O971" s="230"/>
      <c r="R971" s="230"/>
      <c r="S971" s="247"/>
      <c r="T971" s="193"/>
    </row>
    <row r="972" hidden="1">
      <c r="O972" s="230"/>
      <c r="R972" s="230"/>
      <c r="S972" s="247"/>
      <c r="T972" s="193"/>
    </row>
    <row r="973" hidden="1">
      <c r="O973" s="230"/>
      <c r="R973" s="230"/>
      <c r="S973" s="247"/>
      <c r="T973" s="193"/>
    </row>
    <row r="974" hidden="1">
      <c r="O974" s="230"/>
      <c r="R974" s="230"/>
      <c r="S974" s="247"/>
      <c r="T974" s="193"/>
    </row>
    <row r="975" hidden="1">
      <c r="O975" s="230"/>
      <c r="R975" s="230"/>
      <c r="S975" s="247"/>
      <c r="T975" s="193"/>
    </row>
    <row r="976" hidden="1">
      <c r="O976" s="230"/>
      <c r="R976" s="230"/>
      <c r="S976" s="247"/>
      <c r="T976" s="193"/>
    </row>
    <row r="977" hidden="1">
      <c r="O977" s="230"/>
      <c r="R977" s="230"/>
      <c r="S977" s="247"/>
      <c r="T977" s="193"/>
    </row>
    <row r="978" hidden="1">
      <c r="O978" s="230"/>
      <c r="R978" s="230"/>
      <c r="S978" s="247"/>
      <c r="T978" s="193"/>
    </row>
    <row r="979" hidden="1">
      <c r="O979" s="230"/>
      <c r="R979" s="230"/>
      <c r="S979" s="247"/>
      <c r="T979" s="193"/>
    </row>
    <row r="980" hidden="1">
      <c r="O980" s="230"/>
      <c r="R980" s="230"/>
      <c r="S980" s="247"/>
      <c r="T980" s="193"/>
    </row>
    <row r="981" hidden="1">
      <c r="O981" s="230"/>
      <c r="R981" s="230"/>
      <c r="S981" s="247"/>
      <c r="T981" s="193"/>
    </row>
    <row r="982" hidden="1">
      <c r="O982" s="230"/>
      <c r="R982" s="230"/>
      <c r="S982" s="247"/>
      <c r="T982" s="193"/>
    </row>
    <row r="983" hidden="1">
      <c r="O983" s="230"/>
      <c r="R983" s="230"/>
      <c r="S983" s="247"/>
      <c r="T983" s="193"/>
    </row>
    <row r="984" hidden="1">
      <c r="O984" s="230"/>
      <c r="R984" s="230"/>
      <c r="S984" s="247"/>
      <c r="T984" s="193"/>
    </row>
    <row r="985" hidden="1">
      <c r="O985" s="230"/>
      <c r="R985" s="230"/>
      <c r="S985" s="247"/>
      <c r="T985" s="193"/>
    </row>
    <row r="986" hidden="1">
      <c r="O986" s="230"/>
      <c r="R986" s="230"/>
      <c r="S986" s="247"/>
      <c r="T986" s="193"/>
    </row>
    <row r="987" hidden="1">
      <c r="O987" s="230"/>
      <c r="R987" s="230"/>
      <c r="S987" s="247"/>
      <c r="T987" s="193"/>
    </row>
    <row r="988" hidden="1">
      <c r="O988" s="230"/>
      <c r="R988" s="230"/>
      <c r="S988" s="247"/>
      <c r="T988" s="193"/>
    </row>
    <row r="989" hidden="1">
      <c r="O989" s="230"/>
      <c r="R989" s="230"/>
      <c r="S989" s="247"/>
      <c r="T989" s="193"/>
    </row>
    <row r="990" hidden="1">
      <c r="O990" s="230"/>
      <c r="R990" s="230"/>
      <c r="S990" s="247"/>
      <c r="T990" s="193"/>
    </row>
    <row r="991" hidden="1">
      <c r="O991" s="230"/>
      <c r="R991" s="230"/>
      <c r="S991" s="247"/>
      <c r="T991" s="193"/>
    </row>
    <row r="992" hidden="1">
      <c r="O992" s="230"/>
      <c r="R992" s="230"/>
      <c r="S992" s="247"/>
      <c r="T992" s="193"/>
    </row>
    <row r="993" hidden="1">
      <c r="O993" s="230"/>
      <c r="R993" s="230"/>
      <c r="S993" s="247"/>
      <c r="T993" s="193"/>
    </row>
    <row r="994" hidden="1">
      <c r="O994" s="230"/>
      <c r="R994" s="230"/>
      <c r="S994" s="247"/>
      <c r="T994" s="193"/>
    </row>
    <row r="995" hidden="1">
      <c r="O995" s="230"/>
      <c r="R995" s="230"/>
      <c r="S995" s="247"/>
      <c r="T995" s="193"/>
    </row>
    <row r="996" hidden="1">
      <c r="O996" s="230"/>
      <c r="R996" s="230"/>
      <c r="S996" s="247"/>
      <c r="T996" s="193"/>
    </row>
    <row r="997" hidden="1">
      <c r="O997" s="230"/>
      <c r="R997" s="230"/>
      <c r="S997" s="247"/>
      <c r="T997" s="193"/>
    </row>
    <row r="998" hidden="1">
      <c r="O998" s="230"/>
      <c r="R998" s="230"/>
      <c r="S998" s="247"/>
      <c r="T998" s="193"/>
    </row>
    <row r="999" hidden="1">
      <c r="O999" s="230"/>
      <c r="R999" s="230"/>
      <c r="S999" s="247"/>
      <c r="T999" s="193"/>
    </row>
    <row r="1000" hidden="1">
      <c r="O1000" s="230"/>
      <c r="R1000" s="230"/>
      <c r="S1000" s="247"/>
      <c r="T1000" s="193"/>
    </row>
  </sheetData>
  <autoFilter ref="$A$1:$Z$1000">
    <filterColumn colId="4">
      <filters>
        <filter val="Moss : Kittapath Sangvikukit"/>
      </filters>
    </filterColumn>
  </autoFil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2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10782</v>
      </c>
      <c r="B2" s="216"/>
      <c r="C2" s="212"/>
      <c r="D2" s="216"/>
      <c r="E2" s="212"/>
      <c r="F2" s="217"/>
    </row>
    <row r="3" ht="22.5" customHeight="1">
      <c r="A3" s="218" t="s">
        <v>249</v>
      </c>
      <c r="B3" s="216"/>
      <c r="C3" s="212">
        <v>325.0</v>
      </c>
      <c r="D3" s="216"/>
      <c r="E3" s="212"/>
      <c r="F3" s="217"/>
    </row>
    <row r="4" ht="22.5" customHeight="1">
      <c r="A4" s="218" t="s">
        <v>250</v>
      </c>
      <c r="B4" s="216"/>
      <c r="C4" s="212">
        <v>146.0</v>
      </c>
      <c r="D4" s="216"/>
      <c r="E4" s="212"/>
      <c r="F4" s="220" t="s">
        <v>251</v>
      </c>
    </row>
    <row r="5" ht="22.5" customHeight="1">
      <c r="A5" s="218" t="s">
        <v>252</v>
      </c>
      <c r="B5" s="216"/>
      <c r="C5" s="212">
        <v>17.5</v>
      </c>
      <c r="D5" s="216"/>
      <c r="E5" s="212"/>
      <c r="F5" s="220" t="s">
        <v>251</v>
      </c>
    </row>
    <row r="6" ht="22.5" customHeight="1">
      <c r="A6" s="218" t="s">
        <v>253</v>
      </c>
      <c r="B6" s="216"/>
      <c r="C6" s="212">
        <v>1.0</v>
      </c>
      <c r="D6" s="216"/>
      <c r="E6" s="212"/>
      <c r="F6" s="221" t="s">
        <v>10783</v>
      </c>
    </row>
    <row r="7" ht="22.5" customHeight="1">
      <c r="A7" s="218" t="s">
        <v>255</v>
      </c>
      <c r="B7" s="216">
        <f>SUM('Sprint 4'!O:O)</f>
        <v>186</v>
      </c>
      <c r="C7" s="212">
        <f>ROUND(SUM('Sprint 4'!R:R)/3600,2)</f>
        <v>282.08</v>
      </c>
      <c r="D7" s="216">
        <f>SUMIF('Sprint 4'!J:J, "Done", 'Sprint 4'!O:O)</f>
        <v>81</v>
      </c>
      <c r="E7" s="212">
        <f>ROUND(SUMIF('Sprint 4'!J:J, "Done", 'Sprint 4'!R:R)/3600,2)</f>
        <v>86.08</v>
      </c>
      <c r="F7" s="217"/>
    </row>
    <row r="8" ht="22.5" customHeight="1">
      <c r="B8" s="216"/>
      <c r="C8" s="223"/>
      <c r="D8" s="216"/>
      <c r="E8" s="223"/>
      <c r="F8" s="224"/>
    </row>
    <row r="9" ht="22.5" customHeight="1">
      <c r="A9" s="218" t="s">
        <v>256</v>
      </c>
      <c r="B9" s="212" t="s">
        <v>210</v>
      </c>
      <c r="C9" s="212" t="s">
        <v>210</v>
      </c>
      <c r="D9" s="212" t="s">
        <v>210</v>
      </c>
      <c r="E9" s="212" t="s">
        <v>210</v>
      </c>
      <c r="F9" s="245"/>
    </row>
    <row r="10" ht="22.5" customHeight="1">
      <c r="A10" s="218" t="s">
        <v>258</v>
      </c>
      <c r="B10" s="212" t="s">
        <v>210</v>
      </c>
      <c r="C10" s="212" t="s">
        <v>210</v>
      </c>
      <c r="D10" s="212" t="s">
        <v>210</v>
      </c>
      <c r="E10" s="212" t="s">
        <v>210</v>
      </c>
      <c r="F10" s="245"/>
    </row>
    <row r="11" ht="22.5" customHeight="1">
      <c r="A11" s="218"/>
      <c r="B11" s="216"/>
      <c r="C11" s="216"/>
      <c r="D11" s="216"/>
      <c r="E11" s="212"/>
      <c r="F11" s="217"/>
    </row>
    <row r="12" ht="22.5" customHeight="1">
      <c r="A12" s="218" t="s">
        <v>30</v>
      </c>
      <c r="B12" s="216">
        <f>IFERROR(__xludf.DUMMYFUNCTION("IFERROR(SUM(FILTER('Sprint 4'!O:O, ('Sprint 4'!E:E = ""Aek:Atiphat Nanthachitvanich""))),0)"),27.0)</f>
        <v>27</v>
      </c>
      <c r="C12" s="223">
        <f>IFERROR(__xludf.DUMMYFUNCTION("ROUND(IFERROR(SUM(FILTER('Sprint 4'!R:R, ('Sprint 4'!E:E = ""Aek:Atiphat Nanthachitvanich"")))/3600,0),2)"),50.5)</f>
        <v>50.5</v>
      </c>
      <c r="D12" s="216">
        <f>IFERROR(__xludf.DUMMYFUNCTION("IFERROR(SUM(FILTER('Sprint 4'!O:O, (('Sprint 4'!J:J = ""Done"")) * ('Sprint 4'!E:E = ""Aek:Atiphat Nanthachitvanich""))),0)"),8.0)</f>
        <v>8</v>
      </c>
      <c r="E12" s="223">
        <f>IFERROR(__xludf.DUMMYFUNCTION("ROUND(IFERROR(SUM(FILTER('Sprint 4'!R:R, (('Sprint 4'!J:J = ""Done"")) * ('Sprint 4'!E:E = ""Aek:Atiphat Nanthachitvanich"")))/3600,0),2)"),8.5)</f>
        <v>8.5</v>
      </c>
      <c r="F12" s="224"/>
    </row>
    <row r="13" ht="22.5" customHeight="1">
      <c r="A13" s="218" t="s">
        <v>32</v>
      </c>
      <c r="B13" s="216">
        <f>IFERROR(__xludf.DUMMYFUNCTION("IFERROR(SUM(FILTER('Sprint 4'!O:O, ('Sprint 4'!E:E = ""A:Phongthorn""))),0)"),31.0)</f>
        <v>31</v>
      </c>
      <c r="C13" s="223">
        <f>IFERROR(__xludf.DUMMYFUNCTION("ROUND(IFERROR(SUM(FILTER('Sprint 4'!R:R, ('Sprint 4'!E:E = ""A:Phongthorn"")))/3600,0),2)"),56.0)</f>
        <v>56</v>
      </c>
      <c r="D13" s="216">
        <f>IFERROR(__xludf.DUMMYFUNCTION("IFERROR(SUM(FILTER('Sprint 4'!O:O, (('Sprint 4'!J:J = ""Done"")) * ('Sprint 4'!E:E = ""A:Phongthorn""))),0)"),20.0)</f>
        <v>20</v>
      </c>
      <c r="E13" s="223">
        <f>IFERROR(__xludf.DUMMYFUNCTION("ROUND(IFERROR(SUM(FILTER('Sprint 4'!R:R, (('Sprint 4'!J:J = ""Done"")) * ('Sprint 4'!E:E = ""A:Phongthorn"")))/3600,0),2)"),28.0)</f>
        <v>28</v>
      </c>
      <c r="F13" s="224"/>
    </row>
    <row r="14" ht="22.5" customHeight="1">
      <c r="A14" s="218" t="s">
        <v>72</v>
      </c>
      <c r="B14" s="216">
        <f>IFERROR(__xludf.DUMMYFUNCTION("IFERROR(SUM(FILTER('Sprint 4'!O:O, ('Sprint 4'!E:E = ""Aom: Pornsawan Polnyiem""))),0)"),26.0)</f>
        <v>26</v>
      </c>
      <c r="C14" s="223">
        <f>IFERROR(__xludf.DUMMYFUNCTION("ROUND(IFERROR(SUM(FILTER('Sprint 4'!R:R, ('Sprint 4'!E:E = ""Aom: Pornsawan Polnyiem"")))/3600,0),2)"),31.33)</f>
        <v>31.33</v>
      </c>
      <c r="D14" s="216">
        <f>IFERROR(__xludf.DUMMYFUNCTION("IFERROR(SUM(FILTER('Sprint 4'!O:O, (('Sprint 4'!J:J = ""Done"")) * ('Sprint 4'!E:E = ""Aom: Pornsawan Polnyiem""))),0)"),18.0)</f>
        <v>18</v>
      </c>
      <c r="E14" s="223">
        <f>IFERROR(__xludf.DUMMYFUNCTION("ROUND(IFERROR(SUM(FILTER('Sprint 4'!R:R, (('Sprint 4'!J:J = ""Done"")) * ('Sprint 4'!E:E = ""Aom: Pornsawan Polnyiem"")))/3600,0),2)"),31.33)</f>
        <v>31.33</v>
      </c>
      <c r="F14" s="224"/>
    </row>
    <row r="15" ht="22.5" customHeight="1">
      <c r="A15" s="218" t="s">
        <v>24</v>
      </c>
      <c r="B15" s="216">
        <f>IFERROR(__xludf.DUMMYFUNCTION("IFERROR(SUM(FILTER('Sprint 4'!O:O, ('Sprint 4'!E:E = ""Zan : Isarapong Bulan""))),0)"),22.0)</f>
        <v>22</v>
      </c>
      <c r="C15" s="223">
        <f>IFERROR(__xludf.DUMMYFUNCTION("ROUND(IFERROR(SUM(FILTER('Sprint 4'!R:R, ('Sprint 4'!E:E = ""Zan : Isarapong Bulan"")))/3600,0),2)"),30.25)</f>
        <v>30.25</v>
      </c>
      <c r="D15" s="216">
        <f>IFERROR(__xludf.DUMMYFUNCTION("IFERROR(SUM(FILTER('Sprint 4'!O:O, (('Sprint 4'!J:J = ""Done"")) * ('Sprint 4'!E:E = ""Zan : Isarapong Bulan""))),0)"),9.0)</f>
        <v>9</v>
      </c>
      <c r="E15" s="223">
        <f>IFERROR(__xludf.DUMMYFUNCTION("ROUND(IFERROR(SUM(FILTER('Sprint 4'!R:R, (('Sprint 4'!J:J = ""Done"")) * ('Sprint 4'!E:E = ""Zan : Isarapong Bulan"")))/3600,0),2)"),6.25)</f>
        <v>6.25</v>
      </c>
      <c r="F15" s="224"/>
    </row>
    <row r="16" ht="22.5" customHeight="1">
      <c r="A16" s="218" t="s">
        <v>73</v>
      </c>
      <c r="B16" s="216">
        <f>IFERROR(__xludf.DUMMYFUNCTION("IFERROR(SUM(FILTER('Sprint 4'!O:O, ('Sprint 4'!E:E = ""Mai:Sateta Abvanawong""))),0)"),22.0)</f>
        <v>22</v>
      </c>
      <c r="C16" s="223">
        <f>IFERROR(__xludf.DUMMYFUNCTION("ROUND(IFERROR(SUM(FILTER('Sprint 4'!R:R, ('Sprint 4'!E:E = ""Mai:Sateta Abvanawong"")))/3600,0),2)"),34.0)</f>
        <v>34</v>
      </c>
      <c r="D16" s="216">
        <f>IFERROR(__xludf.DUMMYFUNCTION("IFERROR(SUM(FILTER('Sprint 4'!O:O, (('Sprint 4'!J:J = ""Done"")) * ('Sprint 4'!E:E = ""Mai:Sateta Abvanawong""))),0)"),10.0)</f>
        <v>10</v>
      </c>
      <c r="E16" s="223">
        <f>IFERROR(__xludf.DUMMYFUNCTION("ROUND(IFERROR(SUM(FILTER('Sprint 4'!R:R, (('Sprint 4'!J:J = ""Done"")) * ('Sprint 4'!E:E = ""Mai:Sateta Abvanawong""))),0)/3600,2)"),0.0)</f>
        <v>0</v>
      </c>
      <c r="F16" s="224"/>
    </row>
    <row r="17" ht="22.5" customHeight="1">
      <c r="A17" s="218" t="s">
        <v>74</v>
      </c>
      <c r="B17" s="216">
        <f>IFERROR(__xludf.DUMMYFUNCTION("IFERROR(SUM(FILTER('Sprint 4'!O:O, ('Sprint 4'!E:E = ""Jarupong Pawichpongkul""))),0)"),20.0)</f>
        <v>20</v>
      </c>
      <c r="C17" s="223">
        <f>IFERROR(__xludf.DUMMYFUNCTION("ROUND(IFERROR(SUM(FILTER('Sprint 4'!R:R, ('Sprint 4'!E:E = ""Jarupong Pawichpongkul"")))/3600,0),2)"),32.0)</f>
        <v>32</v>
      </c>
      <c r="D17" s="216">
        <f>IFERROR(__xludf.DUMMYFUNCTION("IFERROR(SUM(FILTER('Sprint 4'!O:O, (('Sprint 4'!J:J = ""Done"")) * ('Sprint 4'!E:E = ""Jarupong Pawichpongkul""))),0)"),8.0)</f>
        <v>8</v>
      </c>
      <c r="E17" s="223">
        <f>IFERROR(__xludf.DUMMYFUNCTION("ROUND(IFERROR(SUM(FILTER('Sprint 4'!R:R, (('Sprint 4'!J:J = ""Done"")) * ('Sprint 4'!E:E = ""Jarupong Pawichpongkul"")))/3600,0),2)"),0.0)</f>
        <v>0</v>
      </c>
      <c r="F17" s="224"/>
    </row>
    <row r="18" ht="22.5" customHeight="1">
      <c r="A18" s="218" t="s">
        <v>75</v>
      </c>
      <c r="B18" s="216">
        <f>IFERROR(__xludf.DUMMYFUNCTION("IFERROR(SUM(FILTER('Sprint 4'!O:O, ('Sprint 4'!E:E = ""Moss : Kittapath Sangvikukit""))),0)"),24.0)</f>
        <v>24</v>
      </c>
      <c r="C18" s="223">
        <f>IFERROR(__xludf.DUMMYFUNCTION("ROUND(IFERROR(SUM(FILTER('Sprint 4'!R:R, ('Sprint 4'!E:E = ""Moss : Kittapath Sangvikukit"")))/3600,0),2)"),24.0)</f>
        <v>24</v>
      </c>
      <c r="D18" s="216">
        <f>IFERROR(__xludf.DUMMYFUNCTION("IFERROR(SUM(FILTER('Sprint 4'!O:O, (('Sprint 4'!J:J = ""Done"")) * ('Sprint 4'!E:E = ""Moss : Kittapath Sangvikukit""))),0)"),5.0)</f>
        <v>5</v>
      </c>
      <c r="E18" s="223">
        <f>IFERROR(__xludf.DUMMYFUNCTION("ROUND(IFERROR(SUM(FILTER('Sprint 4'!R:R, (('Sprint 4'!J:J = ""Done"")) * ('Sprint 4'!E:E = ""Moss : Kittapath Sangvikukit"")))/3600,0),2)"),12.0)</f>
        <v>12</v>
      </c>
      <c r="F18" s="224"/>
    </row>
    <row r="19" ht="22.5" customHeight="1">
      <c r="A19" s="218" t="s">
        <v>28</v>
      </c>
      <c r="B19" s="216">
        <f>IFERROR(__xludf.DUMMYFUNCTION("IFERROR(SUM(FILTER('Sprint 4'!O:O, ('Sprint 4'!E:E = ""Jack:Warin Kesorn""))),0)"),8.0)</f>
        <v>8</v>
      </c>
      <c r="C19" s="223">
        <f>IFERROR(__xludf.DUMMYFUNCTION("ROUND(IFERROR(SUM(FILTER('Sprint 4'!R:R, ('Sprint 4'!E:E = ""Jack:Warin Kesorn"")))/3600,0),2)"),24.0)</f>
        <v>24</v>
      </c>
      <c r="D19" s="216">
        <f>IFERROR(__xludf.DUMMYFUNCTION("IFERROR(SUM(FILTER('Sprint 4'!O:O, (('Sprint 4'!J:J = ""Done"")) * ('Sprint 4'!E:E = ""Jack:Warin Kesorn""))),0)"),0.0)</f>
        <v>0</v>
      </c>
      <c r="E19" s="223">
        <f>IFERROR(__xludf.DUMMYFUNCTION("ROUND(IFERROR(SUM(FILTER('Sprint 4'!R:R, (('Sprint 4'!J:J = ""Done"")) * ('Sprint 4'!E:E = ""Jack:Warin Kesorn"")))/3600,0),2)"),0.0)</f>
        <v>0</v>
      </c>
      <c r="F19" s="224"/>
    </row>
    <row r="20">
      <c r="C20" s="125"/>
    </row>
    <row r="21">
      <c r="C21" s="125"/>
    </row>
    <row r="22">
      <c r="A22" s="126"/>
      <c r="B22" s="126"/>
      <c r="C22" s="126"/>
      <c r="D22" s="102"/>
      <c r="E22" s="102"/>
      <c r="F22" s="102"/>
    </row>
    <row r="23">
      <c r="A23" s="126"/>
      <c r="B23" s="126"/>
      <c r="C23" s="126"/>
      <c r="D23" s="102"/>
      <c r="E23" s="102"/>
      <c r="F23" s="102"/>
    </row>
    <row r="24">
      <c r="C24" s="125"/>
    </row>
    <row r="25">
      <c r="C25" s="125"/>
    </row>
    <row r="26">
      <c r="C26" s="125"/>
    </row>
    <row r="27">
      <c r="C27" s="125"/>
    </row>
    <row r="28">
      <c r="C28" s="125"/>
    </row>
    <row r="29">
      <c r="C29" s="125"/>
    </row>
    <row r="30">
      <c r="C30" s="125"/>
    </row>
    <row r="31">
      <c r="C31" s="125"/>
    </row>
    <row r="32">
      <c r="C32" s="125"/>
    </row>
    <row r="33">
      <c r="C33" s="125"/>
    </row>
    <row r="34">
      <c r="C34" s="125"/>
    </row>
    <row r="35">
      <c r="C35" s="125"/>
    </row>
    <row r="36">
      <c r="C36" s="125"/>
    </row>
    <row r="37">
      <c r="C37" s="125"/>
    </row>
    <row r="38">
      <c r="C38" s="125"/>
    </row>
    <row r="39">
      <c r="C39" s="125"/>
    </row>
    <row r="40">
      <c r="C40" s="125"/>
    </row>
    <row r="41">
      <c r="C41" s="125"/>
    </row>
    <row r="42">
      <c r="C42" s="125"/>
    </row>
    <row r="43">
      <c r="C43" s="125"/>
    </row>
    <row r="44">
      <c r="C44" s="125"/>
    </row>
    <row r="45">
      <c r="C45" s="125"/>
    </row>
    <row r="46">
      <c r="C46" s="125"/>
    </row>
    <row r="47">
      <c r="C47" s="125"/>
    </row>
    <row r="48">
      <c r="C48" s="125"/>
    </row>
    <row r="49">
      <c r="C49" s="125"/>
    </row>
    <row r="50">
      <c r="C50" s="125"/>
    </row>
    <row r="51">
      <c r="C51" s="125"/>
    </row>
    <row r="52">
      <c r="C52" s="125"/>
    </row>
    <row r="53">
      <c r="C53" s="125"/>
    </row>
    <row r="54">
      <c r="C54" s="125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  <row r="988">
      <c r="C988" s="125"/>
    </row>
    <row r="989">
      <c r="C989" s="125"/>
    </row>
    <row r="990">
      <c r="C990" s="125"/>
    </row>
    <row r="991">
      <c r="C991" s="125"/>
    </row>
    <row r="992">
      <c r="C992" s="125"/>
    </row>
    <row r="993">
      <c r="C993" s="125"/>
    </row>
    <row r="994">
      <c r="C994" s="125"/>
    </row>
    <row r="995">
      <c r="C995" s="125"/>
    </row>
    <row r="996">
      <c r="C996" s="125"/>
    </row>
    <row r="997">
      <c r="C997" s="125"/>
    </row>
    <row r="998">
      <c r="C998" s="125"/>
    </row>
    <row r="999">
      <c r="C999" s="125"/>
    </row>
    <row r="1000">
      <c r="C1000" s="125"/>
    </row>
    <row r="1001">
      <c r="C1001" s="125"/>
    </row>
    <row r="1002">
      <c r="C1002" s="125"/>
    </row>
    <row r="1003">
      <c r="C1003" s="125"/>
    </row>
    <row r="1004">
      <c r="C1004" s="125"/>
    </row>
    <row r="1005">
      <c r="C1005" s="125"/>
    </row>
  </sheetData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1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10784</v>
      </c>
      <c r="C2" s="218"/>
      <c r="E2" s="218"/>
      <c r="F2" s="217"/>
    </row>
    <row r="3" ht="22.5" customHeight="1">
      <c r="A3" s="218" t="s">
        <v>249</v>
      </c>
      <c r="C3" s="218">
        <v>442.0</v>
      </c>
      <c r="E3" s="218"/>
      <c r="F3" s="217"/>
    </row>
    <row r="4" ht="22.5" customHeight="1">
      <c r="A4" s="218" t="s">
        <v>250</v>
      </c>
      <c r="C4" s="218">
        <v>176.5</v>
      </c>
      <c r="E4" s="218"/>
      <c r="F4" s="220" t="s">
        <v>251</v>
      </c>
    </row>
    <row r="5" ht="22.5" customHeight="1">
      <c r="A5" s="218" t="s">
        <v>252</v>
      </c>
      <c r="C5" s="218">
        <v>56.5</v>
      </c>
      <c r="E5" s="218"/>
      <c r="F5" s="220" t="s">
        <v>251</v>
      </c>
    </row>
    <row r="6" ht="22.5" customHeight="1">
      <c r="A6" s="218" t="s">
        <v>253</v>
      </c>
      <c r="C6" s="218">
        <v>10.0</v>
      </c>
      <c r="E6" s="218"/>
      <c r="F6" s="221" t="s">
        <v>10785</v>
      </c>
    </row>
    <row r="7" ht="22.5" customHeight="1">
      <c r="A7" s="218" t="s">
        <v>255</v>
      </c>
      <c r="B7" s="248">
        <f>SUM('Sprint 3'!O:O)</f>
        <v>132</v>
      </c>
      <c r="C7" s="218">
        <f>SUM('Sprint 3'!T:T)</f>
        <v>406</v>
      </c>
      <c r="D7" s="248">
        <f>SUMIF('Sprint 3'!J:J, "Done", 'Sprint 3'!O:O)</f>
        <v>63</v>
      </c>
      <c r="E7" s="218">
        <f>SUMIF('Sprint 3'!J:J, "Done", 'Sprint 3'!T:T)</f>
        <v>178</v>
      </c>
      <c r="F7" s="217"/>
    </row>
    <row r="8" ht="22.5" customHeight="1">
      <c r="C8" s="249"/>
      <c r="E8" s="249"/>
      <c r="F8" s="224"/>
    </row>
    <row r="9" ht="22.5" customHeight="1">
      <c r="A9" s="218" t="s">
        <v>256</v>
      </c>
      <c r="B9" s="218">
        <v>12.0</v>
      </c>
      <c r="C9" s="218">
        <v>24.0</v>
      </c>
      <c r="D9" s="218">
        <v>12.0</v>
      </c>
      <c r="E9" s="218">
        <v>24.0</v>
      </c>
      <c r="F9" s="245" t="s">
        <v>10786</v>
      </c>
    </row>
    <row r="10" ht="22.5" customHeight="1">
      <c r="A10" s="218" t="s">
        <v>258</v>
      </c>
      <c r="E10" s="218"/>
      <c r="F10" s="245" t="s">
        <v>10787</v>
      </c>
    </row>
    <row r="11" ht="22.5" customHeight="1">
      <c r="A11" s="218"/>
      <c r="E11" s="218"/>
      <c r="F11" s="217"/>
    </row>
    <row r="12" ht="22.5" customHeight="1">
      <c r="A12" s="218" t="s">
        <v>30</v>
      </c>
      <c r="B12" s="248">
        <f>IFERROR(__xludf.DUMMYFUNCTION("IFERROR(SUM(FILTER('Sprint 3'!O:O, ('Sprint 3'!E:E = ""Aek:Atiphat Nanthachitvanich""))),0)"),20.0)</f>
        <v>20</v>
      </c>
      <c r="C12" s="249">
        <f>IFERROR(__xludf.DUMMYFUNCTION("IFERROR(SUM(FILTER('Sprint 3'!T:T, ('Sprint 3'!E:E = ""Aek:Atiphat Nanthachitvanich""))),0)"),58.0)</f>
        <v>58</v>
      </c>
      <c r="D12" s="248">
        <f>IFERROR(__xludf.DUMMYFUNCTION("IFERROR(SUM(FILTER('Sprint 3'!O:O, (('Sprint 3'!J:J = ""Done"")) * ('Sprint 3'!E:E = ""Aek:Atiphat Nanthachitvanich""))),0)"),18.0)</f>
        <v>18</v>
      </c>
      <c r="E12" s="249">
        <f>IFERROR(__xludf.DUMMYFUNCTION("IFERROR(SUM(FILTER('Sprint 3'!T:T, (('Sprint 3'!J:J = ""Done"")) * ('Sprint 3'!E:E = ""Aek:Atiphat Nanthachitvanich""))),0)"),54.0)</f>
        <v>54</v>
      </c>
      <c r="F12" s="224"/>
    </row>
    <row r="13" ht="22.5" customHeight="1">
      <c r="A13" s="218" t="s">
        <v>32</v>
      </c>
      <c r="B13" s="248">
        <f>IFERROR(__xludf.DUMMYFUNCTION("IFERROR(SUM(FILTER('Sprint 3'!O:O, ('Sprint 3'!E:E = ""A:Phongthorn""))),0)"),11.0)</f>
        <v>11</v>
      </c>
      <c r="C13" s="249">
        <f>IFERROR(__xludf.DUMMYFUNCTION("IFERROR(SUM(FILTER('Sprint 3'!T:T, ('Sprint 3'!E:E = ""A:Phongthorn""))),0)"),40.0)</f>
        <v>40</v>
      </c>
      <c r="D13" s="248">
        <f>IFERROR(__xludf.DUMMYFUNCTION("IFERROR(SUM(FILTER('Sprint 3'!O:O, (('Sprint 3'!J:J = ""Done"")) * ('Sprint 3'!E:E = ""A:Phongthorn""))),0)"),0.0)</f>
        <v>0</v>
      </c>
      <c r="E13" s="249">
        <f>IFERROR(__xludf.DUMMYFUNCTION("IFERROR(SUM(FILTER('Sprint 3'!T:T, (('Sprint 3'!J:J = ""Done"")) * ('Sprint 3'!E:E = ""A:Phongthorn""))),0)"),0.0)</f>
        <v>0</v>
      </c>
      <c r="F13" s="224"/>
    </row>
    <row r="14" ht="22.5" customHeight="1">
      <c r="A14" s="218" t="s">
        <v>72</v>
      </c>
      <c r="B14" s="248">
        <f>IFERROR(__xludf.DUMMYFUNCTION("IFERROR(SUM(FILTER('Sprint 3'!O:O, ('Sprint 3'!E:E = ""Aom: Pornsawan Polnyiem""))),0)"),25.0)</f>
        <v>25</v>
      </c>
      <c r="C14" s="249">
        <f>IFERROR(__xludf.DUMMYFUNCTION("IFERROR(SUM(FILTER('Sprint 3'!T:T, ('Sprint 3'!E:E = ""Aom: Pornsawan Polnyiem""))),0)"),70.0)</f>
        <v>70</v>
      </c>
      <c r="D14" s="248">
        <f>IFERROR(__xludf.DUMMYFUNCTION("IFERROR(SUM(FILTER('Sprint 3'!O:O, (('Sprint 3'!J:J = ""Done"")) * ('Sprint 3'!E:E = ""Aom: Pornsawan Polnyiem""))),0)"),17.0)</f>
        <v>17</v>
      </c>
      <c r="E14" s="249">
        <f>IFERROR(__xludf.DUMMYFUNCTION("IFERROR(SUM(FILTER('Sprint 3'!T:T, (('Sprint 3'!J:J = ""Done"")) * ('Sprint 3'!E:E = ""Aom: Pornsawan Polnyiem""))),0)"),50.0)</f>
        <v>50</v>
      </c>
      <c r="F14" s="224"/>
    </row>
    <row r="15" ht="22.5" customHeight="1">
      <c r="A15" s="218" t="s">
        <v>24</v>
      </c>
      <c r="B15" s="248">
        <f>IFERROR(__xludf.DUMMYFUNCTION("IFERROR(SUM(FILTER('Sprint 3'!O:O, ('Sprint 3'!E:E = ""Zan : Isarapong Bulan""))),0)"),8.0)</f>
        <v>8</v>
      </c>
      <c r="C15" s="249">
        <f>IFERROR(__xludf.DUMMYFUNCTION("IFERROR(SUM(FILTER('Sprint 3'!T:T, ('Sprint 3'!E:E = ""Zan : Isarapong Bulan""))),0)"),30.0)</f>
        <v>30</v>
      </c>
      <c r="D15" s="248">
        <f>IFERROR(__xludf.DUMMYFUNCTION("IFERROR(SUM(FILTER('Sprint 3'!O:O, (('Sprint 3'!J:J = ""Done"")) * ('Sprint 3'!E:E = ""Zan : Isarapong Bulan""))),0)"),2.0)</f>
        <v>2</v>
      </c>
      <c r="E15" s="249">
        <f>IFERROR(__xludf.DUMMYFUNCTION("IFERROR(SUM(FILTER('Sprint 3'!T:T, (('Sprint 3'!J:J = ""Done"")) * ('Sprint 3'!E:E = ""Zan : Isarapong Bulan""))),0)"),4.0)</f>
        <v>4</v>
      </c>
      <c r="F15" s="224"/>
    </row>
    <row r="16" ht="22.5" customHeight="1">
      <c r="A16" s="218" t="s">
        <v>73</v>
      </c>
      <c r="B16" s="248">
        <f>IFERROR(__xludf.DUMMYFUNCTION("IFERROR(SUM(FILTER('Sprint 3'!O:O, ('Sprint 3'!E:E = ""Mai:Sateta Abvanawong""))),0)"),12.0)</f>
        <v>12</v>
      </c>
      <c r="C16" s="249">
        <f>IFERROR(__xludf.DUMMYFUNCTION("IFERROR(SUM(FILTER('Sprint 3'!T:T, ('Sprint 3'!E:E = ""Mai:Sateta Abvanawong""))),0)"),38.0)</f>
        <v>38</v>
      </c>
      <c r="D16" s="248">
        <f>IFERROR(__xludf.DUMMYFUNCTION("IFERROR(SUM(FILTER('Sprint 3'!O:O, (('Sprint 3'!J:J = ""Done"")) * ('Sprint 3'!E:E = ""Mai:Sateta Abvanawong""))),0)"),7.0)</f>
        <v>7</v>
      </c>
      <c r="E16" s="249">
        <f>IFERROR(__xludf.DUMMYFUNCTION("IFERROR(SUM(FILTER('Sprint 3'!T:T, (('Sprint 3'!J:J = ""Done"")) * ('Sprint 3'!E:E = ""Mai:Sateta Abvanawong""))),0)"),14.0)</f>
        <v>14</v>
      </c>
      <c r="F16" s="224"/>
    </row>
    <row r="17" ht="22.5" customHeight="1">
      <c r="A17" s="218" t="s">
        <v>74</v>
      </c>
      <c r="B17" s="248">
        <f>IFERROR(__xludf.DUMMYFUNCTION("IFERROR(SUM(FILTER('Sprint 3'!O:O, ('Sprint 3'!E:E = ""Jarupong Pawichpongkul""))),0)"),19.0)</f>
        <v>19</v>
      </c>
      <c r="C17" s="249">
        <f>IFERROR(__xludf.DUMMYFUNCTION("IFERROR(SUM(FILTER('Sprint 3'!T:T, ('Sprint 3'!E:E = ""Jarupong Pawichpongkul""))),0)"),60.0)</f>
        <v>60</v>
      </c>
      <c r="D17" s="248">
        <f>IFERROR(__xludf.DUMMYFUNCTION("IFERROR(SUM(FILTER('Sprint 3'!O:O, (('Sprint 3'!J:J = ""Done"")) * ('Sprint 3'!E:E = ""Jarupong Pawichpongkul""))),0)"),0.0)</f>
        <v>0</v>
      </c>
      <c r="E17" s="249">
        <f>IFERROR(__xludf.DUMMYFUNCTION("IFERROR(SUM(FILTER('Sprint 3'!T:T, (('Sprint 3'!J:J = ""Done"")) * ('Sprint 3'!E:E = ""Jarupong Pawichpongkul""))),0)"),0.0)</f>
        <v>0</v>
      </c>
      <c r="F17" s="224"/>
    </row>
    <row r="18" ht="22.5" customHeight="1">
      <c r="A18" s="218" t="s">
        <v>10788</v>
      </c>
      <c r="B18" s="248">
        <f>IFERROR(__xludf.DUMMYFUNCTION("IFERROR(SUM(FILTER('Sprint 3'!O:O, ('Sprint 3'!E:E = ""First Nattapon""))),0)"),12.0)</f>
        <v>12</v>
      </c>
      <c r="C18" s="249">
        <f>IFERROR(__xludf.DUMMYFUNCTION("IFERROR(SUM(FILTER('Sprint 3'!T:T, ('Sprint 3'!E:E = ""First Nattapon""))),0)"),28.0)</f>
        <v>28</v>
      </c>
      <c r="D18" s="248">
        <f>IFERROR(__xludf.DUMMYFUNCTION("IFERROR(SUM(FILTER('Sprint 3'!O:O, (('Sprint 3'!J:J = ""Done"")) * ('Sprint 3'!E:E = ""First Nattapon""))),0)"),7.0)</f>
        <v>7</v>
      </c>
      <c r="E18" s="249">
        <f>IFERROR(__xludf.DUMMYFUNCTION("IFERROR(SUM(FILTER('Sprint 3'!T:T, (('Sprint 3'!J:J = ""Done"")) * ('Sprint 3'!E:E = ""First Nattapon""))),0)"),16.0)</f>
        <v>16</v>
      </c>
      <c r="F18" s="224"/>
    </row>
    <row r="19" ht="22.5" customHeight="1">
      <c r="A19" s="218" t="s">
        <v>75</v>
      </c>
      <c r="B19" s="248">
        <f>IFERROR(__xludf.DUMMYFUNCTION("IFERROR(SUM(FILTER('Sprint 3'!O:O, ('Sprint 3'!E:E = ""Moss : Kittapath Sangvikukit""))),0)"),8.0)</f>
        <v>8</v>
      </c>
      <c r="C19" s="249">
        <f>IFERROR(__xludf.DUMMYFUNCTION("IFERROR(SUM(FILTER('Sprint 3'!T:T, ('Sprint 3'!E:E = ""Moss : Kittapath Sangvikukit""))),0)"),18.0)</f>
        <v>18</v>
      </c>
      <c r="D19" s="248">
        <f>IFERROR(__xludf.DUMMYFUNCTION("IFERROR(SUM(FILTER('Sprint 3'!O:O, (('Sprint 3'!J:J = ""Done"")) * ('Sprint 3'!E:E = ""Moss : Kittapath Sangvikukit""))),0)"),0.0)</f>
        <v>0</v>
      </c>
      <c r="E19" s="249">
        <f>IFERROR(__xludf.DUMMYFUNCTION("IFERROR(SUM(FILTER('Sprint 3'!T:T, (('Sprint 3'!J:J = ""Done"")) * ('Sprint 3'!E:E = ""Moss : Kittapath Sangvikukit""))),0)"),0.0)</f>
        <v>0</v>
      </c>
      <c r="F19" s="224"/>
    </row>
    <row r="20" ht="22.5" customHeight="1">
      <c r="A20" s="218" t="s">
        <v>28</v>
      </c>
      <c r="B20" s="248">
        <f>IFERROR(__xludf.DUMMYFUNCTION("IFERROR(SUM(FILTER('Sprint 3'!O:O, ('Sprint 3'!E:E = ""Jack:Warin Kesorn""))),0)"),13.0)</f>
        <v>13</v>
      </c>
      <c r="C20" s="249">
        <f>IFERROR(__xludf.DUMMYFUNCTION("IFERROR(SUM(FILTER('Sprint 3'!T:T, ('Sprint 3'!E:E = ""Jack:Warin Kesorn""))),0)"),56.0)</f>
        <v>56</v>
      </c>
      <c r="D20" s="248">
        <f>IFERROR(__xludf.DUMMYFUNCTION("IFERROR(SUM(FILTER('Sprint 3'!O:O, (('Sprint 3'!J:J = ""Done"")) * ('Sprint 3'!E:E = ""Jack:Warin Kesorn""))),0)"),8.0)</f>
        <v>8</v>
      </c>
      <c r="E20" s="249">
        <f>IFERROR(__xludf.DUMMYFUNCTION("IFERROR(SUM(FILTER('Sprint 3'!T:T, (('Sprint 3'!J:J = ""Done"")) * ('Sprint 3'!E:E = ""Jack:Warin Kesorn""))),0)"),32.0)</f>
        <v>32</v>
      </c>
      <c r="F20" s="224"/>
    </row>
    <row r="21" ht="22.5" customHeight="1">
      <c r="A21" s="218" t="s">
        <v>10789</v>
      </c>
      <c r="B21" s="248">
        <f>IFERROR(__xludf.DUMMYFUNCTION("IFERROR(SUM(FILTER('Sprint 3'!O:O, ('Sprint 3'!E:E = ""thanyapath sunthornchaisadom""))),0)"),4.0)</f>
        <v>4</v>
      </c>
      <c r="C21" s="249">
        <f>IFERROR(__xludf.DUMMYFUNCTION("IFERROR(SUM(FILTER('Sprint 3'!T:T, ('Sprint 3'!E:E = ""thanyapath sunthornchaisadom""))),0)"),8.0)</f>
        <v>8</v>
      </c>
      <c r="D21" s="248">
        <f>IFERROR(__xludf.DUMMYFUNCTION("IFERROR(SUM(FILTER('Sprint 3'!O:O, (('Sprint 3'!J:J = ""Done"")) * ('Sprint 3'!E:E = ""thanyapath sunthornchaisadom""))),0)"),4.0)</f>
        <v>4</v>
      </c>
      <c r="E21" s="249">
        <f>IFERROR(__xludf.DUMMYFUNCTION("IFERROR(SUM(FILTER('Sprint 3'!T:T, (('Sprint 3'!J:J = ""Done"")) * ('Sprint 3'!E:E = ""thanyapath sunthornchaisadom""))),0)"),8.0)</f>
        <v>8</v>
      </c>
      <c r="F21" s="224"/>
    </row>
    <row r="23">
      <c r="A23" s="102" t="s">
        <v>10790</v>
      </c>
    </row>
    <row r="24">
      <c r="A24" s="250" t="s">
        <v>10791</v>
      </c>
      <c r="B24" s="250">
        <v>1.0</v>
      </c>
      <c r="C24" s="251">
        <v>2.0</v>
      </c>
      <c r="D24" s="251">
        <v>3.0</v>
      </c>
      <c r="E24" s="251">
        <v>5.0</v>
      </c>
      <c r="F24" s="251">
        <v>8.0</v>
      </c>
    </row>
    <row r="25">
      <c r="A25" s="250" t="s">
        <v>10792</v>
      </c>
      <c r="B25" s="250" t="s">
        <v>10793</v>
      </c>
      <c r="C25" s="251" t="s">
        <v>10794</v>
      </c>
      <c r="D25" s="251" t="s">
        <v>10795</v>
      </c>
      <c r="E25" s="251" t="s">
        <v>10796</v>
      </c>
      <c r="F25" s="251" t="s">
        <v>10797</v>
      </c>
    </row>
  </sheetData>
  <hyperlinks>
    <hyperlink r:id="rId1" location="%F0%9F%94%84-Meeting" ref="F4"/>
    <hyperlink r:id="rId2" location="%F0%9F%94%84-Meeting" ref="F5"/>
  </hyperlinks>
  <drawing r:id="rId3"/>
  <tableParts count="1">
    <tablePart r:id="rId5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17.38"/>
    <col customWidth="1" min="3" max="3" width="18.25"/>
    <col customWidth="1" min="4" max="4" width="17.75"/>
    <col customWidth="1" min="5" max="5" width="17.25"/>
  </cols>
  <sheetData>
    <row r="1" ht="22.5" customHeight="1">
      <c r="A1" s="211" t="s">
        <v>244</v>
      </c>
      <c r="B1" s="211" t="s">
        <v>245</v>
      </c>
      <c r="C1" s="211" t="s">
        <v>246</v>
      </c>
      <c r="D1" s="213" t="s">
        <v>247</v>
      </c>
      <c r="E1" s="211" t="s">
        <v>248</v>
      </c>
      <c r="F1" s="214" t="s">
        <v>6</v>
      </c>
    </row>
    <row r="2" ht="22.5" customHeight="1">
      <c r="A2" s="215" t="s">
        <v>10798</v>
      </c>
      <c r="C2" s="218"/>
      <c r="E2" s="218"/>
      <c r="F2" s="217"/>
    </row>
    <row r="3" ht="22.5" customHeight="1">
      <c r="A3" s="218" t="s">
        <v>249</v>
      </c>
      <c r="C3" s="218">
        <v>435.5</v>
      </c>
      <c r="E3" s="218"/>
      <c r="F3" s="217"/>
    </row>
    <row r="4" ht="22.5" customHeight="1">
      <c r="A4" s="218" t="s">
        <v>250</v>
      </c>
      <c r="C4" s="218"/>
      <c r="E4" s="218"/>
      <c r="F4" s="217"/>
    </row>
    <row r="5" ht="22.5" customHeight="1">
      <c r="A5" s="218" t="s">
        <v>252</v>
      </c>
      <c r="C5" s="218">
        <v>51.55</v>
      </c>
      <c r="E5" s="218"/>
      <c r="F5" s="217"/>
    </row>
    <row r="6" ht="22.5" customHeight="1">
      <c r="A6" s="218" t="s">
        <v>253</v>
      </c>
      <c r="C6" s="218">
        <v>21.0</v>
      </c>
      <c r="E6" s="218"/>
      <c r="F6" s="217"/>
    </row>
    <row r="7" ht="22.5" customHeight="1">
      <c r="A7" s="218" t="s">
        <v>255</v>
      </c>
      <c r="B7" s="248">
        <f>SUM('Sprint 2'!O:O)</f>
        <v>126</v>
      </c>
      <c r="C7" s="218">
        <f>SUM('Sprint 2'!P:P)</f>
        <v>404</v>
      </c>
      <c r="D7" s="248">
        <f>SUMIF('Sprint 2'!J:J, "Done", 'Sprint 2'!O:O)</f>
        <v>45</v>
      </c>
      <c r="E7" s="218">
        <f>SUMIF('Sprint 2'!J:J, "Done", 'Sprint 2'!P:P)</f>
        <v>128</v>
      </c>
      <c r="F7" s="217"/>
    </row>
    <row r="8" ht="22.5" customHeight="1">
      <c r="C8" s="249"/>
      <c r="E8" s="249"/>
      <c r="F8" s="224"/>
    </row>
    <row r="9" ht="22.5" customHeight="1">
      <c r="A9" s="218" t="s">
        <v>256</v>
      </c>
      <c r="C9" s="218" t="s">
        <v>10799</v>
      </c>
      <c r="F9" s="252" t="s">
        <v>10800</v>
      </c>
    </row>
    <row r="10" ht="22.5" customHeight="1">
      <c r="A10" s="218" t="s">
        <v>258</v>
      </c>
      <c r="C10" s="218" t="s">
        <v>10801</v>
      </c>
      <c r="F10" s="253" t="s">
        <v>10800</v>
      </c>
    </row>
    <row r="11" ht="22.5" customHeight="1">
      <c r="A11" s="218"/>
      <c r="C11" s="218"/>
      <c r="E11" s="254"/>
      <c r="F11" s="254"/>
    </row>
    <row r="12" ht="22.5" customHeight="1">
      <c r="A12" s="218" t="s">
        <v>30</v>
      </c>
      <c r="B12" s="248">
        <f>IFERROR(__xludf.DUMMYFUNCTION("IFERROR(SUM(FILTER('Sprint 2'!O:O, ('Sprint 2'!E:E = ""Aek:Atiphat Nanthachitvanich""))),0)"),16.0)</f>
        <v>16</v>
      </c>
      <c r="C12" s="249">
        <f>IFERROR(__xludf.DUMMYFUNCTION("IFERROR(SUM(FILTER('Sprint 2'!P:P, ('Sprint 2'!E:E = ""Aek:Atiphat Nanthachitvanich""))),0)"),34.0)</f>
        <v>34</v>
      </c>
      <c r="D12" s="248">
        <f>IFERROR(__xludf.DUMMYFUNCTION("IFERROR(SUM(FILTER('Sprint 2'!O:O, (('Sprint 2'!J:J = ""Done"")) * ('Sprint 2'!E:E = ""Aek:Atiphat Nanthachitvanich""))),0)"),13.0)</f>
        <v>13</v>
      </c>
      <c r="E12" s="249">
        <f>IFERROR(__xludf.DUMMYFUNCTION("IFERROR(SUM(FILTER('Sprint 2'!P:P, (('Sprint 2'!J:J = ""Done"")) * ('Sprint 2'!E:E = ""Aek:Atiphat Nanthachitvanich""))),0)"),26.0)</f>
        <v>26</v>
      </c>
      <c r="F12" s="224"/>
    </row>
    <row r="13" ht="22.5" customHeight="1">
      <c r="A13" s="218" t="s">
        <v>32</v>
      </c>
      <c r="B13" s="248">
        <f>IFERROR(__xludf.DUMMYFUNCTION("IFERROR(SUM(FILTER('Sprint 2'!O:O, ('Sprint 2'!E:E = ""A:Phongthorn""))),0)"),13.0)</f>
        <v>13</v>
      </c>
      <c r="C13" s="249">
        <f>IFERROR(__xludf.DUMMYFUNCTION("IFERROR(SUM(FILTER('Sprint 2'!P:P, ('Sprint 2'!E:E = ""A:Phongthorn""))),0)"),44.0)</f>
        <v>44</v>
      </c>
      <c r="D13" s="248">
        <f>IFERROR(__xludf.DUMMYFUNCTION("IFERROR(SUM(FILTER('Sprint 2'!O:O, (('Sprint 2'!J:J = ""Done"")) * ('Sprint 2'!E:E = ""A:Phongthorn""))),0)"),0.0)</f>
        <v>0</v>
      </c>
      <c r="E13" s="249">
        <f>IFERROR(__xludf.DUMMYFUNCTION("IFERROR(SUM(FILTER('Sprint 2'!P:P, (('Sprint 2'!J:J = ""Done"")) * ('Sprint 2'!E:E = ""A:Phongthorn""))),0)"),0.0)</f>
        <v>0</v>
      </c>
      <c r="F13" s="224"/>
    </row>
    <row r="14" ht="22.5" customHeight="1">
      <c r="A14" s="218" t="s">
        <v>72</v>
      </c>
      <c r="B14" s="248">
        <f>IFERROR(__xludf.DUMMYFUNCTION("IFERROR(SUM(FILTER('Sprint 2'!O:O, ('Sprint 2'!E:E = ""Aom: Pornsawan Polnyiem""))),0)"),21.0)</f>
        <v>21</v>
      </c>
      <c r="C14" s="249">
        <f>IFERROR(__xludf.DUMMYFUNCTION("IFERROR(SUM(FILTER('Sprint 2'!P:P, ('Sprint 2'!E:E = ""Aom: Pornsawan Polnyiem""))),0)"),64.0)</f>
        <v>64</v>
      </c>
      <c r="D14" s="248">
        <f>IFERROR(__xludf.DUMMYFUNCTION("IFERROR(SUM(FILTER('Sprint 2'!O:O, (('Sprint 2'!J:J = ""Done"")) * ('Sprint 2'!E:E = ""Aom: Pornsawan Polnyiem""))),0)"),16.0)</f>
        <v>16</v>
      </c>
      <c r="E14" s="249">
        <f>IFERROR(__xludf.DUMMYFUNCTION("IFERROR(SUM(FILTER('Sprint 2'!P:P, (('Sprint 2'!J:J = ""Done"")) * ('Sprint 2'!E:E = ""Aom: Pornsawan Polnyiem""))),0)"),52.0)</f>
        <v>52</v>
      </c>
      <c r="F14" s="224"/>
    </row>
    <row r="15" ht="22.5" customHeight="1">
      <c r="A15" s="218" t="s">
        <v>24</v>
      </c>
      <c r="B15" s="248">
        <f>IFERROR(__xludf.DUMMYFUNCTION("IFERROR(SUM(FILTER('Sprint 2'!O:O, ('Sprint 2'!E:E = ""Zan : Isarapong Bulan""))),0)"),17.0)</f>
        <v>17</v>
      </c>
      <c r="C15" s="249">
        <f>IFERROR(__xludf.DUMMYFUNCTION("IFERROR(SUM(FILTER('Sprint 2'!P:P, ('Sprint 2'!E:E = ""Zan : Isarapong Bulan""))),0)"),44.0)</f>
        <v>44</v>
      </c>
      <c r="D15" s="248">
        <f>IFERROR(__xludf.DUMMYFUNCTION("IFERROR(SUM(FILTER('Sprint 2'!O:O, (('Sprint 2'!J:J = ""Done"")) * ('Sprint 2'!E:E = ""Zan : Isarapong Bulan""))),0)"),5.0)</f>
        <v>5</v>
      </c>
      <c r="E15" s="249">
        <f>IFERROR(__xludf.DUMMYFUNCTION("IFERROR(SUM(FILTER('Sprint 2'!P:P, (('Sprint 2'!J:J = ""Done"")) * ('Sprint 2'!E:E = ""Zan : Isarapong Bulan""))),0)"),12.0)</f>
        <v>12</v>
      </c>
      <c r="F15" s="224"/>
    </row>
    <row r="16" ht="22.5" customHeight="1">
      <c r="A16" s="218" t="s">
        <v>10802</v>
      </c>
      <c r="B16" s="248">
        <f>IFERROR(__xludf.DUMMYFUNCTION("IFERROR(SUM(FILTER('Sprint 2'!O:O, ('Sprint 2'!E:E = ""Wassana Mokman""))),0)"),6.0)</f>
        <v>6</v>
      </c>
      <c r="C16" s="249">
        <f>IFERROR(__xludf.DUMMYFUNCTION("IFERROR(SUM(FILTER('Sprint 2'!P:P, ('Sprint 2'!E:E = ""Wassana Mokman""))),0)"),16.0)</f>
        <v>16</v>
      </c>
      <c r="D16" s="248">
        <f>IFERROR(__xludf.DUMMYFUNCTION("IFERROR(SUM(FILTER('Sprint 2'!O:O, (('Sprint 2'!J:J = ""Done"")) * ('Sprint 2'!E:E = ""Wassana Mokman""))),0)"),0.0)</f>
        <v>0</v>
      </c>
      <c r="E16" s="249">
        <f>IFERROR(__xludf.DUMMYFUNCTION("IFERROR(SUM(FILTER('Sprint 2'!P:P, (('Sprint 2'!J:J = ""Done"")) * ('Sprint 2'!E:E = ""Wassana Mokman""))),0)"),0.0)</f>
        <v>0</v>
      </c>
      <c r="F16" s="224"/>
    </row>
    <row r="17" ht="22.5" customHeight="1">
      <c r="A17" s="218" t="s">
        <v>73</v>
      </c>
      <c r="B17" s="248">
        <f>IFERROR(__xludf.DUMMYFUNCTION("IFERROR(SUM(FILTER('Sprint 2'!O:O, ('Sprint 2'!E:E = ""Mai:Sateta Abvanawong""))),0)"),10.0)</f>
        <v>10</v>
      </c>
      <c r="C17" s="249">
        <f>IFERROR(__xludf.DUMMYFUNCTION("IFERROR(SUM(FILTER('Sprint 2'!P:P, ('Sprint 2'!E:E = ""Mai:Sateta Abvanawong""))),0)"),48.0)</f>
        <v>48</v>
      </c>
      <c r="D17" s="248">
        <f>IFERROR(__xludf.DUMMYFUNCTION("IFERROR(SUM(FILTER('Sprint 2'!O:O, (('Sprint 2'!J:J = ""Done"")) * ('Sprint 2'!E:E = ""Mai:Sateta Abvanawong""))),0)"),0.0)</f>
        <v>0</v>
      </c>
      <c r="E17" s="249">
        <f>IFERROR(__xludf.DUMMYFUNCTION("IFERROR(SUM(FILTER('Sprint 2'!P:P, (('Sprint 2'!J:J = ""Done"")) * ('Sprint 2'!E:E = ""Mai:Sateta Abvanawong""))),0)"),0.0)</f>
        <v>0</v>
      </c>
      <c r="F17" s="224"/>
    </row>
    <row r="18" ht="22.5" customHeight="1">
      <c r="A18" s="218" t="s">
        <v>74</v>
      </c>
      <c r="B18" s="248">
        <f>IFERROR(__xludf.DUMMYFUNCTION("IFERROR(SUM(FILTER('Sprint 2'!O:O, ('Sprint 2'!E:E = ""Jarupong Pawichpongkul""))),0)"),10.0)</f>
        <v>10</v>
      </c>
      <c r="C18" s="249">
        <f>IFERROR(__xludf.DUMMYFUNCTION("IFERROR(SUM(FILTER('Sprint 2'!P:P, ('Sprint 2'!E:E = ""Jarupong Pawichpongkul""))),0)"),48.0)</f>
        <v>48</v>
      </c>
      <c r="D18" s="248">
        <f>IFERROR(__xludf.DUMMYFUNCTION("IFERROR(SUM(FILTER('Sprint 2'!O:O, (('Sprint 2'!J:J = ""Done"")) * ('Sprint 2'!E:E = ""Jarupong Pawichpongkul""))),0)"),0.0)</f>
        <v>0</v>
      </c>
      <c r="E18" s="249">
        <f>IFERROR(__xludf.DUMMYFUNCTION("IFERROR(SUM(FILTER('Sprint 2'!P:P, (('Sprint 2'!J:J = ""Done"")) * ('Sprint 2'!E:E = ""Jarupong Pawichpongkul""))),0)"),0.0)</f>
        <v>0</v>
      </c>
      <c r="F18" s="224"/>
    </row>
    <row r="19" ht="22.5" customHeight="1">
      <c r="A19" s="218" t="s">
        <v>10788</v>
      </c>
      <c r="B19" s="248">
        <f>IFERROR(__xludf.DUMMYFUNCTION("IFERROR(SUM(FILTER('Sprint 2'!O:O, ('Sprint 2'!E:E = ""nattapon napasai""))),0)"),11.0)</f>
        <v>11</v>
      </c>
      <c r="C19" s="249">
        <f>IFERROR(__xludf.DUMMYFUNCTION("IFERROR(SUM(FILTER('Sprint 2'!P:P, ('Sprint 2'!E:E = ""nattapon napasai""))),0)"),38.0)</f>
        <v>38</v>
      </c>
      <c r="D19" s="248">
        <f>IFERROR(__xludf.DUMMYFUNCTION("IFERROR(SUM(FILTER('Sprint 2'!O:O, (('Sprint 2'!J:J = ""Done"")) * ('Sprint 2'!E:E = ""nattapon napasai""))),0)"),2.0)</f>
        <v>2</v>
      </c>
      <c r="E19" s="249">
        <f>IFERROR(__xludf.DUMMYFUNCTION("IFERROR(SUM(FILTER('Sprint 2'!P:P, (('Sprint 2'!J:J = ""Done"")) * ('Sprint 2'!E:E = ""nattapon napasai""))),0)"),4.0)</f>
        <v>4</v>
      </c>
      <c r="F19" s="224"/>
    </row>
    <row r="20" ht="22.5" customHeight="1">
      <c r="A20" s="218" t="s">
        <v>75</v>
      </c>
      <c r="B20" s="248">
        <f>IFERROR(__xludf.DUMMYFUNCTION("IFERROR(SUM(FILTER('Sprint 2'!O:O, ('Sprint 2'!E:E = ""Kittapath Sangvikukit""))),0)"),7.0)</f>
        <v>7</v>
      </c>
      <c r="C20" s="249">
        <f>IFERROR(__xludf.DUMMYFUNCTION("IFERROR(SUM(FILTER('Sprint 2'!P:P, ('Sprint 2'!E:E = ""Kittapath Sangvikukit""))),0)"),18.0)</f>
        <v>18</v>
      </c>
      <c r="D20" s="248">
        <f>IFERROR(__xludf.DUMMYFUNCTION("IFERROR(SUM(FILTER('Sprint 2'!O:O, (('Sprint 2'!J:J = ""Done"")) * ('Sprint 2'!E:E = ""Kittapath Sangvikukit""))),0)"),0.0)</f>
        <v>0</v>
      </c>
      <c r="E20" s="249">
        <f>IFERROR(__xludf.DUMMYFUNCTION("IFERROR(SUM(FILTER('Sprint 2'!P:P, (('Sprint 2'!J:J = ""Done"")) * ('Sprint 2'!E:E = ""Kittapath Sangvikukit""))),0)"),0.0)</f>
        <v>0</v>
      </c>
      <c r="F20" s="224"/>
    </row>
    <row r="21" ht="22.5" customHeight="1">
      <c r="A21" s="218" t="s">
        <v>28</v>
      </c>
      <c r="B21" s="248">
        <f>IFERROR(__xludf.DUMMYFUNCTION("IFERROR(SUM(FILTER('Sprint 2'!O:O, ('Sprint 2'!E:E = ""Warin Kesorn""))),0)"),8.0)</f>
        <v>8</v>
      </c>
      <c r="C21" s="249">
        <f>IFERROR(__xludf.DUMMYFUNCTION("IFERROR(SUM(FILTER('Sprint 2'!P:P, ('Sprint 2'!E:E = ""Warin Kesorn""))),0)"),32.0)</f>
        <v>32</v>
      </c>
      <c r="D21" s="248">
        <f>IFERROR(__xludf.DUMMYFUNCTION("IFERROR(SUM(FILTER('Sprint 2'!O:O, (('Sprint 2'!J:J = ""Done"")) * ('Sprint 2'!E:E = ""Warin Kesorn""))),0)"),8.0)</f>
        <v>8</v>
      </c>
      <c r="E21" s="249">
        <f>IFERROR(__xludf.DUMMYFUNCTION("IFERROR(SUM(FILTER('Sprint 2'!P:P, (('Sprint 2'!J:J = ""Done"")) * ('Sprint 2'!E:E = ""Warin Kesorn""))),0)"),32.0)</f>
        <v>32</v>
      </c>
      <c r="F21" s="224"/>
    </row>
    <row r="22" ht="22.5" customHeight="1">
      <c r="A22" s="218" t="s">
        <v>10789</v>
      </c>
      <c r="B22" s="248">
        <f>IFERROR(__xludf.DUMMYFUNCTION("IFERROR(SUM(FILTER('Sprint 2'!O:O, ('Sprint 2'!E:E = ""thanyapath sunthornchaisadom""))),0)"),7.0)</f>
        <v>7</v>
      </c>
      <c r="C22" s="249">
        <f>IFERROR(__xludf.DUMMYFUNCTION("IFERROR(SUM(FILTER('Sprint 2'!P:P, ('Sprint 2'!E:E = ""thanyapath sunthornchaisadom""))),0)"),18.0)</f>
        <v>18</v>
      </c>
      <c r="D22" s="248">
        <f>IFERROR(__xludf.DUMMYFUNCTION("IFERROR(SUM(FILTER('Sprint 2'!O:O, (('Sprint 2'!J:J = ""Done"")) * ('Sprint 2'!E:E = ""thanyapath sunthornchaisadom""))),0)"),1.0)</f>
        <v>1</v>
      </c>
      <c r="E22" s="249">
        <f>IFERROR(__xludf.DUMMYFUNCTION("IFERROR(SUM(FILTER('Sprint 2'!P:P, (('Sprint 2'!J:J = ""Done"")) * ('Sprint 2'!E:E = ""thanyapath sunthornchaisadom""))),0)"),2.0)</f>
        <v>2</v>
      </c>
      <c r="F22" s="224"/>
    </row>
    <row r="24">
      <c r="A24" s="102" t="s">
        <v>10790</v>
      </c>
    </row>
    <row r="25">
      <c r="A25" s="250" t="s">
        <v>10791</v>
      </c>
      <c r="B25" s="250">
        <v>1.0</v>
      </c>
      <c r="C25" s="251">
        <v>2.0</v>
      </c>
      <c r="D25" s="251">
        <v>3.0</v>
      </c>
      <c r="E25" s="251">
        <v>5.0</v>
      </c>
      <c r="F25" s="251">
        <v>8.0</v>
      </c>
    </row>
    <row r="26">
      <c r="A26" s="250" t="s">
        <v>10792</v>
      </c>
      <c r="B26" s="250" t="s">
        <v>10793</v>
      </c>
      <c r="C26" s="251" t="s">
        <v>10794</v>
      </c>
      <c r="D26" s="251" t="s">
        <v>10795</v>
      </c>
      <c r="E26" s="251" t="s">
        <v>10796</v>
      </c>
      <c r="F26" s="251" t="s">
        <v>10797</v>
      </c>
    </row>
  </sheetData>
  <hyperlinks>
    <hyperlink r:id="rId1" location="%F0%9F%86%95-Any-mid-sprint-cards%3F-Why-were-they-added%3F-%2C-why-need-to-accept%3F" ref="F9"/>
    <hyperlink r:id="rId2" location="%F0%9F%94%84-Any-requirement-changes-after-refinement%3F" ref="F10"/>
  </hyperlinks>
  <drawing r:id="rId3"/>
  <tableParts count="1">
    <tablePart r:id="rId5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17.75"/>
    <col customWidth="1" min="3" max="3" width="16.75"/>
    <col customWidth="1" min="4" max="4" width="16.0"/>
    <col customWidth="1" min="5" max="5" width="17.5"/>
    <col customWidth="1" min="6" max="6" width="11.38"/>
  </cols>
  <sheetData>
    <row r="1" ht="22.5" customHeight="1">
      <c r="A1" s="211" t="s">
        <v>244</v>
      </c>
      <c r="B1" s="211" t="s">
        <v>245</v>
      </c>
      <c r="C1" s="211" t="s">
        <v>246</v>
      </c>
      <c r="D1" s="211" t="s">
        <v>247</v>
      </c>
      <c r="E1" s="211" t="s">
        <v>248</v>
      </c>
      <c r="F1" s="214" t="s">
        <v>6</v>
      </c>
    </row>
    <row r="2" ht="22.5" customHeight="1">
      <c r="A2" s="215" t="s">
        <v>10803</v>
      </c>
      <c r="C2" s="218"/>
      <c r="D2" s="218"/>
      <c r="E2" s="218"/>
      <c r="F2" s="217"/>
    </row>
    <row r="3" ht="22.5" customHeight="1">
      <c r="A3" s="218" t="s">
        <v>249</v>
      </c>
      <c r="C3" s="218">
        <v>554.25</v>
      </c>
      <c r="D3" s="218"/>
      <c r="E3" s="218"/>
      <c r="F3" s="217"/>
    </row>
    <row r="4" ht="22.5" customHeight="1">
      <c r="A4" s="218" t="s">
        <v>250</v>
      </c>
      <c r="C4" s="218"/>
      <c r="D4" s="218"/>
      <c r="E4" s="218"/>
      <c r="F4" s="217"/>
    </row>
    <row r="5" ht="22.5" customHeight="1">
      <c r="A5" s="218" t="s">
        <v>252</v>
      </c>
      <c r="C5" s="218">
        <v>25.9</v>
      </c>
      <c r="F5" s="224"/>
    </row>
    <row r="6" ht="22.5" customHeight="1">
      <c r="A6" s="218" t="s">
        <v>253</v>
      </c>
      <c r="C6" s="218">
        <v>28.0</v>
      </c>
      <c r="F6" s="221" t="s">
        <v>10804</v>
      </c>
    </row>
    <row r="7" ht="22.5" customHeight="1">
      <c r="A7" s="218" t="s">
        <v>255</v>
      </c>
      <c r="B7" s="248">
        <f>SUM('Sprint 1'!O:O)</f>
        <v>157</v>
      </c>
      <c r="C7" s="218">
        <f>SUM('Sprint 1'!P:P)</f>
        <v>514</v>
      </c>
      <c r="D7" s="248">
        <f>SUMIF('Sprint 1'!J:J, "Done", 'Sprint 1'!O:O)</f>
        <v>152</v>
      </c>
      <c r="E7" s="249">
        <f>SUMIF('Sprint 1'!J:J, "Done", 'Sprint 1'!P:P)</f>
        <v>490</v>
      </c>
      <c r="F7" s="224"/>
    </row>
    <row r="8" ht="22.5" customHeight="1">
      <c r="C8" s="249"/>
      <c r="D8" s="249"/>
      <c r="E8" s="249"/>
      <c r="F8" s="224"/>
    </row>
    <row r="9" ht="28.5" customHeight="1">
      <c r="A9" s="218" t="s">
        <v>256</v>
      </c>
      <c r="C9" s="218" t="s">
        <v>10805</v>
      </c>
      <c r="F9" s="252" t="s">
        <v>10800</v>
      </c>
    </row>
    <row r="10" ht="28.5" customHeight="1">
      <c r="A10" s="218" t="s">
        <v>258</v>
      </c>
      <c r="C10" s="218" t="s">
        <v>10801</v>
      </c>
      <c r="F10" s="255" t="s">
        <v>10800</v>
      </c>
    </row>
    <row r="11" ht="28.5" customHeight="1">
      <c r="A11" s="218"/>
      <c r="C11" s="218"/>
      <c r="F11" s="254"/>
    </row>
    <row r="12" ht="22.5" customHeight="1">
      <c r="A12" s="218" t="s">
        <v>30</v>
      </c>
      <c r="B12" s="248">
        <f>IFERROR(__xludf.DUMMYFUNCTION("IFERROR(SUM(FILTER('Sprint 1'!O:O, ('Sprint 1'!E:E = ""Aek:Atiphat Nanthachitvanich""))),0)"),38.0)</f>
        <v>38</v>
      </c>
      <c r="C12" s="249">
        <f>IFERROR(__xludf.DUMMYFUNCTION("IFERROR(SUM(FILTER('Sprint 1'!P:P, ('Sprint 1'!E:E = ""Aek:Atiphat Nanthachitvanich""))),0)"),108.0)</f>
        <v>108</v>
      </c>
      <c r="D12" s="248">
        <f>IFERROR(__xludf.DUMMYFUNCTION("IFERROR(SUM(FILTER('Sprint 1'!O:O, (('Sprint 1'!J:J = ""Done"")) * ('Sprint 1'!E:E = ""Aek:Atiphat Nanthachitvanich""))),0)"),38.0)</f>
        <v>38</v>
      </c>
      <c r="E12" s="249">
        <f>IFERROR(__xludf.DUMMYFUNCTION("IFERROR(SUM(FILTER('Sprint 1'!P:P, (('Sprint 1'!J:J = ""Done"")) * ('Sprint 1'!E:E = ""Aek:Atiphat Nanthachitvanich""))),0)"),108.0)</f>
        <v>108</v>
      </c>
      <c r="F12" s="224"/>
    </row>
    <row r="13" ht="22.5" customHeight="1">
      <c r="A13" s="218" t="s">
        <v>32</v>
      </c>
      <c r="B13" s="248">
        <f>IFERROR(__xludf.DUMMYFUNCTION("IFERROR(SUM(FILTER('Sprint 1'!O:O, ('Sprint 1'!E:E = ""A:Phongthorn""))),0)"),13.0)</f>
        <v>13</v>
      </c>
      <c r="C13" s="249">
        <f>IFERROR(__xludf.DUMMYFUNCTION("IFERROR(SUM(FILTER('Sprint 1'!P:P, ('Sprint 1'!E:E = ""A:Phongthorn""))),0)"),56.0)</f>
        <v>56</v>
      </c>
      <c r="D13" s="248">
        <f>IFERROR(__xludf.DUMMYFUNCTION("IFERROR(SUM(FILTER('Sprint 1'!O:O, (('Sprint 1'!J:J = ""Done"")) * ('Sprint 1'!E:E = ""A:Phongthorn""))),0)"),13.0)</f>
        <v>13</v>
      </c>
      <c r="E13" s="249">
        <f>IFERROR(__xludf.DUMMYFUNCTION("IFERROR(SUM(FILTER('Sprint 1'!P:P, (('Sprint 1'!J:J = ""Done"")) * ('Sprint 1'!E:E = ""A:Phongthorn""))),0)"),56.0)</f>
        <v>56</v>
      </c>
      <c r="F13" s="224"/>
    </row>
    <row r="14" ht="22.5" customHeight="1">
      <c r="A14" s="218" t="s">
        <v>72</v>
      </c>
      <c r="B14" s="248">
        <f>IFERROR(__xludf.DUMMYFUNCTION("IFERROR(SUM(FILTER('Sprint 1'!O:O, ('Sprint 1'!E:E = ""Aom: Pornsawan Polnyiem""))),0)"),9.0)</f>
        <v>9</v>
      </c>
      <c r="C14" s="249">
        <f>IFERROR(__xludf.DUMMYFUNCTION("IFERROR(SUM(FILTER('Sprint 1'!P:P, ('Sprint 1'!E:E = ""Aom: Pornsawan Polnyiem""))),0)"),20.0)</f>
        <v>20</v>
      </c>
      <c r="D14" s="248">
        <f>IFERROR(__xludf.DUMMYFUNCTION("IFERROR(SUM(FILTER('Sprint 1'!O:O, (('Sprint 1'!J:J = ""Done"")) * ('Sprint 1'!E:E = ""Aom: Pornsawan Polnyiem""))),0)"),9.0)</f>
        <v>9</v>
      </c>
      <c r="E14" s="249">
        <f>IFERROR(__xludf.DUMMYFUNCTION("IFERROR(SUM(FILTER('Sprint 1'!P:P, (('Sprint 1'!J:J = ""Done"")) * ('Sprint 1'!E:E = ""Aom: Pornsawan Polnyiem""))),0)"),20.0)</f>
        <v>20</v>
      </c>
      <c r="F14" s="224"/>
    </row>
    <row r="15" ht="22.5" customHeight="1">
      <c r="A15" s="218" t="s">
        <v>24</v>
      </c>
      <c r="B15" s="248">
        <f>IFERROR(__xludf.DUMMYFUNCTION("IFERROR(SUM(FILTER('Sprint 1'!O:O, ('Sprint 1'!E:E = ""Zan : Isarapong Bulan""))),0)"),24.0)</f>
        <v>24</v>
      </c>
      <c r="C15" s="249">
        <f>IFERROR(__xludf.DUMMYFUNCTION("IFERROR(SUM(FILTER('Sprint 1'!P:P, ('Sprint 1'!E:E = ""Zan : Isarapong Bulan""))),0)"),76.0)</f>
        <v>76</v>
      </c>
      <c r="D15" s="248">
        <f>IFERROR(__xludf.DUMMYFUNCTION("IFERROR(SUM(FILTER('Sprint 1'!O:O, (('Sprint 1'!J:J = ""Done"")) * ('Sprint 1'!E:E = ""Zan : Isarapong Bulan""))),0)"),24.0)</f>
        <v>24</v>
      </c>
      <c r="E15" s="249">
        <f>IFERROR(__xludf.DUMMYFUNCTION("IFERROR(SUM(FILTER('Sprint 1'!P:P, (('Sprint 1'!J:J = ""Done"")) * ('Sprint 1'!E:E = ""Zan : Isarapong Bulan""))),0)"),76.0)</f>
        <v>76</v>
      </c>
      <c r="F15" s="224"/>
    </row>
    <row r="16" ht="22.5" customHeight="1">
      <c r="A16" s="218" t="s">
        <v>10802</v>
      </c>
      <c r="B16" s="248">
        <f>IFERROR(__xludf.DUMMYFUNCTION("IFERROR(SUM(FILTER('Sprint 1'!O:O, ('Sprint 1'!E:E = ""Wassana Mokman""))),0)"),10.0)</f>
        <v>10</v>
      </c>
      <c r="C16" s="249">
        <f>IFERROR(__xludf.DUMMYFUNCTION("IFERROR(SUM(FILTER('Sprint 1'!P:P, ('Sprint 1'!E:E = ""Wassana Mokman""))),0)"),26.0)</f>
        <v>26</v>
      </c>
      <c r="D16" s="248">
        <f>IFERROR(__xludf.DUMMYFUNCTION("IFERROR(SUM(FILTER('Sprint 1'!O:O, (('Sprint 1'!J:J = ""Done"")) * ('Sprint 1'!E:E = ""Wassana Mokman""))),0)"),10.0)</f>
        <v>10</v>
      </c>
      <c r="E16" s="249">
        <f>IFERROR(__xludf.DUMMYFUNCTION("IFERROR(SUM(FILTER('Sprint 1'!P:P, (('Sprint 1'!J:J = ""Done"")) * ('Sprint 1'!E:E = ""Wassana Mokman""))),0)"),26.0)</f>
        <v>26</v>
      </c>
      <c r="F16" s="224"/>
    </row>
    <row r="17" ht="22.5" customHeight="1">
      <c r="A17" s="218" t="s">
        <v>73</v>
      </c>
      <c r="B17" s="248">
        <f>IFERROR(__xludf.DUMMYFUNCTION("IFERROR(SUM(FILTER('Sprint 1'!O:O, ('Sprint 1'!E:E = ""Mai:Sateta Abvanawong""))),0)"),9.0)</f>
        <v>9</v>
      </c>
      <c r="C17" s="249">
        <f>IFERROR(__xludf.DUMMYFUNCTION("IFERROR(SUM(FILTER('Sprint 1'!P:P, ('Sprint 1'!E:E = ""Mai:Sateta Abvanawong""))),0)"),24.0)</f>
        <v>24</v>
      </c>
      <c r="D17" s="248">
        <f>IFERROR(__xludf.DUMMYFUNCTION("IFERROR(SUM(FILTER('Sprint 1'!O:O, (('Sprint 1'!J:J = ""Done"")) * ('Sprint 1'!E:E = ""Mai:Sateta Abvanawong""))),0)"),9.0)</f>
        <v>9</v>
      </c>
      <c r="E17" s="249">
        <f>IFERROR(__xludf.DUMMYFUNCTION("IFERROR(SUM(FILTER('Sprint 1'!P:P, (('Sprint 1'!J:J = ""Done"")) * ('Sprint 1'!E:E = ""Mai:Sateta Abvanawong""))),0)"),24.0)</f>
        <v>24</v>
      </c>
      <c r="F17" s="224"/>
    </row>
    <row r="18" ht="22.5" customHeight="1">
      <c r="A18" s="218" t="s">
        <v>74</v>
      </c>
      <c r="B18" s="248">
        <f>IFERROR(__xludf.DUMMYFUNCTION("IFERROR(SUM(FILTER('Sprint 1'!O:O, ('Sprint 1'!E:E = ""Jarupong Pawichpongkul""))),0)"),13.0)</f>
        <v>13</v>
      </c>
      <c r="C18" s="249">
        <f>IFERROR(__xludf.DUMMYFUNCTION("IFERROR(SUM(FILTER('Sprint 1'!P:P, ('Sprint 1'!E:E = ""Jarupong Pawichpongkul""))),0)"),56.0)</f>
        <v>56</v>
      </c>
      <c r="D18" s="248">
        <f>IFERROR(__xludf.DUMMYFUNCTION("IFERROR(SUM(FILTER('Sprint 1'!O:O, (('Sprint 1'!J:J = ""Done"")) * ('Sprint 1'!E:E = ""Jarupong Pawichpongkul""))),0)"),13.0)</f>
        <v>13</v>
      </c>
      <c r="E18" s="249">
        <f>IFERROR(__xludf.DUMMYFUNCTION("IFERROR(SUM(FILTER('Sprint 1'!P:P, (('Sprint 1'!J:J = ""Done"")) * ('Sprint 1'!E:E = ""Jarupong Pawichpongkul""))),0)"),56.0)</f>
        <v>56</v>
      </c>
      <c r="F18" s="224"/>
    </row>
    <row r="19" ht="22.5" customHeight="1">
      <c r="A19" s="218" t="s">
        <v>10788</v>
      </c>
      <c r="B19" s="248">
        <f>IFERROR(__xludf.DUMMYFUNCTION("IFERROR(SUM(FILTER('Sprint 1'!O:O, ('Sprint 1'!E:E = ""nattapon napasai""))),0)"),10.0)</f>
        <v>10</v>
      </c>
      <c r="C19" s="249">
        <f>IFERROR(__xludf.DUMMYFUNCTION("IFERROR(SUM(FILTER('Sprint 1'!P:P, ('Sprint 1'!E:E = ""nattapon napasai""))),0)"),48.0)</f>
        <v>48</v>
      </c>
      <c r="D19" s="248">
        <f>IFERROR(__xludf.DUMMYFUNCTION("IFERROR(SUM(FILTER('Sprint 1'!O:O, (('Sprint 1'!J:J = ""Done"")) * ('Sprint 1'!E:E = ""nattapon napasai""))),0)"),5.0)</f>
        <v>5</v>
      </c>
      <c r="E19" s="249">
        <f>IFERROR(__xludf.DUMMYFUNCTION("IFERROR(SUM(FILTER('Sprint 1'!P:P, (('Sprint 1'!J:J = ""Done"")) * ('Sprint 1'!E:E = ""nattapon napasai""))),0)"),24.0)</f>
        <v>24</v>
      </c>
      <c r="F19" s="224"/>
    </row>
    <row r="20" ht="22.5" customHeight="1">
      <c r="A20" s="218" t="s">
        <v>75</v>
      </c>
      <c r="B20" s="248">
        <f>IFERROR(__xludf.DUMMYFUNCTION("IFERROR(SUM(FILTER('Sprint 1'!O:O, ('Sprint 1'!E:E = ""Kittapath Sangvikukit""))),0)"),4.0)</f>
        <v>4</v>
      </c>
      <c r="C20" s="249">
        <f>IFERROR(__xludf.DUMMYFUNCTION("IFERROR(SUM(FILTER('Sprint 1'!P:P, ('Sprint 1'!E:E = ""Kittapath Sangvikukit""))),0)"),8.0)</f>
        <v>8</v>
      </c>
      <c r="D20" s="248">
        <f>IFERROR(__xludf.DUMMYFUNCTION("IFERROR(SUM(FILTER('Sprint 1'!O:O, (('Sprint 1'!J:J = ""Done"")) * ('Sprint 1'!E:E = ""Kittapath Sangvikukit""))),0)"),4.0)</f>
        <v>4</v>
      </c>
      <c r="E20" s="249">
        <f>IFERROR(__xludf.DUMMYFUNCTION("IFERROR(SUM(FILTER('Sprint 1'!P:P, (('Sprint 1'!J:J = ""Done"")) * ('Sprint 1'!E:E = ""Kittapath Sangvikukit""))),0)"),8.0)</f>
        <v>8</v>
      </c>
      <c r="F20" s="224"/>
    </row>
    <row r="21" ht="22.5" customHeight="1">
      <c r="A21" s="218" t="s">
        <v>28</v>
      </c>
      <c r="B21" s="248">
        <f>IFERROR(__xludf.DUMMYFUNCTION("IFERROR(SUM(FILTER('Sprint 1'!O:O, ('Sprint 1'!E:E = ""Warin Kesorn""))),0)"),8.0)</f>
        <v>8</v>
      </c>
      <c r="C21" s="249">
        <f>IFERROR(__xludf.DUMMYFUNCTION("IFERROR(SUM(FILTER('Sprint 1'!P:P, ('Sprint 1'!E:E = ""Warin Kesorn""))),0)"),32.0)</f>
        <v>32</v>
      </c>
      <c r="D21" s="248">
        <f>IFERROR(__xludf.DUMMYFUNCTION("IFERROR(SUM(FILTER('Sprint 1'!O:O, (('Sprint 1'!J:J = ""Done"")) * ('Sprint 1'!E:E = ""Warin Kesorn""))),0)"),8.0)</f>
        <v>8</v>
      </c>
      <c r="E21" s="249">
        <f>IFERROR(__xludf.DUMMYFUNCTION("IFERROR(SUM(FILTER('Sprint 1'!P:P, (('Sprint 1'!J:J = ""Done"")) * ('Sprint 1'!E:E = ""Warin Kesorn""))),0)"),32.0)</f>
        <v>32</v>
      </c>
      <c r="F21" s="224"/>
    </row>
    <row r="22" ht="22.5" customHeight="1">
      <c r="A22" s="218" t="s">
        <v>10789</v>
      </c>
      <c r="B22" s="248">
        <f>IFERROR(__xludf.DUMMYFUNCTION("IFERROR(SUM(FILTER('Sprint 1'!O:O, ('Sprint 1'!E:E = ""thanyapath sunthornchaisadom""))),0)"),6.0)</f>
        <v>6</v>
      </c>
      <c r="C22" s="249">
        <f>IFERROR(__xludf.DUMMYFUNCTION("IFERROR(SUM(FILTER('Sprint 1'!P:P, ('Sprint 1'!E:E = ""thanyapath sunthornchaisadom""))),0)"),16.0)</f>
        <v>16</v>
      </c>
      <c r="D22" s="248">
        <f>IFERROR(__xludf.DUMMYFUNCTION("IFERROR(SUM(FILTER('Sprint 1'!O:O, (('Sprint 1'!J:J = ""Done"")) * ('Sprint 1'!E:E = ""thanyapath sunthornchaisadom""))),0)"),6.0)</f>
        <v>6</v>
      </c>
      <c r="E22" s="249">
        <f>IFERROR(__xludf.DUMMYFUNCTION("IFERROR(SUM(FILTER('Sprint 1'!P:P, (('Sprint 1'!J:J = ""Done"")) * ('Sprint 1'!E:E = ""thanyapath sunthornchaisadom""))),0)"),16.0)</f>
        <v>16</v>
      </c>
      <c r="F22" s="224"/>
    </row>
    <row r="24">
      <c r="A24" s="102" t="s">
        <v>10790</v>
      </c>
    </row>
    <row r="25">
      <c r="A25" s="250" t="s">
        <v>10791</v>
      </c>
      <c r="B25" s="250">
        <v>1.0</v>
      </c>
      <c r="C25" s="251">
        <v>2.0</v>
      </c>
      <c r="D25" s="251">
        <v>3.0</v>
      </c>
      <c r="E25" s="251">
        <v>5.0</v>
      </c>
      <c r="F25" s="251">
        <v>8.0</v>
      </c>
    </row>
    <row r="26">
      <c r="A26" s="250" t="s">
        <v>10792</v>
      </c>
      <c r="B26" s="250" t="s">
        <v>10793</v>
      </c>
      <c r="C26" s="251" t="s">
        <v>10794</v>
      </c>
      <c r="D26" s="251" t="s">
        <v>10795</v>
      </c>
      <c r="E26" s="251" t="s">
        <v>10796</v>
      </c>
      <c r="F26" s="251" t="s">
        <v>10797</v>
      </c>
    </row>
  </sheetData>
  <hyperlinks>
    <hyperlink r:id="rId1" location="%F0%9F%86%95-Any-mid-sprint-cards%3F-Why-were-they-added%3F" ref="F9"/>
    <hyperlink r:id="rId2" location="%F0%9F%94%84-Any-requirement-changes-after-refinement%3F" ref="F10"/>
  </hyperlinks>
  <drawing r:id="rId3"/>
  <tableParts count="1">
    <tablePart r:id="rId5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18.5"/>
    <col customWidth="1" min="20" max="20" width="23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275</v>
      </c>
      <c r="S1" s="149" t="s">
        <v>3245</v>
      </c>
      <c r="T1" s="115" t="s">
        <v>6</v>
      </c>
      <c r="U1" s="88"/>
      <c r="V1" s="88"/>
      <c r="W1" s="88"/>
      <c r="X1" s="88"/>
      <c r="Y1" s="88"/>
      <c r="Z1" s="88"/>
    </row>
    <row r="2">
      <c r="A2" s="102" t="s">
        <v>4410</v>
      </c>
      <c r="B2" s="102" t="s">
        <v>10806</v>
      </c>
      <c r="C2" s="229" t="s">
        <v>10807</v>
      </c>
      <c r="D2" s="102" t="s">
        <v>10808</v>
      </c>
      <c r="E2" s="102" t="s">
        <v>282</v>
      </c>
      <c r="F2" s="102" t="s">
        <v>283</v>
      </c>
      <c r="G2" s="102" t="s">
        <v>282</v>
      </c>
      <c r="H2" s="102" t="s">
        <v>283</v>
      </c>
      <c r="I2" s="102" t="s">
        <v>284</v>
      </c>
      <c r="J2" s="102" t="s">
        <v>34</v>
      </c>
      <c r="L2" s="229" t="s">
        <v>10809</v>
      </c>
      <c r="M2" s="229" t="s">
        <v>10810</v>
      </c>
      <c r="O2" s="102">
        <v>1.0</v>
      </c>
      <c r="P2" s="102" t="s">
        <v>4656</v>
      </c>
      <c r="Q2" s="102" t="s">
        <v>10811</v>
      </c>
      <c r="R2" s="230"/>
      <c r="S2" s="193" t="str">
        <f>IF(ISNUMBER(MATCH(B2, 'Sprint 3'!B:B, 0)), "มาจาก Sprint 3", "")</f>
        <v/>
      </c>
    </row>
    <row r="3">
      <c r="A3" s="102" t="s">
        <v>276</v>
      </c>
      <c r="B3" s="102" t="s">
        <v>10812</v>
      </c>
      <c r="C3" s="229" t="s">
        <v>10813</v>
      </c>
      <c r="D3" s="102" t="s">
        <v>347</v>
      </c>
      <c r="E3" s="102" t="s">
        <v>280</v>
      </c>
      <c r="F3" s="102" t="s">
        <v>281</v>
      </c>
      <c r="G3" s="102" t="s">
        <v>280</v>
      </c>
      <c r="H3" s="102" t="s">
        <v>281</v>
      </c>
      <c r="I3" s="102" t="s">
        <v>284</v>
      </c>
      <c r="J3" s="102" t="s">
        <v>26</v>
      </c>
      <c r="L3" s="229" t="s">
        <v>10814</v>
      </c>
      <c r="M3" s="229" t="s">
        <v>10815</v>
      </c>
      <c r="O3" s="230"/>
      <c r="R3" s="230"/>
      <c r="S3" s="193" t="str">
        <f>IF(ISNUMBER(MATCH(B3, 'Sprint 3'!B:B, 0)), "มาจาก Sprint 3", "")</f>
        <v/>
      </c>
    </row>
    <row r="4">
      <c r="A4" s="102" t="s">
        <v>276</v>
      </c>
      <c r="B4" s="102" t="s">
        <v>10816</v>
      </c>
      <c r="C4" s="229" t="s">
        <v>10817</v>
      </c>
      <c r="D4" s="102" t="s">
        <v>347</v>
      </c>
      <c r="E4" s="102" t="s">
        <v>280</v>
      </c>
      <c r="F4" s="102" t="s">
        <v>281</v>
      </c>
      <c r="G4" s="102" t="s">
        <v>280</v>
      </c>
      <c r="H4" s="102" t="s">
        <v>281</v>
      </c>
      <c r="I4" s="102" t="s">
        <v>284</v>
      </c>
      <c r="J4" s="102" t="s">
        <v>26</v>
      </c>
      <c r="L4" s="229" t="s">
        <v>10818</v>
      </c>
      <c r="M4" s="229" t="s">
        <v>10819</v>
      </c>
      <c r="O4" s="230"/>
      <c r="R4" s="230"/>
      <c r="S4" s="193" t="str">
        <f>IF(ISNUMBER(MATCH(B4, 'Sprint 3'!B:B, 0)), "มาจาก Sprint 3", "")</f>
        <v/>
      </c>
    </row>
    <row r="5">
      <c r="A5" s="102" t="s">
        <v>276</v>
      </c>
      <c r="B5" s="102" t="s">
        <v>10820</v>
      </c>
      <c r="C5" s="229" t="s">
        <v>10821</v>
      </c>
      <c r="D5" s="102" t="s">
        <v>347</v>
      </c>
      <c r="E5" s="102" t="s">
        <v>280</v>
      </c>
      <c r="F5" s="102" t="s">
        <v>281</v>
      </c>
      <c r="G5" s="102" t="s">
        <v>280</v>
      </c>
      <c r="H5" s="102" t="s">
        <v>281</v>
      </c>
      <c r="I5" s="102" t="s">
        <v>284</v>
      </c>
      <c r="J5" s="102" t="s">
        <v>26</v>
      </c>
      <c r="L5" s="229" t="s">
        <v>10818</v>
      </c>
      <c r="M5" s="229" t="s">
        <v>10822</v>
      </c>
      <c r="O5" s="102"/>
      <c r="R5" s="102"/>
      <c r="S5" s="193" t="str">
        <f>IF(ISNUMBER(MATCH(B5, 'Sprint 3'!B:B, 0)), "มาจาก Sprint 3", "")</f>
        <v/>
      </c>
    </row>
    <row r="6">
      <c r="A6" s="102" t="s">
        <v>4410</v>
      </c>
      <c r="B6" s="102" t="s">
        <v>10823</v>
      </c>
      <c r="C6" s="229" t="s">
        <v>10824</v>
      </c>
      <c r="D6" s="102" t="s">
        <v>10825</v>
      </c>
      <c r="E6" s="102" t="s">
        <v>282</v>
      </c>
      <c r="F6" s="102" t="s">
        <v>283</v>
      </c>
      <c r="G6" s="102" t="s">
        <v>282</v>
      </c>
      <c r="H6" s="102" t="s">
        <v>283</v>
      </c>
      <c r="I6" s="102" t="s">
        <v>284</v>
      </c>
      <c r="J6" s="102" t="s">
        <v>26</v>
      </c>
      <c r="L6" s="229" t="s">
        <v>10826</v>
      </c>
      <c r="M6" s="229" t="s">
        <v>10827</v>
      </c>
      <c r="O6" s="102">
        <v>2.0</v>
      </c>
      <c r="P6" s="102" t="s">
        <v>4656</v>
      </c>
      <c r="R6" s="102">
        <v>120.0</v>
      </c>
      <c r="S6" s="193" t="str">
        <f>IF(ISNUMBER(MATCH(B6, 'Sprint 3'!B:B, 0)), "มาจาก Sprint 3", "")</f>
        <v/>
      </c>
    </row>
    <row r="7">
      <c r="A7" s="102" t="s">
        <v>332</v>
      </c>
      <c r="B7" s="102" t="s">
        <v>10828</v>
      </c>
      <c r="C7" s="229" t="s">
        <v>10829</v>
      </c>
      <c r="D7" s="102" t="s">
        <v>10830</v>
      </c>
      <c r="E7" s="102" t="s">
        <v>556</v>
      </c>
      <c r="F7" s="102" t="s">
        <v>557</v>
      </c>
      <c r="G7" s="102" t="s">
        <v>280</v>
      </c>
      <c r="H7" s="102" t="s">
        <v>281</v>
      </c>
      <c r="I7" s="102" t="s">
        <v>284</v>
      </c>
      <c r="J7" s="102" t="s">
        <v>336</v>
      </c>
      <c r="L7" s="229" t="s">
        <v>10831</v>
      </c>
      <c r="M7" s="229" t="s">
        <v>10832</v>
      </c>
      <c r="O7" s="230"/>
      <c r="R7" s="230"/>
      <c r="S7" s="193" t="str">
        <f>IF(ISNUMBER(MATCH(B7, 'Sprint 3'!B:B, 0)), "มาจาก Sprint 3", "")</f>
        <v/>
      </c>
    </row>
    <row r="8">
      <c r="A8" s="102" t="s">
        <v>276</v>
      </c>
      <c r="B8" s="102" t="s">
        <v>10058</v>
      </c>
      <c r="C8" s="229" t="s">
        <v>10059</v>
      </c>
      <c r="D8" s="102" t="s">
        <v>777</v>
      </c>
      <c r="E8" s="102"/>
      <c r="F8" s="102"/>
      <c r="G8" s="102" t="s">
        <v>282</v>
      </c>
      <c r="H8" s="102" t="s">
        <v>283</v>
      </c>
      <c r="I8" s="102" t="s">
        <v>284</v>
      </c>
      <c r="J8" s="102" t="s">
        <v>355</v>
      </c>
      <c r="L8" s="229" t="s">
        <v>10060</v>
      </c>
      <c r="M8" s="229" t="s">
        <v>10833</v>
      </c>
      <c r="O8" s="230"/>
      <c r="R8" s="230"/>
      <c r="S8" s="193" t="str">
        <f>IF(ISNUMBER(MATCH(B8, 'Sprint 3'!B:B, 0)), "มาจาก Sprint 3", "")</f>
        <v/>
      </c>
    </row>
    <row r="9">
      <c r="A9" s="102" t="s">
        <v>276</v>
      </c>
      <c r="B9" s="102" t="s">
        <v>10063</v>
      </c>
      <c r="C9" s="229" t="s">
        <v>10064</v>
      </c>
      <c r="D9" s="102" t="s">
        <v>10065</v>
      </c>
      <c r="E9" s="102" t="s">
        <v>282</v>
      </c>
      <c r="F9" s="102" t="s">
        <v>283</v>
      </c>
      <c r="G9" s="102" t="s">
        <v>282</v>
      </c>
      <c r="H9" s="102" t="s">
        <v>283</v>
      </c>
      <c r="I9" s="102" t="s">
        <v>284</v>
      </c>
      <c r="J9" s="102" t="s">
        <v>26</v>
      </c>
      <c r="L9" s="229" t="s">
        <v>10060</v>
      </c>
      <c r="M9" s="229" t="s">
        <v>10066</v>
      </c>
      <c r="O9" s="102"/>
      <c r="R9" s="102"/>
      <c r="S9" s="193" t="str">
        <f>IF(ISNUMBER(MATCH(B9, 'Sprint 3'!B:B, 0)), "มาจาก Sprint 3", "")</f>
        <v/>
      </c>
    </row>
    <row r="10">
      <c r="A10" s="102" t="s">
        <v>310</v>
      </c>
      <c r="B10" s="102" t="s">
        <v>10834</v>
      </c>
      <c r="C10" s="229" t="s">
        <v>10835</v>
      </c>
      <c r="D10" s="102" t="s">
        <v>10836</v>
      </c>
      <c r="E10" s="102" t="s">
        <v>282</v>
      </c>
      <c r="F10" s="102" t="s">
        <v>283</v>
      </c>
      <c r="G10" s="102" t="s">
        <v>282</v>
      </c>
      <c r="H10" s="102" t="s">
        <v>283</v>
      </c>
      <c r="I10" s="102" t="s">
        <v>284</v>
      </c>
      <c r="J10" s="102" t="s">
        <v>26</v>
      </c>
      <c r="L10" s="229" t="s">
        <v>10837</v>
      </c>
      <c r="M10" s="229" t="s">
        <v>10838</v>
      </c>
      <c r="O10" s="102">
        <v>2.0</v>
      </c>
      <c r="R10" s="102">
        <v>12600.0</v>
      </c>
      <c r="S10" s="193" t="str">
        <f>IF(ISNUMBER(MATCH(B10, 'Sprint 3'!B:B, 0)), "มาจาก Sprint 3", "")</f>
        <v/>
      </c>
    </row>
    <row r="11">
      <c r="A11" s="102" t="s">
        <v>4410</v>
      </c>
      <c r="B11" s="102" t="s">
        <v>9075</v>
      </c>
      <c r="C11" s="229" t="s">
        <v>9076</v>
      </c>
      <c r="D11" s="102" t="s">
        <v>9077</v>
      </c>
      <c r="E11" s="102" t="s">
        <v>353</v>
      </c>
      <c r="F11" s="102" t="s">
        <v>354</v>
      </c>
      <c r="G11" s="102" t="s">
        <v>353</v>
      </c>
      <c r="H11" s="102" t="s">
        <v>354</v>
      </c>
      <c r="I11" s="102" t="s">
        <v>284</v>
      </c>
      <c r="J11" s="102" t="s">
        <v>63</v>
      </c>
      <c r="L11" s="229" t="s">
        <v>9078</v>
      </c>
      <c r="M11" s="229" t="s">
        <v>10839</v>
      </c>
      <c r="O11" s="230"/>
      <c r="R11" s="230"/>
      <c r="S11" s="193" t="str">
        <f>IF(ISNUMBER(MATCH(B11, 'Sprint 3'!B:B, 0)), "มาจาก Sprint 3", "")</f>
        <v/>
      </c>
    </row>
    <row r="12">
      <c r="A12" s="102" t="s">
        <v>332</v>
      </c>
      <c r="B12" s="102" t="s">
        <v>10840</v>
      </c>
      <c r="C12" s="229" t="s">
        <v>10841</v>
      </c>
      <c r="D12" s="102" t="s">
        <v>10842</v>
      </c>
      <c r="E12" s="102" t="s">
        <v>10234</v>
      </c>
      <c r="F12" s="102" t="s">
        <v>565</v>
      </c>
      <c r="G12" s="102" t="s">
        <v>391</v>
      </c>
      <c r="H12" s="102" t="s">
        <v>392</v>
      </c>
      <c r="I12" s="102" t="s">
        <v>284</v>
      </c>
      <c r="J12" s="102" t="s">
        <v>2318</v>
      </c>
      <c r="L12" s="229" t="s">
        <v>10843</v>
      </c>
      <c r="M12" s="229" t="s">
        <v>10844</v>
      </c>
      <c r="O12" s="230"/>
      <c r="R12" s="230"/>
      <c r="S12" s="193" t="str">
        <f>IF(ISNUMBER(MATCH(B12, 'Sprint 3'!B:B, 0)), "มาจาก Sprint 3", "")</f>
        <v/>
      </c>
    </row>
    <row r="13">
      <c r="A13" s="102" t="s">
        <v>276</v>
      </c>
      <c r="B13" s="102" t="s">
        <v>10845</v>
      </c>
      <c r="C13" s="229" t="s">
        <v>10846</v>
      </c>
      <c r="D13" s="102" t="s">
        <v>1567</v>
      </c>
      <c r="E13" s="102" t="s">
        <v>391</v>
      </c>
      <c r="F13" s="102" t="s">
        <v>392</v>
      </c>
      <c r="G13" s="102" t="s">
        <v>391</v>
      </c>
      <c r="H13" s="102" t="s">
        <v>392</v>
      </c>
      <c r="I13" s="102" t="s">
        <v>284</v>
      </c>
      <c r="J13" s="102" t="s">
        <v>26</v>
      </c>
      <c r="L13" s="229" t="s">
        <v>10847</v>
      </c>
      <c r="M13" s="229" t="s">
        <v>10848</v>
      </c>
      <c r="O13" s="230"/>
      <c r="R13" s="230"/>
      <c r="S13" s="193" t="str">
        <f>IF(ISNUMBER(MATCH(B13, 'Sprint 3'!B:B, 0)), "มาจาก Sprint 3", "")</f>
        <v/>
      </c>
    </row>
    <row r="14">
      <c r="A14" s="102" t="s">
        <v>276</v>
      </c>
      <c r="B14" s="102" t="s">
        <v>10849</v>
      </c>
      <c r="C14" s="229" t="s">
        <v>10850</v>
      </c>
      <c r="D14" s="102" t="s">
        <v>1567</v>
      </c>
      <c r="E14" s="102" t="s">
        <v>391</v>
      </c>
      <c r="F14" s="102" t="s">
        <v>392</v>
      </c>
      <c r="G14" s="102" t="s">
        <v>391</v>
      </c>
      <c r="H14" s="102" t="s">
        <v>392</v>
      </c>
      <c r="I14" s="102" t="s">
        <v>284</v>
      </c>
      <c r="J14" s="102" t="s">
        <v>26</v>
      </c>
      <c r="L14" s="229" t="s">
        <v>10851</v>
      </c>
      <c r="M14" s="229" t="s">
        <v>10852</v>
      </c>
      <c r="O14" s="230"/>
      <c r="R14" s="230"/>
      <c r="S14" s="193" t="str">
        <f>IF(ISNUMBER(MATCH(B14, 'Sprint 3'!B:B, 0)), "มาจาก Sprint 3", "")</f>
        <v/>
      </c>
    </row>
    <row r="15">
      <c r="A15" s="102" t="s">
        <v>332</v>
      </c>
      <c r="B15" s="102" t="s">
        <v>10853</v>
      </c>
      <c r="C15" s="229" t="s">
        <v>10854</v>
      </c>
      <c r="D15" s="102" t="s">
        <v>10855</v>
      </c>
      <c r="E15" s="102" t="s">
        <v>495</v>
      </c>
      <c r="F15" s="102" t="s">
        <v>496</v>
      </c>
      <c r="G15" s="102" t="s">
        <v>280</v>
      </c>
      <c r="H15" s="102" t="s">
        <v>281</v>
      </c>
      <c r="I15" s="102" t="s">
        <v>284</v>
      </c>
      <c r="J15" s="102" t="s">
        <v>336</v>
      </c>
      <c r="L15" s="229" t="s">
        <v>10856</v>
      </c>
      <c r="M15" s="229" t="s">
        <v>10857</v>
      </c>
      <c r="O15" s="102"/>
      <c r="R15" s="230"/>
      <c r="S15" s="193" t="str">
        <f>IF(ISNUMBER(MATCH(B15, 'Sprint 3'!B:B, 0)), "มาจาก Sprint 3", "")</f>
        <v/>
      </c>
    </row>
    <row r="16">
      <c r="A16" s="102" t="s">
        <v>310</v>
      </c>
      <c r="B16" s="102" t="s">
        <v>10858</v>
      </c>
      <c r="C16" s="229" t="s">
        <v>10859</v>
      </c>
      <c r="D16" s="102" t="s">
        <v>10860</v>
      </c>
      <c r="E16" s="102" t="s">
        <v>513</v>
      </c>
      <c r="F16" s="102" t="s">
        <v>514</v>
      </c>
      <c r="G16" s="102" t="s">
        <v>314</v>
      </c>
      <c r="H16" s="102" t="s">
        <v>315</v>
      </c>
      <c r="I16" s="102" t="s">
        <v>284</v>
      </c>
      <c r="J16" s="102" t="s">
        <v>34</v>
      </c>
      <c r="L16" s="229" t="s">
        <v>10861</v>
      </c>
      <c r="M16" s="229" t="s">
        <v>10862</v>
      </c>
      <c r="O16" s="102">
        <v>1.0</v>
      </c>
      <c r="R16" s="230"/>
      <c r="S16" s="193" t="str">
        <f>IF(ISNUMBER(MATCH(B16, 'Sprint 3'!B:B, 0)), "มาจาก Sprint 3", "")</f>
        <v/>
      </c>
    </row>
    <row r="17">
      <c r="A17" s="102" t="s">
        <v>310</v>
      </c>
      <c r="B17" s="102" t="s">
        <v>10863</v>
      </c>
      <c r="C17" s="229" t="s">
        <v>10864</v>
      </c>
      <c r="D17" s="102" t="s">
        <v>10865</v>
      </c>
      <c r="E17" s="102" t="s">
        <v>314</v>
      </c>
      <c r="F17" s="102" t="s">
        <v>315</v>
      </c>
      <c r="G17" s="102" t="s">
        <v>314</v>
      </c>
      <c r="H17" s="102" t="s">
        <v>315</v>
      </c>
      <c r="I17" s="102" t="s">
        <v>284</v>
      </c>
      <c r="J17" s="102" t="s">
        <v>34</v>
      </c>
      <c r="L17" s="229" t="s">
        <v>10866</v>
      </c>
      <c r="M17" s="229" t="s">
        <v>10867</v>
      </c>
      <c r="O17" s="102">
        <v>1.0</v>
      </c>
      <c r="R17" s="102">
        <v>7200.0</v>
      </c>
      <c r="S17" s="193" t="str">
        <f>IF(ISNUMBER(MATCH(B17, 'Sprint 3'!B:B, 0)), "มาจาก Sprint 3", "")</f>
        <v/>
      </c>
    </row>
    <row r="18">
      <c r="A18" s="102" t="s">
        <v>310</v>
      </c>
      <c r="B18" s="102" t="s">
        <v>10868</v>
      </c>
      <c r="C18" s="229" t="s">
        <v>10869</v>
      </c>
      <c r="D18" s="102" t="s">
        <v>10870</v>
      </c>
      <c r="E18" s="102" t="s">
        <v>314</v>
      </c>
      <c r="F18" s="102" t="s">
        <v>315</v>
      </c>
      <c r="G18" s="102" t="s">
        <v>314</v>
      </c>
      <c r="H18" s="102" t="s">
        <v>315</v>
      </c>
      <c r="I18" s="102" t="s">
        <v>284</v>
      </c>
      <c r="J18" s="102" t="s">
        <v>26</v>
      </c>
      <c r="L18" s="229" t="s">
        <v>10871</v>
      </c>
      <c r="M18" s="229" t="s">
        <v>10872</v>
      </c>
      <c r="N18" s="102"/>
      <c r="O18" s="102">
        <v>1.0</v>
      </c>
      <c r="R18" s="102">
        <v>5400.0</v>
      </c>
      <c r="S18" s="193" t="str">
        <f>IF(ISNUMBER(MATCH(B18, 'Sprint 3'!B:B, 0)), "มาจาก Sprint 3", "")</f>
        <v/>
      </c>
    </row>
    <row r="19">
      <c r="A19" s="102" t="s">
        <v>332</v>
      </c>
      <c r="B19" s="102" t="s">
        <v>10873</v>
      </c>
      <c r="C19" s="229" t="s">
        <v>10874</v>
      </c>
      <c r="D19" s="102" t="s">
        <v>10875</v>
      </c>
      <c r="E19" s="102" t="s">
        <v>556</v>
      </c>
      <c r="F19" s="102" t="s">
        <v>557</v>
      </c>
      <c r="G19" s="102" t="s">
        <v>316</v>
      </c>
      <c r="H19" s="102" t="s">
        <v>317</v>
      </c>
      <c r="I19" s="102" t="s">
        <v>284</v>
      </c>
      <c r="J19" s="102" t="s">
        <v>336</v>
      </c>
      <c r="L19" s="229" t="s">
        <v>10876</v>
      </c>
      <c r="M19" s="229" t="s">
        <v>10832</v>
      </c>
      <c r="N19" s="229" t="s">
        <v>10877</v>
      </c>
      <c r="O19" s="230"/>
      <c r="R19" s="230"/>
      <c r="S19" s="193" t="str">
        <f>IF(ISNUMBER(MATCH(B19, 'Sprint 3'!B:B, 0)), "มาจาก Sprint 3", "")</f>
        <v/>
      </c>
    </row>
    <row r="20">
      <c r="A20" s="102" t="s">
        <v>310</v>
      </c>
      <c r="B20" s="102" t="s">
        <v>10067</v>
      </c>
      <c r="C20" s="229" t="s">
        <v>10068</v>
      </c>
      <c r="D20" s="102" t="s">
        <v>10069</v>
      </c>
      <c r="E20" s="102" t="s">
        <v>513</v>
      </c>
      <c r="F20" s="102" t="s">
        <v>514</v>
      </c>
      <c r="G20" s="102" t="s">
        <v>316</v>
      </c>
      <c r="H20" s="102" t="s">
        <v>317</v>
      </c>
      <c r="I20" s="102" t="s">
        <v>515</v>
      </c>
      <c r="J20" s="102" t="s">
        <v>355</v>
      </c>
      <c r="L20" s="229" t="s">
        <v>10070</v>
      </c>
      <c r="M20" s="229" t="s">
        <v>10878</v>
      </c>
      <c r="N20" s="229" t="s">
        <v>10071</v>
      </c>
      <c r="O20" s="230"/>
      <c r="R20" s="230"/>
      <c r="S20" s="193" t="str">
        <f>IF(ISNUMBER(MATCH(B20, 'Sprint 3'!B:B, 0)), "มาจาก Sprint 3", "")</f>
        <v/>
      </c>
    </row>
    <row r="21">
      <c r="A21" s="102" t="s">
        <v>276</v>
      </c>
      <c r="B21" s="102" t="s">
        <v>10879</v>
      </c>
      <c r="C21" s="229" t="s">
        <v>10880</v>
      </c>
      <c r="D21" s="102" t="s">
        <v>1567</v>
      </c>
      <c r="G21" s="102" t="s">
        <v>391</v>
      </c>
      <c r="H21" s="102" t="s">
        <v>392</v>
      </c>
      <c r="I21" s="102" t="s">
        <v>284</v>
      </c>
      <c r="J21" s="102" t="s">
        <v>26</v>
      </c>
      <c r="L21" s="229" t="s">
        <v>10881</v>
      </c>
      <c r="M21" s="229" t="s">
        <v>10882</v>
      </c>
      <c r="O21" s="230"/>
      <c r="R21" s="230"/>
      <c r="S21" s="193" t="str">
        <f>IF(ISNUMBER(MATCH(B21, 'Sprint 3'!B:B, 0)), "มาจาก Sprint 3", "")</f>
        <v/>
      </c>
    </row>
    <row r="22">
      <c r="A22" s="102" t="s">
        <v>276</v>
      </c>
      <c r="B22" s="102" t="s">
        <v>10883</v>
      </c>
      <c r="C22" s="229" t="s">
        <v>10884</v>
      </c>
      <c r="D22" s="102" t="s">
        <v>1567</v>
      </c>
      <c r="E22" s="102"/>
      <c r="F22" s="102"/>
      <c r="G22" s="102" t="s">
        <v>391</v>
      </c>
      <c r="H22" s="102" t="s">
        <v>392</v>
      </c>
      <c r="I22" s="102" t="s">
        <v>284</v>
      </c>
      <c r="J22" s="102" t="s">
        <v>26</v>
      </c>
      <c r="L22" s="229" t="s">
        <v>10885</v>
      </c>
      <c r="M22" s="229" t="s">
        <v>10885</v>
      </c>
      <c r="O22" s="230"/>
      <c r="R22" s="230"/>
      <c r="S22" s="193" t="str">
        <f>IF(ISNUMBER(MATCH(B22, 'Sprint 3'!B:B, 0)), "มาจาก Sprint 3", "")</f>
        <v/>
      </c>
    </row>
    <row r="23">
      <c r="A23" s="102" t="s">
        <v>4410</v>
      </c>
      <c r="B23" s="102" t="s">
        <v>10886</v>
      </c>
      <c r="C23" s="229" t="s">
        <v>10887</v>
      </c>
      <c r="D23" s="102" t="s">
        <v>10888</v>
      </c>
      <c r="E23" s="102" t="s">
        <v>353</v>
      </c>
      <c r="F23" s="102" t="s">
        <v>354</v>
      </c>
      <c r="G23" s="102" t="s">
        <v>353</v>
      </c>
      <c r="H23" s="102" t="s">
        <v>354</v>
      </c>
      <c r="I23" s="102" t="s">
        <v>284</v>
      </c>
      <c r="J23" s="102" t="s">
        <v>26</v>
      </c>
      <c r="L23" s="229" t="s">
        <v>10889</v>
      </c>
      <c r="M23" s="229" t="s">
        <v>10890</v>
      </c>
      <c r="O23" s="230"/>
      <c r="R23" s="230"/>
      <c r="S23" s="193" t="str">
        <f>IF(ISNUMBER(MATCH(B23, 'Sprint 3'!B:B, 0)), "มาจาก Sprint 3", "")</f>
        <v/>
      </c>
    </row>
    <row r="24">
      <c r="A24" s="102" t="s">
        <v>276</v>
      </c>
      <c r="B24" s="102" t="s">
        <v>10891</v>
      </c>
      <c r="C24" s="229" t="s">
        <v>10892</v>
      </c>
      <c r="D24" s="102" t="s">
        <v>10893</v>
      </c>
      <c r="E24" s="102" t="s">
        <v>521</v>
      </c>
      <c r="F24" s="102" t="s">
        <v>522</v>
      </c>
      <c r="G24" s="102" t="s">
        <v>521</v>
      </c>
      <c r="H24" s="102" t="s">
        <v>522</v>
      </c>
      <c r="I24" s="102" t="s">
        <v>284</v>
      </c>
      <c r="J24" s="102" t="s">
        <v>26</v>
      </c>
      <c r="L24" s="229" t="s">
        <v>10894</v>
      </c>
      <c r="M24" s="229" t="s">
        <v>10895</v>
      </c>
      <c r="O24" s="102"/>
      <c r="R24" s="102"/>
      <c r="S24" s="193" t="str">
        <f>IF(ISNUMBER(MATCH(B24, 'Sprint 3'!B:B, 0)), "มาจาก Sprint 3", "")</f>
        <v/>
      </c>
    </row>
    <row r="25">
      <c r="A25" s="102" t="s">
        <v>4410</v>
      </c>
      <c r="B25" s="102" t="s">
        <v>10896</v>
      </c>
      <c r="C25" s="229" t="s">
        <v>10897</v>
      </c>
      <c r="D25" s="102" t="s">
        <v>10898</v>
      </c>
      <c r="E25" s="102" t="s">
        <v>282</v>
      </c>
      <c r="F25" s="102" t="s">
        <v>283</v>
      </c>
      <c r="G25" s="102" t="s">
        <v>282</v>
      </c>
      <c r="H25" s="102" t="s">
        <v>283</v>
      </c>
      <c r="I25" s="102" t="s">
        <v>318</v>
      </c>
      <c r="J25" s="102" t="s">
        <v>26</v>
      </c>
      <c r="L25" s="229" t="s">
        <v>10899</v>
      </c>
      <c r="M25" s="229" t="s">
        <v>10827</v>
      </c>
      <c r="O25" s="102">
        <v>1.0</v>
      </c>
      <c r="P25" s="102" t="s">
        <v>4656</v>
      </c>
      <c r="R25" s="102">
        <v>180.0</v>
      </c>
      <c r="S25" s="193" t="str">
        <f>IF(ISNUMBER(MATCH(B25, 'Sprint 3'!B:B, 0)), "มาจาก Sprint 3", "")</f>
        <v/>
      </c>
    </row>
    <row r="26">
      <c r="A26" s="102" t="s">
        <v>276</v>
      </c>
      <c r="B26" s="102" t="s">
        <v>10900</v>
      </c>
      <c r="C26" s="229" t="s">
        <v>10901</v>
      </c>
      <c r="D26" s="102" t="s">
        <v>347</v>
      </c>
      <c r="E26" s="102" t="s">
        <v>521</v>
      </c>
      <c r="F26" s="102" t="s">
        <v>522</v>
      </c>
      <c r="G26" s="102" t="s">
        <v>521</v>
      </c>
      <c r="H26" s="102" t="s">
        <v>522</v>
      </c>
      <c r="I26" s="102" t="s">
        <v>284</v>
      </c>
      <c r="J26" s="102" t="s">
        <v>63</v>
      </c>
      <c r="L26" s="229" t="s">
        <v>10902</v>
      </c>
      <c r="M26" s="229" t="s">
        <v>10902</v>
      </c>
      <c r="O26" s="230"/>
      <c r="R26" s="230"/>
      <c r="S26" s="193" t="str">
        <f>IF(ISNUMBER(MATCH(B26, 'Sprint 3'!B:B, 0)), "มาจาก Sprint 3", "")</f>
        <v/>
      </c>
    </row>
    <row r="27">
      <c r="A27" s="102" t="s">
        <v>276</v>
      </c>
      <c r="B27" s="102" t="s">
        <v>10685</v>
      </c>
      <c r="C27" s="229" t="s">
        <v>10686</v>
      </c>
      <c r="D27" s="102" t="s">
        <v>347</v>
      </c>
      <c r="E27" s="102" t="s">
        <v>521</v>
      </c>
      <c r="F27" s="102" t="s">
        <v>522</v>
      </c>
      <c r="G27" s="102" t="s">
        <v>521</v>
      </c>
      <c r="H27" s="102" t="s">
        <v>522</v>
      </c>
      <c r="I27" s="102" t="s">
        <v>284</v>
      </c>
      <c r="J27" s="102" t="s">
        <v>63</v>
      </c>
      <c r="L27" s="229" t="s">
        <v>10688</v>
      </c>
      <c r="M27" s="229" t="s">
        <v>10688</v>
      </c>
      <c r="O27" s="102"/>
      <c r="R27" s="230"/>
      <c r="S27" s="193" t="str">
        <f>IF(ISNUMBER(MATCH(B27, 'Sprint 3'!B:B, 0)), "มาจาก Sprint 3", "")</f>
        <v/>
      </c>
    </row>
    <row r="28">
      <c r="A28" s="102" t="s">
        <v>310</v>
      </c>
      <c r="B28" s="102" t="s">
        <v>10903</v>
      </c>
      <c r="C28" s="229" t="s">
        <v>10904</v>
      </c>
      <c r="D28" s="102" t="s">
        <v>10905</v>
      </c>
      <c r="E28" s="102" t="s">
        <v>282</v>
      </c>
      <c r="F28" s="102" t="s">
        <v>283</v>
      </c>
      <c r="G28" s="102" t="s">
        <v>282</v>
      </c>
      <c r="H28" s="102" t="s">
        <v>283</v>
      </c>
      <c r="I28" s="102" t="s">
        <v>284</v>
      </c>
      <c r="J28" s="102" t="s">
        <v>34</v>
      </c>
      <c r="L28" s="229" t="s">
        <v>10906</v>
      </c>
      <c r="M28" s="229" t="s">
        <v>10907</v>
      </c>
      <c r="O28" s="102">
        <v>5.0</v>
      </c>
      <c r="P28" s="102"/>
      <c r="R28" s="230"/>
      <c r="S28" s="193" t="str">
        <f>IF(ISNUMBER(MATCH(B28, 'Sprint 3'!B:B, 0)), "มาจาก Sprint 3", "")</f>
        <v/>
      </c>
    </row>
    <row r="29">
      <c r="A29" s="102" t="s">
        <v>332</v>
      </c>
      <c r="B29" s="102" t="s">
        <v>10908</v>
      </c>
      <c r="C29" s="229" t="s">
        <v>10909</v>
      </c>
      <c r="D29" s="102" t="s">
        <v>10910</v>
      </c>
      <c r="E29" s="102" t="s">
        <v>10234</v>
      </c>
      <c r="F29" s="102" t="s">
        <v>565</v>
      </c>
      <c r="G29" s="102" t="s">
        <v>316</v>
      </c>
      <c r="H29" s="102" t="s">
        <v>317</v>
      </c>
      <c r="I29" s="102" t="s">
        <v>515</v>
      </c>
      <c r="J29" s="102" t="s">
        <v>336</v>
      </c>
      <c r="L29" s="229" t="s">
        <v>10911</v>
      </c>
      <c r="M29" s="229" t="s">
        <v>10832</v>
      </c>
      <c r="O29" s="230"/>
      <c r="P29" s="102" t="s">
        <v>368</v>
      </c>
      <c r="R29" s="230"/>
      <c r="S29" s="193" t="str">
        <f>IF(ISNUMBER(MATCH(B29, 'Sprint 3'!B:B, 0)), "มาจาก Sprint 3", "")</f>
        <v/>
      </c>
    </row>
    <row r="30">
      <c r="A30" s="102" t="s">
        <v>276</v>
      </c>
      <c r="B30" s="102" t="s">
        <v>10912</v>
      </c>
      <c r="C30" s="229" t="s">
        <v>10913</v>
      </c>
      <c r="D30" s="102" t="s">
        <v>10914</v>
      </c>
      <c r="E30" s="102"/>
      <c r="F30" s="102"/>
      <c r="G30" s="102" t="s">
        <v>521</v>
      </c>
      <c r="H30" s="102" t="s">
        <v>522</v>
      </c>
      <c r="I30" s="102" t="s">
        <v>284</v>
      </c>
      <c r="J30" s="102" t="s">
        <v>63</v>
      </c>
      <c r="L30" s="229" t="s">
        <v>10915</v>
      </c>
      <c r="M30" s="229" t="s">
        <v>10915</v>
      </c>
      <c r="O30" s="230"/>
      <c r="R30" s="230"/>
      <c r="S30" s="193" t="str">
        <f>IF(ISNUMBER(MATCH(B30, 'Sprint 3'!B:B, 0)), "มาจาก Sprint 3", "")</f>
        <v/>
      </c>
    </row>
    <row r="31">
      <c r="A31" s="102" t="s">
        <v>276</v>
      </c>
      <c r="B31" s="102" t="s">
        <v>10916</v>
      </c>
      <c r="C31" s="229" t="s">
        <v>10917</v>
      </c>
      <c r="D31" s="102" t="s">
        <v>10918</v>
      </c>
      <c r="E31" s="102" t="s">
        <v>521</v>
      </c>
      <c r="F31" s="102" t="s">
        <v>522</v>
      </c>
      <c r="G31" s="102" t="s">
        <v>521</v>
      </c>
      <c r="H31" s="102" t="s">
        <v>522</v>
      </c>
      <c r="I31" s="102" t="s">
        <v>284</v>
      </c>
      <c r="J31" s="102" t="s">
        <v>34</v>
      </c>
      <c r="L31" s="229" t="s">
        <v>10919</v>
      </c>
      <c r="M31" s="229" t="s">
        <v>10920</v>
      </c>
      <c r="O31" s="230"/>
      <c r="R31" s="230"/>
      <c r="S31" s="193" t="str">
        <f>IF(ISNUMBER(MATCH(B31, 'Sprint 3'!B:B, 0)), "มาจาก Sprint 3", "")</f>
        <v/>
      </c>
    </row>
    <row r="32">
      <c r="A32" s="102" t="s">
        <v>276</v>
      </c>
      <c r="B32" s="102" t="s">
        <v>10921</v>
      </c>
      <c r="C32" s="229" t="s">
        <v>10922</v>
      </c>
      <c r="D32" s="102" t="s">
        <v>10923</v>
      </c>
      <c r="E32" s="102"/>
      <c r="F32" s="102"/>
      <c r="G32" s="102" t="s">
        <v>521</v>
      </c>
      <c r="H32" s="102" t="s">
        <v>522</v>
      </c>
      <c r="I32" s="102" t="s">
        <v>284</v>
      </c>
      <c r="J32" s="102" t="s">
        <v>63</v>
      </c>
      <c r="L32" s="229" t="s">
        <v>10924</v>
      </c>
      <c r="M32" s="229" t="s">
        <v>10924</v>
      </c>
      <c r="O32" s="230"/>
      <c r="R32" s="230"/>
      <c r="S32" s="193" t="str">
        <f>IF(ISNUMBER(MATCH(B32, 'Sprint 3'!B:B, 0)), "มาจาก Sprint 3", "")</f>
        <v/>
      </c>
    </row>
    <row r="33">
      <c r="A33" s="102" t="s">
        <v>276</v>
      </c>
      <c r="B33" s="102" t="s">
        <v>10925</v>
      </c>
      <c r="C33" s="229" t="s">
        <v>10926</v>
      </c>
      <c r="D33" s="102" t="s">
        <v>10918</v>
      </c>
      <c r="E33" s="102" t="s">
        <v>521</v>
      </c>
      <c r="F33" s="102" t="s">
        <v>522</v>
      </c>
      <c r="G33" s="102" t="s">
        <v>521</v>
      </c>
      <c r="H33" s="102" t="s">
        <v>522</v>
      </c>
      <c r="I33" s="102" t="s">
        <v>284</v>
      </c>
      <c r="J33" s="102" t="s">
        <v>34</v>
      </c>
      <c r="L33" s="229" t="s">
        <v>10924</v>
      </c>
      <c r="M33" s="229" t="s">
        <v>10920</v>
      </c>
      <c r="O33" s="230"/>
      <c r="R33" s="230"/>
      <c r="S33" s="193" t="str">
        <f>IF(ISNUMBER(MATCH(B33, 'Sprint 3'!B:B, 0)), "มาจาก Sprint 3", "")</f>
        <v/>
      </c>
    </row>
    <row r="34">
      <c r="A34" s="102" t="s">
        <v>276</v>
      </c>
      <c r="B34" s="102" t="s">
        <v>10927</v>
      </c>
      <c r="C34" s="229" t="s">
        <v>10928</v>
      </c>
      <c r="D34" s="102" t="s">
        <v>10929</v>
      </c>
      <c r="E34" s="102"/>
      <c r="F34" s="102"/>
      <c r="G34" s="102" t="s">
        <v>521</v>
      </c>
      <c r="H34" s="102" t="s">
        <v>522</v>
      </c>
      <c r="I34" s="102" t="s">
        <v>284</v>
      </c>
      <c r="J34" s="102" t="s">
        <v>34</v>
      </c>
      <c r="L34" s="229" t="s">
        <v>10930</v>
      </c>
      <c r="M34" s="229" t="s">
        <v>10931</v>
      </c>
      <c r="O34" s="230"/>
      <c r="R34" s="230"/>
      <c r="S34" s="193" t="str">
        <f>IF(ISNUMBER(MATCH(B34, 'Sprint 3'!B:B, 0)), "มาจาก Sprint 3", "")</f>
        <v/>
      </c>
    </row>
    <row r="35">
      <c r="A35" s="102" t="s">
        <v>276</v>
      </c>
      <c r="B35" s="102" t="s">
        <v>10932</v>
      </c>
      <c r="C35" s="229" t="s">
        <v>10933</v>
      </c>
      <c r="D35" s="102" t="s">
        <v>10918</v>
      </c>
      <c r="E35" s="102" t="s">
        <v>521</v>
      </c>
      <c r="F35" s="102" t="s">
        <v>522</v>
      </c>
      <c r="G35" s="102" t="s">
        <v>521</v>
      </c>
      <c r="H35" s="102" t="s">
        <v>522</v>
      </c>
      <c r="I35" s="102" t="s">
        <v>284</v>
      </c>
      <c r="J35" s="102" t="s">
        <v>26</v>
      </c>
      <c r="L35" s="229" t="s">
        <v>10934</v>
      </c>
      <c r="M35" s="229" t="s">
        <v>10931</v>
      </c>
      <c r="O35" s="230"/>
      <c r="P35" s="102"/>
      <c r="R35" s="230"/>
      <c r="S35" s="193" t="str">
        <f>IF(ISNUMBER(MATCH(B35, 'Sprint 3'!B:B, 0)), "มาจาก Sprint 3", "")</f>
        <v/>
      </c>
    </row>
    <row r="36">
      <c r="A36" s="102" t="s">
        <v>310</v>
      </c>
      <c r="B36" s="102" t="s">
        <v>10935</v>
      </c>
      <c r="C36" s="229" t="s">
        <v>10936</v>
      </c>
      <c r="D36" s="102" t="s">
        <v>10937</v>
      </c>
      <c r="E36" s="102" t="s">
        <v>282</v>
      </c>
      <c r="F36" s="102" t="s">
        <v>283</v>
      </c>
      <c r="G36" s="102" t="s">
        <v>316</v>
      </c>
      <c r="H36" s="102" t="s">
        <v>317</v>
      </c>
      <c r="I36" s="102" t="s">
        <v>515</v>
      </c>
      <c r="J36" s="102" t="s">
        <v>26</v>
      </c>
      <c r="L36" s="229" t="s">
        <v>10938</v>
      </c>
      <c r="M36" s="229" t="s">
        <v>10939</v>
      </c>
      <c r="O36" s="230"/>
      <c r="P36" s="102" t="s">
        <v>368</v>
      </c>
      <c r="R36" s="230"/>
      <c r="S36" s="193" t="str">
        <f>IF(ISNUMBER(MATCH(B36, 'Sprint 3'!B:B, 0)), "มาจาก Sprint 3", "")</f>
        <v/>
      </c>
    </row>
    <row r="37">
      <c r="A37" s="102" t="s">
        <v>276</v>
      </c>
      <c r="B37" s="102" t="s">
        <v>10940</v>
      </c>
      <c r="C37" s="229" t="s">
        <v>10941</v>
      </c>
      <c r="D37" s="102" t="s">
        <v>347</v>
      </c>
      <c r="E37" s="102" t="s">
        <v>280</v>
      </c>
      <c r="F37" s="102" t="s">
        <v>281</v>
      </c>
      <c r="G37" s="102" t="s">
        <v>280</v>
      </c>
      <c r="H37" s="102" t="s">
        <v>281</v>
      </c>
      <c r="I37" s="102" t="s">
        <v>284</v>
      </c>
      <c r="J37" s="102" t="s">
        <v>26</v>
      </c>
      <c r="L37" s="229" t="s">
        <v>10363</v>
      </c>
      <c r="M37" s="229" t="s">
        <v>10942</v>
      </c>
      <c r="O37" s="230"/>
      <c r="R37" s="230"/>
      <c r="S37" s="193" t="str">
        <f>IF(ISNUMBER(MATCH(B37, 'Sprint 3'!B:B, 0)), "มาจาก Sprint 3", "")</f>
        <v/>
      </c>
    </row>
    <row r="38">
      <c r="A38" s="102" t="s">
        <v>276</v>
      </c>
      <c r="B38" s="102" t="s">
        <v>10943</v>
      </c>
      <c r="C38" s="229" t="s">
        <v>10944</v>
      </c>
      <c r="D38" s="102" t="s">
        <v>2030</v>
      </c>
      <c r="E38" s="102" t="s">
        <v>280</v>
      </c>
      <c r="F38" s="102" t="s">
        <v>281</v>
      </c>
      <c r="G38" s="102" t="s">
        <v>280</v>
      </c>
      <c r="H38" s="102" t="s">
        <v>281</v>
      </c>
      <c r="I38" s="102" t="s">
        <v>284</v>
      </c>
      <c r="J38" s="102" t="s">
        <v>26</v>
      </c>
      <c r="L38" s="229" t="s">
        <v>10363</v>
      </c>
      <c r="M38" s="229" t="s">
        <v>10945</v>
      </c>
      <c r="O38" s="230"/>
      <c r="R38" s="230"/>
      <c r="S38" s="193" t="str">
        <f>IF(ISNUMBER(MATCH(B38, 'Sprint 3'!B:B, 0)), "มาจาก Sprint 3", "")</f>
        <v/>
      </c>
    </row>
    <row r="39">
      <c r="A39" s="102" t="s">
        <v>276</v>
      </c>
      <c r="B39" s="102" t="s">
        <v>10946</v>
      </c>
      <c r="C39" s="229" t="s">
        <v>10947</v>
      </c>
      <c r="D39" s="102" t="s">
        <v>347</v>
      </c>
      <c r="E39" s="102" t="s">
        <v>280</v>
      </c>
      <c r="F39" s="102" t="s">
        <v>281</v>
      </c>
      <c r="G39" s="102" t="s">
        <v>280</v>
      </c>
      <c r="H39" s="102" t="s">
        <v>281</v>
      </c>
      <c r="I39" s="102" t="s">
        <v>284</v>
      </c>
      <c r="J39" s="102" t="s">
        <v>26</v>
      </c>
      <c r="L39" s="229" t="s">
        <v>10948</v>
      </c>
      <c r="M39" s="229" t="s">
        <v>10949</v>
      </c>
      <c r="O39" s="230"/>
      <c r="R39" s="230"/>
      <c r="S39" s="193" t="str">
        <f>IF(ISNUMBER(MATCH(B39, 'Sprint 3'!B:B, 0)), "มาจาก Sprint 3", "")</f>
        <v/>
      </c>
    </row>
    <row r="40">
      <c r="A40" s="102" t="s">
        <v>276</v>
      </c>
      <c r="B40" s="102" t="s">
        <v>10950</v>
      </c>
      <c r="C40" s="229" t="s">
        <v>10951</v>
      </c>
      <c r="D40" s="102" t="s">
        <v>347</v>
      </c>
      <c r="E40" s="102" t="s">
        <v>280</v>
      </c>
      <c r="F40" s="102" t="s">
        <v>281</v>
      </c>
      <c r="G40" s="102" t="s">
        <v>280</v>
      </c>
      <c r="H40" s="102" t="s">
        <v>281</v>
      </c>
      <c r="I40" s="102" t="s">
        <v>284</v>
      </c>
      <c r="J40" s="102" t="s">
        <v>26</v>
      </c>
      <c r="L40" s="229" t="s">
        <v>10952</v>
      </c>
      <c r="M40" s="229" t="s">
        <v>10915</v>
      </c>
      <c r="O40" s="102"/>
      <c r="R40" s="102"/>
      <c r="S40" s="193" t="str">
        <f>IF(ISNUMBER(MATCH(B40, 'Sprint 3'!B:B, 0)), "มาจาก Sprint 3", "")</f>
        <v/>
      </c>
    </row>
    <row r="41">
      <c r="A41" s="102" t="s">
        <v>4410</v>
      </c>
      <c r="B41" s="102" t="s">
        <v>10953</v>
      </c>
      <c r="C41" s="229" t="s">
        <v>10954</v>
      </c>
      <c r="D41" s="102" t="s">
        <v>10955</v>
      </c>
      <c r="E41" s="102" t="s">
        <v>353</v>
      </c>
      <c r="F41" s="102" t="s">
        <v>354</v>
      </c>
      <c r="G41" s="102" t="s">
        <v>353</v>
      </c>
      <c r="H41" s="102" t="s">
        <v>354</v>
      </c>
      <c r="I41" s="102" t="s">
        <v>284</v>
      </c>
      <c r="J41" s="102" t="s">
        <v>26</v>
      </c>
      <c r="L41" s="229" t="s">
        <v>10956</v>
      </c>
      <c r="M41" s="229" t="s">
        <v>10957</v>
      </c>
      <c r="O41" s="102">
        <v>2.0</v>
      </c>
      <c r="R41" s="102">
        <v>18000.0</v>
      </c>
      <c r="S41" s="193" t="str">
        <f>IF(ISNUMBER(MATCH(B41, 'Sprint 3'!B:B, 0)), "มาจาก Sprint 3", "")</f>
        <v/>
      </c>
    </row>
    <row r="42">
      <c r="A42" s="102" t="s">
        <v>4410</v>
      </c>
      <c r="B42" s="102" t="s">
        <v>10958</v>
      </c>
      <c r="C42" s="229" t="s">
        <v>10959</v>
      </c>
      <c r="D42" s="102" t="s">
        <v>10960</v>
      </c>
      <c r="E42" s="102" t="s">
        <v>353</v>
      </c>
      <c r="F42" s="102" t="s">
        <v>354</v>
      </c>
      <c r="G42" s="102" t="s">
        <v>353</v>
      </c>
      <c r="H42" s="102" t="s">
        <v>354</v>
      </c>
      <c r="I42" s="102" t="s">
        <v>284</v>
      </c>
      <c r="J42" s="102" t="s">
        <v>26</v>
      </c>
      <c r="L42" s="229" t="s">
        <v>10961</v>
      </c>
      <c r="M42" s="229" t="s">
        <v>10890</v>
      </c>
      <c r="O42" s="102">
        <v>1.0</v>
      </c>
      <c r="R42" s="102">
        <v>4500.0</v>
      </c>
      <c r="S42" s="193" t="str">
        <f>IF(ISNUMBER(MATCH(B42, 'Sprint 3'!B:B, 0)), "มาจาก Sprint 3", "")</f>
        <v/>
      </c>
    </row>
    <row r="43">
      <c r="A43" s="102" t="s">
        <v>310</v>
      </c>
      <c r="B43" s="102" t="s">
        <v>10692</v>
      </c>
      <c r="C43" s="229" t="s">
        <v>10693</v>
      </c>
      <c r="D43" s="102" t="s">
        <v>10694</v>
      </c>
      <c r="E43" s="102" t="s">
        <v>314</v>
      </c>
      <c r="F43" s="102" t="s">
        <v>315</v>
      </c>
      <c r="G43" s="102" t="s">
        <v>314</v>
      </c>
      <c r="H43" s="102" t="s">
        <v>315</v>
      </c>
      <c r="I43" s="102" t="s">
        <v>284</v>
      </c>
      <c r="J43" s="102" t="s">
        <v>34</v>
      </c>
      <c r="L43" s="229" t="s">
        <v>10695</v>
      </c>
      <c r="M43" s="229" t="s">
        <v>10867</v>
      </c>
      <c r="O43" s="102">
        <v>3.0</v>
      </c>
      <c r="P43" s="102"/>
      <c r="R43" s="102">
        <v>21600.0</v>
      </c>
      <c r="S43" s="193" t="str">
        <f>IF(ISNUMBER(MATCH(B43, 'Sprint 3'!B:B, 0)), "มาจาก Sprint 3", "")</f>
        <v/>
      </c>
    </row>
    <row r="44">
      <c r="A44" s="102" t="s">
        <v>332</v>
      </c>
      <c r="B44" s="102" t="s">
        <v>10962</v>
      </c>
      <c r="C44" s="229" t="s">
        <v>10963</v>
      </c>
      <c r="D44" s="102" t="s">
        <v>10964</v>
      </c>
      <c r="E44" s="102" t="s">
        <v>556</v>
      </c>
      <c r="F44" s="102" t="s">
        <v>557</v>
      </c>
      <c r="G44" s="102" t="s">
        <v>280</v>
      </c>
      <c r="H44" s="102" t="s">
        <v>281</v>
      </c>
      <c r="I44" s="102" t="s">
        <v>515</v>
      </c>
      <c r="J44" s="102" t="s">
        <v>336</v>
      </c>
      <c r="L44" s="229" t="s">
        <v>10965</v>
      </c>
      <c r="M44" s="229" t="s">
        <v>10966</v>
      </c>
      <c r="O44" s="230"/>
      <c r="P44" s="102" t="s">
        <v>538</v>
      </c>
      <c r="R44" s="230"/>
      <c r="S44" s="193" t="str">
        <f>IF(ISNUMBER(MATCH(B44, 'Sprint 3'!B:B, 0)), "มาจาก Sprint 3", "")</f>
        <v/>
      </c>
    </row>
    <row r="45">
      <c r="A45" s="102" t="s">
        <v>276</v>
      </c>
      <c r="B45" s="102" t="s">
        <v>10967</v>
      </c>
      <c r="C45" s="229" t="s">
        <v>10968</v>
      </c>
      <c r="D45" s="102" t="s">
        <v>347</v>
      </c>
      <c r="E45" s="102" t="s">
        <v>521</v>
      </c>
      <c r="F45" s="102" t="s">
        <v>522</v>
      </c>
      <c r="G45" s="102" t="s">
        <v>521</v>
      </c>
      <c r="H45" s="102" t="s">
        <v>522</v>
      </c>
      <c r="I45" s="102" t="s">
        <v>284</v>
      </c>
      <c r="J45" s="102" t="s">
        <v>34</v>
      </c>
      <c r="L45" s="229" t="s">
        <v>10969</v>
      </c>
      <c r="M45" s="229" t="s">
        <v>10970</v>
      </c>
      <c r="O45" s="102"/>
      <c r="P45" s="102"/>
      <c r="R45" s="102"/>
      <c r="S45" s="193" t="str">
        <f>IF(ISNUMBER(MATCH(B45, 'Sprint 3'!B:B, 0)), "มาจาก Sprint 3", "")</f>
        <v/>
      </c>
    </row>
    <row r="46">
      <c r="A46" s="102" t="s">
        <v>310</v>
      </c>
      <c r="B46" s="102" t="s">
        <v>10971</v>
      </c>
      <c r="C46" s="229" t="s">
        <v>10972</v>
      </c>
      <c r="D46" s="102" t="s">
        <v>10973</v>
      </c>
      <c r="E46" s="102" t="s">
        <v>282</v>
      </c>
      <c r="F46" s="102" t="s">
        <v>283</v>
      </c>
      <c r="G46" s="102" t="s">
        <v>282</v>
      </c>
      <c r="H46" s="102" t="s">
        <v>283</v>
      </c>
      <c r="I46" s="102" t="s">
        <v>284</v>
      </c>
      <c r="J46" s="102" t="s">
        <v>26</v>
      </c>
      <c r="L46" s="229" t="s">
        <v>10974</v>
      </c>
      <c r="M46" s="229" t="s">
        <v>10975</v>
      </c>
      <c r="N46" s="102"/>
      <c r="O46" s="102">
        <v>8.0</v>
      </c>
      <c r="P46" s="102" t="s">
        <v>9275</v>
      </c>
      <c r="R46" s="102">
        <v>93600.0</v>
      </c>
      <c r="S46" s="193" t="str">
        <f>IF(ISNUMBER(MATCH(B46, 'Sprint 3'!B:B, 0)), "มาจาก Sprint 3", "")</f>
        <v/>
      </c>
    </row>
    <row r="47">
      <c r="A47" s="102" t="s">
        <v>310</v>
      </c>
      <c r="B47" s="102" t="s">
        <v>10976</v>
      </c>
      <c r="C47" s="229" t="s">
        <v>10977</v>
      </c>
      <c r="D47" s="102" t="s">
        <v>10978</v>
      </c>
      <c r="E47" s="102" t="s">
        <v>513</v>
      </c>
      <c r="F47" s="102" t="s">
        <v>514</v>
      </c>
      <c r="G47" s="102" t="s">
        <v>316</v>
      </c>
      <c r="H47" s="102" t="s">
        <v>317</v>
      </c>
      <c r="I47" s="102" t="s">
        <v>515</v>
      </c>
      <c r="J47" s="102" t="s">
        <v>26</v>
      </c>
      <c r="L47" s="229" t="s">
        <v>10979</v>
      </c>
      <c r="M47" s="229" t="s">
        <v>10980</v>
      </c>
      <c r="N47" s="229" t="s">
        <v>10981</v>
      </c>
      <c r="O47" s="102">
        <v>3.0</v>
      </c>
      <c r="P47" s="102" t="s">
        <v>593</v>
      </c>
      <c r="Q47" s="102"/>
      <c r="R47" s="102">
        <v>28800.0</v>
      </c>
      <c r="S47" s="193" t="str">
        <f>IF(ISNUMBER(MATCH(B47, 'Sprint 3'!B:B, 0)), "มาจาก Sprint 3", "")</f>
        <v/>
      </c>
    </row>
    <row r="48">
      <c r="A48" s="102" t="s">
        <v>310</v>
      </c>
      <c r="B48" s="102" t="s">
        <v>10982</v>
      </c>
      <c r="C48" s="229" t="s">
        <v>10983</v>
      </c>
      <c r="D48" s="102" t="s">
        <v>10984</v>
      </c>
      <c r="E48" s="102" t="s">
        <v>10234</v>
      </c>
      <c r="F48" s="102" t="s">
        <v>565</v>
      </c>
      <c r="G48" s="102" t="s">
        <v>10144</v>
      </c>
      <c r="H48" s="102" t="s">
        <v>305</v>
      </c>
      <c r="I48" s="102" t="s">
        <v>284</v>
      </c>
      <c r="J48" s="102" t="s">
        <v>454</v>
      </c>
      <c r="L48" s="229" t="s">
        <v>10985</v>
      </c>
      <c r="M48" s="229" t="s">
        <v>10832</v>
      </c>
      <c r="N48" s="229" t="s">
        <v>10731</v>
      </c>
      <c r="O48" s="102">
        <v>5.0</v>
      </c>
      <c r="P48" s="102" t="s">
        <v>27</v>
      </c>
      <c r="Q48" s="102" t="s">
        <v>5907</v>
      </c>
      <c r="R48" s="102">
        <v>72000.0</v>
      </c>
      <c r="S48" s="193" t="str">
        <f>IF(ISNUMBER(MATCH(B48, 'Sprint 3'!B:B, 0)), "มาจาก Sprint 3", "")</f>
        <v/>
      </c>
    </row>
    <row r="49">
      <c r="A49" s="102" t="s">
        <v>310</v>
      </c>
      <c r="B49" s="102" t="s">
        <v>10986</v>
      </c>
      <c r="C49" s="229" t="s">
        <v>10987</v>
      </c>
      <c r="D49" s="102" t="s">
        <v>10988</v>
      </c>
      <c r="E49" s="102" t="s">
        <v>314</v>
      </c>
      <c r="F49" s="102" t="s">
        <v>315</v>
      </c>
      <c r="G49" s="102" t="s">
        <v>10144</v>
      </c>
      <c r="H49" s="102" t="s">
        <v>305</v>
      </c>
      <c r="I49" s="102" t="s">
        <v>284</v>
      </c>
      <c r="J49" s="102" t="s">
        <v>454</v>
      </c>
      <c r="L49" s="229" t="s">
        <v>10989</v>
      </c>
      <c r="M49" s="229" t="s">
        <v>10832</v>
      </c>
      <c r="N49" s="229" t="s">
        <v>10097</v>
      </c>
      <c r="O49" s="102">
        <v>5.0</v>
      </c>
      <c r="P49" s="102" t="s">
        <v>27</v>
      </c>
      <c r="Q49" s="102" t="s">
        <v>6991</v>
      </c>
      <c r="R49" s="102">
        <v>43200.0</v>
      </c>
      <c r="S49" s="193" t="str">
        <f>IF(ISNUMBER(MATCH(B49, 'Sprint 3'!B:B, 0)), "มาจาก Sprint 3", "")</f>
        <v/>
      </c>
    </row>
    <row r="50">
      <c r="A50" s="102" t="s">
        <v>310</v>
      </c>
      <c r="B50" s="102" t="s">
        <v>10369</v>
      </c>
      <c r="C50" s="229" t="s">
        <v>10370</v>
      </c>
      <c r="D50" s="102" t="s">
        <v>10371</v>
      </c>
      <c r="E50" s="102" t="s">
        <v>495</v>
      </c>
      <c r="F50" s="102" t="s">
        <v>496</v>
      </c>
      <c r="G50" s="102" t="s">
        <v>10144</v>
      </c>
      <c r="H50" s="102" t="s">
        <v>305</v>
      </c>
      <c r="I50" s="102" t="s">
        <v>284</v>
      </c>
      <c r="J50" s="102" t="s">
        <v>34</v>
      </c>
      <c r="L50" s="229" t="s">
        <v>10372</v>
      </c>
      <c r="M50" s="229" t="s">
        <v>10990</v>
      </c>
      <c r="O50" s="102">
        <v>8.0</v>
      </c>
      <c r="P50" s="102" t="s">
        <v>538</v>
      </c>
      <c r="R50" s="230"/>
      <c r="S50" s="193" t="str">
        <f>IF(ISNUMBER(MATCH(B50, 'Sprint 3'!B:B, 0)), "มาจาก Sprint 3", "")</f>
        <v/>
      </c>
    </row>
    <row r="51">
      <c r="A51" s="102" t="s">
        <v>310</v>
      </c>
      <c r="B51" s="102" t="s">
        <v>10991</v>
      </c>
      <c r="C51" s="229" t="s">
        <v>10992</v>
      </c>
      <c r="D51" s="102" t="s">
        <v>10993</v>
      </c>
      <c r="E51" s="102" t="s">
        <v>314</v>
      </c>
      <c r="F51" s="102" t="s">
        <v>315</v>
      </c>
      <c r="G51" s="102" t="s">
        <v>314</v>
      </c>
      <c r="H51" s="102" t="s">
        <v>315</v>
      </c>
      <c r="I51" s="102" t="s">
        <v>284</v>
      </c>
      <c r="J51" s="102" t="s">
        <v>26</v>
      </c>
      <c r="L51" s="229" t="s">
        <v>10994</v>
      </c>
      <c r="M51" s="229" t="s">
        <v>10995</v>
      </c>
      <c r="O51" s="102">
        <v>1.0</v>
      </c>
      <c r="P51" s="102" t="s">
        <v>593</v>
      </c>
      <c r="Q51" s="102"/>
      <c r="R51" s="102">
        <v>7200.0</v>
      </c>
      <c r="S51" s="193" t="str">
        <f>IF(ISNUMBER(MATCH(B51, 'Sprint 3'!B:B, 0)), "มาจาก Sprint 3", "")</f>
        <v/>
      </c>
    </row>
    <row r="52">
      <c r="A52" s="102" t="s">
        <v>310</v>
      </c>
      <c r="B52" s="102" t="s">
        <v>10710</v>
      </c>
      <c r="C52" s="229" t="s">
        <v>10711</v>
      </c>
      <c r="D52" s="102" t="s">
        <v>10712</v>
      </c>
      <c r="E52" s="102" t="s">
        <v>10144</v>
      </c>
      <c r="F52" s="102" t="s">
        <v>305</v>
      </c>
      <c r="G52" s="102" t="s">
        <v>10144</v>
      </c>
      <c r="H52" s="102" t="s">
        <v>305</v>
      </c>
      <c r="I52" s="102" t="s">
        <v>284</v>
      </c>
      <c r="J52" s="102" t="s">
        <v>454</v>
      </c>
      <c r="L52" s="229" t="s">
        <v>10713</v>
      </c>
      <c r="M52" s="229" t="s">
        <v>10996</v>
      </c>
      <c r="O52" s="102">
        <v>5.0</v>
      </c>
      <c r="P52" s="102" t="s">
        <v>27</v>
      </c>
      <c r="Q52" s="102" t="s">
        <v>593</v>
      </c>
      <c r="R52" s="102">
        <v>86400.0</v>
      </c>
      <c r="S52" s="193" t="str">
        <f>IF(ISNUMBER(MATCH(B52, 'Sprint 3'!B:B, 0)), "มาจาก Sprint 3", "")</f>
        <v/>
      </c>
    </row>
    <row r="53">
      <c r="A53" s="102" t="s">
        <v>310</v>
      </c>
      <c r="B53" s="102" t="s">
        <v>10997</v>
      </c>
      <c r="C53" s="229" t="s">
        <v>10998</v>
      </c>
      <c r="D53" s="102" t="s">
        <v>10999</v>
      </c>
      <c r="E53" s="102" t="s">
        <v>314</v>
      </c>
      <c r="F53" s="102" t="s">
        <v>315</v>
      </c>
      <c r="G53" s="102" t="s">
        <v>314</v>
      </c>
      <c r="H53" s="102" t="s">
        <v>315</v>
      </c>
      <c r="I53" s="102" t="s">
        <v>284</v>
      </c>
      <c r="J53" s="102" t="s">
        <v>26</v>
      </c>
      <c r="L53" s="229" t="s">
        <v>11000</v>
      </c>
      <c r="M53" s="229" t="s">
        <v>10995</v>
      </c>
      <c r="O53" s="102">
        <v>3.0</v>
      </c>
      <c r="P53" s="102" t="s">
        <v>593</v>
      </c>
      <c r="R53" s="102">
        <v>14400.0</v>
      </c>
      <c r="S53" s="193" t="str">
        <f>IF(ISNUMBER(MATCH(B53, 'Sprint 3'!B:B, 0)), "มาจาก Sprint 3", "")</f>
        <v/>
      </c>
    </row>
    <row r="54">
      <c r="A54" s="102" t="s">
        <v>310</v>
      </c>
      <c r="B54" s="102" t="s">
        <v>11001</v>
      </c>
      <c r="C54" s="229" t="s">
        <v>11002</v>
      </c>
      <c r="D54" s="102" t="s">
        <v>11003</v>
      </c>
      <c r="E54" s="102" t="s">
        <v>549</v>
      </c>
      <c r="F54" s="102" t="s">
        <v>550</v>
      </c>
      <c r="G54" s="102" t="s">
        <v>314</v>
      </c>
      <c r="H54" s="102" t="s">
        <v>315</v>
      </c>
      <c r="I54" s="102" t="s">
        <v>284</v>
      </c>
      <c r="J54" s="102" t="s">
        <v>26</v>
      </c>
      <c r="L54" s="229" t="s">
        <v>11004</v>
      </c>
      <c r="M54" s="229" t="s">
        <v>11005</v>
      </c>
      <c r="N54" s="102"/>
      <c r="O54" s="102">
        <v>1.0</v>
      </c>
      <c r="P54" s="102" t="s">
        <v>593</v>
      </c>
      <c r="Q54" s="102"/>
      <c r="R54" s="102"/>
      <c r="S54" s="193" t="str">
        <f>IF(ISNUMBER(MATCH(B54, 'Sprint 3'!B:B, 0)), "มาจาก Sprint 3", "")</f>
        <v/>
      </c>
    </row>
    <row r="55">
      <c r="A55" s="102" t="s">
        <v>310</v>
      </c>
      <c r="B55" s="102" t="s">
        <v>11006</v>
      </c>
      <c r="C55" s="229" t="s">
        <v>11007</v>
      </c>
      <c r="D55" s="102" t="s">
        <v>11008</v>
      </c>
      <c r="E55" s="102" t="s">
        <v>10234</v>
      </c>
      <c r="F55" s="102" t="s">
        <v>565</v>
      </c>
      <c r="G55" s="102" t="s">
        <v>353</v>
      </c>
      <c r="H55" s="102" t="s">
        <v>354</v>
      </c>
      <c r="I55" s="102" t="s">
        <v>284</v>
      </c>
      <c r="J55" s="102" t="s">
        <v>454</v>
      </c>
      <c r="L55" s="229" t="s">
        <v>11009</v>
      </c>
      <c r="M55" s="229" t="s">
        <v>11010</v>
      </c>
      <c r="N55" s="229" t="s">
        <v>10097</v>
      </c>
      <c r="O55" s="102">
        <v>2.0</v>
      </c>
      <c r="P55" s="102" t="s">
        <v>593</v>
      </c>
      <c r="Q55" s="102" t="s">
        <v>435</v>
      </c>
      <c r="R55" s="102">
        <v>14400.0</v>
      </c>
      <c r="S55" s="193" t="str">
        <f>IF(ISNUMBER(MATCH(B55, 'Sprint 3'!B:B, 0)), "มาจาก Sprint 3", "")</f>
        <v/>
      </c>
    </row>
    <row r="56">
      <c r="A56" s="102" t="s">
        <v>310</v>
      </c>
      <c r="B56" s="102" t="s">
        <v>11011</v>
      </c>
      <c r="C56" s="229" t="s">
        <v>11012</v>
      </c>
      <c r="D56" s="102" t="s">
        <v>11013</v>
      </c>
      <c r="E56" s="102" t="s">
        <v>10234</v>
      </c>
      <c r="F56" s="102" t="s">
        <v>565</v>
      </c>
      <c r="G56" s="102" t="s">
        <v>353</v>
      </c>
      <c r="H56" s="102" t="s">
        <v>354</v>
      </c>
      <c r="I56" s="102" t="s">
        <v>284</v>
      </c>
      <c r="J56" s="102" t="s">
        <v>454</v>
      </c>
      <c r="L56" s="229" t="s">
        <v>11014</v>
      </c>
      <c r="M56" s="229" t="s">
        <v>11015</v>
      </c>
      <c r="N56" s="229" t="s">
        <v>10071</v>
      </c>
      <c r="O56" s="102">
        <v>3.0</v>
      </c>
      <c r="R56" s="102">
        <v>28800.0</v>
      </c>
      <c r="S56" s="193" t="str">
        <f>IF(ISNUMBER(MATCH(B56, 'Sprint 3'!B:B, 0)), "มาจาก Sprint 3", "")</f>
        <v/>
      </c>
    </row>
    <row r="57">
      <c r="A57" s="102" t="s">
        <v>310</v>
      </c>
      <c r="B57" s="102" t="s">
        <v>10721</v>
      </c>
      <c r="C57" s="229" t="s">
        <v>10722</v>
      </c>
      <c r="D57" s="102" t="s">
        <v>11016</v>
      </c>
      <c r="E57" s="102" t="s">
        <v>353</v>
      </c>
      <c r="F57" s="102" t="s">
        <v>354</v>
      </c>
      <c r="G57" s="102" t="s">
        <v>353</v>
      </c>
      <c r="H57" s="102" t="s">
        <v>354</v>
      </c>
      <c r="I57" s="102" t="s">
        <v>284</v>
      </c>
      <c r="J57" s="102" t="s">
        <v>34</v>
      </c>
      <c r="L57" s="229" t="s">
        <v>10724</v>
      </c>
      <c r="M57" s="229" t="s">
        <v>11017</v>
      </c>
      <c r="N57" s="102"/>
      <c r="O57" s="102">
        <v>3.0</v>
      </c>
      <c r="P57" s="102"/>
      <c r="R57" s="102"/>
      <c r="S57" s="193" t="str">
        <f>IF(ISNUMBER(MATCH(B57, 'Sprint 3'!B:B, 0)), "มาจาก Sprint 3", "")</f>
        <v/>
      </c>
    </row>
    <row r="58">
      <c r="A58" s="102" t="s">
        <v>310</v>
      </c>
      <c r="B58" s="102" t="s">
        <v>10726</v>
      </c>
      <c r="C58" s="229" t="s">
        <v>10727</v>
      </c>
      <c r="D58" s="102" t="s">
        <v>10728</v>
      </c>
      <c r="E58" s="102" t="s">
        <v>556</v>
      </c>
      <c r="F58" s="102" t="s">
        <v>557</v>
      </c>
      <c r="G58" s="102" t="s">
        <v>353</v>
      </c>
      <c r="H58" s="102" t="s">
        <v>354</v>
      </c>
      <c r="I58" s="102" t="s">
        <v>284</v>
      </c>
      <c r="J58" s="102" t="s">
        <v>678</v>
      </c>
      <c r="L58" s="229" t="s">
        <v>10729</v>
      </c>
      <c r="M58" s="229" t="s">
        <v>11018</v>
      </c>
      <c r="N58" s="229" t="s">
        <v>10731</v>
      </c>
      <c r="O58" s="102">
        <v>2.0</v>
      </c>
      <c r="P58" s="102" t="s">
        <v>435</v>
      </c>
      <c r="R58" s="102">
        <v>7200.0</v>
      </c>
      <c r="S58" s="193" t="str">
        <f>IF(ISNUMBER(MATCH(B58, 'Sprint 3'!B:B, 0)), "มาจาก Sprint 3", "")</f>
        <v/>
      </c>
    </row>
    <row r="59">
      <c r="A59" s="102" t="s">
        <v>310</v>
      </c>
      <c r="B59" s="102" t="s">
        <v>11019</v>
      </c>
      <c r="C59" s="229" t="s">
        <v>11020</v>
      </c>
      <c r="D59" s="102" t="s">
        <v>11021</v>
      </c>
      <c r="E59" s="102" t="s">
        <v>513</v>
      </c>
      <c r="F59" s="102" t="s">
        <v>514</v>
      </c>
      <c r="G59" s="102" t="s">
        <v>353</v>
      </c>
      <c r="H59" s="102" t="s">
        <v>354</v>
      </c>
      <c r="I59" s="102" t="s">
        <v>284</v>
      </c>
      <c r="J59" s="102" t="s">
        <v>454</v>
      </c>
      <c r="L59" s="229" t="s">
        <v>11022</v>
      </c>
      <c r="M59" s="229" t="s">
        <v>11023</v>
      </c>
      <c r="N59" s="229" t="s">
        <v>10731</v>
      </c>
      <c r="O59" s="102">
        <v>2.0</v>
      </c>
      <c r="P59" s="102" t="s">
        <v>11024</v>
      </c>
      <c r="R59" s="102">
        <v>14400.0</v>
      </c>
      <c r="S59" s="193" t="str">
        <f>IF(ISNUMBER(MATCH(B59, 'Sprint 3'!B:B, 0)), "มาจาก Sprint 3", "")</f>
        <v/>
      </c>
    </row>
    <row r="60">
      <c r="A60" s="102" t="s">
        <v>310</v>
      </c>
      <c r="B60" s="102" t="s">
        <v>10732</v>
      </c>
      <c r="C60" s="229" t="s">
        <v>10733</v>
      </c>
      <c r="D60" s="102" t="s">
        <v>10734</v>
      </c>
      <c r="E60" s="102" t="s">
        <v>314</v>
      </c>
      <c r="F60" s="102" t="s">
        <v>315</v>
      </c>
      <c r="G60" s="102" t="s">
        <v>353</v>
      </c>
      <c r="H60" s="102" t="s">
        <v>354</v>
      </c>
      <c r="I60" s="102" t="s">
        <v>284</v>
      </c>
      <c r="J60" s="102" t="s">
        <v>34</v>
      </c>
      <c r="L60" s="229" t="s">
        <v>10735</v>
      </c>
      <c r="M60" s="229" t="s">
        <v>10832</v>
      </c>
      <c r="N60" s="229" t="s">
        <v>10736</v>
      </c>
      <c r="O60" s="102">
        <v>5.0</v>
      </c>
      <c r="P60" s="102" t="s">
        <v>6991</v>
      </c>
      <c r="R60" s="102">
        <v>57600.0</v>
      </c>
      <c r="S60" s="193" t="str">
        <f>IF(ISNUMBER(MATCH(B60, 'Sprint 3'!B:B, 0)), "มาจาก Sprint 3", "")</f>
        <v/>
      </c>
    </row>
    <row r="61">
      <c r="A61" s="102" t="s">
        <v>310</v>
      </c>
      <c r="B61" s="102" t="s">
        <v>11025</v>
      </c>
      <c r="C61" s="229" t="s">
        <v>11026</v>
      </c>
      <c r="D61" s="102" t="s">
        <v>11027</v>
      </c>
      <c r="E61" s="102" t="s">
        <v>513</v>
      </c>
      <c r="F61" s="102" t="s">
        <v>514</v>
      </c>
      <c r="G61" s="102" t="s">
        <v>314</v>
      </c>
      <c r="H61" s="102" t="s">
        <v>315</v>
      </c>
      <c r="I61" s="102" t="s">
        <v>284</v>
      </c>
      <c r="J61" s="102" t="s">
        <v>26</v>
      </c>
      <c r="L61" s="229" t="s">
        <v>11028</v>
      </c>
      <c r="M61" s="229" t="s">
        <v>11029</v>
      </c>
      <c r="N61" s="102"/>
      <c r="O61" s="102">
        <v>2.0</v>
      </c>
      <c r="P61" s="102" t="s">
        <v>593</v>
      </c>
      <c r="R61" s="102">
        <v>14400.0</v>
      </c>
      <c r="S61" s="193" t="str">
        <f>IF(ISNUMBER(MATCH(B61, 'Sprint 3'!B:B, 0)), "มาจาก Sprint 3", "")</f>
        <v/>
      </c>
    </row>
    <row r="62">
      <c r="A62" s="102" t="s">
        <v>310</v>
      </c>
      <c r="B62" s="102" t="s">
        <v>10741</v>
      </c>
      <c r="C62" s="229" t="s">
        <v>10742</v>
      </c>
      <c r="D62" s="102" t="s">
        <v>10743</v>
      </c>
      <c r="E62" s="102" t="s">
        <v>513</v>
      </c>
      <c r="F62" s="102" t="s">
        <v>514</v>
      </c>
      <c r="G62" s="102" t="s">
        <v>353</v>
      </c>
      <c r="H62" s="102" t="s">
        <v>354</v>
      </c>
      <c r="I62" s="102" t="s">
        <v>284</v>
      </c>
      <c r="J62" s="102" t="s">
        <v>454</v>
      </c>
      <c r="L62" s="229" t="s">
        <v>10744</v>
      </c>
      <c r="M62" s="229" t="s">
        <v>11030</v>
      </c>
      <c r="N62" s="229" t="s">
        <v>10097</v>
      </c>
      <c r="O62" s="102">
        <v>5.0</v>
      </c>
      <c r="P62" s="102" t="s">
        <v>7593</v>
      </c>
      <c r="Q62" s="102"/>
      <c r="R62" s="102">
        <v>86400.0</v>
      </c>
      <c r="S62" s="193" t="str">
        <f>IF(ISNUMBER(MATCH(B62, 'Sprint 3'!B:B, 0)), "มาจาก Sprint 3", "")</f>
        <v/>
      </c>
    </row>
    <row r="63">
      <c r="A63" s="102" t="s">
        <v>4410</v>
      </c>
      <c r="B63" s="102" t="s">
        <v>11031</v>
      </c>
      <c r="C63" s="229" t="s">
        <v>11032</v>
      </c>
      <c r="D63" s="102" t="s">
        <v>11033</v>
      </c>
      <c r="E63" s="102" t="s">
        <v>353</v>
      </c>
      <c r="F63" s="102" t="s">
        <v>354</v>
      </c>
      <c r="G63" s="102" t="s">
        <v>353</v>
      </c>
      <c r="H63" s="102" t="s">
        <v>354</v>
      </c>
      <c r="I63" s="102" t="s">
        <v>284</v>
      </c>
      <c r="J63" s="102" t="s">
        <v>355</v>
      </c>
      <c r="L63" s="229" t="s">
        <v>11034</v>
      </c>
      <c r="M63" s="229" t="s">
        <v>11017</v>
      </c>
      <c r="O63" s="102">
        <v>5.0</v>
      </c>
      <c r="P63" s="102" t="s">
        <v>593</v>
      </c>
      <c r="Q63" s="102" t="s">
        <v>6991</v>
      </c>
      <c r="R63" s="102">
        <v>86400.0</v>
      </c>
      <c r="S63" s="193" t="str">
        <f>IF(ISNUMBER(MATCH(B63, 'Sprint 3'!B:B, 0)), "มาจาก Sprint 3", "")</f>
        <v/>
      </c>
    </row>
    <row r="64">
      <c r="A64" s="102" t="s">
        <v>310</v>
      </c>
      <c r="B64" s="102" t="s">
        <v>11035</v>
      </c>
      <c r="C64" s="229" t="s">
        <v>11036</v>
      </c>
      <c r="D64" s="102" t="s">
        <v>11037</v>
      </c>
      <c r="E64" s="102" t="s">
        <v>549</v>
      </c>
      <c r="F64" s="102" t="s">
        <v>550</v>
      </c>
      <c r="G64" s="102" t="s">
        <v>314</v>
      </c>
      <c r="H64" s="102" t="s">
        <v>315</v>
      </c>
      <c r="I64" s="102" t="s">
        <v>284</v>
      </c>
      <c r="J64" s="102" t="s">
        <v>26</v>
      </c>
      <c r="L64" s="229" t="s">
        <v>11038</v>
      </c>
      <c r="M64" s="229" t="s">
        <v>11005</v>
      </c>
      <c r="O64" s="102"/>
      <c r="P64" s="102" t="s">
        <v>593</v>
      </c>
      <c r="R64" s="230"/>
      <c r="S64" s="193" t="str">
        <f>IF(ISNUMBER(MATCH(B64, 'Sprint 3'!B:B, 0)), "มาจาก Sprint 3", "")</f>
        <v/>
      </c>
    </row>
    <row r="65">
      <c r="A65" s="102" t="s">
        <v>310</v>
      </c>
      <c r="B65" s="102" t="s">
        <v>11039</v>
      </c>
      <c r="C65" s="229" t="s">
        <v>11040</v>
      </c>
      <c r="D65" s="102" t="s">
        <v>11041</v>
      </c>
      <c r="E65" s="102" t="s">
        <v>549</v>
      </c>
      <c r="F65" s="102" t="s">
        <v>550</v>
      </c>
      <c r="G65" s="102" t="s">
        <v>314</v>
      </c>
      <c r="H65" s="102" t="s">
        <v>315</v>
      </c>
      <c r="I65" s="102" t="s">
        <v>284</v>
      </c>
      <c r="J65" s="102" t="s">
        <v>26</v>
      </c>
      <c r="L65" s="229" t="s">
        <v>11042</v>
      </c>
      <c r="M65" s="229" t="s">
        <v>11005</v>
      </c>
      <c r="N65" s="102"/>
      <c r="O65" s="102">
        <v>2.0</v>
      </c>
      <c r="P65" s="102" t="s">
        <v>593</v>
      </c>
      <c r="R65" s="102"/>
      <c r="S65" s="193" t="str">
        <f>IF(ISNUMBER(MATCH(B65, 'Sprint 3'!B:B, 0)), "มาจาก Sprint 3", "")</f>
        <v/>
      </c>
    </row>
    <row r="66">
      <c r="A66" s="102" t="s">
        <v>310</v>
      </c>
      <c r="B66" s="102" t="s">
        <v>11043</v>
      </c>
      <c r="C66" s="229" t="s">
        <v>11044</v>
      </c>
      <c r="D66" s="102" t="s">
        <v>11045</v>
      </c>
      <c r="E66" s="102" t="s">
        <v>513</v>
      </c>
      <c r="F66" s="102" t="s">
        <v>514</v>
      </c>
      <c r="G66" s="102" t="s">
        <v>314</v>
      </c>
      <c r="H66" s="102" t="s">
        <v>315</v>
      </c>
      <c r="I66" s="102" t="s">
        <v>284</v>
      </c>
      <c r="J66" s="102" t="s">
        <v>26</v>
      </c>
      <c r="L66" s="229" t="s">
        <v>11046</v>
      </c>
      <c r="M66" s="229" t="s">
        <v>11005</v>
      </c>
      <c r="N66" s="229" t="s">
        <v>11047</v>
      </c>
      <c r="O66" s="102">
        <v>3.0</v>
      </c>
      <c r="P66" s="102" t="s">
        <v>593</v>
      </c>
      <c r="R66" s="102">
        <v>57600.0</v>
      </c>
      <c r="S66" s="193" t="str">
        <f>IF(ISNUMBER(MATCH(B66, 'Sprint 3'!B:B, 0)), "มาจาก Sprint 3", "")</f>
        <v/>
      </c>
    </row>
    <row r="67">
      <c r="A67" s="102" t="s">
        <v>310</v>
      </c>
      <c r="B67" s="102" t="s">
        <v>11048</v>
      </c>
      <c r="C67" s="229" t="s">
        <v>11049</v>
      </c>
      <c r="D67" s="102" t="s">
        <v>11050</v>
      </c>
      <c r="E67" s="102" t="s">
        <v>549</v>
      </c>
      <c r="F67" s="102" t="s">
        <v>550</v>
      </c>
      <c r="G67" s="102" t="s">
        <v>314</v>
      </c>
      <c r="H67" s="102" t="s">
        <v>315</v>
      </c>
      <c r="I67" s="102" t="s">
        <v>284</v>
      </c>
      <c r="J67" s="102" t="s">
        <v>26</v>
      </c>
      <c r="L67" s="229" t="s">
        <v>11051</v>
      </c>
      <c r="M67" s="229" t="s">
        <v>11052</v>
      </c>
      <c r="O67" s="230"/>
      <c r="P67" s="102" t="s">
        <v>593</v>
      </c>
      <c r="R67" s="230"/>
      <c r="S67" s="193" t="str">
        <f>IF(ISNUMBER(MATCH(B67, 'Sprint 3'!B:B, 0)), "มาจาก Sprint 3", "")</f>
        <v/>
      </c>
    </row>
    <row r="68">
      <c r="A68" s="102" t="s">
        <v>310</v>
      </c>
      <c r="B68" s="102" t="s">
        <v>11053</v>
      </c>
      <c r="C68" s="229" t="s">
        <v>11054</v>
      </c>
      <c r="D68" s="102" t="s">
        <v>11055</v>
      </c>
      <c r="E68" s="102" t="s">
        <v>549</v>
      </c>
      <c r="F68" s="102" t="s">
        <v>550</v>
      </c>
      <c r="G68" s="102" t="s">
        <v>314</v>
      </c>
      <c r="H68" s="102" t="s">
        <v>315</v>
      </c>
      <c r="I68" s="102" t="s">
        <v>284</v>
      </c>
      <c r="J68" s="102" t="s">
        <v>26</v>
      </c>
      <c r="L68" s="229" t="s">
        <v>11056</v>
      </c>
      <c r="M68" s="229" t="s">
        <v>11052</v>
      </c>
      <c r="O68" s="102"/>
      <c r="P68" s="102" t="s">
        <v>593</v>
      </c>
      <c r="R68" s="230"/>
      <c r="S68" s="193" t="str">
        <f>IF(ISNUMBER(MATCH(B68, 'Sprint 3'!B:B, 0)), "มาจาก Sprint 3", "")</f>
        <v/>
      </c>
    </row>
    <row r="69">
      <c r="A69" s="102" t="s">
        <v>310</v>
      </c>
      <c r="B69" s="102" t="s">
        <v>11057</v>
      </c>
      <c r="C69" s="229" t="s">
        <v>11058</v>
      </c>
      <c r="D69" s="102" t="s">
        <v>11059</v>
      </c>
      <c r="E69" s="102" t="s">
        <v>314</v>
      </c>
      <c r="F69" s="102" t="s">
        <v>315</v>
      </c>
      <c r="G69" s="102" t="s">
        <v>314</v>
      </c>
      <c r="H69" s="102" t="s">
        <v>315</v>
      </c>
      <c r="I69" s="102" t="s">
        <v>284</v>
      </c>
      <c r="J69" s="102" t="s">
        <v>26</v>
      </c>
      <c r="L69" s="229" t="s">
        <v>11060</v>
      </c>
      <c r="M69" s="229" t="s">
        <v>10995</v>
      </c>
      <c r="O69" s="102">
        <v>1.0</v>
      </c>
      <c r="P69" s="102" t="s">
        <v>593</v>
      </c>
      <c r="R69" s="102">
        <v>3600.0</v>
      </c>
      <c r="S69" s="193" t="str">
        <f>IF(ISNUMBER(MATCH(B69, 'Sprint 3'!B:B, 0)), "มาจาก Sprint 3", "")</f>
        <v/>
      </c>
    </row>
    <row r="70">
      <c r="A70" s="102" t="s">
        <v>310</v>
      </c>
      <c r="B70" s="102" t="s">
        <v>11061</v>
      </c>
      <c r="C70" s="229" t="s">
        <v>11062</v>
      </c>
      <c r="D70" s="102" t="s">
        <v>11063</v>
      </c>
      <c r="E70" s="102" t="s">
        <v>513</v>
      </c>
      <c r="F70" s="102" t="s">
        <v>514</v>
      </c>
      <c r="G70" s="102" t="s">
        <v>314</v>
      </c>
      <c r="H70" s="102" t="s">
        <v>315</v>
      </c>
      <c r="I70" s="102" t="s">
        <v>284</v>
      </c>
      <c r="J70" s="102" t="s">
        <v>26</v>
      </c>
      <c r="L70" s="229" t="s">
        <v>11064</v>
      </c>
      <c r="M70" s="229" t="s">
        <v>11065</v>
      </c>
      <c r="O70" s="102">
        <v>1.0</v>
      </c>
      <c r="P70" s="102" t="s">
        <v>593</v>
      </c>
      <c r="R70" s="230"/>
      <c r="S70" s="193" t="str">
        <f>IF(ISNUMBER(MATCH(B70, 'Sprint 3'!B:B, 0)), "มาจาก Sprint 3", "")</f>
        <v/>
      </c>
    </row>
    <row r="71">
      <c r="A71" s="102" t="s">
        <v>310</v>
      </c>
      <c r="B71" s="102" t="s">
        <v>10745</v>
      </c>
      <c r="C71" s="229" t="s">
        <v>10746</v>
      </c>
      <c r="D71" s="102" t="s">
        <v>10747</v>
      </c>
      <c r="E71" s="102" t="s">
        <v>314</v>
      </c>
      <c r="F71" s="102" t="s">
        <v>315</v>
      </c>
      <c r="G71" s="102" t="s">
        <v>314</v>
      </c>
      <c r="H71" s="102" t="s">
        <v>315</v>
      </c>
      <c r="I71" s="102" t="s">
        <v>284</v>
      </c>
      <c r="J71" s="102" t="s">
        <v>34</v>
      </c>
      <c r="L71" s="229" t="s">
        <v>10748</v>
      </c>
      <c r="M71" s="229" t="s">
        <v>11066</v>
      </c>
      <c r="O71" s="102">
        <v>3.0</v>
      </c>
      <c r="R71" s="102">
        <v>21600.0</v>
      </c>
      <c r="S71" s="193" t="str">
        <f>IF(ISNUMBER(MATCH(B71, 'Sprint 3'!B:B, 0)), "มาจาก Sprint 3", "")</f>
        <v/>
      </c>
    </row>
    <row r="72">
      <c r="A72" s="102" t="s">
        <v>310</v>
      </c>
      <c r="B72" s="102" t="s">
        <v>11067</v>
      </c>
      <c r="C72" s="229" t="s">
        <v>11068</v>
      </c>
      <c r="D72" s="102" t="s">
        <v>11069</v>
      </c>
      <c r="E72" s="102"/>
      <c r="F72" s="102"/>
      <c r="G72" s="102" t="s">
        <v>10144</v>
      </c>
      <c r="H72" s="102" t="s">
        <v>305</v>
      </c>
      <c r="I72" s="102" t="s">
        <v>284</v>
      </c>
      <c r="J72" s="102" t="s">
        <v>63</v>
      </c>
      <c r="L72" s="229" t="s">
        <v>11070</v>
      </c>
      <c r="M72" s="229" t="s">
        <v>11071</v>
      </c>
      <c r="N72" s="102"/>
      <c r="O72" s="102"/>
      <c r="P72" s="102"/>
      <c r="R72" s="102"/>
      <c r="S72" s="193" t="str">
        <f>IF(ISNUMBER(MATCH(B72, 'Sprint 3'!B:B, 0)), "มาจาก Sprint 3", "")</f>
        <v/>
      </c>
    </row>
    <row r="73">
      <c r="A73" s="102" t="s">
        <v>310</v>
      </c>
      <c r="B73" s="102" t="s">
        <v>11072</v>
      </c>
      <c r="C73" s="229" t="s">
        <v>11073</v>
      </c>
      <c r="D73" s="102" t="s">
        <v>11074</v>
      </c>
      <c r="E73" s="102" t="s">
        <v>556</v>
      </c>
      <c r="F73" s="102" t="s">
        <v>557</v>
      </c>
      <c r="G73" s="102" t="s">
        <v>10144</v>
      </c>
      <c r="H73" s="102" t="s">
        <v>305</v>
      </c>
      <c r="I73" s="102" t="s">
        <v>284</v>
      </c>
      <c r="J73" s="102" t="s">
        <v>678</v>
      </c>
      <c r="L73" s="229" t="s">
        <v>11075</v>
      </c>
      <c r="M73" s="229" t="s">
        <v>10832</v>
      </c>
      <c r="N73" s="229" t="s">
        <v>10981</v>
      </c>
      <c r="O73" s="102">
        <v>5.0</v>
      </c>
      <c r="P73" s="102" t="s">
        <v>435</v>
      </c>
      <c r="R73" s="102">
        <v>57600.0</v>
      </c>
      <c r="S73" s="193" t="str">
        <f>IF(ISNUMBER(MATCH(B73, 'Sprint 3'!B:B, 0)), "มาจาก Sprint 3", "")</f>
        <v/>
      </c>
    </row>
    <row r="74">
      <c r="A74" s="102" t="s">
        <v>276</v>
      </c>
      <c r="B74" s="102" t="s">
        <v>11076</v>
      </c>
      <c r="C74" s="229" t="s">
        <v>11077</v>
      </c>
      <c r="D74" s="102" t="s">
        <v>11078</v>
      </c>
      <c r="E74" s="102" t="s">
        <v>521</v>
      </c>
      <c r="F74" s="102" t="s">
        <v>522</v>
      </c>
      <c r="G74" s="102" t="s">
        <v>521</v>
      </c>
      <c r="H74" s="102" t="s">
        <v>522</v>
      </c>
      <c r="I74" s="102" t="s">
        <v>284</v>
      </c>
      <c r="J74" s="102" t="s">
        <v>26</v>
      </c>
      <c r="L74" s="229" t="s">
        <v>11079</v>
      </c>
      <c r="M74" s="229" t="s">
        <v>11080</v>
      </c>
      <c r="O74" s="230"/>
      <c r="R74" s="230"/>
      <c r="S74" s="193" t="str">
        <f>IF(ISNUMBER(MATCH(B74, 'Sprint 3'!B:B, 0)), "มาจาก Sprint 3", "")</f>
        <v/>
      </c>
    </row>
    <row r="75">
      <c r="A75" s="102" t="s">
        <v>630</v>
      </c>
      <c r="B75" s="102" t="s">
        <v>11081</v>
      </c>
      <c r="C75" s="229" t="s">
        <v>11082</v>
      </c>
      <c r="D75" s="102" t="s">
        <v>11083</v>
      </c>
      <c r="E75" s="102"/>
      <c r="F75" s="102"/>
      <c r="G75" s="102" t="s">
        <v>314</v>
      </c>
      <c r="H75" s="102" t="s">
        <v>315</v>
      </c>
      <c r="I75" s="102" t="s">
        <v>284</v>
      </c>
      <c r="J75" s="102" t="s">
        <v>63</v>
      </c>
      <c r="L75" s="229" t="s">
        <v>11084</v>
      </c>
      <c r="M75" s="229" t="s">
        <v>11085</v>
      </c>
      <c r="O75" s="102"/>
      <c r="P75" s="102"/>
      <c r="R75" s="102"/>
      <c r="S75" s="193" t="str">
        <f>IF(ISNUMBER(MATCH(B75, 'Sprint 3'!B:B, 0)), "มาจาก Sprint 3", "")</f>
        <v/>
      </c>
    </row>
    <row r="76">
      <c r="A76" s="102" t="s">
        <v>310</v>
      </c>
      <c r="B76" s="102" t="s">
        <v>11086</v>
      </c>
      <c r="C76" s="229" t="s">
        <v>11087</v>
      </c>
      <c r="D76" s="102" t="s">
        <v>11088</v>
      </c>
      <c r="E76" s="102" t="s">
        <v>282</v>
      </c>
      <c r="F76" s="102" t="s">
        <v>283</v>
      </c>
      <c r="G76" s="102" t="s">
        <v>282</v>
      </c>
      <c r="H76" s="102" t="s">
        <v>283</v>
      </c>
      <c r="I76" s="102" t="s">
        <v>284</v>
      </c>
      <c r="J76" s="102" t="s">
        <v>26</v>
      </c>
      <c r="L76" s="229" t="s">
        <v>11089</v>
      </c>
      <c r="M76" s="229" t="s">
        <v>11090</v>
      </c>
      <c r="O76" s="102">
        <v>3.0</v>
      </c>
      <c r="P76" s="102" t="s">
        <v>593</v>
      </c>
      <c r="R76" s="102">
        <v>900.0</v>
      </c>
      <c r="S76" s="193" t="str">
        <f>IF(ISNUMBER(MATCH(B76, 'Sprint 3'!B:B, 0)), "มาจาก Sprint 3", "")</f>
        <v/>
      </c>
    </row>
    <row r="77">
      <c r="A77" s="102" t="s">
        <v>310</v>
      </c>
      <c r="B77" s="102" t="s">
        <v>11091</v>
      </c>
      <c r="C77" s="229" t="s">
        <v>11092</v>
      </c>
      <c r="D77" s="102" t="s">
        <v>11093</v>
      </c>
      <c r="E77" s="102" t="s">
        <v>282</v>
      </c>
      <c r="F77" s="102" t="s">
        <v>283</v>
      </c>
      <c r="G77" s="102" t="s">
        <v>282</v>
      </c>
      <c r="H77" s="102" t="s">
        <v>283</v>
      </c>
      <c r="I77" s="102" t="s">
        <v>284</v>
      </c>
      <c r="J77" s="102" t="s">
        <v>26</v>
      </c>
      <c r="L77" s="229" t="s">
        <v>11094</v>
      </c>
      <c r="M77" s="229" t="s">
        <v>10975</v>
      </c>
      <c r="O77" s="102">
        <v>1.0</v>
      </c>
      <c r="R77" s="102">
        <v>3600.0</v>
      </c>
      <c r="S77" s="193" t="str">
        <f>IF(ISNUMBER(MATCH(B77, 'Sprint 3'!B:B, 0)), "มาจาก Sprint 3", "")</f>
        <v/>
      </c>
    </row>
    <row r="78">
      <c r="A78" s="102" t="s">
        <v>310</v>
      </c>
      <c r="B78" s="102" t="s">
        <v>11095</v>
      </c>
      <c r="C78" s="229" t="s">
        <v>11096</v>
      </c>
      <c r="D78" s="102" t="s">
        <v>11097</v>
      </c>
      <c r="E78" s="102" t="s">
        <v>495</v>
      </c>
      <c r="F78" s="102" t="s">
        <v>496</v>
      </c>
      <c r="G78" s="102" t="s">
        <v>282</v>
      </c>
      <c r="H78" s="102" t="s">
        <v>283</v>
      </c>
      <c r="I78" s="102" t="s">
        <v>284</v>
      </c>
      <c r="J78" s="102" t="s">
        <v>26</v>
      </c>
      <c r="L78" s="229" t="s">
        <v>11098</v>
      </c>
      <c r="M78" s="229" t="s">
        <v>11099</v>
      </c>
      <c r="O78" s="102">
        <v>1.0</v>
      </c>
      <c r="P78" s="102"/>
      <c r="Q78" s="102"/>
      <c r="R78" s="102"/>
      <c r="S78" s="193" t="str">
        <f>IF(ISNUMBER(MATCH(B78, 'Sprint 3'!B:B, 0)), "มาจาก Sprint 3", "")</f>
        <v/>
      </c>
    </row>
    <row r="79">
      <c r="A79" s="102" t="s">
        <v>310</v>
      </c>
      <c r="B79" s="102" t="s">
        <v>10076</v>
      </c>
      <c r="C79" s="229" t="s">
        <v>10077</v>
      </c>
      <c r="D79" s="102" t="s">
        <v>10078</v>
      </c>
      <c r="E79" s="102" t="s">
        <v>495</v>
      </c>
      <c r="F79" s="102" t="s">
        <v>496</v>
      </c>
      <c r="G79" s="102" t="s">
        <v>282</v>
      </c>
      <c r="H79" s="102" t="s">
        <v>283</v>
      </c>
      <c r="I79" s="102" t="s">
        <v>284</v>
      </c>
      <c r="J79" s="102" t="s">
        <v>678</v>
      </c>
      <c r="L79" s="229" t="s">
        <v>10079</v>
      </c>
      <c r="M79" s="229" t="s">
        <v>11100</v>
      </c>
      <c r="O79" s="102">
        <v>3.0</v>
      </c>
      <c r="P79" s="102" t="s">
        <v>593</v>
      </c>
      <c r="Q79" s="102" t="s">
        <v>1808</v>
      </c>
      <c r="R79" s="102">
        <v>28800.0</v>
      </c>
      <c r="S79" s="193" t="str">
        <f>IF(ISNUMBER(MATCH(B79, 'Sprint 3'!B:B, 0)), "มาจาก Sprint 3", "")</f>
        <v/>
      </c>
    </row>
    <row r="80">
      <c r="A80" s="102" t="s">
        <v>310</v>
      </c>
      <c r="B80" s="102" t="s">
        <v>9088</v>
      </c>
      <c r="C80" s="229" t="s">
        <v>9089</v>
      </c>
      <c r="D80" s="102" t="s">
        <v>9090</v>
      </c>
      <c r="E80" s="102" t="s">
        <v>495</v>
      </c>
      <c r="F80" s="102" t="s">
        <v>496</v>
      </c>
      <c r="G80" s="102" t="s">
        <v>282</v>
      </c>
      <c r="H80" s="102" t="s">
        <v>283</v>
      </c>
      <c r="I80" s="102" t="s">
        <v>284</v>
      </c>
      <c r="J80" s="102" t="s">
        <v>678</v>
      </c>
      <c r="L80" s="229" t="s">
        <v>9091</v>
      </c>
      <c r="M80" s="229" t="s">
        <v>11101</v>
      </c>
      <c r="O80" s="102">
        <v>2.0</v>
      </c>
      <c r="P80" s="102" t="s">
        <v>593</v>
      </c>
      <c r="Q80" s="102" t="s">
        <v>7229</v>
      </c>
      <c r="R80" s="102">
        <v>14400.0</v>
      </c>
      <c r="S80" s="193" t="str">
        <f>IF(ISNUMBER(MATCH(B80, 'Sprint 3'!B:B, 0)), "มาจาก Sprint 3", "")</f>
        <v/>
      </c>
    </row>
    <row r="81">
      <c r="A81" s="102" t="s">
        <v>310</v>
      </c>
      <c r="B81" s="102" t="s">
        <v>11102</v>
      </c>
      <c r="C81" s="229" t="s">
        <v>11103</v>
      </c>
      <c r="D81" s="102" t="s">
        <v>11104</v>
      </c>
      <c r="E81" s="102" t="s">
        <v>495</v>
      </c>
      <c r="F81" s="102" t="s">
        <v>496</v>
      </c>
      <c r="G81" s="102" t="s">
        <v>282</v>
      </c>
      <c r="H81" s="102" t="s">
        <v>283</v>
      </c>
      <c r="I81" s="102" t="s">
        <v>284</v>
      </c>
      <c r="J81" s="102" t="s">
        <v>26</v>
      </c>
      <c r="L81" s="229" t="s">
        <v>11105</v>
      </c>
      <c r="M81" s="229" t="s">
        <v>10832</v>
      </c>
      <c r="O81" s="102">
        <v>3.0</v>
      </c>
      <c r="P81" s="102" t="s">
        <v>504</v>
      </c>
      <c r="R81" s="102">
        <v>43200.0</v>
      </c>
      <c r="S81" s="193" t="str">
        <f>IF(ISNUMBER(MATCH(B81, 'Sprint 3'!B:B, 0)), "มาจาก Sprint 3", "")</f>
        <v/>
      </c>
    </row>
    <row r="82">
      <c r="A82" s="102" t="s">
        <v>332</v>
      </c>
      <c r="B82" s="102" t="s">
        <v>10083</v>
      </c>
      <c r="C82" s="229" t="s">
        <v>10084</v>
      </c>
      <c r="D82" s="102" t="s">
        <v>10085</v>
      </c>
      <c r="E82" s="102" t="s">
        <v>282</v>
      </c>
      <c r="F82" s="102" t="s">
        <v>283</v>
      </c>
      <c r="G82" s="102" t="s">
        <v>316</v>
      </c>
      <c r="H82" s="102" t="s">
        <v>317</v>
      </c>
      <c r="I82" s="102" t="s">
        <v>515</v>
      </c>
      <c r="J82" s="102" t="s">
        <v>1075</v>
      </c>
      <c r="L82" s="229" t="s">
        <v>10086</v>
      </c>
      <c r="M82" s="229" t="s">
        <v>11106</v>
      </c>
      <c r="N82" s="102"/>
      <c r="O82" s="102"/>
      <c r="P82" s="102"/>
      <c r="R82" s="102"/>
      <c r="S82" s="193" t="str">
        <f>IF(ISNUMBER(MATCH(B82, 'Sprint 3'!B:B, 0)), "มาจาก Sprint 3", "")</f>
        <v/>
      </c>
    </row>
    <row r="83">
      <c r="A83" s="102" t="s">
        <v>310</v>
      </c>
      <c r="B83" s="102" t="s">
        <v>11107</v>
      </c>
      <c r="C83" s="229" t="s">
        <v>11108</v>
      </c>
      <c r="D83" s="102" t="s">
        <v>11109</v>
      </c>
      <c r="E83" s="102" t="s">
        <v>282</v>
      </c>
      <c r="F83" s="102" t="s">
        <v>283</v>
      </c>
      <c r="G83" s="102" t="s">
        <v>316</v>
      </c>
      <c r="H83" s="102" t="s">
        <v>317</v>
      </c>
      <c r="I83" s="102" t="s">
        <v>515</v>
      </c>
      <c r="J83" s="102" t="s">
        <v>26</v>
      </c>
      <c r="L83" s="229" t="s">
        <v>11110</v>
      </c>
      <c r="M83" s="229" t="s">
        <v>11111</v>
      </c>
      <c r="N83" s="229" t="s">
        <v>10731</v>
      </c>
      <c r="O83" s="102">
        <v>1.0</v>
      </c>
      <c r="P83" s="102" t="s">
        <v>593</v>
      </c>
      <c r="R83" s="102">
        <v>1800.0</v>
      </c>
      <c r="S83" s="193" t="str">
        <f>IF(ISNUMBER(MATCH(B83, 'Sprint 3'!B:B, 0)), "มาจาก Sprint 3", "")</f>
        <v/>
      </c>
    </row>
    <row r="84">
      <c r="A84" s="102" t="s">
        <v>310</v>
      </c>
      <c r="B84" s="102" t="s">
        <v>10765</v>
      </c>
      <c r="C84" s="229" t="s">
        <v>10766</v>
      </c>
      <c r="D84" s="102" t="s">
        <v>10767</v>
      </c>
      <c r="E84" s="102" t="s">
        <v>556</v>
      </c>
      <c r="F84" s="102" t="s">
        <v>557</v>
      </c>
      <c r="G84" s="102" t="s">
        <v>353</v>
      </c>
      <c r="H84" s="102" t="s">
        <v>354</v>
      </c>
      <c r="I84" s="102" t="s">
        <v>284</v>
      </c>
      <c r="J84" s="102" t="s">
        <v>454</v>
      </c>
      <c r="L84" s="229" t="s">
        <v>10764</v>
      </c>
      <c r="M84" s="229" t="s">
        <v>11112</v>
      </c>
      <c r="N84" s="229" t="s">
        <v>10071</v>
      </c>
      <c r="O84" s="102">
        <v>5.0</v>
      </c>
      <c r="R84" s="102">
        <v>57600.0</v>
      </c>
      <c r="S84" s="193" t="str">
        <f>IF(ISNUMBER(MATCH(B84, 'Sprint 3'!B:B, 0)), "มาจาก Sprint 3", "")</f>
        <v/>
      </c>
    </row>
    <row r="85">
      <c r="A85" s="102" t="s">
        <v>276</v>
      </c>
      <c r="B85" s="102" t="s">
        <v>11113</v>
      </c>
      <c r="C85" s="229" t="s">
        <v>11114</v>
      </c>
      <c r="D85" s="102" t="s">
        <v>347</v>
      </c>
      <c r="E85" s="102" t="s">
        <v>280</v>
      </c>
      <c r="F85" s="102" t="s">
        <v>281</v>
      </c>
      <c r="G85" s="102" t="s">
        <v>280</v>
      </c>
      <c r="H85" s="102" t="s">
        <v>281</v>
      </c>
      <c r="I85" s="102" t="s">
        <v>284</v>
      </c>
      <c r="J85" s="102" t="s">
        <v>26</v>
      </c>
      <c r="L85" s="229" t="s">
        <v>11115</v>
      </c>
      <c r="M85" s="229" t="s">
        <v>11116</v>
      </c>
      <c r="O85" s="230"/>
      <c r="R85" s="102">
        <v>0.0</v>
      </c>
      <c r="S85" s="193" t="str">
        <f>IF(ISNUMBER(MATCH(B85, 'Sprint 3'!B:B, 0)), "มาจาก Sprint 3", "")</f>
        <v>มาจาก Sprint 3</v>
      </c>
    </row>
    <row r="86">
      <c r="A86" s="102" t="s">
        <v>276</v>
      </c>
      <c r="B86" s="102" t="s">
        <v>11117</v>
      </c>
      <c r="C86" s="229" t="s">
        <v>11118</v>
      </c>
      <c r="D86" s="102" t="s">
        <v>347</v>
      </c>
      <c r="E86" s="102" t="s">
        <v>280</v>
      </c>
      <c r="F86" s="102" t="s">
        <v>281</v>
      </c>
      <c r="G86" s="102" t="s">
        <v>280</v>
      </c>
      <c r="H86" s="102" t="s">
        <v>281</v>
      </c>
      <c r="I86" s="102" t="s">
        <v>284</v>
      </c>
      <c r="J86" s="102" t="s">
        <v>26</v>
      </c>
      <c r="L86" s="229" t="s">
        <v>11115</v>
      </c>
      <c r="M86" s="229" t="s">
        <v>11116</v>
      </c>
      <c r="O86" s="230"/>
      <c r="R86" s="230"/>
      <c r="S86" s="193" t="str">
        <f>IF(ISNUMBER(MATCH(B86, 'Sprint 3'!B:B, 0)), "มาจาก Sprint 3", "")</f>
        <v>มาจาก Sprint 3</v>
      </c>
    </row>
    <row r="87">
      <c r="A87" s="102" t="s">
        <v>332</v>
      </c>
      <c r="B87" s="102" t="s">
        <v>10093</v>
      </c>
      <c r="C87" s="229" t="s">
        <v>10094</v>
      </c>
      <c r="D87" s="102" t="s">
        <v>10095</v>
      </c>
      <c r="E87" s="102" t="s">
        <v>282</v>
      </c>
      <c r="F87" s="102" t="s">
        <v>283</v>
      </c>
      <c r="G87" s="102" t="s">
        <v>316</v>
      </c>
      <c r="H87" s="102" t="s">
        <v>317</v>
      </c>
      <c r="I87" s="102" t="s">
        <v>284</v>
      </c>
      <c r="J87" s="102" t="s">
        <v>1075</v>
      </c>
      <c r="L87" s="229" t="s">
        <v>10096</v>
      </c>
      <c r="M87" s="229" t="s">
        <v>11119</v>
      </c>
      <c r="O87" s="230"/>
      <c r="R87" s="230"/>
      <c r="S87" s="193" t="str">
        <f>IF(ISNUMBER(MATCH(B87, 'Sprint 3'!B:B, 0)), "มาจาก Sprint 3", "")</f>
        <v/>
      </c>
    </row>
    <row r="88">
      <c r="A88" s="102" t="s">
        <v>4410</v>
      </c>
      <c r="B88" s="102" t="s">
        <v>11120</v>
      </c>
      <c r="C88" s="229" t="s">
        <v>11121</v>
      </c>
      <c r="D88" s="102" t="s">
        <v>11122</v>
      </c>
      <c r="E88" s="102" t="s">
        <v>556</v>
      </c>
      <c r="F88" s="102" t="s">
        <v>557</v>
      </c>
      <c r="G88" s="102" t="s">
        <v>353</v>
      </c>
      <c r="H88" s="102" t="s">
        <v>354</v>
      </c>
      <c r="I88" s="102" t="s">
        <v>284</v>
      </c>
      <c r="J88" s="102" t="s">
        <v>26</v>
      </c>
      <c r="L88" s="229" t="s">
        <v>11123</v>
      </c>
      <c r="M88" s="229" t="s">
        <v>10832</v>
      </c>
      <c r="O88" s="230"/>
      <c r="P88" s="102"/>
      <c r="R88" s="230"/>
      <c r="S88" s="193" t="str">
        <f>IF(ISNUMBER(MATCH(B88, 'Sprint 3'!B:B, 0)), "มาจาก Sprint 3", "")</f>
        <v>มาจาก Sprint 3</v>
      </c>
    </row>
    <row r="89">
      <c r="A89" s="102" t="s">
        <v>332</v>
      </c>
      <c r="B89" s="102" t="s">
        <v>11124</v>
      </c>
      <c r="C89" s="229" t="s">
        <v>11125</v>
      </c>
      <c r="D89" s="102" t="s">
        <v>11126</v>
      </c>
      <c r="E89" s="102" t="s">
        <v>353</v>
      </c>
      <c r="F89" s="102" t="s">
        <v>354</v>
      </c>
      <c r="G89" s="102" t="s">
        <v>280</v>
      </c>
      <c r="H89" s="102" t="s">
        <v>281</v>
      </c>
      <c r="I89" s="102" t="s">
        <v>284</v>
      </c>
      <c r="J89" s="102" t="s">
        <v>336</v>
      </c>
      <c r="L89" s="229" t="s">
        <v>9589</v>
      </c>
      <c r="M89" s="229" t="s">
        <v>11127</v>
      </c>
      <c r="O89" s="102"/>
      <c r="P89" s="102" t="s">
        <v>504</v>
      </c>
      <c r="R89" s="102"/>
      <c r="S89" s="193" t="str">
        <f>IF(ISNUMBER(MATCH(B89, 'Sprint 3'!B:B, 0)), "มาจาก Sprint 3", "")</f>
        <v/>
      </c>
    </row>
    <row r="90">
      <c r="A90" s="102" t="s">
        <v>4410</v>
      </c>
      <c r="B90" s="102" t="s">
        <v>11128</v>
      </c>
      <c r="C90" s="229" t="s">
        <v>11129</v>
      </c>
      <c r="D90" s="102" t="s">
        <v>11130</v>
      </c>
      <c r="E90" s="102" t="s">
        <v>353</v>
      </c>
      <c r="F90" s="102" t="s">
        <v>354</v>
      </c>
      <c r="G90" s="102" t="s">
        <v>353</v>
      </c>
      <c r="H90" s="102" t="s">
        <v>354</v>
      </c>
      <c r="I90" s="102" t="s">
        <v>284</v>
      </c>
      <c r="J90" s="102" t="s">
        <v>454</v>
      </c>
      <c r="L90" s="229" t="s">
        <v>11131</v>
      </c>
      <c r="M90" s="229" t="s">
        <v>11132</v>
      </c>
      <c r="O90" s="102">
        <v>1.0</v>
      </c>
      <c r="R90" s="102">
        <v>0.0</v>
      </c>
      <c r="S90" s="193" t="str">
        <f>IF(ISNUMBER(MATCH(B90, 'Sprint 3'!B:B, 0)), "มาจาก Sprint 3", "")</f>
        <v>มาจาก Sprint 3</v>
      </c>
      <c r="T90" s="102" t="s">
        <v>11133</v>
      </c>
    </row>
    <row r="91">
      <c r="A91" s="102" t="s">
        <v>276</v>
      </c>
      <c r="B91" s="102" t="s">
        <v>11134</v>
      </c>
      <c r="C91" s="229" t="s">
        <v>11135</v>
      </c>
      <c r="D91" s="102" t="s">
        <v>5650</v>
      </c>
      <c r="E91" s="102" t="s">
        <v>391</v>
      </c>
      <c r="F91" s="102" t="s">
        <v>392</v>
      </c>
      <c r="G91" s="102" t="s">
        <v>391</v>
      </c>
      <c r="H91" s="102" t="s">
        <v>392</v>
      </c>
      <c r="I91" s="102" t="s">
        <v>284</v>
      </c>
      <c r="J91" s="102" t="s">
        <v>26</v>
      </c>
      <c r="L91" s="229" t="s">
        <v>11136</v>
      </c>
      <c r="M91" s="229" t="s">
        <v>11137</v>
      </c>
      <c r="O91" s="230"/>
      <c r="R91" s="230"/>
      <c r="S91" s="193" t="str">
        <f>IF(ISNUMBER(MATCH(B91, 'Sprint 3'!B:B, 0)), "มาจาก Sprint 3", "")</f>
        <v>มาจาก Sprint 3</v>
      </c>
    </row>
    <row r="92">
      <c r="A92" s="102" t="s">
        <v>276</v>
      </c>
      <c r="B92" s="102" t="s">
        <v>11138</v>
      </c>
      <c r="C92" s="229" t="s">
        <v>11139</v>
      </c>
      <c r="D92" s="102" t="s">
        <v>5650</v>
      </c>
      <c r="E92" s="102" t="s">
        <v>391</v>
      </c>
      <c r="F92" s="102" t="s">
        <v>392</v>
      </c>
      <c r="G92" s="102" t="s">
        <v>391</v>
      </c>
      <c r="H92" s="102" t="s">
        <v>392</v>
      </c>
      <c r="I92" s="102" t="s">
        <v>284</v>
      </c>
      <c r="J92" s="102" t="s">
        <v>26</v>
      </c>
      <c r="L92" s="229" t="s">
        <v>11136</v>
      </c>
      <c r="M92" s="229" t="s">
        <v>11140</v>
      </c>
      <c r="O92" s="230"/>
      <c r="R92" s="230"/>
      <c r="S92" s="193" t="str">
        <f>IF(ISNUMBER(MATCH(B92, 'Sprint 3'!B:B, 0)), "มาจาก Sprint 3", "")</f>
        <v>มาจาก Sprint 3</v>
      </c>
    </row>
    <row r="93">
      <c r="A93" s="102" t="s">
        <v>276</v>
      </c>
      <c r="B93" s="102" t="s">
        <v>11141</v>
      </c>
      <c r="C93" s="229" t="s">
        <v>11142</v>
      </c>
      <c r="D93" s="102" t="s">
        <v>5650</v>
      </c>
      <c r="E93" s="102" t="s">
        <v>391</v>
      </c>
      <c r="F93" s="102" t="s">
        <v>392</v>
      </c>
      <c r="G93" s="102" t="s">
        <v>391</v>
      </c>
      <c r="H93" s="102" t="s">
        <v>392</v>
      </c>
      <c r="I93" s="102" t="s">
        <v>284</v>
      </c>
      <c r="J93" s="102" t="s">
        <v>26</v>
      </c>
      <c r="L93" s="229" t="s">
        <v>11143</v>
      </c>
      <c r="M93" s="229" t="s">
        <v>11140</v>
      </c>
      <c r="O93" s="230"/>
      <c r="R93" s="230"/>
      <c r="S93" s="193" t="str">
        <f>IF(ISNUMBER(MATCH(B93, 'Sprint 3'!B:B, 0)), "มาจาก Sprint 3", "")</f>
        <v>มาจาก Sprint 3</v>
      </c>
    </row>
    <row r="94">
      <c r="A94" s="102" t="s">
        <v>276</v>
      </c>
      <c r="B94" s="102" t="s">
        <v>11144</v>
      </c>
      <c r="C94" s="229" t="s">
        <v>11145</v>
      </c>
      <c r="D94" s="102" t="s">
        <v>5650</v>
      </c>
      <c r="E94" s="102" t="s">
        <v>391</v>
      </c>
      <c r="F94" s="102" t="s">
        <v>392</v>
      </c>
      <c r="G94" s="102" t="s">
        <v>391</v>
      </c>
      <c r="H94" s="102" t="s">
        <v>392</v>
      </c>
      <c r="I94" s="102" t="s">
        <v>284</v>
      </c>
      <c r="J94" s="102" t="s">
        <v>34</v>
      </c>
      <c r="L94" s="229" t="s">
        <v>11143</v>
      </c>
      <c r="M94" s="229" t="s">
        <v>11146</v>
      </c>
      <c r="O94" s="230"/>
      <c r="R94" s="230"/>
      <c r="S94" s="193" t="str">
        <f>IF(ISNUMBER(MATCH(B94, 'Sprint 3'!B:B, 0)), "มาจาก Sprint 3", "")</f>
        <v>มาจาก Sprint 3</v>
      </c>
    </row>
    <row r="95">
      <c r="A95" s="102" t="s">
        <v>276</v>
      </c>
      <c r="B95" s="102" t="s">
        <v>11147</v>
      </c>
      <c r="C95" s="229" t="s">
        <v>11148</v>
      </c>
      <c r="D95" s="102" t="s">
        <v>5650</v>
      </c>
      <c r="E95" s="102" t="s">
        <v>391</v>
      </c>
      <c r="F95" s="102" t="s">
        <v>392</v>
      </c>
      <c r="G95" s="102" t="s">
        <v>391</v>
      </c>
      <c r="H95" s="102" t="s">
        <v>392</v>
      </c>
      <c r="I95" s="102" t="s">
        <v>284</v>
      </c>
      <c r="J95" s="102" t="s">
        <v>454</v>
      </c>
      <c r="L95" s="229" t="s">
        <v>11143</v>
      </c>
      <c r="M95" s="229" t="s">
        <v>11149</v>
      </c>
      <c r="O95" s="230"/>
      <c r="R95" s="230"/>
      <c r="S95" s="193" t="str">
        <f>IF(ISNUMBER(MATCH(B95, 'Sprint 3'!B:B, 0)), "มาจาก Sprint 3", "")</f>
        <v>มาจาก Sprint 3</v>
      </c>
    </row>
    <row r="96">
      <c r="A96" s="102" t="s">
        <v>276</v>
      </c>
      <c r="B96" s="102" t="s">
        <v>11150</v>
      </c>
      <c r="C96" s="229" t="s">
        <v>11151</v>
      </c>
      <c r="D96" s="102" t="s">
        <v>5650</v>
      </c>
      <c r="E96" s="102" t="s">
        <v>391</v>
      </c>
      <c r="F96" s="102" t="s">
        <v>392</v>
      </c>
      <c r="G96" s="102" t="s">
        <v>391</v>
      </c>
      <c r="H96" s="102" t="s">
        <v>392</v>
      </c>
      <c r="I96" s="102" t="s">
        <v>284</v>
      </c>
      <c r="J96" s="102" t="s">
        <v>454</v>
      </c>
      <c r="L96" s="229" t="s">
        <v>11143</v>
      </c>
      <c r="M96" s="229" t="s">
        <v>11149</v>
      </c>
      <c r="O96" s="102"/>
      <c r="P96" s="102"/>
      <c r="R96" s="102"/>
      <c r="S96" s="193" t="str">
        <f>IF(ISNUMBER(MATCH(B96, 'Sprint 3'!B:B, 0)), "มาจาก Sprint 3", "")</f>
        <v>มาจาก Sprint 3</v>
      </c>
    </row>
    <row r="97">
      <c r="A97" s="102" t="s">
        <v>310</v>
      </c>
      <c r="B97" s="102" t="s">
        <v>10103</v>
      </c>
      <c r="C97" s="229" t="s">
        <v>10104</v>
      </c>
      <c r="D97" s="102" t="s">
        <v>10105</v>
      </c>
      <c r="E97" s="102" t="s">
        <v>282</v>
      </c>
      <c r="F97" s="102" t="s">
        <v>283</v>
      </c>
      <c r="G97" s="102" t="s">
        <v>282</v>
      </c>
      <c r="H97" s="102" t="s">
        <v>283</v>
      </c>
      <c r="I97" s="102" t="s">
        <v>284</v>
      </c>
      <c r="J97" s="102" t="s">
        <v>454</v>
      </c>
      <c r="L97" s="229" t="s">
        <v>10106</v>
      </c>
      <c r="M97" s="229" t="s">
        <v>11152</v>
      </c>
      <c r="N97" s="102"/>
      <c r="O97" s="102">
        <v>2.0</v>
      </c>
      <c r="P97" s="102" t="s">
        <v>1808</v>
      </c>
      <c r="R97" s="102">
        <v>0.0</v>
      </c>
      <c r="S97" s="193" t="str">
        <f>IF(ISNUMBER(MATCH(B97, 'Sprint 3'!B:B, 0)), "มาจาก Sprint 3", "")</f>
        <v>มาจาก Sprint 3</v>
      </c>
      <c r="T97" s="102" t="s">
        <v>11153</v>
      </c>
    </row>
    <row r="98">
      <c r="A98" s="102" t="s">
        <v>310</v>
      </c>
      <c r="B98" s="102" t="s">
        <v>10107</v>
      </c>
      <c r="C98" s="229" t="s">
        <v>10108</v>
      </c>
      <c r="D98" s="102" t="s">
        <v>10109</v>
      </c>
      <c r="E98" s="102" t="s">
        <v>282</v>
      </c>
      <c r="F98" s="102" t="s">
        <v>283</v>
      </c>
      <c r="G98" s="102" t="s">
        <v>316</v>
      </c>
      <c r="H98" s="102" t="s">
        <v>317</v>
      </c>
      <c r="I98" s="102" t="s">
        <v>284</v>
      </c>
      <c r="J98" s="102" t="s">
        <v>63</v>
      </c>
      <c r="L98" s="229" t="s">
        <v>10110</v>
      </c>
      <c r="M98" s="229" t="s">
        <v>11154</v>
      </c>
      <c r="N98" s="229" t="s">
        <v>10112</v>
      </c>
      <c r="O98" s="230"/>
      <c r="P98" s="102" t="s">
        <v>593</v>
      </c>
      <c r="R98" s="230"/>
      <c r="S98" s="193" t="str">
        <f>IF(ISNUMBER(MATCH(B98, 'Sprint 3'!B:B, 0)), "มาจาก Sprint 3", "")</f>
        <v/>
      </c>
    </row>
    <row r="99">
      <c r="A99" s="102" t="s">
        <v>332</v>
      </c>
      <c r="B99" s="102" t="s">
        <v>10113</v>
      </c>
      <c r="C99" s="229" t="s">
        <v>10114</v>
      </c>
      <c r="D99" s="102" t="s">
        <v>10115</v>
      </c>
      <c r="E99" s="102" t="s">
        <v>353</v>
      </c>
      <c r="F99" s="102" t="s">
        <v>354</v>
      </c>
      <c r="G99" s="102" t="s">
        <v>316</v>
      </c>
      <c r="H99" s="102" t="s">
        <v>317</v>
      </c>
      <c r="I99" s="102" t="s">
        <v>515</v>
      </c>
      <c r="J99" s="102" t="s">
        <v>922</v>
      </c>
      <c r="L99" s="229" t="s">
        <v>10116</v>
      </c>
      <c r="M99" s="229" t="s">
        <v>11155</v>
      </c>
      <c r="O99" s="102">
        <v>3.0</v>
      </c>
      <c r="R99" s="230"/>
      <c r="S99" s="193" t="str">
        <f>IF(ISNUMBER(MATCH(B99, 'Sprint 3'!B:B, 0)), "มาจาก Sprint 3", "")</f>
        <v>มาจาก Sprint 3</v>
      </c>
    </row>
    <row r="100">
      <c r="A100" s="102" t="s">
        <v>332</v>
      </c>
      <c r="B100" s="102" t="s">
        <v>10118</v>
      </c>
      <c r="C100" s="229" t="s">
        <v>10119</v>
      </c>
      <c r="D100" s="102" t="s">
        <v>10120</v>
      </c>
      <c r="E100" s="102" t="s">
        <v>513</v>
      </c>
      <c r="F100" s="102" t="s">
        <v>514</v>
      </c>
      <c r="G100" s="102" t="s">
        <v>521</v>
      </c>
      <c r="H100" s="102" t="s">
        <v>522</v>
      </c>
      <c r="I100" s="102" t="s">
        <v>284</v>
      </c>
      <c r="J100" s="102" t="s">
        <v>922</v>
      </c>
      <c r="L100" s="229" t="s">
        <v>10121</v>
      </c>
      <c r="M100" s="229" t="s">
        <v>11156</v>
      </c>
      <c r="O100" s="230"/>
      <c r="R100" s="230"/>
      <c r="S100" s="193" t="str">
        <f>IF(ISNUMBER(MATCH(B100, 'Sprint 3'!B:B, 0)), "มาจาก Sprint 3", "")</f>
        <v>มาจาก Sprint 3</v>
      </c>
    </row>
    <row r="101">
      <c r="A101" s="102" t="s">
        <v>276</v>
      </c>
      <c r="B101" s="102" t="s">
        <v>11157</v>
      </c>
      <c r="C101" s="229" t="s">
        <v>11158</v>
      </c>
      <c r="D101" s="102" t="s">
        <v>11159</v>
      </c>
      <c r="E101" s="102" t="s">
        <v>521</v>
      </c>
      <c r="F101" s="102" t="s">
        <v>522</v>
      </c>
      <c r="G101" s="102" t="s">
        <v>521</v>
      </c>
      <c r="H101" s="102" t="s">
        <v>522</v>
      </c>
      <c r="I101" s="102" t="s">
        <v>284</v>
      </c>
      <c r="J101" s="102" t="s">
        <v>26</v>
      </c>
      <c r="L101" s="229" t="s">
        <v>11160</v>
      </c>
      <c r="M101" s="229" t="s">
        <v>10979</v>
      </c>
      <c r="O101" s="230"/>
      <c r="R101" s="230"/>
      <c r="S101" s="193" t="str">
        <f>IF(ISNUMBER(MATCH(B101, 'Sprint 3'!B:B, 0)), "มาจาก Sprint 3", "")</f>
        <v>มาจาก Sprint 3</v>
      </c>
    </row>
    <row r="102">
      <c r="A102" s="102" t="s">
        <v>276</v>
      </c>
      <c r="B102" s="102" t="s">
        <v>11161</v>
      </c>
      <c r="C102" s="229" t="s">
        <v>11162</v>
      </c>
      <c r="D102" s="102" t="s">
        <v>11163</v>
      </c>
      <c r="E102" s="102" t="s">
        <v>521</v>
      </c>
      <c r="F102" s="102" t="s">
        <v>522</v>
      </c>
      <c r="G102" s="102" t="s">
        <v>521</v>
      </c>
      <c r="H102" s="102" t="s">
        <v>522</v>
      </c>
      <c r="I102" s="102" t="s">
        <v>284</v>
      </c>
      <c r="J102" s="102" t="s">
        <v>63</v>
      </c>
      <c r="L102" s="229" t="s">
        <v>11164</v>
      </c>
      <c r="M102" s="229" t="s">
        <v>11165</v>
      </c>
      <c r="O102" s="230"/>
      <c r="R102" s="230"/>
      <c r="S102" s="193" t="str">
        <f>IF(ISNUMBER(MATCH(B102, 'Sprint 3'!B:B, 0)), "มาจาก Sprint 3", "")</f>
        <v>มาจาก Sprint 3</v>
      </c>
    </row>
    <row r="103">
      <c r="A103" s="102" t="s">
        <v>276</v>
      </c>
      <c r="B103" s="102" t="s">
        <v>11166</v>
      </c>
      <c r="C103" s="229" t="s">
        <v>11167</v>
      </c>
      <c r="D103" s="102" t="s">
        <v>11168</v>
      </c>
      <c r="E103" s="102" t="s">
        <v>521</v>
      </c>
      <c r="F103" s="102" t="s">
        <v>522</v>
      </c>
      <c r="G103" s="102" t="s">
        <v>521</v>
      </c>
      <c r="H103" s="102" t="s">
        <v>522</v>
      </c>
      <c r="I103" s="102" t="s">
        <v>284</v>
      </c>
      <c r="J103" s="102" t="s">
        <v>63</v>
      </c>
      <c r="L103" s="229" t="s">
        <v>11169</v>
      </c>
      <c r="M103" s="229" t="s">
        <v>11164</v>
      </c>
      <c r="O103" s="230"/>
      <c r="R103" s="230"/>
      <c r="S103" s="193" t="str">
        <f>IF(ISNUMBER(MATCH(B103, 'Sprint 3'!B:B, 0)), "มาจาก Sprint 3", "")</f>
        <v>มาจาก Sprint 3</v>
      </c>
    </row>
    <row r="104">
      <c r="A104" s="102" t="s">
        <v>276</v>
      </c>
      <c r="B104" s="102" t="s">
        <v>11170</v>
      </c>
      <c r="C104" s="229" t="s">
        <v>11171</v>
      </c>
      <c r="D104" s="102" t="s">
        <v>11172</v>
      </c>
      <c r="E104" s="102" t="s">
        <v>521</v>
      </c>
      <c r="F104" s="102" t="s">
        <v>522</v>
      </c>
      <c r="G104" s="102" t="s">
        <v>521</v>
      </c>
      <c r="H104" s="102" t="s">
        <v>522</v>
      </c>
      <c r="I104" s="102" t="s">
        <v>284</v>
      </c>
      <c r="J104" s="102" t="s">
        <v>63</v>
      </c>
      <c r="L104" s="229" t="s">
        <v>11173</v>
      </c>
      <c r="M104" s="229" t="s">
        <v>11174</v>
      </c>
      <c r="O104" s="230"/>
      <c r="R104" s="230"/>
      <c r="S104" s="193" t="str">
        <f>IF(ISNUMBER(MATCH(B104, 'Sprint 3'!B:B, 0)), "มาจาก Sprint 3", "")</f>
        <v>มาจาก Sprint 3</v>
      </c>
    </row>
    <row r="105">
      <c r="A105" s="102" t="s">
        <v>276</v>
      </c>
      <c r="B105" s="102" t="s">
        <v>11175</v>
      </c>
      <c r="C105" s="229" t="s">
        <v>11176</v>
      </c>
      <c r="D105" s="102" t="s">
        <v>11177</v>
      </c>
      <c r="E105" s="102" t="s">
        <v>521</v>
      </c>
      <c r="F105" s="102" t="s">
        <v>522</v>
      </c>
      <c r="G105" s="102" t="s">
        <v>521</v>
      </c>
      <c r="H105" s="102" t="s">
        <v>522</v>
      </c>
      <c r="I105" s="102" t="s">
        <v>284</v>
      </c>
      <c r="J105" s="102" t="s">
        <v>26</v>
      </c>
      <c r="L105" s="229" t="s">
        <v>11178</v>
      </c>
      <c r="M105" s="229" t="s">
        <v>11179</v>
      </c>
      <c r="N105" s="102"/>
      <c r="O105" s="102"/>
      <c r="R105" s="230"/>
      <c r="S105" s="193" t="str">
        <f>IF(ISNUMBER(MATCH(B105, 'Sprint 3'!B:B, 0)), "มาจาก Sprint 3", "")</f>
        <v>มาจาก Sprint 3</v>
      </c>
    </row>
    <row r="106">
      <c r="A106" s="102" t="s">
        <v>4410</v>
      </c>
      <c r="B106" s="102" t="s">
        <v>11180</v>
      </c>
      <c r="C106" s="229" t="s">
        <v>11181</v>
      </c>
      <c r="D106" s="102" t="s">
        <v>11182</v>
      </c>
      <c r="E106" s="102" t="s">
        <v>314</v>
      </c>
      <c r="F106" s="102" t="s">
        <v>315</v>
      </c>
      <c r="G106" s="102" t="s">
        <v>314</v>
      </c>
      <c r="H106" s="102" t="s">
        <v>315</v>
      </c>
      <c r="I106" s="102" t="s">
        <v>284</v>
      </c>
      <c r="J106" s="102" t="s">
        <v>26</v>
      </c>
      <c r="L106" s="229" t="s">
        <v>11183</v>
      </c>
      <c r="M106" s="229" t="s">
        <v>10872</v>
      </c>
      <c r="N106" s="229" t="s">
        <v>11184</v>
      </c>
      <c r="O106" s="102">
        <v>2.0</v>
      </c>
      <c r="R106" s="102">
        <v>0.0</v>
      </c>
      <c r="S106" s="193" t="str">
        <f>IF(ISNUMBER(MATCH(B106, 'Sprint 3'!B:B, 0)), "มาจาก Sprint 3", "")</f>
        <v>มาจาก Sprint 3</v>
      </c>
      <c r="T106" s="102">
        <v>1800.0</v>
      </c>
    </row>
    <row r="107">
      <c r="A107" s="102" t="s">
        <v>4410</v>
      </c>
      <c r="B107" s="102" t="s">
        <v>10411</v>
      </c>
      <c r="C107" s="229" t="s">
        <v>10412</v>
      </c>
      <c r="D107" s="102" t="s">
        <v>10413</v>
      </c>
      <c r="E107" s="102" t="s">
        <v>314</v>
      </c>
      <c r="F107" s="102" t="s">
        <v>315</v>
      </c>
      <c r="G107" s="102" t="s">
        <v>314</v>
      </c>
      <c r="H107" s="102" t="s">
        <v>315</v>
      </c>
      <c r="I107" s="102" t="s">
        <v>284</v>
      </c>
      <c r="J107" s="102" t="s">
        <v>355</v>
      </c>
      <c r="L107" s="229" t="s">
        <v>10414</v>
      </c>
      <c r="M107" s="229" t="s">
        <v>11185</v>
      </c>
      <c r="O107" s="102">
        <v>2.0</v>
      </c>
      <c r="P107" s="102"/>
      <c r="R107" s="102">
        <v>0.0</v>
      </c>
      <c r="S107" s="193" t="str">
        <f>IF(ISNUMBER(MATCH(B107, 'Sprint 3'!B:B, 0)), "มาจาก Sprint 3", "")</f>
        <v>มาจาก Sprint 3</v>
      </c>
      <c r="T107" s="102">
        <v>1800.0</v>
      </c>
    </row>
    <row r="108">
      <c r="A108" s="102" t="s">
        <v>4410</v>
      </c>
      <c r="B108" s="102" t="s">
        <v>10772</v>
      </c>
      <c r="C108" s="229" t="s">
        <v>10773</v>
      </c>
      <c r="D108" s="102" t="s">
        <v>10774</v>
      </c>
      <c r="E108" s="102" t="s">
        <v>353</v>
      </c>
      <c r="F108" s="102" t="s">
        <v>354</v>
      </c>
      <c r="G108" s="102" t="s">
        <v>353</v>
      </c>
      <c r="H108" s="102" t="s">
        <v>354</v>
      </c>
      <c r="I108" s="102" t="s">
        <v>284</v>
      </c>
      <c r="J108" s="102" t="s">
        <v>63</v>
      </c>
      <c r="L108" s="229" t="s">
        <v>10775</v>
      </c>
      <c r="M108" s="229" t="s">
        <v>11017</v>
      </c>
      <c r="O108" s="102">
        <v>1.0</v>
      </c>
      <c r="P108" s="102" t="s">
        <v>593</v>
      </c>
      <c r="R108" s="230"/>
      <c r="S108" s="193" t="str">
        <f>IF(ISNUMBER(MATCH(B108, 'Sprint 3'!B:B, 0)), "มาจาก Sprint 3", "")</f>
        <v>มาจาก Sprint 3</v>
      </c>
    </row>
    <row r="109">
      <c r="A109" s="102" t="s">
        <v>310</v>
      </c>
      <c r="B109" s="102" t="s">
        <v>11186</v>
      </c>
      <c r="C109" s="229" t="s">
        <v>11187</v>
      </c>
      <c r="D109" s="102" t="s">
        <v>11188</v>
      </c>
      <c r="E109" s="102" t="s">
        <v>495</v>
      </c>
      <c r="F109" s="102" t="s">
        <v>496</v>
      </c>
      <c r="G109" s="102" t="s">
        <v>10144</v>
      </c>
      <c r="H109" s="102" t="s">
        <v>305</v>
      </c>
      <c r="I109" s="102" t="s">
        <v>1921</v>
      </c>
      <c r="J109" s="102" t="s">
        <v>63</v>
      </c>
      <c r="L109" s="229" t="s">
        <v>11189</v>
      </c>
      <c r="M109" s="229" t="s">
        <v>11190</v>
      </c>
      <c r="N109" s="102"/>
      <c r="O109" s="102">
        <v>1.0</v>
      </c>
      <c r="P109" s="102" t="s">
        <v>593</v>
      </c>
      <c r="R109" s="230"/>
      <c r="S109" s="193" t="str">
        <f>IF(ISNUMBER(MATCH(B109, 'Sprint 3'!B:B, 0)), "มาจาก Sprint 3", "")</f>
        <v>มาจาก Sprint 3</v>
      </c>
    </row>
    <row r="110">
      <c r="A110" s="102" t="s">
        <v>310</v>
      </c>
      <c r="B110" s="102" t="s">
        <v>11191</v>
      </c>
      <c r="C110" s="229" t="s">
        <v>11192</v>
      </c>
      <c r="D110" s="102" t="s">
        <v>11193</v>
      </c>
      <c r="E110" s="102" t="s">
        <v>556</v>
      </c>
      <c r="F110" s="102" t="s">
        <v>557</v>
      </c>
      <c r="G110" s="102" t="s">
        <v>353</v>
      </c>
      <c r="H110" s="102" t="s">
        <v>354</v>
      </c>
      <c r="I110" s="102" t="s">
        <v>284</v>
      </c>
      <c r="J110" s="102" t="s">
        <v>26</v>
      </c>
      <c r="L110" s="229" t="s">
        <v>11194</v>
      </c>
      <c r="M110" s="229" t="s">
        <v>11015</v>
      </c>
      <c r="N110" s="229" t="s">
        <v>11184</v>
      </c>
      <c r="O110" s="102">
        <v>5.0</v>
      </c>
      <c r="P110" s="102" t="s">
        <v>538</v>
      </c>
      <c r="R110" s="230"/>
      <c r="S110" s="193" t="str">
        <f>IF(ISNUMBER(MATCH(B110, 'Sprint 3'!B:B, 0)), "มาจาก Sprint 3", "")</f>
        <v>มาจาก Sprint 3</v>
      </c>
    </row>
    <row r="111">
      <c r="A111" s="102" t="s">
        <v>310</v>
      </c>
      <c r="B111" s="102" t="s">
        <v>11195</v>
      </c>
      <c r="C111" s="229" t="s">
        <v>11196</v>
      </c>
      <c r="D111" s="102" t="s">
        <v>11197</v>
      </c>
      <c r="E111" s="102" t="s">
        <v>10234</v>
      </c>
      <c r="F111" s="102" t="s">
        <v>565</v>
      </c>
      <c r="G111" s="102" t="s">
        <v>353</v>
      </c>
      <c r="H111" s="102" t="s">
        <v>354</v>
      </c>
      <c r="I111" s="102" t="s">
        <v>284</v>
      </c>
      <c r="J111" s="102" t="s">
        <v>26</v>
      </c>
      <c r="L111" s="229" t="s">
        <v>11198</v>
      </c>
      <c r="M111" s="229" t="s">
        <v>11015</v>
      </c>
      <c r="N111" s="229" t="s">
        <v>11199</v>
      </c>
      <c r="O111" s="102">
        <v>3.0</v>
      </c>
      <c r="P111" s="102"/>
      <c r="Q111" s="102"/>
      <c r="R111" s="102"/>
      <c r="S111" s="193" t="str">
        <f>IF(ISNUMBER(MATCH(B111, 'Sprint 3'!B:B, 0)), "มาจาก Sprint 3", "")</f>
        <v>มาจาก Sprint 3</v>
      </c>
    </row>
    <row r="112">
      <c r="A112" s="102" t="s">
        <v>310</v>
      </c>
      <c r="B112" s="102" t="s">
        <v>10777</v>
      </c>
      <c r="C112" s="229" t="s">
        <v>10778</v>
      </c>
      <c r="D112" s="102" t="s">
        <v>11200</v>
      </c>
      <c r="E112" s="102" t="s">
        <v>495</v>
      </c>
      <c r="F112" s="102" t="s">
        <v>496</v>
      </c>
      <c r="G112" s="102" t="s">
        <v>10144</v>
      </c>
      <c r="H112" s="102" t="s">
        <v>305</v>
      </c>
      <c r="I112" s="102" t="s">
        <v>284</v>
      </c>
      <c r="J112" s="102" t="s">
        <v>678</v>
      </c>
      <c r="L112" s="229" t="s">
        <v>10780</v>
      </c>
      <c r="M112" s="229" t="s">
        <v>10832</v>
      </c>
      <c r="O112" s="102">
        <v>3.0</v>
      </c>
      <c r="P112" s="102" t="s">
        <v>593</v>
      </c>
      <c r="Q112" s="102" t="s">
        <v>6415</v>
      </c>
      <c r="R112" s="102">
        <v>0.0</v>
      </c>
      <c r="S112" s="193" t="str">
        <f>IF(ISNUMBER(MATCH(B112, 'Sprint 3'!B:B, 0)), "มาจาก Sprint 3", "")</f>
        <v>มาจาก Sprint 3</v>
      </c>
      <c r="T112" s="102">
        <v>14400.0</v>
      </c>
    </row>
    <row r="113">
      <c r="A113" s="102" t="s">
        <v>310</v>
      </c>
      <c r="B113" s="102" t="s">
        <v>11201</v>
      </c>
      <c r="C113" s="229" t="s">
        <v>11202</v>
      </c>
      <c r="D113" s="102" t="s">
        <v>11203</v>
      </c>
      <c r="E113" s="102" t="s">
        <v>353</v>
      </c>
      <c r="F113" s="102" t="s">
        <v>354</v>
      </c>
      <c r="G113" s="102" t="s">
        <v>10144</v>
      </c>
      <c r="H113" s="102" t="s">
        <v>305</v>
      </c>
      <c r="I113" s="102" t="s">
        <v>284</v>
      </c>
      <c r="J113" s="102" t="s">
        <v>26</v>
      </c>
      <c r="L113" s="229" t="s">
        <v>11204</v>
      </c>
      <c r="M113" s="229" t="s">
        <v>10966</v>
      </c>
      <c r="O113" s="102">
        <v>5.0</v>
      </c>
      <c r="P113" s="102" t="s">
        <v>27</v>
      </c>
      <c r="R113" s="102">
        <v>0.0</v>
      </c>
      <c r="S113" s="193" t="str">
        <f>IF(ISNUMBER(MATCH(B113, 'Sprint 3'!B:B, 0)), "มาจาก Sprint 3", "")</f>
        <v>มาจาก Sprint 3</v>
      </c>
      <c r="T113" s="102">
        <v>86400.0</v>
      </c>
    </row>
    <row r="114">
      <c r="A114" s="102" t="s">
        <v>4410</v>
      </c>
      <c r="B114" s="102" t="s">
        <v>11205</v>
      </c>
      <c r="C114" s="229" t="s">
        <v>11206</v>
      </c>
      <c r="D114" s="102" t="s">
        <v>11207</v>
      </c>
      <c r="E114" s="102" t="s">
        <v>10234</v>
      </c>
      <c r="F114" s="102" t="s">
        <v>565</v>
      </c>
      <c r="G114" s="102" t="s">
        <v>353</v>
      </c>
      <c r="H114" s="102" t="s">
        <v>354</v>
      </c>
      <c r="I114" s="102" t="s">
        <v>284</v>
      </c>
      <c r="J114" s="102" t="s">
        <v>26</v>
      </c>
      <c r="L114" s="229" t="s">
        <v>11208</v>
      </c>
      <c r="M114" s="229" t="s">
        <v>10832</v>
      </c>
      <c r="O114" s="102">
        <v>1.0</v>
      </c>
      <c r="P114" s="102" t="s">
        <v>777</v>
      </c>
      <c r="R114" s="230"/>
      <c r="S114" s="193" t="str">
        <f>IF(ISNUMBER(MATCH(B114, 'Sprint 3'!B:B, 0)), "มาจาก Sprint 3", "")</f>
        <v>มาจาก Sprint 3</v>
      </c>
    </row>
    <row r="115">
      <c r="A115" s="102" t="s">
        <v>4410</v>
      </c>
      <c r="B115" s="102" t="s">
        <v>11209</v>
      </c>
      <c r="C115" s="229" t="s">
        <v>11210</v>
      </c>
      <c r="D115" s="102" t="s">
        <v>11211</v>
      </c>
      <c r="E115" s="102" t="s">
        <v>10234</v>
      </c>
      <c r="F115" s="102" t="s">
        <v>565</v>
      </c>
      <c r="G115" s="102" t="s">
        <v>353</v>
      </c>
      <c r="H115" s="102" t="s">
        <v>354</v>
      </c>
      <c r="I115" s="102" t="s">
        <v>284</v>
      </c>
      <c r="J115" s="102" t="s">
        <v>26</v>
      </c>
      <c r="L115" s="229" t="s">
        <v>11212</v>
      </c>
      <c r="M115" s="229" t="s">
        <v>11213</v>
      </c>
      <c r="O115" s="102">
        <v>1.0</v>
      </c>
      <c r="R115" s="230"/>
      <c r="S115" s="193" t="str">
        <f>IF(ISNUMBER(MATCH(B115, 'Sprint 3'!B:B, 0)), "มาจาก Sprint 3", "")</f>
        <v>มาจาก Sprint 3</v>
      </c>
    </row>
    <row r="116">
      <c r="A116" s="102" t="s">
        <v>4410</v>
      </c>
      <c r="B116" s="102" t="s">
        <v>11214</v>
      </c>
      <c r="C116" s="229" t="s">
        <v>11215</v>
      </c>
      <c r="D116" s="102" t="s">
        <v>11216</v>
      </c>
      <c r="E116" s="102" t="s">
        <v>353</v>
      </c>
      <c r="F116" s="102" t="s">
        <v>354</v>
      </c>
      <c r="G116" s="102" t="s">
        <v>353</v>
      </c>
      <c r="H116" s="102" t="s">
        <v>354</v>
      </c>
      <c r="I116" s="102" t="s">
        <v>284</v>
      </c>
      <c r="J116" s="102" t="s">
        <v>26</v>
      </c>
      <c r="L116" s="229" t="s">
        <v>11217</v>
      </c>
      <c r="M116" s="229" t="s">
        <v>11218</v>
      </c>
      <c r="O116" s="102">
        <v>1.0</v>
      </c>
      <c r="P116" s="102"/>
      <c r="R116" s="230"/>
      <c r="S116" s="193" t="str">
        <f>IF(ISNUMBER(MATCH(B116, 'Sprint 3'!B:B, 0)), "มาจาก Sprint 3", "")</f>
        <v>มาจาก Sprint 3</v>
      </c>
    </row>
    <row r="117">
      <c r="A117" s="102" t="s">
        <v>4410</v>
      </c>
      <c r="B117" s="102" t="s">
        <v>11219</v>
      </c>
      <c r="C117" s="229" t="s">
        <v>11220</v>
      </c>
      <c r="D117" s="102" t="s">
        <v>11221</v>
      </c>
      <c r="E117" s="102" t="s">
        <v>495</v>
      </c>
      <c r="F117" s="102" t="s">
        <v>496</v>
      </c>
      <c r="G117" s="102" t="s">
        <v>353</v>
      </c>
      <c r="H117" s="102" t="s">
        <v>354</v>
      </c>
      <c r="I117" s="102" t="s">
        <v>284</v>
      </c>
      <c r="J117" s="102" t="s">
        <v>26</v>
      </c>
      <c r="L117" s="229" t="s">
        <v>11222</v>
      </c>
      <c r="M117" s="229" t="s">
        <v>11218</v>
      </c>
      <c r="O117" s="102">
        <v>1.0</v>
      </c>
      <c r="P117" s="102" t="s">
        <v>777</v>
      </c>
      <c r="Q117" s="102"/>
      <c r="R117" s="230"/>
      <c r="S117" s="193" t="str">
        <f>IF(ISNUMBER(MATCH(B117, 'Sprint 3'!B:B, 0)), "มาจาก Sprint 3", "")</f>
        <v>มาจาก Sprint 3</v>
      </c>
    </row>
    <row r="118">
      <c r="A118" s="102" t="s">
        <v>4410</v>
      </c>
      <c r="B118" s="102" t="s">
        <v>11223</v>
      </c>
      <c r="C118" s="229" t="s">
        <v>11224</v>
      </c>
      <c r="D118" s="102" t="s">
        <v>11225</v>
      </c>
      <c r="E118" s="102" t="s">
        <v>495</v>
      </c>
      <c r="F118" s="102" t="s">
        <v>496</v>
      </c>
      <c r="G118" s="102" t="s">
        <v>353</v>
      </c>
      <c r="H118" s="102" t="s">
        <v>354</v>
      </c>
      <c r="I118" s="102" t="s">
        <v>284</v>
      </c>
      <c r="J118" s="102" t="s">
        <v>454</v>
      </c>
      <c r="L118" s="229" t="s">
        <v>11226</v>
      </c>
      <c r="M118" s="229" t="s">
        <v>11227</v>
      </c>
      <c r="N118" s="102"/>
      <c r="O118" s="102">
        <v>1.0</v>
      </c>
      <c r="P118" s="102" t="s">
        <v>11228</v>
      </c>
      <c r="Q118" s="102" t="s">
        <v>435</v>
      </c>
      <c r="R118" s="102"/>
      <c r="S118" s="193" t="str">
        <f>IF(ISNUMBER(MATCH(B118, 'Sprint 3'!B:B, 0)), "มาจาก Sprint 3", "")</f>
        <v>มาจาก Sprint 3</v>
      </c>
    </row>
    <row r="119">
      <c r="A119" s="102" t="s">
        <v>310</v>
      </c>
      <c r="B119" s="102" t="s">
        <v>11229</v>
      </c>
      <c r="C119" s="229" t="s">
        <v>11230</v>
      </c>
      <c r="D119" s="102" t="s">
        <v>11231</v>
      </c>
      <c r="E119" s="102" t="s">
        <v>10144</v>
      </c>
      <c r="F119" s="102" t="s">
        <v>305</v>
      </c>
      <c r="G119" s="102" t="s">
        <v>10144</v>
      </c>
      <c r="H119" s="102" t="s">
        <v>305</v>
      </c>
      <c r="I119" s="102" t="s">
        <v>284</v>
      </c>
      <c r="J119" s="102" t="s">
        <v>454</v>
      </c>
      <c r="L119" s="229" t="s">
        <v>11232</v>
      </c>
      <c r="M119" s="229" t="s">
        <v>10832</v>
      </c>
      <c r="N119" s="229" t="s">
        <v>10097</v>
      </c>
      <c r="O119" s="102">
        <v>3.0</v>
      </c>
      <c r="P119" s="102" t="s">
        <v>27</v>
      </c>
      <c r="R119" s="102">
        <v>0.0</v>
      </c>
      <c r="S119" s="193" t="str">
        <f>IF(ISNUMBER(MATCH(B119, 'Sprint 3'!B:B, 0)), "มาจาก Sprint 3", "")</f>
        <v>มาจาก Sprint 3</v>
      </c>
      <c r="T119" s="102">
        <v>28800.0</v>
      </c>
    </row>
    <row r="120">
      <c r="A120" s="102" t="s">
        <v>332</v>
      </c>
      <c r="B120" s="102" t="s">
        <v>10126</v>
      </c>
      <c r="C120" s="229" t="s">
        <v>10127</v>
      </c>
      <c r="D120" s="102" t="s">
        <v>10128</v>
      </c>
      <c r="E120" s="102" t="s">
        <v>282</v>
      </c>
      <c r="F120" s="102" t="s">
        <v>283</v>
      </c>
      <c r="G120" s="102" t="s">
        <v>316</v>
      </c>
      <c r="H120" s="102" t="s">
        <v>317</v>
      </c>
      <c r="I120" s="102" t="s">
        <v>515</v>
      </c>
      <c r="J120" s="102" t="s">
        <v>1075</v>
      </c>
      <c r="L120" s="229" t="s">
        <v>10129</v>
      </c>
      <c r="M120" s="229" t="s">
        <v>11233</v>
      </c>
      <c r="N120" s="102"/>
      <c r="O120" s="102"/>
      <c r="R120" s="230"/>
      <c r="S120" s="193" t="str">
        <f>IF(ISNUMBER(MATCH(B120, 'Sprint 3'!B:B, 0)), "มาจาก Sprint 3", "")</f>
        <v/>
      </c>
    </row>
    <row r="121">
      <c r="A121" s="102" t="s">
        <v>332</v>
      </c>
      <c r="B121" s="102" t="s">
        <v>11234</v>
      </c>
      <c r="C121" s="229" t="s">
        <v>11235</v>
      </c>
      <c r="D121" s="102" t="s">
        <v>11236</v>
      </c>
      <c r="E121" s="102" t="s">
        <v>10234</v>
      </c>
      <c r="F121" s="102" t="s">
        <v>565</v>
      </c>
      <c r="G121" s="102" t="s">
        <v>316</v>
      </c>
      <c r="H121" s="102" t="s">
        <v>317</v>
      </c>
      <c r="I121" s="102" t="s">
        <v>1921</v>
      </c>
      <c r="J121" s="102" t="s">
        <v>336</v>
      </c>
      <c r="L121" s="229" t="s">
        <v>11237</v>
      </c>
      <c r="M121" s="229" t="s">
        <v>10832</v>
      </c>
      <c r="N121" s="229" t="s">
        <v>11238</v>
      </c>
      <c r="O121" s="102">
        <v>2.0</v>
      </c>
      <c r="R121" s="230"/>
      <c r="S121" s="193" t="str">
        <f>IF(ISNUMBER(MATCH(B121, 'Sprint 3'!B:B, 0)), "มาจาก Sprint 3", "")</f>
        <v/>
      </c>
    </row>
    <row r="122">
      <c r="A122" s="102" t="s">
        <v>332</v>
      </c>
      <c r="B122" s="102" t="s">
        <v>10132</v>
      </c>
      <c r="C122" s="229" t="s">
        <v>10133</v>
      </c>
      <c r="D122" s="102" t="s">
        <v>10134</v>
      </c>
      <c r="E122" s="102" t="s">
        <v>282</v>
      </c>
      <c r="F122" s="102" t="s">
        <v>283</v>
      </c>
      <c r="G122" s="102" t="s">
        <v>316</v>
      </c>
      <c r="H122" s="102" t="s">
        <v>317</v>
      </c>
      <c r="I122" s="102" t="s">
        <v>515</v>
      </c>
      <c r="J122" s="102" t="s">
        <v>1075</v>
      </c>
      <c r="L122" s="229" t="s">
        <v>10135</v>
      </c>
      <c r="M122" s="229" t="s">
        <v>11239</v>
      </c>
      <c r="N122" s="102"/>
      <c r="O122" s="102"/>
      <c r="P122" s="102"/>
      <c r="R122" s="102"/>
      <c r="S122" s="193" t="str">
        <f>IF(ISNUMBER(MATCH(B122, 'Sprint 3'!B:B, 0)), "มาจาก Sprint 3", "")</f>
        <v/>
      </c>
    </row>
    <row r="123">
      <c r="A123" s="102" t="s">
        <v>4410</v>
      </c>
      <c r="B123" s="102" t="s">
        <v>11240</v>
      </c>
      <c r="C123" s="229" t="s">
        <v>11241</v>
      </c>
      <c r="D123" s="102" t="s">
        <v>11242</v>
      </c>
      <c r="E123" s="102" t="s">
        <v>513</v>
      </c>
      <c r="F123" s="102" t="s">
        <v>514</v>
      </c>
      <c r="G123" s="102" t="s">
        <v>353</v>
      </c>
      <c r="H123" s="102" t="s">
        <v>354</v>
      </c>
      <c r="I123" s="102" t="s">
        <v>284</v>
      </c>
      <c r="J123" s="102" t="s">
        <v>26</v>
      </c>
      <c r="L123" s="229" t="s">
        <v>11243</v>
      </c>
      <c r="M123" s="229" t="s">
        <v>10832</v>
      </c>
      <c r="N123" s="229" t="s">
        <v>11244</v>
      </c>
      <c r="O123" s="102">
        <v>3.0</v>
      </c>
      <c r="P123" s="102" t="s">
        <v>8699</v>
      </c>
      <c r="R123" s="102">
        <v>0.0</v>
      </c>
      <c r="S123" s="193" t="str">
        <f>IF(ISNUMBER(MATCH(B123, 'Sprint 3'!B:B, 0)), "มาจาก Sprint 3", "")</f>
        <v>มาจาก Sprint 3</v>
      </c>
      <c r="T123" s="102">
        <v>28800.0</v>
      </c>
    </row>
    <row r="124">
      <c r="A124" s="102" t="s">
        <v>276</v>
      </c>
      <c r="B124" s="102" t="s">
        <v>11245</v>
      </c>
      <c r="C124" s="229" t="s">
        <v>11246</v>
      </c>
      <c r="D124" s="102" t="s">
        <v>11247</v>
      </c>
      <c r="E124" s="102"/>
      <c r="F124" s="102"/>
      <c r="G124" s="102" t="s">
        <v>521</v>
      </c>
      <c r="H124" s="102" t="s">
        <v>522</v>
      </c>
      <c r="I124" s="102" t="s">
        <v>284</v>
      </c>
      <c r="J124" s="102" t="s">
        <v>63</v>
      </c>
      <c r="L124" s="229" t="s">
        <v>11248</v>
      </c>
      <c r="M124" s="229" t="s">
        <v>11249</v>
      </c>
      <c r="O124" s="230"/>
      <c r="R124" s="230"/>
      <c r="S124" s="193" t="str">
        <f>IF(ISNUMBER(MATCH(B124, 'Sprint 3'!B:B, 0)), "มาจาก Sprint 3", "")</f>
        <v>มาจาก Sprint 3</v>
      </c>
    </row>
    <row r="125">
      <c r="A125" s="102" t="s">
        <v>276</v>
      </c>
      <c r="B125" s="102" t="s">
        <v>11250</v>
      </c>
      <c r="C125" s="229" t="s">
        <v>11251</v>
      </c>
      <c r="D125" s="102" t="s">
        <v>11252</v>
      </c>
      <c r="E125" s="102" t="s">
        <v>521</v>
      </c>
      <c r="F125" s="102" t="s">
        <v>522</v>
      </c>
      <c r="G125" s="102" t="s">
        <v>521</v>
      </c>
      <c r="H125" s="102" t="s">
        <v>522</v>
      </c>
      <c r="I125" s="102" t="s">
        <v>284</v>
      </c>
      <c r="J125" s="102" t="s">
        <v>63</v>
      </c>
      <c r="L125" s="229" t="s">
        <v>11248</v>
      </c>
      <c r="M125" s="229" t="s">
        <v>11249</v>
      </c>
      <c r="O125" s="230"/>
      <c r="R125" s="230"/>
      <c r="S125" s="193" t="str">
        <f>IF(ISNUMBER(MATCH(B125, 'Sprint 3'!B:B, 0)), "มาจาก Sprint 3", "")</f>
        <v>มาจาก Sprint 3</v>
      </c>
    </row>
    <row r="126">
      <c r="A126" s="102" t="s">
        <v>276</v>
      </c>
      <c r="B126" s="102" t="s">
        <v>11253</v>
      </c>
      <c r="C126" s="229" t="s">
        <v>11254</v>
      </c>
      <c r="D126" s="102" t="s">
        <v>11255</v>
      </c>
      <c r="E126" s="102"/>
      <c r="F126" s="102"/>
      <c r="G126" s="102" t="s">
        <v>521</v>
      </c>
      <c r="H126" s="102" t="s">
        <v>522</v>
      </c>
      <c r="I126" s="102" t="s">
        <v>284</v>
      </c>
      <c r="J126" s="102" t="s">
        <v>63</v>
      </c>
      <c r="L126" s="229" t="s">
        <v>11256</v>
      </c>
      <c r="M126" s="229" t="s">
        <v>11249</v>
      </c>
      <c r="O126" s="230"/>
      <c r="R126" s="230"/>
      <c r="S126" s="193" t="str">
        <f>IF(ISNUMBER(MATCH(B126, 'Sprint 3'!B:B, 0)), "มาจาก Sprint 3", "")</f>
        <v>มาจาก Sprint 3</v>
      </c>
    </row>
    <row r="127">
      <c r="A127" s="102" t="s">
        <v>276</v>
      </c>
      <c r="B127" s="102" t="s">
        <v>11257</v>
      </c>
      <c r="C127" s="229" t="s">
        <v>11258</v>
      </c>
      <c r="D127" s="102" t="s">
        <v>11259</v>
      </c>
      <c r="E127" s="102" t="s">
        <v>521</v>
      </c>
      <c r="F127" s="102" t="s">
        <v>522</v>
      </c>
      <c r="G127" s="102" t="s">
        <v>521</v>
      </c>
      <c r="H127" s="102" t="s">
        <v>522</v>
      </c>
      <c r="I127" s="102" t="s">
        <v>284</v>
      </c>
      <c r="J127" s="102" t="s">
        <v>63</v>
      </c>
      <c r="L127" s="229" t="s">
        <v>11256</v>
      </c>
      <c r="M127" s="229" t="s">
        <v>11249</v>
      </c>
      <c r="O127" s="230"/>
      <c r="R127" s="230"/>
      <c r="S127" s="193" t="str">
        <f>IF(ISNUMBER(MATCH(B127, 'Sprint 3'!B:B, 0)), "มาจาก Sprint 3", "")</f>
        <v>มาจาก Sprint 3</v>
      </c>
    </row>
    <row r="128">
      <c r="A128" s="102" t="s">
        <v>276</v>
      </c>
      <c r="B128" s="102" t="s">
        <v>11260</v>
      </c>
      <c r="C128" s="229" t="s">
        <v>11261</v>
      </c>
      <c r="D128" s="102" t="s">
        <v>11262</v>
      </c>
      <c r="E128" s="102" t="s">
        <v>521</v>
      </c>
      <c r="F128" s="102" t="s">
        <v>522</v>
      </c>
      <c r="G128" s="102" t="s">
        <v>521</v>
      </c>
      <c r="H128" s="102" t="s">
        <v>522</v>
      </c>
      <c r="I128" s="102" t="s">
        <v>284</v>
      </c>
      <c r="J128" s="102" t="s">
        <v>26</v>
      </c>
      <c r="L128" s="229" t="s">
        <v>11263</v>
      </c>
      <c r="M128" s="229" t="s">
        <v>11264</v>
      </c>
      <c r="O128" s="230"/>
      <c r="R128" s="230"/>
      <c r="S128" s="193" t="str">
        <f>IF(ISNUMBER(MATCH(B128, 'Sprint 3'!B:B, 0)), "มาจาก Sprint 3", "")</f>
        <v>มาจาก Sprint 3</v>
      </c>
    </row>
    <row r="129">
      <c r="A129" s="102" t="s">
        <v>276</v>
      </c>
      <c r="B129" s="102" t="s">
        <v>11265</v>
      </c>
      <c r="C129" s="229" t="s">
        <v>11266</v>
      </c>
      <c r="D129" s="102" t="s">
        <v>11267</v>
      </c>
      <c r="E129" s="102" t="s">
        <v>521</v>
      </c>
      <c r="F129" s="102" t="s">
        <v>522</v>
      </c>
      <c r="G129" s="102" t="s">
        <v>521</v>
      </c>
      <c r="H129" s="102" t="s">
        <v>522</v>
      </c>
      <c r="I129" s="102" t="s">
        <v>284</v>
      </c>
      <c r="J129" s="102" t="s">
        <v>26</v>
      </c>
      <c r="L129" s="229" t="s">
        <v>11263</v>
      </c>
      <c r="M129" s="229" t="s">
        <v>11268</v>
      </c>
      <c r="O129" s="230"/>
      <c r="R129" s="230"/>
      <c r="S129" s="193" t="str">
        <f>IF(ISNUMBER(MATCH(B129, 'Sprint 3'!B:B, 0)), "มาจาก Sprint 3", "")</f>
        <v>มาจาก Sprint 3</v>
      </c>
    </row>
    <row r="130">
      <c r="A130" s="102" t="s">
        <v>276</v>
      </c>
      <c r="B130" s="102" t="s">
        <v>11269</v>
      </c>
      <c r="C130" s="229" t="s">
        <v>11270</v>
      </c>
      <c r="D130" s="102" t="s">
        <v>11271</v>
      </c>
      <c r="E130" s="102" t="s">
        <v>521</v>
      </c>
      <c r="F130" s="102" t="s">
        <v>522</v>
      </c>
      <c r="G130" s="102" t="s">
        <v>521</v>
      </c>
      <c r="H130" s="102" t="s">
        <v>522</v>
      </c>
      <c r="I130" s="102" t="s">
        <v>284</v>
      </c>
      <c r="J130" s="102" t="s">
        <v>26</v>
      </c>
      <c r="L130" s="229" t="s">
        <v>11272</v>
      </c>
      <c r="M130" s="229" t="s">
        <v>11273</v>
      </c>
      <c r="O130" s="230"/>
      <c r="R130" s="230"/>
      <c r="S130" s="193" t="str">
        <f>IF(ISNUMBER(MATCH(B130, 'Sprint 3'!B:B, 0)), "มาจาก Sprint 3", "")</f>
        <v>มาจาก Sprint 3</v>
      </c>
    </row>
    <row r="131">
      <c r="A131" s="102" t="s">
        <v>276</v>
      </c>
      <c r="B131" s="102" t="s">
        <v>11274</v>
      </c>
      <c r="C131" s="229" t="s">
        <v>11275</v>
      </c>
      <c r="D131" s="102" t="s">
        <v>11276</v>
      </c>
      <c r="E131" s="102" t="s">
        <v>521</v>
      </c>
      <c r="F131" s="102" t="s">
        <v>522</v>
      </c>
      <c r="G131" s="102" t="s">
        <v>521</v>
      </c>
      <c r="H131" s="102" t="s">
        <v>522</v>
      </c>
      <c r="I131" s="102" t="s">
        <v>284</v>
      </c>
      <c r="J131" s="102" t="s">
        <v>26</v>
      </c>
      <c r="L131" s="229" t="s">
        <v>11277</v>
      </c>
      <c r="M131" s="229" t="s">
        <v>11278</v>
      </c>
      <c r="O131" s="230"/>
      <c r="R131" s="230"/>
      <c r="S131" s="193" t="str">
        <f>IF(ISNUMBER(MATCH(B131, 'Sprint 3'!B:B, 0)), "มาจาก Sprint 3", "")</f>
        <v>มาจาก Sprint 3</v>
      </c>
    </row>
    <row r="132">
      <c r="A132" s="102" t="s">
        <v>276</v>
      </c>
      <c r="B132" s="102" t="s">
        <v>11279</v>
      </c>
      <c r="C132" s="229" t="s">
        <v>11280</v>
      </c>
      <c r="D132" s="102" t="s">
        <v>11281</v>
      </c>
      <c r="E132" s="102" t="s">
        <v>521</v>
      </c>
      <c r="F132" s="102" t="s">
        <v>522</v>
      </c>
      <c r="G132" s="102" t="s">
        <v>521</v>
      </c>
      <c r="H132" s="102" t="s">
        <v>522</v>
      </c>
      <c r="I132" s="102" t="s">
        <v>284</v>
      </c>
      <c r="J132" s="102" t="s">
        <v>26</v>
      </c>
      <c r="L132" s="229" t="s">
        <v>11282</v>
      </c>
      <c r="M132" s="229" t="s">
        <v>11283</v>
      </c>
      <c r="O132" s="230"/>
      <c r="R132" s="230"/>
      <c r="S132" s="193" t="str">
        <f>IF(ISNUMBER(MATCH(B132, 'Sprint 3'!B:B, 0)), "มาจาก Sprint 3", "")</f>
        <v>มาจาก Sprint 3</v>
      </c>
    </row>
    <row r="133">
      <c r="A133" s="102" t="s">
        <v>276</v>
      </c>
      <c r="B133" s="102" t="s">
        <v>11284</v>
      </c>
      <c r="C133" s="229" t="s">
        <v>11285</v>
      </c>
      <c r="D133" s="102" t="s">
        <v>11286</v>
      </c>
      <c r="E133" s="102" t="s">
        <v>521</v>
      </c>
      <c r="F133" s="102" t="s">
        <v>522</v>
      </c>
      <c r="G133" s="102" t="s">
        <v>521</v>
      </c>
      <c r="H133" s="102" t="s">
        <v>522</v>
      </c>
      <c r="I133" s="102" t="s">
        <v>284</v>
      </c>
      <c r="J133" s="102" t="s">
        <v>26</v>
      </c>
      <c r="L133" s="229" t="s">
        <v>11287</v>
      </c>
      <c r="M133" s="229" t="s">
        <v>11288</v>
      </c>
      <c r="O133" s="230"/>
      <c r="R133" s="230"/>
      <c r="S133" s="193" t="str">
        <f>IF(ISNUMBER(MATCH(B133, 'Sprint 3'!B:B, 0)), "มาจาก Sprint 3", "")</f>
        <v>มาจาก Sprint 3</v>
      </c>
    </row>
    <row r="134">
      <c r="A134" s="102" t="s">
        <v>276</v>
      </c>
      <c r="B134" s="102" t="s">
        <v>11289</v>
      </c>
      <c r="C134" s="229" t="s">
        <v>11290</v>
      </c>
      <c r="D134" s="102" t="s">
        <v>11291</v>
      </c>
      <c r="G134" s="102" t="s">
        <v>353</v>
      </c>
      <c r="H134" s="102" t="s">
        <v>354</v>
      </c>
      <c r="I134" s="102" t="s">
        <v>284</v>
      </c>
      <c r="J134" s="102" t="s">
        <v>63</v>
      </c>
      <c r="L134" s="229" t="s">
        <v>11292</v>
      </c>
      <c r="M134" s="229" t="s">
        <v>11292</v>
      </c>
      <c r="O134" s="230"/>
      <c r="R134" s="230"/>
      <c r="S134" s="193" t="str">
        <f>IF(ISNUMBER(MATCH(B134, 'Sprint 3'!B:B, 0)), "มาจาก Sprint 3", "")</f>
        <v>มาจาก Sprint 3</v>
      </c>
    </row>
    <row r="135">
      <c r="A135" s="102" t="s">
        <v>276</v>
      </c>
      <c r="B135" s="102" t="s">
        <v>11293</v>
      </c>
      <c r="C135" s="229" t="s">
        <v>11294</v>
      </c>
      <c r="D135" s="102" t="s">
        <v>11295</v>
      </c>
      <c r="E135" s="102"/>
      <c r="F135" s="102"/>
      <c r="G135" s="102" t="s">
        <v>353</v>
      </c>
      <c r="H135" s="102" t="s">
        <v>354</v>
      </c>
      <c r="I135" s="102" t="s">
        <v>284</v>
      </c>
      <c r="J135" s="102" t="s">
        <v>63</v>
      </c>
      <c r="L135" s="229" t="s">
        <v>11292</v>
      </c>
      <c r="M135" s="229" t="s">
        <v>11296</v>
      </c>
      <c r="O135" s="102"/>
      <c r="R135" s="102"/>
      <c r="S135" s="193" t="str">
        <f>IF(ISNUMBER(MATCH(B135, 'Sprint 3'!B:B, 0)), "มาจาก Sprint 3", "")</f>
        <v>มาจาก Sprint 3</v>
      </c>
    </row>
    <row r="136">
      <c r="A136" s="102" t="s">
        <v>310</v>
      </c>
      <c r="B136" s="102" t="s">
        <v>11297</v>
      </c>
      <c r="C136" s="229" t="s">
        <v>11298</v>
      </c>
      <c r="D136" s="102" t="s">
        <v>11299</v>
      </c>
      <c r="E136" s="102" t="s">
        <v>11300</v>
      </c>
      <c r="F136" s="102" t="s">
        <v>11301</v>
      </c>
      <c r="G136" s="102" t="s">
        <v>353</v>
      </c>
      <c r="H136" s="102" t="s">
        <v>354</v>
      </c>
      <c r="I136" s="102" t="s">
        <v>284</v>
      </c>
      <c r="J136" s="102" t="s">
        <v>454</v>
      </c>
      <c r="L136" s="229" t="s">
        <v>11302</v>
      </c>
      <c r="M136" s="229" t="s">
        <v>11015</v>
      </c>
      <c r="N136" s="102"/>
      <c r="O136" s="102">
        <v>3.0</v>
      </c>
      <c r="P136" s="102"/>
      <c r="R136" s="102">
        <v>0.0</v>
      </c>
      <c r="S136" s="193" t="str">
        <f>IF(ISNUMBER(MATCH(B136, 'Sprint 3'!B:B, 0)), "มาจาก Sprint 3", "")</f>
        <v>มาจาก Sprint 3</v>
      </c>
      <c r="T136" s="102">
        <v>28800.0</v>
      </c>
    </row>
    <row r="137">
      <c r="A137" s="102" t="s">
        <v>310</v>
      </c>
      <c r="B137" s="102" t="s">
        <v>11303</v>
      </c>
      <c r="C137" s="229" t="s">
        <v>11304</v>
      </c>
      <c r="D137" s="102" t="s">
        <v>11305</v>
      </c>
      <c r="E137" s="102" t="s">
        <v>10234</v>
      </c>
      <c r="F137" s="102" t="s">
        <v>565</v>
      </c>
      <c r="G137" s="102" t="s">
        <v>353</v>
      </c>
      <c r="H137" s="102" t="s">
        <v>354</v>
      </c>
      <c r="I137" s="102" t="s">
        <v>284</v>
      </c>
      <c r="J137" s="102" t="s">
        <v>26</v>
      </c>
      <c r="L137" s="229" t="s">
        <v>11306</v>
      </c>
      <c r="M137" s="229" t="s">
        <v>11015</v>
      </c>
      <c r="N137" s="229" t="s">
        <v>11307</v>
      </c>
      <c r="O137" s="102">
        <v>1.0</v>
      </c>
      <c r="P137" s="102" t="s">
        <v>504</v>
      </c>
      <c r="R137" s="102"/>
      <c r="S137" s="193" t="str">
        <f>IF(ISNUMBER(MATCH(B137, 'Sprint 3'!B:B, 0)), "มาจาก Sprint 3", "")</f>
        <v>มาจาก Sprint 3</v>
      </c>
    </row>
    <row r="138">
      <c r="A138" s="102" t="s">
        <v>310</v>
      </c>
      <c r="B138" s="102" t="s">
        <v>11308</v>
      </c>
      <c r="C138" s="229" t="s">
        <v>11309</v>
      </c>
      <c r="D138" s="102" t="s">
        <v>11310</v>
      </c>
      <c r="E138" s="102" t="s">
        <v>10234</v>
      </c>
      <c r="F138" s="102" t="s">
        <v>565</v>
      </c>
      <c r="G138" s="102" t="s">
        <v>353</v>
      </c>
      <c r="H138" s="102" t="s">
        <v>354</v>
      </c>
      <c r="I138" s="102" t="s">
        <v>284</v>
      </c>
      <c r="J138" s="102" t="s">
        <v>26</v>
      </c>
      <c r="L138" s="229" t="s">
        <v>11306</v>
      </c>
      <c r="M138" s="229" t="s">
        <v>11015</v>
      </c>
      <c r="N138" s="229" t="s">
        <v>10112</v>
      </c>
      <c r="O138" s="102">
        <v>1.0</v>
      </c>
      <c r="P138" s="102" t="s">
        <v>504</v>
      </c>
      <c r="R138" s="102">
        <v>0.0</v>
      </c>
      <c r="S138" s="193" t="str">
        <f>IF(ISNUMBER(MATCH(B138, 'Sprint 3'!B:B, 0)), "มาจาก Sprint 3", "")</f>
        <v>มาจาก Sprint 3</v>
      </c>
      <c r="T138" s="102">
        <v>57600.0</v>
      </c>
    </row>
    <row r="139">
      <c r="A139" s="102" t="s">
        <v>310</v>
      </c>
      <c r="B139" s="102" t="s">
        <v>11311</v>
      </c>
      <c r="C139" s="229" t="s">
        <v>11312</v>
      </c>
      <c r="D139" s="102" t="s">
        <v>11313</v>
      </c>
      <c r="E139" s="102" t="s">
        <v>10234</v>
      </c>
      <c r="F139" s="102" t="s">
        <v>565</v>
      </c>
      <c r="G139" s="102" t="s">
        <v>353</v>
      </c>
      <c r="H139" s="102" t="s">
        <v>354</v>
      </c>
      <c r="I139" s="102" t="s">
        <v>284</v>
      </c>
      <c r="J139" s="102" t="s">
        <v>26</v>
      </c>
      <c r="L139" s="229" t="s">
        <v>11314</v>
      </c>
      <c r="M139" s="229" t="s">
        <v>11015</v>
      </c>
      <c r="N139" s="229" t="s">
        <v>11199</v>
      </c>
      <c r="O139" s="102">
        <v>1.0</v>
      </c>
      <c r="P139" s="102" t="s">
        <v>504</v>
      </c>
      <c r="R139" s="230"/>
      <c r="S139" s="193" t="str">
        <f>IF(ISNUMBER(MATCH(B139, 'Sprint 3'!B:B, 0)), "มาจาก Sprint 3", "")</f>
        <v>มาจาก Sprint 3</v>
      </c>
    </row>
    <row r="140">
      <c r="A140" s="102" t="s">
        <v>310</v>
      </c>
      <c r="B140" s="102" t="s">
        <v>11315</v>
      </c>
      <c r="C140" s="229" t="s">
        <v>11316</v>
      </c>
      <c r="D140" s="102" t="s">
        <v>11317</v>
      </c>
      <c r="G140" s="102" t="s">
        <v>353</v>
      </c>
      <c r="H140" s="102" t="s">
        <v>354</v>
      </c>
      <c r="I140" s="102" t="s">
        <v>284</v>
      </c>
      <c r="J140" s="102" t="s">
        <v>63</v>
      </c>
      <c r="L140" s="229" t="s">
        <v>11318</v>
      </c>
      <c r="M140" s="229" t="s">
        <v>11156</v>
      </c>
      <c r="O140" s="230"/>
      <c r="P140" s="102" t="s">
        <v>10038</v>
      </c>
      <c r="R140" s="230"/>
      <c r="S140" s="193" t="str">
        <f>IF(ISNUMBER(MATCH(B140, 'Sprint 3'!B:B, 0)), "มาจาก Sprint 3", "")</f>
        <v>มาจาก Sprint 3</v>
      </c>
    </row>
    <row r="141">
      <c r="A141" s="102" t="s">
        <v>310</v>
      </c>
      <c r="B141" s="102" t="s">
        <v>11319</v>
      </c>
      <c r="C141" s="229" t="s">
        <v>11320</v>
      </c>
      <c r="D141" s="102" t="s">
        <v>11321</v>
      </c>
      <c r="E141" s="102"/>
      <c r="F141" s="102"/>
      <c r="G141" s="102" t="s">
        <v>353</v>
      </c>
      <c r="H141" s="102" t="s">
        <v>354</v>
      </c>
      <c r="I141" s="102" t="s">
        <v>284</v>
      </c>
      <c r="J141" s="102" t="s">
        <v>63</v>
      </c>
      <c r="L141" s="229" t="s">
        <v>11322</v>
      </c>
      <c r="M141" s="229" t="s">
        <v>11156</v>
      </c>
      <c r="N141" s="102"/>
      <c r="O141" s="102"/>
      <c r="P141" s="102" t="s">
        <v>10038</v>
      </c>
      <c r="R141" s="102"/>
      <c r="S141" s="193" t="str">
        <f>IF(ISNUMBER(MATCH(B141, 'Sprint 3'!B:B, 0)), "มาจาก Sprint 3", "")</f>
        <v>มาจาก Sprint 3</v>
      </c>
    </row>
    <row r="142">
      <c r="A142" s="102" t="s">
        <v>310</v>
      </c>
      <c r="B142" s="102" t="s">
        <v>11323</v>
      </c>
      <c r="C142" s="229" t="s">
        <v>11324</v>
      </c>
      <c r="D142" s="102" t="s">
        <v>11325</v>
      </c>
      <c r="E142" s="102" t="s">
        <v>513</v>
      </c>
      <c r="F142" s="102" t="s">
        <v>514</v>
      </c>
      <c r="G142" s="102" t="s">
        <v>353</v>
      </c>
      <c r="H142" s="102" t="s">
        <v>354</v>
      </c>
      <c r="I142" s="102" t="s">
        <v>284</v>
      </c>
      <c r="J142" s="102" t="s">
        <v>26</v>
      </c>
      <c r="L142" s="229" t="s">
        <v>11326</v>
      </c>
      <c r="M142" s="229" t="s">
        <v>11015</v>
      </c>
      <c r="N142" s="229" t="s">
        <v>11327</v>
      </c>
      <c r="O142" s="102">
        <v>3.0</v>
      </c>
      <c r="P142" s="102" t="s">
        <v>435</v>
      </c>
      <c r="R142" s="102">
        <v>0.0</v>
      </c>
      <c r="S142" s="193" t="str">
        <f>IF(ISNUMBER(MATCH(B142, 'Sprint 3'!B:B, 0)), "มาจาก Sprint 3", "")</f>
        <v>มาจาก Sprint 3</v>
      </c>
      <c r="T142" s="102">
        <v>28800.0</v>
      </c>
    </row>
    <row r="143">
      <c r="A143" s="102" t="s">
        <v>310</v>
      </c>
      <c r="B143" s="102" t="s">
        <v>11328</v>
      </c>
      <c r="C143" s="229" t="s">
        <v>11329</v>
      </c>
      <c r="D143" s="102" t="s">
        <v>11330</v>
      </c>
      <c r="E143" s="102" t="s">
        <v>556</v>
      </c>
      <c r="F143" s="102" t="s">
        <v>557</v>
      </c>
      <c r="G143" s="102" t="s">
        <v>353</v>
      </c>
      <c r="H143" s="102" t="s">
        <v>354</v>
      </c>
      <c r="I143" s="102" t="s">
        <v>284</v>
      </c>
      <c r="J143" s="102" t="s">
        <v>26</v>
      </c>
      <c r="L143" s="229" t="s">
        <v>11331</v>
      </c>
      <c r="M143" s="229" t="s">
        <v>11015</v>
      </c>
      <c r="N143" s="102"/>
      <c r="O143" s="102">
        <v>5.0</v>
      </c>
      <c r="P143" s="102"/>
      <c r="R143" s="102">
        <v>0.0</v>
      </c>
      <c r="S143" s="193" t="str">
        <f>IF(ISNUMBER(MATCH(B143, 'Sprint 3'!B:B, 0)), "มาจาก Sprint 3", "")</f>
        <v>มาจาก Sprint 3</v>
      </c>
      <c r="T143" s="102">
        <v>86400.0</v>
      </c>
    </row>
    <row r="144">
      <c r="A144" s="102" t="s">
        <v>310</v>
      </c>
      <c r="B144" s="102" t="s">
        <v>11332</v>
      </c>
      <c r="C144" s="229" t="s">
        <v>11333</v>
      </c>
      <c r="D144" s="102" t="s">
        <v>11334</v>
      </c>
      <c r="E144" s="102" t="s">
        <v>513</v>
      </c>
      <c r="F144" s="102" t="s">
        <v>514</v>
      </c>
      <c r="G144" s="102" t="s">
        <v>353</v>
      </c>
      <c r="H144" s="102" t="s">
        <v>354</v>
      </c>
      <c r="I144" s="102" t="s">
        <v>284</v>
      </c>
      <c r="J144" s="102" t="s">
        <v>26</v>
      </c>
      <c r="L144" s="229" t="s">
        <v>11335</v>
      </c>
      <c r="M144" s="229" t="s">
        <v>11015</v>
      </c>
      <c r="N144" s="229" t="s">
        <v>11336</v>
      </c>
      <c r="O144" s="102">
        <v>5.0</v>
      </c>
      <c r="P144" s="102" t="s">
        <v>435</v>
      </c>
      <c r="R144" s="102">
        <v>0.0</v>
      </c>
      <c r="S144" s="193" t="str">
        <f>IF(ISNUMBER(MATCH(B144, 'Sprint 3'!B:B, 0)), "มาจาก Sprint 3", "")</f>
        <v>มาจาก Sprint 3</v>
      </c>
      <c r="T144" s="102">
        <v>86400.0</v>
      </c>
    </row>
    <row r="145">
      <c r="A145" s="102" t="s">
        <v>310</v>
      </c>
      <c r="B145" s="102" t="s">
        <v>11337</v>
      </c>
      <c r="C145" s="229" t="s">
        <v>11338</v>
      </c>
      <c r="D145" s="102" t="s">
        <v>11339</v>
      </c>
      <c r="E145" s="102" t="s">
        <v>513</v>
      </c>
      <c r="F145" s="102" t="s">
        <v>514</v>
      </c>
      <c r="G145" s="102" t="s">
        <v>353</v>
      </c>
      <c r="H145" s="102" t="s">
        <v>354</v>
      </c>
      <c r="I145" s="102" t="s">
        <v>284</v>
      </c>
      <c r="J145" s="102" t="s">
        <v>454</v>
      </c>
      <c r="L145" s="229" t="s">
        <v>11340</v>
      </c>
      <c r="M145" s="229" t="s">
        <v>11227</v>
      </c>
      <c r="O145" s="102">
        <v>1.0</v>
      </c>
      <c r="P145" s="102" t="s">
        <v>435</v>
      </c>
      <c r="R145" s="230"/>
      <c r="S145" s="193" t="str">
        <f>IF(ISNUMBER(MATCH(B145, 'Sprint 3'!B:B, 0)), "มาจาก Sprint 3", "")</f>
        <v>มาจาก Sprint 3</v>
      </c>
    </row>
    <row r="146">
      <c r="A146" s="102" t="s">
        <v>310</v>
      </c>
      <c r="B146" s="102" t="s">
        <v>11341</v>
      </c>
      <c r="C146" s="229" t="s">
        <v>11342</v>
      </c>
      <c r="D146" s="102" t="s">
        <v>11343</v>
      </c>
      <c r="E146" s="102" t="s">
        <v>495</v>
      </c>
      <c r="F146" s="102" t="s">
        <v>496</v>
      </c>
      <c r="G146" s="102" t="s">
        <v>353</v>
      </c>
      <c r="H146" s="102" t="s">
        <v>354</v>
      </c>
      <c r="I146" s="102" t="s">
        <v>284</v>
      </c>
      <c r="J146" s="102" t="s">
        <v>454</v>
      </c>
      <c r="L146" s="229" t="s">
        <v>11344</v>
      </c>
      <c r="M146" s="229" t="s">
        <v>11345</v>
      </c>
      <c r="O146" s="102">
        <v>1.0</v>
      </c>
      <c r="P146" s="102"/>
      <c r="R146" s="230"/>
      <c r="S146" s="193" t="str">
        <f>IF(ISNUMBER(MATCH(B146, 'Sprint 3'!B:B, 0)), "มาจาก Sprint 3", "")</f>
        <v>มาจาก Sprint 3</v>
      </c>
    </row>
    <row r="147">
      <c r="A147" s="102" t="s">
        <v>310</v>
      </c>
      <c r="B147" s="102" t="s">
        <v>11346</v>
      </c>
      <c r="C147" s="229" t="s">
        <v>11347</v>
      </c>
      <c r="D147" s="102" t="s">
        <v>11348</v>
      </c>
      <c r="E147" s="102" t="s">
        <v>513</v>
      </c>
      <c r="F147" s="102" t="s">
        <v>514</v>
      </c>
      <c r="G147" s="102" t="s">
        <v>353</v>
      </c>
      <c r="H147" s="102" t="s">
        <v>354</v>
      </c>
      <c r="I147" s="102" t="s">
        <v>284</v>
      </c>
      <c r="J147" s="102" t="s">
        <v>454</v>
      </c>
      <c r="L147" s="229" t="s">
        <v>11349</v>
      </c>
      <c r="M147" s="229" t="s">
        <v>11015</v>
      </c>
      <c r="O147" s="102">
        <v>1.0</v>
      </c>
      <c r="P147" s="102" t="s">
        <v>435</v>
      </c>
      <c r="R147" s="230"/>
      <c r="S147" s="193" t="str">
        <f>IF(ISNUMBER(MATCH(B147, 'Sprint 3'!B:B, 0)), "มาจาก Sprint 3", "")</f>
        <v>มาจาก Sprint 3</v>
      </c>
    </row>
    <row r="148">
      <c r="A148" s="102" t="s">
        <v>310</v>
      </c>
      <c r="B148" s="102" t="s">
        <v>11350</v>
      </c>
      <c r="C148" s="229" t="s">
        <v>11351</v>
      </c>
      <c r="D148" s="102" t="s">
        <v>11352</v>
      </c>
      <c r="E148" s="102" t="s">
        <v>513</v>
      </c>
      <c r="F148" s="102" t="s">
        <v>514</v>
      </c>
      <c r="G148" s="102" t="s">
        <v>353</v>
      </c>
      <c r="H148" s="102" t="s">
        <v>354</v>
      </c>
      <c r="I148" s="102" t="s">
        <v>284</v>
      </c>
      <c r="J148" s="102" t="s">
        <v>454</v>
      </c>
      <c r="L148" s="229" t="s">
        <v>11353</v>
      </c>
      <c r="M148" s="229" t="s">
        <v>11015</v>
      </c>
      <c r="O148" s="102">
        <v>1.0</v>
      </c>
      <c r="P148" s="102" t="s">
        <v>435</v>
      </c>
      <c r="R148" s="230"/>
      <c r="S148" s="193" t="str">
        <f>IF(ISNUMBER(MATCH(B148, 'Sprint 3'!B:B, 0)), "มาจาก Sprint 3", "")</f>
        <v>มาจาก Sprint 3</v>
      </c>
    </row>
    <row r="149">
      <c r="O149" s="230"/>
      <c r="R149" s="230"/>
      <c r="S149" s="193"/>
    </row>
    <row r="150">
      <c r="O150" s="230"/>
      <c r="R150" s="230"/>
      <c r="S150" s="193"/>
    </row>
    <row r="151">
      <c r="O151" s="230"/>
      <c r="R151" s="230"/>
      <c r="S151" s="193"/>
    </row>
    <row r="152">
      <c r="O152" s="230"/>
      <c r="R152" s="230"/>
      <c r="S152" s="193"/>
    </row>
    <row r="153">
      <c r="O153" s="230"/>
      <c r="R153" s="230"/>
      <c r="S153" s="193"/>
    </row>
    <row r="154">
      <c r="O154" s="230"/>
      <c r="R154" s="230"/>
      <c r="S154" s="193"/>
    </row>
    <row r="155">
      <c r="O155" s="230"/>
      <c r="R155" s="230"/>
      <c r="S155" s="193"/>
    </row>
    <row r="156">
      <c r="O156" s="230"/>
      <c r="R156" s="230"/>
      <c r="S156" s="193"/>
    </row>
    <row r="157">
      <c r="O157" s="230"/>
      <c r="R157" s="230"/>
      <c r="S157" s="193"/>
    </row>
    <row r="158">
      <c r="O158" s="230"/>
      <c r="R158" s="230"/>
      <c r="S158" s="193"/>
    </row>
    <row r="159">
      <c r="O159" s="230"/>
      <c r="R159" s="230"/>
      <c r="S159" s="193"/>
    </row>
    <row r="160">
      <c r="O160" s="230"/>
      <c r="R160" s="230"/>
      <c r="S160" s="193"/>
    </row>
    <row r="161">
      <c r="O161" s="230"/>
      <c r="R161" s="230"/>
      <c r="S161" s="193"/>
    </row>
    <row r="162">
      <c r="O162" s="230"/>
      <c r="R162" s="230"/>
      <c r="S162" s="193"/>
    </row>
    <row r="163">
      <c r="O163" s="230"/>
      <c r="R163" s="230"/>
      <c r="S163" s="193"/>
    </row>
    <row r="164">
      <c r="O164" s="230"/>
      <c r="R164" s="230"/>
      <c r="S164" s="193"/>
    </row>
    <row r="165">
      <c r="O165" s="230"/>
      <c r="R165" s="230"/>
      <c r="S165" s="193"/>
    </row>
    <row r="166">
      <c r="O166" s="230"/>
      <c r="R166" s="230"/>
      <c r="S166" s="193"/>
    </row>
    <row r="167">
      <c r="O167" s="230"/>
      <c r="R167" s="230"/>
      <c r="S167" s="193"/>
    </row>
    <row r="168">
      <c r="O168" s="230"/>
      <c r="R168" s="230"/>
      <c r="S168" s="193"/>
    </row>
    <row r="169">
      <c r="O169" s="230"/>
      <c r="R169" s="230"/>
      <c r="S169" s="193"/>
    </row>
    <row r="170">
      <c r="O170" s="230"/>
      <c r="R170" s="230"/>
      <c r="S170" s="193"/>
    </row>
    <row r="171">
      <c r="O171" s="230"/>
      <c r="R171" s="230"/>
      <c r="S171" s="193"/>
    </row>
    <row r="172">
      <c r="O172" s="230"/>
      <c r="R172" s="230"/>
      <c r="S172" s="193"/>
    </row>
    <row r="173">
      <c r="O173" s="230"/>
      <c r="R173" s="230"/>
      <c r="S173" s="193"/>
    </row>
    <row r="174">
      <c r="O174" s="230"/>
      <c r="R174" s="230"/>
      <c r="S174" s="193"/>
    </row>
    <row r="175">
      <c r="O175" s="230"/>
      <c r="R175" s="230"/>
      <c r="S175" s="193"/>
    </row>
    <row r="176">
      <c r="O176" s="230"/>
      <c r="R176" s="230"/>
      <c r="S176" s="193"/>
    </row>
    <row r="177">
      <c r="O177" s="230"/>
      <c r="R177" s="230"/>
      <c r="S177" s="193"/>
    </row>
    <row r="178">
      <c r="O178" s="230"/>
      <c r="R178" s="230"/>
      <c r="S178" s="193"/>
    </row>
    <row r="179">
      <c r="O179" s="230"/>
      <c r="R179" s="230"/>
      <c r="S179" s="193"/>
    </row>
    <row r="180">
      <c r="O180" s="230"/>
      <c r="R180" s="230"/>
      <c r="S180" s="193"/>
    </row>
    <row r="181">
      <c r="O181" s="230"/>
      <c r="R181" s="230"/>
      <c r="S181" s="193"/>
    </row>
    <row r="182">
      <c r="O182" s="230"/>
      <c r="R182" s="230"/>
      <c r="S182" s="193"/>
    </row>
    <row r="183">
      <c r="O183" s="230"/>
      <c r="R183" s="230"/>
      <c r="S183" s="193"/>
    </row>
    <row r="184">
      <c r="O184" s="230"/>
      <c r="R184" s="230"/>
      <c r="S184" s="193"/>
    </row>
    <row r="185">
      <c r="O185" s="230"/>
      <c r="R185" s="230"/>
      <c r="S185" s="193"/>
    </row>
    <row r="186">
      <c r="O186" s="230"/>
      <c r="R186" s="230"/>
      <c r="S186" s="193"/>
    </row>
    <row r="187">
      <c r="O187" s="230"/>
      <c r="R187" s="230"/>
      <c r="S187" s="193"/>
    </row>
    <row r="188">
      <c r="O188" s="230"/>
      <c r="R188" s="230"/>
      <c r="S188" s="193"/>
    </row>
    <row r="189">
      <c r="O189" s="230"/>
      <c r="R189" s="230"/>
      <c r="S189" s="193"/>
    </row>
    <row r="190">
      <c r="O190" s="230"/>
      <c r="R190" s="230"/>
      <c r="S190" s="193"/>
    </row>
    <row r="191">
      <c r="O191" s="230"/>
      <c r="R191" s="230"/>
      <c r="S191" s="193"/>
    </row>
    <row r="192">
      <c r="O192" s="230"/>
      <c r="R192" s="230"/>
      <c r="S192" s="193"/>
    </row>
    <row r="193">
      <c r="O193" s="230"/>
      <c r="R193" s="230"/>
      <c r="S193" s="193"/>
    </row>
    <row r="194">
      <c r="O194" s="230"/>
      <c r="R194" s="230"/>
      <c r="S194" s="193"/>
    </row>
    <row r="195">
      <c r="O195" s="230"/>
      <c r="R195" s="230"/>
      <c r="S195" s="193"/>
    </row>
    <row r="196">
      <c r="O196" s="230"/>
      <c r="R196" s="230"/>
      <c r="S196" s="193"/>
    </row>
    <row r="197">
      <c r="O197" s="230"/>
      <c r="R197" s="230"/>
      <c r="S197" s="193"/>
    </row>
    <row r="198">
      <c r="O198" s="230"/>
      <c r="R198" s="230"/>
      <c r="S198" s="193"/>
    </row>
    <row r="199">
      <c r="O199" s="230"/>
      <c r="R199" s="230"/>
      <c r="S199" s="193"/>
    </row>
    <row r="200">
      <c r="O200" s="230"/>
      <c r="R200" s="230"/>
      <c r="S200" s="193"/>
    </row>
    <row r="201">
      <c r="O201" s="230"/>
      <c r="R201" s="230"/>
      <c r="S201" s="193"/>
    </row>
    <row r="202">
      <c r="O202" s="230"/>
      <c r="R202" s="230"/>
      <c r="S202" s="193"/>
    </row>
    <row r="203">
      <c r="O203" s="230"/>
      <c r="R203" s="230"/>
      <c r="S203" s="193"/>
    </row>
    <row r="204">
      <c r="O204" s="230"/>
      <c r="R204" s="230"/>
      <c r="S204" s="193"/>
    </row>
    <row r="205">
      <c r="O205" s="230"/>
      <c r="R205" s="230"/>
      <c r="S205" s="193"/>
    </row>
    <row r="206">
      <c r="O206" s="230"/>
      <c r="R206" s="230"/>
      <c r="S206" s="193"/>
    </row>
    <row r="207">
      <c r="O207" s="230"/>
      <c r="R207" s="230"/>
      <c r="S207" s="193"/>
    </row>
    <row r="208">
      <c r="O208" s="230"/>
      <c r="R208" s="230"/>
      <c r="S208" s="193"/>
    </row>
    <row r="209">
      <c r="O209" s="230"/>
      <c r="R209" s="230"/>
      <c r="S209" s="193"/>
    </row>
    <row r="210">
      <c r="O210" s="230"/>
      <c r="R210" s="230"/>
      <c r="S210" s="193"/>
    </row>
    <row r="211">
      <c r="O211" s="230"/>
      <c r="R211" s="230"/>
      <c r="S211" s="193"/>
    </row>
    <row r="212">
      <c r="O212" s="230"/>
      <c r="R212" s="230"/>
      <c r="S212" s="193"/>
    </row>
    <row r="213">
      <c r="O213" s="230"/>
      <c r="R213" s="230"/>
      <c r="S213" s="193"/>
    </row>
    <row r="214">
      <c r="O214" s="230"/>
      <c r="R214" s="230"/>
      <c r="S214" s="193"/>
    </row>
    <row r="215">
      <c r="O215" s="230"/>
      <c r="R215" s="230"/>
      <c r="S215" s="193"/>
    </row>
    <row r="216">
      <c r="O216" s="230"/>
      <c r="R216" s="230"/>
      <c r="S216" s="193"/>
    </row>
    <row r="217">
      <c r="O217" s="230"/>
      <c r="R217" s="230"/>
      <c r="S217" s="193"/>
    </row>
    <row r="218">
      <c r="O218" s="230"/>
      <c r="R218" s="230"/>
      <c r="S218" s="193"/>
    </row>
    <row r="219">
      <c r="O219" s="230"/>
      <c r="R219" s="230"/>
      <c r="S219" s="193"/>
    </row>
    <row r="220">
      <c r="O220" s="230"/>
      <c r="R220" s="230"/>
      <c r="S220" s="193"/>
    </row>
    <row r="221">
      <c r="O221" s="230"/>
      <c r="R221" s="230"/>
      <c r="S221" s="193"/>
    </row>
    <row r="222">
      <c r="O222" s="230"/>
      <c r="R222" s="230"/>
      <c r="S222" s="193"/>
    </row>
    <row r="223">
      <c r="O223" s="230"/>
      <c r="R223" s="230"/>
      <c r="S223" s="193"/>
    </row>
    <row r="224">
      <c r="O224" s="230"/>
      <c r="R224" s="230"/>
      <c r="S224" s="193"/>
    </row>
    <row r="225">
      <c r="O225" s="230"/>
      <c r="R225" s="230"/>
      <c r="S225" s="193"/>
    </row>
    <row r="226">
      <c r="O226" s="230"/>
      <c r="R226" s="230"/>
      <c r="S226" s="193"/>
    </row>
    <row r="227">
      <c r="O227" s="230"/>
      <c r="R227" s="230"/>
      <c r="S227" s="193"/>
    </row>
    <row r="228">
      <c r="O228" s="230"/>
      <c r="R228" s="230"/>
      <c r="S228" s="193"/>
    </row>
    <row r="229">
      <c r="O229" s="230"/>
      <c r="R229" s="230"/>
      <c r="S229" s="193"/>
    </row>
    <row r="230">
      <c r="O230" s="230"/>
      <c r="R230" s="230"/>
      <c r="S230" s="193"/>
    </row>
    <row r="231">
      <c r="O231" s="230"/>
      <c r="R231" s="230"/>
      <c r="S231" s="193"/>
    </row>
    <row r="232">
      <c r="O232" s="230"/>
      <c r="R232" s="230"/>
      <c r="S232" s="193"/>
    </row>
    <row r="233">
      <c r="O233" s="230"/>
      <c r="R233" s="230"/>
      <c r="S233" s="193"/>
    </row>
    <row r="234">
      <c r="O234" s="230"/>
      <c r="R234" s="230"/>
      <c r="S234" s="193"/>
    </row>
    <row r="235">
      <c r="O235" s="230"/>
      <c r="R235" s="230"/>
      <c r="S235" s="193"/>
    </row>
    <row r="236">
      <c r="O236" s="230"/>
      <c r="R236" s="230"/>
      <c r="S236" s="193"/>
    </row>
    <row r="237">
      <c r="O237" s="230"/>
      <c r="R237" s="230"/>
      <c r="S237" s="193"/>
    </row>
    <row r="238">
      <c r="O238" s="230"/>
      <c r="R238" s="230"/>
      <c r="S238" s="193"/>
    </row>
    <row r="239">
      <c r="O239" s="230"/>
      <c r="R239" s="230"/>
      <c r="S239" s="193"/>
    </row>
    <row r="240">
      <c r="O240" s="230"/>
      <c r="R240" s="230"/>
      <c r="S240" s="193"/>
    </row>
    <row r="241">
      <c r="O241" s="230"/>
      <c r="R241" s="230"/>
      <c r="S241" s="193"/>
    </row>
    <row r="242">
      <c r="O242" s="230"/>
      <c r="R242" s="230"/>
      <c r="S242" s="193"/>
    </row>
    <row r="243">
      <c r="O243" s="230"/>
      <c r="R243" s="230"/>
      <c r="S243" s="193"/>
    </row>
    <row r="244">
      <c r="O244" s="230"/>
      <c r="R244" s="230"/>
      <c r="S244" s="193"/>
    </row>
    <row r="245">
      <c r="O245" s="230"/>
      <c r="R245" s="230"/>
      <c r="S245" s="193"/>
    </row>
    <row r="246">
      <c r="O246" s="230"/>
      <c r="R246" s="230"/>
      <c r="S246" s="193"/>
    </row>
    <row r="247">
      <c r="O247" s="230"/>
      <c r="R247" s="230"/>
      <c r="S247" s="193"/>
    </row>
    <row r="248">
      <c r="O248" s="230"/>
      <c r="R248" s="230"/>
      <c r="S248" s="193"/>
    </row>
    <row r="249">
      <c r="O249" s="230"/>
      <c r="R249" s="230"/>
      <c r="S249" s="193"/>
    </row>
    <row r="250">
      <c r="O250" s="230"/>
      <c r="R250" s="230"/>
      <c r="S250" s="193"/>
    </row>
    <row r="251">
      <c r="O251" s="230"/>
      <c r="R251" s="230"/>
      <c r="S251" s="193"/>
    </row>
    <row r="252">
      <c r="O252" s="230"/>
      <c r="R252" s="230"/>
      <c r="S252" s="193"/>
    </row>
    <row r="253">
      <c r="O253" s="230"/>
      <c r="R253" s="230"/>
      <c r="S253" s="193"/>
    </row>
    <row r="254">
      <c r="O254" s="230"/>
      <c r="R254" s="230"/>
      <c r="S254" s="193"/>
    </row>
    <row r="255">
      <c r="O255" s="230"/>
      <c r="R255" s="230"/>
      <c r="S255" s="193"/>
    </row>
    <row r="256">
      <c r="O256" s="230"/>
      <c r="R256" s="230"/>
      <c r="S256" s="193"/>
    </row>
    <row r="257">
      <c r="O257" s="230"/>
      <c r="R257" s="230"/>
      <c r="S257" s="193"/>
    </row>
    <row r="258">
      <c r="O258" s="230"/>
      <c r="R258" s="230"/>
      <c r="S258" s="193"/>
    </row>
    <row r="259">
      <c r="O259" s="230"/>
      <c r="R259" s="230"/>
      <c r="S259" s="193"/>
    </row>
    <row r="260">
      <c r="O260" s="230"/>
      <c r="R260" s="230"/>
      <c r="S260" s="193"/>
    </row>
    <row r="261">
      <c r="O261" s="230"/>
      <c r="R261" s="230"/>
      <c r="S261" s="193"/>
    </row>
    <row r="262">
      <c r="O262" s="230"/>
      <c r="R262" s="230"/>
      <c r="S262" s="193"/>
    </row>
    <row r="263">
      <c r="O263" s="230"/>
      <c r="R263" s="230"/>
      <c r="S263" s="193"/>
    </row>
    <row r="264">
      <c r="O264" s="230"/>
      <c r="R264" s="230"/>
      <c r="S264" s="193"/>
    </row>
    <row r="265">
      <c r="O265" s="230"/>
      <c r="R265" s="230"/>
      <c r="S265" s="193"/>
    </row>
    <row r="266">
      <c r="O266" s="230"/>
      <c r="R266" s="230"/>
      <c r="S266" s="193"/>
    </row>
    <row r="267">
      <c r="O267" s="230"/>
      <c r="R267" s="230"/>
      <c r="S267" s="193"/>
    </row>
    <row r="268">
      <c r="O268" s="230"/>
      <c r="R268" s="230"/>
      <c r="S268" s="193"/>
    </row>
    <row r="269">
      <c r="O269" s="230"/>
      <c r="R269" s="230"/>
      <c r="S269" s="193"/>
    </row>
    <row r="270">
      <c r="O270" s="230"/>
      <c r="R270" s="230"/>
      <c r="S270" s="193"/>
    </row>
    <row r="271">
      <c r="O271" s="230"/>
      <c r="R271" s="230"/>
      <c r="S271" s="193"/>
    </row>
    <row r="272">
      <c r="O272" s="230"/>
      <c r="R272" s="230"/>
      <c r="S272" s="193"/>
    </row>
    <row r="273">
      <c r="O273" s="230"/>
      <c r="R273" s="230"/>
      <c r="S273" s="193"/>
    </row>
    <row r="274">
      <c r="O274" s="230"/>
      <c r="R274" s="230"/>
      <c r="S274" s="193"/>
    </row>
    <row r="275">
      <c r="O275" s="230"/>
      <c r="R275" s="230"/>
      <c r="S275" s="193"/>
    </row>
    <row r="276">
      <c r="O276" s="230"/>
      <c r="R276" s="230"/>
      <c r="S276" s="193"/>
    </row>
    <row r="277">
      <c r="O277" s="230"/>
      <c r="R277" s="230"/>
      <c r="S277" s="193"/>
    </row>
    <row r="278">
      <c r="O278" s="230"/>
      <c r="R278" s="230"/>
      <c r="S278" s="193"/>
    </row>
    <row r="279">
      <c r="O279" s="230"/>
      <c r="R279" s="230"/>
      <c r="S279" s="193"/>
    </row>
    <row r="280">
      <c r="O280" s="230"/>
      <c r="R280" s="230"/>
      <c r="S280" s="193"/>
    </row>
    <row r="281">
      <c r="O281" s="230"/>
      <c r="R281" s="230"/>
      <c r="S281" s="193"/>
    </row>
    <row r="282">
      <c r="O282" s="230"/>
      <c r="R282" s="230"/>
      <c r="S282" s="193"/>
    </row>
    <row r="283">
      <c r="O283" s="230"/>
      <c r="R283" s="230"/>
      <c r="S283" s="193"/>
    </row>
    <row r="284">
      <c r="O284" s="230"/>
      <c r="R284" s="230"/>
      <c r="S284" s="193"/>
    </row>
    <row r="285">
      <c r="O285" s="230"/>
      <c r="R285" s="230"/>
      <c r="S285" s="193"/>
    </row>
    <row r="286">
      <c r="O286" s="230"/>
      <c r="R286" s="230"/>
      <c r="S286" s="193"/>
    </row>
    <row r="287">
      <c r="O287" s="230"/>
      <c r="R287" s="230"/>
      <c r="S287" s="193"/>
    </row>
    <row r="288">
      <c r="O288" s="230"/>
      <c r="R288" s="230"/>
      <c r="S288" s="193"/>
    </row>
    <row r="289">
      <c r="O289" s="230"/>
      <c r="R289" s="230"/>
      <c r="S289" s="193"/>
    </row>
    <row r="290">
      <c r="O290" s="230"/>
      <c r="R290" s="230"/>
      <c r="S290" s="193"/>
    </row>
    <row r="291">
      <c r="O291" s="230"/>
      <c r="R291" s="230"/>
      <c r="S291" s="193"/>
    </row>
    <row r="292">
      <c r="O292" s="230"/>
      <c r="R292" s="230"/>
      <c r="S292" s="193"/>
    </row>
    <row r="293">
      <c r="O293" s="230"/>
      <c r="R293" s="230"/>
      <c r="S293" s="193"/>
    </row>
    <row r="294">
      <c r="O294" s="230"/>
      <c r="R294" s="230"/>
      <c r="S294" s="193"/>
    </row>
    <row r="295">
      <c r="O295" s="230"/>
      <c r="R295" s="230"/>
      <c r="S295" s="193"/>
    </row>
    <row r="296">
      <c r="O296" s="230"/>
      <c r="R296" s="230"/>
      <c r="S296" s="193"/>
    </row>
    <row r="297">
      <c r="O297" s="230"/>
      <c r="R297" s="230"/>
      <c r="S297" s="193"/>
    </row>
    <row r="298">
      <c r="O298" s="230"/>
      <c r="R298" s="230"/>
      <c r="S298" s="193"/>
    </row>
    <row r="299">
      <c r="O299" s="230"/>
      <c r="R299" s="230"/>
      <c r="S299" s="193"/>
    </row>
    <row r="300">
      <c r="O300" s="230"/>
      <c r="R300" s="230"/>
      <c r="S300" s="193"/>
    </row>
    <row r="301">
      <c r="O301" s="230"/>
      <c r="R301" s="230"/>
      <c r="S301" s="193"/>
    </row>
    <row r="302">
      <c r="O302" s="230"/>
      <c r="R302" s="230"/>
      <c r="S302" s="193"/>
    </row>
    <row r="303">
      <c r="O303" s="230"/>
      <c r="R303" s="230"/>
      <c r="S303" s="193"/>
    </row>
    <row r="304">
      <c r="O304" s="230"/>
      <c r="R304" s="230"/>
      <c r="S304" s="193"/>
    </row>
    <row r="305">
      <c r="O305" s="230"/>
      <c r="R305" s="230"/>
      <c r="S305" s="193"/>
    </row>
    <row r="306">
      <c r="O306" s="230"/>
      <c r="R306" s="230"/>
      <c r="S306" s="193"/>
    </row>
    <row r="307">
      <c r="O307" s="230"/>
      <c r="R307" s="230"/>
      <c r="S307" s="193"/>
    </row>
    <row r="308">
      <c r="O308" s="230"/>
      <c r="R308" s="230"/>
      <c r="S308" s="193"/>
    </row>
    <row r="309">
      <c r="O309" s="230"/>
      <c r="R309" s="230"/>
      <c r="S309" s="193"/>
    </row>
    <row r="310">
      <c r="O310" s="230"/>
      <c r="R310" s="230"/>
      <c r="S310" s="193"/>
    </row>
    <row r="311">
      <c r="O311" s="230"/>
      <c r="R311" s="230"/>
      <c r="S311" s="193"/>
    </row>
    <row r="312">
      <c r="O312" s="230"/>
      <c r="R312" s="230"/>
      <c r="S312" s="193"/>
    </row>
    <row r="313">
      <c r="O313" s="230"/>
      <c r="R313" s="230"/>
      <c r="S313" s="193"/>
    </row>
    <row r="314">
      <c r="O314" s="230"/>
      <c r="R314" s="230"/>
      <c r="S314" s="193"/>
    </row>
    <row r="315">
      <c r="O315" s="230"/>
      <c r="R315" s="230"/>
      <c r="S315" s="193"/>
    </row>
    <row r="316">
      <c r="O316" s="230"/>
      <c r="R316" s="230"/>
      <c r="S316" s="193"/>
    </row>
    <row r="317">
      <c r="O317" s="230"/>
      <c r="R317" s="230"/>
      <c r="S317" s="193"/>
    </row>
    <row r="318">
      <c r="O318" s="230"/>
      <c r="R318" s="230"/>
      <c r="S318" s="193"/>
    </row>
    <row r="319">
      <c r="O319" s="230"/>
      <c r="R319" s="230"/>
      <c r="S319" s="193"/>
    </row>
    <row r="320">
      <c r="O320" s="230"/>
      <c r="R320" s="230"/>
      <c r="S320" s="193"/>
    </row>
    <row r="321">
      <c r="O321" s="230"/>
      <c r="R321" s="230"/>
      <c r="S321" s="193"/>
    </row>
    <row r="322">
      <c r="O322" s="230"/>
      <c r="R322" s="230"/>
      <c r="S322" s="193"/>
    </row>
    <row r="323">
      <c r="O323" s="230"/>
      <c r="R323" s="230"/>
      <c r="S323" s="193"/>
    </row>
    <row r="324">
      <c r="O324" s="230"/>
      <c r="R324" s="230"/>
      <c r="S324" s="193"/>
    </row>
    <row r="325">
      <c r="O325" s="230"/>
      <c r="R325" s="230"/>
      <c r="S325" s="193"/>
    </row>
    <row r="326">
      <c r="O326" s="230"/>
      <c r="R326" s="230"/>
      <c r="S326" s="193"/>
    </row>
    <row r="327">
      <c r="O327" s="230"/>
      <c r="R327" s="230"/>
      <c r="S327" s="193"/>
    </row>
    <row r="328">
      <c r="O328" s="230"/>
      <c r="R328" s="230"/>
      <c r="S328" s="193"/>
    </row>
    <row r="329">
      <c r="O329" s="230"/>
      <c r="R329" s="230"/>
      <c r="S329" s="193"/>
    </row>
    <row r="330">
      <c r="O330" s="230"/>
      <c r="R330" s="230"/>
      <c r="S330" s="193"/>
    </row>
    <row r="331">
      <c r="O331" s="230"/>
      <c r="R331" s="230"/>
      <c r="S331" s="193"/>
    </row>
    <row r="332">
      <c r="O332" s="230"/>
      <c r="R332" s="230"/>
      <c r="S332" s="193"/>
    </row>
    <row r="333">
      <c r="O333" s="230"/>
      <c r="R333" s="230"/>
      <c r="S333" s="193"/>
    </row>
    <row r="334">
      <c r="O334" s="230"/>
      <c r="R334" s="230"/>
      <c r="S334" s="193"/>
    </row>
    <row r="335">
      <c r="O335" s="230"/>
      <c r="R335" s="230"/>
      <c r="S335" s="193"/>
    </row>
    <row r="336">
      <c r="O336" s="230"/>
      <c r="R336" s="230"/>
      <c r="S336" s="193"/>
    </row>
    <row r="337">
      <c r="O337" s="230"/>
      <c r="R337" s="230"/>
      <c r="S337" s="193"/>
    </row>
    <row r="338">
      <c r="O338" s="230"/>
      <c r="R338" s="230"/>
      <c r="S338" s="193"/>
    </row>
    <row r="339">
      <c r="O339" s="230"/>
      <c r="R339" s="230"/>
      <c r="S339" s="193"/>
    </row>
    <row r="340">
      <c r="O340" s="230"/>
      <c r="R340" s="230"/>
      <c r="S340" s="193"/>
    </row>
    <row r="341">
      <c r="O341" s="230"/>
      <c r="R341" s="230"/>
      <c r="S341" s="193"/>
    </row>
    <row r="342">
      <c r="O342" s="230"/>
      <c r="R342" s="230"/>
      <c r="S342" s="193"/>
    </row>
    <row r="343">
      <c r="O343" s="230"/>
      <c r="R343" s="230"/>
      <c r="S343" s="193"/>
    </row>
    <row r="344">
      <c r="O344" s="230"/>
      <c r="R344" s="230"/>
      <c r="S344" s="193"/>
    </row>
    <row r="345">
      <c r="O345" s="230"/>
      <c r="R345" s="230"/>
      <c r="S345" s="193"/>
    </row>
    <row r="346">
      <c r="O346" s="230"/>
      <c r="R346" s="230"/>
      <c r="S346" s="193"/>
    </row>
    <row r="347">
      <c r="O347" s="230"/>
      <c r="R347" s="230"/>
      <c r="S347" s="193"/>
    </row>
    <row r="348">
      <c r="O348" s="230"/>
      <c r="R348" s="230"/>
      <c r="S348" s="193"/>
    </row>
    <row r="349">
      <c r="O349" s="230"/>
      <c r="R349" s="230"/>
      <c r="S349" s="193"/>
    </row>
    <row r="350">
      <c r="O350" s="230"/>
      <c r="R350" s="230"/>
      <c r="S350" s="193"/>
    </row>
    <row r="351">
      <c r="O351" s="230"/>
      <c r="R351" s="230"/>
      <c r="S351" s="193"/>
    </row>
    <row r="352">
      <c r="O352" s="230"/>
      <c r="R352" s="230"/>
      <c r="S352" s="193"/>
    </row>
    <row r="353">
      <c r="O353" s="230"/>
      <c r="R353" s="230"/>
      <c r="S353" s="193"/>
    </row>
    <row r="354">
      <c r="O354" s="230"/>
      <c r="R354" s="230"/>
      <c r="S354" s="193"/>
    </row>
    <row r="355">
      <c r="O355" s="230"/>
      <c r="R355" s="230"/>
      <c r="S355" s="193"/>
    </row>
    <row r="356">
      <c r="O356" s="230"/>
      <c r="R356" s="230"/>
      <c r="S356" s="193"/>
    </row>
    <row r="357">
      <c r="O357" s="230"/>
      <c r="R357" s="230"/>
      <c r="S357" s="193"/>
    </row>
    <row r="358">
      <c r="O358" s="230"/>
      <c r="R358" s="230"/>
      <c r="S358" s="193"/>
    </row>
    <row r="359">
      <c r="O359" s="230"/>
      <c r="R359" s="230"/>
      <c r="S359" s="193"/>
    </row>
    <row r="360">
      <c r="O360" s="230"/>
      <c r="R360" s="230"/>
      <c r="S360" s="193"/>
    </row>
    <row r="361">
      <c r="O361" s="230"/>
      <c r="R361" s="230"/>
      <c r="S361" s="193"/>
    </row>
    <row r="362">
      <c r="O362" s="230"/>
      <c r="R362" s="230"/>
      <c r="S362" s="193"/>
    </row>
    <row r="363">
      <c r="O363" s="230"/>
      <c r="R363" s="230"/>
      <c r="S363" s="193"/>
    </row>
    <row r="364">
      <c r="O364" s="230"/>
      <c r="R364" s="230"/>
      <c r="S364" s="193"/>
    </row>
    <row r="365">
      <c r="O365" s="230"/>
      <c r="R365" s="230"/>
      <c r="S365" s="193"/>
    </row>
    <row r="366">
      <c r="O366" s="230"/>
      <c r="R366" s="230"/>
      <c r="S366" s="193"/>
    </row>
    <row r="367">
      <c r="O367" s="230"/>
      <c r="R367" s="230"/>
      <c r="S367" s="193"/>
    </row>
    <row r="368">
      <c r="O368" s="230"/>
      <c r="R368" s="230"/>
      <c r="S368" s="193"/>
    </row>
    <row r="369">
      <c r="O369" s="230"/>
      <c r="R369" s="230"/>
      <c r="S369" s="193"/>
    </row>
    <row r="370">
      <c r="O370" s="230"/>
      <c r="R370" s="230"/>
      <c r="S370" s="193"/>
    </row>
    <row r="371">
      <c r="O371" s="230"/>
      <c r="R371" s="230"/>
      <c r="S371" s="193"/>
    </row>
    <row r="372">
      <c r="O372" s="230"/>
      <c r="R372" s="230"/>
      <c r="S372" s="193"/>
    </row>
    <row r="373">
      <c r="O373" s="230"/>
      <c r="R373" s="230"/>
      <c r="S373" s="193"/>
    </row>
    <row r="374">
      <c r="O374" s="230"/>
      <c r="R374" s="230"/>
      <c r="S374" s="193"/>
    </row>
    <row r="375">
      <c r="O375" s="230"/>
      <c r="R375" s="230"/>
      <c r="S375" s="193"/>
    </row>
    <row r="376">
      <c r="O376" s="230"/>
      <c r="R376" s="230"/>
      <c r="S376" s="193"/>
    </row>
    <row r="377">
      <c r="O377" s="230"/>
      <c r="R377" s="230"/>
      <c r="S377" s="193"/>
    </row>
    <row r="378">
      <c r="O378" s="230"/>
      <c r="R378" s="230"/>
      <c r="S378" s="193"/>
    </row>
    <row r="379">
      <c r="O379" s="230"/>
      <c r="R379" s="230"/>
      <c r="S379" s="193"/>
    </row>
    <row r="380">
      <c r="O380" s="230"/>
      <c r="R380" s="230"/>
      <c r="S380" s="193"/>
    </row>
    <row r="381">
      <c r="O381" s="230"/>
      <c r="R381" s="230"/>
      <c r="S381" s="193"/>
    </row>
    <row r="382">
      <c r="O382" s="230"/>
      <c r="R382" s="230"/>
      <c r="S382" s="193"/>
    </row>
    <row r="383">
      <c r="O383" s="230"/>
      <c r="R383" s="230"/>
      <c r="S383" s="193"/>
    </row>
    <row r="384">
      <c r="O384" s="230"/>
      <c r="R384" s="230"/>
      <c r="S384" s="193"/>
    </row>
    <row r="385">
      <c r="O385" s="230"/>
      <c r="R385" s="230"/>
      <c r="S385" s="193"/>
    </row>
    <row r="386">
      <c r="O386" s="230"/>
      <c r="R386" s="230"/>
      <c r="S386" s="193"/>
    </row>
    <row r="387">
      <c r="O387" s="230"/>
      <c r="R387" s="230"/>
      <c r="S387" s="193"/>
    </row>
    <row r="388">
      <c r="O388" s="230"/>
      <c r="R388" s="230"/>
      <c r="S388" s="193"/>
    </row>
    <row r="389">
      <c r="O389" s="230"/>
      <c r="R389" s="230"/>
      <c r="S389" s="193"/>
    </row>
    <row r="390">
      <c r="O390" s="230"/>
      <c r="R390" s="230"/>
      <c r="S390" s="193"/>
    </row>
    <row r="391">
      <c r="O391" s="230"/>
      <c r="R391" s="230"/>
      <c r="S391" s="193"/>
    </row>
    <row r="392">
      <c r="O392" s="230"/>
      <c r="R392" s="230"/>
      <c r="S392" s="193"/>
    </row>
    <row r="393">
      <c r="O393" s="230"/>
      <c r="R393" s="230"/>
      <c r="S393" s="193"/>
    </row>
    <row r="394">
      <c r="O394" s="230"/>
      <c r="R394" s="230"/>
      <c r="S394" s="193"/>
    </row>
    <row r="395">
      <c r="O395" s="230"/>
      <c r="R395" s="230"/>
      <c r="S395" s="193"/>
    </row>
    <row r="396">
      <c r="O396" s="230"/>
      <c r="R396" s="230"/>
      <c r="S396" s="193"/>
    </row>
    <row r="397">
      <c r="O397" s="230"/>
      <c r="R397" s="230"/>
      <c r="S397" s="193"/>
    </row>
    <row r="398">
      <c r="O398" s="230"/>
      <c r="R398" s="230"/>
      <c r="S398" s="193"/>
    </row>
    <row r="399">
      <c r="O399" s="230"/>
      <c r="R399" s="230"/>
      <c r="S399" s="193"/>
    </row>
    <row r="400">
      <c r="O400" s="230"/>
      <c r="R400" s="230"/>
      <c r="S400" s="193"/>
    </row>
    <row r="401">
      <c r="O401" s="230"/>
      <c r="R401" s="230"/>
      <c r="S401" s="193"/>
    </row>
    <row r="402">
      <c r="O402" s="230"/>
      <c r="R402" s="230"/>
      <c r="S402" s="193"/>
    </row>
    <row r="403">
      <c r="O403" s="230"/>
      <c r="R403" s="230"/>
      <c r="S403" s="193"/>
    </row>
    <row r="404">
      <c r="O404" s="230"/>
      <c r="R404" s="230"/>
      <c r="S404" s="193"/>
    </row>
    <row r="405">
      <c r="O405" s="230"/>
      <c r="R405" s="230"/>
      <c r="S405" s="193"/>
    </row>
    <row r="406">
      <c r="O406" s="230"/>
      <c r="R406" s="230"/>
      <c r="S406" s="193"/>
    </row>
    <row r="407">
      <c r="O407" s="230"/>
      <c r="R407" s="230"/>
      <c r="S407" s="193"/>
    </row>
    <row r="408">
      <c r="O408" s="230"/>
      <c r="R408" s="230"/>
      <c r="S408" s="193"/>
    </row>
    <row r="409">
      <c r="O409" s="230"/>
      <c r="R409" s="230"/>
      <c r="S409" s="193"/>
    </row>
    <row r="410">
      <c r="O410" s="230"/>
      <c r="R410" s="230"/>
      <c r="S410" s="193"/>
    </row>
    <row r="411">
      <c r="O411" s="230"/>
      <c r="R411" s="230"/>
      <c r="S411" s="193"/>
    </row>
    <row r="412">
      <c r="O412" s="230"/>
      <c r="R412" s="230"/>
      <c r="S412" s="193"/>
    </row>
    <row r="413">
      <c r="O413" s="230"/>
      <c r="R413" s="230"/>
      <c r="S413" s="193"/>
    </row>
    <row r="414">
      <c r="O414" s="230"/>
      <c r="R414" s="230"/>
      <c r="S414" s="193"/>
    </row>
    <row r="415">
      <c r="O415" s="230"/>
      <c r="R415" s="230"/>
      <c r="S415" s="193"/>
    </row>
    <row r="416">
      <c r="O416" s="230"/>
      <c r="R416" s="230"/>
      <c r="S416" s="193"/>
    </row>
    <row r="417">
      <c r="O417" s="230"/>
      <c r="R417" s="230"/>
      <c r="S417" s="193"/>
    </row>
    <row r="418">
      <c r="O418" s="230"/>
      <c r="R418" s="230"/>
      <c r="S418" s="193"/>
    </row>
    <row r="419">
      <c r="O419" s="230"/>
      <c r="R419" s="230"/>
      <c r="S419" s="193"/>
    </row>
    <row r="420">
      <c r="O420" s="230"/>
      <c r="R420" s="230"/>
      <c r="S420" s="193"/>
    </row>
    <row r="421">
      <c r="O421" s="230"/>
      <c r="R421" s="230"/>
      <c r="S421" s="193"/>
    </row>
    <row r="422">
      <c r="O422" s="230"/>
      <c r="R422" s="230"/>
      <c r="S422" s="193"/>
    </row>
    <row r="423">
      <c r="O423" s="230"/>
      <c r="R423" s="230"/>
      <c r="S423" s="193"/>
    </row>
    <row r="424">
      <c r="O424" s="230"/>
      <c r="R424" s="230"/>
      <c r="S424" s="193"/>
    </row>
    <row r="425">
      <c r="O425" s="230"/>
      <c r="R425" s="230"/>
      <c r="S425" s="193"/>
    </row>
    <row r="426">
      <c r="O426" s="230"/>
      <c r="R426" s="230"/>
      <c r="S426" s="193"/>
    </row>
    <row r="427">
      <c r="O427" s="230"/>
      <c r="R427" s="230"/>
      <c r="S427" s="193"/>
    </row>
    <row r="428">
      <c r="O428" s="230"/>
      <c r="R428" s="230"/>
      <c r="S428" s="193"/>
    </row>
    <row r="429">
      <c r="O429" s="230"/>
      <c r="R429" s="230"/>
      <c r="S429" s="193"/>
    </row>
    <row r="430">
      <c r="O430" s="230"/>
      <c r="R430" s="230"/>
      <c r="S430" s="193"/>
    </row>
    <row r="431">
      <c r="O431" s="230"/>
      <c r="R431" s="230"/>
      <c r="S431" s="193"/>
    </row>
    <row r="432">
      <c r="O432" s="230"/>
      <c r="R432" s="230"/>
      <c r="S432" s="193"/>
    </row>
    <row r="433">
      <c r="O433" s="230"/>
      <c r="R433" s="230"/>
      <c r="S433" s="193"/>
    </row>
    <row r="434">
      <c r="O434" s="230"/>
      <c r="R434" s="230"/>
      <c r="S434" s="193"/>
    </row>
    <row r="435">
      <c r="O435" s="230"/>
      <c r="R435" s="230"/>
      <c r="S435" s="193"/>
    </row>
    <row r="436">
      <c r="O436" s="230"/>
      <c r="R436" s="230"/>
      <c r="S436" s="193"/>
    </row>
    <row r="437">
      <c r="O437" s="230"/>
      <c r="R437" s="230"/>
      <c r="S437" s="193"/>
    </row>
    <row r="438">
      <c r="O438" s="230"/>
      <c r="R438" s="230"/>
      <c r="S438" s="193"/>
    </row>
    <row r="439">
      <c r="O439" s="230"/>
      <c r="R439" s="230"/>
      <c r="S439" s="193"/>
    </row>
    <row r="440">
      <c r="O440" s="230"/>
      <c r="R440" s="230"/>
      <c r="S440" s="193"/>
    </row>
    <row r="441">
      <c r="O441" s="230"/>
      <c r="R441" s="230"/>
      <c r="S441" s="193"/>
    </row>
    <row r="442">
      <c r="O442" s="230"/>
      <c r="R442" s="230"/>
      <c r="S442" s="193"/>
    </row>
    <row r="443">
      <c r="O443" s="230"/>
      <c r="R443" s="230"/>
      <c r="S443" s="193"/>
    </row>
    <row r="444">
      <c r="O444" s="230"/>
      <c r="R444" s="230"/>
      <c r="S444" s="193"/>
    </row>
    <row r="445">
      <c r="O445" s="230"/>
      <c r="R445" s="230"/>
      <c r="S445" s="193"/>
    </row>
    <row r="446">
      <c r="O446" s="230"/>
      <c r="R446" s="230"/>
      <c r="S446" s="193"/>
    </row>
    <row r="447">
      <c r="O447" s="230"/>
      <c r="R447" s="230"/>
      <c r="S447" s="193"/>
    </row>
    <row r="448">
      <c r="O448" s="230"/>
      <c r="R448" s="230"/>
      <c r="S448" s="193"/>
    </row>
    <row r="449">
      <c r="O449" s="230"/>
      <c r="R449" s="230"/>
      <c r="S449" s="193"/>
    </row>
    <row r="450">
      <c r="O450" s="230"/>
      <c r="R450" s="230"/>
      <c r="S450" s="193"/>
    </row>
    <row r="451">
      <c r="O451" s="230"/>
      <c r="R451" s="230"/>
      <c r="S451" s="193"/>
    </row>
    <row r="452">
      <c r="O452" s="230"/>
      <c r="R452" s="230"/>
      <c r="S452" s="193"/>
    </row>
    <row r="453">
      <c r="O453" s="230"/>
      <c r="R453" s="230"/>
      <c r="S453" s="193"/>
    </row>
    <row r="454">
      <c r="O454" s="230"/>
      <c r="R454" s="230"/>
      <c r="S454" s="193"/>
    </row>
    <row r="455">
      <c r="O455" s="230"/>
      <c r="R455" s="230"/>
      <c r="S455" s="193"/>
    </row>
    <row r="456">
      <c r="O456" s="230"/>
      <c r="R456" s="230"/>
      <c r="S456" s="193"/>
    </row>
    <row r="457">
      <c r="O457" s="230"/>
      <c r="R457" s="230"/>
      <c r="S457" s="193"/>
    </row>
    <row r="458">
      <c r="O458" s="230"/>
      <c r="R458" s="230"/>
      <c r="S458" s="193"/>
    </row>
    <row r="459">
      <c r="O459" s="230"/>
      <c r="R459" s="230"/>
      <c r="S459" s="193"/>
    </row>
    <row r="460">
      <c r="O460" s="230"/>
      <c r="R460" s="230"/>
      <c r="S460" s="193"/>
    </row>
    <row r="461">
      <c r="O461" s="230"/>
      <c r="R461" s="230"/>
      <c r="S461" s="193"/>
    </row>
    <row r="462">
      <c r="O462" s="230"/>
      <c r="R462" s="230"/>
      <c r="S462" s="193"/>
    </row>
    <row r="463">
      <c r="O463" s="230"/>
      <c r="R463" s="230"/>
      <c r="S463" s="193"/>
    </row>
    <row r="464">
      <c r="O464" s="230"/>
      <c r="R464" s="230"/>
      <c r="S464" s="193"/>
    </row>
    <row r="465">
      <c r="O465" s="230"/>
      <c r="R465" s="230"/>
      <c r="S465" s="193"/>
    </row>
    <row r="466">
      <c r="O466" s="230"/>
      <c r="R466" s="230"/>
      <c r="S466" s="193"/>
    </row>
    <row r="467">
      <c r="O467" s="230"/>
      <c r="R467" s="230"/>
      <c r="S467" s="193"/>
    </row>
    <row r="468">
      <c r="O468" s="230"/>
      <c r="R468" s="230"/>
      <c r="S468" s="193"/>
    </row>
    <row r="469">
      <c r="O469" s="230"/>
      <c r="R469" s="230"/>
      <c r="S469" s="193"/>
    </row>
    <row r="470">
      <c r="O470" s="230"/>
      <c r="R470" s="230"/>
      <c r="S470" s="193"/>
    </row>
    <row r="471">
      <c r="O471" s="230"/>
      <c r="R471" s="230"/>
      <c r="S471" s="193"/>
    </row>
    <row r="472">
      <c r="O472" s="230"/>
      <c r="R472" s="230"/>
      <c r="S472" s="193"/>
    </row>
    <row r="473">
      <c r="O473" s="230"/>
      <c r="R473" s="230"/>
      <c r="S473" s="193"/>
    </row>
    <row r="474">
      <c r="O474" s="230"/>
      <c r="R474" s="230"/>
      <c r="S474" s="193"/>
    </row>
    <row r="475">
      <c r="O475" s="230"/>
      <c r="R475" s="230"/>
      <c r="S475" s="193"/>
    </row>
    <row r="476">
      <c r="O476" s="230"/>
      <c r="R476" s="230"/>
      <c r="S476" s="193"/>
    </row>
    <row r="477">
      <c r="O477" s="230"/>
      <c r="R477" s="230"/>
      <c r="S477" s="193"/>
    </row>
    <row r="478">
      <c r="O478" s="230"/>
      <c r="R478" s="230"/>
      <c r="S478" s="193"/>
    </row>
    <row r="479">
      <c r="O479" s="230"/>
      <c r="R479" s="230"/>
      <c r="S479" s="193"/>
    </row>
    <row r="480">
      <c r="O480" s="230"/>
      <c r="R480" s="230"/>
      <c r="S480" s="193"/>
    </row>
    <row r="481">
      <c r="O481" s="230"/>
      <c r="R481" s="230"/>
      <c r="S481" s="193"/>
    </row>
    <row r="482">
      <c r="O482" s="230"/>
      <c r="R482" s="230"/>
      <c r="S482" s="193"/>
    </row>
    <row r="483">
      <c r="O483" s="230"/>
      <c r="R483" s="230"/>
      <c r="S483" s="193"/>
    </row>
    <row r="484">
      <c r="O484" s="230"/>
      <c r="R484" s="230"/>
      <c r="S484" s="193"/>
    </row>
    <row r="485">
      <c r="O485" s="230"/>
      <c r="R485" s="230"/>
      <c r="S485" s="193"/>
    </row>
    <row r="486">
      <c r="O486" s="230"/>
      <c r="R486" s="230"/>
      <c r="S486" s="193"/>
    </row>
    <row r="487">
      <c r="O487" s="230"/>
      <c r="R487" s="230"/>
      <c r="S487" s="193"/>
    </row>
    <row r="488">
      <c r="O488" s="230"/>
      <c r="R488" s="230"/>
      <c r="S488" s="193"/>
    </row>
    <row r="489">
      <c r="O489" s="230"/>
      <c r="R489" s="230"/>
      <c r="S489" s="193"/>
    </row>
    <row r="490">
      <c r="O490" s="230"/>
      <c r="R490" s="230"/>
      <c r="S490" s="193"/>
    </row>
    <row r="491">
      <c r="O491" s="230"/>
      <c r="R491" s="230"/>
      <c r="S491" s="193"/>
    </row>
    <row r="492">
      <c r="O492" s="230"/>
      <c r="R492" s="230"/>
      <c r="S492" s="193"/>
    </row>
    <row r="493">
      <c r="O493" s="230"/>
      <c r="R493" s="230"/>
      <c r="S493" s="193"/>
    </row>
    <row r="494">
      <c r="O494" s="230"/>
      <c r="R494" s="230"/>
      <c r="S494" s="193"/>
    </row>
    <row r="495">
      <c r="O495" s="230"/>
      <c r="R495" s="230"/>
      <c r="S495" s="193"/>
    </row>
    <row r="496">
      <c r="O496" s="230"/>
      <c r="R496" s="230"/>
      <c r="S496" s="193"/>
    </row>
    <row r="497">
      <c r="O497" s="230"/>
      <c r="R497" s="230"/>
      <c r="S497" s="193"/>
    </row>
    <row r="498">
      <c r="O498" s="230"/>
      <c r="R498" s="230"/>
      <c r="S498" s="193"/>
    </row>
    <row r="499">
      <c r="O499" s="230"/>
      <c r="R499" s="230"/>
      <c r="S499" s="193"/>
    </row>
    <row r="500">
      <c r="O500" s="230"/>
      <c r="R500" s="230"/>
      <c r="S500" s="193"/>
    </row>
    <row r="501">
      <c r="O501" s="230"/>
      <c r="R501" s="230"/>
      <c r="S501" s="193"/>
    </row>
    <row r="502">
      <c r="O502" s="230"/>
      <c r="R502" s="230"/>
      <c r="S502" s="193"/>
    </row>
    <row r="503">
      <c r="O503" s="230"/>
      <c r="R503" s="230"/>
      <c r="S503" s="193"/>
    </row>
    <row r="504">
      <c r="O504" s="230"/>
      <c r="R504" s="230"/>
      <c r="S504" s="193"/>
    </row>
    <row r="505">
      <c r="O505" s="230"/>
      <c r="R505" s="230"/>
      <c r="S505" s="193"/>
    </row>
    <row r="506">
      <c r="O506" s="230"/>
      <c r="R506" s="230"/>
      <c r="S506" s="193"/>
    </row>
    <row r="507">
      <c r="O507" s="230"/>
      <c r="R507" s="230"/>
      <c r="S507" s="193"/>
    </row>
    <row r="508">
      <c r="O508" s="230"/>
      <c r="R508" s="230"/>
      <c r="S508" s="193"/>
    </row>
    <row r="509">
      <c r="O509" s="230"/>
      <c r="R509" s="230"/>
      <c r="S509" s="193"/>
    </row>
    <row r="510">
      <c r="O510" s="230"/>
      <c r="R510" s="230"/>
      <c r="S510" s="193"/>
    </row>
    <row r="511">
      <c r="O511" s="230"/>
      <c r="R511" s="230"/>
      <c r="S511" s="193"/>
    </row>
    <row r="512">
      <c r="O512" s="230"/>
      <c r="R512" s="230"/>
      <c r="S512" s="193"/>
    </row>
    <row r="513">
      <c r="O513" s="230"/>
      <c r="R513" s="230"/>
      <c r="S513" s="193"/>
    </row>
    <row r="514">
      <c r="O514" s="230"/>
      <c r="R514" s="230"/>
      <c r="S514" s="193"/>
    </row>
    <row r="515">
      <c r="O515" s="230"/>
      <c r="R515" s="230"/>
      <c r="S515" s="193"/>
    </row>
    <row r="516">
      <c r="O516" s="230"/>
      <c r="R516" s="230"/>
      <c r="S516" s="193"/>
    </row>
    <row r="517">
      <c r="O517" s="230"/>
      <c r="R517" s="230"/>
      <c r="S517" s="193"/>
    </row>
    <row r="518">
      <c r="O518" s="230"/>
      <c r="R518" s="230"/>
      <c r="S518" s="193"/>
    </row>
    <row r="519">
      <c r="O519" s="230"/>
      <c r="R519" s="230"/>
      <c r="S519" s="193"/>
    </row>
    <row r="520">
      <c r="O520" s="230"/>
      <c r="R520" s="230"/>
      <c r="S520" s="193"/>
    </row>
    <row r="521">
      <c r="O521" s="230"/>
      <c r="R521" s="230"/>
      <c r="S521" s="193"/>
    </row>
    <row r="522">
      <c r="O522" s="230"/>
      <c r="R522" s="230"/>
      <c r="S522" s="193"/>
    </row>
    <row r="523">
      <c r="O523" s="230"/>
      <c r="R523" s="230"/>
      <c r="S523" s="193"/>
    </row>
    <row r="524">
      <c r="O524" s="230"/>
      <c r="R524" s="230"/>
      <c r="S524" s="193"/>
    </row>
    <row r="525">
      <c r="O525" s="230"/>
      <c r="R525" s="230"/>
      <c r="S525" s="193"/>
    </row>
    <row r="526">
      <c r="O526" s="230"/>
      <c r="R526" s="230"/>
      <c r="S526" s="193"/>
    </row>
    <row r="527">
      <c r="O527" s="230"/>
      <c r="R527" s="230"/>
      <c r="S527" s="193"/>
    </row>
    <row r="528">
      <c r="O528" s="230"/>
      <c r="R528" s="230"/>
      <c r="S528" s="193"/>
    </row>
    <row r="529">
      <c r="O529" s="230"/>
      <c r="R529" s="230"/>
      <c r="S529" s="193"/>
    </row>
    <row r="530">
      <c r="O530" s="230"/>
      <c r="R530" s="230"/>
      <c r="S530" s="193"/>
    </row>
    <row r="531">
      <c r="O531" s="230"/>
      <c r="R531" s="230"/>
      <c r="S531" s="193"/>
    </row>
    <row r="532">
      <c r="O532" s="230"/>
      <c r="R532" s="230"/>
      <c r="S532" s="193"/>
    </row>
    <row r="533">
      <c r="O533" s="230"/>
      <c r="R533" s="230"/>
      <c r="S533" s="193"/>
    </row>
    <row r="534">
      <c r="O534" s="230"/>
      <c r="R534" s="230"/>
      <c r="S534" s="193"/>
    </row>
    <row r="535">
      <c r="O535" s="230"/>
      <c r="R535" s="230"/>
      <c r="S535" s="193"/>
    </row>
    <row r="536">
      <c r="O536" s="230"/>
      <c r="R536" s="230"/>
      <c r="S536" s="193"/>
    </row>
    <row r="537">
      <c r="O537" s="230"/>
      <c r="R537" s="230"/>
      <c r="S537" s="193"/>
    </row>
    <row r="538">
      <c r="O538" s="230"/>
      <c r="R538" s="230"/>
      <c r="S538" s="193"/>
    </row>
    <row r="539">
      <c r="O539" s="230"/>
      <c r="R539" s="230"/>
      <c r="S539" s="193"/>
    </row>
    <row r="540">
      <c r="O540" s="230"/>
      <c r="R540" s="230"/>
      <c r="S540" s="193"/>
    </row>
    <row r="541">
      <c r="O541" s="230"/>
      <c r="R541" s="230"/>
      <c r="S541" s="193"/>
    </row>
    <row r="542">
      <c r="O542" s="230"/>
      <c r="R542" s="230"/>
      <c r="S542" s="193"/>
    </row>
    <row r="543">
      <c r="O543" s="230"/>
      <c r="R543" s="230"/>
      <c r="S543" s="193"/>
    </row>
    <row r="544">
      <c r="O544" s="230"/>
      <c r="R544" s="230"/>
      <c r="S544" s="193"/>
    </row>
    <row r="545">
      <c r="O545" s="230"/>
      <c r="R545" s="230"/>
      <c r="S545" s="193"/>
    </row>
    <row r="546">
      <c r="O546" s="230"/>
      <c r="R546" s="230"/>
      <c r="S546" s="193"/>
    </row>
    <row r="547">
      <c r="O547" s="230"/>
      <c r="R547" s="230"/>
      <c r="S547" s="193"/>
    </row>
    <row r="548">
      <c r="O548" s="230"/>
      <c r="R548" s="230"/>
      <c r="S548" s="193"/>
    </row>
    <row r="549">
      <c r="O549" s="230"/>
      <c r="R549" s="230"/>
      <c r="S549" s="193"/>
    </row>
    <row r="550">
      <c r="O550" s="230"/>
      <c r="R550" s="230"/>
      <c r="S550" s="193"/>
    </row>
    <row r="551">
      <c r="O551" s="230"/>
      <c r="R551" s="230"/>
      <c r="S551" s="193"/>
    </row>
    <row r="552">
      <c r="O552" s="230"/>
      <c r="R552" s="230"/>
      <c r="S552" s="193"/>
    </row>
    <row r="553">
      <c r="O553" s="230"/>
      <c r="R553" s="230"/>
      <c r="S553" s="193"/>
    </row>
    <row r="554">
      <c r="O554" s="230"/>
      <c r="R554" s="230"/>
      <c r="S554" s="193"/>
    </row>
    <row r="555">
      <c r="O555" s="230"/>
      <c r="R555" s="230"/>
      <c r="S555" s="193"/>
    </row>
    <row r="556">
      <c r="O556" s="230"/>
      <c r="R556" s="230"/>
      <c r="S556" s="193"/>
    </row>
    <row r="557">
      <c r="O557" s="230"/>
      <c r="R557" s="230"/>
      <c r="S557" s="193"/>
    </row>
    <row r="558">
      <c r="O558" s="230"/>
      <c r="R558" s="230"/>
      <c r="S558" s="193"/>
    </row>
    <row r="559">
      <c r="O559" s="230"/>
      <c r="R559" s="230"/>
      <c r="S559" s="193"/>
    </row>
    <row r="560">
      <c r="O560" s="230"/>
      <c r="R560" s="230"/>
      <c r="S560" s="193"/>
    </row>
    <row r="561">
      <c r="O561" s="230"/>
      <c r="R561" s="230"/>
      <c r="S561" s="193"/>
    </row>
    <row r="562">
      <c r="O562" s="230"/>
      <c r="R562" s="230"/>
      <c r="S562" s="193"/>
    </row>
    <row r="563">
      <c r="O563" s="230"/>
      <c r="R563" s="230"/>
      <c r="S563" s="193"/>
    </row>
    <row r="564">
      <c r="O564" s="230"/>
      <c r="R564" s="230"/>
      <c r="S564" s="193"/>
    </row>
    <row r="565">
      <c r="O565" s="230"/>
      <c r="R565" s="230"/>
      <c r="S565" s="193"/>
    </row>
    <row r="566">
      <c r="O566" s="230"/>
      <c r="R566" s="230"/>
      <c r="S566" s="193"/>
    </row>
    <row r="567">
      <c r="O567" s="230"/>
      <c r="R567" s="230"/>
      <c r="S567" s="193"/>
    </row>
    <row r="568">
      <c r="O568" s="230"/>
      <c r="R568" s="230"/>
      <c r="S568" s="193"/>
    </row>
    <row r="569">
      <c r="O569" s="230"/>
      <c r="R569" s="230"/>
      <c r="S569" s="193"/>
    </row>
    <row r="570">
      <c r="O570" s="230"/>
      <c r="R570" s="230"/>
      <c r="S570" s="193"/>
    </row>
    <row r="571">
      <c r="O571" s="230"/>
      <c r="R571" s="230"/>
      <c r="S571" s="193"/>
    </row>
    <row r="572">
      <c r="O572" s="230"/>
      <c r="R572" s="230"/>
      <c r="S572" s="193"/>
    </row>
    <row r="573">
      <c r="O573" s="230"/>
      <c r="R573" s="230"/>
      <c r="S573" s="193"/>
    </row>
    <row r="574">
      <c r="O574" s="230"/>
      <c r="R574" s="230"/>
      <c r="S574" s="193"/>
    </row>
    <row r="575">
      <c r="O575" s="230"/>
      <c r="R575" s="230"/>
      <c r="S575" s="193"/>
    </row>
    <row r="576">
      <c r="O576" s="230"/>
      <c r="R576" s="230"/>
      <c r="S576" s="193"/>
    </row>
    <row r="577">
      <c r="O577" s="230"/>
      <c r="R577" s="230"/>
      <c r="S577" s="193"/>
    </row>
    <row r="578">
      <c r="O578" s="230"/>
      <c r="R578" s="230"/>
      <c r="S578" s="193"/>
    </row>
    <row r="579">
      <c r="O579" s="230"/>
      <c r="R579" s="230"/>
      <c r="S579" s="193"/>
    </row>
    <row r="580">
      <c r="O580" s="230"/>
      <c r="R580" s="230"/>
      <c r="S580" s="193"/>
    </row>
    <row r="581">
      <c r="O581" s="230"/>
      <c r="R581" s="230"/>
      <c r="S581" s="193"/>
    </row>
    <row r="582">
      <c r="O582" s="230"/>
      <c r="R582" s="230"/>
      <c r="S582" s="193"/>
    </row>
    <row r="583">
      <c r="O583" s="230"/>
      <c r="R583" s="230"/>
      <c r="S583" s="193"/>
    </row>
    <row r="584">
      <c r="O584" s="230"/>
      <c r="R584" s="230"/>
      <c r="S584" s="193"/>
    </row>
    <row r="585">
      <c r="O585" s="230"/>
      <c r="R585" s="230"/>
      <c r="S585" s="193"/>
    </row>
    <row r="586">
      <c r="O586" s="230"/>
      <c r="R586" s="230"/>
      <c r="S586" s="193"/>
    </row>
    <row r="587">
      <c r="O587" s="230"/>
      <c r="R587" s="230"/>
      <c r="S587" s="193"/>
    </row>
    <row r="588">
      <c r="O588" s="230"/>
      <c r="R588" s="230"/>
      <c r="S588" s="193"/>
    </row>
    <row r="589">
      <c r="O589" s="230"/>
      <c r="R589" s="230"/>
      <c r="S589" s="193"/>
    </row>
    <row r="590">
      <c r="O590" s="230"/>
      <c r="R590" s="230"/>
      <c r="S590" s="193"/>
    </row>
    <row r="591">
      <c r="O591" s="230"/>
      <c r="R591" s="230"/>
      <c r="S591" s="193"/>
    </row>
    <row r="592">
      <c r="O592" s="230"/>
      <c r="R592" s="230"/>
      <c r="S592" s="193"/>
    </row>
    <row r="593">
      <c r="O593" s="230"/>
      <c r="R593" s="230"/>
      <c r="S593" s="193"/>
    </row>
    <row r="594">
      <c r="O594" s="230"/>
      <c r="R594" s="230"/>
      <c r="S594" s="193"/>
    </row>
    <row r="595">
      <c r="O595" s="230"/>
      <c r="R595" s="230"/>
      <c r="S595" s="193"/>
    </row>
    <row r="596">
      <c r="O596" s="230"/>
      <c r="R596" s="230"/>
      <c r="S596" s="193"/>
    </row>
    <row r="597">
      <c r="O597" s="230"/>
      <c r="R597" s="230"/>
      <c r="S597" s="193"/>
    </row>
    <row r="598">
      <c r="O598" s="230"/>
      <c r="R598" s="230"/>
      <c r="S598" s="193"/>
    </row>
    <row r="599">
      <c r="O599" s="230"/>
      <c r="R599" s="230"/>
      <c r="S599" s="193"/>
    </row>
    <row r="600">
      <c r="O600" s="230"/>
      <c r="R600" s="230"/>
      <c r="S600" s="193"/>
    </row>
    <row r="601">
      <c r="O601" s="230"/>
      <c r="R601" s="230"/>
      <c r="S601" s="193"/>
    </row>
    <row r="602">
      <c r="O602" s="230"/>
      <c r="R602" s="230"/>
      <c r="S602" s="193"/>
    </row>
    <row r="603">
      <c r="O603" s="230"/>
      <c r="R603" s="230"/>
      <c r="S603" s="193"/>
    </row>
    <row r="604">
      <c r="O604" s="230"/>
      <c r="R604" s="230"/>
      <c r="S604" s="193"/>
    </row>
    <row r="605">
      <c r="O605" s="230"/>
      <c r="R605" s="230"/>
      <c r="S605" s="193"/>
    </row>
    <row r="606">
      <c r="O606" s="230"/>
      <c r="R606" s="230"/>
      <c r="S606" s="193"/>
    </row>
    <row r="607">
      <c r="O607" s="230"/>
      <c r="R607" s="230"/>
      <c r="S607" s="193"/>
    </row>
    <row r="608">
      <c r="O608" s="230"/>
      <c r="R608" s="230"/>
      <c r="S608" s="193"/>
    </row>
    <row r="609">
      <c r="O609" s="230"/>
      <c r="R609" s="230"/>
      <c r="S609" s="193"/>
    </row>
    <row r="610">
      <c r="O610" s="230"/>
      <c r="R610" s="230"/>
      <c r="S610" s="193"/>
    </row>
    <row r="611">
      <c r="O611" s="230"/>
      <c r="R611" s="230"/>
      <c r="S611" s="193"/>
    </row>
    <row r="612">
      <c r="O612" s="230"/>
      <c r="R612" s="230"/>
      <c r="S612" s="193"/>
    </row>
    <row r="613">
      <c r="O613" s="230"/>
      <c r="R613" s="230"/>
      <c r="S613" s="193"/>
    </row>
    <row r="614">
      <c r="O614" s="230"/>
      <c r="R614" s="230"/>
      <c r="S614" s="193"/>
    </row>
    <row r="615">
      <c r="O615" s="230"/>
      <c r="R615" s="230"/>
      <c r="S615" s="193"/>
    </row>
    <row r="616">
      <c r="O616" s="230"/>
      <c r="R616" s="230"/>
      <c r="S616" s="193"/>
    </row>
    <row r="617">
      <c r="O617" s="230"/>
      <c r="R617" s="230"/>
      <c r="S617" s="193"/>
    </row>
    <row r="618">
      <c r="O618" s="230"/>
      <c r="R618" s="230"/>
      <c r="S618" s="193"/>
    </row>
    <row r="619">
      <c r="O619" s="230"/>
      <c r="R619" s="230"/>
      <c r="S619" s="193"/>
    </row>
    <row r="620">
      <c r="O620" s="230"/>
      <c r="R620" s="230"/>
      <c r="S620" s="193"/>
    </row>
    <row r="621">
      <c r="O621" s="230"/>
      <c r="R621" s="230"/>
      <c r="S621" s="193"/>
    </row>
    <row r="622">
      <c r="O622" s="230"/>
      <c r="R622" s="230"/>
      <c r="S622" s="193"/>
    </row>
    <row r="623">
      <c r="O623" s="230"/>
      <c r="R623" s="230"/>
      <c r="S623" s="193"/>
    </row>
    <row r="624">
      <c r="O624" s="230"/>
      <c r="R624" s="230"/>
      <c r="S624" s="193"/>
    </row>
    <row r="625">
      <c r="O625" s="230"/>
      <c r="R625" s="230"/>
      <c r="S625" s="193"/>
    </row>
    <row r="626">
      <c r="O626" s="230"/>
      <c r="R626" s="230"/>
      <c r="S626" s="193"/>
    </row>
    <row r="627">
      <c r="O627" s="230"/>
      <c r="R627" s="230"/>
      <c r="S627" s="193"/>
    </row>
    <row r="628">
      <c r="O628" s="230"/>
      <c r="R628" s="230"/>
      <c r="S628" s="193"/>
    </row>
    <row r="629">
      <c r="O629" s="230"/>
      <c r="R629" s="230"/>
      <c r="S629" s="193"/>
    </row>
    <row r="630">
      <c r="O630" s="230"/>
      <c r="R630" s="230"/>
      <c r="S630" s="193"/>
    </row>
    <row r="631">
      <c r="O631" s="230"/>
      <c r="R631" s="230"/>
      <c r="S631" s="193"/>
    </row>
    <row r="632">
      <c r="O632" s="230"/>
      <c r="R632" s="230"/>
      <c r="S632" s="193"/>
    </row>
    <row r="633">
      <c r="O633" s="230"/>
      <c r="R633" s="230"/>
      <c r="S633" s="193"/>
    </row>
    <row r="634">
      <c r="O634" s="230"/>
      <c r="R634" s="230"/>
      <c r="S634" s="193"/>
    </row>
    <row r="635">
      <c r="O635" s="230"/>
      <c r="R635" s="230"/>
      <c r="S635" s="193"/>
    </row>
    <row r="636">
      <c r="O636" s="230"/>
      <c r="R636" s="230"/>
      <c r="S636" s="193"/>
    </row>
    <row r="637">
      <c r="O637" s="230"/>
      <c r="R637" s="230"/>
      <c r="S637" s="193"/>
    </row>
    <row r="638">
      <c r="O638" s="230"/>
      <c r="R638" s="230"/>
      <c r="S638" s="193"/>
    </row>
    <row r="639">
      <c r="O639" s="230"/>
      <c r="R639" s="230"/>
      <c r="S639" s="193"/>
    </row>
    <row r="640">
      <c r="O640" s="230"/>
      <c r="R640" s="230"/>
      <c r="S640" s="193"/>
    </row>
    <row r="641">
      <c r="O641" s="230"/>
      <c r="R641" s="230"/>
      <c r="S641" s="193"/>
    </row>
    <row r="642">
      <c r="O642" s="230"/>
      <c r="R642" s="230"/>
      <c r="S642" s="193"/>
    </row>
    <row r="643">
      <c r="O643" s="230"/>
      <c r="R643" s="230"/>
      <c r="S643" s="193"/>
    </row>
    <row r="644">
      <c r="O644" s="230"/>
      <c r="R644" s="230"/>
      <c r="S644" s="193"/>
    </row>
    <row r="645">
      <c r="O645" s="230"/>
      <c r="R645" s="230"/>
      <c r="S645" s="193"/>
    </row>
    <row r="646">
      <c r="O646" s="230"/>
      <c r="R646" s="230"/>
      <c r="S646" s="193"/>
    </row>
    <row r="647">
      <c r="O647" s="230"/>
      <c r="R647" s="230"/>
      <c r="S647" s="193"/>
    </row>
    <row r="648">
      <c r="O648" s="230"/>
      <c r="R648" s="230"/>
      <c r="S648" s="193"/>
    </row>
    <row r="649">
      <c r="O649" s="230"/>
      <c r="R649" s="230"/>
      <c r="S649" s="193"/>
    </row>
    <row r="650">
      <c r="O650" s="230"/>
      <c r="R650" s="230"/>
      <c r="S650" s="193"/>
    </row>
    <row r="651">
      <c r="O651" s="230"/>
      <c r="R651" s="230"/>
      <c r="S651" s="193"/>
    </row>
    <row r="652">
      <c r="O652" s="230"/>
      <c r="R652" s="230"/>
      <c r="S652" s="193"/>
    </row>
    <row r="653">
      <c r="O653" s="230"/>
      <c r="R653" s="230"/>
      <c r="S653" s="193"/>
    </row>
    <row r="654">
      <c r="O654" s="230"/>
      <c r="R654" s="230"/>
      <c r="S654" s="193"/>
    </row>
    <row r="655">
      <c r="O655" s="230"/>
      <c r="R655" s="230"/>
      <c r="S655" s="193"/>
    </row>
    <row r="656">
      <c r="O656" s="230"/>
      <c r="R656" s="230"/>
      <c r="S656" s="193"/>
    </row>
    <row r="657">
      <c r="O657" s="230"/>
      <c r="R657" s="230"/>
      <c r="S657" s="193"/>
    </row>
    <row r="658">
      <c r="O658" s="230"/>
      <c r="R658" s="230"/>
      <c r="S658" s="193"/>
    </row>
    <row r="659">
      <c r="O659" s="230"/>
      <c r="R659" s="230"/>
      <c r="S659" s="193"/>
    </row>
    <row r="660">
      <c r="O660" s="230"/>
      <c r="R660" s="230"/>
      <c r="S660" s="193"/>
    </row>
    <row r="661">
      <c r="O661" s="230"/>
      <c r="R661" s="230"/>
      <c r="S661" s="193"/>
    </row>
    <row r="662">
      <c r="O662" s="230"/>
      <c r="R662" s="230"/>
      <c r="S662" s="193"/>
    </row>
    <row r="663">
      <c r="O663" s="230"/>
      <c r="R663" s="230"/>
      <c r="S663" s="193"/>
    </row>
    <row r="664">
      <c r="O664" s="230"/>
      <c r="R664" s="230"/>
      <c r="S664" s="193"/>
    </row>
    <row r="665">
      <c r="O665" s="230"/>
      <c r="R665" s="230"/>
      <c r="S665" s="193"/>
    </row>
    <row r="666">
      <c r="O666" s="230"/>
      <c r="R666" s="230"/>
      <c r="S666" s="193"/>
    </row>
    <row r="667">
      <c r="O667" s="230"/>
      <c r="R667" s="230"/>
      <c r="S667" s="193"/>
    </row>
    <row r="668">
      <c r="O668" s="230"/>
      <c r="R668" s="230"/>
      <c r="S668" s="193"/>
    </row>
    <row r="669">
      <c r="O669" s="230"/>
      <c r="R669" s="230"/>
      <c r="S669" s="193"/>
    </row>
    <row r="670">
      <c r="O670" s="230"/>
      <c r="R670" s="230"/>
      <c r="S670" s="193"/>
    </row>
    <row r="671">
      <c r="O671" s="230"/>
      <c r="R671" s="230"/>
      <c r="S671" s="193"/>
    </row>
    <row r="672">
      <c r="O672" s="230"/>
      <c r="R672" s="230"/>
      <c r="S672" s="193"/>
    </row>
    <row r="673">
      <c r="O673" s="230"/>
      <c r="R673" s="230"/>
      <c r="S673" s="193"/>
    </row>
    <row r="674">
      <c r="O674" s="230"/>
      <c r="R674" s="230"/>
      <c r="S674" s="193"/>
    </row>
    <row r="675">
      <c r="O675" s="230"/>
      <c r="R675" s="230"/>
      <c r="S675" s="193"/>
    </row>
    <row r="676">
      <c r="O676" s="230"/>
      <c r="R676" s="230"/>
      <c r="S676" s="193"/>
    </row>
    <row r="677">
      <c r="O677" s="230"/>
      <c r="R677" s="230"/>
      <c r="S677" s="193"/>
    </row>
    <row r="678">
      <c r="O678" s="230"/>
      <c r="R678" s="230"/>
      <c r="S678" s="193"/>
    </row>
    <row r="679">
      <c r="O679" s="230"/>
      <c r="R679" s="230"/>
      <c r="S679" s="193"/>
    </row>
    <row r="680">
      <c r="O680" s="230"/>
      <c r="R680" s="230"/>
      <c r="S680" s="193"/>
    </row>
    <row r="681">
      <c r="O681" s="230"/>
      <c r="R681" s="230"/>
      <c r="S681" s="193"/>
    </row>
    <row r="682">
      <c r="O682" s="230"/>
      <c r="R682" s="230"/>
      <c r="S682" s="193"/>
    </row>
    <row r="683">
      <c r="O683" s="230"/>
      <c r="R683" s="230"/>
      <c r="S683" s="193"/>
    </row>
    <row r="684">
      <c r="O684" s="230"/>
      <c r="R684" s="230"/>
      <c r="S684" s="193"/>
    </row>
    <row r="685">
      <c r="O685" s="230"/>
      <c r="R685" s="230"/>
      <c r="S685" s="193"/>
    </row>
    <row r="686">
      <c r="O686" s="230"/>
      <c r="R686" s="230"/>
      <c r="S686" s="193"/>
    </row>
    <row r="687">
      <c r="O687" s="230"/>
      <c r="R687" s="230"/>
      <c r="S687" s="193"/>
    </row>
    <row r="688">
      <c r="O688" s="230"/>
      <c r="R688" s="230"/>
      <c r="S688" s="193"/>
    </row>
    <row r="689">
      <c r="O689" s="230"/>
      <c r="R689" s="230"/>
      <c r="S689" s="193"/>
    </row>
    <row r="690">
      <c r="O690" s="230"/>
      <c r="R690" s="230"/>
      <c r="S690" s="193"/>
    </row>
    <row r="691">
      <c r="O691" s="230"/>
      <c r="R691" s="230"/>
      <c r="S691" s="193"/>
    </row>
    <row r="692">
      <c r="O692" s="230"/>
      <c r="R692" s="230"/>
      <c r="S692" s="193"/>
    </row>
    <row r="693">
      <c r="O693" s="230"/>
      <c r="R693" s="230"/>
      <c r="S693" s="193"/>
    </row>
    <row r="694">
      <c r="O694" s="230"/>
      <c r="R694" s="230"/>
      <c r="S694" s="193"/>
    </row>
    <row r="695">
      <c r="O695" s="230"/>
      <c r="R695" s="230"/>
      <c r="S695" s="193"/>
    </row>
    <row r="696">
      <c r="O696" s="230"/>
      <c r="R696" s="230"/>
      <c r="S696" s="193"/>
    </row>
    <row r="697">
      <c r="O697" s="230"/>
      <c r="R697" s="230"/>
      <c r="S697" s="193"/>
    </row>
    <row r="698">
      <c r="O698" s="230"/>
      <c r="R698" s="230"/>
      <c r="S698" s="193"/>
    </row>
    <row r="699">
      <c r="O699" s="230"/>
      <c r="R699" s="230"/>
      <c r="S699" s="193"/>
    </row>
    <row r="700">
      <c r="O700" s="230"/>
      <c r="R700" s="230"/>
      <c r="S700" s="193"/>
    </row>
    <row r="701">
      <c r="O701" s="230"/>
      <c r="R701" s="230"/>
      <c r="S701" s="193"/>
    </row>
    <row r="702">
      <c r="O702" s="230"/>
      <c r="R702" s="230"/>
      <c r="S702" s="193"/>
    </row>
    <row r="703">
      <c r="O703" s="230"/>
      <c r="R703" s="230"/>
      <c r="S703" s="193"/>
    </row>
    <row r="704">
      <c r="O704" s="230"/>
      <c r="R704" s="230"/>
      <c r="S704" s="193"/>
    </row>
    <row r="705">
      <c r="O705" s="230"/>
      <c r="R705" s="230"/>
      <c r="S705" s="193"/>
    </row>
    <row r="706">
      <c r="O706" s="230"/>
      <c r="R706" s="230"/>
      <c r="S706" s="193"/>
    </row>
    <row r="707">
      <c r="O707" s="230"/>
      <c r="R707" s="230"/>
      <c r="S707" s="193"/>
    </row>
    <row r="708">
      <c r="O708" s="230"/>
      <c r="R708" s="230"/>
      <c r="S708" s="193"/>
    </row>
    <row r="709">
      <c r="O709" s="230"/>
      <c r="R709" s="230"/>
      <c r="S709" s="193"/>
    </row>
    <row r="710">
      <c r="O710" s="230"/>
      <c r="R710" s="230"/>
      <c r="S710" s="193"/>
    </row>
    <row r="711">
      <c r="O711" s="230"/>
      <c r="R711" s="230"/>
      <c r="S711" s="193"/>
    </row>
    <row r="712">
      <c r="O712" s="230"/>
      <c r="R712" s="230"/>
      <c r="S712" s="193"/>
    </row>
    <row r="713">
      <c r="O713" s="230"/>
      <c r="R713" s="230"/>
      <c r="S713" s="193"/>
    </row>
    <row r="714">
      <c r="O714" s="230"/>
      <c r="R714" s="230"/>
      <c r="S714" s="193"/>
    </row>
    <row r="715">
      <c r="O715" s="230"/>
      <c r="R715" s="230"/>
      <c r="S715" s="193"/>
    </row>
    <row r="716">
      <c r="O716" s="230"/>
      <c r="R716" s="230"/>
      <c r="S716" s="193"/>
    </row>
    <row r="717">
      <c r="O717" s="230"/>
      <c r="R717" s="230"/>
      <c r="S717" s="193"/>
    </row>
    <row r="718">
      <c r="O718" s="230"/>
      <c r="R718" s="230"/>
      <c r="S718" s="193"/>
    </row>
    <row r="719">
      <c r="O719" s="230"/>
      <c r="R719" s="230"/>
      <c r="S719" s="193"/>
    </row>
    <row r="720">
      <c r="O720" s="230"/>
      <c r="R720" s="230"/>
      <c r="S720" s="193"/>
    </row>
    <row r="721">
      <c r="O721" s="230"/>
      <c r="R721" s="230"/>
      <c r="S721" s="193"/>
    </row>
    <row r="722">
      <c r="O722" s="230"/>
      <c r="R722" s="230"/>
      <c r="S722" s="193"/>
    </row>
    <row r="723">
      <c r="O723" s="230"/>
      <c r="R723" s="230"/>
      <c r="S723" s="193"/>
    </row>
    <row r="724">
      <c r="O724" s="230"/>
      <c r="R724" s="230"/>
      <c r="S724" s="193"/>
    </row>
    <row r="725">
      <c r="O725" s="230"/>
      <c r="R725" s="230"/>
      <c r="S725" s="193"/>
    </row>
    <row r="726">
      <c r="O726" s="230"/>
      <c r="R726" s="230"/>
      <c r="S726" s="193"/>
    </row>
    <row r="727">
      <c r="O727" s="230"/>
      <c r="R727" s="230"/>
      <c r="S727" s="193"/>
    </row>
    <row r="728">
      <c r="O728" s="230"/>
      <c r="R728" s="230"/>
      <c r="S728" s="193"/>
    </row>
    <row r="729">
      <c r="O729" s="230"/>
      <c r="R729" s="230"/>
      <c r="S729" s="193"/>
    </row>
    <row r="730">
      <c r="O730" s="230"/>
      <c r="R730" s="230"/>
      <c r="S730" s="193"/>
    </row>
    <row r="731">
      <c r="O731" s="230"/>
      <c r="R731" s="230"/>
      <c r="S731" s="193"/>
    </row>
    <row r="732">
      <c r="O732" s="230"/>
      <c r="R732" s="230"/>
      <c r="S732" s="193"/>
    </row>
    <row r="733">
      <c r="O733" s="230"/>
      <c r="R733" s="230"/>
      <c r="S733" s="193"/>
    </row>
    <row r="734">
      <c r="O734" s="230"/>
      <c r="R734" s="230"/>
      <c r="S734" s="193"/>
    </row>
    <row r="735">
      <c r="O735" s="230"/>
      <c r="R735" s="230"/>
      <c r="S735" s="193"/>
    </row>
    <row r="736">
      <c r="O736" s="230"/>
      <c r="R736" s="230"/>
      <c r="S736" s="193"/>
    </row>
    <row r="737">
      <c r="O737" s="230"/>
      <c r="R737" s="230"/>
      <c r="S737" s="193"/>
    </row>
    <row r="738">
      <c r="O738" s="230"/>
      <c r="R738" s="230"/>
      <c r="S738" s="193"/>
    </row>
    <row r="739">
      <c r="O739" s="230"/>
      <c r="R739" s="230"/>
      <c r="S739" s="193"/>
    </row>
    <row r="740">
      <c r="O740" s="230"/>
      <c r="R740" s="230"/>
      <c r="S740" s="193"/>
    </row>
    <row r="741">
      <c r="O741" s="230"/>
      <c r="R741" s="230"/>
      <c r="S741" s="193"/>
    </row>
    <row r="742">
      <c r="O742" s="230"/>
      <c r="R742" s="230"/>
      <c r="S742" s="193"/>
    </row>
    <row r="743">
      <c r="O743" s="230"/>
      <c r="R743" s="230"/>
      <c r="S743" s="193"/>
    </row>
    <row r="744">
      <c r="O744" s="230"/>
      <c r="R744" s="230"/>
      <c r="S744" s="193"/>
    </row>
    <row r="745">
      <c r="O745" s="230"/>
      <c r="R745" s="230"/>
      <c r="S745" s="193"/>
    </row>
    <row r="746">
      <c r="O746" s="230"/>
      <c r="R746" s="230"/>
      <c r="S746" s="193"/>
    </row>
    <row r="747">
      <c r="O747" s="230"/>
      <c r="R747" s="230"/>
      <c r="S747" s="193"/>
    </row>
    <row r="748">
      <c r="O748" s="230"/>
      <c r="R748" s="230"/>
      <c r="S748" s="193"/>
    </row>
    <row r="749">
      <c r="O749" s="230"/>
      <c r="R749" s="230"/>
      <c r="S749" s="193"/>
    </row>
    <row r="750">
      <c r="O750" s="230"/>
      <c r="R750" s="230"/>
      <c r="S750" s="193"/>
    </row>
    <row r="751">
      <c r="O751" s="230"/>
      <c r="R751" s="230"/>
      <c r="S751" s="193"/>
    </row>
    <row r="752">
      <c r="O752" s="230"/>
      <c r="R752" s="230"/>
      <c r="S752" s="193"/>
    </row>
    <row r="753">
      <c r="O753" s="230"/>
      <c r="R753" s="230"/>
      <c r="S753" s="193"/>
    </row>
    <row r="754">
      <c r="O754" s="230"/>
      <c r="R754" s="230"/>
      <c r="S754" s="193"/>
    </row>
    <row r="755">
      <c r="O755" s="230"/>
      <c r="R755" s="230"/>
      <c r="S755" s="193"/>
    </row>
    <row r="756">
      <c r="O756" s="230"/>
      <c r="R756" s="230"/>
      <c r="S756" s="193"/>
    </row>
    <row r="757">
      <c r="O757" s="230"/>
      <c r="R757" s="230"/>
      <c r="S757" s="193"/>
    </row>
    <row r="758">
      <c r="O758" s="230"/>
      <c r="R758" s="230"/>
      <c r="S758" s="193"/>
    </row>
    <row r="759">
      <c r="O759" s="230"/>
      <c r="R759" s="230"/>
      <c r="S759" s="193"/>
    </row>
    <row r="760">
      <c r="O760" s="230"/>
      <c r="R760" s="230"/>
      <c r="S760" s="193"/>
    </row>
    <row r="761">
      <c r="O761" s="230"/>
      <c r="R761" s="230"/>
      <c r="S761" s="193"/>
    </row>
    <row r="762">
      <c r="O762" s="230"/>
      <c r="R762" s="230"/>
      <c r="S762" s="193"/>
    </row>
    <row r="763">
      <c r="O763" s="230"/>
      <c r="R763" s="230"/>
      <c r="S763" s="193"/>
    </row>
    <row r="764">
      <c r="O764" s="230"/>
      <c r="R764" s="230"/>
      <c r="S764" s="193"/>
    </row>
    <row r="765">
      <c r="O765" s="230"/>
      <c r="R765" s="230"/>
      <c r="S765" s="193"/>
    </row>
    <row r="766">
      <c r="O766" s="230"/>
      <c r="R766" s="230"/>
      <c r="S766" s="193"/>
    </row>
    <row r="767">
      <c r="O767" s="230"/>
      <c r="R767" s="230"/>
      <c r="S767" s="193"/>
    </row>
    <row r="768">
      <c r="O768" s="230"/>
      <c r="R768" s="230"/>
      <c r="S768" s="193"/>
    </row>
    <row r="769">
      <c r="O769" s="230"/>
      <c r="R769" s="230"/>
      <c r="S769" s="193"/>
    </row>
    <row r="770">
      <c r="O770" s="230"/>
      <c r="R770" s="230"/>
      <c r="S770" s="193"/>
    </row>
    <row r="771">
      <c r="O771" s="230"/>
      <c r="R771" s="230"/>
      <c r="S771" s="193"/>
    </row>
    <row r="772">
      <c r="O772" s="230"/>
      <c r="R772" s="230"/>
      <c r="S772" s="193"/>
    </row>
    <row r="773">
      <c r="O773" s="230"/>
      <c r="R773" s="230"/>
      <c r="S773" s="193"/>
    </row>
    <row r="774">
      <c r="O774" s="230"/>
      <c r="R774" s="230"/>
      <c r="S774" s="193"/>
    </row>
    <row r="775">
      <c r="O775" s="230"/>
      <c r="R775" s="230"/>
      <c r="S775" s="193"/>
    </row>
    <row r="776">
      <c r="O776" s="230"/>
      <c r="R776" s="230"/>
      <c r="S776" s="193"/>
    </row>
    <row r="777">
      <c r="O777" s="230"/>
      <c r="R777" s="230"/>
      <c r="S777" s="193"/>
    </row>
    <row r="778">
      <c r="O778" s="230"/>
      <c r="R778" s="230"/>
      <c r="S778" s="193"/>
    </row>
    <row r="779">
      <c r="O779" s="230"/>
      <c r="R779" s="230"/>
      <c r="S779" s="193"/>
    </row>
    <row r="780">
      <c r="O780" s="230"/>
      <c r="R780" s="230"/>
      <c r="S780" s="193"/>
    </row>
    <row r="781">
      <c r="O781" s="230"/>
      <c r="R781" s="230"/>
      <c r="S781" s="193"/>
    </row>
    <row r="782">
      <c r="O782" s="230"/>
      <c r="R782" s="230"/>
      <c r="S782" s="193"/>
    </row>
    <row r="783">
      <c r="O783" s="230"/>
      <c r="R783" s="230"/>
      <c r="S783" s="193"/>
    </row>
    <row r="784">
      <c r="O784" s="230"/>
      <c r="R784" s="230"/>
      <c r="S784" s="193"/>
    </row>
    <row r="785">
      <c r="O785" s="230"/>
      <c r="R785" s="230"/>
      <c r="S785" s="193"/>
    </row>
    <row r="786">
      <c r="O786" s="230"/>
      <c r="R786" s="230"/>
      <c r="S786" s="193"/>
    </row>
    <row r="787">
      <c r="O787" s="230"/>
      <c r="R787" s="230"/>
      <c r="S787" s="193"/>
    </row>
    <row r="788">
      <c r="O788" s="230"/>
      <c r="R788" s="230"/>
      <c r="S788" s="193"/>
    </row>
    <row r="789">
      <c r="O789" s="230"/>
      <c r="R789" s="230"/>
      <c r="S789" s="193"/>
    </row>
    <row r="790">
      <c r="O790" s="230"/>
      <c r="R790" s="230"/>
      <c r="S790" s="193"/>
    </row>
    <row r="791">
      <c r="O791" s="230"/>
      <c r="R791" s="230"/>
      <c r="S791" s="193"/>
    </row>
    <row r="792">
      <c r="O792" s="230"/>
      <c r="R792" s="230"/>
      <c r="S792" s="193"/>
    </row>
    <row r="793">
      <c r="O793" s="230"/>
      <c r="R793" s="230"/>
      <c r="S793" s="193"/>
    </row>
    <row r="794">
      <c r="O794" s="230"/>
      <c r="R794" s="230"/>
      <c r="S794" s="193"/>
    </row>
    <row r="795">
      <c r="O795" s="230"/>
      <c r="R795" s="230"/>
      <c r="S795" s="193"/>
    </row>
    <row r="796">
      <c r="O796" s="230"/>
      <c r="R796" s="230"/>
      <c r="S796" s="193"/>
    </row>
    <row r="797">
      <c r="O797" s="230"/>
      <c r="R797" s="230"/>
      <c r="S797" s="193"/>
    </row>
    <row r="798">
      <c r="O798" s="230"/>
      <c r="R798" s="230"/>
      <c r="S798" s="193"/>
    </row>
    <row r="799">
      <c r="O799" s="230"/>
      <c r="R799" s="230"/>
      <c r="S799" s="193"/>
    </row>
    <row r="800">
      <c r="O800" s="230"/>
      <c r="R800" s="230"/>
      <c r="S800" s="193"/>
    </row>
    <row r="801">
      <c r="O801" s="230"/>
      <c r="R801" s="230"/>
      <c r="S801" s="193"/>
    </row>
    <row r="802">
      <c r="O802" s="230"/>
      <c r="R802" s="230"/>
      <c r="S802" s="193"/>
    </row>
    <row r="803">
      <c r="O803" s="230"/>
      <c r="R803" s="230"/>
      <c r="S803" s="193"/>
    </row>
    <row r="804">
      <c r="O804" s="230"/>
      <c r="R804" s="230"/>
      <c r="S804" s="193"/>
    </row>
    <row r="805">
      <c r="O805" s="230"/>
      <c r="R805" s="230"/>
      <c r="S805" s="193"/>
    </row>
    <row r="806">
      <c r="O806" s="230"/>
      <c r="R806" s="230"/>
      <c r="S806" s="193"/>
    </row>
    <row r="807">
      <c r="O807" s="230"/>
      <c r="R807" s="230"/>
      <c r="S807" s="193"/>
    </row>
    <row r="808">
      <c r="O808" s="230"/>
      <c r="R808" s="230"/>
      <c r="S808" s="193"/>
    </row>
    <row r="809">
      <c r="O809" s="230"/>
      <c r="R809" s="230"/>
      <c r="S809" s="193"/>
    </row>
    <row r="810">
      <c r="O810" s="230"/>
      <c r="R810" s="230"/>
      <c r="S810" s="193"/>
    </row>
    <row r="811">
      <c r="O811" s="230"/>
      <c r="R811" s="230"/>
      <c r="S811" s="193"/>
    </row>
    <row r="812">
      <c r="O812" s="230"/>
      <c r="R812" s="230"/>
      <c r="S812" s="193"/>
    </row>
    <row r="813">
      <c r="O813" s="230"/>
      <c r="R813" s="230"/>
      <c r="S813" s="193"/>
    </row>
    <row r="814">
      <c r="O814" s="230"/>
      <c r="R814" s="230"/>
      <c r="S814" s="193"/>
    </row>
    <row r="815">
      <c r="O815" s="230"/>
      <c r="R815" s="230"/>
      <c r="S815" s="193"/>
    </row>
    <row r="816">
      <c r="O816" s="230"/>
      <c r="R816" s="230"/>
      <c r="S816" s="193"/>
    </row>
    <row r="817">
      <c r="O817" s="230"/>
      <c r="R817" s="230"/>
      <c r="S817" s="193"/>
    </row>
    <row r="818">
      <c r="O818" s="230"/>
      <c r="R818" s="230"/>
      <c r="S818" s="193"/>
    </row>
    <row r="819">
      <c r="O819" s="230"/>
      <c r="R819" s="230"/>
      <c r="S819" s="193"/>
    </row>
    <row r="820">
      <c r="O820" s="230"/>
      <c r="R820" s="230"/>
      <c r="S820" s="193"/>
    </row>
    <row r="821">
      <c r="O821" s="230"/>
      <c r="R821" s="230"/>
      <c r="S821" s="193"/>
    </row>
    <row r="822">
      <c r="O822" s="230"/>
      <c r="R822" s="230"/>
      <c r="S822" s="193"/>
    </row>
    <row r="823">
      <c r="O823" s="230"/>
      <c r="R823" s="230"/>
      <c r="S823" s="193"/>
    </row>
    <row r="824">
      <c r="O824" s="230"/>
      <c r="R824" s="230"/>
      <c r="S824" s="193"/>
    </row>
    <row r="825">
      <c r="O825" s="230"/>
      <c r="R825" s="230"/>
      <c r="S825" s="193"/>
    </row>
    <row r="826">
      <c r="O826" s="230"/>
      <c r="R826" s="230"/>
      <c r="S826" s="193"/>
    </row>
    <row r="827">
      <c r="O827" s="230"/>
      <c r="R827" s="230"/>
      <c r="S827" s="193"/>
    </row>
    <row r="828">
      <c r="O828" s="230"/>
      <c r="R828" s="230"/>
      <c r="S828" s="193"/>
    </row>
    <row r="829">
      <c r="O829" s="230"/>
      <c r="R829" s="230"/>
      <c r="S829" s="193"/>
    </row>
    <row r="830">
      <c r="O830" s="230"/>
      <c r="R830" s="230"/>
      <c r="S830" s="193"/>
    </row>
    <row r="831">
      <c r="O831" s="230"/>
      <c r="R831" s="230"/>
      <c r="S831" s="193"/>
    </row>
    <row r="832">
      <c r="O832" s="230"/>
      <c r="R832" s="230"/>
      <c r="S832" s="193"/>
    </row>
    <row r="833">
      <c r="O833" s="230"/>
      <c r="R833" s="230"/>
      <c r="S833" s="193"/>
    </row>
    <row r="834">
      <c r="O834" s="230"/>
      <c r="R834" s="230"/>
      <c r="S834" s="193"/>
    </row>
    <row r="835">
      <c r="O835" s="230"/>
      <c r="R835" s="230"/>
      <c r="S835" s="193"/>
    </row>
    <row r="836">
      <c r="O836" s="230"/>
      <c r="R836" s="230"/>
      <c r="S836" s="193"/>
    </row>
    <row r="837">
      <c r="O837" s="230"/>
      <c r="R837" s="230"/>
      <c r="S837" s="193"/>
    </row>
    <row r="838">
      <c r="O838" s="230"/>
      <c r="R838" s="230"/>
      <c r="S838" s="193"/>
    </row>
    <row r="839">
      <c r="O839" s="230"/>
      <c r="R839" s="230"/>
      <c r="S839" s="193"/>
    </row>
    <row r="840">
      <c r="O840" s="230"/>
      <c r="R840" s="230"/>
      <c r="S840" s="193"/>
    </row>
    <row r="841">
      <c r="O841" s="230"/>
      <c r="R841" s="230"/>
      <c r="S841" s="193"/>
    </row>
    <row r="842">
      <c r="O842" s="230"/>
      <c r="R842" s="230"/>
      <c r="S842" s="193"/>
    </row>
    <row r="843">
      <c r="O843" s="230"/>
      <c r="R843" s="230"/>
      <c r="S843" s="193"/>
    </row>
    <row r="844">
      <c r="O844" s="230"/>
      <c r="R844" s="230"/>
      <c r="S844" s="193"/>
    </row>
    <row r="845">
      <c r="O845" s="230"/>
      <c r="R845" s="230"/>
      <c r="S845" s="193"/>
    </row>
    <row r="846">
      <c r="O846" s="230"/>
      <c r="R846" s="230"/>
      <c r="S846" s="193"/>
    </row>
    <row r="847">
      <c r="O847" s="230"/>
      <c r="R847" s="230"/>
      <c r="S847" s="193"/>
    </row>
    <row r="848">
      <c r="O848" s="230"/>
      <c r="R848" s="230"/>
      <c r="S848" s="193"/>
    </row>
    <row r="849">
      <c r="O849" s="230"/>
      <c r="R849" s="230"/>
      <c r="S849" s="193"/>
    </row>
    <row r="850">
      <c r="O850" s="230"/>
      <c r="R850" s="230"/>
      <c r="S850" s="193"/>
    </row>
    <row r="851">
      <c r="O851" s="230"/>
      <c r="R851" s="230"/>
      <c r="S851" s="193"/>
    </row>
    <row r="852">
      <c r="O852" s="230"/>
      <c r="R852" s="230"/>
      <c r="S852" s="193"/>
    </row>
    <row r="853">
      <c r="O853" s="230"/>
      <c r="R853" s="230"/>
      <c r="S853" s="193"/>
    </row>
    <row r="854">
      <c r="O854" s="230"/>
      <c r="R854" s="230"/>
      <c r="S854" s="193"/>
    </row>
    <row r="855">
      <c r="O855" s="230"/>
      <c r="R855" s="230"/>
      <c r="S855" s="193"/>
    </row>
    <row r="856">
      <c r="O856" s="230"/>
      <c r="R856" s="230"/>
      <c r="S856" s="193"/>
    </row>
    <row r="857">
      <c r="O857" s="230"/>
      <c r="R857" s="230"/>
      <c r="S857" s="193"/>
    </row>
    <row r="858">
      <c r="O858" s="230"/>
      <c r="R858" s="230"/>
      <c r="S858" s="193"/>
    </row>
    <row r="859">
      <c r="O859" s="230"/>
      <c r="R859" s="230"/>
      <c r="S859" s="193"/>
    </row>
    <row r="860">
      <c r="O860" s="230"/>
      <c r="R860" s="230"/>
      <c r="S860" s="193"/>
    </row>
    <row r="861">
      <c r="O861" s="230"/>
      <c r="R861" s="230"/>
      <c r="S861" s="193"/>
    </row>
    <row r="862">
      <c r="O862" s="230"/>
      <c r="R862" s="230"/>
      <c r="S862" s="193"/>
    </row>
    <row r="863">
      <c r="O863" s="230"/>
      <c r="R863" s="230"/>
      <c r="S863" s="193"/>
    </row>
    <row r="864">
      <c r="O864" s="230"/>
      <c r="R864" s="230"/>
      <c r="S864" s="193"/>
    </row>
    <row r="865">
      <c r="O865" s="230"/>
      <c r="R865" s="230"/>
      <c r="S865" s="193"/>
    </row>
    <row r="866">
      <c r="O866" s="230"/>
      <c r="R866" s="230"/>
      <c r="S866" s="193"/>
    </row>
    <row r="867">
      <c r="O867" s="230"/>
      <c r="R867" s="230"/>
      <c r="S867" s="193"/>
    </row>
    <row r="868">
      <c r="O868" s="230"/>
      <c r="R868" s="230"/>
      <c r="S868" s="193"/>
    </row>
    <row r="869">
      <c r="O869" s="230"/>
      <c r="R869" s="230"/>
      <c r="S869" s="193"/>
    </row>
    <row r="870">
      <c r="O870" s="230"/>
      <c r="R870" s="230"/>
      <c r="S870" s="193"/>
    </row>
    <row r="871">
      <c r="O871" s="230"/>
      <c r="R871" s="230"/>
      <c r="S871" s="193"/>
    </row>
    <row r="872">
      <c r="O872" s="230"/>
      <c r="R872" s="230"/>
      <c r="S872" s="193"/>
    </row>
    <row r="873">
      <c r="O873" s="230"/>
      <c r="R873" s="230"/>
      <c r="S873" s="193"/>
    </row>
    <row r="874">
      <c r="O874" s="230"/>
      <c r="R874" s="230"/>
      <c r="S874" s="193"/>
    </row>
    <row r="875">
      <c r="O875" s="230"/>
      <c r="R875" s="230"/>
      <c r="S875" s="193"/>
    </row>
    <row r="876">
      <c r="O876" s="230"/>
      <c r="R876" s="230"/>
      <c r="S876" s="193"/>
    </row>
    <row r="877">
      <c r="O877" s="230"/>
      <c r="R877" s="230"/>
      <c r="S877" s="193"/>
    </row>
    <row r="878">
      <c r="O878" s="230"/>
      <c r="R878" s="230"/>
      <c r="S878" s="193"/>
    </row>
    <row r="879">
      <c r="O879" s="230"/>
      <c r="R879" s="230"/>
      <c r="S879" s="193"/>
    </row>
    <row r="880">
      <c r="O880" s="230"/>
      <c r="R880" s="230"/>
      <c r="S880" s="193"/>
    </row>
    <row r="881">
      <c r="O881" s="230"/>
      <c r="R881" s="230"/>
      <c r="S881" s="193"/>
    </row>
    <row r="882">
      <c r="O882" s="230"/>
      <c r="R882" s="230"/>
      <c r="S882" s="193"/>
    </row>
    <row r="883">
      <c r="O883" s="230"/>
      <c r="R883" s="230"/>
      <c r="S883" s="193"/>
    </row>
    <row r="884">
      <c r="O884" s="230"/>
      <c r="R884" s="230"/>
      <c r="S884" s="193"/>
    </row>
    <row r="885">
      <c r="O885" s="230"/>
      <c r="R885" s="230"/>
      <c r="S885" s="193"/>
    </row>
    <row r="886">
      <c r="O886" s="230"/>
      <c r="R886" s="230"/>
      <c r="S886" s="193"/>
    </row>
    <row r="887">
      <c r="O887" s="230"/>
      <c r="R887" s="230"/>
      <c r="S887" s="193"/>
    </row>
    <row r="888">
      <c r="O888" s="230"/>
      <c r="R888" s="230"/>
      <c r="S888" s="193"/>
    </row>
    <row r="889">
      <c r="O889" s="230"/>
      <c r="R889" s="230"/>
      <c r="S889" s="193"/>
    </row>
    <row r="890">
      <c r="O890" s="230"/>
      <c r="R890" s="230"/>
      <c r="S890" s="193"/>
    </row>
    <row r="891">
      <c r="O891" s="230"/>
      <c r="R891" s="230"/>
      <c r="S891" s="193"/>
    </row>
    <row r="892">
      <c r="O892" s="230"/>
      <c r="R892" s="230"/>
      <c r="S892" s="193"/>
    </row>
    <row r="893">
      <c r="O893" s="230"/>
      <c r="R893" s="230"/>
      <c r="S893" s="193"/>
    </row>
    <row r="894">
      <c r="O894" s="230"/>
      <c r="R894" s="230"/>
      <c r="S894" s="193"/>
    </row>
    <row r="895">
      <c r="O895" s="230"/>
      <c r="R895" s="230"/>
      <c r="S895" s="193"/>
    </row>
    <row r="896">
      <c r="O896" s="230"/>
      <c r="R896" s="230"/>
      <c r="S896" s="193"/>
    </row>
    <row r="897">
      <c r="O897" s="230"/>
      <c r="R897" s="230"/>
      <c r="S897" s="193"/>
    </row>
    <row r="898">
      <c r="O898" s="230"/>
      <c r="R898" s="230"/>
      <c r="S898" s="193"/>
    </row>
    <row r="899">
      <c r="O899" s="230"/>
      <c r="R899" s="230"/>
      <c r="S899" s="193"/>
    </row>
    <row r="900">
      <c r="O900" s="230"/>
      <c r="R900" s="230"/>
      <c r="S900" s="193"/>
    </row>
    <row r="901">
      <c r="O901" s="230"/>
      <c r="R901" s="230"/>
      <c r="S901" s="193"/>
    </row>
    <row r="902">
      <c r="O902" s="230"/>
      <c r="R902" s="230"/>
      <c r="S902" s="193"/>
    </row>
    <row r="903">
      <c r="O903" s="230"/>
      <c r="R903" s="230"/>
      <c r="S903" s="193"/>
    </row>
    <row r="904">
      <c r="O904" s="230"/>
      <c r="R904" s="230"/>
      <c r="S904" s="193"/>
    </row>
    <row r="905">
      <c r="O905" s="230"/>
      <c r="R905" s="230"/>
      <c r="S905" s="193"/>
    </row>
    <row r="906">
      <c r="O906" s="230"/>
      <c r="R906" s="230"/>
      <c r="S906" s="193"/>
    </row>
    <row r="907">
      <c r="O907" s="230"/>
      <c r="R907" s="230"/>
      <c r="S907" s="193"/>
    </row>
    <row r="908">
      <c r="O908" s="230"/>
      <c r="R908" s="230"/>
      <c r="S908" s="193"/>
    </row>
    <row r="909">
      <c r="O909" s="230"/>
      <c r="R909" s="230"/>
      <c r="S909" s="193"/>
    </row>
    <row r="910">
      <c r="O910" s="230"/>
      <c r="R910" s="230"/>
      <c r="S910" s="193"/>
    </row>
    <row r="911">
      <c r="O911" s="230"/>
      <c r="R911" s="230"/>
      <c r="S911" s="193"/>
    </row>
    <row r="912">
      <c r="O912" s="230"/>
      <c r="R912" s="230"/>
      <c r="S912" s="193"/>
    </row>
    <row r="913">
      <c r="O913" s="230"/>
      <c r="R913" s="230"/>
      <c r="S913" s="193"/>
    </row>
    <row r="914">
      <c r="O914" s="230"/>
      <c r="R914" s="230"/>
      <c r="S914" s="193"/>
    </row>
    <row r="915">
      <c r="O915" s="230"/>
      <c r="R915" s="230"/>
      <c r="S915" s="193"/>
    </row>
    <row r="916">
      <c r="O916" s="230"/>
      <c r="R916" s="230"/>
      <c r="S916" s="193"/>
    </row>
    <row r="917">
      <c r="O917" s="230"/>
      <c r="R917" s="230"/>
      <c r="S917" s="193"/>
    </row>
    <row r="918">
      <c r="O918" s="230"/>
      <c r="R918" s="230"/>
      <c r="S918" s="193"/>
    </row>
    <row r="919">
      <c r="O919" s="230"/>
      <c r="R919" s="230"/>
      <c r="S919" s="193"/>
    </row>
    <row r="920">
      <c r="O920" s="230"/>
      <c r="R920" s="230"/>
      <c r="S920" s="193"/>
    </row>
    <row r="921">
      <c r="O921" s="230"/>
      <c r="R921" s="230"/>
      <c r="S921" s="193"/>
    </row>
    <row r="922">
      <c r="O922" s="230"/>
      <c r="R922" s="230"/>
      <c r="S922" s="193"/>
    </row>
    <row r="923">
      <c r="O923" s="230"/>
      <c r="R923" s="230"/>
      <c r="S923" s="193"/>
    </row>
    <row r="924">
      <c r="O924" s="230"/>
      <c r="R924" s="230"/>
      <c r="S924" s="193"/>
    </row>
    <row r="925">
      <c r="O925" s="230"/>
      <c r="R925" s="230"/>
      <c r="S925" s="193"/>
    </row>
    <row r="926">
      <c r="O926" s="230"/>
      <c r="R926" s="230"/>
      <c r="S926" s="193"/>
    </row>
    <row r="927">
      <c r="O927" s="230"/>
      <c r="R927" s="230"/>
      <c r="S927" s="193"/>
    </row>
    <row r="928">
      <c r="O928" s="230"/>
      <c r="R928" s="230"/>
      <c r="S928" s="193"/>
    </row>
    <row r="929">
      <c r="O929" s="230"/>
      <c r="R929" s="230"/>
      <c r="S929" s="193"/>
    </row>
    <row r="930">
      <c r="O930" s="230"/>
      <c r="R930" s="230"/>
      <c r="S930" s="193"/>
    </row>
    <row r="931">
      <c r="O931" s="230"/>
      <c r="R931" s="230"/>
      <c r="S931" s="193"/>
    </row>
    <row r="932">
      <c r="O932" s="230"/>
      <c r="R932" s="230"/>
      <c r="S932" s="193"/>
    </row>
    <row r="933">
      <c r="O933" s="230"/>
      <c r="R933" s="230"/>
      <c r="S933" s="193"/>
    </row>
    <row r="934">
      <c r="O934" s="230"/>
      <c r="R934" s="230"/>
      <c r="S934" s="193"/>
    </row>
    <row r="935">
      <c r="O935" s="230"/>
      <c r="R935" s="230"/>
      <c r="S935" s="193"/>
    </row>
    <row r="936">
      <c r="O936" s="230"/>
      <c r="R936" s="230"/>
      <c r="S936" s="193"/>
    </row>
    <row r="937">
      <c r="O937" s="230"/>
      <c r="R937" s="230"/>
      <c r="S937" s="193"/>
    </row>
    <row r="938">
      <c r="O938" s="230"/>
      <c r="R938" s="230"/>
      <c r="S938" s="193"/>
    </row>
    <row r="939">
      <c r="O939" s="230"/>
      <c r="R939" s="230"/>
      <c r="S939" s="193"/>
    </row>
    <row r="940">
      <c r="O940" s="230"/>
      <c r="R940" s="230"/>
      <c r="S940" s="193"/>
    </row>
    <row r="941">
      <c r="O941" s="230"/>
      <c r="R941" s="230"/>
      <c r="S941" s="193"/>
    </row>
    <row r="942">
      <c r="O942" s="230"/>
      <c r="R942" s="230"/>
      <c r="S942" s="193"/>
    </row>
    <row r="943">
      <c r="O943" s="230"/>
      <c r="R943" s="230"/>
      <c r="S943" s="193"/>
    </row>
    <row r="944">
      <c r="O944" s="230"/>
      <c r="R944" s="230"/>
      <c r="S944" s="193"/>
    </row>
    <row r="945">
      <c r="O945" s="230"/>
      <c r="R945" s="230"/>
      <c r="S945" s="193"/>
    </row>
    <row r="946">
      <c r="O946" s="230"/>
      <c r="R946" s="230"/>
      <c r="S946" s="193"/>
    </row>
    <row r="947">
      <c r="O947" s="230"/>
      <c r="R947" s="230"/>
      <c r="S947" s="193"/>
    </row>
    <row r="948">
      <c r="O948" s="230"/>
      <c r="R948" s="230"/>
      <c r="S948" s="193"/>
    </row>
    <row r="949">
      <c r="O949" s="230"/>
      <c r="R949" s="230"/>
      <c r="S949" s="193"/>
    </row>
    <row r="950">
      <c r="O950" s="230"/>
      <c r="R950" s="230"/>
      <c r="S950" s="193"/>
    </row>
    <row r="951">
      <c r="O951" s="230"/>
      <c r="R951" s="230"/>
      <c r="S951" s="193"/>
    </row>
    <row r="952">
      <c r="O952" s="230"/>
      <c r="R952" s="230"/>
      <c r="S952" s="193"/>
    </row>
    <row r="953">
      <c r="O953" s="230"/>
      <c r="R953" s="230"/>
      <c r="S953" s="193"/>
    </row>
    <row r="954">
      <c r="O954" s="230"/>
      <c r="R954" s="230"/>
      <c r="S954" s="193"/>
    </row>
    <row r="955">
      <c r="O955" s="230"/>
      <c r="R955" s="230"/>
      <c r="S955" s="193"/>
    </row>
    <row r="956">
      <c r="O956" s="230"/>
      <c r="R956" s="230"/>
      <c r="S956" s="193"/>
    </row>
    <row r="957">
      <c r="O957" s="230"/>
      <c r="R957" s="230"/>
      <c r="S957" s="193"/>
    </row>
    <row r="958">
      <c r="O958" s="230"/>
      <c r="R958" s="230"/>
      <c r="S958" s="193"/>
    </row>
    <row r="959">
      <c r="O959" s="230"/>
      <c r="R959" s="230"/>
      <c r="S959" s="193"/>
    </row>
    <row r="960">
      <c r="O960" s="230"/>
      <c r="R960" s="230"/>
      <c r="S960" s="193"/>
    </row>
    <row r="961">
      <c r="O961" s="230"/>
      <c r="R961" s="230"/>
      <c r="S961" s="193"/>
    </row>
    <row r="962">
      <c r="O962" s="230"/>
      <c r="R962" s="230"/>
      <c r="S962" s="193"/>
    </row>
    <row r="963">
      <c r="O963" s="230"/>
      <c r="R963" s="230"/>
      <c r="S963" s="193"/>
    </row>
    <row r="964">
      <c r="O964" s="230"/>
      <c r="R964" s="230"/>
      <c r="S964" s="193"/>
    </row>
    <row r="965">
      <c r="O965" s="230"/>
      <c r="R965" s="230"/>
      <c r="S965" s="193"/>
    </row>
    <row r="966">
      <c r="O966" s="230"/>
      <c r="R966" s="230"/>
      <c r="S966" s="193"/>
    </row>
    <row r="967">
      <c r="O967" s="230"/>
      <c r="R967" s="230"/>
      <c r="S967" s="193"/>
    </row>
    <row r="968">
      <c r="O968" s="230"/>
      <c r="R968" s="230"/>
      <c r="S968" s="193"/>
    </row>
    <row r="969">
      <c r="O969" s="230"/>
      <c r="R969" s="230"/>
      <c r="S969" s="193"/>
    </row>
    <row r="970">
      <c r="O970" s="230"/>
      <c r="R970" s="230"/>
      <c r="S970" s="193"/>
    </row>
    <row r="971">
      <c r="O971" s="230"/>
      <c r="R971" s="230"/>
      <c r="S971" s="193"/>
    </row>
    <row r="972">
      <c r="O972" s="230"/>
      <c r="R972" s="230"/>
      <c r="S972" s="193"/>
    </row>
    <row r="973">
      <c r="O973" s="230"/>
      <c r="R973" s="230"/>
      <c r="S973" s="193"/>
    </row>
    <row r="974">
      <c r="O974" s="230"/>
      <c r="R974" s="230"/>
      <c r="S974" s="193"/>
    </row>
    <row r="975">
      <c r="O975" s="230"/>
      <c r="R975" s="230"/>
      <c r="S975" s="193"/>
    </row>
    <row r="976">
      <c r="O976" s="230"/>
      <c r="R976" s="230"/>
      <c r="S976" s="193"/>
    </row>
    <row r="977">
      <c r="O977" s="230"/>
      <c r="R977" s="230"/>
      <c r="S977" s="193"/>
    </row>
    <row r="978">
      <c r="O978" s="230"/>
      <c r="R978" s="230"/>
      <c r="S978" s="193"/>
    </row>
    <row r="979">
      <c r="O979" s="230"/>
      <c r="R979" s="230"/>
      <c r="S979" s="193"/>
    </row>
    <row r="980">
      <c r="O980" s="230"/>
      <c r="R980" s="230"/>
      <c r="S980" s="193"/>
    </row>
    <row r="981">
      <c r="O981" s="230"/>
      <c r="R981" s="230"/>
      <c r="S981" s="193"/>
    </row>
    <row r="982">
      <c r="O982" s="230"/>
      <c r="R982" s="230"/>
      <c r="S982" s="193"/>
    </row>
    <row r="983">
      <c r="O983" s="230"/>
      <c r="R983" s="230"/>
      <c r="S983" s="193"/>
    </row>
    <row r="984">
      <c r="O984" s="230"/>
      <c r="R984" s="230"/>
      <c r="S984" s="193"/>
    </row>
    <row r="985">
      <c r="O985" s="230"/>
      <c r="R985" s="230"/>
      <c r="S985" s="193"/>
    </row>
    <row r="986">
      <c r="O986" s="230"/>
      <c r="R986" s="230"/>
      <c r="S986" s="193"/>
    </row>
    <row r="987">
      <c r="O987" s="230"/>
      <c r="R987" s="230"/>
      <c r="S987" s="193"/>
    </row>
    <row r="988">
      <c r="O988" s="230"/>
      <c r="R988" s="230"/>
      <c r="S988" s="193"/>
    </row>
    <row r="989">
      <c r="O989" s="230"/>
      <c r="R989" s="230"/>
      <c r="S989" s="193"/>
    </row>
    <row r="990">
      <c r="O990" s="230"/>
      <c r="R990" s="230"/>
      <c r="S990" s="193"/>
    </row>
    <row r="991">
      <c r="O991" s="230"/>
      <c r="R991" s="230"/>
      <c r="S991" s="193"/>
    </row>
    <row r="992">
      <c r="O992" s="230"/>
      <c r="R992" s="230"/>
      <c r="S992" s="193"/>
    </row>
    <row r="993">
      <c r="O993" s="230"/>
      <c r="R993" s="230"/>
      <c r="S993" s="193"/>
    </row>
    <row r="994">
      <c r="O994" s="230"/>
      <c r="R994" s="230"/>
      <c r="S994" s="193"/>
    </row>
    <row r="995">
      <c r="O995" s="230"/>
      <c r="R995" s="230"/>
      <c r="S995" s="193"/>
    </row>
    <row r="996">
      <c r="O996" s="230"/>
      <c r="R996" s="230"/>
      <c r="S996" s="193"/>
    </row>
    <row r="997">
      <c r="O997" s="230"/>
      <c r="R997" s="230"/>
      <c r="S997" s="193"/>
    </row>
    <row r="998">
      <c r="O998" s="230"/>
      <c r="R998" s="230"/>
      <c r="S998" s="193"/>
    </row>
    <row r="999">
      <c r="O999" s="230"/>
      <c r="R999" s="230"/>
      <c r="S999" s="193"/>
    </row>
    <row r="1000">
      <c r="O1000" s="230"/>
      <c r="R1000" s="230"/>
      <c r="S1000" s="193"/>
    </row>
  </sheetData>
  <autoFilter ref="$A$1:$Z$100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4.88"/>
    <col customWidth="1" min="16" max="16" width="16.13"/>
    <col customWidth="1" min="17" max="17" width="17.88"/>
    <col customWidth="1" min="18" max="18" width="18.13"/>
    <col customWidth="1" min="20" max="20" width="16.13"/>
    <col customWidth="1" min="21" max="21" width="18.5"/>
    <col customWidth="1" min="22" max="22" width="23.13"/>
  </cols>
  <sheetData>
    <row r="1">
      <c r="A1" s="102" t="s">
        <v>260</v>
      </c>
      <c r="B1" s="102" t="s">
        <v>261</v>
      </c>
      <c r="C1" s="102" t="s">
        <v>262</v>
      </c>
      <c r="D1" s="102" t="s">
        <v>263</v>
      </c>
      <c r="E1" s="102" t="s">
        <v>264</v>
      </c>
      <c r="F1" s="102" t="s">
        <v>265</v>
      </c>
      <c r="G1" s="102" t="s">
        <v>266</v>
      </c>
      <c r="H1" s="102" t="s">
        <v>267</v>
      </c>
      <c r="I1" s="102" t="s">
        <v>268</v>
      </c>
      <c r="J1" s="102" t="s">
        <v>5</v>
      </c>
      <c r="K1" s="102" t="s">
        <v>269</v>
      </c>
      <c r="L1" s="102" t="s">
        <v>270</v>
      </c>
      <c r="M1" s="102" t="s">
        <v>271</v>
      </c>
      <c r="N1" s="102" t="s">
        <v>272</v>
      </c>
      <c r="O1" s="102" t="s">
        <v>273</v>
      </c>
      <c r="P1" s="102" t="s">
        <v>274</v>
      </c>
      <c r="Q1" s="102" t="s">
        <v>274</v>
      </c>
      <c r="R1" s="102" t="s">
        <v>274</v>
      </c>
      <c r="S1" s="102" t="s">
        <v>275</v>
      </c>
      <c r="T1" s="115" t="s">
        <v>10792</v>
      </c>
      <c r="U1" s="149" t="s">
        <v>3245</v>
      </c>
      <c r="V1" s="115" t="s">
        <v>6</v>
      </c>
      <c r="W1" s="88"/>
      <c r="X1" s="88"/>
      <c r="Y1" s="88"/>
      <c r="Z1" s="88"/>
    </row>
    <row r="2">
      <c r="A2" s="102" t="s">
        <v>4410</v>
      </c>
      <c r="B2" s="102" t="s">
        <v>11354</v>
      </c>
      <c r="C2" s="229" t="s">
        <v>11355</v>
      </c>
      <c r="D2" s="102" t="s">
        <v>11356</v>
      </c>
      <c r="E2" s="102" t="s">
        <v>556</v>
      </c>
      <c r="F2" s="102" t="s">
        <v>557</v>
      </c>
      <c r="G2" s="102" t="s">
        <v>314</v>
      </c>
      <c r="H2" s="102" t="s">
        <v>315</v>
      </c>
      <c r="I2" s="102" t="s">
        <v>284</v>
      </c>
      <c r="J2" s="102" t="s">
        <v>26</v>
      </c>
      <c r="L2" s="229" t="s">
        <v>11357</v>
      </c>
      <c r="M2" s="229" t="s">
        <v>11358</v>
      </c>
      <c r="N2" s="229" t="s">
        <v>11359</v>
      </c>
      <c r="O2" s="102">
        <v>1.0</v>
      </c>
      <c r="P2" s="102" t="s">
        <v>4656</v>
      </c>
      <c r="T2" s="244">
        <f t="shared" ref="T2:T92" si="1">SWITCH(O2,
  1, 2,
  2, 4,
  3, 8,
  5, 24,
  8, 32,
  0
)</f>
        <v>2</v>
      </c>
      <c r="U2" s="193" t="str">
        <f>IF(ISNUMBER(MATCH(B2, 'Sprint 2'!B:B, 0)), "มาจาก Sprint 2", "")</f>
        <v/>
      </c>
    </row>
    <row r="3">
      <c r="A3" s="102" t="s">
        <v>4410</v>
      </c>
      <c r="B3" s="102" t="s">
        <v>11360</v>
      </c>
      <c r="C3" s="229" t="s">
        <v>11361</v>
      </c>
      <c r="D3" s="102" t="s">
        <v>11362</v>
      </c>
      <c r="E3" s="102" t="s">
        <v>556</v>
      </c>
      <c r="F3" s="102" t="s">
        <v>557</v>
      </c>
      <c r="G3" s="102" t="s">
        <v>314</v>
      </c>
      <c r="H3" s="102" t="s">
        <v>315</v>
      </c>
      <c r="I3" s="102" t="s">
        <v>284</v>
      </c>
      <c r="J3" s="102" t="s">
        <v>26</v>
      </c>
      <c r="L3" s="229" t="s">
        <v>11363</v>
      </c>
      <c r="M3" s="229" t="s">
        <v>11363</v>
      </c>
      <c r="N3" s="229" t="s">
        <v>11364</v>
      </c>
      <c r="O3" s="102">
        <v>1.0</v>
      </c>
      <c r="P3" s="102" t="s">
        <v>4656</v>
      </c>
      <c r="T3" s="244">
        <f t="shared" si="1"/>
        <v>2</v>
      </c>
      <c r="U3" s="193" t="str">
        <f>IF(ISNUMBER(MATCH(B3, 'Sprint 2'!B:B, 0)), "มาจาก Sprint 2", "")</f>
        <v/>
      </c>
    </row>
    <row r="4">
      <c r="A4" s="102" t="s">
        <v>310</v>
      </c>
      <c r="B4" s="102" t="s">
        <v>11365</v>
      </c>
      <c r="C4" s="229" t="s">
        <v>11366</v>
      </c>
      <c r="D4" s="102" t="s">
        <v>11367</v>
      </c>
      <c r="E4" s="102" t="s">
        <v>282</v>
      </c>
      <c r="F4" s="102" t="s">
        <v>283</v>
      </c>
      <c r="G4" s="102" t="s">
        <v>282</v>
      </c>
      <c r="H4" s="102" t="s">
        <v>283</v>
      </c>
      <c r="I4" s="102" t="s">
        <v>284</v>
      </c>
      <c r="J4" s="102" t="s">
        <v>34</v>
      </c>
      <c r="L4" s="229" t="s">
        <v>11368</v>
      </c>
      <c r="M4" s="229" t="s">
        <v>11369</v>
      </c>
      <c r="O4" s="102">
        <v>3.0</v>
      </c>
      <c r="T4" s="244">
        <f t="shared" si="1"/>
        <v>8</v>
      </c>
      <c r="U4" s="193" t="str">
        <f>IF(ISNUMBER(MATCH(B4, 'Sprint 2'!B:B, 0)), "มาจาก Sprint 2", "")</f>
        <v/>
      </c>
    </row>
    <row r="5">
      <c r="A5" s="102" t="s">
        <v>310</v>
      </c>
      <c r="B5" s="102" t="s">
        <v>11370</v>
      </c>
      <c r="C5" s="229" t="s">
        <v>11371</v>
      </c>
      <c r="D5" s="102" t="s">
        <v>11372</v>
      </c>
      <c r="E5" s="102" t="s">
        <v>282</v>
      </c>
      <c r="F5" s="102" t="s">
        <v>283</v>
      </c>
      <c r="G5" s="102" t="s">
        <v>282</v>
      </c>
      <c r="H5" s="102" t="s">
        <v>283</v>
      </c>
      <c r="I5" s="102" t="s">
        <v>284</v>
      </c>
      <c r="J5" s="102" t="s">
        <v>26</v>
      </c>
      <c r="L5" s="229" t="s">
        <v>11373</v>
      </c>
      <c r="M5" s="229" t="s">
        <v>11374</v>
      </c>
      <c r="O5" s="102">
        <v>2.0</v>
      </c>
      <c r="S5" s="229" t="s">
        <v>10418</v>
      </c>
      <c r="T5" s="244">
        <f t="shared" si="1"/>
        <v>4</v>
      </c>
      <c r="U5" s="193" t="str">
        <f>IF(ISNUMBER(MATCH(B5, 'Sprint 2'!B:B, 0)), "มาจาก Sprint 2", "")</f>
        <v/>
      </c>
    </row>
    <row r="6">
      <c r="A6" s="102" t="s">
        <v>310</v>
      </c>
      <c r="B6" s="102" t="s">
        <v>11375</v>
      </c>
      <c r="C6" s="229" t="s">
        <v>11376</v>
      </c>
      <c r="D6" s="102" t="s">
        <v>10905</v>
      </c>
      <c r="E6" s="102" t="s">
        <v>282</v>
      </c>
      <c r="F6" s="102" t="s">
        <v>283</v>
      </c>
      <c r="G6" s="102" t="s">
        <v>282</v>
      </c>
      <c r="H6" s="102" t="s">
        <v>283</v>
      </c>
      <c r="I6" s="102" t="s">
        <v>284</v>
      </c>
      <c r="J6" s="102" t="s">
        <v>34</v>
      </c>
      <c r="L6" s="229" t="s">
        <v>11377</v>
      </c>
      <c r="M6" s="229" t="s">
        <v>11378</v>
      </c>
      <c r="O6" s="102">
        <v>3.0</v>
      </c>
      <c r="T6" s="244">
        <f t="shared" si="1"/>
        <v>8</v>
      </c>
      <c r="U6" s="193" t="str">
        <f>IF(ISNUMBER(MATCH(B6, 'Sprint 2'!B:B, 0)), "มาจาก Sprint 2", "")</f>
        <v/>
      </c>
    </row>
    <row r="7">
      <c r="A7" s="102" t="s">
        <v>4410</v>
      </c>
      <c r="B7" s="102" t="s">
        <v>11379</v>
      </c>
      <c r="C7" s="229" t="s">
        <v>11380</v>
      </c>
      <c r="D7" s="102" t="s">
        <v>11381</v>
      </c>
      <c r="E7" s="102" t="s">
        <v>556</v>
      </c>
      <c r="F7" s="102" t="s">
        <v>557</v>
      </c>
      <c r="G7" s="102" t="s">
        <v>314</v>
      </c>
      <c r="H7" s="102" t="s">
        <v>315</v>
      </c>
      <c r="I7" s="102" t="s">
        <v>284</v>
      </c>
      <c r="J7" s="102" t="s">
        <v>26</v>
      </c>
      <c r="L7" s="229" t="s">
        <v>11382</v>
      </c>
      <c r="M7" s="229" t="s">
        <v>11383</v>
      </c>
      <c r="N7" s="229" t="s">
        <v>11384</v>
      </c>
      <c r="O7" s="102">
        <v>1.0</v>
      </c>
      <c r="P7" s="102" t="s">
        <v>4656</v>
      </c>
      <c r="T7" s="244">
        <f t="shared" si="1"/>
        <v>2</v>
      </c>
      <c r="U7" s="193" t="str">
        <f>IF(ISNUMBER(MATCH(B7, 'Sprint 2'!B:B, 0)), "มาจาก Sprint 2", "")</f>
        <v/>
      </c>
    </row>
    <row r="8">
      <c r="A8" s="102" t="s">
        <v>276</v>
      </c>
      <c r="B8" s="102" t="s">
        <v>11113</v>
      </c>
      <c r="C8" s="229" t="s">
        <v>11114</v>
      </c>
      <c r="D8" s="102" t="s">
        <v>347</v>
      </c>
      <c r="E8" s="102" t="s">
        <v>280</v>
      </c>
      <c r="F8" s="102" t="s">
        <v>281</v>
      </c>
      <c r="G8" s="102" t="s">
        <v>280</v>
      </c>
      <c r="H8" s="102" t="s">
        <v>281</v>
      </c>
      <c r="I8" s="102" t="s">
        <v>284</v>
      </c>
      <c r="J8" s="102" t="s">
        <v>63</v>
      </c>
      <c r="L8" s="229" t="s">
        <v>11115</v>
      </c>
      <c r="M8" s="229" t="s">
        <v>11385</v>
      </c>
      <c r="O8" s="230"/>
      <c r="T8" s="244">
        <f t="shared" si="1"/>
        <v>0</v>
      </c>
      <c r="U8" s="193" t="str">
        <f>IF(ISNUMBER(MATCH(B8, 'Sprint 2'!B:B, 0)), "มาจาก Sprint 2", "")</f>
        <v/>
      </c>
    </row>
    <row r="9">
      <c r="A9" s="102" t="s">
        <v>276</v>
      </c>
      <c r="B9" s="102" t="s">
        <v>11117</v>
      </c>
      <c r="C9" s="229" t="s">
        <v>11118</v>
      </c>
      <c r="D9" s="102" t="s">
        <v>347</v>
      </c>
      <c r="E9" s="102" t="s">
        <v>280</v>
      </c>
      <c r="F9" s="102" t="s">
        <v>281</v>
      </c>
      <c r="G9" s="102" t="s">
        <v>280</v>
      </c>
      <c r="H9" s="102" t="s">
        <v>281</v>
      </c>
      <c r="I9" s="102" t="s">
        <v>284</v>
      </c>
      <c r="J9" s="102" t="s">
        <v>63</v>
      </c>
      <c r="L9" s="229" t="s">
        <v>11115</v>
      </c>
      <c r="M9" s="229" t="s">
        <v>11115</v>
      </c>
      <c r="O9" s="230"/>
      <c r="T9" s="244">
        <f t="shared" si="1"/>
        <v>0</v>
      </c>
      <c r="U9" s="193" t="str">
        <f>IF(ISNUMBER(MATCH(B9, 'Sprint 2'!B:B, 0)), "มาจาก Sprint 2", "")</f>
        <v/>
      </c>
    </row>
    <row r="10">
      <c r="A10" s="102" t="s">
        <v>332</v>
      </c>
      <c r="B10" s="102" t="s">
        <v>11386</v>
      </c>
      <c r="C10" s="229" t="s">
        <v>11387</v>
      </c>
      <c r="D10" s="102" t="s">
        <v>11388</v>
      </c>
      <c r="E10" s="102" t="s">
        <v>314</v>
      </c>
      <c r="F10" s="102" t="s">
        <v>315</v>
      </c>
      <c r="G10" s="102" t="s">
        <v>316</v>
      </c>
      <c r="H10" s="102" t="s">
        <v>317</v>
      </c>
      <c r="I10" s="102" t="s">
        <v>515</v>
      </c>
      <c r="J10" s="102" t="s">
        <v>336</v>
      </c>
      <c r="L10" s="229" t="s">
        <v>11389</v>
      </c>
      <c r="M10" s="229" t="s">
        <v>11390</v>
      </c>
      <c r="O10" s="230"/>
      <c r="P10" s="102" t="s">
        <v>366</v>
      </c>
      <c r="T10" s="244">
        <f t="shared" si="1"/>
        <v>0</v>
      </c>
      <c r="U10" s="193" t="str">
        <f>IF(ISNUMBER(MATCH(B10, 'Sprint 2'!B:B, 0)), "มาจาก Sprint 2", "")</f>
        <v/>
      </c>
    </row>
    <row r="11">
      <c r="A11" s="102" t="s">
        <v>4410</v>
      </c>
      <c r="B11" s="102" t="s">
        <v>11391</v>
      </c>
      <c r="C11" s="229" t="s">
        <v>11392</v>
      </c>
      <c r="D11" s="102" t="s">
        <v>11393</v>
      </c>
      <c r="E11" s="102" t="s">
        <v>556</v>
      </c>
      <c r="F11" s="102" t="s">
        <v>557</v>
      </c>
      <c r="G11" s="102" t="s">
        <v>314</v>
      </c>
      <c r="H11" s="102" t="s">
        <v>315</v>
      </c>
      <c r="I11" s="102" t="s">
        <v>284</v>
      </c>
      <c r="J11" s="102" t="s">
        <v>26</v>
      </c>
      <c r="L11" s="229" t="s">
        <v>11394</v>
      </c>
      <c r="M11" s="229" t="s">
        <v>11395</v>
      </c>
      <c r="N11" s="229" t="s">
        <v>9591</v>
      </c>
      <c r="O11" s="102">
        <v>1.0</v>
      </c>
      <c r="P11" s="102" t="s">
        <v>4656</v>
      </c>
      <c r="T11" s="244">
        <f t="shared" si="1"/>
        <v>2</v>
      </c>
      <c r="U11" s="193" t="str">
        <f>IF(ISNUMBER(MATCH(B11, 'Sprint 2'!B:B, 0)), "มาจาก Sprint 2", "")</f>
        <v/>
      </c>
    </row>
    <row r="12">
      <c r="A12" s="102" t="s">
        <v>310</v>
      </c>
      <c r="B12" s="102" t="s">
        <v>11396</v>
      </c>
      <c r="C12" s="229" t="s">
        <v>11397</v>
      </c>
      <c r="D12" s="102" t="s">
        <v>11398</v>
      </c>
      <c r="E12" s="102" t="s">
        <v>282</v>
      </c>
      <c r="F12" s="102" t="s">
        <v>283</v>
      </c>
      <c r="G12" s="102" t="s">
        <v>316</v>
      </c>
      <c r="H12" s="102" t="s">
        <v>317</v>
      </c>
      <c r="I12" s="102" t="s">
        <v>284</v>
      </c>
      <c r="J12" s="102" t="s">
        <v>26</v>
      </c>
      <c r="L12" s="229" t="s">
        <v>11399</v>
      </c>
      <c r="M12" s="229" t="s">
        <v>11400</v>
      </c>
      <c r="O12" s="102">
        <v>1.0</v>
      </c>
      <c r="P12" s="102" t="s">
        <v>4656</v>
      </c>
      <c r="S12" s="229" t="s">
        <v>4783</v>
      </c>
      <c r="T12" s="244">
        <f t="shared" si="1"/>
        <v>2</v>
      </c>
      <c r="U12" s="193" t="str">
        <f>IF(ISNUMBER(MATCH(B12, 'Sprint 2'!B:B, 0)), "มาจาก Sprint 2", "")</f>
        <v/>
      </c>
    </row>
    <row r="13">
      <c r="A13" s="102" t="s">
        <v>4410</v>
      </c>
      <c r="B13" s="102" t="s">
        <v>11401</v>
      </c>
      <c r="C13" s="229" t="s">
        <v>11402</v>
      </c>
      <c r="D13" s="102" t="s">
        <v>11403</v>
      </c>
      <c r="E13" s="102" t="s">
        <v>282</v>
      </c>
      <c r="F13" s="102" t="s">
        <v>283</v>
      </c>
      <c r="G13" s="102" t="s">
        <v>282</v>
      </c>
      <c r="H13" s="102" t="s">
        <v>283</v>
      </c>
      <c r="I13" s="102" t="s">
        <v>318</v>
      </c>
      <c r="J13" s="102" t="s">
        <v>26</v>
      </c>
      <c r="L13" s="229" t="s">
        <v>11404</v>
      </c>
      <c r="M13" s="229" t="s">
        <v>11400</v>
      </c>
      <c r="O13" s="102">
        <v>2.0</v>
      </c>
      <c r="P13" s="102" t="s">
        <v>4656</v>
      </c>
      <c r="S13" s="229" t="s">
        <v>4886</v>
      </c>
      <c r="T13" s="244">
        <f t="shared" si="1"/>
        <v>4</v>
      </c>
      <c r="U13" s="193" t="str">
        <f>IF(ISNUMBER(MATCH(B13, 'Sprint 2'!B:B, 0)), "มาจาก Sprint 2", "")</f>
        <v/>
      </c>
    </row>
    <row r="14">
      <c r="A14" s="102" t="s">
        <v>4410</v>
      </c>
      <c r="B14" s="102" t="s">
        <v>11120</v>
      </c>
      <c r="C14" s="229" t="s">
        <v>11121</v>
      </c>
      <c r="D14" s="102" t="s">
        <v>11122</v>
      </c>
      <c r="E14" s="102" t="s">
        <v>556</v>
      </c>
      <c r="F14" s="102" t="s">
        <v>557</v>
      </c>
      <c r="G14" s="102" t="s">
        <v>353</v>
      </c>
      <c r="H14" s="102" t="s">
        <v>354</v>
      </c>
      <c r="I14" s="102" t="s">
        <v>284</v>
      </c>
      <c r="J14" s="102" t="s">
        <v>454</v>
      </c>
      <c r="L14" s="229" t="s">
        <v>11123</v>
      </c>
      <c r="M14" s="229" t="s">
        <v>11405</v>
      </c>
      <c r="O14" s="230"/>
      <c r="T14" s="244">
        <f t="shared" si="1"/>
        <v>0</v>
      </c>
      <c r="U14" s="193" t="str">
        <f>IF(ISNUMBER(MATCH(B14, 'Sprint 2'!B:B, 0)), "มาจาก Sprint 2", "")</f>
        <v/>
      </c>
    </row>
    <row r="15">
      <c r="A15" s="102" t="s">
        <v>332</v>
      </c>
      <c r="B15" s="102" t="s">
        <v>11406</v>
      </c>
      <c r="C15" s="229" t="s">
        <v>11407</v>
      </c>
      <c r="D15" s="102" t="s">
        <v>11408</v>
      </c>
      <c r="E15" s="102" t="s">
        <v>282</v>
      </c>
      <c r="F15" s="102" t="s">
        <v>283</v>
      </c>
      <c r="G15" s="102" t="s">
        <v>282</v>
      </c>
      <c r="H15" s="102" t="s">
        <v>283</v>
      </c>
      <c r="I15" s="102" t="s">
        <v>515</v>
      </c>
      <c r="J15" s="102" t="s">
        <v>922</v>
      </c>
      <c r="L15" s="229" t="s">
        <v>11409</v>
      </c>
      <c r="M15" s="229" t="s">
        <v>11410</v>
      </c>
      <c r="P15" s="102" t="s">
        <v>4656</v>
      </c>
      <c r="Q15" s="102" t="s">
        <v>5547</v>
      </c>
      <c r="T15" s="244">
        <f t="shared" si="1"/>
        <v>0</v>
      </c>
      <c r="U15" s="193" t="str">
        <f>IF(ISNUMBER(MATCH(B15, 'Sprint 2'!B:B, 0)), "มาจาก Sprint 2", "")</f>
        <v/>
      </c>
    </row>
    <row r="16">
      <c r="A16" s="102" t="s">
        <v>4410</v>
      </c>
      <c r="B16" s="102" t="s">
        <v>11411</v>
      </c>
      <c r="C16" s="229" t="s">
        <v>11412</v>
      </c>
      <c r="D16" s="102" t="s">
        <v>11413</v>
      </c>
      <c r="E16" s="102" t="s">
        <v>556</v>
      </c>
      <c r="F16" s="102" t="s">
        <v>557</v>
      </c>
      <c r="G16" s="102" t="s">
        <v>314</v>
      </c>
      <c r="H16" s="102" t="s">
        <v>315</v>
      </c>
      <c r="I16" s="102" t="s">
        <v>284</v>
      </c>
      <c r="J16" s="102" t="s">
        <v>26</v>
      </c>
      <c r="L16" s="229" t="s">
        <v>11414</v>
      </c>
      <c r="M16" s="229" t="s">
        <v>11415</v>
      </c>
      <c r="N16" s="229" t="s">
        <v>10112</v>
      </c>
      <c r="O16" s="102">
        <v>1.0</v>
      </c>
      <c r="P16" s="102" t="s">
        <v>4656</v>
      </c>
      <c r="T16" s="244">
        <f t="shared" si="1"/>
        <v>2</v>
      </c>
      <c r="U16" s="193" t="str">
        <f>IF(ISNUMBER(MATCH(B16, 'Sprint 2'!B:B, 0)), "มาจาก Sprint 2", "")</f>
        <v/>
      </c>
    </row>
    <row r="17">
      <c r="A17" s="102" t="s">
        <v>310</v>
      </c>
      <c r="B17" s="102" t="s">
        <v>11416</v>
      </c>
      <c r="C17" s="229" t="s">
        <v>11417</v>
      </c>
      <c r="D17" s="102" t="s">
        <v>11418</v>
      </c>
      <c r="E17" s="102" t="s">
        <v>282</v>
      </c>
      <c r="F17" s="102" t="s">
        <v>283</v>
      </c>
      <c r="G17" s="102" t="s">
        <v>316</v>
      </c>
      <c r="H17" s="102" t="s">
        <v>317</v>
      </c>
      <c r="I17" s="102" t="s">
        <v>284</v>
      </c>
      <c r="J17" s="102" t="s">
        <v>26</v>
      </c>
      <c r="L17" s="229" t="s">
        <v>11419</v>
      </c>
      <c r="M17" s="229" t="s">
        <v>11420</v>
      </c>
      <c r="O17" s="102">
        <v>1.0</v>
      </c>
      <c r="P17" s="102" t="s">
        <v>4656</v>
      </c>
      <c r="S17" s="229" t="s">
        <v>10424</v>
      </c>
      <c r="T17" s="244">
        <f t="shared" si="1"/>
        <v>2</v>
      </c>
      <c r="U17" s="193" t="str">
        <f>IF(ISNUMBER(MATCH(B17, 'Sprint 2'!B:B, 0)), "มาจาก Sprint 2", "")</f>
        <v/>
      </c>
    </row>
    <row r="18">
      <c r="A18" s="102" t="s">
        <v>1459</v>
      </c>
      <c r="B18" s="102" t="s">
        <v>11421</v>
      </c>
      <c r="C18" s="229" t="s">
        <v>11422</v>
      </c>
      <c r="D18" s="102" t="s">
        <v>11423</v>
      </c>
      <c r="E18" s="102" t="s">
        <v>280</v>
      </c>
      <c r="F18" s="102" t="s">
        <v>281</v>
      </c>
      <c r="G18" s="102" t="s">
        <v>280</v>
      </c>
      <c r="H18" s="102" t="s">
        <v>281</v>
      </c>
      <c r="I18" s="102" t="s">
        <v>284</v>
      </c>
      <c r="J18" s="102" t="s">
        <v>26</v>
      </c>
      <c r="L18" s="229" t="s">
        <v>11424</v>
      </c>
      <c r="M18" s="229" t="s">
        <v>11425</v>
      </c>
      <c r="O18" s="230"/>
      <c r="P18" s="102" t="s">
        <v>504</v>
      </c>
      <c r="T18" s="244">
        <f t="shared" si="1"/>
        <v>0</v>
      </c>
      <c r="U18" s="193" t="str">
        <f>IF(ISNUMBER(MATCH(B18, 'Sprint 2'!B:B, 0)), "มาจาก Sprint 2", "")</f>
        <v/>
      </c>
    </row>
    <row r="19">
      <c r="A19" s="102" t="s">
        <v>4410</v>
      </c>
      <c r="B19" s="102" t="s">
        <v>11426</v>
      </c>
      <c r="C19" s="229" t="s">
        <v>11427</v>
      </c>
      <c r="D19" s="102" t="s">
        <v>11428</v>
      </c>
      <c r="G19" s="102" t="s">
        <v>353</v>
      </c>
      <c r="H19" s="102" t="s">
        <v>354</v>
      </c>
      <c r="I19" s="102" t="s">
        <v>284</v>
      </c>
      <c r="J19" s="102" t="s">
        <v>63</v>
      </c>
      <c r="L19" s="229" t="s">
        <v>11429</v>
      </c>
      <c r="M19" s="229" t="s">
        <v>11429</v>
      </c>
      <c r="O19" s="230"/>
      <c r="T19" s="244">
        <f t="shared" si="1"/>
        <v>0</v>
      </c>
      <c r="U19" s="193" t="str">
        <f>IF(ISNUMBER(MATCH(B19, 'Sprint 2'!B:B, 0)), "มาจาก Sprint 2", "")</f>
        <v/>
      </c>
    </row>
    <row r="20">
      <c r="A20" s="102" t="s">
        <v>4410</v>
      </c>
      <c r="B20" s="102" t="s">
        <v>11128</v>
      </c>
      <c r="C20" s="229" t="s">
        <v>11129</v>
      </c>
      <c r="D20" s="102" t="s">
        <v>11130</v>
      </c>
      <c r="E20" s="102" t="s">
        <v>11430</v>
      </c>
      <c r="F20" s="102" t="s">
        <v>11431</v>
      </c>
      <c r="G20" s="102" t="s">
        <v>353</v>
      </c>
      <c r="H20" s="102" t="s">
        <v>354</v>
      </c>
      <c r="I20" s="102" t="s">
        <v>284</v>
      </c>
      <c r="J20" s="102" t="s">
        <v>454</v>
      </c>
      <c r="L20" s="229" t="s">
        <v>11131</v>
      </c>
      <c r="M20" s="229" t="s">
        <v>11432</v>
      </c>
      <c r="O20" s="102">
        <v>3.0</v>
      </c>
      <c r="S20" s="229" t="s">
        <v>4791</v>
      </c>
      <c r="T20" s="244">
        <f t="shared" si="1"/>
        <v>8</v>
      </c>
      <c r="U20" s="193" t="str">
        <f>IF(ISNUMBER(MATCH(B20, 'Sprint 2'!B:B, 0)), "มาจาก Sprint 2", "")</f>
        <v/>
      </c>
    </row>
    <row r="21">
      <c r="A21" s="102" t="s">
        <v>276</v>
      </c>
      <c r="B21" s="102" t="s">
        <v>11134</v>
      </c>
      <c r="C21" s="229" t="s">
        <v>11135</v>
      </c>
      <c r="D21" s="102" t="s">
        <v>5650</v>
      </c>
      <c r="E21" s="102" t="s">
        <v>391</v>
      </c>
      <c r="F21" s="102" t="s">
        <v>392</v>
      </c>
      <c r="G21" s="102" t="s">
        <v>391</v>
      </c>
      <c r="H21" s="102" t="s">
        <v>392</v>
      </c>
      <c r="I21" s="102" t="s">
        <v>284</v>
      </c>
      <c r="J21" s="102" t="s">
        <v>454</v>
      </c>
      <c r="L21" s="229" t="s">
        <v>11136</v>
      </c>
      <c r="M21" s="229" t="s">
        <v>11146</v>
      </c>
      <c r="O21" s="230"/>
      <c r="T21" s="244">
        <f t="shared" si="1"/>
        <v>0</v>
      </c>
      <c r="U21" s="193" t="str">
        <f>IF(ISNUMBER(MATCH(B21, 'Sprint 2'!B:B, 0)), "มาจาก Sprint 2", "")</f>
        <v/>
      </c>
    </row>
    <row r="22">
      <c r="A22" s="102" t="s">
        <v>276</v>
      </c>
      <c r="B22" s="102" t="s">
        <v>11138</v>
      </c>
      <c r="C22" s="229" t="s">
        <v>11139</v>
      </c>
      <c r="D22" s="102" t="s">
        <v>5650</v>
      </c>
      <c r="E22" s="102" t="s">
        <v>391</v>
      </c>
      <c r="F22" s="102" t="s">
        <v>392</v>
      </c>
      <c r="G22" s="102" t="s">
        <v>391</v>
      </c>
      <c r="H22" s="102" t="s">
        <v>392</v>
      </c>
      <c r="I22" s="102" t="s">
        <v>284</v>
      </c>
      <c r="J22" s="102" t="s">
        <v>454</v>
      </c>
      <c r="L22" s="229" t="s">
        <v>11136</v>
      </c>
      <c r="M22" s="229" t="s">
        <v>11146</v>
      </c>
      <c r="O22" s="230"/>
      <c r="T22" s="244">
        <f t="shared" si="1"/>
        <v>0</v>
      </c>
      <c r="U22" s="193" t="str">
        <f>IF(ISNUMBER(MATCH(B22, 'Sprint 2'!B:B, 0)), "มาจาก Sprint 2", "")</f>
        <v/>
      </c>
    </row>
    <row r="23">
      <c r="A23" s="102" t="s">
        <v>276</v>
      </c>
      <c r="B23" s="102" t="s">
        <v>11141</v>
      </c>
      <c r="C23" s="229" t="s">
        <v>11142</v>
      </c>
      <c r="D23" s="102" t="s">
        <v>5650</v>
      </c>
      <c r="E23" s="102" t="s">
        <v>391</v>
      </c>
      <c r="F23" s="102" t="s">
        <v>392</v>
      </c>
      <c r="G23" s="102" t="s">
        <v>391</v>
      </c>
      <c r="H23" s="102" t="s">
        <v>392</v>
      </c>
      <c r="I23" s="102" t="s">
        <v>284</v>
      </c>
      <c r="J23" s="102" t="s">
        <v>454</v>
      </c>
      <c r="L23" s="229" t="s">
        <v>11143</v>
      </c>
      <c r="M23" s="229" t="s">
        <v>11146</v>
      </c>
      <c r="O23" s="230"/>
      <c r="T23" s="244">
        <f t="shared" si="1"/>
        <v>0</v>
      </c>
      <c r="U23" s="193" t="str">
        <f>IF(ISNUMBER(MATCH(B23, 'Sprint 2'!B:B, 0)), "มาจาก Sprint 2", "")</f>
        <v/>
      </c>
    </row>
    <row r="24">
      <c r="A24" s="102" t="s">
        <v>276</v>
      </c>
      <c r="B24" s="102" t="s">
        <v>11144</v>
      </c>
      <c r="C24" s="229" t="s">
        <v>11145</v>
      </c>
      <c r="D24" s="102" t="s">
        <v>5650</v>
      </c>
      <c r="E24" s="102" t="s">
        <v>391</v>
      </c>
      <c r="F24" s="102" t="s">
        <v>392</v>
      </c>
      <c r="G24" s="102" t="s">
        <v>391</v>
      </c>
      <c r="H24" s="102" t="s">
        <v>392</v>
      </c>
      <c r="I24" s="102" t="s">
        <v>284</v>
      </c>
      <c r="J24" s="102" t="s">
        <v>34</v>
      </c>
      <c r="L24" s="229" t="s">
        <v>11143</v>
      </c>
      <c r="M24" s="229" t="s">
        <v>11146</v>
      </c>
      <c r="O24" s="230"/>
      <c r="T24" s="244">
        <f t="shared" si="1"/>
        <v>0</v>
      </c>
      <c r="U24" s="193" t="str">
        <f>IF(ISNUMBER(MATCH(B24, 'Sprint 2'!B:B, 0)), "มาจาก Sprint 2", "")</f>
        <v/>
      </c>
    </row>
    <row r="25">
      <c r="A25" s="102" t="s">
        <v>276</v>
      </c>
      <c r="B25" s="102" t="s">
        <v>11147</v>
      </c>
      <c r="C25" s="229" t="s">
        <v>11148</v>
      </c>
      <c r="D25" s="102" t="s">
        <v>5650</v>
      </c>
      <c r="E25" s="102" t="s">
        <v>391</v>
      </c>
      <c r="F25" s="102" t="s">
        <v>392</v>
      </c>
      <c r="G25" s="102" t="s">
        <v>391</v>
      </c>
      <c r="H25" s="102" t="s">
        <v>392</v>
      </c>
      <c r="I25" s="102" t="s">
        <v>284</v>
      </c>
      <c r="J25" s="102" t="s">
        <v>454</v>
      </c>
      <c r="L25" s="229" t="s">
        <v>11143</v>
      </c>
      <c r="M25" s="229" t="s">
        <v>11149</v>
      </c>
      <c r="O25" s="230"/>
      <c r="T25" s="244">
        <f t="shared" si="1"/>
        <v>0</v>
      </c>
      <c r="U25" s="193" t="str">
        <f>IF(ISNUMBER(MATCH(B25, 'Sprint 2'!B:B, 0)), "มาจาก Sprint 2", "")</f>
        <v/>
      </c>
    </row>
    <row r="26">
      <c r="A26" s="102" t="s">
        <v>276</v>
      </c>
      <c r="B26" s="102" t="s">
        <v>11150</v>
      </c>
      <c r="C26" s="229" t="s">
        <v>11151</v>
      </c>
      <c r="D26" s="102" t="s">
        <v>5650</v>
      </c>
      <c r="E26" s="102" t="s">
        <v>391</v>
      </c>
      <c r="F26" s="102" t="s">
        <v>392</v>
      </c>
      <c r="G26" s="102" t="s">
        <v>391</v>
      </c>
      <c r="H26" s="102" t="s">
        <v>392</v>
      </c>
      <c r="I26" s="102" t="s">
        <v>284</v>
      </c>
      <c r="J26" s="102" t="s">
        <v>454</v>
      </c>
      <c r="L26" s="229" t="s">
        <v>11143</v>
      </c>
      <c r="M26" s="229" t="s">
        <v>11149</v>
      </c>
      <c r="O26" s="230"/>
      <c r="T26" s="244">
        <f t="shared" si="1"/>
        <v>0</v>
      </c>
      <c r="U26" s="193" t="str">
        <f>IF(ISNUMBER(MATCH(B26, 'Sprint 2'!B:B, 0)), "มาจาก Sprint 2", "")</f>
        <v/>
      </c>
    </row>
    <row r="27">
      <c r="A27" s="102" t="s">
        <v>310</v>
      </c>
      <c r="B27" s="102" t="s">
        <v>10103</v>
      </c>
      <c r="C27" s="229" t="s">
        <v>10104</v>
      </c>
      <c r="D27" s="102" t="s">
        <v>10105</v>
      </c>
      <c r="E27" s="102" t="s">
        <v>282</v>
      </c>
      <c r="F27" s="102" t="s">
        <v>283</v>
      </c>
      <c r="G27" s="102" t="s">
        <v>282</v>
      </c>
      <c r="H27" s="102" t="s">
        <v>283</v>
      </c>
      <c r="I27" s="102" t="s">
        <v>284</v>
      </c>
      <c r="J27" s="102" t="s">
        <v>454</v>
      </c>
      <c r="L27" s="229" t="s">
        <v>10106</v>
      </c>
      <c r="M27" s="229" t="s">
        <v>11433</v>
      </c>
      <c r="O27" s="102">
        <v>2.0</v>
      </c>
      <c r="P27" s="102" t="s">
        <v>1808</v>
      </c>
      <c r="S27" s="229" t="s">
        <v>4901</v>
      </c>
      <c r="T27" s="244">
        <f t="shared" si="1"/>
        <v>4</v>
      </c>
      <c r="U27" s="193" t="str">
        <f>IF(ISNUMBER(MATCH(B27, 'Sprint 2'!B:B, 0)), "มาจาก Sprint 2", "")</f>
        <v/>
      </c>
    </row>
    <row r="28">
      <c r="A28" s="102" t="s">
        <v>332</v>
      </c>
      <c r="B28" s="102" t="s">
        <v>11434</v>
      </c>
      <c r="C28" s="229" t="s">
        <v>11435</v>
      </c>
      <c r="D28" s="102" t="s">
        <v>11436</v>
      </c>
      <c r="E28" s="102" t="s">
        <v>556</v>
      </c>
      <c r="F28" s="102" t="s">
        <v>557</v>
      </c>
      <c r="G28" s="102" t="s">
        <v>282</v>
      </c>
      <c r="H28" s="102" t="s">
        <v>283</v>
      </c>
      <c r="I28" s="102" t="s">
        <v>515</v>
      </c>
      <c r="J28" s="102" t="s">
        <v>336</v>
      </c>
      <c r="L28" s="229" t="s">
        <v>11437</v>
      </c>
      <c r="M28" s="229" t="s">
        <v>11438</v>
      </c>
      <c r="T28" s="244">
        <f t="shared" si="1"/>
        <v>0</v>
      </c>
      <c r="U28" s="193" t="str">
        <f>IF(ISNUMBER(MATCH(B28, 'Sprint 2'!B:B, 0)), "มาจาก Sprint 2", "")</f>
        <v/>
      </c>
    </row>
    <row r="29">
      <c r="A29" s="102" t="s">
        <v>4410</v>
      </c>
      <c r="B29" s="102" t="s">
        <v>11439</v>
      </c>
      <c r="C29" s="229" t="s">
        <v>11440</v>
      </c>
      <c r="D29" s="102" t="s">
        <v>11441</v>
      </c>
      <c r="E29" s="102" t="s">
        <v>556</v>
      </c>
      <c r="F29" s="102" t="s">
        <v>557</v>
      </c>
      <c r="G29" s="102" t="s">
        <v>314</v>
      </c>
      <c r="H29" s="102" t="s">
        <v>315</v>
      </c>
      <c r="I29" s="102" t="s">
        <v>284</v>
      </c>
      <c r="J29" s="102" t="s">
        <v>26</v>
      </c>
      <c r="L29" s="229" t="s">
        <v>11442</v>
      </c>
      <c r="M29" s="229" t="s">
        <v>11443</v>
      </c>
      <c r="N29" s="229" t="s">
        <v>11184</v>
      </c>
      <c r="O29" s="102">
        <v>1.0</v>
      </c>
      <c r="P29" s="102" t="s">
        <v>4656</v>
      </c>
      <c r="T29" s="244">
        <f t="shared" si="1"/>
        <v>2</v>
      </c>
      <c r="U29" s="193" t="str">
        <f>IF(ISNUMBER(MATCH(B29, 'Sprint 2'!B:B, 0)), "มาจาก Sprint 2", "")</f>
        <v/>
      </c>
    </row>
    <row r="30">
      <c r="A30" s="102" t="s">
        <v>310</v>
      </c>
      <c r="B30" s="102" t="s">
        <v>11444</v>
      </c>
      <c r="C30" s="229" t="s">
        <v>11445</v>
      </c>
      <c r="D30" s="102" t="s">
        <v>11446</v>
      </c>
      <c r="E30" s="102" t="s">
        <v>353</v>
      </c>
      <c r="F30" s="102" t="s">
        <v>354</v>
      </c>
      <c r="G30" s="102" t="s">
        <v>316</v>
      </c>
      <c r="H30" s="102" t="s">
        <v>317</v>
      </c>
      <c r="I30" s="102" t="s">
        <v>515</v>
      </c>
      <c r="J30" s="102" t="s">
        <v>26</v>
      </c>
      <c r="L30" s="229" t="s">
        <v>11447</v>
      </c>
      <c r="M30" s="229" t="s">
        <v>11448</v>
      </c>
      <c r="N30" s="229" t="s">
        <v>11199</v>
      </c>
      <c r="O30" s="102">
        <v>1.0</v>
      </c>
      <c r="P30" s="102" t="s">
        <v>4656</v>
      </c>
      <c r="T30" s="244">
        <f t="shared" si="1"/>
        <v>2</v>
      </c>
      <c r="U30" s="193" t="str">
        <f>IF(ISNUMBER(MATCH(B30, 'Sprint 2'!B:B, 0)), "มาจาก Sprint 2", "")</f>
        <v/>
      </c>
    </row>
    <row r="31">
      <c r="A31" s="102" t="s">
        <v>332</v>
      </c>
      <c r="B31" s="102" t="s">
        <v>11449</v>
      </c>
      <c r="C31" s="229" t="s">
        <v>11450</v>
      </c>
      <c r="D31" s="102" t="s">
        <v>11451</v>
      </c>
      <c r="E31" s="102" t="s">
        <v>314</v>
      </c>
      <c r="F31" s="102" t="s">
        <v>315</v>
      </c>
      <c r="G31" s="102" t="s">
        <v>316</v>
      </c>
      <c r="H31" s="102" t="s">
        <v>317</v>
      </c>
      <c r="I31" s="102" t="s">
        <v>515</v>
      </c>
      <c r="J31" s="102" t="s">
        <v>336</v>
      </c>
      <c r="L31" s="229" t="s">
        <v>11452</v>
      </c>
      <c r="M31" s="229" t="s">
        <v>11453</v>
      </c>
      <c r="N31" s="229" t="s">
        <v>11199</v>
      </c>
      <c r="T31" s="244">
        <f t="shared" si="1"/>
        <v>0</v>
      </c>
      <c r="U31" s="193" t="str">
        <f>IF(ISNUMBER(MATCH(B31, 'Sprint 2'!B:B, 0)), "มาจาก Sprint 2", "")</f>
        <v/>
      </c>
    </row>
    <row r="32">
      <c r="A32" s="102" t="s">
        <v>4410</v>
      </c>
      <c r="B32" s="102" t="s">
        <v>11454</v>
      </c>
      <c r="C32" s="229" t="s">
        <v>11455</v>
      </c>
      <c r="D32" s="102" t="s">
        <v>11456</v>
      </c>
      <c r="E32" s="102" t="s">
        <v>556</v>
      </c>
      <c r="F32" s="102" t="s">
        <v>557</v>
      </c>
      <c r="G32" s="102" t="s">
        <v>314</v>
      </c>
      <c r="H32" s="102" t="s">
        <v>315</v>
      </c>
      <c r="I32" s="102" t="s">
        <v>284</v>
      </c>
      <c r="J32" s="102" t="s">
        <v>26</v>
      </c>
      <c r="L32" s="229" t="s">
        <v>11457</v>
      </c>
      <c r="M32" s="229" t="s">
        <v>11458</v>
      </c>
      <c r="N32" s="229" t="s">
        <v>11199</v>
      </c>
      <c r="O32" s="102">
        <v>1.0</v>
      </c>
      <c r="P32" s="102" t="s">
        <v>4656</v>
      </c>
      <c r="T32" s="244">
        <f t="shared" si="1"/>
        <v>2</v>
      </c>
      <c r="U32" s="193" t="str">
        <f>IF(ISNUMBER(MATCH(B32, 'Sprint 2'!B:B, 0)), "มาจาก Sprint 2", "")</f>
        <v/>
      </c>
    </row>
    <row r="33">
      <c r="A33" s="102" t="s">
        <v>332</v>
      </c>
      <c r="B33" s="102" t="s">
        <v>10113</v>
      </c>
      <c r="C33" s="229" t="s">
        <v>10114</v>
      </c>
      <c r="D33" s="102" t="s">
        <v>10115</v>
      </c>
      <c r="E33" s="102" t="s">
        <v>353</v>
      </c>
      <c r="F33" s="102" t="s">
        <v>354</v>
      </c>
      <c r="G33" s="102" t="s">
        <v>316</v>
      </c>
      <c r="H33" s="102" t="s">
        <v>317</v>
      </c>
      <c r="I33" s="102" t="s">
        <v>515</v>
      </c>
      <c r="J33" s="102" t="s">
        <v>1075</v>
      </c>
      <c r="L33" s="229" t="s">
        <v>10116</v>
      </c>
      <c r="M33" s="229" t="s">
        <v>11459</v>
      </c>
      <c r="T33" s="244">
        <f t="shared" si="1"/>
        <v>0</v>
      </c>
      <c r="U33" s="193" t="str">
        <f>IF(ISNUMBER(MATCH(B33, 'Sprint 2'!B:B, 0)), "มาจาก Sprint 2", "")</f>
        <v/>
      </c>
    </row>
    <row r="34">
      <c r="A34" s="102" t="s">
        <v>332</v>
      </c>
      <c r="B34" s="102" t="s">
        <v>10118</v>
      </c>
      <c r="C34" s="229" t="s">
        <v>10119</v>
      </c>
      <c r="D34" s="102" t="s">
        <v>10120</v>
      </c>
      <c r="E34" s="102" t="s">
        <v>513</v>
      </c>
      <c r="F34" s="102" t="s">
        <v>514</v>
      </c>
      <c r="G34" s="102" t="s">
        <v>521</v>
      </c>
      <c r="H34" s="102" t="s">
        <v>522</v>
      </c>
      <c r="I34" s="102" t="s">
        <v>284</v>
      </c>
      <c r="J34" s="102" t="s">
        <v>922</v>
      </c>
      <c r="L34" s="229" t="s">
        <v>10121</v>
      </c>
      <c r="M34" s="229" t="s">
        <v>11460</v>
      </c>
      <c r="T34" s="244">
        <f t="shared" si="1"/>
        <v>0</v>
      </c>
      <c r="U34" s="193" t="str">
        <f>IF(ISNUMBER(MATCH(B34, 'Sprint 2'!B:B, 0)), "มาจาก Sprint 2", "")</f>
        <v/>
      </c>
    </row>
    <row r="35">
      <c r="A35" s="102" t="s">
        <v>1459</v>
      </c>
      <c r="B35" s="102" t="s">
        <v>11461</v>
      </c>
      <c r="C35" s="229" t="s">
        <v>11462</v>
      </c>
      <c r="D35" s="102" t="s">
        <v>11463</v>
      </c>
      <c r="E35" s="102" t="s">
        <v>280</v>
      </c>
      <c r="F35" s="102" t="s">
        <v>281</v>
      </c>
      <c r="G35" s="102" t="s">
        <v>280</v>
      </c>
      <c r="H35" s="102" t="s">
        <v>281</v>
      </c>
      <c r="I35" s="102" t="s">
        <v>284</v>
      </c>
      <c r="J35" s="102" t="s">
        <v>26</v>
      </c>
      <c r="L35" s="229" t="s">
        <v>11464</v>
      </c>
      <c r="M35" s="229" t="s">
        <v>11465</v>
      </c>
      <c r="O35" s="230"/>
      <c r="T35" s="244">
        <f t="shared" si="1"/>
        <v>0</v>
      </c>
      <c r="U35" s="193" t="str">
        <f>IF(ISNUMBER(MATCH(B35, 'Sprint 2'!B:B, 0)), "มาจาก Sprint 2", "")</f>
        <v/>
      </c>
    </row>
    <row r="36">
      <c r="A36" s="102" t="s">
        <v>1465</v>
      </c>
      <c r="B36" s="102" t="s">
        <v>11466</v>
      </c>
      <c r="C36" s="229" t="s">
        <v>11467</v>
      </c>
      <c r="D36" s="102" t="s">
        <v>11468</v>
      </c>
      <c r="G36" s="102" t="s">
        <v>280</v>
      </c>
      <c r="H36" s="102" t="s">
        <v>281</v>
      </c>
      <c r="I36" s="102" t="s">
        <v>284</v>
      </c>
      <c r="J36" s="102" t="s">
        <v>26</v>
      </c>
      <c r="L36" s="229" t="s">
        <v>11464</v>
      </c>
      <c r="M36" s="229" t="s">
        <v>11469</v>
      </c>
      <c r="O36" s="230"/>
      <c r="T36" s="244">
        <f t="shared" si="1"/>
        <v>0</v>
      </c>
      <c r="U36" s="193" t="str">
        <f>IF(ISNUMBER(MATCH(B36, 'Sprint 2'!B:B, 0)), "มาจาก Sprint 2", "")</f>
        <v/>
      </c>
    </row>
    <row r="37">
      <c r="A37" s="102" t="s">
        <v>4306</v>
      </c>
      <c r="B37" s="102" t="s">
        <v>11470</v>
      </c>
      <c r="C37" s="229" t="s">
        <v>11471</v>
      </c>
      <c r="D37" s="102" t="s">
        <v>11472</v>
      </c>
      <c r="G37" s="102" t="s">
        <v>280</v>
      </c>
      <c r="H37" s="102" t="s">
        <v>281</v>
      </c>
      <c r="I37" s="102" t="s">
        <v>284</v>
      </c>
      <c r="J37" s="102" t="s">
        <v>26</v>
      </c>
      <c r="L37" s="229" t="s">
        <v>11464</v>
      </c>
      <c r="M37" s="229" t="s">
        <v>11469</v>
      </c>
      <c r="O37" s="230"/>
      <c r="T37" s="244">
        <f t="shared" si="1"/>
        <v>0</v>
      </c>
      <c r="U37" s="193" t="str">
        <f>IF(ISNUMBER(MATCH(B37, 'Sprint 2'!B:B, 0)), "มาจาก Sprint 2", "")</f>
        <v/>
      </c>
    </row>
    <row r="38">
      <c r="A38" s="102" t="s">
        <v>276</v>
      </c>
      <c r="B38" s="102" t="s">
        <v>11157</v>
      </c>
      <c r="C38" s="229" t="s">
        <v>11158</v>
      </c>
      <c r="D38" s="102" t="s">
        <v>11159</v>
      </c>
      <c r="E38" s="102" t="s">
        <v>521</v>
      </c>
      <c r="F38" s="102" t="s">
        <v>522</v>
      </c>
      <c r="G38" s="102" t="s">
        <v>521</v>
      </c>
      <c r="H38" s="102" t="s">
        <v>522</v>
      </c>
      <c r="I38" s="102" t="s">
        <v>284</v>
      </c>
      <c r="J38" s="102" t="s">
        <v>34</v>
      </c>
      <c r="L38" s="229" t="s">
        <v>11160</v>
      </c>
      <c r="M38" s="229" t="s">
        <v>11473</v>
      </c>
      <c r="O38" s="230"/>
      <c r="T38" s="244">
        <f t="shared" si="1"/>
        <v>0</v>
      </c>
      <c r="U38" s="193" t="str">
        <f>IF(ISNUMBER(MATCH(B38, 'Sprint 2'!B:B, 0)), "มาจาก Sprint 2", "")</f>
        <v/>
      </c>
    </row>
    <row r="39">
      <c r="A39" s="102" t="s">
        <v>276</v>
      </c>
      <c r="B39" s="102" t="s">
        <v>11474</v>
      </c>
      <c r="C39" s="229" t="s">
        <v>11475</v>
      </c>
      <c r="D39" s="102" t="s">
        <v>347</v>
      </c>
      <c r="E39" s="102" t="s">
        <v>280</v>
      </c>
      <c r="F39" s="102" t="s">
        <v>281</v>
      </c>
      <c r="G39" s="102" t="s">
        <v>280</v>
      </c>
      <c r="H39" s="102" t="s">
        <v>281</v>
      </c>
      <c r="I39" s="102" t="s">
        <v>284</v>
      </c>
      <c r="J39" s="102" t="s">
        <v>34</v>
      </c>
      <c r="L39" s="229" t="s">
        <v>11476</v>
      </c>
      <c r="M39" s="229" t="s">
        <v>11477</v>
      </c>
      <c r="O39" s="230"/>
      <c r="T39" s="244">
        <f t="shared" si="1"/>
        <v>0</v>
      </c>
      <c r="U39" s="193" t="str">
        <f>IF(ISNUMBER(MATCH(B39, 'Sprint 2'!B:B, 0)), "มาจาก Sprint 2", "")</f>
        <v/>
      </c>
    </row>
    <row r="40">
      <c r="A40" s="102" t="s">
        <v>276</v>
      </c>
      <c r="B40" s="102" t="s">
        <v>11478</v>
      </c>
      <c r="C40" s="229" t="s">
        <v>11479</v>
      </c>
      <c r="D40" s="102" t="s">
        <v>2030</v>
      </c>
      <c r="E40" s="102" t="s">
        <v>280</v>
      </c>
      <c r="F40" s="102" t="s">
        <v>281</v>
      </c>
      <c r="G40" s="102" t="s">
        <v>280</v>
      </c>
      <c r="H40" s="102" t="s">
        <v>281</v>
      </c>
      <c r="I40" s="102" t="s">
        <v>284</v>
      </c>
      <c r="J40" s="102" t="s">
        <v>26</v>
      </c>
      <c r="L40" s="229" t="s">
        <v>11476</v>
      </c>
      <c r="M40" s="229" t="s">
        <v>11480</v>
      </c>
      <c r="O40" s="230"/>
      <c r="T40" s="244">
        <f t="shared" si="1"/>
        <v>0</v>
      </c>
      <c r="U40" s="193" t="str">
        <f>IF(ISNUMBER(MATCH(B40, 'Sprint 2'!B:B, 0)), "มาจาก Sprint 2", "")</f>
        <v/>
      </c>
    </row>
    <row r="41">
      <c r="A41" s="102" t="s">
        <v>4410</v>
      </c>
      <c r="B41" s="102" t="s">
        <v>11481</v>
      </c>
      <c r="C41" s="229" t="s">
        <v>11482</v>
      </c>
      <c r="D41" s="102" t="s">
        <v>11483</v>
      </c>
      <c r="E41" s="102" t="s">
        <v>314</v>
      </c>
      <c r="F41" s="102" t="s">
        <v>315</v>
      </c>
      <c r="G41" s="102" t="s">
        <v>314</v>
      </c>
      <c r="H41" s="102" t="s">
        <v>315</v>
      </c>
      <c r="I41" s="102" t="s">
        <v>284</v>
      </c>
      <c r="J41" s="102" t="s">
        <v>26</v>
      </c>
      <c r="L41" s="229" t="s">
        <v>11484</v>
      </c>
      <c r="M41" s="229" t="s">
        <v>11485</v>
      </c>
      <c r="N41" s="229" t="s">
        <v>11486</v>
      </c>
      <c r="O41" s="102">
        <v>1.0</v>
      </c>
      <c r="T41" s="244">
        <f t="shared" si="1"/>
        <v>2</v>
      </c>
      <c r="U41" s="193" t="str">
        <f>IF(ISNUMBER(MATCH(B41, 'Sprint 2'!B:B, 0)), "มาจาก Sprint 2", "")</f>
        <v/>
      </c>
    </row>
    <row r="42">
      <c r="A42" s="102" t="s">
        <v>276</v>
      </c>
      <c r="B42" s="102" t="s">
        <v>11161</v>
      </c>
      <c r="C42" s="229" t="s">
        <v>11162</v>
      </c>
      <c r="D42" s="102" t="s">
        <v>11159</v>
      </c>
      <c r="E42" s="102" t="s">
        <v>521</v>
      </c>
      <c r="F42" s="102" t="s">
        <v>522</v>
      </c>
      <c r="G42" s="102" t="s">
        <v>521</v>
      </c>
      <c r="H42" s="102" t="s">
        <v>522</v>
      </c>
      <c r="I42" s="102" t="s">
        <v>284</v>
      </c>
      <c r="J42" s="102" t="s">
        <v>63</v>
      </c>
      <c r="L42" s="229" t="s">
        <v>11164</v>
      </c>
      <c r="M42" s="229" t="s">
        <v>11164</v>
      </c>
      <c r="O42" s="230"/>
      <c r="T42" s="244">
        <f t="shared" si="1"/>
        <v>0</v>
      </c>
      <c r="U42" s="193" t="str">
        <f>IF(ISNUMBER(MATCH(B42, 'Sprint 2'!B:B, 0)), "มาจาก Sprint 2", "")</f>
        <v/>
      </c>
    </row>
    <row r="43">
      <c r="A43" s="102" t="s">
        <v>276</v>
      </c>
      <c r="B43" s="102" t="s">
        <v>11166</v>
      </c>
      <c r="C43" s="229" t="s">
        <v>11167</v>
      </c>
      <c r="D43" s="102" t="s">
        <v>11168</v>
      </c>
      <c r="E43" s="102" t="s">
        <v>521</v>
      </c>
      <c r="F43" s="102" t="s">
        <v>522</v>
      </c>
      <c r="G43" s="102" t="s">
        <v>521</v>
      </c>
      <c r="H43" s="102" t="s">
        <v>522</v>
      </c>
      <c r="I43" s="102" t="s">
        <v>284</v>
      </c>
      <c r="J43" s="102" t="s">
        <v>63</v>
      </c>
      <c r="L43" s="229" t="s">
        <v>11169</v>
      </c>
      <c r="M43" s="229" t="s">
        <v>11164</v>
      </c>
      <c r="O43" s="230"/>
      <c r="T43" s="244">
        <f t="shared" si="1"/>
        <v>0</v>
      </c>
      <c r="U43" s="193" t="str">
        <f>IF(ISNUMBER(MATCH(B43, 'Sprint 2'!B:B, 0)), "มาจาก Sprint 2", "")</f>
        <v/>
      </c>
    </row>
    <row r="44">
      <c r="A44" s="102" t="s">
        <v>276</v>
      </c>
      <c r="B44" s="102" t="s">
        <v>11170</v>
      </c>
      <c r="C44" s="229" t="s">
        <v>11171</v>
      </c>
      <c r="D44" s="102" t="s">
        <v>11172</v>
      </c>
      <c r="E44" s="102" t="s">
        <v>521</v>
      </c>
      <c r="F44" s="102" t="s">
        <v>522</v>
      </c>
      <c r="G44" s="102" t="s">
        <v>521</v>
      </c>
      <c r="H44" s="102" t="s">
        <v>522</v>
      </c>
      <c r="I44" s="102" t="s">
        <v>284</v>
      </c>
      <c r="J44" s="102" t="s">
        <v>63</v>
      </c>
      <c r="L44" s="229" t="s">
        <v>11173</v>
      </c>
      <c r="M44" s="229" t="s">
        <v>11173</v>
      </c>
      <c r="O44" s="230"/>
      <c r="T44" s="244">
        <f t="shared" si="1"/>
        <v>0</v>
      </c>
      <c r="U44" s="193" t="str">
        <f>IF(ISNUMBER(MATCH(B44, 'Sprint 2'!B:B, 0)), "มาจาก Sprint 2", "")</f>
        <v/>
      </c>
    </row>
    <row r="45">
      <c r="A45" s="102" t="s">
        <v>276</v>
      </c>
      <c r="B45" s="102" t="s">
        <v>11175</v>
      </c>
      <c r="C45" s="229" t="s">
        <v>11176</v>
      </c>
      <c r="D45" s="102" t="s">
        <v>11177</v>
      </c>
      <c r="E45" s="102" t="s">
        <v>521</v>
      </c>
      <c r="F45" s="102" t="s">
        <v>522</v>
      </c>
      <c r="G45" s="102" t="s">
        <v>521</v>
      </c>
      <c r="H45" s="102" t="s">
        <v>522</v>
      </c>
      <c r="I45" s="102" t="s">
        <v>284</v>
      </c>
      <c r="J45" s="102" t="s">
        <v>63</v>
      </c>
      <c r="L45" s="229" t="s">
        <v>11178</v>
      </c>
      <c r="M45" s="229" t="s">
        <v>11178</v>
      </c>
      <c r="O45" s="230"/>
      <c r="T45" s="244">
        <f t="shared" si="1"/>
        <v>0</v>
      </c>
      <c r="U45" s="193" t="str">
        <f>IF(ISNUMBER(MATCH(B45, 'Sprint 2'!B:B, 0)), "มาจาก Sprint 2", "")</f>
        <v/>
      </c>
    </row>
    <row r="46">
      <c r="A46" s="102" t="s">
        <v>276</v>
      </c>
      <c r="B46" s="102" t="s">
        <v>11487</v>
      </c>
      <c r="C46" s="229" t="s">
        <v>11488</v>
      </c>
      <c r="D46" s="102" t="s">
        <v>11489</v>
      </c>
      <c r="E46" s="102" t="s">
        <v>521</v>
      </c>
      <c r="F46" s="102" t="s">
        <v>522</v>
      </c>
      <c r="G46" s="102" t="s">
        <v>521</v>
      </c>
      <c r="H46" s="102" t="s">
        <v>522</v>
      </c>
      <c r="I46" s="102" t="s">
        <v>284</v>
      </c>
      <c r="J46" s="102" t="s">
        <v>63</v>
      </c>
      <c r="L46" s="229" t="s">
        <v>11178</v>
      </c>
      <c r="M46" s="229" t="s">
        <v>11490</v>
      </c>
      <c r="O46" s="230"/>
      <c r="T46" s="244">
        <f t="shared" si="1"/>
        <v>0</v>
      </c>
      <c r="U46" s="193" t="str">
        <f>IF(ISNUMBER(MATCH(B46, 'Sprint 2'!B:B, 0)), "มาจาก Sprint 2", "")</f>
        <v/>
      </c>
    </row>
    <row r="47">
      <c r="A47" s="102" t="s">
        <v>276</v>
      </c>
      <c r="B47" s="102" t="s">
        <v>11491</v>
      </c>
      <c r="C47" s="229" t="s">
        <v>11492</v>
      </c>
      <c r="D47" s="102" t="s">
        <v>347</v>
      </c>
      <c r="E47" s="102" t="s">
        <v>280</v>
      </c>
      <c r="F47" s="102" t="s">
        <v>281</v>
      </c>
      <c r="G47" s="102" t="s">
        <v>280</v>
      </c>
      <c r="H47" s="102" t="s">
        <v>281</v>
      </c>
      <c r="I47" s="102" t="s">
        <v>284</v>
      </c>
      <c r="J47" s="102" t="s">
        <v>26</v>
      </c>
      <c r="L47" s="229" t="s">
        <v>11493</v>
      </c>
      <c r="M47" s="229" t="s">
        <v>11494</v>
      </c>
      <c r="O47" s="230"/>
      <c r="T47" s="244">
        <f t="shared" si="1"/>
        <v>0</v>
      </c>
      <c r="U47" s="193" t="str">
        <f>IF(ISNUMBER(MATCH(B47, 'Sprint 2'!B:B, 0)), "มาจาก Sprint 2", "")</f>
        <v/>
      </c>
    </row>
    <row r="48">
      <c r="A48" s="102" t="s">
        <v>276</v>
      </c>
      <c r="B48" s="102" t="s">
        <v>11495</v>
      </c>
      <c r="C48" s="229" t="s">
        <v>11496</v>
      </c>
      <c r="D48" s="102" t="s">
        <v>2030</v>
      </c>
      <c r="E48" s="102" t="s">
        <v>280</v>
      </c>
      <c r="F48" s="102" t="s">
        <v>281</v>
      </c>
      <c r="G48" s="102" t="s">
        <v>280</v>
      </c>
      <c r="H48" s="102" t="s">
        <v>281</v>
      </c>
      <c r="I48" s="102" t="s">
        <v>284</v>
      </c>
      <c r="J48" s="102" t="s">
        <v>26</v>
      </c>
      <c r="L48" s="229" t="s">
        <v>11493</v>
      </c>
      <c r="M48" s="229" t="s">
        <v>11497</v>
      </c>
      <c r="O48" s="230"/>
      <c r="T48" s="244">
        <f t="shared" si="1"/>
        <v>0</v>
      </c>
      <c r="U48" s="193" t="str">
        <f>IF(ISNUMBER(MATCH(B48, 'Sprint 2'!B:B, 0)), "มาจาก Sprint 2", "")</f>
        <v/>
      </c>
    </row>
    <row r="49">
      <c r="A49" s="102" t="s">
        <v>276</v>
      </c>
      <c r="B49" s="102" t="s">
        <v>11498</v>
      </c>
      <c r="C49" s="229" t="s">
        <v>11499</v>
      </c>
      <c r="D49" s="102" t="s">
        <v>347</v>
      </c>
      <c r="E49" s="102" t="s">
        <v>280</v>
      </c>
      <c r="F49" s="102" t="s">
        <v>281</v>
      </c>
      <c r="G49" s="102" t="s">
        <v>280</v>
      </c>
      <c r="H49" s="102" t="s">
        <v>281</v>
      </c>
      <c r="I49" s="102" t="s">
        <v>284</v>
      </c>
      <c r="J49" s="102" t="s">
        <v>26</v>
      </c>
      <c r="L49" s="229" t="s">
        <v>11493</v>
      </c>
      <c r="M49" s="229" t="s">
        <v>11500</v>
      </c>
      <c r="O49" s="230"/>
      <c r="T49" s="244">
        <f t="shared" si="1"/>
        <v>0</v>
      </c>
      <c r="U49" s="193" t="str">
        <f>IF(ISNUMBER(MATCH(B49, 'Sprint 2'!B:B, 0)), "มาจาก Sprint 2", "")</f>
        <v/>
      </c>
    </row>
    <row r="50">
      <c r="A50" s="102" t="s">
        <v>276</v>
      </c>
      <c r="B50" s="102" t="s">
        <v>11501</v>
      </c>
      <c r="C50" s="229" t="s">
        <v>11502</v>
      </c>
      <c r="D50" s="102" t="s">
        <v>2030</v>
      </c>
      <c r="E50" s="102" t="s">
        <v>280</v>
      </c>
      <c r="F50" s="102" t="s">
        <v>281</v>
      </c>
      <c r="G50" s="102" t="s">
        <v>280</v>
      </c>
      <c r="H50" s="102" t="s">
        <v>281</v>
      </c>
      <c r="I50" s="102" t="s">
        <v>284</v>
      </c>
      <c r="J50" s="102" t="s">
        <v>26</v>
      </c>
      <c r="L50" s="229" t="s">
        <v>11493</v>
      </c>
      <c r="M50" s="229" t="s">
        <v>11480</v>
      </c>
      <c r="O50" s="230"/>
      <c r="T50" s="244">
        <f t="shared" si="1"/>
        <v>0</v>
      </c>
      <c r="U50" s="193" t="str">
        <f>IF(ISNUMBER(MATCH(B50, 'Sprint 2'!B:B, 0)), "มาจาก Sprint 2", "")</f>
        <v/>
      </c>
    </row>
    <row r="51">
      <c r="A51" s="102" t="s">
        <v>276</v>
      </c>
      <c r="B51" s="102" t="s">
        <v>11503</v>
      </c>
      <c r="C51" s="229" t="s">
        <v>11504</v>
      </c>
      <c r="D51" s="102" t="s">
        <v>347</v>
      </c>
      <c r="E51" s="102" t="s">
        <v>280</v>
      </c>
      <c r="F51" s="102" t="s">
        <v>281</v>
      </c>
      <c r="G51" s="102" t="s">
        <v>280</v>
      </c>
      <c r="H51" s="102" t="s">
        <v>281</v>
      </c>
      <c r="I51" s="102" t="s">
        <v>284</v>
      </c>
      <c r="J51" s="102" t="s">
        <v>26</v>
      </c>
      <c r="L51" s="229" t="s">
        <v>11505</v>
      </c>
      <c r="M51" s="229" t="s">
        <v>11506</v>
      </c>
      <c r="O51" s="230"/>
      <c r="T51" s="244">
        <f t="shared" si="1"/>
        <v>0</v>
      </c>
      <c r="U51" s="193" t="str">
        <f>IF(ISNUMBER(MATCH(B51, 'Sprint 2'!B:B, 0)), "มาจาก Sprint 2", "")</f>
        <v/>
      </c>
    </row>
    <row r="52">
      <c r="A52" s="102" t="s">
        <v>276</v>
      </c>
      <c r="B52" s="102" t="s">
        <v>11507</v>
      </c>
      <c r="C52" s="229" t="s">
        <v>11508</v>
      </c>
      <c r="D52" s="102" t="s">
        <v>2030</v>
      </c>
      <c r="E52" s="102" t="s">
        <v>280</v>
      </c>
      <c r="F52" s="102" t="s">
        <v>281</v>
      </c>
      <c r="G52" s="102" t="s">
        <v>280</v>
      </c>
      <c r="H52" s="102" t="s">
        <v>281</v>
      </c>
      <c r="I52" s="102" t="s">
        <v>284</v>
      </c>
      <c r="J52" s="102" t="s">
        <v>26</v>
      </c>
      <c r="L52" s="229" t="s">
        <v>11505</v>
      </c>
      <c r="M52" s="229" t="s">
        <v>11509</v>
      </c>
      <c r="O52" s="230"/>
      <c r="T52" s="244">
        <f t="shared" si="1"/>
        <v>0</v>
      </c>
      <c r="U52" s="193" t="str">
        <f>IF(ISNUMBER(MATCH(B52, 'Sprint 2'!B:B, 0)), "มาจาก Sprint 2", "")</f>
        <v/>
      </c>
    </row>
    <row r="53">
      <c r="A53" s="102" t="s">
        <v>276</v>
      </c>
      <c r="B53" s="102" t="s">
        <v>11510</v>
      </c>
      <c r="C53" s="229" t="s">
        <v>11511</v>
      </c>
      <c r="D53" s="102" t="s">
        <v>347</v>
      </c>
      <c r="E53" s="102" t="s">
        <v>280</v>
      </c>
      <c r="F53" s="102" t="s">
        <v>281</v>
      </c>
      <c r="G53" s="102" t="s">
        <v>280</v>
      </c>
      <c r="H53" s="102" t="s">
        <v>281</v>
      </c>
      <c r="I53" s="102" t="s">
        <v>284</v>
      </c>
      <c r="J53" s="102" t="s">
        <v>26</v>
      </c>
      <c r="L53" s="229" t="s">
        <v>11505</v>
      </c>
      <c r="M53" s="229" t="s">
        <v>11494</v>
      </c>
      <c r="O53" s="230"/>
      <c r="T53" s="244">
        <f t="shared" si="1"/>
        <v>0</v>
      </c>
      <c r="U53" s="193" t="str">
        <f>IF(ISNUMBER(MATCH(B53, 'Sprint 2'!B:B, 0)), "มาจาก Sprint 2", "")</f>
        <v/>
      </c>
    </row>
    <row r="54">
      <c r="A54" s="102" t="s">
        <v>276</v>
      </c>
      <c r="B54" s="102" t="s">
        <v>11512</v>
      </c>
      <c r="C54" s="229" t="s">
        <v>11513</v>
      </c>
      <c r="D54" s="102" t="s">
        <v>2030</v>
      </c>
      <c r="E54" s="102" t="s">
        <v>280</v>
      </c>
      <c r="F54" s="102" t="s">
        <v>281</v>
      </c>
      <c r="G54" s="102" t="s">
        <v>280</v>
      </c>
      <c r="H54" s="102" t="s">
        <v>281</v>
      </c>
      <c r="I54" s="102" t="s">
        <v>284</v>
      </c>
      <c r="J54" s="102" t="s">
        <v>26</v>
      </c>
      <c r="L54" s="229" t="s">
        <v>11505</v>
      </c>
      <c r="M54" s="229" t="s">
        <v>11480</v>
      </c>
      <c r="O54" s="230"/>
      <c r="T54" s="244">
        <f t="shared" si="1"/>
        <v>0</v>
      </c>
      <c r="U54" s="193" t="str">
        <f>IF(ISNUMBER(MATCH(B54, 'Sprint 2'!B:B, 0)), "มาจาก Sprint 2", "")</f>
        <v/>
      </c>
    </row>
    <row r="55">
      <c r="A55" s="102" t="s">
        <v>332</v>
      </c>
      <c r="B55" s="102" t="s">
        <v>11514</v>
      </c>
      <c r="C55" s="229" t="s">
        <v>11515</v>
      </c>
      <c r="D55" s="102" t="s">
        <v>11516</v>
      </c>
      <c r="E55" s="102" t="s">
        <v>11430</v>
      </c>
      <c r="F55" s="102" t="s">
        <v>11431</v>
      </c>
      <c r="G55" s="102" t="s">
        <v>521</v>
      </c>
      <c r="H55" s="102" t="s">
        <v>522</v>
      </c>
      <c r="I55" s="102" t="s">
        <v>284</v>
      </c>
      <c r="J55" s="102" t="s">
        <v>336</v>
      </c>
      <c r="L55" s="229" t="s">
        <v>11517</v>
      </c>
      <c r="M55" s="229" t="s">
        <v>11518</v>
      </c>
      <c r="T55" s="244">
        <f t="shared" si="1"/>
        <v>0</v>
      </c>
      <c r="U55" s="193" t="str">
        <f>IF(ISNUMBER(MATCH(B55, 'Sprint 2'!B:B, 0)), "มาจาก Sprint 2", "")</f>
        <v/>
      </c>
    </row>
    <row r="56">
      <c r="A56" s="102" t="s">
        <v>4410</v>
      </c>
      <c r="B56" s="102" t="s">
        <v>11519</v>
      </c>
      <c r="C56" s="229" t="s">
        <v>11520</v>
      </c>
      <c r="D56" s="102" t="s">
        <v>11521</v>
      </c>
      <c r="E56" s="102" t="s">
        <v>314</v>
      </c>
      <c r="F56" s="102" t="s">
        <v>315</v>
      </c>
      <c r="G56" s="102" t="s">
        <v>314</v>
      </c>
      <c r="H56" s="102" t="s">
        <v>315</v>
      </c>
      <c r="I56" s="102" t="s">
        <v>515</v>
      </c>
      <c r="J56" s="102" t="s">
        <v>26</v>
      </c>
      <c r="L56" s="229" t="s">
        <v>11522</v>
      </c>
      <c r="M56" s="229" t="s">
        <v>11523</v>
      </c>
      <c r="N56" s="229" t="s">
        <v>11486</v>
      </c>
      <c r="O56" s="102">
        <v>1.0</v>
      </c>
      <c r="T56" s="244">
        <f t="shared" si="1"/>
        <v>2</v>
      </c>
      <c r="U56" s="193" t="str">
        <f>IF(ISNUMBER(MATCH(B56, 'Sprint 2'!B:B, 0)), "มาจาก Sprint 2", "")</f>
        <v/>
      </c>
    </row>
    <row r="57">
      <c r="A57" s="102" t="s">
        <v>4410</v>
      </c>
      <c r="B57" s="102" t="s">
        <v>11524</v>
      </c>
      <c r="C57" s="229" t="s">
        <v>11525</v>
      </c>
      <c r="D57" s="102" t="s">
        <v>11526</v>
      </c>
      <c r="E57" s="102" t="s">
        <v>314</v>
      </c>
      <c r="F57" s="102" t="s">
        <v>315</v>
      </c>
      <c r="G57" s="102" t="s">
        <v>314</v>
      </c>
      <c r="H57" s="102" t="s">
        <v>315</v>
      </c>
      <c r="I57" s="102" t="s">
        <v>284</v>
      </c>
      <c r="J57" s="102" t="s">
        <v>26</v>
      </c>
      <c r="L57" s="229" t="s">
        <v>11527</v>
      </c>
      <c r="M57" s="229" t="s">
        <v>11528</v>
      </c>
      <c r="O57" s="102">
        <v>3.0</v>
      </c>
      <c r="T57" s="244">
        <f t="shared" si="1"/>
        <v>8</v>
      </c>
      <c r="U57" s="193" t="str">
        <f>IF(ISNUMBER(MATCH(B57, 'Sprint 2'!B:B, 0)), "มาจาก Sprint 2", "")</f>
        <v/>
      </c>
    </row>
    <row r="58">
      <c r="A58" s="102" t="s">
        <v>4410</v>
      </c>
      <c r="B58" s="102" t="s">
        <v>11529</v>
      </c>
      <c r="C58" s="229" t="s">
        <v>11530</v>
      </c>
      <c r="D58" s="102" t="s">
        <v>11531</v>
      </c>
      <c r="E58" s="102" t="s">
        <v>314</v>
      </c>
      <c r="F58" s="102" t="s">
        <v>315</v>
      </c>
      <c r="G58" s="102" t="s">
        <v>314</v>
      </c>
      <c r="H58" s="102" t="s">
        <v>315</v>
      </c>
      <c r="I58" s="102" t="s">
        <v>284</v>
      </c>
      <c r="J58" s="102" t="s">
        <v>26</v>
      </c>
      <c r="L58" s="229" t="s">
        <v>11532</v>
      </c>
      <c r="M58" s="229" t="s">
        <v>11528</v>
      </c>
      <c r="O58" s="102">
        <v>3.0</v>
      </c>
      <c r="T58" s="244">
        <f t="shared" si="1"/>
        <v>8</v>
      </c>
      <c r="U58" s="193" t="str">
        <f>IF(ISNUMBER(MATCH(B58, 'Sprint 2'!B:B, 0)), "มาจาก Sprint 2", "")</f>
        <v/>
      </c>
    </row>
    <row r="59">
      <c r="A59" s="102" t="s">
        <v>4410</v>
      </c>
      <c r="B59" s="102" t="s">
        <v>11533</v>
      </c>
      <c r="C59" s="229" t="s">
        <v>11534</v>
      </c>
      <c r="D59" s="102" t="s">
        <v>11535</v>
      </c>
      <c r="E59" s="102" t="s">
        <v>314</v>
      </c>
      <c r="F59" s="102" t="s">
        <v>315</v>
      </c>
      <c r="G59" s="102" t="s">
        <v>314</v>
      </c>
      <c r="H59" s="102" t="s">
        <v>315</v>
      </c>
      <c r="I59" s="102" t="s">
        <v>284</v>
      </c>
      <c r="J59" s="102" t="s">
        <v>26</v>
      </c>
      <c r="L59" s="229" t="s">
        <v>11536</v>
      </c>
      <c r="M59" s="229" t="s">
        <v>11528</v>
      </c>
      <c r="O59" s="102">
        <v>5.0</v>
      </c>
      <c r="T59" s="244">
        <f t="shared" si="1"/>
        <v>24</v>
      </c>
      <c r="U59" s="193" t="str">
        <f>IF(ISNUMBER(MATCH(B59, 'Sprint 2'!B:B, 0)), "มาจาก Sprint 2", "")</f>
        <v/>
      </c>
    </row>
    <row r="60">
      <c r="A60" s="102" t="s">
        <v>4410</v>
      </c>
      <c r="B60" s="102" t="s">
        <v>11180</v>
      </c>
      <c r="C60" s="229" t="s">
        <v>11181</v>
      </c>
      <c r="D60" s="102" t="s">
        <v>11182</v>
      </c>
      <c r="E60" s="102" t="s">
        <v>314</v>
      </c>
      <c r="F60" s="102" t="s">
        <v>315</v>
      </c>
      <c r="G60" s="102" t="s">
        <v>314</v>
      </c>
      <c r="H60" s="102" t="s">
        <v>315</v>
      </c>
      <c r="I60" s="102" t="s">
        <v>284</v>
      </c>
      <c r="J60" s="102" t="s">
        <v>26</v>
      </c>
      <c r="L60" s="229" t="s">
        <v>11183</v>
      </c>
      <c r="M60" s="229" t="s">
        <v>11537</v>
      </c>
      <c r="N60" s="229" t="s">
        <v>11184</v>
      </c>
      <c r="O60" s="102">
        <v>2.0</v>
      </c>
      <c r="T60" s="244">
        <f t="shared" si="1"/>
        <v>4</v>
      </c>
      <c r="U60" s="193" t="str">
        <f>IF(ISNUMBER(MATCH(B60, 'Sprint 2'!B:B, 0)), "มาจาก Sprint 2", "")</f>
        <v/>
      </c>
    </row>
    <row r="61">
      <c r="A61" s="102" t="s">
        <v>276</v>
      </c>
      <c r="B61" s="102" t="s">
        <v>11538</v>
      </c>
      <c r="C61" s="229" t="s">
        <v>11539</v>
      </c>
      <c r="D61" s="102" t="s">
        <v>11540</v>
      </c>
      <c r="E61" s="102" t="s">
        <v>521</v>
      </c>
      <c r="F61" s="102" t="s">
        <v>522</v>
      </c>
      <c r="G61" s="102" t="s">
        <v>521</v>
      </c>
      <c r="H61" s="102" t="s">
        <v>522</v>
      </c>
      <c r="I61" s="102" t="s">
        <v>284</v>
      </c>
      <c r="J61" s="102" t="s">
        <v>26</v>
      </c>
      <c r="L61" s="229" t="s">
        <v>11541</v>
      </c>
      <c r="M61" s="229" t="s">
        <v>11542</v>
      </c>
      <c r="O61" s="230"/>
      <c r="T61" s="244">
        <f t="shared" si="1"/>
        <v>0</v>
      </c>
      <c r="U61" s="193" t="str">
        <f>IF(ISNUMBER(MATCH(B61, 'Sprint 2'!B:B, 0)), "มาจาก Sprint 2", "")</f>
        <v/>
      </c>
    </row>
    <row r="62">
      <c r="A62" s="102" t="s">
        <v>4410</v>
      </c>
      <c r="B62" s="102" t="s">
        <v>11543</v>
      </c>
      <c r="C62" s="229" t="s">
        <v>11544</v>
      </c>
      <c r="D62" s="102" t="s">
        <v>11545</v>
      </c>
      <c r="E62" s="102" t="s">
        <v>314</v>
      </c>
      <c r="F62" s="102" t="s">
        <v>315</v>
      </c>
      <c r="G62" s="102" t="s">
        <v>314</v>
      </c>
      <c r="H62" s="102" t="s">
        <v>315</v>
      </c>
      <c r="I62" s="102" t="s">
        <v>284</v>
      </c>
      <c r="J62" s="102" t="s">
        <v>26</v>
      </c>
      <c r="L62" s="229" t="s">
        <v>11546</v>
      </c>
      <c r="M62" s="229" t="s">
        <v>11523</v>
      </c>
      <c r="N62" s="229" t="s">
        <v>11486</v>
      </c>
      <c r="O62" s="102">
        <v>1.0</v>
      </c>
      <c r="T62" s="244">
        <f t="shared" si="1"/>
        <v>2</v>
      </c>
      <c r="U62" s="193" t="str">
        <f>IF(ISNUMBER(MATCH(B62, 'Sprint 2'!B:B, 0)), "มาจาก Sprint 2", "")</f>
        <v/>
      </c>
    </row>
    <row r="63">
      <c r="A63" s="102" t="s">
        <v>4410</v>
      </c>
      <c r="B63" s="102" t="s">
        <v>10411</v>
      </c>
      <c r="C63" s="229" t="s">
        <v>10412</v>
      </c>
      <c r="D63" s="102" t="s">
        <v>10413</v>
      </c>
      <c r="E63" s="102" t="s">
        <v>314</v>
      </c>
      <c r="F63" s="102" t="s">
        <v>315</v>
      </c>
      <c r="G63" s="102" t="s">
        <v>314</v>
      </c>
      <c r="H63" s="102" t="s">
        <v>315</v>
      </c>
      <c r="I63" s="102" t="s">
        <v>284</v>
      </c>
      <c r="J63" s="102" t="s">
        <v>355</v>
      </c>
      <c r="L63" s="229" t="s">
        <v>10414</v>
      </c>
      <c r="M63" s="229" t="s">
        <v>11547</v>
      </c>
      <c r="O63" s="102">
        <v>2.0</v>
      </c>
      <c r="T63" s="244">
        <f t="shared" si="1"/>
        <v>4</v>
      </c>
      <c r="U63" s="193" t="str">
        <f>IF(ISNUMBER(MATCH(B63, 'Sprint 2'!B:B, 0)), "มาจาก Sprint 2", "")</f>
        <v/>
      </c>
    </row>
    <row r="64">
      <c r="A64" s="102" t="s">
        <v>4410</v>
      </c>
      <c r="B64" s="102" t="s">
        <v>11548</v>
      </c>
      <c r="C64" s="229" t="s">
        <v>11549</v>
      </c>
      <c r="D64" s="102" t="s">
        <v>11550</v>
      </c>
      <c r="E64" s="102" t="s">
        <v>314</v>
      </c>
      <c r="F64" s="102" t="s">
        <v>315</v>
      </c>
      <c r="G64" s="102" t="s">
        <v>314</v>
      </c>
      <c r="H64" s="102" t="s">
        <v>315</v>
      </c>
      <c r="I64" s="102" t="s">
        <v>284</v>
      </c>
      <c r="J64" s="102" t="s">
        <v>26</v>
      </c>
      <c r="L64" s="229" t="s">
        <v>11551</v>
      </c>
      <c r="M64" s="229" t="s">
        <v>11552</v>
      </c>
      <c r="O64" s="102">
        <v>2.0</v>
      </c>
      <c r="P64" s="102" t="s">
        <v>11553</v>
      </c>
      <c r="Q64" s="102" t="s">
        <v>473</v>
      </c>
      <c r="R64" s="102" t="s">
        <v>474</v>
      </c>
      <c r="T64" s="244">
        <f t="shared" si="1"/>
        <v>4</v>
      </c>
      <c r="U64" s="193" t="str">
        <f>IF(ISNUMBER(MATCH(B64, 'Sprint 2'!B:B, 0)), "มาจาก Sprint 2", "")</f>
        <v/>
      </c>
    </row>
    <row r="65">
      <c r="A65" s="102" t="s">
        <v>332</v>
      </c>
      <c r="B65" s="102" t="s">
        <v>11554</v>
      </c>
      <c r="C65" s="229" t="s">
        <v>11555</v>
      </c>
      <c r="D65" s="102" t="s">
        <v>11556</v>
      </c>
      <c r="E65" s="102" t="s">
        <v>282</v>
      </c>
      <c r="F65" s="102" t="s">
        <v>283</v>
      </c>
      <c r="G65" s="102" t="s">
        <v>316</v>
      </c>
      <c r="H65" s="102" t="s">
        <v>317</v>
      </c>
      <c r="I65" s="102" t="s">
        <v>515</v>
      </c>
      <c r="J65" s="102" t="s">
        <v>336</v>
      </c>
      <c r="L65" s="229" t="s">
        <v>11557</v>
      </c>
      <c r="M65" s="229" t="s">
        <v>11558</v>
      </c>
      <c r="S65" s="229" t="s">
        <v>10424</v>
      </c>
      <c r="T65" s="244">
        <f t="shared" si="1"/>
        <v>0</v>
      </c>
      <c r="U65" s="193" t="str">
        <f>IF(ISNUMBER(MATCH(B65, 'Sprint 2'!B:B, 0)), "มาจาก Sprint 2", "")</f>
        <v/>
      </c>
    </row>
    <row r="66">
      <c r="A66" s="102" t="s">
        <v>4410</v>
      </c>
      <c r="B66" s="102" t="s">
        <v>10772</v>
      </c>
      <c r="C66" s="229" t="s">
        <v>10773</v>
      </c>
      <c r="D66" s="102" t="s">
        <v>10774</v>
      </c>
      <c r="E66" s="102" t="s">
        <v>353</v>
      </c>
      <c r="F66" s="102" t="s">
        <v>354</v>
      </c>
      <c r="G66" s="102" t="s">
        <v>353</v>
      </c>
      <c r="H66" s="102" t="s">
        <v>354</v>
      </c>
      <c r="I66" s="102" t="s">
        <v>284</v>
      </c>
      <c r="J66" s="102" t="s">
        <v>63</v>
      </c>
      <c r="L66" s="229" t="s">
        <v>10775</v>
      </c>
      <c r="M66" s="229" t="s">
        <v>11559</v>
      </c>
      <c r="O66" s="102">
        <v>1.0</v>
      </c>
      <c r="T66" s="244">
        <f t="shared" si="1"/>
        <v>2</v>
      </c>
      <c r="U66" s="193" t="str">
        <f>IF(ISNUMBER(MATCH(B66, 'Sprint 2'!B:B, 0)), "มาจาก Sprint 2", "")</f>
        <v/>
      </c>
    </row>
    <row r="67">
      <c r="A67" s="102" t="s">
        <v>4410</v>
      </c>
      <c r="B67" s="102" t="s">
        <v>11560</v>
      </c>
      <c r="C67" s="229" t="s">
        <v>11561</v>
      </c>
      <c r="D67" s="102" t="s">
        <v>11562</v>
      </c>
      <c r="E67" s="102" t="s">
        <v>353</v>
      </c>
      <c r="F67" s="102" t="s">
        <v>354</v>
      </c>
      <c r="G67" s="102" t="s">
        <v>353</v>
      </c>
      <c r="H67" s="102" t="s">
        <v>354</v>
      </c>
      <c r="I67" s="102" t="s">
        <v>284</v>
      </c>
      <c r="J67" s="102" t="s">
        <v>26</v>
      </c>
      <c r="L67" s="229" t="s">
        <v>10775</v>
      </c>
      <c r="M67" s="229" t="s">
        <v>11563</v>
      </c>
      <c r="O67" s="102">
        <v>1.0</v>
      </c>
      <c r="T67" s="244">
        <f t="shared" si="1"/>
        <v>2</v>
      </c>
      <c r="U67" s="193" t="str">
        <f>IF(ISNUMBER(MATCH(B67, 'Sprint 2'!B:B, 0)), "มาจาก Sprint 2", "")</f>
        <v/>
      </c>
    </row>
    <row r="68">
      <c r="A68" s="102" t="s">
        <v>310</v>
      </c>
      <c r="B68" s="102" t="s">
        <v>11186</v>
      </c>
      <c r="C68" s="229" t="s">
        <v>11187</v>
      </c>
      <c r="D68" s="102" t="s">
        <v>11188</v>
      </c>
      <c r="E68" s="102" t="s">
        <v>495</v>
      </c>
      <c r="F68" s="102" t="s">
        <v>496</v>
      </c>
      <c r="G68" s="102" t="s">
        <v>10144</v>
      </c>
      <c r="H68" s="102" t="s">
        <v>305</v>
      </c>
      <c r="I68" s="102" t="s">
        <v>1921</v>
      </c>
      <c r="J68" s="102" t="s">
        <v>63</v>
      </c>
      <c r="L68" s="229" t="s">
        <v>11189</v>
      </c>
      <c r="M68" s="229" t="s">
        <v>11564</v>
      </c>
      <c r="O68" s="102">
        <v>1.0</v>
      </c>
      <c r="T68" s="244">
        <f t="shared" si="1"/>
        <v>2</v>
      </c>
      <c r="U68" s="193" t="str">
        <f>IF(ISNUMBER(MATCH(B68, 'Sprint 2'!B:B, 0)), "มาจาก Sprint 2", "")</f>
        <v/>
      </c>
    </row>
    <row r="69">
      <c r="A69" s="102" t="s">
        <v>310</v>
      </c>
      <c r="B69" s="102" t="s">
        <v>11565</v>
      </c>
      <c r="C69" s="229" t="s">
        <v>11566</v>
      </c>
      <c r="D69" s="102" t="s">
        <v>11567</v>
      </c>
      <c r="E69" s="102" t="s">
        <v>11430</v>
      </c>
      <c r="F69" s="102" t="s">
        <v>11431</v>
      </c>
      <c r="G69" s="102" t="s">
        <v>282</v>
      </c>
      <c r="H69" s="102" t="s">
        <v>283</v>
      </c>
      <c r="I69" s="102" t="s">
        <v>284</v>
      </c>
      <c r="J69" s="102" t="s">
        <v>26</v>
      </c>
      <c r="L69" s="229" t="s">
        <v>11568</v>
      </c>
      <c r="M69" s="229" t="s">
        <v>11569</v>
      </c>
      <c r="O69" s="102">
        <v>3.0</v>
      </c>
      <c r="T69" s="244">
        <f t="shared" si="1"/>
        <v>8</v>
      </c>
      <c r="U69" s="193" t="str">
        <f>IF(ISNUMBER(MATCH(B69, 'Sprint 2'!B:B, 0)), "มาจาก Sprint 2", "")</f>
        <v/>
      </c>
    </row>
    <row r="70">
      <c r="A70" s="102" t="s">
        <v>310</v>
      </c>
      <c r="B70" s="102" t="s">
        <v>11570</v>
      </c>
      <c r="C70" s="229" t="s">
        <v>11571</v>
      </c>
      <c r="D70" s="102" t="s">
        <v>11572</v>
      </c>
      <c r="E70" s="102" t="s">
        <v>282</v>
      </c>
      <c r="F70" s="102" t="s">
        <v>283</v>
      </c>
      <c r="G70" s="102" t="s">
        <v>282</v>
      </c>
      <c r="H70" s="102" t="s">
        <v>283</v>
      </c>
      <c r="I70" s="102" t="s">
        <v>318</v>
      </c>
      <c r="J70" s="102" t="s">
        <v>26</v>
      </c>
      <c r="L70" s="229" t="s">
        <v>11573</v>
      </c>
      <c r="M70" s="229" t="s">
        <v>11574</v>
      </c>
      <c r="O70" s="102">
        <v>1.0</v>
      </c>
      <c r="S70" s="229" t="s">
        <v>11575</v>
      </c>
      <c r="T70" s="244">
        <f t="shared" si="1"/>
        <v>2</v>
      </c>
      <c r="U70" s="193" t="str">
        <f>IF(ISNUMBER(MATCH(B70, 'Sprint 2'!B:B, 0)), "มาจาก Sprint 2", "")</f>
        <v/>
      </c>
    </row>
    <row r="71">
      <c r="A71" s="102" t="s">
        <v>310</v>
      </c>
      <c r="B71" s="102" t="s">
        <v>11191</v>
      </c>
      <c r="C71" s="229" t="s">
        <v>11192</v>
      </c>
      <c r="D71" s="102" t="s">
        <v>11193</v>
      </c>
      <c r="E71" s="102" t="s">
        <v>556</v>
      </c>
      <c r="F71" s="102" t="s">
        <v>557</v>
      </c>
      <c r="G71" s="102" t="s">
        <v>353</v>
      </c>
      <c r="H71" s="102" t="s">
        <v>354</v>
      </c>
      <c r="I71" s="102" t="s">
        <v>284</v>
      </c>
      <c r="J71" s="102" t="s">
        <v>454</v>
      </c>
      <c r="L71" s="229" t="s">
        <v>11194</v>
      </c>
      <c r="M71" s="229" t="s">
        <v>11385</v>
      </c>
      <c r="N71" s="229" t="s">
        <v>11184</v>
      </c>
      <c r="O71" s="102">
        <v>5.0</v>
      </c>
      <c r="P71" s="102" t="s">
        <v>538</v>
      </c>
      <c r="T71" s="244">
        <f t="shared" si="1"/>
        <v>24</v>
      </c>
      <c r="U71" s="193" t="str">
        <f>IF(ISNUMBER(MATCH(B71, 'Sprint 2'!B:B, 0)), "มาจาก Sprint 2", "")</f>
        <v/>
      </c>
    </row>
    <row r="72">
      <c r="A72" s="102" t="s">
        <v>310</v>
      </c>
      <c r="B72" s="102" t="s">
        <v>11195</v>
      </c>
      <c r="C72" s="229" t="s">
        <v>11196</v>
      </c>
      <c r="D72" s="102" t="s">
        <v>11197</v>
      </c>
      <c r="E72" s="102" t="s">
        <v>10234</v>
      </c>
      <c r="F72" s="102" t="s">
        <v>565</v>
      </c>
      <c r="G72" s="102" t="s">
        <v>353</v>
      </c>
      <c r="H72" s="102" t="s">
        <v>354</v>
      </c>
      <c r="I72" s="102" t="s">
        <v>284</v>
      </c>
      <c r="J72" s="102" t="s">
        <v>454</v>
      </c>
      <c r="L72" s="229" t="s">
        <v>11198</v>
      </c>
      <c r="M72" s="229" t="s">
        <v>11385</v>
      </c>
      <c r="N72" s="229" t="s">
        <v>11199</v>
      </c>
      <c r="O72" s="102">
        <v>3.0</v>
      </c>
      <c r="T72" s="244">
        <f t="shared" si="1"/>
        <v>8</v>
      </c>
      <c r="U72" s="193" t="str">
        <f>IF(ISNUMBER(MATCH(B72, 'Sprint 2'!B:B, 0)), "มาจาก Sprint 2", "")</f>
        <v/>
      </c>
    </row>
    <row r="73">
      <c r="A73" s="102" t="s">
        <v>332</v>
      </c>
      <c r="B73" s="102" t="s">
        <v>11576</v>
      </c>
      <c r="C73" s="229" t="s">
        <v>11577</v>
      </c>
      <c r="D73" s="102" t="s">
        <v>11578</v>
      </c>
      <c r="E73" s="102" t="s">
        <v>556</v>
      </c>
      <c r="F73" s="102" t="s">
        <v>557</v>
      </c>
      <c r="G73" s="102" t="s">
        <v>280</v>
      </c>
      <c r="H73" s="102" t="s">
        <v>281</v>
      </c>
      <c r="I73" s="102" t="s">
        <v>284</v>
      </c>
      <c r="J73" s="102" t="s">
        <v>336</v>
      </c>
      <c r="L73" s="229" t="s">
        <v>11579</v>
      </c>
      <c r="M73" s="229" t="s">
        <v>11438</v>
      </c>
      <c r="N73" s="229" t="s">
        <v>10112</v>
      </c>
      <c r="T73" s="244">
        <f t="shared" si="1"/>
        <v>0</v>
      </c>
      <c r="U73" s="193" t="str">
        <f>IF(ISNUMBER(MATCH(B73, 'Sprint 2'!B:B, 0)), "มาจาก Sprint 2", "")</f>
        <v/>
      </c>
    </row>
    <row r="74">
      <c r="A74" s="102" t="s">
        <v>332</v>
      </c>
      <c r="B74" s="102" t="s">
        <v>11580</v>
      </c>
      <c r="C74" s="229" t="s">
        <v>11581</v>
      </c>
      <c r="D74" s="102" t="s">
        <v>11582</v>
      </c>
      <c r="E74" s="102" t="s">
        <v>282</v>
      </c>
      <c r="F74" s="102" t="s">
        <v>283</v>
      </c>
      <c r="G74" s="102" t="s">
        <v>282</v>
      </c>
      <c r="H74" s="102" t="s">
        <v>283</v>
      </c>
      <c r="I74" s="102" t="s">
        <v>515</v>
      </c>
      <c r="J74" s="102" t="s">
        <v>336</v>
      </c>
      <c r="L74" s="229" t="s">
        <v>11583</v>
      </c>
      <c r="M74" s="229" t="s">
        <v>11584</v>
      </c>
      <c r="T74" s="244">
        <f t="shared" si="1"/>
        <v>0</v>
      </c>
      <c r="U74" s="193" t="str">
        <f>IF(ISNUMBER(MATCH(B74, 'Sprint 2'!B:B, 0)), "มาจาก Sprint 2", "")</f>
        <v/>
      </c>
    </row>
    <row r="75">
      <c r="A75" s="102" t="s">
        <v>310</v>
      </c>
      <c r="B75" s="102" t="s">
        <v>11585</v>
      </c>
      <c r="C75" s="229" t="s">
        <v>11586</v>
      </c>
      <c r="D75" s="102" t="s">
        <v>11587</v>
      </c>
      <c r="E75" s="102" t="s">
        <v>11300</v>
      </c>
      <c r="F75" s="102" t="s">
        <v>11301</v>
      </c>
      <c r="G75" s="102" t="s">
        <v>282</v>
      </c>
      <c r="H75" s="102" t="s">
        <v>283</v>
      </c>
      <c r="I75" s="102" t="s">
        <v>284</v>
      </c>
      <c r="J75" s="102" t="s">
        <v>26</v>
      </c>
      <c r="L75" s="229" t="s">
        <v>11588</v>
      </c>
      <c r="M75" s="229" t="s">
        <v>11569</v>
      </c>
      <c r="O75" s="102">
        <v>2.0</v>
      </c>
      <c r="T75" s="244">
        <f t="shared" si="1"/>
        <v>4</v>
      </c>
      <c r="U75" s="193" t="str">
        <f>IF(ISNUMBER(MATCH(B75, 'Sprint 2'!B:B, 0)), "มาจาก Sprint 2", "")</f>
        <v/>
      </c>
    </row>
    <row r="76">
      <c r="A76" s="102" t="s">
        <v>310</v>
      </c>
      <c r="B76" s="102" t="s">
        <v>10777</v>
      </c>
      <c r="C76" s="229" t="s">
        <v>10778</v>
      </c>
      <c r="D76" s="102" t="s">
        <v>11200</v>
      </c>
      <c r="G76" s="102" t="s">
        <v>10144</v>
      </c>
      <c r="H76" s="102" t="s">
        <v>305</v>
      </c>
      <c r="I76" s="102" t="s">
        <v>1921</v>
      </c>
      <c r="J76" s="102" t="s">
        <v>63</v>
      </c>
      <c r="L76" s="229" t="s">
        <v>10780</v>
      </c>
      <c r="M76" s="229" t="s">
        <v>11559</v>
      </c>
      <c r="O76" s="230"/>
      <c r="P76" s="102" t="s">
        <v>27</v>
      </c>
      <c r="T76" s="244">
        <f t="shared" si="1"/>
        <v>0</v>
      </c>
      <c r="U76" s="193" t="str">
        <f>IF(ISNUMBER(MATCH(B76, 'Sprint 2'!B:B, 0)), "มาจาก Sprint 2", "")</f>
        <v/>
      </c>
    </row>
    <row r="77">
      <c r="A77" s="102" t="s">
        <v>310</v>
      </c>
      <c r="B77" s="102" t="s">
        <v>11589</v>
      </c>
      <c r="C77" s="229" t="s">
        <v>11590</v>
      </c>
      <c r="D77" s="102" t="s">
        <v>11591</v>
      </c>
      <c r="G77" s="102" t="s">
        <v>10144</v>
      </c>
      <c r="H77" s="102" t="s">
        <v>305</v>
      </c>
      <c r="I77" s="102" t="s">
        <v>1921</v>
      </c>
      <c r="J77" s="102" t="s">
        <v>63</v>
      </c>
      <c r="L77" s="229" t="s">
        <v>11592</v>
      </c>
      <c r="M77" s="229" t="s">
        <v>11559</v>
      </c>
      <c r="O77" s="230"/>
      <c r="P77" s="102" t="s">
        <v>27</v>
      </c>
      <c r="T77" s="244">
        <f t="shared" si="1"/>
        <v>0</v>
      </c>
      <c r="U77" s="193" t="str">
        <f>IF(ISNUMBER(MATCH(B77, 'Sprint 2'!B:B, 0)), "มาจาก Sprint 2", "")</f>
        <v/>
      </c>
    </row>
    <row r="78">
      <c r="A78" s="102" t="s">
        <v>310</v>
      </c>
      <c r="B78" s="102" t="s">
        <v>11201</v>
      </c>
      <c r="C78" s="229" t="s">
        <v>11202</v>
      </c>
      <c r="D78" s="102" t="s">
        <v>11203</v>
      </c>
      <c r="E78" s="102" t="s">
        <v>353</v>
      </c>
      <c r="F78" s="102" t="s">
        <v>354</v>
      </c>
      <c r="G78" s="102" t="s">
        <v>10144</v>
      </c>
      <c r="H78" s="102" t="s">
        <v>305</v>
      </c>
      <c r="I78" s="102" t="s">
        <v>284</v>
      </c>
      <c r="J78" s="102" t="s">
        <v>34</v>
      </c>
      <c r="L78" s="229" t="s">
        <v>11204</v>
      </c>
      <c r="M78" s="229" t="s">
        <v>11593</v>
      </c>
      <c r="O78" s="102">
        <v>5.0</v>
      </c>
      <c r="P78" s="102" t="s">
        <v>27</v>
      </c>
      <c r="S78" s="229" t="s">
        <v>4886</v>
      </c>
      <c r="T78" s="244">
        <f t="shared" si="1"/>
        <v>24</v>
      </c>
      <c r="U78" s="193" t="str">
        <f>IF(ISNUMBER(MATCH(B78, 'Sprint 2'!B:B, 0)), "มาจาก Sprint 2", "")</f>
        <v/>
      </c>
    </row>
    <row r="79">
      <c r="A79" s="102" t="s">
        <v>310</v>
      </c>
      <c r="B79" s="102" t="s">
        <v>11594</v>
      </c>
      <c r="C79" s="229" t="s">
        <v>11595</v>
      </c>
      <c r="D79" s="102" t="s">
        <v>11596</v>
      </c>
      <c r="E79" s="102" t="s">
        <v>10144</v>
      </c>
      <c r="F79" s="102" t="s">
        <v>305</v>
      </c>
      <c r="G79" s="102" t="s">
        <v>10144</v>
      </c>
      <c r="H79" s="102" t="s">
        <v>305</v>
      </c>
      <c r="I79" s="102" t="s">
        <v>284</v>
      </c>
      <c r="J79" s="102" t="s">
        <v>26</v>
      </c>
      <c r="L79" s="229" t="s">
        <v>11597</v>
      </c>
      <c r="M79" s="229" t="s">
        <v>11598</v>
      </c>
      <c r="O79" s="102">
        <v>8.0</v>
      </c>
      <c r="P79" s="102" t="s">
        <v>27</v>
      </c>
      <c r="S79" s="229" t="s">
        <v>10423</v>
      </c>
      <c r="T79" s="244">
        <f t="shared" si="1"/>
        <v>32</v>
      </c>
      <c r="U79" s="193" t="str">
        <f>IF(ISNUMBER(MATCH(B79, 'Sprint 2'!B:B, 0)), "มาจาก Sprint 2", "")</f>
        <v/>
      </c>
    </row>
    <row r="80">
      <c r="A80" s="102" t="s">
        <v>310</v>
      </c>
      <c r="B80" s="102" t="s">
        <v>11599</v>
      </c>
      <c r="C80" s="229" t="s">
        <v>11600</v>
      </c>
      <c r="D80" s="102" t="s">
        <v>11601</v>
      </c>
      <c r="E80" s="102" t="s">
        <v>11430</v>
      </c>
      <c r="F80" s="102" t="s">
        <v>11431</v>
      </c>
      <c r="G80" s="102" t="s">
        <v>282</v>
      </c>
      <c r="H80" s="102" t="s">
        <v>283</v>
      </c>
      <c r="I80" s="102" t="s">
        <v>284</v>
      </c>
      <c r="J80" s="102" t="s">
        <v>26</v>
      </c>
      <c r="L80" s="229" t="s">
        <v>11602</v>
      </c>
      <c r="M80" s="229" t="s">
        <v>11569</v>
      </c>
      <c r="O80" s="102">
        <v>2.0</v>
      </c>
      <c r="T80" s="244">
        <f t="shared" si="1"/>
        <v>4</v>
      </c>
      <c r="U80" s="193" t="str">
        <f>IF(ISNUMBER(MATCH(B80, 'Sprint 2'!B:B, 0)), "มาจาก Sprint 2", "")</f>
        <v/>
      </c>
    </row>
    <row r="81">
      <c r="A81" s="102" t="s">
        <v>310</v>
      </c>
      <c r="B81" s="102" t="s">
        <v>11603</v>
      </c>
      <c r="C81" s="229" t="s">
        <v>11604</v>
      </c>
      <c r="D81" s="102" t="s">
        <v>11605</v>
      </c>
      <c r="E81" s="102" t="s">
        <v>282</v>
      </c>
      <c r="F81" s="102" t="s">
        <v>283</v>
      </c>
      <c r="G81" s="102" t="s">
        <v>282</v>
      </c>
      <c r="H81" s="102" t="s">
        <v>283</v>
      </c>
      <c r="I81" s="102" t="s">
        <v>284</v>
      </c>
      <c r="J81" s="102" t="s">
        <v>26</v>
      </c>
      <c r="L81" s="229" t="s">
        <v>11606</v>
      </c>
      <c r="M81" s="229" t="s">
        <v>11607</v>
      </c>
      <c r="N81" s="229" t="s">
        <v>11384</v>
      </c>
      <c r="O81" s="102">
        <v>3.0</v>
      </c>
      <c r="S81" s="229" t="s">
        <v>10420</v>
      </c>
      <c r="T81" s="244">
        <f t="shared" si="1"/>
        <v>8</v>
      </c>
      <c r="U81" s="193" t="str">
        <f>IF(ISNUMBER(MATCH(B81, 'Sprint 2'!B:B, 0)), "มาจาก Sprint 2", "")</f>
        <v/>
      </c>
    </row>
    <row r="82">
      <c r="A82" s="102" t="s">
        <v>310</v>
      </c>
      <c r="B82" s="102" t="s">
        <v>11608</v>
      </c>
      <c r="C82" s="229" t="s">
        <v>11609</v>
      </c>
      <c r="D82" s="102" t="s">
        <v>11610</v>
      </c>
      <c r="E82" s="102" t="s">
        <v>11430</v>
      </c>
      <c r="F82" s="102" t="s">
        <v>11431</v>
      </c>
      <c r="G82" s="102" t="s">
        <v>282</v>
      </c>
      <c r="H82" s="102" t="s">
        <v>283</v>
      </c>
      <c r="I82" s="102" t="s">
        <v>284</v>
      </c>
      <c r="J82" s="102" t="s">
        <v>26</v>
      </c>
      <c r="L82" s="229" t="s">
        <v>11611</v>
      </c>
      <c r="M82" s="229" t="s">
        <v>11569</v>
      </c>
      <c r="O82" s="102">
        <v>2.0</v>
      </c>
      <c r="T82" s="244">
        <f t="shared" si="1"/>
        <v>4</v>
      </c>
      <c r="U82" s="193" t="str">
        <f>IF(ISNUMBER(MATCH(B82, 'Sprint 2'!B:B, 0)), "มาจาก Sprint 2", "")</f>
        <v/>
      </c>
    </row>
    <row r="83">
      <c r="A83" s="102" t="s">
        <v>4410</v>
      </c>
      <c r="B83" s="102" t="s">
        <v>11205</v>
      </c>
      <c r="C83" s="229" t="s">
        <v>11206</v>
      </c>
      <c r="D83" s="102" t="s">
        <v>11207</v>
      </c>
      <c r="E83" s="102" t="s">
        <v>10234</v>
      </c>
      <c r="F83" s="102" t="s">
        <v>565</v>
      </c>
      <c r="G83" s="102" t="s">
        <v>353</v>
      </c>
      <c r="H83" s="102" t="s">
        <v>354</v>
      </c>
      <c r="I83" s="102" t="s">
        <v>284</v>
      </c>
      <c r="J83" s="102" t="s">
        <v>454</v>
      </c>
      <c r="L83" s="229" t="s">
        <v>11208</v>
      </c>
      <c r="M83" s="229" t="s">
        <v>11612</v>
      </c>
      <c r="O83" s="102">
        <v>3.0</v>
      </c>
      <c r="P83" s="102" t="s">
        <v>777</v>
      </c>
      <c r="T83" s="244">
        <f t="shared" si="1"/>
        <v>8</v>
      </c>
      <c r="U83" s="193" t="str">
        <f>IF(ISNUMBER(MATCH(B83, 'Sprint 2'!B:B, 0)), "มาจาก Sprint 2", "")</f>
        <v/>
      </c>
    </row>
    <row r="84">
      <c r="A84" s="102" t="s">
        <v>4410</v>
      </c>
      <c r="B84" s="102" t="s">
        <v>11209</v>
      </c>
      <c r="C84" s="229" t="s">
        <v>11210</v>
      </c>
      <c r="D84" s="102" t="s">
        <v>11211</v>
      </c>
      <c r="E84" s="102" t="s">
        <v>10234</v>
      </c>
      <c r="F84" s="102" t="s">
        <v>565</v>
      </c>
      <c r="G84" s="102" t="s">
        <v>353</v>
      </c>
      <c r="H84" s="102" t="s">
        <v>354</v>
      </c>
      <c r="I84" s="102" t="s">
        <v>284</v>
      </c>
      <c r="J84" s="102" t="s">
        <v>454</v>
      </c>
      <c r="L84" s="229" t="s">
        <v>11212</v>
      </c>
      <c r="M84" s="229" t="s">
        <v>11613</v>
      </c>
      <c r="O84" s="102">
        <v>3.0</v>
      </c>
      <c r="T84" s="244">
        <f t="shared" si="1"/>
        <v>8</v>
      </c>
      <c r="U84" s="193" t="str">
        <f>IF(ISNUMBER(MATCH(B84, 'Sprint 2'!B:B, 0)), "มาจาก Sprint 2", "")</f>
        <v/>
      </c>
    </row>
    <row r="85">
      <c r="A85" s="102" t="s">
        <v>4410</v>
      </c>
      <c r="B85" s="102" t="s">
        <v>11214</v>
      </c>
      <c r="C85" s="229" t="s">
        <v>11215</v>
      </c>
      <c r="D85" s="102" t="s">
        <v>11216</v>
      </c>
      <c r="E85" s="102" t="s">
        <v>11430</v>
      </c>
      <c r="F85" s="102" t="s">
        <v>11431</v>
      </c>
      <c r="G85" s="102" t="s">
        <v>353</v>
      </c>
      <c r="H85" s="102" t="s">
        <v>354</v>
      </c>
      <c r="I85" s="102" t="s">
        <v>284</v>
      </c>
      <c r="J85" s="102" t="s">
        <v>454</v>
      </c>
      <c r="L85" s="229" t="s">
        <v>11217</v>
      </c>
      <c r="M85" s="229" t="s">
        <v>11614</v>
      </c>
      <c r="O85" s="102">
        <v>2.0</v>
      </c>
      <c r="T85" s="244">
        <f t="shared" si="1"/>
        <v>4</v>
      </c>
      <c r="U85" s="193" t="str">
        <f>IF(ISNUMBER(MATCH(B85, 'Sprint 2'!B:B, 0)), "มาจาก Sprint 2", "")</f>
        <v/>
      </c>
    </row>
    <row r="86">
      <c r="A86" s="102" t="s">
        <v>4410</v>
      </c>
      <c r="B86" s="102" t="s">
        <v>11219</v>
      </c>
      <c r="C86" s="229" t="s">
        <v>11220</v>
      </c>
      <c r="D86" s="102" t="s">
        <v>11221</v>
      </c>
      <c r="E86" s="102" t="s">
        <v>495</v>
      </c>
      <c r="F86" s="102" t="s">
        <v>496</v>
      </c>
      <c r="G86" s="102" t="s">
        <v>353</v>
      </c>
      <c r="H86" s="102" t="s">
        <v>354</v>
      </c>
      <c r="I86" s="102" t="s">
        <v>284</v>
      </c>
      <c r="J86" s="102" t="s">
        <v>454</v>
      </c>
      <c r="L86" s="229" t="s">
        <v>11222</v>
      </c>
      <c r="M86" s="229" t="s">
        <v>11615</v>
      </c>
      <c r="O86" s="102">
        <v>2.0</v>
      </c>
      <c r="P86" s="102" t="s">
        <v>777</v>
      </c>
      <c r="T86" s="244">
        <f t="shared" si="1"/>
        <v>4</v>
      </c>
      <c r="U86" s="193" t="str">
        <f>IF(ISNUMBER(MATCH(B86, 'Sprint 2'!B:B, 0)), "มาจาก Sprint 2", "")</f>
        <v/>
      </c>
    </row>
    <row r="87">
      <c r="A87" s="102" t="s">
        <v>4410</v>
      </c>
      <c r="B87" s="102" t="s">
        <v>11223</v>
      </c>
      <c r="C87" s="229" t="s">
        <v>11224</v>
      </c>
      <c r="D87" s="102" t="s">
        <v>11225</v>
      </c>
      <c r="E87" s="102" t="s">
        <v>495</v>
      </c>
      <c r="F87" s="102" t="s">
        <v>496</v>
      </c>
      <c r="G87" s="102" t="s">
        <v>353</v>
      </c>
      <c r="H87" s="102" t="s">
        <v>354</v>
      </c>
      <c r="I87" s="102" t="s">
        <v>284</v>
      </c>
      <c r="J87" s="102" t="s">
        <v>454</v>
      </c>
      <c r="L87" s="229" t="s">
        <v>11226</v>
      </c>
      <c r="M87" s="229" t="s">
        <v>11615</v>
      </c>
      <c r="O87" s="102">
        <v>3.0</v>
      </c>
      <c r="P87" s="102" t="s">
        <v>11228</v>
      </c>
      <c r="Q87" s="102" t="s">
        <v>435</v>
      </c>
      <c r="T87" s="244">
        <f t="shared" si="1"/>
        <v>8</v>
      </c>
      <c r="U87" s="193" t="str">
        <f>IF(ISNUMBER(MATCH(B87, 'Sprint 2'!B:B, 0)), "มาจาก Sprint 2", "")</f>
        <v/>
      </c>
    </row>
    <row r="88">
      <c r="A88" s="102" t="s">
        <v>310</v>
      </c>
      <c r="B88" s="102" t="s">
        <v>11229</v>
      </c>
      <c r="C88" s="229" t="s">
        <v>11230</v>
      </c>
      <c r="D88" s="102" t="s">
        <v>11231</v>
      </c>
      <c r="E88" s="102" t="s">
        <v>10144</v>
      </c>
      <c r="F88" s="102" t="s">
        <v>305</v>
      </c>
      <c r="G88" s="102" t="s">
        <v>10144</v>
      </c>
      <c r="H88" s="102" t="s">
        <v>305</v>
      </c>
      <c r="I88" s="102" t="s">
        <v>648</v>
      </c>
      <c r="J88" s="102" t="s">
        <v>63</v>
      </c>
      <c r="L88" s="229" t="s">
        <v>11232</v>
      </c>
      <c r="M88" s="229" t="s">
        <v>11616</v>
      </c>
      <c r="O88" s="102">
        <v>5.0</v>
      </c>
      <c r="P88" s="102" t="s">
        <v>27</v>
      </c>
      <c r="S88" s="229" t="s">
        <v>4892</v>
      </c>
      <c r="T88" s="244">
        <f t="shared" si="1"/>
        <v>24</v>
      </c>
      <c r="U88" s="193" t="str">
        <f>IF(ISNUMBER(MATCH(B88, 'Sprint 2'!B:B, 0)), "มาจาก Sprint 2", "")</f>
        <v/>
      </c>
    </row>
    <row r="89">
      <c r="A89" s="102" t="s">
        <v>310</v>
      </c>
      <c r="B89" s="102" t="s">
        <v>11617</v>
      </c>
      <c r="C89" s="229" t="s">
        <v>11618</v>
      </c>
      <c r="D89" s="102" t="s">
        <v>11619</v>
      </c>
      <c r="E89" s="102" t="s">
        <v>282</v>
      </c>
      <c r="F89" s="102" t="s">
        <v>283</v>
      </c>
      <c r="G89" s="102" t="s">
        <v>282</v>
      </c>
      <c r="H89" s="102" t="s">
        <v>283</v>
      </c>
      <c r="I89" s="102" t="s">
        <v>515</v>
      </c>
      <c r="J89" s="102" t="s">
        <v>26</v>
      </c>
      <c r="L89" s="229" t="s">
        <v>11620</v>
      </c>
      <c r="M89" s="229" t="s">
        <v>11621</v>
      </c>
      <c r="O89" s="102">
        <v>2.0</v>
      </c>
      <c r="P89" s="102" t="s">
        <v>7229</v>
      </c>
      <c r="Q89" s="102" t="s">
        <v>11622</v>
      </c>
      <c r="S89" s="229" t="s">
        <v>10420</v>
      </c>
      <c r="T89" s="244">
        <f t="shared" si="1"/>
        <v>4</v>
      </c>
      <c r="U89" s="193" t="str">
        <f>IF(ISNUMBER(MATCH(B89, 'Sprint 2'!B:B, 0)), "มาจาก Sprint 2", "")</f>
        <v/>
      </c>
    </row>
    <row r="90">
      <c r="A90" s="102" t="s">
        <v>310</v>
      </c>
      <c r="B90" s="102" t="s">
        <v>11623</v>
      </c>
      <c r="C90" s="229" t="s">
        <v>11624</v>
      </c>
      <c r="D90" s="102" t="s">
        <v>11625</v>
      </c>
      <c r="E90" s="102" t="s">
        <v>11300</v>
      </c>
      <c r="F90" s="102" t="s">
        <v>11301</v>
      </c>
      <c r="G90" s="102" t="s">
        <v>282</v>
      </c>
      <c r="H90" s="102" t="s">
        <v>283</v>
      </c>
      <c r="I90" s="102" t="s">
        <v>284</v>
      </c>
      <c r="J90" s="102" t="s">
        <v>26</v>
      </c>
      <c r="L90" s="229" t="s">
        <v>11626</v>
      </c>
      <c r="M90" s="229" t="s">
        <v>11569</v>
      </c>
      <c r="O90" s="102">
        <v>2.0</v>
      </c>
      <c r="T90" s="244">
        <f t="shared" si="1"/>
        <v>4</v>
      </c>
      <c r="U90" s="193" t="str">
        <f>IF(ISNUMBER(MATCH(B90, 'Sprint 2'!B:B, 0)), "มาจาก Sprint 2", "")</f>
        <v/>
      </c>
    </row>
    <row r="91">
      <c r="A91" s="102" t="s">
        <v>310</v>
      </c>
      <c r="B91" s="102" t="s">
        <v>11627</v>
      </c>
      <c r="C91" s="229" t="s">
        <v>11628</v>
      </c>
      <c r="D91" s="102" t="s">
        <v>11629</v>
      </c>
      <c r="E91" s="102" t="s">
        <v>282</v>
      </c>
      <c r="F91" s="102" t="s">
        <v>283</v>
      </c>
      <c r="G91" s="102" t="s">
        <v>282</v>
      </c>
      <c r="H91" s="102" t="s">
        <v>283</v>
      </c>
      <c r="I91" s="102" t="s">
        <v>515</v>
      </c>
      <c r="J91" s="102" t="s">
        <v>26</v>
      </c>
      <c r="L91" s="229" t="s">
        <v>11630</v>
      </c>
      <c r="M91" s="229" t="s">
        <v>11631</v>
      </c>
      <c r="O91" s="102">
        <v>5.0</v>
      </c>
      <c r="P91" s="102" t="s">
        <v>777</v>
      </c>
      <c r="S91" s="229" t="s">
        <v>10421</v>
      </c>
      <c r="T91" s="244">
        <f t="shared" si="1"/>
        <v>24</v>
      </c>
      <c r="U91" s="193" t="str">
        <f>IF(ISNUMBER(MATCH(B91, 'Sprint 2'!B:B, 0)), "มาจาก Sprint 2", "")</f>
        <v/>
      </c>
    </row>
    <row r="92">
      <c r="A92" s="102" t="s">
        <v>332</v>
      </c>
      <c r="B92" s="102" t="s">
        <v>11632</v>
      </c>
      <c r="C92" s="229" t="s">
        <v>11633</v>
      </c>
      <c r="D92" s="102" t="s">
        <v>11634</v>
      </c>
      <c r="E92" s="102" t="s">
        <v>282</v>
      </c>
      <c r="F92" s="102" t="s">
        <v>283</v>
      </c>
      <c r="G92" s="102" t="s">
        <v>316</v>
      </c>
      <c r="H92" s="102" t="s">
        <v>317</v>
      </c>
      <c r="I92" s="102" t="s">
        <v>515</v>
      </c>
      <c r="J92" s="102" t="s">
        <v>1540</v>
      </c>
      <c r="L92" s="229" t="s">
        <v>11635</v>
      </c>
      <c r="M92" s="229" t="s">
        <v>11636</v>
      </c>
      <c r="T92" s="244">
        <f t="shared" si="1"/>
        <v>0</v>
      </c>
      <c r="U92" s="193" t="str">
        <f>IF(ISNUMBER(MATCH(B92, 'Sprint 2'!B:B, 0)), "มาจาก Sprint 2", "")</f>
        <v/>
      </c>
    </row>
    <row r="93">
      <c r="A93" s="102" t="s">
        <v>310</v>
      </c>
      <c r="B93" s="102" t="s">
        <v>11637</v>
      </c>
      <c r="C93" s="229" t="s">
        <v>11638</v>
      </c>
      <c r="D93" s="102" t="s">
        <v>11639</v>
      </c>
      <c r="E93" s="102" t="s">
        <v>11430</v>
      </c>
      <c r="F93" s="102" t="s">
        <v>11431</v>
      </c>
      <c r="G93" s="102" t="s">
        <v>282</v>
      </c>
      <c r="H93" s="102" t="s">
        <v>283</v>
      </c>
      <c r="I93" s="102" t="s">
        <v>284</v>
      </c>
      <c r="J93" s="102" t="s">
        <v>26</v>
      </c>
      <c r="L93" s="229" t="s">
        <v>11640</v>
      </c>
      <c r="M93" s="229" t="s">
        <v>11641</v>
      </c>
      <c r="N93" s="229" t="s">
        <v>11642</v>
      </c>
      <c r="O93" s="102">
        <v>0.0</v>
      </c>
      <c r="P93" s="102" t="s">
        <v>777</v>
      </c>
      <c r="S93" s="229" t="s">
        <v>4783</v>
      </c>
      <c r="T93" s="102">
        <v>0.0</v>
      </c>
      <c r="U93" s="193" t="str">
        <f>IF(ISNUMBER(MATCH(B93, 'Sprint 2'!B:B, 0)), "มาจาก Sprint 2", "")</f>
        <v>มาจาก Sprint 2</v>
      </c>
      <c r="V93" s="102" t="s">
        <v>11643</v>
      </c>
    </row>
    <row r="94">
      <c r="A94" s="102" t="s">
        <v>332</v>
      </c>
      <c r="B94" s="102" t="s">
        <v>11644</v>
      </c>
      <c r="C94" s="229" t="s">
        <v>11645</v>
      </c>
      <c r="D94" s="102" t="s">
        <v>11646</v>
      </c>
      <c r="E94" s="102" t="s">
        <v>556</v>
      </c>
      <c r="F94" s="102" t="s">
        <v>557</v>
      </c>
      <c r="G94" s="102" t="s">
        <v>282</v>
      </c>
      <c r="H94" s="102" t="s">
        <v>283</v>
      </c>
      <c r="I94" s="102" t="s">
        <v>284</v>
      </c>
      <c r="J94" s="102" t="s">
        <v>336</v>
      </c>
      <c r="L94" s="229" t="s">
        <v>11647</v>
      </c>
      <c r="M94" s="229" t="s">
        <v>11648</v>
      </c>
      <c r="P94" s="102" t="s">
        <v>10358</v>
      </c>
      <c r="T94" s="244">
        <f>SWITCH(O94,
  1, 2,
  2, 4,
  3, 8,
  5, 24,
  8, 32,
  0
)</f>
        <v>0</v>
      </c>
      <c r="U94" s="193" t="str">
        <f>IF(ISNUMBER(MATCH(B94, 'Sprint 2'!B:B, 0)), "มาจาก Sprint 2", "")</f>
        <v/>
      </c>
    </row>
    <row r="95">
      <c r="A95" s="102" t="s">
        <v>4410</v>
      </c>
      <c r="B95" s="102" t="s">
        <v>11240</v>
      </c>
      <c r="C95" s="229" t="s">
        <v>11241</v>
      </c>
      <c r="D95" s="102" t="s">
        <v>11242</v>
      </c>
      <c r="E95" s="102" t="s">
        <v>513</v>
      </c>
      <c r="F95" s="102" t="s">
        <v>514</v>
      </c>
      <c r="G95" s="102" t="s">
        <v>353</v>
      </c>
      <c r="H95" s="102" t="s">
        <v>354</v>
      </c>
      <c r="I95" s="102" t="s">
        <v>284</v>
      </c>
      <c r="J95" s="102" t="s">
        <v>454</v>
      </c>
      <c r="L95" s="229" t="s">
        <v>11243</v>
      </c>
      <c r="M95" s="229" t="s">
        <v>11649</v>
      </c>
      <c r="N95" s="229" t="s">
        <v>11244</v>
      </c>
      <c r="O95" s="102">
        <v>0.0</v>
      </c>
      <c r="P95" s="102" t="s">
        <v>8699</v>
      </c>
      <c r="S95" s="229" t="s">
        <v>4791</v>
      </c>
      <c r="T95" s="102">
        <v>0.0</v>
      </c>
      <c r="U95" s="193" t="str">
        <f>IF(ISNUMBER(MATCH(B95, 'Sprint 2'!B:B, 0)), "มาจาก Sprint 2", "")</f>
        <v>มาจาก Sprint 2</v>
      </c>
      <c r="V95" s="102" t="s">
        <v>11650</v>
      </c>
    </row>
    <row r="96">
      <c r="A96" s="102" t="s">
        <v>276</v>
      </c>
      <c r="B96" s="102" t="s">
        <v>11245</v>
      </c>
      <c r="C96" s="229" t="s">
        <v>11246</v>
      </c>
      <c r="D96" s="102" t="s">
        <v>11247</v>
      </c>
      <c r="G96" s="102" t="s">
        <v>521</v>
      </c>
      <c r="H96" s="102" t="s">
        <v>522</v>
      </c>
      <c r="I96" s="102" t="s">
        <v>284</v>
      </c>
      <c r="J96" s="102" t="s">
        <v>63</v>
      </c>
      <c r="L96" s="229" t="s">
        <v>11248</v>
      </c>
      <c r="M96" s="229" t="s">
        <v>11249</v>
      </c>
      <c r="O96" s="230"/>
      <c r="T96" s="244">
        <f t="shared" ref="T96:T120" si="2">SWITCH(O96,
  1, 2,
  2, 4,
  3, 8,
  5, 24,
  8, 32,
  0
)</f>
        <v>0</v>
      </c>
      <c r="U96" s="193" t="str">
        <f>IF(ISNUMBER(MATCH(B96, 'Sprint 2'!B:B, 0)), "มาจาก Sprint 2", "")</f>
        <v/>
      </c>
    </row>
    <row r="97">
      <c r="A97" s="102" t="s">
        <v>276</v>
      </c>
      <c r="B97" s="102" t="s">
        <v>11250</v>
      </c>
      <c r="C97" s="229" t="s">
        <v>11251</v>
      </c>
      <c r="D97" s="102" t="s">
        <v>11252</v>
      </c>
      <c r="E97" s="102" t="s">
        <v>521</v>
      </c>
      <c r="F97" s="102" t="s">
        <v>522</v>
      </c>
      <c r="G97" s="102" t="s">
        <v>521</v>
      </c>
      <c r="H97" s="102" t="s">
        <v>522</v>
      </c>
      <c r="I97" s="102" t="s">
        <v>284</v>
      </c>
      <c r="J97" s="102" t="s">
        <v>63</v>
      </c>
      <c r="L97" s="229" t="s">
        <v>11248</v>
      </c>
      <c r="M97" s="229" t="s">
        <v>11249</v>
      </c>
      <c r="O97" s="230"/>
      <c r="T97" s="244">
        <f t="shared" si="2"/>
        <v>0</v>
      </c>
      <c r="U97" s="193" t="str">
        <f>IF(ISNUMBER(MATCH(B97, 'Sprint 2'!B:B, 0)), "มาจาก Sprint 2", "")</f>
        <v/>
      </c>
    </row>
    <row r="98">
      <c r="A98" s="102" t="s">
        <v>276</v>
      </c>
      <c r="B98" s="102" t="s">
        <v>11651</v>
      </c>
      <c r="C98" s="229" t="s">
        <v>11652</v>
      </c>
      <c r="D98" s="102" t="s">
        <v>5650</v>
      </c>
      <c r="E98" s="102" t="s">
        <v>391</v>
      </c>
      <c r="F98" s="102" t="s">
        <v>392</v>
      </c>
      <c r="G98" s="102" t="s">
        <v>391</v>
      </c>
      <c r="H98" s="102" t="s">
        <v>392</v>
      </c>
      <c r="I98" s="102" t="s">
        <v>284</v>
      </c>
      <c r="J98" s="102" t="s">
        <v>63</v>
      </c>
      <c r="L98" s="229" t="s">
        <v>11653</v>
      </c>
      <c r="M98" s="229" t="s">
        <v>11654</v>
      </c>
      <c r="O98" s="230"/>
      <c r="T98" s="244">
        <f t="shared" si="2"/>
        <v>0</v>
      </c>
      <c r="U98" s="193" t="str">
        <f>IF(ISNUMBER(MATCH(B98, 'Sprint 2'!B:B, 0)), "มาจาก Sprint 2", "")</f>
        <v>มาจาก Sprint 2</v>
      </c>
    </row>
    <row r="99">
      <c r="A99" s="102" t="s">
        <v>276</v>
      </c>
      <c r="B99" s="102" t="s">
        <v>11655</v>
      </c>
      <c r="C99" s="229" t="s">
        <v>11656</v>
      </c>
      <c r="D99" s="102" t="s">
        <v>5650</v>
      </c>
      <c r="E99" s="102" t="s">
        <v>391</v>
      </c>
      <c r="F99" s="102" t="s">
        <v>392</v>
      </c>
      <c r="G99" s="102" t="s">
        <v>391</v>
      </c>
      <c r="H99" s="102" t="s">
        <v>392</v>
      </c>
      <c r="I99" s="102" t="s">
        <v>284</v>
      </c>
      <c r="J99" s="102" t="s">
        <v>26</v>
      </c>
      <c r="L99" s="229" t="s">
        <v>11653</v>
      </c>
      <c r="M99" s="229" t="s">
        <v>11657</v>
      </c>
      <c r="O99" s="230"/>
      <c r="T99" s="244">
        <f t="shared" si="2"/>
        <v>0</v>
      </c>
      <c r="U99" s="193" t="str">
        <f>IF(ISNUMBER(MATCH(B99, 'Sprint 2'!B:B, 0)), "มาจาก Sprint 2", "")</f>
        <v>มาจาก Sprint 2</v>
      </c>
    </row>
    <row r="100">
      <c r="A100" s="102" t="s">
        <v>276</v>
      </c>
      <c r="B100" s="102" t="s">
        <v>11658</v>
      </c>
      <c r="C100" s="229" t="s">
        <v>11659</v>
      </c>
      <c r="D100" s="102" t="s">
        <v>5650</v>
      </c>
      <c r="E100" s="102" t="s">
        <v>391</v>
      </c>
      <c r="F100" s="102" t="s">
        <v>392</v>
      </c>
      <c r="G100" s="102" t="s">
        <v>391</v>
      </c>
      <c r="H100" s="102" t="s">
        <v>392</v>
      </c>
      <c r="I100" s="102" t="s">
        <v>284</v>
      </c>
      <c r="J100" s="102" t="s">
        <v>26</v>
      </c>
      <c r="L100" s="229" t="s">
        <v>11660</v>
      </c>
      <c r="M100" s="229" t="s">
        <v>11661</v>
      </c>
      <c r="O100" s="230"/>
      <c r="T100" s="244">
        <f t="shared" si="2"/>
        <v>0</v>
      </c>
      <c r="U100" s="193" t="str">
        <f>IF(ISNUMBER(MATCH(B100, 'Sprint 2'!B:B, 0)), "มาจาก Sprint 2", "")</f>
        <v>มาจาก Sprint 2</v>
      </c>
    </row>
    <row r="101">
      <c r="A101" s="102" t="s">
        <v>276</v>
      </c>
      <c r="B101" s="102" t="s">
        <v>11662</v>
      </c>
      <c r="C101" s="229" t="s">
        <v>11663</v>
      </c>
      <c r="D101" s="102" t="s">
        <v>5650</v>
      </c>
      <c r="E101" s="102" t="s">
        <v>391</v>
      </c>
      <c r="F101" s="102" t="s">
        <v>392</v>
      </c>
      <c r="G101" s="102" t="s">
        <v>391</v>
      </c>
      <c r="H101" s="102" t="s">
        <v>392</v>
      </c>
      <c r="I101" s="102" t="s">
        <v>284</v>
      </c>
      <c r="J101" s="102" t="s">
        <v>26</v>
      </c>
      <c r="L101" s="229" t="s">
        <v>11660</v>
      </c>
      <c r="M101" s="229" t="s">
        <v>11661</v>
      </c>
      <c r="O101" s="230"/>
      <c r="T101" s="244">
        <f t="shared" si="2"/>
        <v>0</v>
      </c>
      <c r="U101" s="193" t="str">
        <f>IF(ISNUMBER(MATCH(B101, 'Sprint 2'!B:B, 0)), "มาจาก Sprint 2", "")</f>
        <v>มาจาก Sprint 2</v>
      </c>
    </row>
    <row r="102">
      <c r="A102" s="102" t="s">
        <v>276</v>
      </c>
      <c r="B102" s="102" t="s">
        <v>11664</v>
      </c>
      <c r="C102" s="229" t="s">
        <v>11665</v>
      </c>
      <c r="D102" s="102" t="s">
        <v>11666</v>
      </c>
      <c r="E102" s="102" t="s">
        <v>391</v>
      </c>
      <c r="F102" s="102" t="s">
        <v>392</v>
      </c>
      <c r="G102" s="102" t="s">
        <v>391</v>
      </c>
      <c r="H102" s="102" t="s">
        <v>392</v>
      </c>
      <c r="I102" s="102" t="s">
        <v>284</v>
      </c>
      <c r="J102" s="102" t="s">
        <v>26</v>
      </c>
      <c r="L102" s="229" t="s">
        <v>11660</v>
      </c>
      <c r="M102" s="229" t="s">
        <v>11667</v>
      </c>
      <c r="O102" s="230"/>
      <c r="T102" s="244">
        <f t="shared" si="2"/>
        <v>0</v>
      </c>
      <c r="U102" s="193" t="str">
        <f>IF(ISNUMBER(MATCH(B102, 'Sprint 2'!B:B, 0)), "มาจาก Sprint 2", "")</f>
        <v>มาจาก Sprint 2</v>
      </c>
    </row>
    <row r="103">
      <c r="A103" s="102" t="s">
        <v>276</v>
      </c>
      <c r="B103" s="102" t="s">
        <v>11668</v>
      </c>
      <c r="C103" s="229" t="s">
        <v>11669</v>
      </c>
      <c r="D103" s="102" t="s">
        <v>11666</v>
      </c>
      <c r="E103" s="102" t="s">
        <v>391</v>
      </c>
      <c r="F103" s="102" t="s">
        <v>392</v>
      </c>
      <c r="G103" s="102" t="s">
        <v>391</v>
      </c>
      <c r="H103" s="102" t="s">
        <v>392</v>
      </c>
      <c r="I103" s="102" t="s">
        <v>284</v>
      </c>
      <c r="J103" s="102" t="s">
        <v>26</v>
      </c>
      <c r="L103" s="229" t="s">
        <v>11670</v>
      </c>
      <c r="M103" s="229" t="s">
        <v>11667</v>
      </c>
      <c r="O103" s="230"/>
      <c r="T103" s="244">
        <f t="shared" si="2"/>
        <v>0</v>
      </c>
      <c r="U103" s="193" t="str">
        <f>IF(ISNUMBER(MATCH(B103, 'Sprint 2'!B:B, 0)), "มาจาก Sprint 2", "")</f>
        <v>มาจาก Sprint 2</v>
      </c>
    </row>
    <row r="104">
      <c r="A104" s="102" t="s">
        <v>276</v>
      </c>
      <c r="B104" s="102" t="s">
        <v>11671</v>
      </c>
      <c r="C104" s="229" t="s">
        <v>11672</v>
      </c>
      <c r="D104" s="102" t="s">
        <v>11666</v>
      </c>
      <c r="E104" s="102" t="s">
        <v>391</v>
      </c>
      <c r="F104" s="102" t="s">
        <v>392</v>
      </c>
      <c r="G104" s="102" t="s">
        <v>391</v>
      </c>
      <c r="H104" s="102" t="s">
        <v>392</v>
      </c>
      <c r="I104" s="102" t="s">
        <v>284</v>
      </c>
      <c r="J104" s="102" t="s">
        <v>26</v>
      </c>
      <c r="L104" s="229" t="s">
        <v>11670</v>
      </c>
      <c r="M104" s="229" t="s">
        <v>11667</v>
      </c>
      <c r="O104" s="230"/>
      <c r="T104" s="244">
        <f t="shared" si="2"/>
        <v>0</v>
      </c>
      <c r="U104" s="193" t="str">
        <f>IF(ISNUMBER(MATCH(B104, 'Sprint 2'!B:B, 0)), "มาจาก Sprint 2", "")</f>
        <v>มาจาก Sprint 2</v>
      </c>
    </row>
    <row r="105">
      <c r="A105" s="102" t="s">
        <v>276</v>
      </c>
      <c r="B105" s="102" t="s">
        <v>11673</v>
      </c>
      <c r="C105" s="229" t="s">
        <v>11674</v>
      </c>
      <c r="D105" s="102" t="s">
        <v>11666</v>
      </c>
      <c r="E105" s="102" t="s">
        <v>391</v>
      </c>
      <c r="F105" s="102" t="s">
        <v>392</v>
      </c>
      <c r="G105" s="102" t="s">
        <v>391</v>
      </c>
      <c r="H105" s="102" t="s">
        <v>392</v>
      </c>
      <c r="I105" s="102" t="s">
        <v>284</v>
      </c>
      <c r="J105" s="102" t="s">
        <v>26</v>
      </c>
      <c r="L105" s="229" t="s">
        <v>11670</v>
      </c>
      <c r="M105" s="229" t="s">
        <v>11667</v>
      </c>
      <c r="O105" s="230"/>
      <c r="T105" s="244">
        <f t="shared" si="2"/>
        <v>0</v>
      </c>
      <c r="U105" s="193" t="str">
        <f>IF(ISNUMBER(MATCH(B105, 'Sprint 2'!B:B, 0)), "มาจาก Sprint 2", "")</f>
        <v>มาจาก Sprint 2</v>
      </c>
    </row>
    <row r="106">
      <c r="A106" s="102" t="s">
        <v>276</v>
      </c>
      <c r="B106" s="102" t="s">
        <v>11675</v>
      </c>
      <c r="C106" s="229" t="s">
        <v>11676</v>
      </c>
      <c r="D106" s="102" t="s">
        <v>5650</v>
      </c>
      <c r="E106" s="102" t="s">
        <v>391</v>
      </c>
      <c r="F106" s="102" t="s">
        <v>392</v>
      </c>
      <c r="G106" s="102" t="s">
        <v>391</v>
      </c>
      <c r="H106" s="102" t="s">
        <v>392</v>
      </c>
      <c r="I106" s="102" t="s">
        <v>284</v>
      </c>
      <c r="J106" s="102" t="s">
        <v>26</v>
      </c>
      <c r="L106" s="229" t="s">
        <v>11670</v>
      </c>
      <c r="M106" s="229" t="s">
        <v>11661</v>
      </c>
      <c r="O106" s="230"/>
      <c r="T106" s="244">
        <f t="shared" si="2"/>
        <v>0</v>
      </c>
      <c r="U106" s="193" t="str">
        <f>IF(ISNUMBER(MATCH(B106, 'Sprint 2'!B:B, 0)), "มาจาก Sprint 2", "")</f>
        <v>มาจาก Sprint 2</v>
      </c>
    </row>
    <row r="107">
      <c r="A107" s="102" t="s">
        <v>276</v>
      </c>
      <c r="B107" s="102" t="s">
        <v>11677</v>
      </c>
      <c r="C107" s="229" t="s">
        <v>11678</v>
      </c>
      <c r="D107" s="102" t="s">
        <v>5650</v>
      </c>
      <c r="E107" s="102" t="s">
        <v>391</v>
      </c>
      <c r="F107" s="102" t="s">
        <v>392</v>
      </c>
      <c r="G107" s="102" t="s">
        <v>391</v>
      </c>
      <c r="H107" s="102" t="s">
        <v>392</v>
      </c>
      <c r="I107" s="102" t="s">
        <v>284</v>
      </c>
      <c r="J107" s="102" t="s">
        <v>26</v>
      </c>
      <c r="L107" s="229" t="s">
        <v>11670</v>
      </c>
      <c r="M107" s="229" t="s">
        <v>11679</v>
      </c>
      <c r="O107" s="230"/>
      <c r="T107" s="244">
        <f t="shared" si="2"/>
        <v>0</v>
      </c>
      <c r="U107" s="193" t="str">
        <f>IF(ISNUMBER(MATCH(B107, 'Sprint 2'!B:B, 0)), "มาจาก Sprint 2", "")</f>
        <v>มาจาก Sprint 2</v>
      </c>
    </row>
    <row r="108">
      <c r="A108" s="102" t="s">
        <v>276</v>
      </c>
      <c r="B108" s="102" t="s">
        <v>11680</v>
      </c>
      <c r="C108" s="229" t="s">
        <v>11681</v>
      </c>
      <c r="D108" s="102" t="s">
        <v>5650</v>
      </c>
      <c r="E108" s="102" t="s">
        <v>391</v>
      </c>
      <c r="F108" s="102" t="s">
        <v>392</v>
      </c>
      <c r="G108" s="102" t="s">
        <v>391</v>
      </c>
      <c r="H108" s="102" t="s">
        <v>392</v>
      </c>
      <c r="I108" s="102" t="s">
        <v>284</v>
      </c>
      <c r="J108" s="102" t="s">
        <v>26</v>
      </c>
      <c r="L108" s="229" t="s">
        <v>11256</v>
      </c>
      <c r="M108" s="229" t="s">
        <v>11657</v>
      </c>
      <c r="O108" s="230"/>
      <c r="T108" s="244">
        <f t="shared" si="2"/>
        <v>0</v>
      </c>
      <c r="U108" s="193" t="str">
        <f>IF(ISNUMBER(MATCH(B108, 'Sprint 2'!B:B, 0)), "มาจาก Sprint 2", "")</f>
        <v>มาจาก Sprint 2</v>
      </c>
    </row>
    <row r="109">
      <c r="A109" s="102" t="s">
        <v>276</v>
      </c>
      <c r="B109" s="102" t="s">
        <v>11253</v>
      </c>
      <c r="C109" s="229" t="s">
        <v>11254</v>
      </c>
      <c r="D109" s="102" t="s">
        <v>11255</v>
      </c>
      <c r="G109" s="102" t="s">
        <v>521</v>
      </c>
      <c r="H109" s="102" t="s">
        <v>522</v>
      </c>
      <c r="I109" s="102" t="s">
        <v>284</v>
      </c>
      <c r="J109" s="102" t="s">
        <v>63</v>
      </c>
      <c r="L109" s="229" t="s">
        <v>11256</v>
      </c>
      <c r="M109" s="229" t="s">
        <v>11249</v>
      </c>
      <c r="O109" s="230"/>
      <c r="T109" s="244">
        <f t="shared" si="2"/>
        <v>0</v>
      </c>
      <c r="U109" s="193" t="str">
        <f>IF(ISNUMBER(MATCH(B109, 'Sprint 2'!B:B, 0)), "มาจาก Sprint 2", "")</f>
        <v/>
      </c>
    </row>
    <row r="110">
      <c r="A110" s="102" t="s">
        <v>276</v>
      </c>
      <c r="B110" s="102" t="s">
        <v>11257</v>
      </c>
      <c r="C110" s="229" t="s">
        <v>11258</v>
      </c>
      <c r="D110" s="102" t="s">
        <v>11259</v>
      </c>
      <c r="E110" s="102" t="s">
        <v>521</v>
      </c>
      <c r="F110" s="102" t="s">
        <v>522</v>
      </c>
      <c r="G110" s="102" t="s">
        <v>521</v>
      </c>
      <c r="H110" s="102" t="s">
        <v>522</v>
      </c>
      <c r="I110" s="102" t="s">
        <v>284</v>
      </c>
      <c r="J110" s="102" t="s">
        <v>63</v>
      </c>
      <c r="L110" s="229" t="s">
        <v>11256</v>
      </c>
      <c r="M110" s="229" t="s">
        <v>11249</v>
      </c>
      <c r="O110" s="230"/>
      <c r="T110" s="244">
        <f t="shared" si="2"/>
        <v>0</v>
      </c>
      <c r="U110" s="193" t="str">
        <f>IF(ISNUMBER(MATCH(B110, 'Sprint 2'!B:B, 0)), "มาจาก Sprint 2", "")</f>
        <v/>
      </c>
    </row>
    <row r="111">
      <c r="A111" s="102" t="s">
        <v>276</v>
      </c>
      <c r="B111" s="102" t="s">
        <v>11260</v>
      </c>
      <c r="C111" s="229" t="s">
        <v>11261</v>
      </c>
      <c r="D111" s="102" t="s">
        <v>11262</v>
      </c>
      <c r="E111" s="102" t="s">
        <v>521</v>
      </c>
      <c r="F111" s="102" t="s">
        <v>522</v>
      </c>
      <c r="G111" s="102" t="s">
        <v>521</v>
      </c>
      <c r="H111" s="102" t="s">
        <v>522</v>
      </c>
      <c r="I111" s="102" t="s">
        <v>284</v>
      </c>
      <c r="J111" s="102" t="s">
        <v>63</v>
      </c>
      <c r="L111" s="229" t="s">
        <v>11263</v>
      </c>
      <c r="M111" s="229" t="s">
        <v>11682</v>
      </c>
      <c r="O111" s="230"/>
      <c r="T111" s="244">
        <f t="shared" si="2"/>
        <v>0</v>
      </c>
      <c r="U111" s="193" t="str">
        <f>IF(ISNUMBER(MATCH(B111, 'Sprint 2'!B:B, 0)), "มาจาก Sprint 2", "")</f>
        <v>มาจาก Sprint 2</v>
      </c>
    </row>
    <row r="112">
      <c r="A112" s="102" t="s">
        <v>276</v>
      </c>
      <c r="B112" s="102" t="s">
        <v>11265</v>
      </c>
      <c r="C112" s="229" t="s">
        <v>11266</v>
      </c>
      <c r="D112" s="102" t="s">
        <v>11267</v>
      </c>
      <c r="E112" s="102" t="s">
        <v>521</v>
      </c>
      <c r="F112" s="102" t="s">
        <v>522</v>
      </c>
      <c r="G112" s="102" t="s">
        <v>521</v>
      </c>
      <c r="H112" s="102" t="s">
        <v>522</v>
      </c>
      <c r="I112" s="102" t="s">
        <v>284</v>
      </c>
      <c r="J112" s="102" t="s">
        <v>26</v>
      </c>
      <c r="L112" s="229" t="s">
        <v>11263</v>
      </c>
      <c r="M112" s="229" t="s">
        <v>11268</v>
      </c>
      <c r="O112" s="230"/>
      <c r="T112" s="244">
        <f t="shared" si="2"/>
        <v>0</v>
      </c>
      <c r="U112" s="193" t="str">
        <f>IF(ISNUMBER(MATCH(B112, 'Sprint 2'!B:B, 0)), "มาจาก Sprint 2", "")</f>
        <v>มาจาก Sprint 2</v>
      </c>
    </row>
    <row r="113">
      <c r="A113" s="102" t="s">
        <v>276</v>
      </c>
      <c r="B113" s="102" t="s">
        <v>11269</v>
      </c>
      <c r="C113" s="229" t="s">
        <v>11270</v>
      </c>
      <c r="D113" s="102" t="s">
        <v>11271</v>
      </c>
      <c r="E113" s="102" t="s">
        <v>521</v>
      </c>
      <c r="F113" s="102" t="s">
        <v>522</v>
      </c>
      <c r="G113" s="102" t="s">
        <v>521</v>
      </c>
      <c r="H113" s="102" t="s">
        <v>522</v>
      </c>
      <c r="I113" s="102" t="s">
        <v>284</v>
      </c>
      <c r="J113" s="102" t="s">
        <v>26</v>
      </c>
      <c r="L113" s="229" t="s">
        <v>11272</v>
      </c>
      <c r="M113" s="229" t="s">
        <v>11683</v>
      </c>
      <c r="O113" s="230"/>
      <c r="T113" s="244">
        <f t="shared" si="2"/>
        <v>0</v>
      </c>
      <c r="U113" s="193" t="str">
        <f>IF(ISNUMBER(MATCH(B113, 'Sprint 2'!B:B, 0)), "มาจาก Sprint 2", "")</f>
        <v>มาจาก Sprint 2</v>
      </c>
    </row>
    <row r="114">
      <c r="A114" s="102" t="s">
        <v>276</v>
      </c>
      <c r="B114" s="102" t="s">
        <v>11274</v>
      </c>
      <c r="C114" s="229" t="s">
        <v>11275</v>
      </c>
      <c r="D114" s="102" t="s">
        <v>11276</v>
      </c>
      <c r="E114" s="102" t="s">
        <v>521</v>
      </c>
      <c r="F114" s="102" t="s">
        <v>522</v>
      </c>
      <c r="G114" s="102" t="s">
        <v>521</v>
      </c>
      <c r="H114" s="102" t="s">
        <v>522</v>
      </c>
      <c r="I114" s="102" t="s">
        <v>284</v>
      </c>
      <c r="J114" s="102" t="s">
        <v>34</v>
      </c>
      <c r="L114" s="229" t="s">
        <v>11277</v>
      </c>
      <c r="M114" s="229" t="s">
        <v>11683</v>
      </c>
      <c r="O114" s="230"/>
      <c r="T114" s="244">
        <f t="shared" si="2"/>
        <v>0</v>
      </c>
      <c r="U114" s="193" t="str">
        <f>IF(ISNUMBER(MATCH(B114, 'Sprint 2'!B:B, 0)), "มาจาก Sprint 2", "")</f>
        <v>มาจาก Sprint 2</v>
      </c>
    </row>
    <row r="115">
      <c r="A115" s="102" t="s">
        <v>276</v>
      </c>
      <c r="B115" s="102" t="s">
        <v>11279</v>
      </c>
      <c r="C115" s="229" t="s">
        <v>11280</v>
      </c>
      <c r="D115" s="102" t="s">
        <v>11281</v>
      </c>
      <c r="E115" s="102" t="s">
        <v>521</v>
      </c>
      <c r="F115" s="102" t="s">
        <v>522</v>
      </c>
      <c r="G115" s="102" t="s">
        <v>521</v>
      </c>
      <c r="H115" s="102" t="s">
        <v>522</v>
      </c>
      <c r="I115" s="102" t="s">
        <v>284</v>
      </c>
      <c r="J115" s="102" t="s">
        <v>34</v>
      </c>
      <c r="L115" s="229" t="s">
        <v>11282</v>
      </c>
      <c r="M115" s="229" t="s">
        <v>11684</v>
      </c>
      <c r="O115" s="230"/>
      <c r="T115" s="244">
        <f t="shared" si="2"/>
        <v>0</v>
      </c>
      <c r="U115" s="193" t="str">
        <f>IF(ISNUMBER(MATCH(B115, 'Sprint 2'!B:B, 0)), "มาจาก Sprint 2", "")</f>
        <v>มาจาก Sprint 2</v>
      </c>
    </row>
    <row r="116">
      <c r="A116" s="102" t="s">
        <v>276</v>
      </c>
      <c r="B116" s="102" t="s">
        <v>11284</v>
      </c>
      <c r="C116" s="229" t="s">
        <v>11285</v>
      </c>
      <c r="D116" s="102" t="s">
        <v>11286</v>
      </c>
      <c r="E116" s="102" t="s">
        <v>521</v>
      </c>
      <c r="F116" s="102" t="s">
        <v>522</v>
      </c>
      <c r="G116" s="102" t="s">
        <v>521</v>
      </c>
      <c r="H116" s="102" t="s">
        <v>522</v>
      </c>
      <c r="I116" s="102" t="s">
        <v>284</v>
      </c>
      <c r="J116" s="102" t="s">
        <v>26</v>
      </c>
      <c r="L116" s="229" t="s">
        <v>11287</v>
      </c>
      <c r="M116" s="229" t="s">
        <v>11288</v>
      </c>
      <c r="O116" s="230"/>
      <c r="T116" s="244">
        <f t="shared" si="2"/>
        <v>0</v>
      </c>
      <c r="U116" s="193" t="str">
        <f>IF(ISNUMBER(MATCH(B116, 'Sprint 2'!B:B, 0)), "มาจาก Sprint 2", "")</f>
        <v>มาจาก Sprint 2</v>
      </c>
    </row>
    <row r="117">
      <c r="A117" s="102" t="s">
        <v>276</v>
      </c>
      <c r="B117" s="102" t="s">
        <v>11289</v>
      </c>
      <c r="C117" s="229" t="s">
        <v>11290</v>
      </c>
      <c r="D117" s="102" t="s">
        <v>11291</v>
      </c>
      <c r="G117" s="102" t="s">
        <v>353</v>
      </c>
      <c r="H117" s="102" t="s">
        <v>354</v>
      </c>
      <c r="I117" s="102" t="s">
        <v>284</v>
      </c>
      <c r="J117" s="102" t="s">
        <v>63</v>
      </c>
      <c r="L117" s="229" t="s">
        <v>11292</v>
      </c>
      <c r="M117" s="229" t="s">
        <v>11292</v>
      </c>
      <c r="O117" s="230"/>
      <c r="T117" s="244">
        <f t="shared" si="2"/>
        <v>0</v>
      </c>
      <c r="U117" s="193" t="str">
        <f>IF(ISNUMBER(MATCH(B117, 'Sprint 2'!B:B, 0)), "มาจาก Sprint 2", "")</f>
        <v>มาจาก Sprint 2</v>
      </c>
    </row>
    <row r="118">
      <c r="A118" s="102" t="s">
        <v>276</v>
      </c>
      <c r="B118" s="102" t="s">
        <v>11293</v>
      </c>
      <c r="C118" s="229" t="s">
        <v>11294</v>
      </c>
      <c r="D118" s="102" t="s">
        <v>11295</v>
      </c>
      <c r="G118" s="102" t="s">
        <v>353</v>
      </c>
      <c r="H118" s="102" t="s">
        <v>354</v>
      </c>
      <c r="I118" s="102" t="s">
        <v>284</v>
      </c>
      <c r="J118" s="102" t="s">
        <v>63</v>
      </c>
      <c r="L118" s="229" t="s">
        <v>11292</v>
      </c>
      <c r="M118" s="229" t="s">
        <v>11296</v>
      </c>
      <c r="O118" s="230"/>
      <c r="T118" s="244">
        <f t="shared" si="2"/>
        <v>0</v>
      </c>
      <c r="U118" s="193" t="str">
        <f>IF(ISNUMBER(MATCH(B118, 'Sprint 2'!B:B, 0)), "มาจาก Sprint 2", "")</f>
        <v>มาจาก Sprint 2</v>
      </c>
    </row>
    <row r="119">
      <c r="A119" s="102" t="s">
        <v>276</v>
      </c>
      <c r="B119" s="102" t="s">
        <v>11685</v>
      </c>
      <c r="C119" s="229" t="s">
        <v>11686</v>
      </c>
      <c r="D119" s="102" t="s">
        <v>11687</v>
      </c>
      <c r="E119" s="102" t="s">
        <v>10234</v>
      </c>
      <c r="F119" s="102" t="s">
        <v>565</v>
      </c>
      <c r="G119" s="102" t="s">
        <v>353</v>
      </c>
      <c r="H119" s="102" t="s">
        <v>354</v>
      </c>
      <c r="I119" s="102" t="s">
        <v>284</v>
      </c>
      <c r="J119" s="102" t="s">
        <v>454</v>
      </c>
      <c r="L119" s="229" t="s">
        <v>11688</v>
      </c>
      <c r="M119" s="229" t="s">
        <v>11689</v>
      </c>
      <c r="O119" s="230"/>
      <c r="T119" s="244">
        <f t="shared" si="2"/>
        <v>0</v>
      </c>
      <c r="U119" s="193" t="str">
        <f>IF(ISNUMBER(MATCH(B119, 'Sprint 2'!B:B, 0)), "มาจาก Sprint 2", "")</f>
        <v>มาจาก Sprint 2</v>
      </c>
    </row>
    <row r="120">
      <c r="A120" s="102" t="s">
        <v>276</v>
      </c>
      <c r="B120" s="102" t="s">
        <v>11690</v>
      </c>
      <c r="C120" s="229" t="s">
        <v>11691</v>
      </c>
      <c r="D120" s="102" t="s">
        <v>11291</v>
      </c>
      <c r="E120" s="102" t="s">
        <v>10234</v>
      </c>
      <c r="F120" s="102" t="s">
        <v>565</v>
      </c>
      <c r="G120" s="102" t="s">
        <v>353</v>
      </c>
      <c r="H120" s="102" t="s">
        <v>354</v>
      </c>
      <c r="I120" s="102" t="s">
        <v>284</v>
      </c>
      <c r="J120" s="102" t="s">
        <v>454</v>
      </c>
      <c r="L120" s="229" t="s">
        <v>11688</v>
      </c>
      <c r="M120" s="229" t="s">
        <v>11689</v>
      </c>
      <c r="O120" s="230"/>
      <c r="T120" s="244">
        <f t="shared" si="2"/>
        <v>0</v>
      </c>
      <c r="U120" s="193" t="str">
        <f>IF(ISNUMBER(MATCH(B120, 'Sprint 2'!B:B, 0)), "มาจาก Sprint 2", "")</f>
        <v>มาจาก Sprint 2</v>
      </c>
    </row>
    <row r="121">
      <c r="A121" s="102" t="s">
        <v>310</v>
      </c>
      <c r="B121" s="102" t="s">
        <v>11297</v>
      </c>
      <c r="C121" s="229" t="s">
        <v>11298</v>
      </c>
      <c r="D121" s="102" t="s">
        <v>11299</v>
      </c>
      <c r="E121" s="102" t="s">
        <v>11300</v>
      </c>
      <c r="F121" s="102" t="s">
        <v>11301</v>
      </c>
      <c r="G121" s="102" t="s">
        <v>353</v>
      </c>
      <c r="H121" s="102" t="s">
        <v>354</v>
      </c>
      <c r="I121" s="102" t="s">
        <v>284</v>
      </c>
      <c r="J121" s="102" t="s">
        <v>26</v>
      </c>
      <c r="L121" s="229" t="s">
        <v>11302</v>
      </c>
      <c r="M121" s="229" t="s">
        <v>11569</v>
      </c>
      <c r="O121" s="102">
        <v>0.0</v>
      </c>
      <c r="P121" s="230"/>
      <c r="S121" s="229" t="s">
        <v>4791</v>
      </c>
      <c r="T121" s="102">
        <v>0.0</v>
      </c>
      <c r="U121" s="193" t="str">
        <f>IF(ISNUMBER(MATCH(B121, 'Sprint 2'!B:B, 0)), "มาจาก Sprint 2", "")</f>
        <v>มาจาก Sprint 2</v>
      </c>
      <c r="V121" s="102" t="s">
        <v>11650</v>
      </c>
    </row>
    <row r="122">
      <c r="A122" s="102" t="s">
        <v>310</v>
      </c>
      <c r="B122" s="102" t="s">
        <v>11692</v>
      </c>
      <c r="C122" s="229" t="s">
        <v>11693</v>
      </c>
      <c r="D122" s="102" t="s">
        <v>11694</v>
      </c>
      <c r="E122" s="102" t="s">
        <v>353</v>
      </c>
      <c r="F122" s="102" t="s">
        <v>354</v>
      </c>
      <c r="G122" s="102" t="s">
        <v>353</v>
      </c>
      <c r="H122" s="102" t="s">
        <v>354</v>
      </c>
      <c r="I122" s="102" t="s">
        <v>284</v>
      </c>
      <c r="J122" s="102" t="s">
        <v>26</v>
      </c>
      <c r="L122" s="229" t="s">
        <v>11695</v>
      </c>
      <c r="M122" s="229" t="s">
        <v>11569</v>
      </c>
      <c r="O122" s="102">
        <v>0.0</v>
      </c>
      <c r="P122" s="230"/>
      <c r="S122" s="229" t="s">
        <v>4791</v>
      </c>
      <c r="T122" s="102">
        <v>0.0</v>
      </c>
      <c r="U122" s="193" t="str">
        <f>IF(ISNUMBER(MATCH(B122, 'Sprint 2'!B:B, 0)), "มาจาก Sprint 2", "")</f>
        <v>มาจาก Sprint 2</v>
      </c>
      <c r="V122" s="102" t="s">
        <v>11650</v>
      </c>
    </row>
    <row r="123">
      <c r="A123" s="102" t="s">
        <v>310</v>
      </c>
      <c r="B123" s="102" t="s">
        <v>11696</v>
      </c>
      <c r="C123" s="229" t="s">
        <v>11697</v>
      </c>
      <c r="D123" s="102" t="s">
        <v>11698</v>
      </c>
      <c r="E123" s="102" t="s">
        <v>314</v>
      </c>
      <c r="F123" s="102" t="s">
        <v>315</v>
      </c>
      <c r="G123" s="102" t="s">
        <v>353</v>
      </c>
      <c r="H123" s="102" t="s">
        <v>354</v>
      </c>
      <c r="I123" s="102" t="s">
        <v>284</v>
      </c>
      <c r="J123" s="102" t="s">
        <v>26</v>
      </c>
      <c r="L123" s="229" t="s">
        <v>11699</v>
      </c>
      <c r="M123" s="229" t="s">
        <v>11700</v>
      </c>
      <c r="O123" s="102">
        <v>0.0</v>
      </c>
      <c r="P123" s="230"/>
      <c r="S123" s="229" t="s">
        <v>4791</v>
      </c>
      <c r="T123" s="102">
        <v>0.0</v>
      </c>
      <c r="U123" s="193" t="str">
        <f>IF(ISNUMBER(MATCH(B123, 'Sprint 2'!B:B, 0)), "มาจาก Sprint 2", "")</f>
        <v>มาจาก Sprint 2</v>
      </c>
      <c r="V123" s="102" t="s">
        <v>11650</v>
      </c>
    </row>
    <row r="124">
      <c r="A124" s="102" t="s">
        <v>310</v>
      </c>
      <c r="B124" s="102" t="s">
        <v>11701</v>
      </c>
      <c r="C124" s="229" t="s">
        <v>11702</v>
      </c>
      <c r="D124" s="102" t="s">
        <v>11703</v>
      </c>
      <c r="E124" s="102" t="s">
        <v>11704</v>
      </c>
      <c r="F124" s="102" t="s">
        <v>11705</v>
      </c>
      <c r="G124" s="102" t="s">
        <v>353</v>
      </c>
      <c r="H124" s="102" t="s">
        <v>354</v>
      </c>
      <c r="I124" s="102" t="s">
        <v>284</v>
      </c>
      <c r="J124" s="102" t="s">
        <v>26</v>
      </c>
      <c r="L124" s="229" t="s">
        <v>11706</v>
      </c>
      <c r="M124" s="229" t="s">
        <v>11569</v>
      </c>
      <c r="N124" s="229" t="s">
        <v>11707</v>
      </c>
      <c r="O124" s="102">
        <v>0.0</v>
      </c>
      <c r="P124" s="102" t="s">
        <v>435</v>
      </c>
      <c r="S124" s="229" t="s">
        <v>4791</v>
      </c>
      <c r="T124" s="102">
        <v>0.0</v>
      </c>
      <c r="U124" s="193" t="str">
        <f>IF(ISNUMBER(MATCH(B124, 'Sprint 2'!B:B, 0)), "มาจาก Sprint 2", "")</f>
        <v>มาจาก Sprint 2</v>
      </c>
      <c r="V124" s="102" t="s">
        <v>11650</v>
      </c>
    </row>
    <row r="125">
      <c r="A125" s="102" t="s">
        <v>310</v>
      </c>
      <c r="B125" s="102" t="s">
        <v>11303</v>
      </c>
      <c r="C125" s="229" t="s">
        <v>11304</v>
      </c>
      <c r="D125" s="102" t="s">
        <v>11305</v>
      </c>
      <c r="E125" s="102" t="s">
        <v>10234</v>
      </c>
      <c r="F125" s="102" t="s">
        <v>565</v>
      </c>
      <c r="G125" s="102" t="s">
        <v>353</v>
      </c>
      <c r="H125" s="102" t="s">
        <v>354</v>
      </c>
      <c r="I125" s="102" t="s">
        <v>284</v>
      </c>
      <c r="J125" s="102" t="s">
        <v>454</v>
      </c>
      <c r="L125" s="229" t="s">
        <v>11306</v>
      </c>
      <c r="M125" s="229" t="s">
        <v>11708</v>
      </c>
      <c r="N125" s="229" t="s">
        <v>11307</v>
      </c>
      <c r="O125" s="102">
        <v>3.0</v>
      </c>
      <c r="P125" s="102" t="s">
        <v>504</v>
      </c>
      <c r="T125" s="244">
        <f t="shared" ref="T125:T129" si="3">SWITCH(O125,
  1, 2,
  2, 4,
  3, 8,
  5, 24,
  8, 32,
  0
)</f>
        <v>8</v>
      </c>
      <c r="U125" s="193" t="str">
        <f>IF(ISNUMBER(MATCH(B125, 'Sprint 2'!B:B, 0)), "มาจาก Sprint 2", "")</f>
        <v/>
      </c>
    </row>
    <row r="126">
      <c r="A126" s="102" t="s">
        <v>310</v>
      </c>
      <c r="B126" s="102" t="s">
        <v>11308</v>
      </c>
      <c r="C126" s="229" t="s">
        <v>11309</v>
      </c>
      <c r="D126" s="102" t="s">
        <v>11310</v>
      </c>
      <c r="E126" s="102" t="s">
        <v>10234</v>
      </c>
      <c r="F126" s="102" t="s">
        <v>565</v>
      </c>
      <c r="G126" s="102" t="s">
        <v>353</v>
      </c>
      <c r="H126" s="102" t="s">
        <v>354</v>
      </c>
      <c r="I126" s="102" t="s">
        <v>284</v>
      </c>
      <c r="J126" s="102" t="s">
        <v>454</v>
      </c>
      <c r="L126" s="229" t="s">
        <v>11306</v>
      </c>
      <c r="M126" s="229" t="s">
        <v>11708</v>
      </c>
      <c r="N126" s="229" t="s">
        <v>10112</v>
      </c>
      <c r="O126" s="102">
        <v>5.0</v>
      </c>
      <c r="P126" s="102" t="s">
        <v>504</v>
      </c>
      <c r="S126" s="229" t="s">
        <v>4886</v>
      </c>
      <c r="T126" s="244">
        <f t="shared" si="3"/>
        <v>24</v>
      </c>
      <c r="U126" s="193" t="str">
        <f>IF(ISNUMBER(MATCH(B126, 'Sprint 2'!B:B, 0)), "มาจาก Sprint 2", "")</f>
        <v/>
      </c>
    </row>
    <row r="127">
      <c r="A127" s="102" t="s">
        <v>310</v>
      </c>
      <c r="B127" s="102" t="s">
        <v>11311</v>
      </c>
      <c r="C127" s="229" t="s">
        <v>11312</v>
      </c>
      <c r="D127" s="102" t="s">
        <v>11313</v>
      </c>
      <c r="E127" s="102" t="s">
        <v>10234</v>
      </c>
      <c r="F127" s="102" t="s">
        <v>565</v>
      </c>
      <c r="G127" s="102" t="s">
        <v>353</v>
      </c>
      <c r="H127" s="102" t="s">
        <v>354</v>
      </c>
      <c r="I127" s="102" t="s">
        <v>284</v>
      </c>
      <c r="J127" s="102" t="s">
        <v>454</v>
      </c>
      <c r="L127" s="229" t="s">
        <v>11314</v>
      </c>
      <c r="M127" s="229" t="s">
        <v>11708</v>
      </c>
      <c r="N127" s="229" t="s">
        <v>11199</v>
      </c>
      <c r="O127" s="102">
        <v>2.0</v>
      </c>
      <c r="P127" s="102" t="s">
        <v>504</v>
      </c>
      <c r="T127" s="244">
        <f t="shared" si="3"/>
        <v>4</v>
      </c>
      <c r="U127" s="193" t="str">
        <f>IF(ISNUMBER(MATCH(B127, 'Sprint 2'!B:B, 0)), "มาจาก Sprint 2", "")</f>
        <v/>
      </c>
    </row>
    <row r="128">
      <c r="A128" s="102" t="s">
        <v>310</v>
      </c>
      <c r="B128" s="102" t="s">
        <v>11315</v>
      </c>
      <c r="C128" s="229" t="s">
        <v>11316</v>
      </c>
      <c r="D128" s="102" t="s">
        <v>11317</v>
      </c>
      <c r="G128" s="102" t="s">
        <v>353</v>
      </c>
      <c r="H128" s="102" t="s">
        <v>354</v>
      </c>
      <c r="I128" s="102" t="s">
        <v>284</v>
      </c>
      <c r="J128" s="102" t="s">
        <v>63</v>
      </c>
      <c r="L128" s="229" t="s">
        <v>11318</v>
      </c>
      <c r="M128" s="229" t="s">
        <v>11709</v>
      </c>
      <c r="O128" s="230"/>
      <c r="P128" s="102" t="s">
        <v>10038</v>
      </c>
      <c r="T128" s="244">
        <f t="shared" si="3"/>
        <v>0</v>
      </c>
      <c r="U128" s="193" t="str">
        <f>IF(ISNUMBER(MATCH(B128, 'Sprint 2'!B:B, 0)), "มาจาก Sprint 2", "")</f>
        <v/>
      </c>
    </row>
    <row r="129">
      <c r="A129" s="102" t="s">
        <v>310</v>
      </c>
      <c r="B129" s="102" t="s">
        <v>11319</v>
      </c>
      <c r="C129" s="229" t="s">
        <v>11320</v>
      </c>
      <c r="D129" s="102" t="s">
        <v>11321</v>
      </c>
      <c r="G129" s="102" t="s">
        <v>353</v>
      </c>
      <c r="H129" s="102" t="s">
        <v>354</v>
      </c>
      <c r="I129" s="102" t="s">
        <v>284</v>
      </c>
      <c r="J129" s="102" t="s">
        <v>63</v>
      </c>
      <c r="L129" s="229" t="s">
        <v>11322</v>
      </c>
      <c r="M129" s="229" t="s">
        <v>11709</v>
      </c>
      <c r="O129" s="230"/>
      <c r="P129" s="102" t="s">
        <v>10038</v>
      </c>
      <c r="T129" s="244">
        <f t="shared" si="3"/>
        <v>0</v>
      </c>
      <c r="U129" s="193" t="str">
        <f>IF(ISNUMBER(MATCH(B129, 'Sprint 2'!B:B, 0)), "มาจาก Sprint 2", "")</f>
        <v/>
      </c>
    </row>
    <row r="130">
      <c r="A130" s="102" t="s">
        <v>310</v>
      </c>
      <c r="B130" s="102" t="s">
        <v>11323</v>
      </c>
      <c r="C130" s="229" t="s">
        <v>11324</v>
      </c>
      <c r="D130" s="102" t="s">
        <v>11325</v>
      </c>
      <c r="E130" s="102" t="s">
        <v>513</v>
      </c>
      <c r="F130" s="102" t="s">
        <v>514</v>
      </c>
      <c r="G130" s="102" t="s">
        <v>353</v>
      </c>
      <c r="H130" s="102" t="s">
        <v>354</v>
      </c>
      <c r="I130" s="102" t="s">
        <v>284</v>
      </c>
      <c r="J130" s="102" t="s">
        <v>26</v>
      </c>
      <c r="L130" s="229" t="s">
        <v>11326</v>
      </c>
      <c r="M130" s="229" t="s">
        <v>11569</v>
      </c>
      <c r="N130" s="229" t="s">
        <v>11327</v>
      </c>
      <c r="O130" s="102">
        <v>0.0</v>
      </c>
      <c r="P130" s="102" t="s">
        <v>435</v>
      </c>
      <c r="S130" s="229" t="s">
        <v>4791</v>
      </c>
      <c r="T130" s="102">
        <v>0.0</v>
      </c>
      <c r="U130" s="193" t="str">
        <f>IF(ISNUMBER(MATCH(B130, 'Sprint 2'!B:B, 0)), "มาจาก Sprint 2", "")</f>
        <v>มาจาก Sprint 2</v>
      </c>
      <c r="V130" s="102" t="s">
        <v>11650</v>
      </c>
    </row>
    <row r="131">
      <c r="A131" s="102" t="s">
        <v>310</v>
      </c>
      <c r="B131" s="102" t="s">
        <v>11328</v>
      </c>
      <c r="C131" s="229" t="s">
        <v>11329</v>
      </c>
      <c r="D131" s="102" t="s">
        <v>11330</v>
      </c>
      <c r="E131" s="102" t="s">
        <v>556</v>
      </c>
      <c r="F131" s="102" t="s">
        <v>557</v>
      </c>
      <c r="G131" s="102" t="s">
        <v>353</v>
      </c>
      <c r="H131" s="102" t="s">
        <v>354</v>
      </c>
      <c r="I131" s="102" t="s">
        <v>284</v>
      </c>
      <c r="J131" s="102" t="s">
        <v>454</v>
      </c>
      <c r="L131" s="229" t="s">
        <v>11331</v>
      </c>
      <c r="M131" s="229" t="s">
        <v>11710</v>
      </c>
      <c r="O131" s="102">
        <v>0.0</v>
      </c>
      <c r="P131" s="230"/>
      <c r="S131" s="229" t="s">
        <v>4892</v>
      </c>
      <c r="T131" s="102">
        <v>0.0</v>
      </c>
      <c r="U131" s="193" t="str">
        <f>IF(ISNUMBER(MATCH(B131, 'Sprint 2'!B:B, 0)), "มาจาก Sprint 2", "")</f>
        <v>มาจาก Sprint 2</v>
      </c>
      <c r="V131" s="102" t="s">
        <v>11711</v>
      </c>
    </row>
    <row r="132">
      <c r="A132" s="102" t="s">
        <v>310</v>
      </c>
      <c r="B132" s="102" t="s">
        <v>11332</v>
      </c>
      <c r="C132" s="229" t="s">
        <v>11333</v>
      </c>
      <c r="D132" s="102" t="s">
        <v>11334</v>
      </c>
      <c r="E132" s="102" t="s">
        <v>513</v>
      </c>
      <c r="F132" s="102" t="s">
        <v>514</v>
      </c>
      <c r="G132" s="102" t="s">
        <v>353</v>
      </c>
      <c r="H132" s="102" t="s">
        <v>354</v>
      </c>
      <c r="I132" s="102" t="s">
        <v>284</v>
      </c>
      <c r="J132" s="102" t="s">
        <v>454</v>
      </c>
      <c r="L132" s="229" t="s">
        <v>11335</v>
      </c>
      <c r="M132" s="229" t="s">
        <v>11569</v>
      </c>
      <c r="N132" s="229" t="s">
        <v>11336</v>
      </c>
      <c r="O132" s="102">
        <v>0.0</v>
      </c>
      <c r="P132" s="102" t="s">
        <v>435</v>
      </c>
      <c r="S132" s="229" t="s">
        <v>4892</v>
      </c>
      <c r="T132" s="102">
        <v>0.0</v>
      </c>
      <c r="U132" s="193" t="str">
        <f>IF(ISNUMBER(MATCH(B132, 'Sprint 2'!B:B, 0)), "มาจาก Sprint 2", "")</f>
        <v>มาจาก Sprint 2</v>
      </c>
      <c r="V132" s="102" t="s">
        <v>11711</v>
      </c>
    </row>
    <row r="133">
      <c r="A133" s="102" t="s">
        <v>310</v>
      </c>
      <c r="B133" s="102" t="s">
        <v>11712</v>
      </c>
      <c r="C133" s="229" t="s">
        <v>11713</v>
      </c>
      <c r="D133" s="102" t="s">
        <v>11714</v>
      </c>
      <c r="E133" s="102" t="s">
        <v>353</v>
      </c>
      <c r="F133" s="102" t="s">
        <v>354</v>
      </c>
      <c r="G133" s="102" t="s">
        <v>353</v>
      </c>
      <c r="H133" s="102" t="s">
        <v>354</v>
      </c>
      <c r="I133" s="102" t="s">
        <v>284</v>
      </c>
      <c r="J133" s="102" t="s">
        <v>26</v>
      </c>
      <c r="L133" s="229" t="s">
        <v>11715</v>
      </c>
      <c r="M133" s="229" t="s">
        <v>11716</v>
      </c>
      <c r="O133" s="102">
        <v>0.0</v>
      </c>
      <c r="P133" s="230"/>
      <c r="T133" s="102">
        <v>0.0</v>
      </c>
      <c r="U133" s="193" t="str">
        <f>IF(ISNUMBER(MATCH(B133, 'Sprint 2'!B:B, 0)), "มาจาก Sprint 2", "")</f>
        <v>มาจาก Sprint 2</v>
      </c>
      <c r="V133" s="102" t="s">
        <v>11650</v>
      </c>
    </row>
    <row r="134">
      <c r="A134" s="102" t="s">
        <v>310</v>
      </c>
      <c r="B134" s="102" t="s">
        <v>11337</v>
      </c>
      <c r="C134" s="229" t="s">
        <v>11338</v>
      </c>
      <c r="D134" s="102" t="s">
        <v>11339</v>
      </c>
      <c r="E134" s="102" t="s">
        <v>513</v>
      </c>
      <c r="F134" s="102" t="s">
        <v>514</v>
      </c>
      <c r="G134" s="102" t="s">
        <v>353</v>
      </c>
      <c r="H134" s="102" t="s">
        <v>354</v>
      </c>
      <c r="I134" s="102" t="s">
        <v>284</v>
      </c>
      <c r="J134" s="102" t="s">
        <v>355</v>
      </c>
      <c r="L134" s="229" t="s">
        <v>11340</v>
      </c>
      <c r="M134" s="229" t="s">
        <v>11717</v>
      </c>
      <c r="O134" s="102">
        <v>5.0</v>
      </c>
      <c r="P134" s="102" t="s">
        <v>435</v>
      </c>
      <c r="T134" s="244">
        <f t="shared" ref="T134:T137" si="4">SWITCH(O134,
  1, 2,
  2, 4,
  3, 8,
  5, 24,
  8, 32,
  0
)</f>
        <v>24</v>
      </c>
      <c r="U134" s="193" t="str">
        <f>IF(ISNUMBER(MATCH(B134, 'Sprint 2'!B:B, 0)), "มาจาก Sprint 2", "")</f>
        <v/>
      </c>
    </row>
    <row r="135">
      <c r="A135" s="102" t="s">
        <v>310</v>
      </c>
      <c r="B135" s="102" t="s">
        <v>11341</v>
      </c>
      <c r="C135" s="229" t="s">
        <v>11342</v>
      </c>
      <c r="D135" s="102" t="s">
        <v>11343</v>
      </c>
      <c r="E135" s="102" t="s">
        <v>495</v>
      </c>
      <c r="F135" s="102" t="s">
        <v>496</v>
      </c>
      <c r="G135" s="102" t="s">
        <v>353</v>
      </c>
      <c r="H135" s="102" t="s">
        <v>354</v>
      </c>
      <c r="I135" s="102" t="s">
        <v>284</v>
      </c>
      <c r="J135" s="102" t="s">
        <v>678</v>
      </c>
      <c r="L135" s="229" t="s">
        <v>11344</v>
      </c>
      <c r="M135" s="229" t="s">
        <v>11718</v>
      </c>
      <c r="O135" s="102">
        <v>2.0</v>
      </c>
      <c r="P135" s="230"/>
      <c r="T135" s="244">
        <f t="shared" si="4"/>
        <v>4</v>
      </c>
      <c r="U135" s="193" t="str">
        <f>IF(ISNUMBER(MATCH(B135, 'Sprint 2'!B:B, 0)), "มาจาก Sprint 2", "")</f>
        <v/>
      </c>
    </row>
    <row r="136">
      <c r="A136" s="102" t="s">
        <v>310</v>
      </c>
      <c r="B136" s="102" t="s">
        <v>11346</v>
      </c>
      <c r="C136" s="229" t="s">
        <v>11347</v>
      </c>
      <c r="D136" s="102" t="s">
        <v>11348</v>
      </c>
      <c r="E136" s="102" t="s">
        <v>513</v>
      </c>
      <c r="F136" s="102" t="s">
        <v>514</v>
      </c>
      <c r="G136" s="102" t="s">
        <v>353</v>
      </c>
      <c r="H136" s="102" t="s">
        <v>354</v>
      </c>
      <c r="I136" s="102" t="s">
        <v>284</v>
      </c>
      <c r="J136" s="102" t="s">
        <v>678</v>
      </c>
      <c r="L136" s="229" t="s">
        <v>11349</v>
      </c>
      <c r="M136" s="229" t="s">
        <v>11708</v>
      </c>
      <c r="O136" s="102">
        <v>3.0</v>
      </c>
      <c r="P136" s="102" t="s">
        <v>435</v>
      </c>
      <c r="T136" s="244">
        <f t="shared" si="4"/>
        <v>8</v>
      </c>
      <c r="U136" s="193" t="str">
        <f>IF(ISNUMBER(MATCH(B136, 'Sprint 2'!B:B, 0)), "มาจาก Sprint 2", "")</f>
        <v/>
      </c>
    </row>
    <row r="137">
      <c r="A137" s="102" t="s">
        <v>310</v>
      </c>
      <c r="B137" s="102" t="s">
        <v>11350</v>
      </c>
      <c r="C137" s="229" t="s">
        <v>11351</v>
      </c>
      <c r="D137" s="102" t="s">
        <v>11352</v>
      </c>
      <c r="E137" s="102" t="s">
        <v>513</v>
      </c>
      <c r="F137" s="102" t="s">
        <v>514</v>
      </c>
      <c r="G137" s="102" t="s">
        <v>353</v>
      </c>
      <c r="H137" s="102" t="s">
        <v>354</v>
      </c>
      <c r="I137" s="102" t="s">
        <v>284</v>
      </c>
      <c r="J137" s="102" t="s">
        <v>678</v>
      </c>
      <c r="L137" s="229" t="s">
        <v>11353</v>
      </c>
      <c r="M137" s="229" t="s">
        <v>11708</v>
      </c>
      <c r="O137" s="102">
        <v>3.0</v>
      </c>
      <c r="P137" s="102" t="s">
        <v>435</v>
      </c>
      <c r="T137" s="244">
        <f t="shared" si="4"/>
        <v>8</v>
      </c>
      <c r="U137" s="193" t="str">
        <f>IF(ISNUMBER(MATCH(B137, 'Sprint 2'!B:B, 0)), "มาจาก Sprint 2", "")</f>
        <v/>
      </c>
    </row>
    <row r="138">
      <c r="A138" s="102" t="s">
        <v>310</v>
      </c>
      <c r="B138" s="102" t="s">
        <v>11719</v>
      </c>
      <c r="C138" s="229" t="s">
        <v>11720</v>
      </c>
      <c r="D138" s="102" t="s">
        <v>11721</v>
      </c>
      <c r="E138" s="102" t="s">
        <v>10234</v>
      </c>
      <c r="F138" s="102" t="s">
        <v>565</v>
      </c>
      <c r="G138" s="102" t="s">
        <v>282</v>
      </c>
      <c r="H138" s="102" t="s">
        <v>283</v>
      </c>
      <c r="I138" s="102" t="s">
        <v>284</v>
      </c>
      <c r="J138" s="102" t="s">
        <v>26</v>
      </c>
      <c r="L138" s="229" t="s">
        <v>11722</v>
      </c>
      <c r="M138" s="229" t="s">
        <v>11569</v>
      </c>
      <c r="N138" s="229" t="s">
        <v>11327</v>
      </c>
      <c r="O138" s="102">
        <v>0.0</v>
      </c>
      <c r="P138" s="102" t="s">
        <v>435</v>
      </c>
      <c r="S138" s="229" t="s">
        <v>4892</v>
      </c>
      <c r="T138" s="102">
        <v>0.0</v>
      </c>
      <c r="U138" s="193" t="str">
        <f>IF(ISNUMBER(MATCH(B138, 'Sprint 2'!B:B, 0)), "มาจาก Sprint 2", "")</f>
        <v>มาจาก Sprint 2</v>
      </c>
      <c r="V138" s="102" t="s">
        <v>11711</v>
      </c>
    </row>
    <row r="139">
      <c r="A139" s="102" t="s">
        <v>310</v>
      </c>
      <c r="B139" s="102" t="s">
        <v>11723</v>
      </c>
      <c r="C139" s="229" t="s">
        <v>11724</v>
      </c>
      <c r="D139" s="102" t="s">
        <v>11725</v>
      </c>
      <c r="E139" s="102" t="s">
        <v>353</v>
      </c>
      <c r="F139" s="102" t="s">
        <v>354</v>
      </c>
      <c r="G139" s="102" t="s">
        <v>282</v>
      </c>
      <c r="H139" s="102" t="s">
        <v>283</v>
      </c>
      <c r="I139" s="102" t="s">
        <v>284</v>
      </c>
      <c r="J139" s="102" t="s">
        <v>26</v>
      </c>
      <c r="L139" s="229" t="s">
        <v>11722</v>
      </c>
      <c r="M139" s="229" t="s">
        <v>11569</v>
      </c>
      <c r="O139" s="102">
        <v>0.0</v>
      </c>
      <c r="P139" s="102" t="s">
        <v>435</v>
      </c>
      <c r="S139" s="229" t="s">
        <v>4791</v>
      </c>
      <c r="T139" s="102">
        <v>0.0</v>
      </c>
      <c r="U139" s="193" t="str">
        <f>IF(ISNUMBER(MATCH(B139, 'Sprint 2'!B:B, 0)), "มาจาก Sprint 2", "")</f>
        <v>มาจาก Sprint 2</v>
      </c>
      <c r="V139" s="102" t="s">
        <v>11650</v>
      </c>
    </row>
    <row r="140">
      <c r="A140" s="102" t="s">
        <v>310</v>
      </c>
      <c r="B140" s="102" t="s">
        <v>11726</v>
      </c>
      <c r="C140" s="229" t="s">
        <v>11727</v>
      </c>
      <c r="D140" s="102" t="s">
        <v>11728</v>
      </c>
      <c r="E140" s="102" t="s">
        <v>10234</v>
      </c>
      <c r="F140" s="102" t="s">
        <v>565</v>
      </c>
      <c r="G140" s="102" t="s">
        <v>282</v>
      </c>
      <c r="H140" s="102" t="s">
        <v>283</v>
      </c>
      <c r="I140" s="102" t="s">
        <v>284</v>
      </c>
      <c r="J140" s="102" t="s">
        <v>26</v>
      </c>
      <c r="L140" s="229" t="s">
        <v>11722</v>
      </c>
      <c r="M140" s="229" t="s">
        <v>11569</v>
      </c>
      <c r="N140" s="229" t="s">
        <v>11244</v>
      </c>
      <c r="O140" s="102">
        <v>0.0</v>
      </c>
      <c r="P140" s="102" t="s">
        <v>435</v>
      </c>
      <c r="S140" s="229" t="s">
        <v>4892</v>
      </c>
      <c r="T140" s="102">
        <v>0.0</v>
      </c>
      <c r="U140" s="193" t="str">
        <f>IF(ISNUMBER(MATCH(B140, 'Sprint 2'!B:B, 0)), "มาจาก Sprint 2", "")</f>
        <v>มาจาก Sprint 2</v>
      </c>
      <c r="V140" s="102" t="s">
        <v>11711</v>
      </c>
    </row>
    <row r="141">
      <c r="A141" s="102" t="s">
        <v>310</v>
      </c>
      <c r="B141" s="102" t="s">
        <v>11729</v>
      </c>
      <c r="C141" s="229" t="s">
        <v>11730</v>
      </c>
      <c r="D141" s="102" t="s">
        <v>11731</v>
      </c>
      <c r="E141" s="102" t="s">
        <v>495</v>
      </c>
      <c r="F141" s="102" t="s">
        <v>496</v>
      </c>
      <c r="G141" s="102" t="s">
        <v>282</v>
      </c>
      <c r="H141" s="102" t="s">
        <v>283</v>
      </c>
      <c r="I141" s="102" t="s">
        <v>284</v>
      </c>
      <c r="J141" s="102" t="s">
        <v>26</v>
      </c>
      <c r="L141" s="229" t="s">
        <v>11732</v>
      </c>
      <c r="M141" s="229" t="s">
        <v>11569</v>
      </c>
      <c r="O141" s="102">
        <v>0.0</v>
      </c>
      <c r="P141" s="102" t="s">
        <v>777</v>
      </c>
      <c r="S141" s="229" t="s">
        <v>4791</v>
      </c>
      <c r="T141" s="102">
        <v>0.0</v>
      </c>
      <c r="U141" s="193" t="str">
        <f>IF(ISNUMBER(MATCH(B141, 'Sprint 2'!B:B, 0)), "มาจาก Sprint 2", "")</f>
        <v>มาจาก Sprint 2</v>
      </c>
      <c r="V141" s="102" t="s">
        <v>11650</v>
      </c>
    </row>
    <row r="142">
      <c r="A142" s="102" t="s">
        <v>310</v>
      </c>
      <c r="B142" s="102" t="s">
        <v>11733</v>
      </c>
      <c r="C142" s="229" t="s">
        <v>11734</v>
      </c>
      <c r="D142" s="102" t="s">
        <v>11735</v>
      </c>
      <c r="E142" s="102" t="s">
        <v>11704</v>
      </c>
      <c r="F142" s="102" t="s">
        <v>11705</v>
      </c>
      <c r="G142" s="102" t="s">
        <v>282</v>
      </c>
      <c r="H142" s="102" t="s">
        <v>283</v>
      </c>
      <c r="I142" s="102" t="s">
        <v>284</v>
      </c>
      <c r="J142" s="102" t="s">
        <v>26</v>
      </c>
      <c r="L142" s="229" t="s">
        <v>11732</v>
      </c>
      <c r="M142" s="229" t="s">
        <v>11569</v>
      </c>
      <c r="O142" s="102">
        <v>0.0</v>
      </c>
      <c r="P142" s="102" t="s">
        <v>777</v>
      </c>
      <c r="S142" s="229" t="s">
        <v>4791</v>
      </c>
      <c r="T142" s="102">
        <v>0.0</v>
      </c>
      <c r="U142" s="193" t="str">
        <f>IF(ISNUMBER(MATCH(B142, 'Sprint 2'!B:B, 0)), "มาจาก Sprint 2", "")</f>
        <v>มาจาก Sprint 2</v>
      </c>
      <c r="V142" s="102" t="s">
        <v>11650</v>
      </c>
    </row>
    <row r="143">
      <c r="A143" s="102" t="s">
        <v>310</v>
      </c>
      <c r="B143" s="102" t="s">
        <v>11736</v>
      </c>
      <c r="C143" s="229" t="s">
        <v>11737</v>
      </c>
      <c r="D143" s="102" t="s">
        <v>11738</v>
      </c>
      <c r="E143" s="102" t="s">
        <v>11300</v>
      </c>
      <c r="F143" s="102" t="s">
        <v>11301</v>
      </c>
      <c r="G143" s="102" t="s">
        <v>282</v>
      </c>
      <c r="H143" s="102" t="s">
        <v>283</v>
      </c>
      <c r="I143" s="102" t="s">
        <v>284</v>
      </c>
      <c r="J143" s="102" t="s">
        <v>26</v>
      </c>
      <c r="L143" s="229" t="s">
        <v>11732</v>
      </c>
      <c r="M143" s="229" t="s">
        <v>11569</v>
      </c>
      <c r="O143" s="102">
        <v>0.0</v>
      </c>
      <c r="P143" s="102" t="s">
        <v>777</v>
      </c>
      <c r="S143" s="229" t="s">
        <v>4791</v>
      </c>
      <c r="T143" s="102">
        <v>0.0</v>
      </c>
      <c r="U143" s="193" t="str">
        <f>IF(ISNUMBER(MATCH(B143, 'Sprint 2'!B:B, 0)), "มาจาก Sprint 2", "")</f>
        <v>มาจาก Sprint 2</v>
      </c>
      <c r="V143" s="102" t="s">
        <v>11650</v>
      </c>
    </row>
    <row r="144">
      <c r="A144" s="102" t="s">
        <v>310</v>
      </c>
      <c r="B144" s="102" t="s">
        <v>11739</v>
      </c>
      <c r="C144" s="229" t="s">
        <v>11740</v>
      </c>
      <c r="D144" s="102" t="s">
        <v>11741</v>
      </c>
      <c r="E144" s="102" t="s">
        <v>495</v>
      </c>
      <c r="F144" s="102" t="s">
        <v>496</v>
      </c>
      <c r="G144" s="102" t="s">
        <v>282</v>
      </c>
      <c r="H144" s="102" t="s">
        <v>283</v>
      </c>
      <c r="I144" s="102" t="s">
        <v>284</v>
      </c>
      <c r="J144" s="102" t="s">
        <v>26</v>
      </c>
      <c r="L144" s="229" t="s">
        <v>11742</v>
      </c>
      <c r="M144" s="229" t="s">
        <v>11569</v>
      </c>
      <c r="O144" s="102">
        <v>0.0</v>
      </c>
      <c r="P144" s="102" t="s">
        <v>777</v>
      </c>
      <c r="S144" s="229" t="s">
        <v>4791</v>
      </c>
      <c r="T144" s="102">
        <v>0.0</v>
      </c>
      <c r="U144" s="193" t="str">
        <f>IF(ISNUMBER(MATCH(B144, 'Sprint 2'!B:B, 0)), "มาจาก Sprint 2", "")</f>
        <v>มาจาก Sprint 2</v>
      </c>
      <c r="V144" s="102" t="s">
        <v>11650</v>
      </c>
    </row>
    <row r="145">
      <c r="O145" s="230"/>
      <c r="P145" s="230"/>
      <c r="T145" s="230"/>
      <c r="U145" s="193"/>
    </row>
    <row r="146">
      <c r="O146" s="230"/>
      <c r="P146" s="230"/>
      <c r="T146" s="230"/>
      <c r="U146" s="193"/>
    </row>
    <row r="147">
      <c r="O147" s="230"/>
      <c r="P147" s="230"/>
      <c r="T147" s="230"/>
      <c r="U147" s="193"/>
    </row>
    <row r="148">
      <c r="O148" s="230"/>
      <c r="P148" s="230"/>
      <c r="T148" s="230"/>
      <c r="U148" s="193"/>
    </row>
    <row r="149">
      <c r="O149" s="230"/>
      <c r="P149" s="230"/>
      <c r="T149" s="230"/>
      <c r="U149" s="193"/>
    </row>
    <row r="150">
      <c r="O150" s="230"/>
      <c r="P150" s="230"/>
      <c r="T150" s="230"/>
      <c r="U150" s="193"/>
    </row>
    <row r="151">
      <c r="O151" s="230"/>
      <c r="P151" s="230"/>
      <c r="T151" s="230"/>
      <c r="U151" s="193"/>
    </row>
    <row r="152">
      <c r="O152" s="230"/>
      <c r="P152" s="230"/>
      <c r="T152" s="230"/>
      <c r="U152" s="193"/>
    </row>
    <row r="153">
      <c r="O153" s="230"/>
      <c r="P153" s="230"/>
      <c r="T153" s="230"/>
      <c r="U153" s="193"/>
    </row>
    <row r="154">
      <c r="O154" s="230"/>
      <c r="P154" s="230"/>
      <c r="T154" s="230"/>
      <c r="U154" s="193"/>
    </row>
    <row r="155">
      <c r="O155" s="230"/>
      <c r="P155" s="230"/>
      <c r="T155" s="230"/>
      <c r="U155" s="193"/>
    </row>
    <row r="156">
      <c r="O156" s="230"/>
      <c r="P156" s="230"/>
      <c r="T156" s="230"/>
      <c r="U156" s="193"/>
    </row>
    <row r="157">
      <c r="O157" s="230"/>
      <c r="P157" s="230"/>
      <c r="T157" s="230"/>
      <c r="U157" s="193"/>
    </row>
    <row r="158">
      <c r="O158" s="230"/>
      <c r="P158" s="230"/>
      <c r="T158" s="230"/>
      <c r="U158" s="193"/>
    </row>
    <row r="159">
      <c r="O159" s="230"/>
      <c r="P159" s="230"/>
      <c r="T159" s="230"/>
      <c r="U159" s="193"/>
    </row>
    <row r="160">
      <c r="O160" s="230"/>
      <c r="P160" s="230"/>
      <c r="T160" s="230"/>
      <c r="U160" s="193"/>
    </row>
    <row r="161">
      <c r="O161" s="230"/>
      <c r="P161" s="230"/>
      <c r="T161" s="230"/>
      <c r="U161" s="193"/>
    </row>
    <row r="162">
      <c r="O162" s="230"/>
      <c r="P162" s="230"/>
      <c r="T162" s="230"/>
      <c r="U162" s="193"/>
    </row>
    <row r="163">
      <c r="O163" s="230"/>
      <c r="P163" s="230"/>
      <c r="T163" s="230"/>
      <c r="U163" s="193"/>
    </row>
    <row r="164">
      <c r="O164" s="230"/>
      <c r="P164" s="230"/>
      <c r="T164" s="230"/>
      <c r="U164" s="193"/>
    </row>
    <row r="165">
      <c r="O165" s="230"/>
      <c r="P165" s="230"/>
      <c r="T165" s="230"/>
      <c r="U165" s="193"/>
    </row>
    <row r="166">
      <c r="O166" s="230"/>
      <c r="P166" s="230"/>
      <c r="T166" s="230"/>
      <c r="U166" s="193"/>
    </row>
    <row r="167">
      <c r="O167" s="230"/>
      <c r="P167" s="230"/>
      <c r="T167" s="230"/>
      <c r="U167" s="193"/>
    </row>
    <row r="168">
      <c r="O168" s="230"/>
      <c r="P168" s="230"/>
      <c r="T168" s="230"/>
      <c r="U168" s="193"/>
    </row>
    <row r="169">
      <c r="O169" s="230"/>
      <c r="P169" s="230"/>
      <c r="T169" s="230"/>
      <c r="U169" s="193"/>
    </row>
    <row r="170">
      <c r="O170" s="230"/>
      <c r="P170" s="230"/>
      <c r="T170" s="230"/>
      <c r="U170" s="193"/>
    </row>
    <row r="171">
      <c r="O171" s="230"/>
      <c r="P171" s="230"/>
      <c r="T171" s="230"/>
      <c r="U171" s="193"/>
    </row>
    <row r="172">
      <c r="O172" s="230"/>
      <c r="P172" s="230"/>
      <c r="T172" s="230"/>
      <c r="U172" s="193"/>
    </row>
    <row r="173">
      <c r="O173" s="230"/>
      <c r="P173" s="230"/>
      <c r="T173" s="230"/>
      <c r="U173" s="193"/>
    </row>
    <row r="174">
      <c r="O174" s="230"/>
      <c r="P174" s="230"/>
      <c r="T174" s="230"/>
      <c r="U174" s="193"/>
    </row>
    <row r="175">
      <c r="O175" s="230"/>
      <c r="P175" s="230"/>
      <c r="T175" s="230"/>
      <c r="U175" s="193"/>
    </row>
    <row r="176">
      <c r="O176" s="230"/>
      <c r="P176" s="230"/>
      <c r="T176" s="230"/>
      <c r="U176" s="193"/>
    </row>
    <row r="177">
      <c r="O177" s="230"/>
      <c r="P177" s="230"/>
      <c r="T177" s="230"/>
      <c r="U177" s="193"/>
    </row>
    <row r="178">
      <c r="O178" s="230"/>
      <c r="P178" s="230"/>
      <c r="T178" s="230"/>
      <c r="U178" s="193"/>
    </row>
    <row r="179">
      <c r="O179" s="230"/>
      <c r="P179" s="230"/>
      <c r="T179" s="230"/>
      <c r="U179" s="193"/>
    </row>
    <row r="180">
      <c r="O180" s="230"/>
      <c r="P180" s="230"/>
      <c r="T180" s="230"/>
      <c r="U180" s="193"/>
    </row>
    <row r="181">
      <c r="O181" s="230"/>
      <c r="P181" s="230"/>
      <c r="T181" s="230"/>
      <c r="U181" s="193"/>
    </row>
    <row r="182">
      <c r="O182" s="230"/>
      <c r="P182" s="230"/>
      <c r="T182" s="230"/>
      <c r="U182" s="193"/>
    </row>
    <row r="183">
      <c r="O183" s="230"/>
      <c r="P183" s="230"/>
      <c r="T183" s="230"/>
      <c r="U183" s="193"/>
    </row>
    <row r="184">
      <c r="O184" s="230"/>
      <c r="P184" s="230"/>
      <c r="T184" s="230"/>
      <c r="U184" s="193"/>
    </row>
    <row r="185">
      <c r="O185" s="230"/>
      <c r="P185" s="230"/>
      <c r="T185" s="230"/>
      <c r="U185" s="193"/>
    </row>
    <row r="186">
      <c r="O186" s="230"/>
      <c r="P186" s="230"/>
      <c r="T186" s="230"/>
      <c r="U186" s="193"/>
    </row>
    <row r="187">
      <c r="O187" s="230"/>
      <c r="P187" s="230"/>
      <c r="T187" s="230"/>
      <c r="U187" s="193"/>
    </row>
    <row r="188">
      <c r="O188" s="230"/>
      <c r="P188" s="230"/>
      <c r="T188" s="230"/>
      <c r="U188" s="193"/>
    </row>
    <row r="189">
      <c r="O189" s="230"/>
      <c r="P189" s="230"/>
      <c r="T189" s="230"/>
      <c r="U189" s="193"/>
    </row>
    <row r="190">
      <c r="O190" s="230"/>
      <c r="P190" s="230"/>
      <c r="T190" s="230"/>
      <c r="U190" s="193"/>
    </row>
    <row r="191">
      <c r="O191" s="230"/>
      <c r="P191" s="230"/>
      <c r="T191" s="230"/>
      <c r="U191" s="193"/>
    </row>
    <row r="192">
      <c r="O192" s="230"/>
      <c r="P192" s="230"/>
      <c r="T192" s="230"/>
      <c r="U192" s="193"/>
    </row>
    <row r="193">
      <c r="O193" s="230"/>
      <c r="P193" s="230"/>
      <c r="T193" s="230"/>
      <c r="U193" s="193"/>
    </row>
    <row r="194">
      <c r="O194" s="230"/>
      <c r="P194" s="230"/>
      <c r="T194" s="230"/>
      <c r="U194" s="193"/>
    </row>
    <row r="195">
      <c r="O195" s="230"/>
      <c r="P195" s="230"/>
      <c r="T195" s="230"/>
      <c r="U195" s="193"/>
    </row>
    <row r="196">
      <c r="O196" s="230"/>
      <c r="P196" s="230"/>
      <c r="T196" s="230"/>
      <c r="U196" s="193"/>
    </row>
    <row r="197">
      <c r="O197" s="230"/>
      <c r="P197" s="230"/>
      <c r="T197" s="230"/>
      <c r="U197" s="193"/>
    </row>
    <row r="198">
      <c r="O198" s="230"/>
      <c r="P198" s="230"/>
      <c r="T198" s="230"/>
      <c r="U198" s="193"/>
    </row>
    <row r="199">
      <c r="O199" s="230"/>
      <c r="P199" s="230"/>
      <c r="T199" s="230"/>
      <c r="U199" s="193"/>
    </row>
    <row r="200">
      <c r="O200" s="230"/>
      <c r="P200" s="230"/>
      <c r="T200" s="230"/>
      <c r="U200" s="193"/>
    </row>
    <row r="201">
      <c r="O201" s="230"/>
      <c r="P201" s="230"/>
      <c r="T201" s="230"/>
      <c r="U201" s="193"/>
    </row>
    <row r="202">
      <c r="O202" s="230"/>
      <c r="P202" s="230"/>
      <c r="T202" s="230"/>
      <c r="U202" s="193"/>
    </row>
    <row r="203">
      <c r="O203" s="230"/>
      <c r="P203" s="230"/>
      <c r="T203" s="230"/>
      <c r="U203" s="193"/>
    </row>
    <row r="204">
      <c r="O204" s="230"/>
      <c r="P204" s="230"/>
      <c r="T204" s="230"/>
      <c r="U204" s="193"/>
    </row>
    <row r="205">
      <c r="O205" s="230"/>
      <c r="P205" s="230"/>
      <c r="T205" s="230"/>
      <c r="U205" s="193"/>
    </row>
    <row r="206">
      <c r="O206" s="230"/>
      <c r="P206" s="230"/>
      <c r="T206" s="230"/>
      <c r="U206" s="193"/>
    </row>
    <row r="207">
      <c r="O207" s="230"/>
      <c r="P207" s="230"/>
      <c r="T207" s="230"/>
      <c r="U207" s="193"/>
    </row>
    <row r="208">
      <c r="O208" s="230"/>
      <c r="P208" s="230"/>
      <c r="T208" s="230"/>
      <c r="U208" s="193"/>
    </row>
    <row r="209">
      <c r="O209" s="230"/>
      <c r="P209" s="230"/>
      <c r="T209" s="230"/>
      <c r="U209" s="193"/>
    </row>
    <row r="210">
      <c r="O210" s="230"/>
      <c r="P210" s="230"/>
      <c r="T210" s="230"/>
      <c r="U210" s="193"/>
    </row>
    <row r="211">
      <c r="O211" s="230"/>
      <c r="P211" s="230"/>
      <c r="T211" s="230"/>
      <c r="U211" s="193"/>
    </row>
    <row r="212">
      <c r="O212" s="230"/>
      <c r="P212" s="230"/>
      <c r="T212" s="230"/>
      <c r="U212" s="193"/>
    </row>
    <row r="213">
      <c r="O213" s="230"/>
      <c r="P213" s="230"/>
      <c r="T213" s="230"/>
      <c r="U213" s="193"/>
    </row>
    <row r="214">
      <c r="O214" s="230"/>
      <c r="P214" s="230"/>
      <c r="T214" s="230"/>
      <c r="U214" s="193"/>
    </row>
    <row r="215">
      <c r="O215" s="230"/>
      <c r="P215" s="230"/>
      <c r="T215" s="230"/>
      <c r="U215" s="193"/>
    </row>
    <row r="216">
      <c r="O216" s="230"/>
      <c r="P216" s="230"/>
      <c r="T216" s="230"/>
      <c r="U216" s="193"/>
    </row>
    <row r="217">
      <c r="O217" s="230"/>
      <c r="P217" s="230"/>
      <c r="T217" s="230"/>
      <c r="U217" s="193"/>
    </row>
    <row r="218">
      <c r="O218" s="230"/>
      <c r="P218" s="230"/>
      <c r="T218" s="230"/>
      <c r="U218" s="193"/>
    </row>
    <row r="219">
      <c r="O219" s="230"/>
      <c r="P219" s="230"/>
      <c r="T219" s="230"/>
      <c r="U219" s="193"/>
    </row>
    <row r="220">
      <c r="O220" s="230"/>
      <c r="P220" s="230"/>
      <c r="T220" s="230"/>
      <c r="U220" s="193"/>
    </row>
    <row r="221">
      <c r="O221" s="230"/>
      <c r="P221" s="230"/>
      <c r="T221" s="230"/>
      <c r="U221" s="193"/>
    </row>
    <row r="222">
      <c r="O222" s="230"/>
      <c r="P222" s="230"/>
      <c r="T222" s="230"/>
      <c r="U222" s="193"/>
    </row>
    <row r="223">
      <c r="O223" s="230"/>
      <c r="P223" s="230"/>
      <c r="T223" s="230"/>
      <c r="U223" s="193"/>
    </row>
    <row r="224">
      <c r="O224" s="230"/>
      <c r="P224" s="230"/>
      <c r="T224" s="230"/>
      <c r="U224" s="193"/>
    </row>
    <row r="225">
      <c r="O225" s="230"/>
      <c r="P225" s="230"/>
      <c r="T225" s="230"/>
      <c r="U225" s="193"/>
    </row>
    <row r="226">
      <c r="O226" s="230"/>
      <c r="P226" s="230"/>
      <c r="T226" s="230"/>
      <c r="U226" s="193"/>
    </row>
    <row r="227">
      <c r="O227" s="230"/>
      <c r="P227" s="230"/>
      <c r="T227" s="230"/>
      <c r="U227" s="193"/>
    </row>
    <row r="228">
      <c r="O228" s="230"/>
      <c r="P228" s="230"/>
      <c r="T228" s="230"/>
      <c r="U228" s="193"/>
    </row>
    <row r="229">
      <c r="O229" s="230"/>
      <c r="P229" s="230"/>
      <c r="T229" s="230"/>
      <c r="U229" s="193"/>
    </row>
    <row r="230">
      <c r="O230" s="230"/>
      <c r="P230" s="230"/>
      <c r="T230" s="230"/>
      <c r="U230" s="193"/>
    </row>
    <row r="231">
      <c r="O231" s="230"/>
      <c r="P231" s="230"/>
      <c r="T231" s="230"/>
      <c r="U231" s="193"/>
    </row>
    <row r="232">
      <c r="O232" s="230"/>
      <c r="P232" s="230"/>
      <c r="T232" s="230"/>
      <c r="U232" s="193"/>
    </row>
    <row r="233">
      <c r="O233" s="230"/>
      <c r="P233" s="230"/>
      <c r="T233" s="230"/>
      <c r="U233" s="193"/>
    </row>
    <row r="234">
      <c r="O234" s="230"/>
      <c r="P234" s="230"/>
      <c r="T234" s="230"/>
      <c r="U234" s="193"/>
    </row>
    <row r="235">
      <c r="O235" s="230"/>
      <c r="P235" s="230"/>
      <c r="T235" s="230"/>
      <c r="U235" s="193"/>
    </row>
    <row r="236">
      <c r="O236" s="230"/>
      <c r="P236" s="230"/>
      <c r="T236" s="230"/>
      <c r="U236" s="193"/>
    </row>
    <row r="237">
      <c r="O237" s="230"/>
      <c r="P237" s="230"/>
      <c r="T237" s="230"/>
      <c r="U237" s="193"/>
    </row>
    <row r="238">
      <c r="O238" s="230"/>
      <c r="P238" s="230"/>
      <c r="T238" s="230"/>
      <c r="U238" s="193"/>
    </row>
    <row r="239">
      <c r="O239" s="230"/>
      <c r="P239" s="230"/>
      <c r="T239" s="230"/>
      <c r="U239" s="193"/>
    </row>
    <row r="240">
      <c r="O240" s="230"/>
      <c r="P240" s="230"/>
      <c r="T240" s="230"/>
      <c r="U240" s="193"/>
    </row>
    <row r="241">
      <c r="O241" s="230"/>
      <c r="P241" s="230"/>
      <c r="T241" s="230"/>
      <c r="U241" s="193"/>
    </row>
    <row r="242">
      <c r="O242" s="230"/>
      <c r="P242" s="230"/>
      <c r="T242" s="230"/>
      <c r="U242" s="193"/>
    </row>
    <row r="243">
      <c r="O243" s="230"/>
      <c r="P243" s="230"/>
      <c r="T243" s="230"/>
      <c r="U243" s="193"/>
    </row>
    <row r="244">
      <c r="O244" s="230"/>
      <c r="P244" s="230"/>
      <c r="T244" s="230"/>
      <c r="U244" s="193"/>
    </row>
    <row r="245">
      <c r="O245" s="230"/>
      <c r="P245" s="230"/>
      <c r="T245" s="230"/>
      <c r="U245" s="193"/>
    </row>
    <row r="246">
      <c r="O246" s="230"/>
      <c r="P246" s="230"/>
      <c r="T246" s="230"/>
      <c r="U246" s="193"/>
    </row>
    <row r="247">
      <c r="O247" s="230"/>
      <c r="P247" s="230"/>
      <c r="T247" s="230"/>
      <c r="U247" s="193"/>
    </row>
    <row r="248">
      <c r="O248" s="230"/>
      <c r="P248" s="230"/>
      <c r="T248" s="230"/>
      <c r="U248" s="193"/>
    </row>
    <row r="249">
      <c r="O249" s="230"/>
      <c r="P249" s="230"/>
      <c r="T249" s="230"/>
      <c r="U249" s="193"/>
    </row>
    <row r="250">
      <c r="O250" s="230"/>
      <c r="P250" s="230"/>
      <c r="T250" s="230"/>
      <c r="U250" s="193"/>
    </row>
    <row r="251">
      <c r="O251" s="230"/>
      <c r="P251" s="230"/>
      <c r="T251" s="230"/>
      <c r="U251" s="193"/>
    </row>
    <row r="252">
      <c r="O252" s="230"/>
      <c r="P252" s="230"/>
      <c r="T252" s="230"/>
      <c r="U252" s="193"/>
    </row>
    <row r="253">
      <c r="O253" s="230"/>
      <c r="P253" s="230"/>
      <c r="T253" s="230"/>
      <c r="U253" s="193"/>
    </row>
    <row r="254">
      <c r="O254" s="230"/>
      <c r="P254" s="230"/>
      <c r="T254" s="230"/>
      <c r="U254" s="193"/>
    </row>
    <row r="255">
      <c r="O255" s="230"/>
      <c r="P255" s="230"/>
      <c r="T255" s="230"/>
      <c r="U255" s="193"/>
    </row>
    <row r="256">
      <c r="O256" s="230"/>
      <c r="P256" s="230"/>
      <c r="T256" s="230"/>
      <c r="U256" s="193"/>
    </row>
    <row r="257">
      <c r="O257" s="230"/>
      <c r="P257" s="230"/>
      <c r="T257" s="230"/>
      <c r="U257" s="193"/>
    </row>
    <row r="258">
      <c r="O258" s="230"/>
      <c r="P258" s="230"/>
      <c r="T258" s="230"/>
      <c r="U258" s="193"/>
    </row>
    <row r="259">
      <c r="O259" s="230"/>
      <c r="P259" s="230"/>
      <c r="T259" s="230"/>
      <c r="U259" s="193"/>
    </row>
    <row r="260">
      <c r="O260" s="230"/>
      <c r="P260" s="230"/>
      <c r="T260" s="230"/>
      <c r="U260" s="193"/>
    </row>
    <row r="261">
      <c r="O261" s="230"/>
      <c r="P261" s="230"/>
      <c r="T261" s="230"/>
      <c r="U261" s="193"/>
    </row>
    <row r="262">
      <c r="O262" s="230"/>
      <c r="P262" s="230"/>
      <c r="T262" s="230"/>
      <c r="U262" s="193"/>
    </row>
    <row r="263">
      <c r="O263" s="230"/>
      <c r="P263" s="230"/>
      <c r="T263" s="230"/>
      <c r="U263" s="193"/>
    </row>
    <row r="264">
      <c r="O264" s="230"/>
      <c r="P264" s="230"/>
      <c r="T264" s="230"/>
      <c r="U264" s="193"/>
    </row>
    <row r="265">
      <c r="O265" s="230"/>
      <c r="P265" s="230"/>
      <c r="T265" s="230"/>
      <c r="U265" s="193"/>
    </row>
    <row r="266">
      <c r="O266" s="230"/>
      <c r="P266" s="230"/>
      <c r="T266" s="230"/>
      <c r="U266" s="193"/>
    </row>
    <row r="267">
      <c r="O267" s="230"/>
      <c r="P267" s="230"/>
      <c r="T267" s="230"/>
      <c r="U267" s="193"/>
    </row>
    <row r="268">
      <c r="O268" s="230"/>
      <c r="P268" s="230"/>
      <c r="T268" s="230"/>
      <c r="U268" s="193"/>
    </row>
    <row r="269">
      <c r="O269" s="230"/>
      <c r="P269" s="230"/>
      <c r="T269" s="230"/>
      <c r="U269" s="193"/>
    </row>
    <row r="270">
      <c r="O270" s="230"/>
      <c r="P270" s="230"/>
      <c r="T270" s="230"/>
      <c r="U270" s="193"/>
    </row>
    <row r="271">
      <c r="O271" s="230"/>
      <c r="P271" s="230"/>
      <c r="T271" s="230"/>
      <c r="U271" s="193"/>
    </row>
    <row r="272">
      <c r="O272" s="230"/>
      <c r="P272" s="230"/>
      <c r="T272" s="230"/>
      <c r="U272" s="193"/>
    </row>
    <row r="273">
      <c r="O273" s="230"/>
      <c r="P273" s="230"/>
      <c r="T273" s="230"/>
      <c r="U273" s="193"/>
    </row>
    <row r="274">
      <c r="O274" s="230"/>
      <c r="P274" s="230"/>
      <c r="T274" s="230"/>
      <c r="U274" s="193"/>
    </row>
    <row r="275">
      <c r="O275" s="230"/>
      <c r="P275" s="230"/>
      <c r="T275" s="230"/>
      <c r="U275" s="193"/>
    </row>
    <row r="276">
      <c r="O276" s="230"/>
      <c r="P276" s="230"/>
      <c r="T276" s="230"/>
      <c r="U276" s="193"/>
    </row>
    <row r="277">
      <c r="O277" s="230"/>
      <c r="P277" s="230"/>
      <c r="T277" s="230"/>
      <c r="U277" s="193"/>
    </row>
    <row r="278">
      <c r="O278" s="230"/>
      <c r="P278" s="230"/>
      <c r="T278" s="230"/>
      <c r="U278" s="193"/>
    </row>
    <row r="279">
      <c r="O279" s="230"/>
      <c r="P279" s="230"/>
      <c r="T279" s="230"/>
      <c r="U279" s="193"/>
    </row>
    <row r="280">
      <c r="O280" s="230"/>
      <c r="P280" s="230"/>
      <c r="T280" s="230"/>
      <c r="U280" s="193"/>
    </row>
    <row r="281">
      <c r="O281" s="230"/>
      <c r="P281" s="230"/>
      <c r="T281" s="230"/>
      <c r="U281" s="193"/>
    </row>
    <row r="282">
      <c r="O282" s="230"/>
      <c r="P282" s="230"/>
      <c r="T282" s="230"/>
      <c r="U282" s="193"/>
    </row>
    <row r="283">
      <c r="O283" s="230"/>
      <c r="P283" s="230"/>
      <c r="T283" s="230"/>
      <c r="U283" s="193"/>
    </row>
    <row r="284">
      <c r="O284" s="230"/>
      <c r="P284" s="230"/>
      <c r="T284" s="230"/>
      <c r="U284" s="193"/>
    </row>
    <row r="285">
      <c r="O285" s="230"/>
      <c r="P285" s="230"/>
      <c r="T285" s="230"/>
      <c r="U285" s="193"/>
    </row>
    <row r="286">
      <c r="O286" s="230"/>
      <c r="P286" s="230"/>
      <c r="T286" s="230"/>
      <c r="U286" s="193"/>
    </row>
    <row r="287">
      <c r="O287" s="230"/>
      <c r="P287" s="230"/>
      <c r="T287" s="230"/>
      <c r="U287" s="193"/>
    </row>
    <row r="288">
      <c r="O288" s="230"/>
      <c r="P288" s="230"/>
      <c r="T288" s="230"/>
      <c r="U288" s="193"/>
    </row>
    <row r="289">
      <c r="O289" s="230"/>
      <c r="P289" s="230"/>
      <c r="T289" s="230"/>
      <c r="U289" s="193"/>
    </row>
    <row r="290">
      <c r="O290" s="230"/>
      <c r="P290" s="230"/>
      <c r="T290" s="230"/>
      <c r="U290" s="193"/>
    </row>
    <row r="291">
      <c r="O291" s="230"/>
      <c r="P291" s="230"/>
      <c r="T291" s="230"/>
      <c r="U291" s="193"/>
    </row>
    <row r="292">
      <c r="O292" s="230"/>
      <c r="P292" s="230"/>
      <c r="T292" s="230"/>
      <c r="U292" s="193"/>
    </row>
    <row r="293">
      <c r="O293" s="230"/>
      <c r="P293" s="230"/>
      <c r="T293" s="230"/>
      <c r="U293" s="193"/>
    </row>
    <row r="294">
      <c r="O294" s="230"/>
      <c r="P294" s="230"/>
      <c r="T294" s="230"/>
      <c r="U294" s="193"/>
    </row>
    <row r="295">
      <c r="O295" s="230"/>
      <c r="P295" s="230"/>
      <c r="T295" s="230"/>
      <c r="U295" s="193"/>
    </row>
    <row r="296">
      <c r="O296" s="230"/>
      <c r="P296" s="230"/>
      <c r="T296" s="230"/>
      <c r="U296" s="193"/>
    </row>
    <row r="297">
      <c r="O297" s="230"/>
      <c r="P297" s="230"/>
      <c r="T297" s="230"/>
      <c r="U297" s="193"/>
    </row>
    <row r="298">
      <c r="O298" s="230"/>
      <c r="P298" s="230"/>
      <c r="T298" s="230"/>
      <c r="U298" s="193"/>
    </row>
    <row r="299">
      <c r="O299" s="230"/>
      <c r="P299" s="230"/>
      <c r="T299" s="230"/>
      <c r="U299" s="193"/>
    </row>
    <row r="300">
      <c r="O300" s="230"/>
      <c r="P300" s="230"/>
      <c r="T300" s="230"/>
      <c r="U300" s="193"/>
    </row>
    <row r="301">
      <c r="O301" s="230"/>
      <c r="P301" s="230"/>
      <c r="T301" s="230"/>
      <c r="U301" s="193"/>
    </row>
    <row r="302">
      <c r="O302" s="230"/>
      <c r="P302" s="230"/>
      <c r="T302" s="230"/>
      <c r="U302" s="193"/>
    </row>
    <row r="303">
      <c r="O303" s="230"/>
      <c r="P303" s="230"/>
      <c r="T303" s="230"/>
      <c r="U303" s="193"/>
    </row>
    <row r="304">
      <c r="O304" s="230"/>
      <c r="P304" s="230"/>
      <c r="T304" s="230"/>
      <c r="U304" s="193"/>
    </row>
    <row r="305">
      <c r="O305" s="230"/>
      <c r="P305" s="230"/>
      <c r="T305" s="230"/>
      <c r="U305" s="193"/>
    </row>
    <row r="306">
      <c r="O306" s="230"/>
      <c r="P306" s="230"/>
      <c r="T306" s="230"/>
      <c r="U306" s="193"/>
    </row>
    <row r="307">
      <c r="O307" s="230"/>
      <c r="P307" s="230"/>
      <c r="T307" s="230"/>
      <c r="U307" s="193"/>
    </row>
    <row r="308">
      <c r="O308" s="230"/>
      <c r="P308" s="230"/>
      <c r="T308" s="230"/>
      <c r="U308" s="193"/>
    </row>
    <row r="309">
      <c r="O309" s="230"/>
      <c r="P309" s="230"/>
      <c r="T309" s="230"/>
      <c r="U309" s="193"/>
    </row>
    <row r="310">
      <c r="O310" s="230"/>
      <c r="P310" s="230"/>
      <c r="T310" s="230"/>
      <c r="U310" s="193"/>
    </row>
    <row r="311">
      <c r="O311" s="230"/>
      <c r="P311" s="230"/>
      <c r="T311" s="230"/>
      <c r="U311" s="193"/>
    </row>
    <row r="312">
      <c r="O312" s="230"/>
      <c r="P312" s="230"/>
      <c r="T312" s="230"/>
      <c r="U312" s="193"/>
    </row>
    <row r="313">
      <c r="O313" s="230"/>
      <c r="P313" s="230"/>
      <c r="T313" s="230"/>
      <c r="U313" s="193"/>
    </row>
    <row r="314">
      <c r="O314" s="230"/>
      <c r="P314" s="230"/>
      <c r="T314" s="230"/>
      <c r="U314" s="193"/>
    </row>
    <row r="315">
      <c r="O315" s="230"/>
      <c r="P315" s="230"/>
      <c r="T315" s="230"/>
      <c r="U315" s="193"/>
    </row>
    <row r="316">
      <c r="O316" s="230"/>
      <c r="P316" s="230"/>
      <c r="T316" s="230"/>
      <c r="U316" s="193"/>
    </row>
    <row r="317">
      <c r="O317" s="230"/>
      <c r="P317" s="230"/>
      <c r="T317" s="230"/>
      <c r="U317" s="193"/>
    </row>
    <row r="318">
      <c r="O318" s="230"/>
      <c r="P318" s="230"/>
      <c r="T318" s="230"/>
      <c r="U318" s="193"/>
    </row>
    <row r="319">
      <c r="O319" s="230"/>
      <c r="P319" s="230"/>
      <c r="T319" s="230"/>
      <c r="U319" s="193"/>
    </row>
    <row r="320">
      <c r="O320" s="230"/>
      <c r="P320" s="230"/>
      <c r="T320" s="230"/>
      <c r="U320" s="193"/>
    </row>
    <row r="321">
      <c r="O321" s="230"/>
      <c r="P321" s="230"/>
      <c r="T321" s="230"/>
      <c r="U321" s="193"/>
    </row>
    <row r="322">
      <c r="O322" s="230"/>
      <c r="P322" s="230"/>
      <c r="T322" s="230"/>
      <c r="U322" s="193"/>
    </row>
    <row r="323">
      <c r="O323" s="230"/>
      <c r="P323" s="230"/>
      <c r="T323" s="230"/>
      <c r="U323" s="193"/>
    </row>
    <row r="324">
      <c r="O324" s="230"/>
      <c r="P324" s="230"/>
      <c r="T324" s="230"/>
      <c r="U324" s="193"/>
    </row>
    <row r="325">
      <c r="O325" s="230"/>
      <c r="P325" s="230"/>
      <c r="T325" s="230"/>
      <c r="U325" s="193"/>
    </row>
    <row r="326">
      <c r="O326" s="230"/>
      <c r="P326" s="230"/>
      <c r="T326" s="230"/>
      <c r="U326" s="193"/>
    </row>
    <row r="327">
      <c r="O327" s="230"/>
      <c r="P327" s="230"/>
      <c r="T327" s="230"/>
      <c r="U327" s="193"/>
    </row>
    <row r="328">
      <c r="O328" s="230"/>
      <c r="P328" s="230"/>
      <c r="T328" s="230"/>
      <c r="U328" s="193"/>
    </row>
    <row r="329">
      <c r="O329" s="230"/>
      <c r="P329" s="230"/>
      <c r="T329" s="230"/>
      <c r="U329" s="193"/>
    </row>
    <row r="330">
      <c r="O330" s="230"/>
      <c r="P330" s="230"/>
      <c r="T330" s="230"/>
      <c r="U330" s="193"/>
    </row>
    <row r="331">
      <c r="O331" s="230"/>
      <c r="P331" s="230"/>
      <c r="T331" s="230"/>
      <c r="U331" s="193"/>
    </row>
    <row r="332">
      <c r="O332" s="230"/>
      <c r="P332" s="230"/>
      <c r="T332" s="230"/>
      <c r="U332" s="193"/>
    </row>
    <row r="333">
      <c r="O333" s="230"/>
      <c r="P333" s="230"/>
      <c r="T333" s="230"/>
      <c r="U333" s="193"/>
    </row>
    <row r="334">
      <c r="O334" s="230"/>
      <c r="P334" s="230"/>
      <c r="T334" s="230"/>
      <c r="U334" s="193"/>
    </row>
    <row r="335">
      <c r="O335" s="230"/>
      <c r="P335" s="230"/>
      <c r="T335" s="230"/>
      <c r="U335" s="193"/>
    </row>
    <row r="336">
      <c r="O336" s="230"/>
      <c r="P336" s="230"/>
      <c r="T336" s="230"/>
      <c r="U336" s="193"/>
    </row>
    <row r="337">
      <c r="O337" s="230"/>
      <c r="P337" s="230"/>
      <c r="T337" s="230"/>
      <c r="U337" s="193"/>
    </row>
    <row r="338">
      <c r="O338" s="230"/>
      <c r="P338" s="230"/>
      <c r="T338" s="230"/>
      <c r="U338" s="193"/>
    </row>
    <row r="339">
      <c r="O339" s="230"/>
      <c r="P339" s="230"/>
      <c r="T339" s="230"/>
      <c r="U339" s="193"/>
    </row>
    <row r="340">
      <c r="O340" s="230"/>
      <c r="P340" s="230"/>
      <c r="T340" s="230"/>
      <c r="U340" s="193"/>
    </row>
    <row r="341">
      <c r="O341" s="230"/>
      <c r="P341" s="230"/>
      <c r="T341" s="230"/>
      <c r="U341" s="193"/>
    </row>
    <row r="342">
      <c r="O342" s="230"/>
      <c r="P342" s="230"/>
      <c r="T342" s="230"/>
      <c r="U342" s="193"/>
    </row>
    <row r="343">
      <c r="O343" s="230"/>
      <c r="P343" s="230"/>
      <c r="T343" s="230"/>
      <c r="U343" s="193"/>
    </row>
    <row r="344">
      <c r="O344" s="230"/>
      <c r="P344" s="230"/>
      <c r="T344" s="230"/>
      <c r="U344" s="193"/>
    </row>
    <row r="345">
      <c r="O345" s="230"/>
      <c r="P345" s="230"/>
      <c r="T345" s="230"/>
      <c r="U345" s="193"/>
    </row>
    <row r="346">
      <c r="O346" s="230"/>
      <c r="P346" s="230"/>
      <c r="T346" s="230"/>
      <c r="U346" s="193"/>
    </row>
    <row r="347">
      <c r="O347" s="230"/>
      <c r="P347" s="230"/>
      <c r="T347" s="230"/>
      <c r="U347" s="193"/>
    </row>
    <row r="348">
      <c r="O348" s="230"/>
      <c r="P348" s="230"/>
      <c r="T348" s="230"/>
      <c r="U348" s="193"/>
    </row>
    <row r="349">
      <c r="O349" s="230"/>
      <c r="P349" s="230"/>
      <c r="T349" s="230"/>
      <c r="U349" s="193"/>
    </row>
    <row r="350">
      <c r="O350" s="230"/>
      <c r="P350" s="230"/>
      <c r="T350" s="230"/>
      <c r="U350" s="193"/>
    </row>
    <row r="351">
      <c r="O351" s="230"/>
      <c r="P351" s="230"/>
      <c r="T351" s="230"/>
      <c r="U351" s="193"/>
    </row>
    <row r="352">
      <c r="O352" s="230"/>
      <c r="P352" s="230"/>
      <c r="T352" s="230"/>
      <c r="U352" s="193"/>
    </row>
    <row r="353">
      <c r="O353" s="230"/>
      <c r="P353" s="230"/>
      <c r="T353" s="230"/>
      <c r="U353" s="193"/>
    </row>
    <row r="354">
      <c r="O354" s="230"/>
      <c r="P354" s="230"/>
      <c r="T354" s="230"/>
      <c r="U354" s="193"/>
    </row>
    <row r="355">
      <c r="O355" s="230"/>
      <c r="P355" s="230"/>
      <c r="T355" s="230"/>
      <c r="U355" s="193"/>
    </row>
    <row r="356">
      <c r="O356" s="230"/>
      <c r="P356" s="230"/>
      <c r="T356" s="230"/>
      <c r="U356" s="193"/>
    </row>
    <row r="357">
      <c r="O357" s="230"/>
      <c r="P357" s="230"/>
      <c r="T357" s="230"/>
      <c r="U357" s="193"/>
    </row>
    <row r="358">
      <c r="O358" s="230"/>
      <c r="P358" s="230"/>
      <c r="T358" s="230"/>
      <c r="U358" s="193"/>
    </row>
    <row r="359">
      <c r="O359" s="230"/>
      <c r="P359" s="230"/>
      <c r="T359" s="230"/>
      <c r="U359" s="193"/>
    </row>
    <row r="360">
      <c r="O360" s="230"/>
      <c r="P360" s="230"/>
      <c r="T360" s="230"/>
      <c r="U360" s="193"/>
    </row>
    <row r="361">
      <c r="O361" s="230"/>
      <c r="P361" s="230"/>
      <c r="T361" s="230"/>
      <c r="U361" s="193"/>
    </row>
    <row r="362">
      <c r="O362" s="230"/>
      <c r="P362" s="230"/>
      <c r="T362" s="230"/>
      <c r="U362" s="193"/>
    </row>
    <row r="363">
      <c r="O363" s="230"/>
      <c r="P363" s="230"/>
      <c r="T363" s="230"/>
      <c r="U363" s="193"/>
    </row>
    <row r="364">
      <c r="O364" s="230"/>
      <c r="P364" s="230"/>
      <c r="T364" s="230"/>
      <c r="U364" s="193"/>
    </row>
    <row r="365">
      <c r="O365" s="230"/>
      <c r="P365" s="230"/>
      <c r="T365" s="230"/>
      <c r="U365" s="193"/>
    </row>
    <row r="366">
      <c r="O366" s="230"/>
      <c r="P366" s="230"/>
      <c r="T366" s="230"/>
      <c r="U366" s="193"/>
    </row>
    <row r="367">
      <c r="O367" s="230"/>
      <c r="P367" s="230"/>
      <c r="T367" s="230"/>
      <c r="U367" s="193"/>
    </row>
    <row r="368">
      <c r="O368" s="230"/>
      <c r="P368" s="230"/>
      <c r="T368" s="230"/>
      <c r="U368" s="193"/>
    </row>
    <row r="369">
      <c r="O369" s="230"/>
      <c r="P369" s="230"/>
      <c r="T369" s="230"/>
      <c r="U369" s="193"/>
    </row>
    <row r="370">
      <c r="O370" s="230"/>
      <c r="P370" s="230"/>
      <c r="T370" s="230"/>
      <c r="U370" s="193"/>
    </row>
    <row r="371">
      <c r="O371" s="230"/>
      <c r="P371" s="230"/>
      <c r="T371" s="230"/>
      <c r="U371" s="193"/>
    </row>
    <row r="372">
      <c r="O372" s="230"/>
      <c r="P372" s="230"/>
      <c r="T372" s="230"/>
      <c r="U372" s="193"/>
    </row>
    <row r="373">
      <c r="O373" s="230"/>
      <c r="P373" s="230"/>
      <c r="T373" s="230"/>
      <c r="U373" s="193"/>
    </row>
    <row r="374">
      <c r="O374" s="230"/>
      <c r="P374" s="230"/>
      <c r="T374" s="230"/>
      <c r="U374" s="193"/>
    </row>
    <row r="375">
      <c r="O375" s="230"/>
      <c r="P375" s="230"/>
      <c r="T375" s="230"/>
      <c r="U375" s="193"/>
    </row>
    <row r="376">
      <c r="O376" s="230"/>
      <c r="P376" s="230"/>
      <c r="T376" s="230"/>
      <c r="U376" s="193"/>
    </row>
    <row r="377">
      <c r="O377" s="230"/>
      <c r="P377" s="230"/>
      <c r="T377" s="230"/>
      <c r="U377" s="193"/>
    </row>
    <row r="378">
      <c r="O378" s="230"/>
      <c r="P378" s="230"/>
      <c r="T378" s="230"/>
      <c r="U378" s="193"/>
    </row>
    <row r="379">
      <c r="O379" s="230"/>
      <c r="P379" s="230"/>
      <c r="T379" s="230"/>
      <c r="U379" s="193"/>
    </row>
    <row r="380">
      <c r="O380" s="230"/>
      <c r="P380" s="230"/>
      <c r="T380" s="230"/>
      <c r="U380" s="193"/>
    </row>
    <row r="381">
      <c r="O381" s="230"/>
      <c r="P381" s="230"/>
      <c r="T381" s="230"/>
      <c r="U381" s="193"/>
    </row>
    <row r="382">
      <c r="O382" s="230"/>
      <c r="P382" s="230"/>
      <c r="T382" s="230"/>
      <c r="U382" s="193"/>
    </row>
    <row r="383">
      <c r="O383" s="230"/>
      <c r="P383" s="230"/>
      <c r="T383" s="230"/>
      <c r="U383" s="193"/>
    </row>
    <row r="384">
      <c r="O384" s="230"/>
      <c r="P384" s="230"/>
      <c r="T384" s="230"/>
      <c r="U384" s="193"/>
    </row>
    <row r="385">
      <c r="O385" s="230"/>
      <c r="P385" s="230"/>
      <c r="T385" s="230"/>
      <c r="U385" s="193"/>
    </row>
    <row r="386">
      <c r="O386" s="230"/>
      <c r="P386" s="230"/>
      <c r="T386" s="230"/>
      <c r="U386" s="193"/>
    </row>
    <row r="387">
      <c r="O387" s="230"/>
      <c r="P387" s="230"/>
      <c r="T387" s="230"/>
      <c r="U387" s="193"/>
    </row>
    <row r="388">
      <c r="O388" s="230"/>
      <c r="P388" s="230"/>
      <c r="T388" s="230"/>
      <c r="U388" s="193"/>
    </row>
    <row r="389">
      <c r="O389" s="230"/>
      <c r="P389" s="230"/>
      <c r="T389" s="230"/>
      <c r="U389" s="193"/>
    </row>
    <row r="390">
      <c r="O390" s="230"/>
      <c r="P390" s="230"/>
      <c r="T390" s="230"/>
      <c r="U390" s="193"/>
    </row>
    <row r="391">
      <c r="O391" s="230"/>
      <c r="P391" s="230"/>
      <c r="T391" s="230"/>
      <c r="U391" s="193"/>
    </row>
    <row r="392">
      <c r="O392" s="230"/>
      <c r="P392" s="230"/>
      <c r="T392" s="230"/>
      <c r="U392" s="193"/>
    </row>
    <row r="393">
      <c r="O393" s="230"/>
      <c r="P393" s="230"/>
      <c r="T393" s="230"/>
      <c r="U393" s="193"/>
    </row>
    <row r="394">
      <c r="O394" s="230"/>
      <c r="P394" s="230"/>
      <c r="T394" s="230"/>
      <c r="U394" s="193"/>
    </row>
    <row r="395">
      <c r="O395" s="230"/>
      <c r="P395" s="230"/>
      <c r="T395" s="230"/>
      <c r="U395" s="193"/>
    </row>
    <row r="396">
      <c r="O396" s="230"/>
      <c r="P396" s="230"/>
      <c r="T396" s="230"/>
      <c r="U396" s="193"/>
    </row>
    <row r="397">
      <c r="O397" s="230"/>
      <c r="P397" s="230"/>
      <c r="T397" s="230"/>
      <c r="U397" s="193"/>
    </row>
    <row r="398">
      <c r="O398" s="230"/>
      <c r="P398" s="230"/>
      <c r="T398" s="230"/>
      <c r="U398" s="193"/>
    </row>
    <row r="399">
      <c r="O399" s="230"/>
      <c r="P399" s="230"/>
      <c r="T399" s="230"/>
      <c r="U399" s="193"/>
    </row>
    <row r="400">
      <c r="O400" s="230"/>
      <c r="P400" s="230"/>
      <c r="T400" s="230"/>
      <c r="U400" s="193"/>
    </row>
    <row r="401">
      <c r="O401" s="230"/>
      <c r="P401" s="230"/>
      <c r="T401" s="230"/>
      <c r="U401" s="193"/>
    </row>
    <row r="402">
      <c r="O402" s="230"/>
      <c r="P402" s="230"/>
      <c r="T402" s="230"/>
      <c r="U402" s="193"/>
    </row>
    <row r="403">
      <c r="O403" s="230"/>
      <c r="P403" s="230"/>
      <c r="T403" s="230"/>
      <c r="U403" s="193"/>
    </row>
    <row r="404">
      <c r="O404" s="230"/>
      <c r="P404" s="230"/>
      <c r="T404" s="230"/>
      <c r="U404" s="193"/>
    </row>
    <row r="405">
      <c r="O405" s="230"/>
      <c r="P405" s="230"/>
      <c r="T405" s="230"/>
      <c r="U405" s="193"/>
    </row>
    <row r="406">
      <c r="O406" s="230"/>
      <c r="P406" s="230"/>
      <c r="T406" s="230"/>
      <c r="U406" s="193"/>
    </row>
    <row r="407">
      <c r="O407" s="230"/>
      <c r="P407" s="230"/>
      <c r="T407" s="230"/>
      <c r="U407" s="193"/>
    </row>
    <row r="408">
      <c r="O408" s="230"/>
      <c r="P408" s="230"/>
      <c r="T408" s="230"/>
      <c r="U408" s="193"/>
    </row>
    <row r="409">
      <c r="O409" s="230"/>
      <c r="P409" s="230"/>
      <c r="T409" s="230"/>
      <c r="U409" s="193"/>
    </row>
    <row r="410">
      <c r="O410" s="230"/>
      <c r="P410" s="230"/>
      <c r="T410" s="230"/>
      <c r="U410" s="193"/>
    </row>
    <row r="411">
      <c r="O411" s="230"/>
      <c r="P411" s="230"/>
      <c r="T411" s="230"/>
      <c r="U411" s="193"/>
    </row>
    <row r="412">
      <c r="O412" s="230"/>
      <c r="P412" s="230"/>
      <c r="T412" s="230"/>
      <c r="U412" s="193"/>
    </row>
    <row r="413">
      <c r="O413" s="230"/>
      <c r="P413" s="230"/>
      <c r="T413" s="230"/>
      <c r="U413" s="193"/>
    </row>
    <row r="414">
      <c r="O414" s="230"/>
      <c r="P414" s="230"/>
      <c r="T414" s="230"/>
      <c r="U414" s="193"/>
    </row>
    <row r="415">
      <c r="O415" s="230"/>
      <c r="P415" s="230"/>
      <c r="T415" s="230"/>
      <c r="U415" s="193"/>
    </row>
    <row r="416">
      <c r="O416" s="230"/>
      <c r="P416" s="230"/>
      <c r="T416" s="230"/>
      <c r="U416" s="193"/>
    </row>
    <row r="417">
      <c r="O417" s="230"/>
      <c r="P417" s="230"/>
      <c r="T417" s="230"/>
      <c r="U417" s="193"/>
    </row>
    <row r="418">
      <c r="O418" s="230"/>
      <c r="P418" s="230"/>
      <c r="T418" s="230"/>
      <c r="U418" s="193"/>
    </row>
    <row r="419">
      <c r="O419" s="230"/>
      <c r="P419" s="230"/>
      <c r="T419" s="230"/>
      <c r="U419" s="193"/>
    </row>
    <row r="420">
      <c r="O420" s="230"/>
      <c r="P420" s="230"/>
      <c r="T420" s="230"/>
      <c r="U420" s="193"/>
    </row>
    <row r="421">
      <c r="O421" s="230"/>
      <c r="P421" s="230"/>
      <c r="T421" s="230"/>
      <c r="U421" s="193"/>
    </row>
    <row r="422">
      <c r="O422" s="230"/>
      <c r="P422" s="230"/>
      <c r="T422" s="230"/>
      <c r="U422" s="193"/>
    </row>
    <row r="423">
      <c r="O423" s="230"/>
      <c r="P423" s="230"/>
      <c r="T423" s="230"/>
      <c r="U423" s="193"/>
    </row>
    <row r="424">
      <c r="O424" s="230"/>
      <c r="P424" s="230"/>
      <c r="T424" s="230"/>
      <c r="U424" s="193"/>
    </row>
    <row r="425">
      <c r="O425" s="230"/>
      <c r="P425" s="230"/>
      <c r="T425" s="230"/>
      <c r="U425" s="193"/>
    </row>
    <row r="426">
      <c r="O426" s="230"/>
      <c r="P426" s="230"/>
      <c r="T426" s="230"/>
      <c r="U426" s="193"/>
    </row>
    <row r="427">
      <c r="O427" s="230"/>
      <c r="P427" s="230"/>
      <c r="T427" s="230"/>
      <c r="U427" s="193"/>
    </row>
    <row r="428">
      <c r="O428" s="230"/>
      <c r="P428" s="230"/>
      <c r="T428" s="230"/>
      <c r="U428" s="193"/>
    </row>
    <row r="429">
      <c r="O429" s="230"/>
      <c r="P429" s="230"/>
      <c r="T429" s="230"/>
      <c r="U429" s="193"/>
    </row>
    <row r="430">
      <c r="O430" s="230"/>
      <c r="P430" s="230"/>
      <c r="T430" s="230"/>
      <c r="U430" s="193"/>
    </row>
    <row r="431">
      <c r="O431" s="230"/>
      <c r="P431" s="230"/>
      <c r="T431" s="230"/>
      <c r="U431" s="193"/>
    </row>
    <row r="432">
      <c r="O432" s="230"/>
      <c r="P432" s="230"/>
      <c r="T432" s="230"/>
      <c r="U432" s="193"/>
    </row>
    <row r="433">
      <c r="O433" s="230"/>
      <c r="P433" s="230"/>
      <c r="T433" s="230"/>
      <c r="U433" s="193"/>
    </row>
    <row r="434">
      <c r="O434" s="230"/>
      <c r="P434" s="230"/>
      <c r="T434" s="230"/>
      <c r="U434" s="193"/>
    </row>
    <row r="435">
      <c r="O435" s="230"/>
      <c r="P435" s="230"/>
      <c r="T435" s="230"/>
      <c r="U435" s="193"/>
    </row>
    <row r="436">
      <c r="O436" s="230"/>
      <c r="P436" s="230"/>
      <c r="T436" s="230"/>
      <c r="U436" s="193"/>
    </row>
    <row r="437">
      <c r="O437" s="230"/>
      <c r="P437" s="230"/>
      <c r="T437" s="230"/>
      <c r="U437" s="193"/>
    </row>
    <row r="438">
      <c r="O438" s="230"/>
      <c r="P438" s="230"/>
      <c r="T438" s="230"/>
      <c r="U438" s="193"/>
    </row>
    <row r="439">
      <c r="O439" s="230"/>
      <c r="P439" s="230"/>
      <c r="T439" s="230"/>
      <c r="U439" s="193"/>
    </row>
    <row r="440">
      <c r="O440" s="230"/>
      <c r="P440" s="230"/>
      <c r="T440" s="230"/>
      <c r="U440" s="193"/>
    </row>
    <row r="441">
      <c r="O441" s="230"/>
      <c r="P441" s="230"/>
      <c r="T441" s="230"/>
      <c r="U441" s="193"/>
    </row>
    <row r="442">
      <c r="O442" s="230"/>
      <c r="P442" s="230"/>
      <c r="T442" s="230"/>
      <c r="U442" s="193"/>
    </row>
    <row r="443">
      <c r="O443" s="230"/>
      <c r="P443" s="230"/>
      <c r="T443" s="230"/>
      <c r="U443" s="193"/>
    </row>
    <row r="444">
      <c r="O444" s="230"/>
      <c r="P444" s="230"/>
      <c r="T444" s="230"/>
      <c r="U444" s="193"/>
    </row>
    <row r="445">
      <c r="O445" s="230"/>
      <c r="P445" s="230"/>
      <c r="T445" s="230"/>
      <c r="U445" s="193"/>
    </row>
    <row r="446">
      <c r="O446" s="230"/>
      <c r="P446" s="230"/>
      <c r="T446" s="230"/>
      <c r="U446" s="193"/>
    </row>
    <row r="447">
      <c r="O447" s="230"/>
      <c r="P447" s="230"/>
      <c r="T447" s="230"/>
      <c r="U447" s="193"/>
    </row>
    <row r="448">
      <c r="O448" s="230"/>
      <c r="P448" s="230"/>
      <c r="T448" s="230"/>
      <c r="U448" s="193"/>
    </row>
    <row r="449">
      <c r="O449" s="230"/>
      <c r="P449" s="230"/>
      <c r="T449" s="230"/>
      <c r="U449" s="193"/>
    </row>
    <row r="450">
      <c r="O450" s="230"/>
      <c r="P450" s="230"/>
      <c r="T450" s="230"/>
      <c r="U450" s="193"/>
    </row>
    <row r="451">
      <c r="O451" s="230"/>
      <c r="P451" s="230"/>
      <c r="T451" s="230"/>
      <c r="U451" s="193"/>
    </row>
    <row r="452">
      <c r="O452" s="230"/>
      <c r="P452" s="230"/>
      <c r="T452" s="230"/>
      <c r="U452" s="193"/>
    </row>
    <row r="453">
      <c r="O453" s="230"/>
      <c r="P453" s="230"/>
      <c r="T453" s="230"/>
      <c r="U453" s="193"/>
    </row>
    <row r="454">
      <c r="O454" s="230"/>
      <c r="P454" s="230"/>
      <c r="T454" s="230"/>
      <c r="U454" s="193"/>
    </row>
    <row r="455">
      <c r="O455" s="230"/>
      <c r="P455" s="230"/>
      <c r="T455" s="230"/>
      <c r="U455" s="193"/>
    </row>
    <row r="456">
      <c r="O456" s="230"/>
      <c r="P456" s="230"/>
      <c r="T456" s="230"/>
      <c r="U456" s="193"/>
    </row>
    <row r="457">
      <c r="O457" s="230"/>
      <c r="P457" s="230"/>
      <c r="T457" s="230"/>
      <c r="U457" s="193"/>
    </row>
    <row r="458">
      <c r="O458" s="230"/>
      <c r="P458" s="230"/>
      <c r="T458" s="230"/>
      <c r="U458" s="193"/>
    </row>
    <row r="459">
      <c r="O459" s="230"/>
      <c r="P459" s="230"/>
      <c r="T459" s="230"/>
      <c r="U459" s="193"/>
    </row>
    <row r="460">
      <c r="O460" s="230"/>
      <c r="P460" s="230"/>
      <c r="T460" s="230"/>
      <c r="U460" s="193"/>
    </row>
    <row r="461">
      <c r="O461" s="230"/>
      <c r="P461" s="230"/>
      <c r="T461" s="230"/>
      <c r="U461" s="193"/>
    </row>
    <row r="462">
      <c r="O462" s="230"/>
      <c r="P462" s="230"/>
      <c r="T462" s="230"/>
      <c r="U462" s="193"/>
    </row>
    <row r="463">
      <c r="O463" s="230"/>
      <c r="P463" s="230"/>
      <c r="T463" s="230"/>
      <c r="U463" s="193"/>
    </row>
    <row r="464">
      <c r="O464" s="230"/>
      <c r="P464" s="230"/>
      <c r="T464" s="230"/>
      <c r="U464" s="193"/>
    </row>
    <row r="465">
      <c r="O465" s="230"/>
      <c r="P465" s="230"/>
      <c r="T465" s="230"/>
      <c r="U465" s="193"/>
    </row>
    <row r="466">
      <c r="O466" s="230"/>
      <c r="P466" s="230"/>
      <c r="T466" s="230"/>
      <c r="U466" s="193"/>
    </row>
    <row r="467">
      <c r="O467" s="230"/>
      <c r="P467" s="230"/>
      <c r="T467" s="230"/>
      <c r="U467" s="193"/>
    </row>
    <row r="468">
      <c r="O468" s="230"/>
      <c r="P468" s="230"/>
      <c r="T468" s="230"/>
      <c r="U468" s="193"/>
    </row>
    <row r="469">
      <c r="O469" s="230"/>
      <c r="P469" s="230"/>
      <c r="T469" s="230"/>
      <c r="U469" s="193"/>
    </row>
    <row r="470">
      <c r="O470" s="230"/>
      <c r="P470" s="230"/>
      <c r="T470" s="230"/>
      <c r="U470" s="193"/>
    </row>
    <row r="471">
      <c r="O471" s="230"/>
      <c r="P471" s="230"/>
      <c r="T471" s="230"/>
      <c r="U471" s="193"/>
    </row>
    <row r="472">
      <c r="O472" s="230"/>
      <c r="P472" s="230"/>
      <c r="T472" s="230"/>
      <c r="U472" s="193"/>
    </row>
    <row r="473">
      <c r="O473" s="230"/>
      <c r="P473" s="230"/>
      <c r="T473" s="230"/>
      <c r="U473" s="193"/>
    </row>
    <row r="474">
      <c r="O474" s="230"/>
      <c r="P474" s="230"/>
      <c r="T474" s="230"/>
      <c r="U474" s="193"/>
    </row>
    <row r="475">
      <c r="O475" s="230"/>
      <c r="P475" s="230"/>
      <c r="T475" s="230"/>
      <c r="U475" s="193"/>
    </row>
    <row r="476">
      <c r="O476" s="230"/>
      <c r="P476" s="230"/>
      <c r="T476" s="230"/>
      <c r="U476" s="193"/>
    </row>
    <row r="477">
      <c r="O477" s="230"/>
      <c r="P477" s="230"/>
      <c r="T477" s="230"/>
      <c r="U477" s="193"/>
    </row>
    <row r="478">
      <c r="O478" s="230"/>
      <c r="P478" s="230"/>
      <c r="T478" s="230"/>
      <c r="U478" s="193"/>
    </row>
    <row r="479">
      <c r="O479" s="230"/>
      <c r="P479" s="230"/>
      <c r="T479" s="230"/>
      <c r="U479" s="193"/>
    </row>
    <row r="480">
      <c r="O480" s="230"/>
      <c r="P480" s="230"/>
      <c r="T480" s="230"/>
      <c r="U480" s="193"/>
    </row>
    <row r="481">
      <c r="O481" s="230"/>
      <c r="P481" s="230"/>
      <c r="T481" s="230"/>
      <c r="U481" s="193"/>
    </row>
    <row r="482">
      <c r="O482" s="230"/>
      <c r="P482" s="230"/>
      <c r="T482" s="230"/>
      <c r="U482" s="193"/>
    </row>
    <row r="483">
      <c r="O483" s="230"/>
      <c r="P483" s="230"/>
      <c r="T483" s="230"/>
      <c r="U483" s="193"/>
    </row>
    <row r="484">
      <c r="O484" s="230"/>
      <c r="P484" s="230"/>
      <c r="T484" s="230"/>
      <c r="U484" s="193"/>
    </row>
    <row r="485">
      <c r="O485" s="230"/>
      <c r="P485" s="230"/>
      <c r="T485" s="230"/>
      <c r="U485" s="193"/>
    </row>
    <row r="486">
      <c r="O486" s="230"/>
      <c r="P486" s="230"/>
      <c r="T486" s="230"/>
      <c r="U486" s="193"/>
    </row>
    <row r="487">
      <c r="O487" s="230"/>
      <c r="P487" s="230"/>
      <c r="T487" s="230"/>
      <c r="U487" s="193"/>
    </row>
    <row r="488">
      <c r="O488" s="230"/>
      <c r="P488" s="230"/>
      <c r="T488" s="230"/>
      <c r="U488" s="193"/>
    </row>
    <row r="489">
      <c r="O489" s="230"/>
      <c r="P489" s="230"/>
      <c r="T489" s="230"/>
      <c r="U489" s="193"/>
    </row>
    <row r="490">
      <c r="O490" s="230"/>
      <c r="P490" s="230"/>
      <c r="T490" s="230"/>
      <c r="U490" s="193"/>
    </row>
    <row r="491">
      <c r="O491" s="230"/>
      <c r="P491" s="230"/>
      <c r="T491" s="230"/>
      <c r="U491" s="193"/>
    </row>
    <row r="492">
      <c r="O492" s="230"/>
      <c r="P492" s="230"/>
      <c r="T492" s="230"/>
      <c r="U492" s="193"/>
    </row>
    <row r="493">
      <c r="O493" s="230"/>
      <c r="P493" s="230"/>
      <c r="T493" s="230"/>
      <c r="U493" s="193"/>
    </row>
    <row r="494">
      <c r="O494" s="230"/>
      <c r="P494" s="230"/>
      <c r="T494" s="230"/>
      <c r="U494" s="193"/>
    </row>
    <row r="495">
      <c r="O495" s="230"/>
      <c r="P495" s="230"/>
      <c r="T495" s="230"/>
      <c r="U495" s="193"/>
    </row>
    <row r="496">
      <c r="O496" s="230"/>
      <c r="P496" s="230"/>
      <c r="T496" s="230"/>
      <c r="U496" s="193"/>
    </row>
    <row r="497">
      <c r="O497" s="230"/>
      <c r="P497" s="230"/>
      <c r="T497" s="230"/>
      <c r="U497" s="193"/>
    </row>
    <row r="498">
      <c r="O498" s="230"/>
      <c r="P498" s="230"/>
      <c r="T498" s="230"/>
      <c r="U498" s="193"/>
    </row>
    <row r="499">
      <c r="O499" s="230"/>
      <c r="P499" s="230"/>
      <c r="T499" s="230"/>
      <c r="U499" s="193"/>
    </row>
    <row r="500">
      <c r="O500" s="230"/>
      <c r="P500" s="230"/>
      <c r="T500" s="230"/>
      <c r="U500" s="193"/>
    </row>
    <row r="501">
      <c r="O501" s="230"/>
      <c r="P501" s="230"/>
      <c r="T501" s="230"/>
      <c r="U501" s="193"/>
    </row>
    <row r="502">
      <c r="O502" s="230"/>
      <c r="P502" s="230"/>
      <c r="T502" s="230"/>
      <c r="U502" s="193"/>
    </row>
    <row r="503">
      <c r="O503" s="230"/>
      <c r="P503" s="230"/>
      <c r="T503" s="230"/>
      <c r="U503" s="193"/>
    </row>
    <row r="504">
      <c r="O504" s="230"/>
      <c r="P504" s="230"/>
      <c r="T504" s="230"/>
      <c r="U504" s="193"/>
    </row>
    <row r="505">
      <c r="O505" s="230"/>
      <c r="P505" s="230"/>
      <c r="T505" s="230"/>
      <c r="U505" s="193"/>
    </row>
    <row r="506">
      <c r="O506" s="230"/>
      <c r="P506" s="230"/>
      <c r="T506" s="230"/>
      <c r="U506" s="193"/>
    </row>
    <row r="507">
      <c r="O507" s="230"/>
      <c r="P507" s="230"/>
      <c r="T507" s="230"/>
      <c r="U507" s="193"/>
    </row>
    <row r="508">
      <c r="O508" s="230"/>
      <c r="P508" s="230"/>
      <c r="T508" s="230"/>
      <c r="U508" s="193"/>
    </row>
    <row r="509">
      <c r="O509" s="230"/>
      <c r="P509" s="230"/>
      <c r="T509" s="230"/>
      <c r="U509" s="193"/>
    </row>
    <row r="510">
      <c r="O510" s="230"/>
      <c r="P510" s="230"/>
      <c r="T510" s="230"/>
      <c r="U510" s="193"/>
    </row>
    <row r="511">
      <c r="O511" s="230"/>
      <c r="P511" s="230"/>
      <c r="T511" s="230"/>
      <c r="U511" s="193"/>
    </row>
    <row r="512">
      <c r="O512" s="230"/>
      <c r="P512" s="230"/>
      <c r="T512" s="230"/>
      <c r="U512" s="193"/>
    </row>
    <row r="513">
      <c r="O513" s="230"/>
      <c r="P513" s="230"/>
      <c r="T513" s="230"/>
      <c r="U513" s="193"/>
    </row>
    <row r="514">
      <c r="O514" s="230"/>
      <c r="P514" s="230"/>
      <c r="T514" s="230"/>
      <c r="U514" s="193"/>
    </row>
    <row r="515">
      <c r="O515" s="230"/>
      <c r="P515" s="230"/>
      <c r="T515" s="230"/>
      <c r="U515" s="193"/>
    </row>
    <row r="516">
      <c r="O516" s="230"/>
      <c r="P516" s="230"/>
      <c r="T516" s="230"/>
      <c r="U516" s="193"/>
    </row>
    <row r="517">
      <c r="O517" s="230"/>
      <c r="P517" s="230"/>
      <c r="T517" s="230"/>
      <c r="U517" s="193"/>
    </row>
    <row r="518">
      <c r="O518" s="230"/>
      <c r="P518" s="230"/>
      <c r="T518" s="230"/>
      <c r="U518" s="193"/>
    </row>
    <row r="519">
      <c r="O519" s="230"/>
      <c r="P519" s="230"/>
      <c r="T519" s="230"/>
      <c r="U519" s="193"/>
    </row>
    <row r="520">
      <c r="O520" s="230"/>
      <c r="P520" s="230"/>
      <c r="T520" s="230"/>
      <c r="U520" s="193"/>
    </row>
    <row r="521">
      <c r="O521" s="230"/>
      <c r="P521" s="230"/>
      <c r="T521" s="230"/>
      <c r="U521" s="193"/>
    </row>
    <row r="522">
      <c r="O522" s="230"/>
      <c r="P522" s="230"/>
      <c r="T522" s="230"/>
      <c r="U522" s="193"/>
    </row>
    <row r="523">
      <c r="O523" s="230"/>
      <c r="P523" s="230"/>
      <c r="T523" s="230"/>
      <c r="U523" s="193"/>
    </row>
    <row r="524">
      <c r="O524" s="230"/>
      <c r="P524" s="230"/>
      <c r="T524" s="230"/>
      <c r="U524" s="193"/>
    </row>
    <row r="525">
      <c r="O525" s="230"/>
      <c r="P525" s="230"/>
      <c r="T525" s="230"/>
      <c r="U525" s="193"/>
    </row>
    <row r="526">
      <c r="O526" s="230"/>
      <c r="P526" s="230"/>
      <c r="T526" s="230"/>
      <c r="U526" s="193"/>
    </row>
    <row r="527">
      <c r="O527" s="230"/>
      <c r="P527" s="230"/>
      <c r="T527" s="230"/>
      <c r="U527" s="193"/>
    </row>
    <row r="528">
      <c r="O528" s="230"/>
      <c r="P528" s="230"/>
      <c r="T528" s="230"/>
      <c r="U528" s="193"/>
    </row>
    <row r="529">
      <c r="O529" s="230"/>
      <c r="P529" s="230"/>
      <c r="T529" s="230"/>
      <c r="U529" s="193"/>
    </row>
    <row r="530">
      <c r="O530" s="230"/>
      <c r="P530" s="230"/>
      <c r="T530" s="230"/>
      <c r="U530" s="193"/>
    </row>
    <row r="531">
      <c r="O531" s="230"/>
      <c r="P531" s="230"/>
      <c r="T531" s="230"/>
      <c r="U531" s="193"/>
    </row>
    <row r="532">
      <c r="O532" s="230"/>
      <c r="P532" s="230"/>
      <c r="T532" s="230"/>
      <c r="U532" s="193"/>
    </row>
    <row r="533">
      <c r="O533" s="230"/>
      <c r="P533" s="230"/>
      <c r="T533" s="230"/>
      <c r="U533" s="193"/>
    </row>
    <row r="534">
      <c r="O534" s="230"/>
      <c r="P534" s="230"/>
      <c r="T534" s="230"/>
      <c r="U534" s="193"/>
    </row>
    <row r="535">
      <c r="O535" s="230"/>
      <c r="P535" s="230"/>
      <c r="T535" s="230"/>
      <c r="U535" s="193"/>
    </row>
    <row r="536">
      <c r="O536" s="230"/>
      <c r="P536" s="230"/>
      <c r="T536" s="230"/>
      <c r="U536" s="193"/>
    </row>
    <row r="537">
      <c r="O537" s="230"/>
      <c r="P537" s="230"/>
      <c r="T537" s="230"/>
      <c r="U537" s="193"/>
    </row>
    <row r="538">
      <c r="O538" s="230"/>
      <c r="P538" s="230"/>
      <c r="T538" s="230"/>
      <c r="U538" s="193"/>
    </row>
    <row r="539">
      <c r="O539" s="230"/>
      <c r="P539" s="230"/>
      <c r="T539" s="230"/>
      <c r="U539" s="193"/>
    </row>
    <row r="540">
      <c r="O540" s="230"/>
      <c r="P540" s="230"/>
      <c r="T540" s="230"/>
      <c r="U540" s="193"/>
    </row>
    <row r="541">
      <c r="O541" s="230"/>
      <c r="P541" s="230"/>
      <c r="T541" s="230"/>
      <c r="U541" s="193"/>
    </row>
    <row r="542">
      <c r="O542" s="230"/>
      <c r="P542" s="230"/>
      <c r="T542" s="230"/>
      <c r="U542" s="193"/>
    </row>
    <row r="543">
      <c r="O543" s="230"/>
      <c r="P543" s="230"/>
      <c r="T543" s="230"/>
      <c r="U543" s="193"/>
    </row>
    <row r="544">
      <c r="O544" s="230"/>
      <c r="P544" s="230"/>
      <c r="T544" s="230"/>
      <c r="U544" s="193"/>
    </row>
    <row r="545">
      <c r="O545" s="230"/>
      <c r="P545" s="230"/>
      <c r="T545" s="230"/>
      <c r="U545" s="193"/>
    </row>
    <row r="546">
      <c r="O546" s="230"/>
      <c r="P546" s="230"/>
      <c r="T546" s="230"/>
      <c r="U546" s="193"/>
    </row>
    <row r="547">
      <c r="O547" s="230"/>
      <c r="P547" s="230"/>
      <c r="T547" s="230"/>
      <c r="U547" s="193"/>
    </row>
    <row r="548">
      <c r="O548" s="230"/>
      <c r="P548" s="230"/>
      <c r="T548" s="230"/>
      <c r="U548" s="193"/>
    </row>
    <row r="549">
      <c r="O549" s="230"/>
      <c r="P549" s="230"/>
      <c r="T549" s="230"/>
      <c r="U549" s="193"/>
    </row>
    <row r="550">
      <c r="O550" s="230"/>
      <c r="P550" s="230"/>
      <c r="T550" s="230"/>
      <c r="U550" s="193"/>
    </row>
    <row r="551">
      <c r="O551" s="230"/>
      <c r="P551" s="230"/>
      <c r="T551" s="230"/>
      <c r="U551" s="193"/>
    </row>
    <row r="552">
      <c r="O552" s="230"/>
      <c r="P552" s="230"/>
      <c r="T552" s="230"/>
      <c r="U552" s="193"/>
    </row>
    <row r="553">
      <c r="O553" s="230"/>
      <c r="P553" s="230"/>
      <c r="T553" s="230"/>
      <c r="U553" s="193"/>
    </row>
    <row r="554">
      <c r="O554" s="230"/>
      <c r="P554" s="230"/>
      <c r="T554" s="230"/>
      <c r="U554" s="193"/>
    </row>
    <row r="555">
      <c r="O555" s="230"/>
      <c r="P555" s="230"/>
      <c r="T555" s="230"/>
      <c r="U555" s="193"/>
    </row>
    <row r="556">
      <c r="O556" s="230"/>
      <c r="P556" s="230"/>
      <c r="T556" s="230"/>
      <c r="U556" s="193"/>
    </row>
    <row r="557">
      <c r="O557" s="230"/>
      <c r="P557" s="230"/>
      <c r="T557" s="230"/>
      <c r="U557" s="193"/>
    </row>
    <row r="558">
      <c r="O558" s="230"/>
      <c r="P558" s="230"/>
      <c r="T558" s="230"/>
      <c r="U558" s="193"/>
    </row>
    <row r="559">
      <c r="O559" s="230"/>
      <c r="P559" s="230"/>
      <c r="T559" s="230"/>
      <c r="U559" s="193"/>
    </row>
    <row r="560">
      <c r="O560" s="230"/>
      <c r="P560" s="230"/>
      <c r="T560" s="230"/>
      <c r="U560" s="193"/>
    </row>
    <row r="561">
      <c r="O561" s="230"/>
      <c r="P561" s="230"/>
      <c r="T561" s="230"/>
      <c r="U561" s="193"/>
    </row>
    <row r="562">
      <c r="O562" s="230"/>
      <c r="P562" s="230"/>
      <c r="T562" s="230"/>
      <c r="U562" s="193"/>
    </row>
    <row r="563">
      <c r="O563" s="230"/>
      <c r="P563" s="230"/>
      <c r="T563" s="230"/>
      <c r="U563" s="193"/>
    </row>
    <row r="564">
      <c r="O564" s="230"/>
      <c r="P564" s="230"/>
      <c r="T564" s="230"/>
      <c r="U564" s="193"/>
    </row>
    <row r="565">
      <c r="O565" s="230"/>
      <c r="P565" s="230"/>
      <c r="T565" s="230"/>
      <c r="U565" s="193"/>
    </row>
    <row r="566">
      <c r="O566" s="230"/>
      <c r="P566" s="230"/>
      <c r="T566" s="230"/>
      <c r="U566" s="193"/>
    </row>
    <row r="567">
      <c r="O567" s="230"/>
      <c r="P567" s="230"/>
      <c r="T567" s="230"/>
      <c r="U567" s="193"/>
    </row>
    <row r="568">
      <c r="O568" s="230"/>
      <c r="P568" s="230"/>
      <c r="T568" s="230"/>
      <c r="U568" s="193"/>
    </row>
    <row r="569">
      <c r="O569" s="230"/>
      <c r="P569" s="230"/>
      <c r="T569" s="230"/>
      <c r="U569" s="193"/>
    </row>
    <row r="570">
      <c r="O570" s="230"/>
      <c r="P570" s="230"/>
      <c r="T570" s="230"/>
      <c r="U570" s="193"/>
    </row>
    <row r="571">
      <c r="O571" s="230"/>
      <c r="P571" s="230"/>
      <c r="T571" s="230"/>
      <c r="U571" s="193"/>
    </row>
    <row r="572">
      <c r="O572" s="230"/>
      <c r="P572" s="230"/>
      <c r="T572" s="230"/>
      <c r="U572" s="193"/>
    </row>
    <row r="573">
      <c r="O573" s="230"/>
      <c r="P573" s="230"/>
      <c r="T573" s="230"/>
      <c r="U573" s="193"/>
    </row>
    <row r="574">
      <c r="O574" s="230"/>
      <c r="P574" s="230"/>
      <c r="T574" s="230"/>
      <c r="U574" s="193"/>
    </row>
    <row r="575">
      <c r="O575" s="230"/>
      <c r="P575" s="230"/>
      <c r="T575" s="230"/>
      <c r="U575" s="193"/>
    </row>
    <row r="576">
      <c r="O576" s="230"/>
      <c r="P576" s="230"/>
      <c r="T576" s="230"/>
      <c r="U576" s="193"/>
    </row>
    <row r="577">
      <c r="O577" s="230"/>
      <c r="P577" s="230"/>
      <c r="T577" s="230"/>
      <c r="U577" s="193"/>
    </row>
    <row r="578">
      <c r="O578" s="230"/>
      <c r="P578" s="230"/>
      <c r="T578" s="230"/>
      <c r="U578" s="193"/>
    </row>
    <row r="579">
      <c r="O579" s="230"/>
      <c r="P579" s="230"/>
      <c r="T579" s="230"/>
      <c r="U579" s="193"/>
    </row>
    <row r="580">
      <c r="O580" s="230"/>
      <c r="P580" s="230"/>
      <c r="T580" s="230"/>
      <c r="U580" s="193"/>
    </row>
    <row r="581">
      <c r="O581" s="230"/>
      <c r="P581" s="230"/>
      <c r="T581" s="230"/>
      <c r="U581" s="193"/>
    </row>
    <row r="582">
      <c r="O582" s="230"/>
      <c r="P582" s="230"/>
      <c r="T582" s="230"/>
      <c r="U582" s="193"/>
    </row>
    <row r="583">
      <c r="O583" s="230"/>
      <c r="P583" s="230"/>
      <c r="T583" s="230"/>
      <c r="U583" s="193"/>
    </row>
    <row r="584">
      <c r="O584" s="230"/>
      <c r="P584" s="230"/>
      <c r="T584" s="230"/>
      <c r="U584" s="193"/>
    </row>
    <row r="585">
      <c r="O585" s="230"/>
      <c r="P585" s="230"/>
      <c r="T585" s="230"/>
      <c r="U585" s="193"/>
    </row>
    <row r="586">
      <c r="O586" s="230"/>
      <c r="P586" s="230"/>
      <c r="T586" s="230"/>
      <c r="U586" s="193"/>
    </row>
    <row r="587">
      <c r="O587" s="230"/>
      <c r="P587" s="230"/>
      <c r="T587" s="230"/>
      <c r="U587" s="193"/>
    </row>
    <row r="588">
      <c r="O588" s="230"/>
      <c r="P588" s="230"/>
      <c r="T588" s="230"/>
      <c r="U588" s="193"/>
    </row>
    <row r="589">
      <c r="O589" s="230"/>
      <c r="P589" s="230"/>
      <c r="T589" s="230"/>
      <c r="U589" s="193"/>
    </row>
    <row r="590">
      <c r="O590" s="230"/>
      <c r="P590" s="230"/>
      <c r="T590" s="230"/>
      <c r="U590" s="193"/>
    </row>
    <row r="591">
      <c r="O591" s="230"/>
      <c r="P591" s="230"/>
      <c r="T591" s="230"/>
      <c r="U591" s="193"/>
    </row>
    <row r="592">
      <c r="O592" s="230"/>
      <c r="P592" s="230"/>
      <c r="T592" s="230"/>
      <c r="U592" s="193"/>
    </row>
    <row r="593">
      <c r="O593" s="230"/>
      <c r="P593" s="230"/>
      <c r="T593" s="230"/>
      <c r="U593" s="193"/>
    </row>
    <row r="594">
      <c r="O594" s="230"/>
      <c r="P594" s="230"/>
      <c r="T594" s="230"/>
      <c r="U594" s="193"/>
    </row>
    <row r="595">
      <c r="O595" s="230"/>
      <c r="P595" s="230"/>
      <c r="T595" s="230"/>
      <c r="U595" s="193"/>
    </row>
    <row r="596">
      <c r="O596" s="230"/>
      <c r="P596" s="230"/>
      <c r="T596" s="230"/>
      <c r="U596" s="193"/>
    </row>
    <row r="597">
      <c r="O597" s="230"/>
      <c r="P597" s="230"/>
      <c r="T597" s="230"/>
      <c r="U597" s="193"/>
    </row>
    <row r="598">
      <c r="O598" s="230"/>
      <c r="P598" s="230"/>
      <c r="T598" s="230"/>
      <c r="U598" s="193"/>
    </row>
    <row r="599">
      <c r="O599" s="230"/>
      <c r="P599" s="230"/>
      <c r="T599" s="230"/>
      <c r="U599" s="193"/>
    </row>
    <row r="600">
      <c r="O600" s="230"/>
      <c r="P600" s="230"/>
      <c r="T600" s="230"/>
      <c r="U600" s="193"/>
    </row>
    <row r="601">
      <c r="O601" s="230"/>
      <c r="P601" s="230"/>
      <c r="T601" s="230"/>
      <c r="U601" s="193"/>
    </row>
    <row r="602">
      <c r="O602" s="230"/>
      <c r="P602" s="230"/>
      <c r="T602" s="230"/>
      <c r="U602" s="193"/>
    </row>
    <row r="603">
      <c r="O603" s="230"/>
      <c r="P603" s="230"/>
      <c r="T603" s="230"/>
      <c r="U603" s="193"/>
    </row>
    <row r="604">
      <c r="O604" s="230"/>
      <c r="P604" s="230"/>
      <c r="T604" s="230"/>
      <c r="U604" s="193"/>
    </row>
    <row r="605">
      <c r="O605" s="230"/>
      <c r="P605" s="230"/>
      <c r="T605" s="230"/>
      <c r="U605" s="193"/>
    </row>
    <row r="606">
      <c r="O606" s="230"/>
      <c r="P606" s="230"/>
      <c r="T606" s="230"/>
      <c r="U606" s="193"/>
    </row>
    <row r="607">
      <c r="O607" s="230"/>
      <c r="P607" s="230"/>
      <c r="T607" s="230"/>
      <c r="U607" s="193"/>
    </row>
    <row r="608">
      <c r="O608" s="230"/>
      <c r="P608" s="230"/>
      <c r="T608" s="230"/>
      <c r="U608" s="193"/>
    </row>
    <row r="609">
      <c r="O609" s="230"/>
      <c r="P609" s="230"/>
      <c r="T609" s="230"/>
      <c r="U609" s="193"/>
    </row>
    <row r="610">
      <c r="O610" s="230"/>
      <c r="P610" s="230"/>
      <c r="T610" s="230"/>
      <c r="U610" s="193"/>
    </row>
    <row r="611">
      <c r="O611" s="230"/>
      <c r="P611" s="230"/>
      <c r="T611" s="230"/>
      <c r="U611" s="193"/>
    </row>
    <row r="612">
      <c r="O612" s="230"/>
      <c r="P612" s="230"/>
      <c r="T612" s="230"/>
      <c r="U612" s="193"/>
    </row>
    <row r="613">
      <c r="O613" s="230"/>
      <c r="P613" s="230"/>
      <c r="T613" s="230"/>
      <c r="U613" s="193"/>
    </row>
    <row r="614">
      <c r="O614" s="230"/>
      <c r="P614" s="230"/>
      <c r="T614" s="230"/>
      <c r="U614" s="193"/>
    </row>
    <row r="615">
      <c r="O615" s="230"/>
      <c r="P615" s="230"/>
      <c r="T615" s="230"/>
      <c r="U615" s="193"/>
    </row>
    <row r="616">
      <c r="O616" s="230"/>
      <c r="P616" s="230"/>
      <c r="T616" s="230"/>
      <c r="U616" s="193"/>
    </row>
    <row r="617">
      <c r="O617" s="230"/>
      <c r="P617" s="230"/>
      <c r="T617" s="230"/>
      <c r="U617" s="193"/>
    </row>
    <row r="618">
      <c r="O618" s="230"/>
      <c r="P618" s="230"/>
      <c r="T618" s="230"/>
      <c r="U618" s="193"/>
    </row>
    <row r="619">
      <c r="O619" s="230"/>
      <c r="P619" s="230"/>
      <c r="T619" s="230"/>
      <c r="U619" s="193"/>
    </row>
    <row r="620">
      <c r="O620" s="230"/>
      <c r="P620" s="230"/>
      <c r="T620" s="230"/>
      <c r="U620" s="193"/>
    </row>
    <row r="621">
      <c r="O621" s="230"/>
      <c r="P621" s="230"/>
      <c r="T621" s="230"/>
      <c r="U621" s="193"/>
    </row>
    <row r="622">
      <c r="O622" s="230"/>
      <c r="P622" s="230"/>
      <c r="T622" s="230"/>
      <c r="U622" s="193"/>
    </row>
    <row r="623">
      <c r="O623" s="230"/>
      <c r="P623" s="230"/>
      <c r="T623" s="230"/>
      <c r="U623" s="193"/>
    </row>
    <row r="624">
      <c r="O624" s="230"/>
      <c r="P624" s="230"/>
      <c r="T624" s="230"/>
      <c r="U624" s="193"/>
    </row>
    <row r="625">
      <c r="O625" s="230"/>
      <c r="P625" s="230"/>
      <c r="T625" s="230"/>
      <c r="U625" s="193"/>
    </row>
    <row r="626">
      <c r="O626" s="230"/>
      <c r="P626" s="230"/>
      <c r="T626" s="230"/>
      <c r="U626" s="193"/>
    </row>
    <row r="627">
      <c r="O627" s="230"/>
      <c r="P627" s="230"/>
      <c r="T627" s="230"/>
      <c r="U627" s="193"/>
    </row>
    <row r="628">
      <c r="O628" s="230"/>
      <c r="P628" s="230"/>
      <c r="T628" s="230"/>
      <c r="U628" s="193"/>
    </row>
    <row r="629">
      <c r="O629" s="230"/>
      <c r="P629" s="230"/>
      <c r="T629" s="230"/>
      <c r="U629" s="193"/>
    </row>
    <row r="630">
      <c r="O630" s="230"/>
      <c r="P630" s="230"/>
      <c r="T630" s="230"/>
      <c r="U630" s="193"/>
    </row>
    <row r="631">
      <c r="O631" s="230"/>
      <c r="P631" s="230"/>
      <c r="T631" s="230"/>
      <c r="U631" s="193"/>
    </row>
    <row r="632">
      <c r="O632" s="230"/>
      <c r="P632" s="230"/>
      <c r="T632" s="230"/>
      <c r="U632" s="193"/>
    </row>
    <row r="633">
      <c r="O633" s="230"/>
      <c r="P633" s="230"/>
      <c r="T633" s="230"/>
      <c r="U633" s="193"/>
    </row>
    <row r="634">
      <c r="O634" s="230"/>
      <c r="P634" s="230"/>
      <c r="T634" s="230"/>
      <c r="U634" s="193"/>
    </row>
    <row r="635">
      <c r="O635" s="230"/>
      <c r="P635" s="230"/>
      <c r="T635" s="230"/>
      <c r="U635" s="193"/>
    </row>
    <row r="636">
      <c r="O636" s="230"/>
      <c r="P636" s="230"/>
      <c r="T636" s="230"/>
      <c r="U636" s="193"/>
    </row>
    <row r="637">
      <c r="O637" s="230"/>
      <c r="P637" s="230"/>
      <c r="T637" s="230"/>
      <c r="U637" s="193"/>
    </row>
    <row r="638">
      <c r="O638" s="230"/>
      <c r="P638" s="230"/>
      <c r="T638" s="230"/>
      <c r="U638" s="193"/>
    </row>
    <row r="639">
      <c r="O639" s="230"/>
      <c r="P639" s="230"/>
      <c r="T639" s="230"/>
      <c r="U639" s="193"/>
    </row>
    <row r="640">
      <c r="O640" s="230"/>
      <c r="P640" s="230"/>
      <c r="T640" s="230"/>
      <c r="U640" s="193"/>
    </row>
    <row r="641">
      <c r="O641" s="230"/>
      <c r="P641" s="230"/>
      <c r="T641" s="230"/>
      <c r="U641" s="193"/>
    </row>
    <row r="642">
      <c r="O642" s="230"/>
      <c r="P642" s="230"/>
      <c r="T642" s="230"/>
      <c r="U642" s="193"/>
    </row>
    <row r="643">
      <c r="O643" s="230"/>
      <c r="P643" s="230"/>
      <c r="T643" s="230"/>
      <c r="U643" s="193"/>
    </row>
    <row r="644">
      <c r="O644" s="230"/>
      <c r="P644" s="230"/>
      <c r="T644" s="230"/>
      <c r="U644" s="193"/>
    </row>
    <row r="645">
      <c r="O645" s="230"/>
      <c r="P645" s="230"/>
      <c r="T645" s="230"/>
      <c r="U645" s="193"/>
    </row>
    <row r="646">
      <c r="O646" s="230"/>
      <c r="P646" s="230"/>
      <c r="T646" s="230"/>
      <c r="U646" s="193"/>
    </row>
    <row r="647">
      <c r="O647" s="230"/>
      <c r="P647" s="230"/>
      <c r="T647" s="230"/>
      <c r="U647" s="193"/>
    </row>
    <row r="648">
      <c r="O648" s="230"/>
      <c r="P648" s="230"/>
      <c r="T648" s="230"/>
      <c r="U648" s="193"/>
    </row>
    <row r="649">
      <c r="O649" s="230"/>
      <c r="P649" s="230"/>
      <c r="T649" s="230"/>
      <c r="U649" s="193"/>
    </row>
    <row r="650">
      <c r="O650" s="230"/>
      <c r="P650" s="230"/>
      <c r="T650" s="230"/>
      <c r="U650" s="193"/>
    </row>
    <row r="651">
      <c r="O651" s="230"/>
      <c r="P651" s="230"/>
      <c r="T651" s="230"/>
      <c r="U651" s="193"/>
    </row>
    <row r="652">
      <c r="O652" s="230"/>
      <c r="P652" s="230"/>
      <c r="T652" s="230"/>
      <c r="U652" s="193"/>
    </row>
    <row r="653">
      <c r="O653" s="230"/>
      <c r="P653" s="230"/>
      <c r="T653" s="230"/>
      <c r="U653" s="193"/>
    </row>
    <row r="654">
      <c r="O654" s="230"/>
      <c r="P654" s="230"/>
      <c r="T654" s="230"/>
      <c r="U654" s="193"/>
    </row>
    <row r="655">
      <c r="O655" s="230"/>
      <c r="P655" s="230"/>
      <c r="T655" s="230"/>
      <c r="U655" s="193"/>
    </row>
    <row r="656">
      <c r="O656" s="230"/>
      <c r="P656" s="230"/>
      <c r="T656" s="230"/>
      <c r="U656" s="193"/>
    </row>
    <row r="657">
      <c r="O657" s="230"/>
      <c r="P657" s="230"/>
      <c r="T657" s="230"/>
      <c r="U657" s="193"/>
    </row>
    <row r="658">
      <c r="O658" s="230"/>
      <c r="P658" s="230"/>
      <c r="T658" s="230"/>
      <c r="U658" s="193"/>
    </row>
    <row r="659">
      <c r="O659" s="230"/>
      <c r="P659" s="230"/>
      <c r="T659" s="230"/>
      <c r="U659" s="193"/>
    </row>
    <row r="660">
      <c r="O660" s="230"/>
      <c r="P660" s="230"/>
      <c r="T660" s="230"/>
      <c r="U660" s="193"/>
    </row>
    <row r="661">
      <c r="O661" s="230"/>
      <c r="P661" s="230"/>
      <c r="T661" s="230"/>
      <c r="U661" s="193"/>
    </row>
    <row r="662">
      <c r="O662" s="230"/>
      <c r="P662" s="230"/>
      <c r="T662" s="230"/>
      <c r="U662" s="193"/>
    </row>
    <row r="663">
      <c r="O663" s="230"/>
      <c r="P663" s="230"/>
      <c r="T663" s="230"/>
      <c r="U663" s="193"/>
    </row>
    <row r="664">
      <c r="O664" s="230"/>
      <c r="P664" s="230"/>
      <c r="T664" s="230"/>
      <c r="U664" s="193"/>
    </row>
    <row r="665">
      <c r="O665" s="230"/>
      <c r="P665" s="230"/>
      <c r="T665" s="230"/>
      <c r="U665" s="193"/>
    </row>
    <row r="666">
      <c r="O666" s="230"/>
      <c r="P666" s="230"/>
      <c r="T666" s="230"/>
      <c r="U666" s="193"/>
    </row>
    <row r="667">
      <c r="O667" s="230"/>
      <c r="P667" s="230"/>
      <c r="T667" s="230"/>
      <c r="U667" s="193"/>
    </row>
    <row r="668">
      <c r="O668" s="230"/>
      <c r="P668" s="230"/>
      <c r="T668" s="230"/>
      <c r="U668" s="193"/>
    </row>
    <row r="669">
      <c r="O669" s="230"/>
      <c r="P669" s="230"/>
      <c r="T669" s="230"/>
      <c r="U669" s="193"/>
    </row>
    <row r="670">
      <c r="O670" s="230"/>
      <c r="P670" s="230"/>
      <c r="T670" s="230"/>
      <c r="U670" s="193"/>
    </row>
    <row r="671">
      <c r="O671" s="230"/>
      <c r="P671" s="230"/>
      <c r="T671" s="230"/>
      <c r="U671" s="193"/>
    </row>
    <row r="672">
      <c r="O672" s="230"/>
      <c r="P672" s="230"/>
      <c r="T672" s="230"/>
      <c r="U672" s="193"/>
    </row>
    <row r="673">
      <c r="O673" s="230"/>
      <c r="P673" s="230"/>
      <c r="T673" s="230"/>
      <c r="U673" s="193"/>
    </row>
    <row r="674">
      <c r="O674" s="230"/>
      <c r="P674" s="230"/>
      <c r="T674" s="230"/>
      <c r="U674" s="193"/>
    </row>
    <row r="675">
      <c r="O675" s="230"/>
      <c r="P675" s="230"/>
      <c r="T675" s="230"/>
      <c r="U675" s="193"/>
    </row>
    <row r="676">
      <c r="O676" s="230"/>
      <c r="P676" s="230"/>
      <c r="T676" s="230"/>
      <c r="U676" s="193"/>
    </row>
    <row r="677">
      <c r="O677" s="230"/>
      <c r="P677" s="230"/>
      <c r="T677" s="230"/>
      <c r="U677" s="193"/>
    </row>
    <row r="678">
      <c r="O678" s="230"/>
      <c r="P678" s="230"/>
      <c r="T678" s="230"/>
      <c r="U678" s="193"/>
    </row>
    <row r="679">
      <c r="O679" s="230"/>
      <c r="P679" s="230"/>
      <c r="T679" s="230"/>
      <c r="U679" s="193"/>
    </row>
    <row r="680">
      <c r="O680" s="230"/>
      <c r="P680" s="230"/>
      <c r="T680" s="230"/>
      <c r="U680" s="193"/>
    </row>
    <row r="681">
      <c r="O681" s="230"/>
      <c r="P681" s="230"/>
      <c r="T681" s="230"/>
      <c r="U681" s="193"/>
    </row>
    <row r="682">
      <c r="O682" s="230"/>
      <c r="P682" s="230"/>
      <c r="T682" s="230"/>
      <c r="U682" s="193"/>
    </row>
    <row r="683">
      <c r="O683" s="230"/>
      <c r="P683" s="230"/>
      <c r="T683" s="230"/>
      <c r="U683" s="193"/>
    </row>
    <row r="684">
      <c r="O684" s="230"/>
      <c r="P684" s="230"/>
      <c r="T684" s="230"/>
      <c r="U684" s="193"/>
    </row>
    <row r="685">
      <c r="O685" s="230"/>
      <c r="P685" s="230"/>
      <c r="T685" s="230"/>
      <c r="U685" s="193"/>
    </row>
    <row r="686">
      <c r="O686" s="230"/>
      <c r="P686" s="230"/>
      <c r="T686" s="230"/>
      <c r="U686" s="193"/>
    </row>
    <row r="687">
      <c r="O687" s="230"/>
      <c r="P687" s="230"/>
      <c r="T687" s="230"/>
      <c r="U687" s="193"/>
    </row>
    <row r="688">
      <c r="O688" s="230"/>
      <c r="P688" s="230"/>
      <c r="T688" s="230"/>
      <c r="U688" s="193"/>
    </row>
    <row r="689">
      <c r="O689" s="230"/>
      <c r="P689" s="230"/>
      <c r="T689" s="230"/>
      <c r="U689" s="193"/>
    </row>
    <row r="690">
      <c r="O690" s="230"/>
      <c r="P690" s="230"/>
      <c r="T690" s="230"/>
      <c r="U690" s="193"/>
    </row>
    <row r="691">
      <c r="O691" s="230"/>
      <c r="P691" s="230"/>
      <c r="T691" s="230"/>
      <c r="U691" s="193"/>
    </row>
    <row r="692">
      <c r="O692" s="230"/>
      <c r="P692" s="230"/>
      <c r="T692" s="230"/>
      <c r="U692" s="193"/>
    </row>
    <row r="693">
      <c r="O693" s="230"/>
      <c r="P693" s="230"/>
      <c r="T693" s="230"/>
      <c r="U693" s="193"/>
    </row>
    <row r="694">
      <c r="O694" s="230"/>
      <c r="P694" s="230"/>
      <c r="T694" s="230"/>
      <c r="U694" s="193"/>
    </row>
    <row r="695">
      <c r="O695" s="230"/>
      <c r="P695" s="230"/>
      <c r="T695" s="230"/>
      <c r="U695" s="193"/>
    </row>
    <row r="696">
      <c r="O696" s="230"/>
      <c r="P696" s="230"/>
      <c r="T696" s="230"/>
      <c r="U696" s="193"/>
    </row>
    <row r="697">
      <c r="O697" s="230"/>
      <c r="P697" s="230"/>
      <c r="T697" s="230"/>
      <c r="U697" s="193"/>
    </row>
    <row r="698">
      <c r="O698" s="230"/>
      <c r="P698" s="230"/>
      <c r="T698" s="230"/>
      <c r="U698" s="193"/>
    </row>
    <row r="699">
      <c r="O699" s="230"/>
      <c r="P699" s="230"/>
      <c r="T699" s="230"/>
      <c r="U699" s="193"/>
    </row>
    <row r="700">
      <c r="O700" s="230"/>
      <c r="P700" s="230"/>
      <c r="T700" s="230"/>
      <c r="U700" s="193"/>
    </row>
    <row r="701">
      <c r="O701" s="230"/>
      <c r="P701" s="230"/>
      <c r="T701" s="230"/>
      <c r="U701" s="193"/>
    </row>
    <row r="702">
      <c r="O702" s="230"/>
      <c r="P702" s="230"/>
      <c r="T702" s="230"/>
      <c r="U702" s="193"/>
    </row>
    <row r="703">
      <c r="O703" s="230"/>
      <c r="P703" s="230"/>
      <c r="T703" s="230"/>
      <c r="U703" s="193"/>
    </row>
    <row r="704">
      <c r="O704" s="230"/>
      <c r="P704" s="230"/>
      <c r="T704" s="230"/>
      <c r="U704" s="193"/>
    </row>
    <row r="705">
      <c r="O705" s="230"/>
      <c r="P705" s="230"/>
      <c r="T705" s="230"/>
      <c r="U705" s="193"/>
    </row>
    <row r="706">
      <c r="O706" s="230"/>
      <c r="P706" s="230"/>
      <c r="T706" s="230"/>
      <c r="U706" s="193"/>
    </row>
    <row r="707">
      <c r="O707" s="230"/>
      <c r="P707" s="230"/>
      <c r="T707" s="230"/>
      <c r="U707" s="193"/>
    </row>
    <row r="708">
      <c r="O708" s="230"/>
      <c r="P708" s="230"/>
      <c r="T708" s="230"/>
      <c r="U708" s="193"/>
    </row>
    <row r="709">
      <c r="O709" s="230"/>
      <c r="P709" s="230"/>
      <c r="T709" s="230"/>
      <c r="U709" s="193"/>
    </row>
    <row r="710">
      <c r="O710" s="230"/>
      <c r="P710" s="230"/>
      <c r="T710" s="230"/>
      <c r="U710" s="193"/>
    </row>
    <row r="711">
      <c r="O711" s="230"/>
      <c r="P711" s="230"/>
      <c r="T711" s="230"/>
      <c r="U711" s="193"/>
    </row>
    <row r="712">
      <c r="O712" s="230"/>
      <c r="P712" s="230"/>
      <c r="T712" s="230"/>
      <c r="U712" s="193"/>
    </row>
    <row r="713">
      <c r="O713" s="230"/>
      <c r="P713" s="230"/>
      <c r="T713" s="230"/>
      <c r="U713" s="193"/>
    </row>
    <row r="714">
      <c r="O714" s="230"/>
      <c r="P714" s="230"/>
      <c r="T714" s="230"/>
      <c r="U714" s="193"/>
    </row>
    <row r="715">
      <c r="O715" s="230"/>
      <c r="P715" s="230"/>
      <c r="T715" s="230"/>
      <c r="U715" s="193"/>
    </row>
    <row r="716">
      <c r="O716" s="230"/>
      <c r="P716" s="230"/>
      <c r="T716" s="230"/>
      <c r="U716" s="193"/>
    </row>
    <row r="717">
      <c r="O717" s="230"/>
      <c r="P717" s="230"/>
      <c r="T717" s="230"/>
      <c r="U717" s="193"/>
    </row>
    <row r="718">
      <c r="O718" s="230"/>
      <c r="P718" s="230"/>
      <c r="T718" s="230"/>
      <c r="U718" s="193"/>
    </row>
    <row r="719">
      <c r="O719" s="230"/>
      <c r="P719" s="230"/>
      <c r="T719" s="230"/>
      <c r="U719" s="193"/>
    </row>
    <row r="720">
      <c r="O720" s="230"/>
      <c r="P720" s="230"/>
      <c r="T720" s="230"/>
      <c r="U720" s="193"/>
    </row>
    <row r="721">
      <c r="O721" s="230"/>
      <c r="P721" s="230"/>
      <c r="T721" s="230"/>
      <c r="U721" s="193"/>
    </row>
    <row r="722">
      <c r="O722" s="230"/>
      <c r="P722" s="230"/>
      <c r="T722" s="230"/>
      <c r="U722" s="193"/>
    </row>
    <row r="723">
      <c r="O723" s="230"/>
      <c r="P723" s="230"/>
      <c r="T723" s="230"/>
      <c r="U723" s="193"/>
    </row>
    <row r="724">
      <c r="O724" s="230"/>
      <c r="P724" s="230"/>
      <c r="T724" s="230"/>
      <c r="U724" s="193"/>
    </row>
    <row r="725">
      <c r="O725" s="230"/>
      <c r="P725" s="230"/>
      <c r="T725" s="230"/>
      <c r="U725" s="193"/>
    </row>
    <row r="726">
      <c r="O726" s="230"/>
      <c r="P726" s="230"/>
      <c r="T726" s="230"/>
      <c r="U726" s="193"/>
    </row>
    <row r="727">
      <c r="O727" s="230"/>
      <c r="P727" s="230"/>
      <c r="T727" s="230"/>
      <c r="U727" s="193"/>
    </row>
    <row r="728">
      <c r="O728" s="230"/>
      <c r="P728" s="230"/>
      <c r="T728" s="230"/>
      <c r="U728" s="193"/>
    </row>
    <row r="729">
      <c r="O729" s="230"/>
      <c r="P729" s="230"/>
      <c r="T729" s="230"/>
      <c r="U729" s="193"/>
    </row>
    <row r="730">
      <c r="O730" s="230"/>
      <c r="P730" s="230"/>
      <c r="T730" s="230"/>
      <c r="U730" s="193"/>
    </row>
    <row r="731">
      <c r="O731" s="230"/>
      <c r="P731" s="230"/>
      <c r="T731" s="230"/>
      <c r="U731" s="193"/>
    </row>
    <row r="732">
      <c r="O732" s="230"/>
      <c r="P732" s="230"/>
      <c r="T732" s="230"/>
      <c r="U732" s="193"/>
    </row>
    <row r="733">
      <c r="O733" s="230"/>
      <c r="P733" s="230"/>
      <c r="T733" s="230"/>
      <c r="U733" s="193"/>
    </row>
    <row r="734">
      <c r="O734" s="230"/>
      <c r="P734" s="230"/>
      <c r="T734" s="230"/>
      <c r="U734" s="193"/>
    </row>
    <row r="735">
      <c r="O735" s="230"/>
      <c r="P735" s="230"/>
      <c r="T735" s="230"/>
      <c r="U735" s="193"/>
    </row>
    <row r="736">
      <c r="O736" s="230"/>
      <c r="P736" s="230"/>
      <c r="T736" s="230"/>
      <c r="U736" s="193"/>
    </row>
    <row r="737">
      <c r="O737" s="230"/>
      <c r="P737" s="230"/>
      <c r="T737" s="230"/>
      <c r="U737" s="193"/>
    </row>
    <row r="738">
      <c r="O738" s="230"/>
      <c r="P738" s="230"/>
      <c r="T738" s="230"/>
      <c r="U738" s="193"/>
    </row>
    <row r="739">
      <c r="O739" s="230"/>
      <c r="P739" s="230"/>
      <c r="T739" s="230"/>
      <c r="U739" s="193"/>
    </row>
    <row r="740">
      <c r="O740" s="230"/>
      <c r="P740" s="230"/>
      <c r="T740" s="230"/>
      <c r="U740" s="193"/>
    </row>
    <row r="741">
      <c r="O741" s="230"/>
      <c r="P741" s="230"/>
      <c r="T741" s="230"/>
      <c r="U741" s="193"/>
    </row>
    <row r="742">
      <c r="O742" s="230"/>
      <c r="P742" s="230"/>
      <c r="T742" s="230"/>
      <c r="U742" s="193"/>
    </row>
    <row r="743">
      <c r="O743" s="230"/>
      <c r="P743" s="230"/>
      <c r="T743" s="230"/>
      <c r="U743" s="193"/>
    </row>
    <row r="744">
      <c r="O744" s="230"/>
      <c r="P744" s="230"/>
      <c r="T744" s="230"/>
      <c r="U744" s="193"/>
    </row>
    <row r="745">
      <c r="O745" s="230"/>
      <c r="P745" s="230"/>
      <c r="T745" s="230"/>
      <c r="U745" s="193"/>
    </row>
    <row r="746">
      <c r="O746" s="230"/>
      <c r="P746" s="230"/>
      <c r="T746" s="230"/>
      <c r="U746" s="193"/>
    </row>
    <row r="747">
      <c r="O747" s="230"/>
      <c r="P747" s="230"/>
      <c r="T747" s="230"/>
      <c r="U747" s="193"/>
    </row>
    <row r="748">
      <c r="O748" s="230"/>
      <c r="P748" s="230"/>
      <c r="T748" s="230"/>
      <c r="U748" s="193"/>
    </row>
    <row r="749">
      <c r="O749" s="230"/>
      <c r="P749" s="230"/>
      <c r="T749" s="230"/>
      <c r="U749" s="193"/>
    </row>
    <row r="750">
      <c r="O750" s="230"/>
      <c r="P750" s="230"/>
      <c r="T750" s="230"/>
      <c r="U750" s="193"/>
    </row>
    <row r="751">
      <c r="O751" s="230"/>
      <c r="P751" s="230"/>
      <c r="T751" s="230"/>
      <c r="U751" s="193"/>
    </row>
    <row r="752">
      <c r="O752" s="230"/>
      <c r="P752" s="230"/>
      <c r="T752" s="230"/>
      <c r="U752" s="193"/>
    </row>
    <row r="753">
      <c r="O753" s="230"/>
      <c r="P753" s="230"/>
      <c r="T753" s="230"/>
      <c r="U753" s="193"/>
    </row>
    <row r="754">
      <c r="O754" s="230"/>
      <c r="P754" s="230"/>
      <c r="T754" s="230"/>
      <c r="U754" s="193"/>
    </row>
    <row r="755">
      <c r="O755" s="230"/>
      <c r="P755" s="230"/>
      <c r="T755" s="230"/>
      <c r="U755" s="193"/>
    </row>
    <row r="756">
      <c r="O756" s="230"/>
      <c r="P756" s="230"/>
      <c r="T756" s="230"/>
      <c r="U756" s="193"/>
    </row>
    <row r="757">
      <c r="O757" s="230"/>
      <c r="P757" s="230"/>
      <c r="T757" s="230"/>
      <c r="U757" s="193"/>
    </row>
    <row r="758">
      <c r="O758" s="230"/>
      <c r="P758" s="230"/>
      <c r="T758" s="230"/>
      <c r="U758" s="193"/>
    </row>
    <row r="759">
      <c r="O759" s="230"/>
      <c r="P759" s="230"/>
      <c r="T759" s="230"/>
      <c r="U759" s="193"/>
    </row>
    <row r="760">
      <c r="O760" s="230"/>
      <c r="P760" s="230"/>
      <c r="T760" s="230"/>
      <c r="U760" s="193"/>
    </row>
    <row r="761">
      <c r="O761" s="230"/>
      <c r="P761" s="230"/>
      <c r="T761" s="230"/>
      <c r="U761" s="193"/>
    </row>
    <row r="762">
      <c r="O762" s="230"/>
      <c r="P762" s="230"/>
      <c r="T762" s="230"/>
      <c r="U762" s="193"/>
    </row>
    <row r="763">
      <c r="O763" s="230"/>
      <c r="P763" s="230"/>
      <c r="T763" s="230"/>
      <c r="U763" s="193"/>
    </row>
    <row r="764">
      <c r="O764" s="230"/>
      <c r="P764" s="230"/>
      <c r="T764" s="230"/>
      <c r="U764" s="193"/>
    </row>
    <row r="765">
      <c r="O765" s="230"/>
      <c r="P765" s="230"/>
      <c r="T765" s="230"/>
      <c r="U765" s="193"/>
    </row>
    <row r="766">
      <c r="O766" s="230"/>
      <c r="P766" s="230"/>
      <c r="T766" s="230"/>
      <c r="U766" s="193"/>
    </row>
    <row r="767">
      <c r="O767" s="230"/>
      <c r="P767" s="230"/>
      <c r="T767" s="230"/>
      <c r="U767" s="193"/>
    </row>
    <row r="768">
      <c r="O768" s="230"/>
      <c r="P768" s="230"/>
      <c r="T768" s="230"/>
      <c r="U768" s="193"/>
    </row>
    <row r="769">
      <c r="O769" s="230"/>
      <c r="P769" s="230"/>
      <c r="T769" s="230"/>
      <c r="U769" s="193"/>
    </row>
    <row r="770">
      <c r="O770" s="230"/>
      <c r="P770" s="230"/>
      <c r="T770" s="230"/>
      <c r="U770" s="193"/>
    </row>
    <row r="771">
      <c r="O771" s="230"/>
      <c r="P771" s="230"/>
      <c r="T771" s="230"/>
      <c r="U771" s="193"/>
    </row>
    <row r="772">
      <c r="O772" s="230"/>
      <c r="P772" s="230"/>
      <c r="T772" s="230"/>
      <c r="U772" s="193"/>
    </row>
    <row r="773">
      <c r="O773" s="230"/>
      <c r="P773" s="230"/>
      <c r="T773" s="230"/>
      <c r="U773" s="193"/>
    </row>
    <row r="774">
      <c r="O774" s="230"/>
      <c r="P774" s="230"/>
      <c r="T774" s="230"/>
      <c r="U774" s="193"/>
    </row>
    <row r="775">
      <c r="O775" s="230"/>
      <c r="P775" s="230"/>
      <c r="T775" s="230"/>
      <c r="U775" s="193"/>
    </row>
    <row r="776">
      <c r="O776" s="230"/>
      <c r="P776" s="230"/>
      <c r="T776" s="230"/>
      <c r="U776" s="193"/>
    </row>
    <row r="777">
      <c r="O777" s="230"/>
      <c r="P777" s="230"/>
      <c r="T777" s="230"/>
      <c r="U777" s="193"/>
    </row>
    <row r="778">
      <c r="O778" s="230"/>
      <c r="P778" s="230"/>
      <c r="T778" s="230"/>
      <c r="U778" s="193"/>
    </row>
    <row r="779">
      <c r="O779" s="230"/>
      <c r="P779" s="230"/>
      <c r="T779" s="230"/>
      <c r="U779" s="193"/>
    </row>
    <row r="780">
      <c r="O780" s="230"/>
      <c r="P780" s="230"/>
      <c r="T780" s="230"/>
      <c r="U780" s="193"/>
    </row>
    <row r="781">
      <c r="O781" s="230"/>
      <c r="P781" s="230"/>
      <c r="T781" s="230"/>
      <c r="U781" s="193"/>
    </row>
    <row r="782">
      <c r="O782" s="230"/>
      <c r="P782" s="230"/>
      <c r="T782" s="230"/>
      <c r="U782" s="193"/>
    </row>
    <row r="783">
      <c r="O783" s="230"/>
      <c r="P783" s="230"/>
      <c r="T783" s="230"/>
      <c r="U783" s="193"/>
    </row>
    <row r="784">
      <c r="O784" s="230"/>
      <c r="P784" s="230"/>
      <c r="T784" s="230"/>
      <c r="U784" s="193"/>
    </row>
    <row r="785">
      <c r="O785" s="230"/>
      <c r="P785" s="230"/>
      <c r="T785" s="230"/>
      <c r="U785" s="193"/>
    </row>
    <row r="786">
      <c r="O786" s="230"/>
      <c r="P786" s="230"/>
      <c r="T786" s="230"/>
      <c r="U786" s="193"/>
    </row>
    <row r="787">
      <c r="O787" s="230"/>
      <c r="P787" s="230"/>
      <c r="T787" s="230"/>
      <c r="U787" s="193"/>
    </row>
    <row r="788">
      <c r="O788" s="230"/>
      <c r="P788" s="230"/>
      <c r="T788" s="230"/>
      <c r="U788" s="193"/>
    </row>
    <row r="789">
      <c r="O789" s="230"/>
      <c r="P789" s="230"/>
      <c r="T789" s="230"/>
      <c r="U789" s="193"/>
    </row>
    <row r="790">
      <c r="O790" s="230"/>
      <c r="P790" s="230"/>
      <c r="T790" s="230"/>
      <c r="U790" s="193"/>
    </row>
    <row r="791">
      <c r="O791" s="230"/>
      <c r="P791" s="230"/>
      <c r="T791" s="230"/>
      <c r="U791" s="193"/>
    </row>
    <row r="792">
      <c r="O792" s="230"/>
      <c r="P792" s="230"/>
      <c r="T792" s="230"/>
      <c r="U792" s="193"/>
    </row>
    <row r="793">
      <c r="O793" s="230"/>
      <c r="P793" s="230"/>
      <c r="T793" s="230"/>
      <c r="U793" s="193"/>
    </row>
    <row r="794">
      <c r="O794" s="230"/>
      <c r="P794" s="230"/>
      <c r="T794" s="230"/>
      <c r="U794" s="193"/>
    </row>
    <row r="795">
      <c r="O795" s="230"/>
      <c r="P795" s="230"/>
      <c r="T795" s="230"/>
      <c r="U795" s="193"/>
    </row>
    <row r="796">
      <c r="O796" s="230"/>
      <c r="P796" s="230"/>
      <c r="T796" s="230"/>
      <c r="U796" s="193"/>
    </row>
    <row r="797">
      <c r="O797" s="230"/>
      <c r="P797" s="230"/>
      <c r="T797" s="230"/>
      <c r="U797" s="193"/>
    </row>
    <row r="798">
      <c r="O798" s="230"/>
      <c r="P798" s="230"/>
      <c r="T798" s="230"/>
      <c r="U798" s="193"/>
    </row>
    <row r="799">
      <c r="O799" s="230"/>
      <c r="P799" s="230"/>
      <c r="T799" s="230"/>
      <c r="U799" s="193"/>
    </row>
    <row r="800">
      <c r="O800" s="230"/>
      <c r="P800" s="230"/>
      <c r="T800" s="230"/>
      <c r="U800" s="193"/>
    </row>
    <row r="801">
      <c r="O801" s="230"/>
      <c r="P801" s="230"/>
      <c r="T801" s="230"/>
      <c r="U801" s="193"/>
    </row>
    <row r="802">
      <c r="O802" s="230"/>
      <c r="P802" s="230"/>
      <c r="T802" s="230"/>
      <c r="U802" s="193"/>
    </row>
    <row r="803">
      <c r="O803" s="230"/>
      <c r="P803" s="230"/>
      <c r="T803" s="230"/>
      <c r="U803" s="193"/>
    </row>
    <row r="804">
      <c r="O804" s="230"/>
      <c r="P804" s="230"/>
      <c r="T804" s="230"/>
      <c r="U804" s="193"/>
    </row>
    <row r="805">
      <c r="O805" s="230"/>
      <c r="P805" s="230"/>
      <c r="T805" s="230"/>
      <c r="U805" s="193"/>
    </row>
    <row r="806">
      <c r="O806" s="230"/>
      <c r="P806" s="230"/>
      <c r="T806" s="230"/>
      <c r="U806" s="193"/>
    </row>
    <row r="807">
      <c r="O807" s="230"/>
      <c r="P807" s="230"/>
      <c r="T807" s="230"/>
      <c r="U807" s="193"/>
    </row>
    <row r="808">
      <c r="O808" s="230"/>
      <c r="P808" s="230"/>
      <c r="T808" s="230"/>
      <c r="U808" s="193"/>
    </row>
    <row r="809">
      <c r="O809" s="230"/>
      <c r="P809" s="230"/>
      <c r="T809" s="230"/>
      <c r="U809" s="193"/>
    </row>
    <row r="810">
      <c r="O810" s="230"/>
      <c r="P810" s="230"/>
      <c r="T810" s="230"/>
      <c r="U810" s="193"/>
    </row>
    <row r="811">
      <c r="O811" s="230"/>
      <c r="P811" s="230"/>
      <c r="T811" s="230"/>
      <c r="U811" s="193"/>
    </row>
    <row r="812">
      <c r="O812" s="230"/>
      <c r="P812" s="230"/>
      <c r="T812" s="230"/>
      <c r="U812" s="193"/>
    </row>
    <row r="813">
      <c r="O813" s="230"/>
      <c r="P813" s="230"/>
      <c r="T813" s="230"/>
      <c r="U813" s="193"/>
    </row>
    <row r="814">
      <c r="O814" s="230"/>
      <c r="P814" s="230"/>
      <c r="T814" s="230"/>
      <c r="U814" s="193"/>
    </row>
    <row r="815">
      <c r="O815" s="230"/>
      <c r="P815" s="230"/>
      <c r="T815" s="230"/>
      <c r="U815" s="193"/>
    </row>
    <row r="816">
      <c r="O816" s="230"/>
      <c r="P816" s="230"/>
      <c r="T816" s="230"/>
      <c r="U816" s="193"/>
    </row>
    <row r="817">
      <c r="O817" s="230"/>
      <c r="P817" s="230"/>
      <c r="T817" s="230"/>
      <c r="U817" s="193"/>
    </row>
    <row r="818">
      <c r="O818" s="230"/>
      <c r="P818" s="230"/>
      <c r="T818" s="230"/>
      <c r="U818" s="193"/>
    </row>
    <row r="819">
      <c r="O819" s="230"/>
      <c r="P819" s="230"/>
      <c r="T819" s="230"/>
      <c r="U819" s="193"/>
    </row>
    <row r="820">
      <c r="O820" s="230"/>
      <c r="P820" s="230"/>
      <c r="T820" s="230"/>
      <c r="U820" s="193"/>
    </row>
    <row r="821">
      <c r="O821" s="230"/>
      <c r="P821" s="230"/>
      <c r="T821" s="230"/>
      <c r="U821" s="193"/>
    </row>
    <row r="822">
      <c r="O822" s="230"/>
      <c r="P822" s="230"/>
      <c r="T822" s="230"/>
      <c r="U822" s="193"/>
    </row>
    <row r="823">
      <c r="O823" s="230"/>
      <c r="P823" s="230"/>
      <c r="T823" s="230"/>
      <c r="U823" s="193"/>
    </row>
    <row r="824">
      <c r="O824" s="230"/>
      <c r="P824" s="230"/>
      <c r="T824" s="230"/>
      <c r="U824" s="193"/>
    </row>
    <row r="825">
      <c r="O825" s="230"/>
      <c r="P825" s="230"/>
      <c r="T825" s="230"/>
      <c r="U825" s="193"/>
    </row>
    <row r="826">
      <c r="O826" s="230"/>
      <c r="P826" s="230"/>
      <c r="T826" s="230"/>
      <c r="U826" s="193"/>
    </row>
    <row r="827">
      <c r="O827" s="230"/>
      <c r="P827" s="230"/>
      <c r="T827" s="230"/>
      <c r="U827" s="193"/>
    </row>
    <row r="828">
      <c r="O828" s="230"/>
      <c r="P828" s="230"/>
      <c r="T828" s="230"/>
      <c r="U828" s="193"/>
    </row>
    <row r="829">
      <c r="O829" s="230"/>
      <c r="P829" s="230"/>
      <c r="T829" s="230"/>
      <c r="U829" s="193"/>
    </row>
    <row r="830">
      <c r="O830" s="230"/>
      <c r="P830" s="230"/>
      <c r="T830" s="230"/>
      <c r="U830" s="193"/>
    </row>
    <row r="831">
      <c r="O831" s="230"/>
      <c r="P831" s="230"/>
      <c r="T831" s="230"/>
      <c r="U831" s="193"/>
    </row>
    <row r="832">
      <c r="O832" s="230"/>
      <c r="P832" s="230"/>
      <c r="T832" s="230"/>
      <c r="U832" s="193"/>
    </row>
    <row r="833">
      <c r="O833" s="230"/>
      <c r="P833" s="230"/>
      <c r="T833" s="230"/>
      <c r="U833" s="193"/>
    </row>
    <row r="834">
      <c r="O834" s="230"/>
      <c r="P834" s="230"/>
      <c r="T834" s="230"/>
      <c r="U834" s="193"/>
    </row>
    <row r="835">
      <c r="O835" s="230"/>
      <c r="P835" s="230"/>
      <c r="T835" s="230"/>
      <c r="U835" s="193"/>
    </row>
    <row r="836">
      <c r="O836" s="230"/>
      <c r="P836" s="230"/>
      <c r="T836" s="230"/>
      <c r="U836" s="193"/>
    </row>
    <row r="837">
      <c r="O837" s="230"/>
      <c r="P837" s="230"/>
      <c r="T837" s="230"/>
      <c r="U837" s="193"/>
    </row>
    <row r="838">
      <c r="O838" s="230"/>
      <c r="P838" s="230"/>
      <c r="T838" s="230"/>
      <c r="U838" s="193"/>
    </row>
    <row r="839">
      <c r="O839" s="230"/>
      <c r="P839" s="230"/>
      <c r="T839" s="230"/>
      <c r="U839" s="193"/>
    </row>
    <row r="840">
      <c r="O840" s="230"/>
      <c r="P840" s="230"/>
      <c r="T840" s="230"/>
      <c r="U840" s="193"/>
    </row>
    <row r="841">
      <c r="O841" s="230"/>
      <c r="P841" s="230"/>
      <c r="T841" s="230"/>
      <c r="U841" s="193"/>
    </row>
    <row r="842">
      <c r="O842" s="230"/>
      <c r="P842" s="230"/>
      <c r="T842" s="230"/>
      <c r="U842" s="193"/>
    </row>
    <row r="843">
      <c r="O843" s="230"/>
      <c r="P843" s="230"/>
      <c r="T843" s="230"/>
      <c r="U843" s="193"/>
    </row>
    <row r="844">
      <c r="O844" s="230"/>
      <c r="P844" s="230"/>
      <c r="T844" s="230"/>
      <c r="U844" s="193"/>
    </row>
    <row r="845">
      <c r="O845" s="230"/>
      <c r="P845" s="230"/>
      <c r="T845" s="230"/>
      <c r="U845" s="193"/>
    </row>
    <row r="846">
      <c r="O846" s="230"/>
      <c r="P846" s="230"/>
      <c r="T846" s="230"/>
      <c r="U846" s="193"/>
    </row>
    <row r="847">
      <c r="O847" s="230"/>
      <c r="P847" s="230"/>
      <c r="T847" s="230"/>
      <c r="U847" s="193"/>
    </row>
    <row r="848">
      <c r="O848" s="230"/>
      <c r="P848" s="230"/>
      <c r="T848" s="230"/>
      <c r="U848" s="193"/>
    </row>
    <row r="849">
      <c r="O849" s="230"/>
      <c r="P849" s="230"/>
      <c r="T849" s="230"/>
      <c r="U849" s="193"/>
    </row>
    <row r="850">
      <c r="O850" s="230"/>
      <c r="P850" s="230"/>
      <c r="T850" s="230"/>
      <c r="U850" s="193"/>
    </row>
    <row r="851">
      <c r="O851" s="230"/>
      <c r="P851" s="230"/>
      <c r="T851" s="230"/>
      <c r="U851" s="193"/>
    </row>
    <row r="852">
      <c r="O852" s="230"/>
      <c r="P852" s="230"/>
      <c r="T852" s="230"/>
      <c r="U852" s="193"/>
    </row>
    <row r="853">
      <c r="O853" s="230"/>
      <c r="P853" s="230"/>
      <c r="T853" s="230"/>
      <c r="U853" s="193"/>
    </row>
    <row r="854">
      <c r="O854" s="230"/>
      <c r="P854" s="230"/>
      <c r="T854" s="230"/>
      <c r="U854" s="193"/>
    </row>
    <row r="855">
      <c r="O855" s="230"/>
      <c r="P855" s="230"/>
      <c r="T855" s="230"/>
      <c r="U855" s="193"/>
    </row>
    <row r="856">
      <c r="O856" s="230"/>
      <c r="P856" s="230"/>
      <c r="T856" s="230"/>
      <c r="U856" s="193"/>
    </row>
    <row r="857">
      <c r="O857" s="230"/>
      <c r="P857" s="230"/>
      <c r="T857" s="230"/>
      <c r="U857" s="193"/>
    </row>
    <row r="858">
      <c r="O858" s="230"/>
      <c r="P858" s="230"/>
      <c r="T858" s="230"/>
      <c r="U858" s="193"/>
    </row>
    <row r="859">
      <c r="O859" s="230"/>
      <c r="P859" s="230"/>
      <c r="T859" s="230"/>
      <c r="U859" s="193"/>
    </row>
    <row r="860">
      <c r="O860" s="230"/>
      <c r="P860" s="230"/>
      <c r="T860" s="230"/>
      <c r="U860" s="193"/>
    </row>
    <row r="861">
      <c r="O861" s="230"/>
      <c r="P861" s="230"/>
      <c r="T861" s="230"/>
      <c r="U861" s="193"/>
    </row>
    <row r="862">
      <c r="O862" s="230"/>
      <c r="P862" s="230"/>
      <c r="T862" s="230"/>
      <c r="U862" s="193"/>
    </row>
    <row r="863">
      <c r="O863" s="230"/>
      <c r="P863" s="230"/>
      <c r="T863" s="230"/>
      <c r="U863" s="193"/>
    </row>
    <row r="864">
      <c r="O864" s="230"/>
      <c r="P864" s="230"/>
      <c r="T864" s="230"/>
      <c r="U864" s="193"/>
    </row>
    <row r="865">
      <c r="O865" s="230"/>
      <c r="P865" s="230"/>
      <c r="T865" s="230"/>
      <c r="U865" s="193"/>
    </row>
    <row r="866">
      <c r="O866" s="230"/>
      <c r="P866" s="230"/>
      <c r="T866" s="230"/>
      <c r="U866" s="193"/>
    </row>
    <row r="867">
      <c r="O867" s="230"/>
      <c r="P867" s="230"/>
      <c r="T867" s="230"/>
      <c r="U867" s="193"/>
    </row>
    <row r="868">
      <c r="O868" s="230"/>
      <c r="P868" s="230"/>
      <c r="T868" s="230"/>
      <c r="U868" s="193"/>
    </row>
    <row r="869">
      <c r="O869" s="230"/>
      <c r="P869" s="230"/>
      <c r="T869" s="230"/>
      <c r="U869" s="193"/>
    </row>
    <row r="870">
      <c r="O870" s="230"/>
      <c r="P870" s="230"/>
      <c r="T870" s="230"/>
      <c r="U870" s="193"/>
    </row>
    <row r="871">
      <c r="O871" s="230"/>
      <c r="P871" s="230"/>
      <c r="T871" s="230"/>
      <c r="U871" s="193"/>
    </row>
    <row r="872">
      <c r="O872" s="230"/>
      <c r="P872" s="230"/>
      <c r="T872" s="230"/>
      <c r="U872" s="193"/>
    </row>
    <row r="873">
      <c r="O873" s="230"/>
      <c r="P873" s="230"/>
      <c r="T873" s="230"/>
      <c r="U873" s="193"/>
    </row>
    <row r="874">
      <c r="O874" s="230"/>
      <c r="P874" s="230"/>
      <c r="T874" s="230"/>
      <c r="U874" s="193"/>
    </row>
    <row r="875">
      <c r="O875" s="230"/>
      <c r="P875" s="230"/>
      <c r="T875" s="230"/>
      <c r="U875" s="193"/>
    </row>
    <row r="876">
      <c r="O876" s="230"/>
      <c r="P876" s="230"/>
      <c r="T876" s="230"/>
      <c r="U876" s="193"/>
    </row>
    <row r="877">
      <c r="O877" s="230"/>
      <c r="P877" s="230"/>
      <c r="T877" s="230"/>
      <c r="U877" s="193"/>
    </row>
    <row r="878">
      <c r="O878" s="230"/>
      <c r="P878" s="230"/>
      <c r="T878" s="230"/>
      <c r="U878" s="193"/>
    </row>
    <row r="879">
      <c r="O879" s="230"/>
      <c r="P879" s="230"/>
      <c r="T879" s="230"/>
      <c r="U879" s="193"/>
    </row>
    <row r="880">
      <c r="O880" s="230"/>
      <c r="P880" s="230"/>
      <c r="T880" s="230"/>
      <c r="U880" s="193"/>
    </row>
    <row r="881">
      <c r="O881" s="230"/>
      <c r="P881" s="230"/>
      <c r="T881" s="230"/>
      <c r="U881" s="193"/>
    </row>
    <row r="882">
      <c r="O882" s="230"/>
      <c r="P882" s="230"/>
      <c r="T882" s="230"/>
      <c r="U882" s="193"/>
    </row>
    <row r="883">
      <c r="O883" s="230"/>
      <c r="P883" s="230"/>
      <c r="T883" s="230"/>
      <c r="U883" s="193"/>
    </row>
    <row r="884">
      <c r="O884" s="230"/>
      <c r="P884" s="230"/>
      <c r="T884" s="230"/>
      <c r="U884" s="193"/>
    </row>
    <row r="885">
      <c r="O885" s="230"/>
      <c r="P885" s="230"/>
      <c r="T885" s="230"/>
      <c r="U885" s="193"/>
    </row>
    <row r="886">
      <c r="O886" s="230"/>
      <c r="P886" s="230"/>
      <c r="T886" s="230"/>
      <c r="U886" s="193"/>
    </row>
    <row r="887">
      <c r="O887" s="230"/>
      <c r="P887" s="230"/>
      <c r="T887" s="230"/>
      <c r="U887" s="193"/>
    </row>
    <row r="888">
      <c r="O888" s="230"/>
      <c r="P888" s="230"/>
      <c r="T888" s="230"/>
      <c r="U888" s="193"/>
    </row>
    <row r="889">
      <c r="O889" s="230"/>
      <c r="P889" s="230"/>
      <c r="T889" s="230"/>
      <c r="U889" s="193"/>
    </row>
    <row r="890">
      <c r="O890" s="230"/>
      <c r="P890" s="230"/>
      <c r="T890" s="230"/>
      <c r="U890" s="193"/>
    </row>
    <row r="891">
      <c r="O891" s="230"/>
      <c r="P891" s="230"/>
      <c r="T891" s="230"/>
      <c r="U891" s="193"/>
    </row>
    <row r="892">
      <c r="O892" s="230"/>
      <c r="P892" s="230"/>
      <c r="T892" s="230"/>
      <c r="U892" s="193"/>
    </row>
    <row r="893">
      <c r="O893" s="230"/>
      <c r="P893" s="230"/>
      <c r="T893" s="230"/>
      <c r="U893" s="193"/>
    </row>
    <row r="894">
      <c r="O894" s="230"/>
      <c r="P894" s="230"/>
      <c r="T894" s="230"/>
      <c r="U894" s="193"/>
    </row>
    <row r="895">
      <c r="O895" s="230"/>
      <c r="P895" s="230"/>
      <c r="T895" s="230"/>
      <c r="U895" s="193"/>
    </row>
    <row r="896">
      <c r="O896" s="230"/>
      <c r="P896" s="230"/>
      <c r="T896" s="230"/>
      <c r="U896" s="193"/>
    </row>
    <row r="897">
      <c r="O897" s="230"/>
      <c r="P897" s="230"/>
      <c r="T897" s="230"/>
      <c r="U897" s="193"/>
    </row>
    <row r="898">
      <c r="O898" s="230"/>
      <c r="P898" s="230"/>
      <c r="T898" s="230"/>
      <c r="U898" s="193"/>
    </row>
    <row r="899">
      <c r="O899" s="230"/>
      <c r="P899" s="230"/>
      <c r="T899" s="230"/>
      <c r="U899" s="193"/>
    </row>
    <row r="900">
      <c r="O900" s="230"/>
      <c r="P900" s="230"/>
      <c r="T900" s="230"/>
      <c r="U900" s="193"/>
    </row>
    <row r="901">
      <c r="O901" s="230"/>
      <c r="P901" s="230"/>
      <c r="T901" s="230"/>
      <c r="U901" s="193"/>
    </row>
    <row r="902">
      <c r="O902" s="230"/>
      <c r="P902" s="230"/>
      <c r="T902" s="230"/>
      <c r="U902" s="193"/>
    </row>
    <row r="903">
      <c r="O903" s="230"/>
      <c r="P903" s="230"/>
      <c r="T903" s="230"/>
      <c r="U903" s="193"/>
    </row>
    <row r="904">
      <c r="O904" s="230"/>
      <c r="P904" s="230"/>
      <c r="T904" s="230"/>
      <c r="U904" s="193"/>
    </row>
    <row r="905">
      <c r="O905" s="230"/>
      <c r="P905" s="230"/>
      <c r="T905" s="230"/>
      <c r="U905" s="193"/>
    </row>
    <row r="906">
      <c r="O906" s="230"/>
      <c r="P906" s="230"/>
      <c r="T906" s="230"/>
      <c r="U906" s="193"/>
    </row>
    <row r="907">
      <c r="O907" s="230"/>
      <c r="P907" s="230"/>
      <c r="T907" s="230"/>
      <c r="U907" s="193"/>
    </row>
    <row r="908">
      <c r="O908" s="230"/>
      <c r="P908" s="230"/>
      <c r="T908" s="230"/>
      <c r="U908" s="193"/>
    </row>
    <row r="909">
      <c r="O909" s="230"/>
      <c r="P909" s="230"/>
      <c r="T909" s="230"/>
      <c r="U909" s="193"/>
    </row>
    <row r="910">
      <c r="O910" s="230"/>
      <c r="P910" s="230"/>
      <c r="T910" s="230"/>
      <c r="U910" s="193"/>
    </row>
    <row r="911">
      <c r="O911" s="230"/>
      <c r="P911" s="230"/>
      <c r="T911" s="230"/>
      <c r="U911" s="193"/>
    </row>
    <row r="912">
      <c r="O912" s="230"/>
      <c r="P912" s="230"/>
      <c r="T912" s="230"/>
      <c r="U912" s="193"/>
    </row>
    <row r="913">
      <c r="O913" s="230"/>
      <c r="P913" s="230"/>
      <c r="T913" s="230"/>
      <c r="U913" s="193"/>
    </row>
    <row r="914">
      <c r="O914" s="230"/>
      <c r="P914" s="230"/>
      <c r="T914" s="230"/>
      <c r="U914" s="193"/>
    </row>
    <row r="915">
      <c r="O915" s="230"/>
      <c r="P915" s="230"/>
      <c r="T915" s="230"/>
      <c r="U915" s="193"/>
    </row>
    <row r="916">
      <c r="O916" s="230"/>
      <c r="P916" s="230"/>
      <c r="T916" s="230"/>
      <c r="U916" s="193"/>
    </row>
    <row r="917">
      <c r="O917" s="230"/>
      <c r="P917" s="230"/>
      <c r="T917" s="230"/>
      <c r="U917" s="193"/>
    </row>
    <row r="918">
      <c r="O918" s="230"/>
      <c r="P918" s="230"/>
      <c r="T918" s="230"/>
      <c r="U918" s="193"/>
    </row>
    <row r="919">
      <c r="O919" s="230"/>
      <c r="P919" s="230"/>
      <c r="T919" s="230"/>
      <c r="U919" s="193"/>
    </row>
    <row r="920">
      <c r="O920" s="230"/>
      <c r="P920" s="230"/>
      <c r="T920" s="230"/>
      <c r="U920" s="193"/>
    </row>
    <row r="921">
      <c r="O921" s="230"/>
      <c r="P921" s="230"/>
      <c r="T921" s="230"/>
      <c r="U921" s="193"/>
    </row>
    <row r="922">
      <c r="O922" s="230"/>
      <c r="P922" s="230"/>
      <c r="T922" s="230"/>
      <c r="U922" s="193"/>
    </row>
    <row r="923">
      <c r="O923" s="230"/>
      <c r="P923" s="230"/>
      <c r="T923" s="230"/>
      <c r="U923" s="193"/>
    </row>
    <row r="924">
      <c r="O924" s="230"/>
      <c r="P924" s="230"/>
      <c r="T924" s="230"/>
      <c r="U924" s="193"/>
    </row>
    <row r="925">
      <c r="O925" s="230"/>
      <c r="P925" s="230"/>
      <c r="T925" s="230"/>
      <c r="U925" s="193"/>
    </row>
    <row r="926">
      <c r="O926" s="230"/>
      <c r="P926" s="230"/>
      <c r="T926" s="230"/>
      <c r="U926" s="193"/>
    </row>
    <row r="927">
      <c r="O927" s="230"/>
      <c r="P927" s="230"/>
      <c r="T927" s="230"/>
      <c r="U927" s="193"/>
    </row>
    <row r="928">
      <c r="O928" s="230"/>
      <c r="P928" s="230"/>
      <c r="T928" s="230"/>
      <c r="U928" s="193"/>
    </row>
    <row r="929">
      <c r="O929" s="230"/>
      <c r="P929" s="230"/>
      <c r="T929" s="230"/>
      <c r="U929" s="193"/>
    </row>
    <row r="930">
      <c r="O930" s="230"/>
      <c r="P930" s="230"/>
      <c r="T930" s="230"/>
      <c r="U930" s="193"/>
    </row>
    <row r="931">
      <c r="O931" s="230"/>
      <c r="P931" s="230"/>
      <c r="T931" s="230"/>
      <c r="U931" s="193"/>
    </row>
    <row r="932">
      <c r="O932" s="230"/>
      <c r="P932" s="230"/>
      <c r="T932" s="230"/>
      <c r="U932" s="193"/>
    </row>
    <row r="933">
      <c r="O933" s="230"/>
      <c r="P933" s="230"/>
      <c r="T933" s="230"/>
      <c r="U933" s="193"/>
    </row>
    <row r="934">
      <c r="O934" s="230"/>
      <c r="P934" s="230"/>
      <c r="T934" s="230"/>
      <c r="U934" s="193"/>
    </row>
    <row r="935">
      <c r="O935" s="230"/>
      <c r="P935" s="230"/>
      <c r="T935" s="230"/>
      <c r="U935" s="193"/>
    </row>
    <row r="936">
      <c r="O936" s="230"/>
      <c r="P936" s="230"/>
      <c r="T936" s="230"/>
      <c r="U936" s="193"/>
    </row>
    <row r="937">
      <c r="O937" s="230"/>
      <c r="P937" s="230"/>
      <c r="T937" s="230"/>
      <c r="U937" s="193"/>
    </row>
    <row r="938">
      <c r="O938" s="230"/>
      <c r="P938" s="230"/>
      <c r="T938" s="230"/>
      <c r="U938" s="193"/>
    </row>
    <row r="939">
      <c r="O939" s="230"/>
      <c r="P939" s="230"/>
      <c r="T939" s="230"/>
      <c r="U939" s="193"/>
    </row>
    <row r="940">
      <c r="O940" s="230"/>
      <c r="P940" s="230"/>
      <c r="T940" s="230"/>
      <c r="U940" s="193"/>
    </row>
    <row r="941">
      <c r="O941" s="230"/>
      <c r="P941" s="230"/>
      <c r="T941" s="230"/>
      <c r="U941" s="193"/>
    </row>
    <row r="942">
      <c r="O942" s="230"/>
      <c r="P942" s="230"/>
      <c r="T942" s="230"/>
      <c r="U942" s="193"/>
    </row>
    <row r="943">
      <c r="O943" s="230"/>
      <c r="P943" s="230"/>
      <c r="T943" s="230"/>
      <c r="U943" s="193"/>
    </row>
    <row r="944">
      <c r="O944" s="230"/>
      <c r="P944" s="230"/>
      <c r="T944" s="230"/>
      <c r="U944" s="193"/>
    </row>
    <row r="945">
      <c r="O945" s="230"/>
      <c r="P945" s="230"/>
      <c r="T945" s="230"/>
      <c r="U945" s="193"/>
    </row>
    <row r="946">
      <c r="O946" s="230"/>
      <c r="P946" s="230"/>
      <c r="T946" s="230"/>
      <c r="U946" s="193"/>
    </row>
    <row r="947">
      <c r="O947" s="230"/>
      <c r="P947" s="230"/>
      <c r="T947" s="230"/>
      <c r="U947" s="193"/>
    </row>
    <row r="948">
      <c r="O948" s="230"/>
      <c r="P948" s="230"/>
      <c r="T948" s="230"/>
      <c r="U948" s="193"/>
    </row>
    <row r="949">
      <c r="O949" s="230"/>
      <c r="P949" s="230"/>
      <c r="T949" s="230"/>
      <c r="U949" s="193"/>
    </row>
    <row r="950">
      <c r="O950" s="230"/>
      <c r="P950" s="230"/>
      <c r="T950" s="230"/>
      <c r="U950" s="193"/>
    </row>
    <row r="951">
      <c r="O951" s="230"/>
      <c r="P951" s="230"/>
      <c r="T951" s="230"/>
      <c r="U951" s="193"/>
    </row>
    <row r="952">
      <c r="O952" s="230"/>
      <c r="P952" s="230"/>
      <c r="T952" s="230"/>
      <c r="U952" s="193"/>
    </row>
    <row r="953">
      <c r="O953" s="230"/>
      <c r="P953" s="230"/>
      <c r="T953" s="230"/>
      <c r="U953" s="193"/>
    </row>
    <row r="954">
      <c r="O954" s="230"/>
      <c r="P954" s="230"/>
      <c r="T954" s="230"/>
      <c r="U954" s="193"/>
    </row>
    <row r="955">
      <c r="O955" s="230"/>
      <c r="P955" s="230"/>
      <c r="T955" s="230"/>
      <c r="U955" s="193"/>
    </row>
    <row r="956">
      <c r="O956" s="230"/>
      <c r="P956" s="230"/>
      <c r="T956" s="230"/>
      <c r="U956" s="193"/>
    </row>
    <row r="957">
      <c r="O957" s="230"/>
      <c r="P957" s="230"/>
      <c r="T957" s="230"/>
      <c r="U957" s="193"/>
    </row>
    <row r="958">
      <c r="O958" s="230"/>
      <c r="P958" s="230"/>
      <c r="T958" s="230"/>
      <c r="U958" s="193"/>
    </row>
    <row r="959">
      <c r="O959" s="230"/>
      <c r="P959" s="230"/>
      <c r="T959" s="230"/>
      <c r="U959" s="193"/>
    </row>
    <row r="960">
      <c r="O960" s="230"/>
      <c r="P960" s="230"/>
      <c r="T960" s="230"/>
      <c r="U960" s="193"/>
    </row>
    <row r="961">
      <c r="O961" s="230"/>
      <c r="P961" s="230"/>
      <c r="T961" s="230"/>
      <c r="U961" s="193"/>
    </row>
    <row r="962">
      <c r="O962" s="230"/>
      <c r="P962" s="230"/>
      <c r="T962" s="230"/>
      <c r="U962" s="193"/>
    </row>
    <row r="963">
      <c r="O963" s="230"/>
      <c r="P963" s="230"/>
      <c r="T963" s="230"/>
      <c r="U963" s="193"/>
    </row>
    <row r="964">
      <c r="O964" s="230"/>
      <c r="P964" s="230"/>
      <c r="T964" s="230"/>
      <c r="U964" s="193"/>
    </row>
    <row r="965">
      <c r="O965" s="230"/>
      <c r="P965" s="230"/>
      <c r="T965" s="230"/>
      <c r="U965" s="193"/>
    </row>
    <row r="966">
      <c r="O966" s="230"/>
      <c r="P966" s="230"/>
      <c r="T966" s="230"/>
      <c r="U966" s="193"/>
    </row>
    <row r="967">
      <c r="O967" s="230"/>
      <c r="P967" s="230"/>
      <c r="T967" s="230"/>
      <c r="U967" s="193"/>
    </row>
    <row r="968">
      <c r="O968" s="230"/>
      <c r="P968" s="230"/>
      <c r="T968" s="230"/>
      <c r="U968" s="193"/>
    </row>
    <row r="969">
      <c r="O969" s="230"/>
      <c r="P969" s="230"/>
      <c r="T969" s="230"/>
      <c r="U969" s="193"/>
    </row>
    <row r="970">
      <c r="O970" s="230"/>
      <c r="P970" s="230"/>
      <c r="T970" s="230"/>
      <c r="U970" s="193"/>
    </row>
    <row r="971">
      <c r="O971" s="230"/>
      <c r="P971" s="230"/>
      <c r="T971" s="230"/>
      <c r="U971" s="193"/>
    </row>
    <row r="972">
      <c r="O972" s="230"/>
      <c r="P972" s="230"/>
      <c r="T972" s="230"/>
      <c r="U972" s="193"/>
    </row>
    <row r="973">
      <c r="O973" s="230"/>
      <c r="P973" s="230"/>
      <c r="T973" s="230"/>
      <c r="U973" s="193"/>
    </row>
    <row r="974">
      <c r="O974" s="230"/>
      <c r="P974" s="230"/>
      <c r="T974" s="230"/>
      <c r="U974" s="193"/>
    </row>
    <row r="975">
      <c r="O975" s="230"/>
      <c r="P975" s="230"/>
      <c r="T975" s="230"/>
      <c r="U975" s="193"/>
    </row>
    <row r="976">
      <c r="O976" s="230"/>
      <c r="P976" s="230"/>
      <c r="T976" s="230"/>
      <c r="U976" s="193"/>
    </row>
    <row r="977">
      <c r="O977" s="230"/>
      <c r="P977" s="230"/>
      <c r="T977" s="230"/>
      <c r="U977" s="193"/>
    </row>
    <row r="978">
      <c r="O978" s="230"/>
      <c r="P978" s="230"/>
      <c r="T978" s="230"/>
      <c r="U978" s="193"/>
    </row>
    <row r="979">
      <c r="O979" s="230"/>
      <c r="P979" s="230"/>
      <c r="T979" s="230"/>
      <c r="U979" s="193"/>
    </row>
    <row r="980">
      <c r="O980" s="230"/>
      <c r="P980" s="230"/>
      <c r="T980" s="230"/>
      <c r="U980" s="193"/>
    </row>
    <row r="981">
      <c r="O981" s="230"/>
      <c r="P981" s="230"/>
      <c r="T981" s="230"/>
      <c r="U981" s="193"/>
    </row>
    <row r="982">
      <c r="O982" s="230"/>
      <c r="P982" s="230"/>
      <c r="T982" s="230"/>
      <c r="U982" s="193"/>
    </row>
    <row r="983">
      <c r="O983" s="230"/>
      <c r="P983" s="230"/>
      <c r="T983" s="230"/>
      <c r="U983" s="193"/>
    </row>
    <row r="984">
      <c r="O984" s="230"/>
      <c r="P984" s="230"/>
      <c r="T984" s="230"/>
      <c r="U984" s="193"/>
    </row>
    <row r="985">
      <c r="O985" s="230"/>
      <c r="P985" s="230"/>
      <c r="T985" s="230"/>
      <c r="U985" s="193"/>
    </row>
    <row r="986">
      <c r="O986" s="230"/>
      <c r="P986" s="230"/>
      <c r="T986" s="230"/>
      <c r="U986" s="193"/>
    </row>
    <row r="987">
      <c r="O987" s="230"/>
      <c r="P987" s="230"/>
      <c r="T987" s="230"/>
      <c r="U987" s="193"/>
    </row>
    <row r="988">
      <c r="O988" s="230"/>
      <c r="P988" s="230"/>
      <c r="T988" s="230"/>
      <c r="U988" s="193"/>
    </row>
    <row r="989">
      <c r="O989" s="230"/>
      <c r="P989" s="230"/>
      <c r="T989" s="230"/>
      <c r="U989" s="193"/>
    </row>
    <row r="990">
      <c r="O990" s="230"/>
      <c r="P990" s="230"/>
      <c r="T990" s="230"/>
      <c r="U990" s="193"/>
    </row>
    <row r="991">
      <c r="O991" s="230"/>
      <c r="P991" s="230"/>
      <c r="T991" s="230"/>
      <c r="U991" s="193"/>
    </row>
    <row r="992">
      <c r="O992" s="230"/>
      <c r="P992" s="230"/>
      <c r="T992" s="230"/>
      <c r="U992" s="193"/>
    </row>
    <row r="993">
      <c r="O993" s="230"/>
      <c r="P993" s="230"/>
      <c r="T993" s="230"/>
      <c r="U993" s="193"/>
    </row>
    <row r="994">
      <c r="O994" s="230"/>
      <c r="P994" s="230"/>
      <c r="T994" s="230"/>
      <c r="U994" s="193"/>
    </row>
    <row r="995">
      <c r="O995" s="230"/>
      <c r="P995" s="230"/>
      <c r="T995" s="230"/>
      <c r="U995" s="193"/>
    </row>
    <row r="996">
      <c r="O996" s="230"/>
      <c r="P996" s="230"/>
      <c r="T996" s="230"/>
      <c r="U996" s="193"/>
    </row>
    <row r="997">
      <c r="O997" s="230"/>
      <c r="P997" s="230"/>
      <c r="T997" s="230"/>
      <c r="U997" s="193"/>
    </row>
    <row r="998">
      <c r="O998" s="230"/>
      <c r="P998" s="230"/>
      <c r="T998" s="230"/>
      <c r="U998" s="193"/>
    </row>
    <row r="999">
      <c r="O999" s="230"/>
      <c r="P999" s="230"/>
      <c r="T999" s="230"/>
      <c r="U999" s="193"/>
    </row>
    <row r="1000">
      <c r="O1000" s="230"/>
      <c r="P1000" s="230"/>
      <c r="T1000" s="230"/>
      <c r="U1000" s="193"/>
    </row>
  </sheetData>
  <autoFilter ref="$A$1:$Z$100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57.25"/>
    <col customWidth="1" min="12" max="12" width="15.25"/>
    <col customWidth="1" min="13" max="13" width="20.0"/>
    <col customWidth="1" min="15" max="15" width="23.5"/>
    <col customWidth="1" min="16" max="16" width="16.13"/>
    <col customWidth="1" min="17" max="17" width="18.5"/>
    <col customWidth="1" min="18" max="18" width="17.13"/>
  </cols>
  <sheetData>
    <row r="1">
      <c r="A1" s="115" t="s">
        <v>260</v>
      </c>
      <c r="B1" s="115" t="s">
        <v>261</v>
      </c>
      <c r="C1" s="115" t="s">
        <v>262</v>
      </c>
      <c r="D1" s="115" t="s">
        <v>263</v>
      </c>
      <c r="E1" s="115" t="s">
        <v>264</v>
      </c>
      <c r="F1" s="115" t="s">
        <v>265</v>
      </c>
      <c r="G1" s="115" t="s">
        <v>266</v>
      </c>
      <c r="H1" s="115" t="s">
        <v>267</v>
      </c>
      <c r="I1" s="115" t="s">
        <v>268</v>
      </c>
      <c r="J1" s="115" t="s">
        <v>5</v>
      </c>
      <c r="K1" s="115" t="s">
        <v>269</v>
      </c>
      <c r="L1" s="115" t="s">
        <v>270</v>
      </c>
      <c r="M1" s="115" t="s">
        <v>271</v>
      </c>
      <c r="N1" s="115" t="s">
        <v>272</v>
      </c>
      <c r="O1" s="115" t="s">
        <v>273</v>
      </c>
      <c r="P1" s="115" t="s">
        <v>10792</v>
      </c>
      <c r="Q1" s="149" t="s">
        <v>3245</v>
      </c>
      <c r="R1" s="115" t="s">
        <v>6</v>
      </c>
      <c r="S1" s="88"/>
      <c r="T1" s="88"/>
      <c r="U1" s="88"/>
      <c r="V1" s="88"/>
      <c r="W1" s="88"/>
      <c r="X1" s="88"/>
      <c r="Y1" s="88"/>
      <c r="Z1" s="88"/>
    </row>
    <row r="2">
      <c r="A2" s="102" t="s">
        <v>332</v>
      </c>
      <c r="B2" s="102" t="s">
        <v>11743</v>
      </c>
      <c r="C2" s="229" t="s">
        <v>11744</v>
      </c>
      <c r="D2" s="102" t="s">
        <v>11745</v>
      </c>
      <c r="E2" s="102" t="s">
        <v>282</v>
      </c>
      <c r="F2" s="102" t="s">
        <v>283</v>
      </c>
      <c r="G2" s="102" t="s">
        <v>280</v>
      </c>
      <c r="H2" s="102" t="s">
        <v>281</v>
      </c>
      <c r="I2" s="102" t="s">
        <v>284</v>
      </c>
      <c r="J2" s="102" t="s">
        <v>336</v>
      </c>
      <c r="L2" s="229" t="s">
        <v>11746</v>
      </c>
      <c r="M2" s="229" t="s">
        <v>11747</v>
      </c>
      <c r="O2" s="230"/>
      <c r="P2" s="244">
        <f t="shared" ref="P2:P94" si="1">SWITCH(O2,
  1, 2,
  2, 4,
  3, 8,
  5, 24,
  8, 32,
  0
)</f>
        <v>0</v>
      </c>
      <c r="Q2" s="193" t="str">
        <f>IF(ISNUMBER(MATCH(B2, 'Sprint 1'!B:B, 0)), "มาจาก Sprint 1", "")</f>
        <v/>
      </c>
    </row>
    <row r="3">
      <c r="A3" s="102" t="s">
        <v>332</v>
      </c>
      <c r="B3" s="102" t="s">
        <v>11748</v>
      </c>
      <c r="C3" s="229" t="s">
        <v>11749</v>
      </c>
      <c r="D3" s="102" t="s">
        <v>11750</v>
      </c>
      <c r="E3" s="102" t="s">
        <v>282</v>
      </c>
      <c r="F3" s="102" t="s">
        <v>283</v>
      </c>
      <c r="G3" s="102" t="s">
        <v>280</v>
      </c>
      <c r="H3" s="102" t="s">
        <v>281</v>
      </c>
      <c r="I3" s="102" t="s">
        <v>284</v>
      </c>
      <c r="J3" s="102" t="s">
        <v>478</v>
      </c>
      <c r="L3" s="229" t="s">
        <v>11751</v>
      </c>
      <c r="M3" s="229" t="s">
        <v>11752</v>
      </c>
      <c r="O3" s="230"/>
      <c r="P3" s="244">
        <f t="shared" si="1"/>
        <v>0</v>
      </c>
      <c r="Q3" s="193" t="str">
        <f>IF(ISNUMBER(MATCH(B3, 'Sprint 1'!B:B, 0)), "มาจาก Sprint 1", "")</f>
        <v/>
      </c>
    </row>
    <row r="4">
      <c r="A4" s="102" t="s">
        <v>332</v>
      </c>
      <c r="B4" s="102" t="s">
        <v>11753</v>
      </c>
      <c r="C4" s="229" t="s">
        <v>11754</v>
      </c>
      <c r="D4" s="102" t="s">
        <v>11755</v>
      </c>
      <c r="E4" s="102" t="s">
        <v>282</v>
      </c>
      <c r="F4" s="102" t="s">
        <v>283</v>
      </c>
      <c r="G4" s="102" t="s">
        <v>521</v>
      </c>
      <c r="H4" s="102" t="s">
        <v>522</v>
      </c>
      <c r="I4" s="102" t="s">
        <v>284</v>
      </c>
      <c r="J4" s="102" t="s">
        <v>2231</v>
      </c>
      <c r="L4" s="229" t="s">
        <v>11756</v>
      </c>
      <c r="M4" s="229" t="s">
        <v>11757</v>
      </c>
      <c r="O4" s="230"/>
      <c r="P4" s="244">
        <f t="shared" si="1"/>
        <v>0</v>
      </c>
      <c r="Q4" s="193" t="str">
        <f>IF(ISNUMBER(MATCH(B4, 'Sprint 1'!B:B, 0)), "มาจาก Sprint 1", "")</f>
        <v/>
      </c>
    </row>
    <row r="5">
      <c r="A5" s="102" t="s">
        <v>332</v>
      </c>
      <c r="B5" s="102" t="s">
        <v>11758</v>
      </c>
      <c r="C5" s="229" t="s">
        <v>11759</v>
      </c>
      <c r="D5" s="102" t="s">
        <v>11760</v>
      </c>
      <c r="E5" s="102" t="s">
        <v>282</v>
      </c>
      <c r="F5" s="102" t="s">
        <v>283</v>
      </c>
      <c r="G5" s="102" t="s">
        <v>280</v>
      </c>
      <c r="H5" s="102" t="s">
        <v>281</v>
      </c>
      <c r="I5" s="102" t="s">
        <v>284</v>
      </c>
      <c r="J5" s="102" t="s">
        <v>336</v>
      </c>
      <c r="L5" s="229" t="s">
        <v>11761</v>
      </c>
      <c r="M5" s="229" t="s">
        <v>11762</v>
      </c>
      <c r="O5" s="230"/>
      <c r="P5" s="244">
        <f t="shared" si="1"/>
        <v>0</v>
      </c>
      <c r="Q5" s="193" t="str">
        <f>IF(ISNUMBER(MATCH(B5, 'Sprint 1'!B:B, 0)), "มาจาก Sprint 1", "")</f>
        <v/>
      </c>
    </row>
    <row r="6">
      <c r="A6" s="102" t="s">
        <v>4410</v>
      </c>
      <c r="B6" s="102" t="s">
        <v>11763</v>
      </c>
      <c r="C6" s="229" t="s">
        <v>11764</v>
      </c>
      <c r="D6" s="102" t="s">
        <v>11765</v>
      </c>
      <c r="E6" s="102" t="s">
        <v>513</v>
      </c>
      <c r="F6" s="102" t="s">
        <v>514</v>
      </c>
      <c r="G6" s="102" t="s">
        <v>314</v>
      </c>
      <c r="H6" s="102" t="s">
        <v>315</v>
      </c>
      <c r="I6" s="102" t="s">
        <v>284</v>
      </c>
      <c r="J6" s="102" t="s">
        <v>34</v>
      </c>
      <c r="L6" s="229" t="s">
        <v>11766</v>
      </c>
      <c r="M6" s="229" t="s">
        <v>11767</v>
      </c>
      <c r="N6" s="229" t="s">
        <v>11327</v>
      </c>
      <c r="O6" s="102">
        <v>2.0</v>
      </c>
      <c r="P6" s="244">
        <f t="shared" si="1"/>
        <v>4</v>
      </c>
      <c r="Q6" s="193" t="str">
        <f>IF(ISNUMBER(MATCH(B6, 'Sprint 1'!B:B, 0)), "มาจาก Sprint 1", "")</f>
        <v/>
      </c>
    </row>
    <row r="7">
      <c r="A7" s="102" t="s">
        <v>4410</v>
      </c>
      <c r="B7" s="102" t="s">
        <v>11768</v>
      </c>
      <c r="C7" s="229" t="s">
        <v>11769</v>
      </c>
      <c r="D7" s="102" t="s">
        <v>11770</v>
      </c>
      <c r="E7" s="102" t="s">
        <v>314</v>
      </c>
      <c r="F7" s="102" t="s">
        <v>315</v>
      </c>
      <c r="G7" s="102" t="s">
        <v>314</v>
      </c>
      <c r="H7" s="102" t="s">
        <v>315</v>
      </c>
      <c r="I7" s="102" t="s">
        <v>284</v>
      </c>
      <c r="J7" s="102" t="s">
        <v>26</v>
      </c>
      <c r="L7" s="229" t="s">
        <v>11771</v>
      </c>
      <c r="M7" s="229" t="s">
        <v>11772</v>
      </c>
      <c r="N7" s="229" t="s">
        <v>11642</v>
      </c>
      <c r="O7" s="102">
        <v>1.0</v>
      </c>
      <c r="P7" s="244">
        <f t="shared" si="1"/>
        <v>2</v>
      </c>
      <c r="Q7" s="193" t="str">
        <f>IF(ISNUMBER(MATCH(B7, 'Sprint 1'!B:B, 0)), "มาจาก Sprint 1", "")</f>
        <v/>
      </c>
    </row>
    <row r="8">
      <c r="A8" s="102" t="s">
        <v>4410</v>
      </c>
      <c r="B8" s="102" t="s">
        <v>11773</v>
      </c>
      <c r="C8" s="229" t="s">
        <v>11774</v>
      </c>
      <c r="D8" s="102" t="s">
        <v>11775</v>
      </c>
      <c r="E8" s="102" t="s">
        <v>314</v>
      </c>
      <c r="F8" s="102" t="s">
        <v>315</v>
      </c>
      <c r="G8" s="102" t="s">
        <v>314</v>
      </c>
      <c r="H8" s="102" t="s">
        <v>315</v>
      </c>
      <c r="I8" s="102" t="s">
        <v>515</v>
      </c>
      <c r="J8" s="102" t="s">
        <v>26</v>
      </c>
      <c r="L8" s="229" t="s">
        <v>11776</v>
      </c>
      <c r="M8" s="229" t="s">
        <v>11777</v>
      </c>
      <c r="N8" s="229" t="s">
        <v>11642</v>
      </c>
      <c r="O8" s="102">
        <v>1.0</v>
      </c>
      <c r="P8" s="244">
        <f t="shared" si="1"/>
        <v>2</v>
      </c>
      <c r="Q8" s="193" t="str">
        <f>IF(ISNUMBER(MATCH(B8, 'Sprint 1'!B:B, 0)), "มาจาก Sprint 1", "")</f>
        <v/>
      </c>
    </row>
    <row r="9">
      <c r="A9" s="102" t="s">
        <v>332</v>
      </c>
      <c r="B9" s="102" t="s">
        <v>11778</v>
      </c>
      <c r="C9" s="229" t="s">
        <v>11779</v>
      </c>
      <c r="D9" s="102" t="s">
        <v>11780</v>
      </c>
      <c r="E9" s="102" t="s">
        <v>11781</v>
      </c>
      <c r="F9" s="102" t="s">
        <v>11431</v>
      </c>
      <c r="G9" s="102" t="s">
        <v>280</v>
      </c>
      <c r="H9" s="102" t="s">
        <v>281</v>
      </c>
      <c r="I9" s="102" t="s">
        <v>284</v>
      </c>
      <c r="J9" s="102" t="s">
        <v>336</v>
      </c>
      <c r="L9" s="229" t="s">
        <v>11782</v>
      </c>
      <c r="M9" s="229" t="s">
        <v>11783</v>
      </c>
      <c r="O9" s="230"/>
      <c r="P9" s="244">
        <f t="shared" si="1"/>
        <v>0</v>
      </c>
      <c r="Q9" s="193" t="str">
        <f>IF(ISNUMBER(MATCH(B9, 'Sprint 1'!B:B, 0)), "มาจาก Sprint 1", "")</f>
        <v/>
      </c>
    </row>
    <row r="10">
      <c r="A10" s="102" t="s">
        <v>310</v>
      </c>
      <c r="B10" s="102" t="s">
        <v>11637</v>
      </c>
      <c r="C10" s="229" t="s">
        <v>11638</v>
      </c>
      <c r="D10" s="102" t="s">
        <v>11639</v>
      </c>
      <c r="E10" s="102" t="s">
        <v>11781</v>
      </c>
      <c r="F10" s="102" t="s">
        <v>11431</v>
      </c>
      <c r="G10" s="102" t="s">
        <v>282</v>
      </c>
      <c r="H10" s="102" t="s">
        <v>283</v>
      </c>
      <c r="I10" s="102" t="s">
        <v>284</v>
      </c>
      <c r="J10" s="102" t="s">
        <v>454</v>
      </c>
      <c r="L10" s="229" t="s">
        <v>11640</v>
      </c>
      <c r="M10" s="229" t="s">
        <v>11767</v>
      </c>
      <c r="N10" s="229" t="s">
        <v>11642</v>
      </c>
      <c r="O10" s="102">
        <v>1.0</v>
      </c>
      <c r="P10" s="244">
        <f t="shared" si="1"/>
        <v>2</v>
      </c>
      <c r="Q10" s="193" t="str">
        <f>IF(ISNUMBER(MATCH(B10, 'Sprint 1'!B:B, 0)), "มาจาก Sprint 1", "")</f>
        <v/>
      </c>
    </row>
    <row r="11">
      <c r="A11" s="102" t="s">
        <v>276</v>
      </c>
      <c r="B11" s="102" t="s">
        <v>11784</v>
      </c>
      <c r="C11" s="229" t="s">
        <v>11785</v>
      </c>
      <c r="D11" s="102" t="s">
        <v>11786</v>
      </c>
      <c r="E11" s="102" t="s">
        <v>521</v>
      </c>
      <c r="F11" s="102" t="s">
        <v>522</v>
      </c>
      <c r="G11" s="102" t="s">
        <v>521</v>
      </c>
      <c r="H11" s="102" t="s">
        <v>522</v>
      </c>
      <c r="I11" s="102" t="s">
        <v>284</v>
      </c>
      <c r="J11" s="102" t="s">
        <v>34</v>
      </c>
      <c r="L11" s="229" t="s">
        <v>11787</v>
      </c>
      <c r="M11" s="229" t="s">
        <v>11788</v>
      </c>
      <c r="O11" s="230"/>
      <c r="P11" s="244">
        <f t="shared" si="1"/>
        <v>0</v>
      </c>
      <c r="Q11" s="193" t="str">
        <f>IF(ISNUMBER(MATCH(B11, 'Sprint 1'!B:B, 0)), "มาจาก Sprint 1", "")</f>
        <v/>
      </c>
    </row>
    <row r="12">
      <c r="A12" s="102" t="s">
        <v>332</v>
      </c>
      <c r="B12" s="102" t="s">
        <v>11789</v>
      </c>
      <c r="C12" s="229" t="s">
        <v>11790</v>
      </c>
      <c r="D12" s="102" t="s">
        <v>11791</v>
      </c>
      <c r="E12" s="102" t="s">
        <v>556</v>
      </c>
      <c r="F12" s="102" t="s">
        <v>557</v>
      </c>
      <c r="G12" s="102" t="s">
        <v>280</v>
      </c>
      <c r="H12" s="102" t="s">
        <v>281</v>
      </c>
      <c r="I12" s="102" t="s">
        <v>284</v>
      </c>
      <c r="J12" s="102" t="s">
        <v>336</v>
      </c>
      <c r="L12" s="229" t="s">
        <v>11792</v>
      </c>
      <c r="M12" s="229" t="s">
        <v>11793</v>
      </c>
      <c r="O12" s="230"/>
      <c r="P12" s="244">
        <f t="shared" si="1"/>
        <v>0</v>
      </c>
      <c r="Q12" s="193" t="str">
        <f>IF(ISNUMBER(MATCH(B12, 'Sprint 1'!B:B, 0)), "มาจาก Sprint 1", "")</f>
        <v/>
      </c>
    </row>
    <row r="13">
      <c r="A13" s="102" t="s">
        <v>332</v>
      </c>
      <c r="B13" s="102" t="s">
        <v>11794</v>
      </c>
      <c r="C13" s="229" t="s">
        <v>11795</v>
      </c>
      <c r="D13" s="102" t="s">
        <v>11796</v>
      </c>
      <c r="E13" s="102" t="s">
        <v>556</v>
      </c>
      <c r="F13" s="102" t="s">
        <v>557</v>
      </c>
      <c r="G13" s="102" t="s">
        <v>280</v>
      </c>
      <c r="H13" s="102" t="s">
        <v>281</v>
      </c>
      <c r="I13" s="102" t="s">
        <v>284</v>
      </c>
      <c r="J13" s="102" t="s">
        <v>336</v>
      </c>
      <c r="L13" s="229" t="s">
        <v>11797</v>
      </c>
      <c r="M13" s="229" t="s">
        <v>11798</v>
      </c>
      <c r="O13" s="230"/>
      <c r="P13" s="244">
        <f t="shared" si="1"/>
        <v>0</v>
      </c>
      <c r="Q13" s="193" t="str">
        <f>IF(ISNUMBER(MATCH(B13, 'Sprint 1'!B:B, 0)), "มาจาก Sprint 1", "")</f>
        <v/>
      </c>
    </row>
    <row r="14">
      <c r="A14" s="102" t="s">
        <v>310</v>
      </c>
      <c r="B14" s="102" t="s">
        <v>11799</v>
      </c>
      <c r="C14" s="229" t="s">
        <v>11800</v>
      </c>
      <c r="D14" s="102" t="s">
        <v>11801</v>
      </c>
      <c r="E14" s="102" t="s">
        <v>314</v>
      </c>
      <c r="F14" s="102" t="s">
        <v>315</v>
      </c>
      <c r="G14" s="102" t="s">
        <v>314</v>
      </c>
      <c r="H14" s="102" t="s">
        <v>315</v>
      </c>
      <c r="I14" s="102" t="s">
        <v>284</v>
      </c>
      <c r="J14" s="102" t="s">
        <v>26</v>
      </c>
      <c r="L14" s="229" t="s">
        <v>11802</v>
      </c>
      <c r="M14" s="229" t="s">
        <v>11803</v>
      </c>
      <c r="O14" s="102">
        <v>1.0</v>
      </c>
      <c r="P14" s="244">
        <f t="shared" si="1"/>
        <v>2</v>
      </c>
      <c r="Q14" s="193" t="str">
        <f>IF(ISNUMBER(MATCH(B14, 'Sprint 1'!B:B, 0)), "มาจาก Sprint 1", "")</f>
        <v/>
      </c>
    </row>
    <row r="15">
      <c r="A15" s="102" t="s">
        <v>1459</v>
      </c>
      <c r="B15" s="102" t="s">
        <v>11804</v>
      </c>
      <c r="C15" s="229" t="s">
        <v>11805</v>
      </c>
      <c r="D15" s="102" t="s">
        <v>11806</v>
      </c>
      <c r="E15" s="102" t="s">
        <v>280</v>
      </c>
      <c r="F15" s="102" t="s">
        <v>281</v>
      </c>
      <c r="G15" s="102" t="s">
        <v>280</v>
      </c>
      <c r="H15" s="102" t="s">
        <v>281</v>
      </c>
      <c r="I15" s="102" t="s">
        <v>284</v>
      </c>
      <c r="J15" s="102" t="s">
        <v>34</v>
      </c>
      <c r="L15" s="229" t="s">
        <v>11807</v>
      </c>
      <c r="M15" s="229" t="s">
        <v>11747</v>
      </c>
      <c r="O15" s="230"/>
      <c r="P15" s="244">
        <f t="shared" si="1"/>
        <v>0</v>
      </c>
      <c r="Q15" s="193" t="str">
        <f>IF(ISNUMBER(MATCH(B15, 'Sprint 1'!B:B, 0)), "มาจาก Sprint 1", "")</f>
        <v/>
      </c>
    </row>
    <row r="16">
      <c r="A16" s="102" t="s">
        <v>4410</v>
      </c>
      <c r="B16" s="102" t="s">
        <v>11808</v>
      </c>
      <c r="C16" s="229" t="s">
        <v>11809</v>
      </c>
      <c r="D16" s="102" t="s">
        <v>11810</v>
      </c>
      <c r="E16" s="102" t="s">
        <v>314</v>
      </c>
      <c r="F16" s="102" t="s">
        <v>315</v>
      </c>
      <c r="G16" s="102" t="s">
        <v>314</v>
      </c>
      <c r="H16" s="102" t="s">
        <v>315</v>
      </c>
      <c r="I16" s="102" t="s">
        <v>515</v>
      </c>
      <c r="J16" s="102" t="s">
        <v>26</v>
      </c>
      <c r="L16" s="229" t="s">
        <v>11811</v>
      </c>
      <c r="M16" s="229" t="s">
        <v>11812</v>
      </c>
      <c r="N16" s="229" t="s">
        <v>11244</v>
      </c>
      <c r="O16" s="102">
        <v>1.0</v>
      </c>
      <c r="P16" s="244">
        <f t="shared" si="1"/>
        <v>2</v>
      </c>
      <c r="Q16" s="193" t="str">
        <f>IF(ISNUMBER(MATCH(B16, 'Sprint 1'!B:B, 0)), "มาจาก Sprint 1", "")</f>
        <v/>
      </c>
    </row>
    <row r="17">
      <c r="A17" s="102" t="s">
        <v>4410</v>
      </c>
      <c r="B17" s="102" t="s">
        <v>11240</v>
      </c>
      <c r="C17" s="229" t="s">
        <v>11241</v>
      </c>
      <c r="D17" s="102" t="s">
        <v>11242</v>
      </c>
      <c r="E17" s="102" t="s">
        <v>513</v>
      </c>
      <c r="F17" s="102" t="s">
        <v>514</v>
      </c>
      <c r="G17" s="102" t="s">
        <v>353</v>
      </c>
      <c r="H17" s="102" t="s">
        <v>354</v>
      </c>
      <c r="I17" s="102" t="s">
        <v>284</v>
      </c>
      <c r="J17" s="102" t="s">
        <v>454</v>
      </c>
      <c r="L17" s="229" t="s">
        <v>11243</v>
      </c>
      <c r="M17" s="229" t="s">
        <v>11813</v>
      </c>
      <c r="N17" s="229" t="s">
        <v>11244</v>
      </c>
      <c r="O17" s="102">
        <v>3.0</v>
      </c>
      <c r="P17" s="244">
        <f t="shared" si="1"/>
        <v>8</v>
      </c>
      <c r="Q17" s="193" t="str">
        <f>IF(ISNUMBER(MATCH(B17, 'Sprint 1'!B:B, 0)), "มาจาก Sprint 1", "")</f>
        <v/>
      </c>
    </row>
    <row r="18">
      <c r="A18" s="102" t="s">
        <v>276</v>
      </c>
      <c r="B18" s="102" t="s">
        <v>11814</v>
      </c>
      <c r="C18" s="229" t="s">
        <v>11815</v>
      </c>
      <c r="D18" s="102" t="s">
        <v>11816</v>
      </c>
      <c r="E18" s="102" t="s">
        <v>521</v>
      </c>
      <c r="F18" s="102" t="s">
        <v>522</v>
      </c>
      <c r="G18" s="102" t="s">
        <v>521</v>
      </c>
      <c r="H18" s="102" t="s">
        <v>522</v>
      </c>
      <c r="I18" s="102" t="s">
        <v>284</v>
      </c>
      <c r="J18" s="102" t="s">
        <v>26</v>
      </c>
      <c r="L18" s="229" t="s">
        <v>11817</v>
      </c>
      <c r="M18" s="229" t="s">
        <v>11818</v>
      </c>
      <c r="O18" s="230"/>
      <c r="P18" s="244">
        <f t="shared" si="1"/>
        <v>0</v>
      </c>
      <c r="Q18" s="193" t="str">
        <f>IF(ISNUMBER(MATCH(B18, 'Sprint 1'!B:B, 0)), "มาจาก Sprint 1", "")</f>
        <v/>
      </c>
    </row>
    <row r="19">
      <c r="A19" s="102" t="s">
        <v>4410</v>
      </c>
      <c r="B19" s="102" t="s">
        <v>11819</v>
      </c>
      <c r="C19" s="229" t="s">
        <v>11820</v>
      </c>
      <c r="D19" s="102" t="s">
        <v>11821</v>
      </c>
      <c r="E19" s="102" t="s">
        <v>11781</v>
      </c>
      <c r="F19" s="102" t="s">
        <v>11431</v>
      </c>
      <c r="G19" s="102" t="s">
        <v>353</v>
      </c>
      <c r="H19" s="102" t="s">
        <v>354</v>
      </c>
      <c r="I19" s="102" t="s">
        <v>284</v>
      </c>
      <c r="J19" s="102" t="s">
        <v>26</v>
      </c>
      <c r="L19" s="229" t="s">
        <v>11822</v>
      </c>
      <c r="M19" s="229" t="s">
        <v>11823</v>
      </c>
      <c r="O19" s="102">
        <v>2.0</v>
      </c>
      <c r="P19" s="244">
        <f t="shared" si="1"/>
        <v>4</v>
      </c>
      <c r="Q19" s="193" t="str">
        <f>IF(ISNUMBER(MATCH(B19, 'Sprint 1'!B:B, 0)), "มาจาก Sprint 1", "")</f>
        <v/>
      </c>
    </row>
    <row r="20">
      <c r="A20" s="102" t="s">
        <v>332</v>
      </c>
      <c r="B20" s="102" t="s">
        <v>11824</v>
      </c>
      <c r="C20" s="229" t="s">
        <v>11825</v>
      </c>
      <c r="D20" s="102" t="s">
        <v>11826</v>
      </c>
      <c r="E20" s="102" t="s">
        <v>282</v>
      </c>
      <c r="F20" s="102" t="s">
        <v>283</v>
      </c>
      <c r="G20" s="102" t="s">
        <v>282</v>
      </c>
      <c r="H20" s="102" t="s">
        <v>283</v>
      </c>
      <c r="I20" s="102" t="s">
        <v>284</v>
      </c>
      <c r="J20" s="102" t="s">
        <v>922</v>
      </c>
      <c r="L20" s="229" t="s">
        <v>11827</v>
      </c>
      <c r="M20" s="229" t="s">
        <v>11828</v>
      </c>
      <c r="O20" s="230"/>
      <c r="P20" s="244">
        <f t="shared" si="1"/>
        <v>0</v>
      </c>
      <c r="Q20" s="193" t="str">
        <f>IF(ISNUMBER(MATCH(B20, 'Sprint 1'!B:B, 0)), "มาจาก Sprint 1", "")</f>
        <v/>
      </c>
    </row>
    <row r="21">
      <c r="A21" s="102" t="s">
        <v>1459</v>
      </c>
      <c r="B21" s="102" t="s">
        <v>11829</v>
      </c>
      <c r="C21" s="229" t="s">
        <v>11830</v>
      </c>
      <c r="D21" s="102" t="s">
        <v>11831</v>
      </c>
      <c r="G21" s="102" t="s">
        <v>280</v>
      </c>
      <c r="H21" s="102" t="s">
        <v>281</v>
      </c>
      <c r="I21" s="102" t="s">
        <v>284</v>
      </c>
      <c r="J21" s="102" t="s">
        <v>63</v>
      </c>
      <c r="L21" s="229" t="s">
        <v>11832</v>
      </c>
      <c r="M21" s="229" t="s">
        <v>11833</v>
      </c>
      <c r="O21" s="230"/>
      <c r="P21" s="244">
        <f t="shared" si="1"/>
        <v>0</v>
      </c>
      <c r="Q21" s="193" t="str">
        <f>IF(ISNUMBER(MATCH(B21, 'Sprint 1'!B:B, 0)), "มาจาก Sprint 1", "")</f>
        <v/>
      </c>
    </row>
    <row r="22">
      <c r="A22" s="102" t="s">
        <v>4410</v>
      </c>
      <c r="B22" s="102" t="s">
        <v>11834</v>
      </c>
      <c r="C22" s="229" t="s">
        <v>11835</v>
      </c>
      <c r="D22" s="102" t="s">
        <v>11836</v>
      </c>
      <c r="E22" s="102" t="s">
        <v>314</v>
      </c>
      <c r="F22" s="102" t="s">
        <v>315</v>
      </c>
      <c r="G22" s="102" t="s">
        <v>314</v>
      </c>
      <c r="H22" s="102" t="s">
        <v>315</v>
      </c>
      <c r="I22" s="102" t="s">
        <v>515</v>
      </c>
      <c r="J22" s="102" t="s">
        <v>26</v>
      </c>
      <c r="L22" s="229" t="s">
        <v>11837</v>
      </c>
      <c r="M22" s="229" t="s">
        <v>11838</v>
      </c>
      <c r="N22" s="229" t="s">
        <v>11839</v>
      </c>
      <c r="O22" s="102">
        <v>1.0</v>
      </c>
      <c r="P22" s="244">
        <f t="shared" si="1"/>
        <v>2</v>
      </c>
      <c r="Q22" s="193" t="str">
        <f>IF(ISNUMBER(MATCH(B22, 'Sprint 1'!B:B, 0)), "มาจาก Sprint 1", "")</f>
        <v/>
      </c>
    </row>
    <row r="23">
      <c r="A23" s="102" t="s">
        <v>4410</v>
      </c>
      <c r="B23" s="102" t="s">
        <v>11840</v>
      </c>
      <c r="C23" s="229" t="s">
        <v>11841</v>
      </c>
      <c r="D23" s="102" t="s">
        <v>11842</v>
      </c>
      <c r="E23" s="102" t="s">
        <v>314</v>
      </c>
      <c r="F23" s="102" t="s">
        <v>315</v>
      </c>
      <c r="G23" s="102" t="s">
        <v>314</v>
      </c>
      <c r="H23" s="102" t="s">
        <v>315</v>
      </c>
      <c r="I23" s="102" t="s">
        <v>515</v>
      </c>
      <c r="J23" s="102" t="s">
        <v>26</v>
      </c>
      <c r="L23" s="229" t="s">
        <v>11843</v>
      </c>
      <c r="M23" s="229" t="s">
        <v>11844</v>
      </c>
      <c r="N23" s="229" t="s">
        <v>11839</v>
      </c>
      <c r="O23" s="102">
        <v>1.0</v>
      </c>
      <c r="P23" s="244">
        <f t="shared" si="1"/>
        <v>2</v>
      </c>
      <c r="Q23" s="193" t="str">
        <f>IF(ISNUMBER(MATCH(B23, 'Sprint 1'!B:B, 0)), "มาจาก Sprint 1", "")</f>
        <v/>
      </c>
    </row>
    <row r="24">
      <c r="A24" s="102" t="s">
        <v>332</v>
      </c>
      <c r="B24" s="102" t="s">
        <v>11845</v>
      </c>
      <c r="C24" s="229" t="s">
        <v>11846</v>
      </c>
      <c r="D24" s="102" t="s">
        <v>11847</v>
      </c>
      <c r="E24" s="102" t="s">
        <v>314</v>
      </c>
      <c r="F24" s="102" t="s">
        <v>315</v>
      </c>
      <c r="G24" s="102" t="s">
        <v>391</v>
      </c>
      <c r="H24" s="102" t="s">
        <v>392</v>
      </c>
      <c r="I24" s="102" t="s">
        <v>284</v>
      </c>
      <c r="J24" s="102" t="s">
        <v>336</v>
      </c>
      <c r="L24" s="229" t="s">
        <v>11848</v>
      </c>
      <c r="M24" s="229" t="s">
        <v>11849</v>
      </c>
      <c r="O24" s="230"/>
      <c r="P24" s="244">
        <f t="shared" si="1"/>
        <v>0</v>
      </c>
      <c r="Q24" s="193" t="str">
        <f>IF(ISNUMBER(MATCH(B24, 'Sprint 1'!B:B, 0)), "มาจาก Sprint 1", "")</f>
        <v/>
      </c>
    </row>
    <row r="25">
      <c r="A25" s="102" t="s">
        <v>310</v>
      </c>
      <c r="B25" s="102" t="s">
        <v>11850</v>
      </c>
      <c r="C25" s="229" t="s">
        <v>11851</v>
      </c>
      <c r="D25" s="102" t="s">
        <v>11852</v>
      </c>
      <c r="E25" s="102" t="s">
        <v>282</v>
      </c>
      <c r="F25" s="102" t="s">
        <v>283</v>
      </c>
      <c r="G25" s="102" t="s">
        <v>282</v>
      </c>
      <c r="H25" s="102" t="s">
        <v>283</v>
      </c>
      <c r="I25" s="102" t="s">
        <v>284</v>
      </c>
      <c r="J25" s="102" t="s">
        <v>63</v>
      </c>
      <c r="L25" s="229" t="s">
        <v>11853</v>
      </c>
      <c r="M25" s="229" t="s">
        <v>11854</v>
      </c>
      <c r="O25" s="102">
        <v>2.0</v>
      </c>
      <c r="P25" s="244">
        <f t="shared" si="1"/>
        <v>4</v>
      </c>
      <c r="Q25" s="193" t="str">
        <f>IF(ISNUMBER(MATCH(B25, 'Sprint 1'!B:B, 0)), "มาจาก Sprint 1", "")</f>
        <v/>
      </c>
    </row>
    <row r="26">
      <c r="A26" s="102" t="s">
        <v>310</v>
      </c>
      <c r="B26" s="102" t="s">
        <v>11855</v>
      </c>
      <c r="C26" s="229" t="s">
        <v>11856</v>
      </c>
      <c r="D26" s="102" t="s">
        <v>11857</v>
      </c>
      <c r="E26" s="102" t="s">
        <v>282</v>
      </c>
      <c r="G26" s="102" t="s">
        <v>282</v>
      </c>
      <c r="H26" s="102" t="s">
        <v>283</v>
      </c>
      <c r="I26" s="102" t="s">
        <v>284</v>
      </c>
      <c r="J26" s="102" t="s">
        <v>26</v>
      </c>
      <c r="L26" s="229" t="s">
        <v>11853</v>
      </c>
      <c r="M26" s="229" t="s">
        <v>11858</v>
      </c>
      <c r="O26" s="102">
        <v>3.0</v>
      </c>
      <c r="P26" s="244">
        <f t="shared" si="1"/>
        <v>8</v>
      </c>
      <c r="Q26" s="193" t="str">
        <f>IF(ISNUMBER(MATCH(B26, 'Sprint 1'!B:B, 0)), "มาจาก Sprint 1", "")</f>
        <v/>
      </c>
    </row>
    <row r="27">
      <c r="A27" s="102" t="s">
        <v>310</v>
      </c>
      <c r="B27" s="102" t="s">
        <v>11859</v>
      </c>
      <c r="C27" s="229" t="s">
        <v>11860</v>
      </c>
      <c r="D27" s="102" t="s">
        <v>11861</v>
      </c>
      <c r="E27" s="102" t="s">
        <v>282</v>
      </c>
      <c r="F27" s="102" t="s">
        <v>283</v>
      </c>
      <c r="G27" s="102" t="s">
        <v>282</v>
      </c>
      <c r="H27" s="102" t="s">
        <v>283</v>
      </c>
      <c r="I27" s="102" t="s">
        <v>284</v>
      </c>
      <c r="J27" s="102" t="s">
        <v>678</v>
      </c>
      <c r="L27" s="229" t="s">
        <v>11862</v>
      </c>
      <c r="M27" s="229" t="s">
        <v>11863</v>
      </c>
      <c r="O27" s="102">
        <v>3.0</v>
      </c>
      <c r="P27" s="244">
        <f t="shared" si="1"/>
        <v>8</v>
      </c>
      <c r="Q27" s="193" t="str">
        <f>IF(ISNUMBER(MATCH(B27, 'Sprint 1'!B:B, 0)), "มาจาก Sprint 1", "")</f>
        <v/>
      </c>
    </row>
    <row r="28">
      <c r="A28" s="102" t="s">
        <v>4410</v>
      </c>
      <c r="B28" s="102" t="s">
        <v>11864</v>
      </c>
      <c r="C28" s="229" t="s">
        <v>11865</v>
      </c>
      <c r="D28" s="102" t="s">
        <v>11866</v>
      </c>
      <c r="E28" s="102" t="s">
        <v>314</v>
      </c>
      <c r="F28" s="102" t="s">
        <v>315</v>
      </c>
      <c r="G28" s="102" t="s">
        <v>314</v>
      </c>
      <c r="H28" s="102" t="s">
        <v>315</v>
      </c>
      <c r="I28" s="102" t="s">
        <v>284</v>
      </c>
      <c r="J28" s="102" t="s">
        <v>26</v>
      </c>
      <c r="L28" s="229" t="s">
        <v>11867</v>
      </c>
      <c r="M28" s="229" t="s">
        <v>11868</v>
      </c>
      <c r="N28" s="229" t="s">
        <v>11869</v>
      </c>
      <c r="O28" s="102">
        <v>1.0</v>
      </c>
      <c r="P28" s="244">
        <f t="shared" si="1"/>
        <v>2</v>
      </c>
      <c r="Q28" s="193" t="str">
        <f>IF(ISNUMBER(MATCH(B28, 'Sprint 1'!B:B, 0)), "มาจาก Sprint 1", "")</f>
        <v/>
      </c>
    </row>
    <row r="29">
      <c r="A29" s="102" t="s">
        <v>310</v>
      </c>
      <c r="B29" s="102" t="s">
        <v>11870</v>
      </c>
      <c r="C29" s="229" t="s">
        <v>11871</v>
      </c>
      <c r="D29" s="102" t="s">
        <v>11872</v>
      </c>
      <c r="E29" s="102" t="s">
        <v>353</v>
      </c>
      <c r="F29" s="102" t="s">
        <v>354</v>
      </c>
      <c r="G29" s="102" t="s">
        <v>353</v>
      </c>
      <c r="H29" s="102" t="s">
        <v>354</v>
      </c>
      <c r="I29" s="102" t="s">
        <v>284</v>
      </c>
      <c r="J29" s="102" t="s">
        <v>26</v>
      </c>
      <c r="L29" s="229" t="s">
        <v>11873</v>
      </c>
      <c r="M29" s="229" t="s">
        <v>11874</v>
      </c>
      <c r="O29" s="102">
        <v>2.0</v>
      </c>
      <c r="P29" s="244">
        <f t="shared" si="1"/>
        <v>4</v>
      </c>
      <c r="Q29" s="193" t="str">
        <f>IF(ISNUMBER(MATCH(B29, 'Sprint 1'!B:B, 0)), "มาจาก Sprint 1", "")</f>
        <v/>
      </c>
    </row>
    <row r="30">
      <c r="A30" s="102" t="s">
        <v>276</v>
      </c>
      <c r="B30" s="102" t="s">
        <v>11651</v>
      </c>
      <c r="C30" s="229" t="s">
        <v>11652</v>
      </c>
      <c r="D30" s="102" t="s">
        <v>4345</v>
      </c>
      <c r="E30" s="102" t="s">
        <v>391</v>
      </c>
      <c r="F30" s="102" t="s">
        <v>392</v>
      </c>
      <c r="G30" s="102" t="s">
        <v>391</v>
      </c>
      <c r="H30" s="102" t="s">
        <v>392</v>
      </c>
      <c r="I30" s="102" t="s">
        <v>284</v>
      </c>
      <c r="J30" s="102" t="s">
        <v>63</v>
      </c>
      <c r="L30" s="229" t="s">
        <v>11653</v>
      </c>
      <c r="M30" s="229" t="s">
        <v>11653</v>
      </c>
      <c r="O30" s="230"/>
      <c r="P30" s="244">
        <f t="shared" si="1"/>
        <v>0</v>
      </c>
      <c r="Q30" s="193" t="str">
        <f>IF(ISNUMBER(MATCH(B30, 'Sprint 1'!B:B, 0)), "มาจาก Sprint 1", "")</f>
        <v/>
      </c>
    </row>
    <row r="31">
      <c r="A31" s="102" t="s">
        <v>276</v>
      </c>
      <c r="B31" s="102" t="s">
        <v>11655</v>
      </c>
      <c r="C31" s="229" t="s">
        <v>11656</v>
      </c>
      <c r="D31" s="102" t="s">
        <v>4345</v>
      </c>
      <c r="E31" s="102" t="s">
        <v>391</v>
      </c>
      <c r="F31" s="102" t="s">
        <v>392</v>
      </c>
      <c r="G31" s="102" t="s">
        <v>391</v>
      </c>
      <c r="H31" s="102" t="s">
        <v>392</v>
      </c>
      <c r="I31" s="102" t="s">
        <v>284</v>
      </c>
      <c r="J31" s="102" t="s">
        <v>454</v>
      </c>
      <c r="L31" s="229" t="s">
        <v>11653</v>
      </c>
      <c r="M31" s="229" t="s">
        <v>11875</v>
      </c>
      <c r="O31" s="230"/>
      <c r="P31" s="244">
        <f t="shared" si="1"/>
        <v>0</v>
      </c>
      <c r="Q31" s="193" t="str">
        <f>IF(ISNUMBER(MATCH(B31, 'Sprint 1'!B:B, 0)), "มาจาก Sprint 1", "")</f>
        <v/>
      </c>
    </row>
    <row r="32">
      <c r="A32" s="102" t="s">
        <v>276</v>
      </c>
      <c r="B32" s="102" t="s">
        <v>11658</v>
      </c>
      <c r="C32" s="229" t="s">
        <v>11659</v>
      </c>
      <c r="D32" s="102" t="s">
        <v>4345</v>
      </c>
      <c r="E32" s="102" t="s">
        <v>391</v>
      </c>
      <c r="F32" s="102" t="s">
        <v>392</v>
      </c>
      <c r="G32" s="102" t="s">
        <v>391</v>
      </c>
      <c r="H32" s="102" t="s">
        <v>392</v>
      </c>
      <c r="I32" s="102" t="s">
        <v>284</v>
      </c>
      <c r="J32" s="102" t="s">
        <v>454</v>
      </c>
      <c r="L32" s="229" t="s">
        <v>11660</v>
      </c>
      <c r="M32" s="229" t="s">
        <v>11875</v>
      </c>
      <c r="O32" s="230"/>
      <c r="P32" s="244">
        <f t="shared" si="1"/>
        <v>0</v>
      </c>
      <c r="Q32" s="193" t="str">
        <f>IF(ISNUMBER(MATCH(B32, 'Sprint 1'!B:B, 0)), "มาจาก Sprint 1", "")</f>
        <v/>
      </c>
    </row>
    <row r="33">
      <c r="A33" s="102" t="s">
        <v>276</v>
      </c>
      <c r="B33" s="102" t="s">
        <v>11876</v>
      </c>
      <c r="C33" s="229" t="s">
        <v>11877</v>
      </c>
      <c r="D33" s="102" t="s">
        <v>4345</v>
      </c>
      <c r="E33" s="102" t="s">
        <v>391</v>
      </c>
      <c r="F33" s="102" t="s">
        <v>392</v>
      </c>
      <c r="G33" s="102" t="s">
        <v>391</v>
      </c>
      <c r="H33" s="102" t="s">
        <v>392</v>
      </c>
      <c r="I33" s="102" t="s">
        <v>284</v>
      </c>
      <c r="J33" s="102" t="s">
        <v>63</v>
      </c>
      <c r="L33" s="229" t="s">
        <v>11660</v>
      </c>
      <c r="M33" s="229" t="s">
        <v>11660</v>
      </c>
      <c r="O33" s="230"/>
      <c r="P33" s="244">
        <f t="shared" si="1"/>
        <v>0</v>
      </c>
      <c r="Q33" s="193" t="str">
        <f>IF(ISNUMBER(MATCH(B33, 'Sprint 1'!B:B, 0)), "มาจาก Sprint 1", "")</f>
        <v/>
      </c>
    </row>
    <row r="34">
      <c r="A34" s="102" t="s">
        <v>276</v>
      </c>
      <c r="B34" s="102" t="s">
        <v>11662</v>
      </c>
      <c r="C34" s="229" t="s">
        <v>11663</v>
      </c>
      <c r="D34" s="102" t="s">
        <v>4345</v>
      </c>
      <c r="E34" s="102" t="s">
        <v>391</v>
      </c>
      <c r="F34" s="102" t="s">
        <v>392</v>
      </c>
      <c r="G34" s="102" t="s">
        <v>391</v>
      </c>
      <c r="H34" s="102" t="s">
        <v>392</v>
      </c>
      <c r="I34" s="102" t="s">
        <v>284</v>
      </c>
      <c r="J34" s="102" t="s">
        <v>454</v>
      </c>
      <c r="L34" s="229" t="s">
        <v>11660</v>
      </c>
      <c r="M34" s="229" t="s">
        <v>11875</v>
      </c>
      <c r="O34" s="230"/>
      <c r="P34" s="244">
        <f t="shared" si="1"/>
        <v>0</v>
      </c>
      <c r="Q34" s="193" t="str">
        <f>IF(ISNUMBER(MATCH(B34, 'Sprint 1'!B:B, 0)), "มาจาก Sprint 1", "")</f>
        <v/>
      </c>
    </row>
    <row r="35">
      <c r="A35" s="102" t="s">
        <v>276</v>
      </c>
      <c r="B35" s="102" t="s">
        <v>11664</v>
      </c>
      <c r="C35" s="229" t="s">
        <v>11665</v>
      </c>
      <c r="D35" s="102" t="s">
        <v>4345</v>
      </c>
      <c r="E35" s="102" t="s">
        <v>391</v>
      </c>
      <c r="F35" s="102" t="s">
        <v>392</v>
      </c>
      <c r="G35" s="102" t="s">
        <v>391</v>
      </c>
      <c r="H35" s="102" t="s">
        <v>392</v>
      </c>
      <c r="I35" s="102" t="s">
        <v>284</v>
      </c>
      <c r="J35" s="102" t="s">
        <v>34</v>
      </c>
      <c r="L35" s="229" t="s">
        <v>11660</v>
      </c>
      <c r="M35" s="229" t="s">
        <v>11878</v>
      </c>
      <c r="O35" s="230"/>
      <c r="P35" s="244">
        <f t="shared" si="1"/>
        <v>0</v>
      </c>
      <c r="Q35" s="193" t="str">
        <f>IF(ISNUMBER(MATCH(B35, 'Sprint 1'!B:B, 0)), "มาจาก Sprint 1", "")</f>
        <v/>
      </c>
    </row>
    <row r="36">
      <c r="A36" s="102" t="s">
        <v>276</v>
      </c>
      <c r="B36" s="102" t="s">
        <v>11668</v>
      </c>
      <c r="C36" s="229" t="s">
        <v>11669</v>
      </c>
      <c r="D36" s="102" t="s">
        <v>4345</v>
      </c>
      <c r="E36" s="102" t="s">
        <v>391</v>
      </c>
      <c r="F36" s="102" t="s">
        <v>392</v>
      </c>
      <c r="G36" s="102" t="s">
        <v>391</v>
      </c>
      <c r="H36" s="102" t="s">
        <v>392</v>
      </c>
      <c r="I36" s="102" t="s">
        <v>284</v>
      </c>
      <c r="J36" s="102" t="s">
        <v>34</v>
      </c>
      <c r="L36" s="229" t="s">
        <v>11670</v>
      </c>
      <c r="M36" s="229" t="s">
        <v>11878</v>
      </c>
      <c r="O36" s="230"/>
      <c r="P36" s="244">
        <f t="shared" si="1"/>
        <v>0</v>
      </c>
      <c r="Q36" s="193" t="str">
        <f>IF(ISNUMBER(MATCH(B36, 'Sprint 1'!B:B, 0)), "มาจาก Sprint 1", "")</f>
        <v/>
      </c>
    </row>
    <row r="37">
      <c r="A37" s="102" t="s">
        <v>276</v>
      </c>
      <c r="B37" s="102" t="s">
        <v>11671</v>
      </c>
      <c r="C37" s="229" t="s">
        <v>11672</v>
      </c>
      <c r="D37" s="102" t="s">
        <v>4345</v>
      </c>
      <c r="E37" s="102" t="s">
        <v>391</v>
      </c>
      <c r="F37" s="102" t="s">
        <v>392</v>
      </c>
      <c r="G37" s="102" t="s">
        <v>391</v>
      </c>
      <c r="H37" s="102" t="s">
        <v>392</v>
      </c>
      <c r="I37" s="102" t="s">
        <v>284</v>
      </c>
      <c r="J37" s="102" t="s">
        <v>34</v>
      </c>
      <c r="L37" s="229" t="s">
        <v>11670</v>
      </c>
      <c r="M37" s="229" t="s">
        <v>11878</v>
      </c>
      <c r="O37" s="230"/>
      <c r="P37" s="244">
        <f t="shared" si="1"/>
        <v>0</v>
      </c>
      <c r="Q37" s="193" t="str">
        <f>IF(ISNUMBER(MATCH(B37, 'Sprint 1'!B:B, 0)), "มาจาก Sprint 1", "")</f>
        <v/>
      </c>
    </row>
    <row r="38">
      <c r="A38" s="102" t="s">
        <v>276</v>
      </c>
      <c r="B38" s="102" t="s">
        <v>11673</v>
      </c>
      <c r="C38" s="229" t="s">
        <v>11674</v>
      </c>
      <c r="D38" s="102" t="s">
        <v>4345</v>
      </c>
      <c r="E38" s="102" t="s">
        <v>391</v>
      </c>
      <c r="F38" s="102" t="s">
        <v>392</v>
      </c>
      <c r="G38" s="102" t="s">
        <v>391</v>
      </c>
      <c r="H38" s="102" t="s">
        <v>392</v>
      </c>
      <c r="I38" s="102" t="s">
        <v>284</v>
      </c>
      <c r="J38" s="102" t="s">
        <v>34</v>
      </c>
      <c r="L38" s="229" t="s">
        <v>11670</v>
      </c>
      <c r="M38" s="229" t="s">
        <v>11879</v>
      </c>
      <c r="O38" s="230"/>
      <c r="P38" s="244">
        <f t="shared" si="1"/>
        <v>0</v>
      </c>
      <c r="Q38" s="193" t="str">
        <f>IF(ISNUMBER(MATCH(B38, 'Sprint 1'!B:B, 0)), "มาจาก Sprint 1", "")</f>
        <v/>
      </c>
    </row>
    <row r="39">
      <c r="A39" s="102" t="s">
        <v>276</v>
      </c>
      <c r="B39" s="102" t="s">
        <v>11675</v>
      </c>
      <c r="C39" s="229" t="s">
        <v>11676</v>
      </c>
      <c r="D39" s="102" t="s">
        <v>4345</v>
      </c>
      <c r="E39" s="102" t="s">
        <v>391</v>
      </c>
      <c r="F39" s="102" t="s">
        <v>392</v>
      </c>
      <c r="G39" s="102" t="s">
        <v>391</v>
      </c>
      <c r="H39" s="102" t="s">
        <v>392</v>
      </c>
      <c r="I39" s="102" t="s">
        <v>284</v>
      </c>
      <c r="J39" s="102" t="s">
        <v>63</v>
      </c>
      <c r="L39" s="229" t="s">
        <v>11670</v>
      </c>
      <c r="M39" s="229" t="s">
        <v>11880</v>
      </c>
      <c r="O39" s="230"/>
      <c r="P39" s="244">
        <f t="shared" si="1"/>
        <v>0</v>
      </c>
      <c r="Q39" s="193" t="str">
        <f>IF(ISNUMBER(MATCH(B39, 'Sprint 1'!B:B, 0)), "มาจาก Sprint 1", "")</f>
        <v/>
      </c>
    </row>
    <row r="40">
      <c r="A40" s="102" t="s">
        <v>276</v>
      </c>
      <c r="B40" s="102" t="s">
        <v>11677</v>
      </c>
      <c r="C40" s="229" t="s">
        <v>11678</v>
      </c>
      <c r="D40" s="102" t="s">
        <v>4345</v>
      </c>
      <c r="E40" s="102" t="s">
        <v>391</v>
      </c>
      <c r="F40" s="102" t="s">
        <v>392</v>
      </c>
      <c r="G40" s="102" t="s">
        <v>391</v>
      </c>
      <c r="H40" s="102" t="s">
        <v>392</v>
      </c>
      <c r="I40" s="102" t="s">
        <v>284</v>
      </c>
      <c r="J40" s="102" t="s">
        <v>34</v>
      </c>
      <c r="L40" s="229" t="s">
        <v>11670</v>
      </c>
      <c r="M40" s="229" t="s">
        <v>11881</v>
      </c>
      <c r="O40" s="230"/>
      <c r="P40" s="244">
        <f t="shared" si="1"/>
        <v>0</v>
      </c>
      <c r="Q40" s="193" t="str">
        <f>IF(ISNUMBER(MATCH(B40, 'Sprint 1'!B:B, 0)), "มาจาก Sprint 1", "")</f>
        <v/>
      </c>
    </row>
    <row r="41">
      <c r="A41" s="102" t="s">
        <v>276</v>
      </c>
      <c r="B41" s="102" t="s">
        <v>11680</v>
      </c>
      <c r="C41" s="229" t="s">
        <v>11681</v>
      </c>
      <c r="D41" s="102" t="s">
        <v>4345</v>
      </c>
      <c r="E41" s="102" t="s">
        <v>391</v>
      </c>
      <c r="F41" s="102" t="s">
        <v>392</v>
      </c>
      <c r="G41" s="102" t="s">
        <v>391</v>
      </c>
      <c r="H41" s="102" t="s">
        <v>392</v>
      </c>
      <c r="I41" s="102" t="s">
        <v>284</v>
      </c>
      <c r="J41" s="102" t="s">
        <v>454</v>
      </c>
      <c r="L41" s="229" t="s">
        <v>11256</v>
      </c>
      <c r="M41" s="229" t="s">
        <v>11875</v>
      </c>
      <c r="O41" s="230"/>
      <c r="P41" s="244">
        <f t="shared" si="1"/>
        <v>0</v>
      </c>
      <c r="Q41" s="193" t="str">
        <f>IF(ISNUMBER(MATCH(B41, 'Sprint 1'!B:B, 0)), "มาจาก Sprint 1", "")</f>
        <v/>
      </c>
    </row>
    <row r="42">
      <c r="A42" s="102" t="s">
        <v>276</v>
      </c>
      <c r="B42" s="102" t="s">
        <v>11260</v>
      </c>
      <c r="C42" s="229" t="s">
        <v>11261</v>
      </c>
      <c r="D42" s="102" t="s">
        <v>11262</v>
      </c>
      <c r="E42" s="102" t="s">
        <v>521</v>
      </c>
      <c r="F42" s="102" t="s">
        <v>522</v>
      </c>
      <c r="G42" s="102" t="s">
        <v>521</v>
      </c>
      <c r="H42" s="102" t="s">
        <v>522</v>
      </c>
      <c r="I42" s="102" t="s">
        <v>284</v>
      </c>
      <c r="J42" s="102" t="s">
        <v>63</v>
      </c>
      <c r="L42" s="229" t="s">
        <v>11263</v>
      </c>
      <c r="M42" s="229" t="s">
        <v>11263</v>
      </c>
      <c r="O42" s="230"/>
      <c r="P42" s="244">
        <f t="shared" si="1"/>
        <v>0</v>
      </c>
      <c r="Q42" s="193" t="str">
        <f>IF(ISNUMBER(MATCH(B42, 'Sprint 1'!B:B, 0)), "มาจาก Sprint 1", "")</f>
        <v/>
      </c>
    </row>
    <row r="43">
      <c r="A43" s="102" t="s">
        <v>276</v>
      </c>
      <c r="B43" s="102" t="s">
        <v>11265</v>
      </c>
      <c r="C43" s="229" t="s">
        <v>11266</v>
      </c>
      <c r="D43" s="102" t="s">
        <v>11267</v>
      </c>
      <c r="G43" s="102" t="s">
        <v>521</v>
      </c>
      <c r="H43" s="102" t="s">
        <v>522</v>
      </c>
      <c r="I43" s="102" t="s">
        <v>284</v>
      </c>
      <c r="J43" s="102" t="s">
        <v>63</v>
      </c>
      <c r="L43" s="229" t="s">
        <v>11263</v>
      </c>
      <c r="M43" s="229" t="s">
        <v>11263</v>
      </c>
      <c r="O43" s="230"/>
      <c r="P43" s="244">
        <f t="shared" si="1"/>
        <v>0</v>
      </c>
      <c r="Q43" s="193" t="str">
        <f>IF(ISNUMBER(MATCH(B43, 'Sprint 1'!B:B, 0)), "มาจาก Sprint 1", "")</f>
        <v/>
      </c>
    </row>
    <row r="44">
      <c r="A44" s="102" t="s">
        <v>276</v>
      </c>
      <c r="B44" s="102" t="s">
        <v>11269</v>
      </c>
      <c r="C44" s="229" t="s">
        <v>11270</v>
      </c>
      <c r="D44" s="102" t="s">
        <v>11271</v>
      </c>
      <c r="G44" s="102" t="s">
        <v>521</v>
      </c>
      <c r="H44" s="102" t="s">
        <v>522</v>
      </c>
      <c r="I44" s="102" t="s">
        <v>284</v>
      </c>
      <c r="J44" s="102" t="s">
        <v>63</v>
      </c>
      <c r="L44" s="229" t="s">
        <v>11272</v>
      </c>
      <c r="M44" s="229" t="s">
        <v>11272</v>
      </c>
      <c r="O44" s="230"/>
      <c r="P44" s="244">
        <f t="shared" si="1"/>
        <v>0</v>
      </c>
      <c r="Q44" s="193" t="str">
        <f>IF(ISNUMBER(MATCH(B44, 'Sprint 1'!B:B, 0)), "มาจาก Sprint 1", "")</f>
        <v/>
      </c>
    </row>
    <row r="45">
      <c r="A45" s="102" t="s">
        <v>276</v>
      </c>
      <c r="B45" s="102" t="s">
        <v>11274</v>
      </c>
      <c r="C45" s="229" t="s">
        <v>11275</v>
      </c>
      <c r="D45" s="102" t="s">
        <v>11276</v>
      </c>
      <c r="E45" s="102" t="s">
        <v>521</v>
      </c>
      <c r="F45" s="102" t="s">
        <v>522</v>
      </c>
      <c r="G45" s="102" t="s">
        <v>521</v>
      </c>
      <c r="H45" s="102" t="s">
        <v>522</v>
      </c>
      <c r="I45" s="102" t="s">
        <v>284</v>
      </c>
      <c r="J45" s="102" t="s">
        <v>34</v>
      </c>
      <c r="L45" s="229" t="s">
        <v>11277</v>
      </c>
      <c r="M45" s="229" t="s">
        <v>11882</v>
      </c>
      <c r="O45" s="230"/>
      <c r="P45" s="244">
        <f t="shared" si="1"/>
        <v>0</v>
      </c>
      <c r="Q45" s="193" t="str">
        <f>IF(ISNUMBER(MATCH(B45, 'Sprint 1'!B:B, 0)), "มาจาก Sprint 1", "")</f>
        <v/>
      </c>
    </row>
    <row r="46">
      <c r="A46" s="102" t="s">
        <v>276</v>
      </c>
      <c r="B46" s="102" t="s">
        <v>11279</v>
      </c>
      <c r="C46" s="229" t="s">
        <v>11280</v>
      </c>
      <c r="D46" s="102" t="s">
        <v>11281</v>
      </c>
      <c r="G46" s="102" t="s">
        <v>521</v>
      </c>
      <c r="H46" s="102" t="s">
        <v>522</v>
      </c>
      <c r="I46" s="102" t="s">
        <v>284</v>
      </c>
      <c r="J46" s="102" t="s">
        <v>63</v>
      </c>
      <c r="L46" s="229" t="s">
        <v>11282</v>
      </c>
      <c r="M46" s="229" t="s">
        <v>11883</v>
      </c>
      <c r="O46" s="230"/>
      <c r="P46" s="244">
        <f t="shared" si="1"/>
        <v>0</v>
      </c>
      <c r="Q46" s="193" t="str">
        <f>IF(ISNUMBER(MATCH(B46, 'Sprint 1'!B:B, 0)), "มาจาก Sprint 1", "")</f>
        <v/>
      </c>
    </row>
    <row r="47">
      <c r="A47" s="102" t="s">
        <v>276</v>
      </c>
      <c r="B47" s="102" t="s">
        <v>11284</v>
      </c>
      <c r="C47" s="229" t="s">
        <v>11285</v>
      </c>
      <c r="D47" s="102" t="s">
        <v>11286</v>
      </c>
      <c r="E47" s="102" t="s">
        <v>521</v>
      </c>
      <c r="F47" s="102" t="s">
        <v>522</v>
      </c>
      <c r="G47" s="102" t="s">
        <v>521</v>
      </c>
      <c r="H47" s="102" t="s">
        <v>522</v>
      </c>
      <c r="I47" s="102" t="s">
        <v>284</v>
      </c>
      <c r="J47" s="102" t="s">
        <v>26</v>
      </c>
      <c r="L47" s="229" t="s">
        <v>11287</v>
      </c>
      <c r="M47" s="229" t="s">
        <v>11288</v>
      </c>
      <c r="O47" s="230"/>
      <c r="P47" s="244">
        <f t="shared" si="1"/>
        <v>0</v>
      </c>
      <c r="Q47" s="193" t="str">
        <f>IF(ISNUMBER(MATCH(B47, 'Sprint 1'!B:B, 0)), "มาจาก Sprint 1", "")</f>
        <v/>
      </c>
    </row>
    <row r="48">
      <c r="A48" s="102" t="s">
        <v>276</v>
      </c>
      <c r="B48" s="102" t="s">
        <v>11884</v>
      </c>
      <c r="C48" s="229" t="s">
        <v>11885</v>
      </c>
      <c r="D48" s="102" t="s">
        <v>347</v>
      </c>
      <c r="E48" s="102" t="s">
        <v>280</v>
      </c>
      <c r="F48" s="102" t="s">
        <v>281</v>
      </c>
      <c r="G48" s="102" t="s">
        <v>280</v>
      </c>
      <c r="H48" s="102" t="s">
        <v>281</v>
      </c>
      <c r="I48" s="102" t="s">
        <v>284</v>
      </c>
      <c r="J48" s="102" t="s">
        <v>34</v>
      </c>
      <c r="L48" s="229" t="s">
        <v>11886</v>
      </c>
      <c r="M48" s="229" t="s">
        <v>11887</v>
      </c>
      <c r="O48" s="230"/>
      <c r="P48" s="244">
        <f t="shared" si="1"/>
        <v>0</v>
      </c>
      <c r="Q48" s="193" t="str">
        <f>IF(ISNUMBER(MATCH(B48, 'Sprint 1'!B:B, 0)), "มาจาก Sprint 1", "")</f>
        <v/>
      </c>
    </row>
    <row r="49">
      <c r="A49" s="102" t="s">
        <v>276</v>
      </c>
      <c r="B49" s="102" t="s">
        <v>11888</v>
      </c>
      <c r="C49" s="229" t="s">
        <v>11889</v>
      </c>
      <c r="D49" s="102" t="s">
        <v>2030</v>
      </c>
      <c r="E49" s="102" t="s">
        <v>280</v>
      </c>
      <c r="F49" s="102" t="s">
        <v>281</v>
      </c>
      <c r="G49" s="102" t="s">
        <v>280</v>
      </c>
      <c r="H49" s="102" t="s">
        <v>281</v>
      </c>
      <c r="I49" s="102" t="s">
        <v>284</v>
      </c>
      <c r="J49" s="102" t="s">
        <v>26</v>
      </c>
      <c r="L49" s="229" t="s">
        <v>11886</v>
      </c>
      <c r="M49" s="229" t="s">
        <v>11890</v>
      </c>
      <c r="O49" s="230"/>
      <c r="P49" s="244">
        <f t="shared" si="1"/>
        <v>0</v>
      </c>
      <c r="Q49" s="193" t="str">
        <f>IF(ISNUMBER(MATCH(B49, 'Sprint 1'!B:B, 0)), "มาจาก Sprint 1", "")</f>
        <v/>
      </c>
    </row>
    <row r="50">
      <c r="A50" s="102" t="s">
        <v>276</v>
      </c>
      <c r="B50" s="102" t="s">
        <v>11891</v>
      </c>
      <c r="C50" s="229" t="s">
        <v>11892</v>
      </c>
      <c r="D50" s="102" t="s">
        <v>347</v>
      </c>
      <c r="E50" s="102" t="s">
        <v>280</v>
      </c>
      <c r="F50" s="102" t="s">
        <v>281</v>
      </c>
      <c r="G50" s="102" t="s">
        <v>280</v>
      </c>
      <c r="H50" s="102" t="s">
        <v>281</v>
      </c>
      <c r="I50" s="102" t="s">
        <v>284</v>
      </c>
      <c r="J50" s="102" t="s">
        <v>34</v>
      </c>
      <c r="L50" s="229" t="s">
        <v>11886</v>
      </c>
      <c r="M50" s="229" t="s">
        <v>11893</v>
      </c>
      <c r="O50" s="230"/>
      <c r="P50" s="244">
        <f t="shared" si="1"/>
        <v>0</v>
      </c>
      <c r="Q50" s="193" t="str">
        <f>IF(ISNUMBER(MATCH(B50, 'Sprint 1'!B:B, 0)), "มาจาก Sprint 1", "")</f>
        <v/>
      </c>
    </row>
    <row r="51">
      <c r="A51" s="102" t="s">
        <v>276</v>
      </c>
      <c r="B51" s="102" t="s">
        <v>11894</v>
      </c>
      <c r="C51" s="229" t="s">
        <v>11895</v>
      </c>
      <c r="D51" s="102" t="s">
        <v>2030</v>
      </c>
      <c r="E51" s="102" t="s">
        <v>280</v>
      </c>
      <c r="F51" s="102" t="s">
        <v>281</v>
      </c>
      <c r="G51" s="102" t="s">
        <v>280</v>
      </c>
      <c r="H51" s="102" t="s">
        <v>281</v>
      </c>
      <c r="I51" s="102" t="s">
        <v>284</v>
      </c>
      <c r="J51" s="102" t="s">
        <v>26</v>
      </c>
      <c r="L51" s="229" t="s">
        <v>11886</v>
      </c>
      <c r="M51" s="229" t="s">
        <v>11896</v>
      </c>
      <c r="O51" s="230"/>
      <c r="P51" s="244">
        <f t="shared" si="1"/>
        <v>0</v>
      </c>
      <c r="Q51" s="193" t="str">
        <f>IF(ISNUMBER(MATCH(B51, 'Sprint 1'!B:B, 0)), "มาจาก Sprint 1", "")</f>
        <v/>
      </c>
    </row>
    <row r="52">
      <c r="A52" s="102" t="s">
        <v>310</v>
      </c>
      <c r="B52" s="102" t="s">
        <v>11897</v>
      </c>
      <c r="C52" s="229" t="s">
        <v>11898</v>
      </c>
      <c r="D52" s="102" t="s">
        <v>11899</v>
      </c>
      <c r="E52" s="102" t="s">
        <v>282</v>
      </c>
      <c r="F52" s="102" t="s">
        <v>283</v>
      </c>
      <c r="G52" s="102" t="s">
        <v>282</v>
      </c>
      <c r="H52" s="102" t="s">
        <v>283</v>
      </c>
      <c r="I52" s="102" t="s">
        <v>284</v>
      </c>
      <c r="J52" s="102" t="s">
        <v>26</v>
      </c>
      <c r="L52" s="229" t="s">
        <v>11900</v>
      </c>
      <c r="M52" s="229" t="s">
        <v>11901</v>
      </c>
      <c r="O52" s="102">
        <v>5.0</v>
      </c>
      <c r="P52" s="244">
        <f t="shared" si="1"/>
        <v>24</v>
      </c>
      <c r="Q52" s="193" t="str">
        <f>IF(ISNUMBER(MATCH(B52, 'Sprint 1'!B:B, 0)), "มาจาก Sprint 1", "")</f>
        <v/>
      </c>
    </row>
    <row r="53">
      <c r="A53" s="102" t="s">
        <v>4410</v>
      </c>
      <c r="B53" s="102" t="s">
        <v>11902</v>
      </c>
      <c r="C53" s="229" t="s">
        <v>11903</v>
      </c>
      <c r="D53" s="102" t="s">
        <v>11904</v>
      </c>
      <c r="E53" s="102" t="s">
        <v>314</v>
      </c>
      <c r="F53" s="102" t="s">
        <v>315</v>
      </c>
      <c r="G53" s="102" t="s">
        <v>314</v>
      </c>
      <c r="H53" s="102" t="s">
        <v>315</v>
      </c>
      <c r="I53" s="102" t="s">
        <v>515</v>
      </c>
      <c r="J53" s="102" t="s">
        <v>26</v>
      </c>
      <c r="L53" s="229" t="s">
        <v>11905</v>
      </c>
      <c r="M53" s="229" t="s">
        <v>11868</v>
      </c>
      <c r="N53" s="229" t="s">
        <v>11906</v>
      </c>
      <c r="O53" s="102">
        <v>1.0</v>
      </c>
      <c r="P53" s="244">
        <f t="shared" si="1"/>
        <v>2</v>
      </c>
      <c r="Q53" s="193" t="str">
        <f>IF(ISNUMBER(MATCH(B53, 'Sprint 1'!B:B, 0)), "มาจาก Sprint 1", "")</f>
        <v/>
      </c>
    </row>
    <row r="54">
      <c r="A54" s="102" t="s">
        <v>4410</v>
      </c>
      <c r="B54" s="102" t="s">
        <v>11907</v>
      </c>
      <c r="C54" s="229" t="s">
        <v>11908</v>
      </c>
      <c r="D54" s="102" t="s">
        <v>11909</v>
      </c>
      <c r="E54" s="102" t="s">
        <v>314</v>
      </c>
      <c r="F54" s="102" t="s">
        <v>315</v>
      </c>
      <c r="G54" s="102" t="s">
        <v>314</v>
      </c>
      <c r="H54" s="102" t="s">
        <v>315</v>
      </c>
      <c r="I54" s="102" t="s">
        <v>515</v>
      </c>
      <c r="J54" s="102" t="s">
        <v>26</v>
      </c>
      <c r="L54" s="229" t="s">
        <v>11910</v>
      </c>
      <c r="M54" s="229" t="s">
        <v>11868</v>
      </c>
      <c r="N54" s="229" t="s">
        <v>11906</v>
      </c>
      <c r="O54" s="102">
        <v>1.0</v>
      </c>
      <c r="P54" s="244">
        <f t="shared" si="1"/>
        <v>2</v>
      </c>
      <c r="Q54" s="193" t="str">
        <f>IF(ISNUMBER(MATCH(B54, 'Sprint 1'!B:B, 0)), "มาจาก Sprint 1", "")</f>
        <v/>
      </c>
    </row>
    <row r="55">
      <c r="A55" s="102" t="s">
        <v>310</v>
      </c>
      <c r="B55" s="102" t="s">
        <v>11911</v>
      </c>
      <c r="C55" s="229" t="s">
        <v>11912</v>
      </c>
      <c r="D55" s="102" t="s">
        <v>11913</v>
      </c>
      <c r="E55" s="102" t="s">
        <v>353</v>
      </c>
      <c r="F55" s="102" t="s">
        <v>354</v>
      </c>
      <c r="G55" s="102" t="s">
        <v>282</v>
      </c>
      <c r="H55" s="102" t="s">
        <v>283</v>
      </c>
      <c r="I55" s="102" t="s">
        <v>284</v>
      </c>
      <c r="J55" s="102" t="s">
        <v>63</v>
      </c>
      <c r="L55" s="229" t="s">
        <v>11914</v>
      </c>
      <c r="M55" s="229" t="s">
        <v>11858</v>
      </c>
      <c r="O55" s="102">
        <v>3.0</v>
      </c>
      <c r="P55" s="244">
        <f t="shared" si="1"/>
        <v>8</v>
      </c>
      <c r="Q55" s="193" t="str">
        <f>IF(ISNUMBER(MATCH(B55, 'Sprint 1'!B:B, 0)), "มาจาก Sprint 1", "")</f>
        <v/>
      </c>
    </row>
    <row r="56">
      <c r="A56" s="102" t="s">
        <v>276</v>
      </c>
      <c r="B56" s="102" t="s">
        <v>11289</v>
      </c>
      <c r="C56" s="229" t="s">
        <v>11290</v>
      </c>
      <c r="D56" s="102" t="s">
        <v>11291</v>
      </c>
      <c r="G56" s="102" t="s">
        <v>353</v>
      </c>
      <c r="H56" s="102" t="s">
        <v>354</v>
      </c>
      <c r="I56" s="102" t="s">
        <v>284</v>
      </c>
      <c r="J56" s="102" t="s">
        <v>63</v>
      </c>
      <c r="L56" s="229" t="s">
        <v>11292</v>
      </c>
      <c r="M56" s="229" t="s">
        <v>11292</v>
      </c>
      <c r="O56" s="230"/>
      <c r="P56" s="244">
        <f t="shared" si="1"/>
        <v>0</v>
      </c>
      <c r="Q56" s="193" t="str">
        <f>IF(ISNUMBER(MATCH(B56, 'Sprint 1'!B:B, 0)), "มาจาก Sprint 1", "")</f>
        <v/>
      </c>
    </row>
    <row r="57">
      <c r="A57" s="102" t="s">
        <v>276</v>
      </c>
      <c r="B57" s="102" t="s">
        <v>11293</v>
      </c>
      <c r="C57" s="229" t="s">
        <v>11294</v>
      </c>
      <c r="D57" s="102" t="s">
        <v>11295</v>
      </c>
      <c r="G57" s="102" t="s">
        <v>353</v>
      </c>
      <c r="H57" s="102" t="s">
        <v>354</v>
      </c>
      <c r="I57" s="102" t="s">
        <v>284</v>
      </c>
      <c r="J57" s="102" t="s">
        <v>63</v>
      </c>
      <c r="L57" s="229" t="s">
        <v>11292</v>
      </c>
      <c r="M57" s="229" t="s">
        <v>11296</v>
      </c>
      <c r="O57" s="230"/>
      <c r="P57" s="244">
        <f t="shared" si="1"/>
        <v>0</v>
      </c>
      <c r="Q57" s="193" t="str">
        <f>IF(ISNUMBER(MATCH(B57, 'Sprint 1'!B:B, 0)), "มาจาก Sprint 1", "")</f>
        <v/>
      </c>
    </row>
    <row r="58">
      <c r="A58" s="102" t="s">
        <v>4410</v>
      </c>
      <c r="B58" s="102" t="s">
        <v>11915</v>
      </c>
      <c r="C58" s="229" t="s">
        <v>11916</v>
      </c>
      <c r="D58" s="102" t="s">
        <v>11917</v>
      </c>
      <c r="E58" s="102" t="s">
        <v>314</v>
      </c>
      <c r="F58" s="102" t="s">
        <v>315</v>
      </c>
      <c r="G58" s="102" t="s">
        <v>314</v>
      </c>
      <c r="H58" s="102" t="s">
        <v>315</v>
      </c>
      <c r="I58" s="102" t="s">
        <v>515</v>
      </c>
      <c r="J58" s="102" t="s">
        <v>26</v>
      </c>
      <c r="L58" s="229" t="s">
        <v>11918</v>
      </c>
      <c r="M58" s="229" t="s">
        <v>11919</v>
      </c>
      <c r="N58" s="229" t="s">
        <v>11906</v>
      </c>
      <c r="O58" s="102">
        <v>1.0</v>
      </c>
      <c r="P58" s="244">
        <f t="shared" si="1"/>
        <v>2</v>
      </c>
      <c r="Q58" s="193" t="str">
        <f>IF(ISNUMBER(MATCH(B58, 'Sprint 1'!B:B, 0)), "มาจาก Sprint 1", "")</f>
        <v/>
      </c>
    </row>
    <row r="59">
      <c r="A59" s="102" t="s">
        <v>4410</v>
      </c>
      <c r="B59" s="102" t="s">
        <v>11920</v>
      </c>
      <c r="C59" s="229" t="s">
        <v>11921</v>
      </c>
      <c r="D59" s="102" t="s">
        <v>11922</v>
      </c>
      <c r="E59" s="102" t="s">
        <v>314</v>
      </c>
      <c r="F59" s="102" t="s">
        <v>315</v>
      </c>
      <c r="G59" s="102" t="s">
        <v>314</v>
      </c>
      <c r="H59" s="102" t="s">
        <v>315</v>
      </c>
      <c r="I59" s="102" t="s">
        <v>515</v>
      </c>
      <c r="J59" s="102" t="s">
        <v>26</v>
      </c>
      <c r="L59" s="229" t="s">
        <v>11923</v>
      </c>
      <c r="M59" s="229" t="s">
        <v>11924</v>
      </c>
      <c r="N59" s="229" t="s">
        <v>11906</v>
      </c>
      <c r="O59" s="102">
        <v>1.0</v>
      </c>
      <c r="P59" s="244">
        <f t="shared" si="1"/>
        <v>2</v>
      </c>
      <c r="Q59" s="193" t="str">
        <f>IF(ISNUMBER(MATCH(B59, 'Sprint 1'!B:B, 0)), "มาจาก Sprint 1", "")</f>
        <v/>
      </c>
    </row>
    <row r="60">
      <c r="A60" s="102" t="s">
        <v>276</v>
      </c>
      <c r="B60" s="102" t="s">
        <v>11685</v>
      </c>
      <c r="C60" s="229" t="s">
        <v>11686</v>
      </c>
      <c r="D60" s="102" t="s">
        <v>11687</v>
      </c>
      <c r="E60" s="102" t="s">
        <v>10234</v>
      </c>
      <c r="F60" s="102" t="s">
        <v>565</v>
      </c>
      <c r="G60" s="102" t="s">
        <v>353</v>
      </c>
      <c r="H60" s="102" t="s">
        <v>354</v>
      </c>
      <c r="I60" s="102" t="s">
        <v>284</v>
      </c>
      <c r="J60" s="102" t="s">
        <v>454</v>
      </c>
      <c r="L60" s="229" t="s">
        <v>11688</v>
      </c>
      <c r="M60" s="229" t="s">
        <v>11689</v>
      </c>
      <c r="O60" s="230"/>
      <c r="P60" s="244">
        <f t="shared" si="1"/>
        <v>0</v>
      </c>
      <c r="Q60" s="193" t="str">
        <f>IF(ISNUMBER(MATCH(B60, 'Sprint 1'!B:B, 0)), "มาจาก Sprint 1", "")</f>
        <v/>
      </c>
    </row>
    <row r="61">
      <c r="A61" s="102" t="s">
        <v>276</v>
      </c>
      <c r="B61" s="102" t="s">
        <v>11690</v>
      </c>
      <c r="C61" s="229" t="s">
        <v>11691</v>
      </c>
      <c r="D61" s="102" t="s">
        <v>11291</v>
      </c>
      <c r="E61" s="102" t="s">
        <v>10234</v>
      </c>
      <c r="F61" s="102" t="s">
        <v>565</v>
      </c>
      <c r="G61" s="102" t="s">
        <v>353</v>
      </c>
      <c r="H61" s="102" t="s">
        <v>354</v>
      </c>
      <c r="I61" s="102" t="s">
        <v>284</v>
      </c>
      <c r="J61" s="102" t="s">
        <v>454</v>
      </c>
      <c r="L61" s="229" t="s">
        <v>11688</v>
      </c>
      <c r="M61" s="229" t="s">
        <v>11689</v>
      </c>
      <c r="O61" s="230"/>
      <c r="P61" s="244">
        <f t="shared" si="1"/>
        <v>0</v>
      </c>
      <c r="Q61" s="193" t="str">
        <f>IF(ISNUMBER(MATCH(B61, 'Sprint 1'!B:B, 0)), "มาจาก Sprint 1", "")</f>
        <v/>
      </c>
    </row>
    <row r="62">
      <c r="A62" s="102" t="s">
        <v>332</v>
      </c>
      <c r="B62" s="102" t="s">
        <v>11925</v>
      </c>
      <c r="C62" s="229" t="s">
        <v>11926</v>
      </c>
      <c r="D62" s="102" t="s">
        <v>11927</v>
      </c>
      <c r="E62" s="102" t="s">
        <v>282</v>
      </c>
      <c r="F62" s="102" t="s">
        <v>283</v>
      </c>
      <c r="G62" s="102" t="s">
        <v>282</v>
      </c>
      <c r="H62" s="102" t="s">
        <v>283</v>
      </c>
      <c r="I62" s="102" t="s">
        <v>284</v>
      </c>
      <c r="J62" s="102" t="s">
        <v>336</v>
      </c>
      <c r="L62" s="229" t="s">
        <v>11928</v>
      </c>
      <c r="M62" s="229" t="s">
        <v>11929</v>
      </c>
      <c r="P62" s="244">
        <f t="shared" si="1"/>
        <v>0</v>
      </c>
      <c r="Q62" s="193" t="str">
        <f>IF(ISNUMBER(MATCH(B62, 'Sprint 1'!B:B, 0)), "มาจาก Sprint 1", "")</f>
        <v/>
      </c>
    </row>
    <row r="63">
      <c r="A63" s="102" t="s">
        <v>310</v>
      </c>
      <c r="B63" s="102" t="s">
        <v>11297</v>
      </c>
      <c r="C63" s="229" t="s">
        <v>11298</v>
      </c>
      <c r="D63" s="102" t="s">
        <v>11299</v>
      </c>
      <c r="E63" s="102" t="s">
        <v>11300</v>
      </c>
      <c r="F63" s="102" t="s">
        <v>11301</v>
      </c>
      <c r="G63" s="102" t="s">
        <v>353</v>
      </c>
      <c r="H63" s="102" t="s">
        <v>354</v>
      </c>
      <c r="I63" s="102" t="s">
        <v>284</v>
      </c>
      <c r="J63" s="102" t="s">
        <v>454</v>
      </c>
      <c r="L63" s="229" t="s">
        <v>11302</v>
      </c>
      <c r="M63" s="229" t="s">
        <v>11930</v>
      </c>
      <c r="O63" s="102">
        <v>3.0</v>
      </c>
      <c r="P63" s="244">
        <f t="shared" si="1"/>
        <v>8</v>
      </c>
      <c r="Q63" s="193" t="str">
        <f>IF(ISNUMBER(MATCH(B63, 'Sprint 1'!B:B, 0)), "มาจาก Sprint 1", "")</f>
        <v/>
      </c>
    </row>
    <row r="64">
      <c r="A64" s="102" t="s">
        <v>310</v>
      </c>
      <c r="B64" s="102" t="s">
        <v>11931</v>
      </c>
      <c r="C64" s="229" t="s">
        <v>11932</v>
      </c>
      <c r="D64" s="102" t="s">
        <v>11933</v>
      </c>
      <c r="E64" s="102" t="s">
        <v>11934</v>
      </c>
      <c r="F64" s="102" t="s">
        <v>496</v>
      </c>
      <c r="G64" s="102" t="s">
        <v>282</v>
      </c>
      <c r="H64" s="102" t="s">
        <v>283</v>
      </c>
      <c r="I64" s="102" t="s">
        <v>284</v>
      </c>
      <c r="J64" s="102" t="s">
        <v>454</v>
      </c>
      <c r="L64" s="229" t="s">
        <v>11935</v>
      </c>
      <c r="M64" s="229" t="s">
        <v>11936</v>
      </c>
      <c r="O64" s="102">
        <v>1.0</v>
      </c>
      <c r="P64" s="244">
        <f t="shared" si="1"/>
        <v>2</v>
      </c>
      <c r="Q64" s="193" t="str">
        <f>IF(ISNUMBER(MATCH(B64, 'Sprint 1'!B:B, 0)), "มาจาก Sprint 1", "")</f>
        <v/>
      </c>
    </row>
    <row r="65">
      <c r="A65" s="102" t="s">
        <v>332</v>
      </c>
      <c r="B65" s="102" t="s">
        <v>11937</v>
      </c>
      <c r="C65" s="229" t="s">
        <v>11938</v>
      </c>
      <c r="D65" s="102" t="s">
        <v>11939</v>
      </c>
      <c r="E65" s="102" t="s">
        <v>10234</v>
      </c>
      <c r="F65" s="102" t="s">
        <v>565</v>
      </c>
      <c r="G65" s="102" t="s">
        <v>521</v>
      </c>
      <c r="H65" s="102" t="s">
        <v>522</v>
      </c>
      <c r="I65" s="102" t="s">
        <v>284</v>
      </c>
      <c r="J65" s="102" t="s">
        <v>336</v>
      </c>
      <c r="L65" s="229" t="s">
        <v>11940</v>
      </c>
      <c r="M65" s="229" t="s">
        <v>11941</v>
      </c>
      <c r="O65" s="230"/>
      <c r="P65" s="244">
        <f t="shared" si="1"/>
        <v>0</v>
      </c>
      <c r="Q65" s="193" t="str">
        <f>IF(ISNUMBER(MATCH(B65, 'Sprint 1'!B:B, 0)), "มาจาก Sprint 1", "")</f>
        <v/>
      </c>
    </row>
    <row r="66">
      <c r="A66" s="102" t="s">
        <v>310</v>
      </c>
      <c r="B66" s="102" t="s">
        <v>11692</v>
      </c>
      <c r="C66" s="229" t="s">
        <v>11693</v>
      </c>
      <c r="D66" s="102" t="s">
        <v>11694</v>
      </c>
      <c r="E66" s="102" t="s">
        <v>353</v>
      </c>
      <c r="F66" s="102" t="s">
        <v>354</v>
      </c>
      <c r="G66" s="102" t="s">
        <v>353</v>
      </c>
      <c r="H66" s="102" t="s">
        <v>354</v>
      </c>
      <c r="I66" s="102" t="s">
        <v>284</v>
      </c>
      <c r="J66" s="102" t="s">
        <v>454</v>
      </c>
      <c r="L66" s="229" t="s">
        <v>11695</v>
      </c>
      <c r="M66" s="229" t="s">
        <v>11942</v>
      </c>
      <c r="O66" s="102">
        <v>3.0</v>
      </c>
      <c r="P66" s="244">
        <f t="shared" si="1"/>
        <v>8</v>
      </c>
      <c r="Q66" s="193" t="str">
        <f>IF(ISNUMBER(MATCH(B66, 'Sprint 1'!B:B, 0)), "มาจาก Sprint 1", "")</f>
        <v/>
      </c>
    </row>
    <row r="67">
      <c r="A67" s="102" t="s">
        <v>310</v>
      </c>
      <c r="B67" s="102" t="s">
        <v>11696</v>
      </c>
      <c r="C67" s="229" t="s">
        <v>11697</v>
      </c>
      <c r="D67" s="102" t="s">
        <v>11698</v>
      </c>
      <c r="E67" s="102" t="s">
        <v>314</v>
      </c>
      <c r="F67" s="102" t="s">
        <v>315</v>
      </c>
      <c r="G67" s="102" t="s">
        <v>353</v>
      </c>
      <c r="H67" s="102" t="s">
        <v>354</v>
      </c>
      <c r="I67" s="102" t="s">
        <v>284</v>
      </c>
      <c r="J67" s="102" t="s">
        <v>454</v>
      </c>
      <c r="L67" s="229" t="s">
        <v>11699</v>
      </c>
      <c r="M67" s="229" t="s">
        <v>11943</v>
      </c>
      <c r="O67" s="102">
        <v>3.0</v>
      </c>
      <c r="P67" s="244">
        <f t="shared" si="1"/>
        <v>8</v>
      </c>
      <c r="Q67" s="193" t="str">
        <f>IF(ISNUMBER(MATCH(B67, 'Sprint 1'!B:B, 0)), "มาจาก Sprint 1", "")</f>
        <v/>
      </c>
    </row>
    <row r="68">
      <c r="A68" s="102" t="s">
        <v>310</v>
      </c>
      <c r="B68" s="102" t="s">
        <v>11701</v>
      </c>
      <c r="C68" s="229" t="s">
        <v>11702</v>
      </c>
      <c r="D68" s="102" t="s">
        <v>11703</v>
      </c>
      <c r="E68" s="102" t="s">
        <v>11704</v>
      </c>
      <c r="F68" s="102" t="s">
        <v>11705</v>
      </c>
      <c r="G68" s="102" t="s">
        <v>353</v>
      </c>
      <c r="H68" s="102" t="s">
        <v>354</v>
      </c>
      <c r="I68" s="102" t="s">
        <v>284</v>
      </c>
      <c r="J68" s="102" t="s">
        <v>454</v>
      </c>
      <c r="L68" s="229" t="s">
        <v>11706</v>
      </c>
      <c r="M68" s="229" t="s">
        <v>11943</v>
      </c>
      <c r="N68" s="229" t="s">
        <v>11707</v>
      </c>
      <c r="O68" s="102">
        <v>3.0</v>
      </c>
      <c r="P68" s="244">
        <f t="shared" si="1"/>
        <v>8</v>
      </c>
      <c r="Q68" s="193" t="str">
        <f>IF(ISNUMBER(MATCH(B68, 'Sprint 1'!B:B, 0)), "มาจาก Sprint 1", "")</f>
        <v/>
      </c>
    </row>
    <row r="69">
      <c r="A69" s="102" t="s">
        <v>310</v>
      </c>
      <c r="B69" s="102" t="s">
        <v>11944</v>
      </c>
      <c r="C69" s="229" t="s">
        <v>11945</v>
      </c>
      <c r="D69" s="102" t="s">
        <v>11946</v>
      </c>
      <c r="E69" s="102" t="s">
        <v>11947</v>
      </c>
      <c r="F69" s="102" t="s">
        <v>305</v>
      </c>
      <c r="G69" s="102" t="s">
        <v>353</v>
      </c>
      <c r="H69" s="102" t="s">
        <v>354</v>
      </c>
      <c r="I69" s="102" t="s">
        <v>284</v>
      </c>
      <c r="J69" s="102" t="s">
        <v>26</v>
      </c>
      <c r="L69" s="229" t="s">
        <v>11948</v>
      </c>
      <c r="M69" s="229" t="s">
        <v>11949</v>
      </c>
      <c r="O69" s="102">
        <v>8.0</v>
      </c>
      <c r="P69" s="244">
        <f t="shared" si="1"/>
        <v>32</v>
      </c>
      <c r="Q69" s="193" t="str">
        <f>IF(ISNUMBER(MATCH(B69, 'Sprint 1'!B:B, 0)), "มาจาก Sprint 1", "")</f>
        <v/>
      </c>
    </row>
    <row r="70">
      <c r="A70" s="102" t="s">
        <v>310</v>
      </c>
      <c r="B70" s="102" t="s">
        <v>11323</v>
      </c>
      <c r="C70" s="229" t="s">
        <v>11324</v>
      </c>
      <c r="D70" s="102" t="s">
        <v>11325</v>
      </c>
      <c r="E70" s="102" t="s">
        <v>513</v>
      </c>
      <c r="F70" s="102" t="s">
        <v>514</v>
      </c>
      <c r="G70" s="102" t="s">
        <v>353</v>
      </c>
      <c r="H70" s="102" t="s">
        <v>354</v>
      </c>
      <c r="I70" s="102" t="s">
        <v>284</v>
      </c>
      <c r="J70" s="102" t="s">
        <v>34</v>
      </c>
      <c r="L70" s="229" t="s">
        <v>11326</v>
      </c>
      <c r="M70" s="229" t="s">
        <v>11950</v>
      </c>
      <c r="N70" s="229" t="s">
        <v>11327</v>
      </c>
      <c r="O70" s="102">
        <v>3.0</v>
      </c>
      <c r="P70" s="244">
        <f t="shared" si="1"/>
        <v>8</v>
      </c>
      <c r="Q70" s="193" t="str">
        <f>IF(ISNUMBER(MATCH(B70, 'Sprint 1'!B:B, 0)), "มาจาก Sprint 1", "")</f>
        <v/>
      </c>
    </row>
    <row r="71">
      <c r="A71" s="102" t="s">
        <v>310</v>
      </c>
      <c r="B71" s="102" t="s">
        <v>11328</v>
      </c>
      <c r="C71" s="229" t="s">
        <v>11329</v>
      </c>
      <c r="D71" s="102" t="s">
        <v>11330</v>
      </c>
      <c r="E71" s="102" t="s">
        <v>556</v>
      </c>
      <c r="F71" s="102" t="s">
        <v>557</v>
      </c>
      <c r="G71" s="102" t="s">
        <v>353</v>
      </c>
      <c r="H71" s="102" t="s">
        <v>354</v>
      </c>
      <c r="I71" s="102" t="s">
        <v>284</v>
      </c>
      <c r="J71" s="102" t="s">
        <v>34</v>
      </c>
      <c r="L71" s="229" t="s">
        <v>11331</v>
      </c>
      <c r="M71" s="229" t="s">
        <v>11951</v>
      </c>
      <c r="O71" s="102">
        <v>5.0</v>
      </c>
      <c r="P71" s="244">
        <f t="shared" si="1"/>
        <v>24</v>
      </c>
      <c r="Q71" s="193" t="str">
        <f>IF(ISNUMBER(MATCH(B71, 'Sprint 1'!B:B, 0)), "มาจาก Sprint 1", "")</f>
        <v/>
      </c>
    </row>
    <row r="72">
      <c r="A72" s="102" t="s">
        <v>310</v>
      </c>
      <c r="B72" s="102" t="s">
        <v>11332</v>
      </c>
      <c r="C72" s="229" t="s">
        <v>11333</v>
      </c>
      <c r="D72" s="102" t="s">
        <v>11334</v>
      </c>
      <c r="E72" s="102" t="s">
        <v>513</v>
      </c>
      <c r="F72" s="102" t="s">
        <v>514</v>
      </c>
      <c r="G72" s="102" t="s">
        <v>353</v>
      </c>
      <c r="H72" s="102" t="s">
        <v>354</v>
      </c>
      <c r="I72" s="102" t="s">
        <v>284</v>
      </c>
      <c r="J72" s="102" t="s">
        <v>34</v>
      </c>
      <c r="L72" s="229" t="s">
        <v>11335</v>
      </c>
      <c r="M72" s="229" t="s">
        <v>11952</v>
      </c>
      <c r="N72" s="229" t="s">
        <v>11336</v>
      </c>
      <c r="O72" s="102">
        <v>5.0</v>
      </c>
      <c r="P72" s="244">
        <f t="shared" si="1"/>
        <v>24</v>
      </c>
      <c r="Q72" s="193" t="str">
        <f>IF(ISNUMBER(MATCH(B72, 'Sprint 1'!B:B, 0)), "มาจาก Sprint 1", "")</f>
        <v/>
      </c>
    </row>
    <row r="73">
      <c r="A73" s="102" t="s">
        <v>310</v>
      </c>
      <c r="B73" s="102" t="s">
        <v>11712</v>
      </c>
      <c r="C73" s="229" t="s">
        <v>11713</v>
      </c>
      <c r="D73" s="102" t="s">
        <v>11714</v>
      </c>
      <c r="E73" s="102" t="s">
        <v>353</v>
      </c>
      <c r="F73" s="102" t="s">
        <v>354</v>
      </c>
      <c r="G73" s="102" t="s">
        <v>353</v>
      </c>
      <c r="H73" s="102" t="s">
        <v>354</v>
      </c>
      <c r="I73" s="102" t="s">
        <v>284</v>
      </c>
      <c r="J73" s="102" t="s">
        <v>34</v>
      </c>
      <c r="L73" s="229" t="s">
        <v>11715</v>
      </c>
      <c r="M73" s="229" t="s">
        <v>11823</v>
      </c>
      <c r="O73" s="102">
        <v>3.0</v>
      </c>
      <c r="P73" s="244">
        <f t="shared" si="1"/>
        <v>8</v>
      </c>
      <c r="Q73" s="193" t="str">
        <f>IF(ISNUMBER(MATCH(B73, 'Sprint 1'!B:B, 0)), "มาจาก Sprint 1", "")</f>
        <v/>
      </c>
    </row>
    <row r="74">
      <c r="A74" s="102" t="s">
        <v>332</v>
      </c>
      <c r="B74" s="102" t="s">
        <v>11953</v>
      </c>
      <c r="C74" s="229" t="s">
        <v>11954</v>
      </c>
      <c r="D74" s="102" t="s">
        <v>11955</v>
      </c>
      <c r="E74" s="102" t="s">
        <v>11781</v>
      </c>
      <c r="F74" s="102" t="s">
        <v>11431</v>
      </c>
      <c r="G74" s="102" t="s">
        <v>521</v>
      </c>
      <c r="H74" s="102" t="s">
        <v>522</v>
      </c>
      <c r="I74" s="102" t="s">
        <v>284</v>
      </c>
      <c r="J74" s="102" t="s">
        <v>336</v>
      </c>
      <c r="L74" s="229" t="s">
        <v>11956</v>
      </c>
      <c r="M74" s="229" t="s">
        <v>11941</v>
      </c>
      <c r="O74" s="230"/>
      <c r="P74" s="244">
        <f t="shared" si="1"/>
        <v>0</v>
      </c>
      <c r="Q74" s="193" t="str">
        <f>IF(ISNUMBER(MATCH(B74, 'Sprint 1'!B:B, 0)), "มาจาก Sprint 1", "")</f>
        <v>มาจาก Sprint 1</v>
      </c>
    </row>
    <row r="75">
      <c r="A75" s="102" t="s">
        <v>310</v>
      </c>
      <c r="B75" s="102" t="s">
        <v>11957</v>
      </c>
      <c r="C75" s="229" t="s">
        <v>11958</v>
      </c>
      <c r="D75" s="102" t="s">
        <v>11959</v>
      </c>
      <c r="E75" s="102" t="s">
        <v>314</v>
      </c>
      <c r="F75" s="102" t="s">
        <v>315</v>
      </c>
      <c r="G75" s="102" t="s">
        <v>282</v>
      </c>
      <c r="H75" s="102" t="s">
        <v>283</v>
      </c>
      <c r="I75" s="102" t="s">
        <v>284</v>
      </c>
      <c r="J75" s="102" t="s">
        <v>26</v>
      </c>
      <c r="L75" s="229" t="s">
        <v>11960</v>
      </c>
      <c r="M75" s="229" t="s">
        <v>11942</v>
      </c>
      <c r="O75" s="102">
        <v>2.0</v>
      </c>
      <c r="P75" s="244">
        <f t="shared" si="1"/>
        <v>4</v>
      </c>
      <c r="Q75" s="193" t="str">
        <f>IF(ISNUMBER(MATCH(B75, 'Sprint 1'!B:B, 0)), "มาจาก Sprint 1", "")</f>
        <v/>
      </c>
    </row>
    <row r="76">
      <c r="A76" s="102" t="s">
        <v>310</v>
      </c>
      <c r="B76" s="102" t="s">
        <v>11719</v>
      </c>
      <c r="C76" s="229" t="s">
        <v>11720</v>
      </c>
      <c r="D76" s="102" t="s">
        <v>11721</v>
      </c>
      <c r="E76" s="102" t="s">
        <v>10234</v>
      </c>
      <c r="F76" s="102" t="s">
        <v>565</v>
      </c>
      <c r="G76" s="102" t="s">
        <v>282</v>
      </c>
      <c r="H76" s="102" t="s">
        <v>283</v>
      </c>
      <c r="I76" s="102" t="s">
        <v>284</v>
      </c>
      <c r="J76" s="102" t="s">
        <v>454</v>
      </c>
      <c r="L76" s="229" t="s">
        <v>11722</v>
      </c>
      <c r="M76" s="229" t="s">
        <v>11961</v>
      </c>
      <c r="N76" s="229" t="s">
        <v>11327</v>
      </c>
      <c r="O76" s="102">
        <v>5.0</v>
      </c>
      <c r="P76" s="244">
        <f t="shared" si="1"/>
        <v>24</v>
      </c>
      <c r="Q76" s="193" t="str">
        <f>IF(ISNUMBER(MATCH(B76, 'Sprint 1'!B:B, 0)), "มาจาก Sprint 1", "")</f>
        <v/>
      </c>
    </row>
    <row r="77">
      <c r="A77" s="102" t="s">
        <v>310</v>
      </c>
      <c r="B77" s="102" t="s">
        <v>11723</v>
      </c>
      <c r="C77" s="229" t="s">
        <v>11724</v>
      </c>
      <c r="D77" s="102" t="s">
        <v>11725</v>
      </c>
      <c r="E77" s="102" t="s">
        <v>353</v>
      </c>
      <c r="F77" s="102" t="s">
        <v>354</v>
      </c>
      <c r="G77" s="102" t="s">
        <v>282</v>
      </c>
      <c r="H77" s="102" t="s">
        <v>283</v>
      </c>
      <c r="I77" s="102" t="s">
        <v>284</v>
      </c>
      <c r="J77" s="102" t="s">
        <v>454</v>
      </c>
      <c r="L77" s="229" t="s">
        <v>11722</v>
      </c>
      <c r="M77" s="229" t="s">
        <v>11752</v>
      </c>
      <c r="O77" s="102">
        <v>3.0</v>
      </c>
      <c r="P77" s="244">
        <f t="shared" si="1"/>
        <v>8</v>
      </c>
      <c r="Q77" s="193" t="str">
        <f>IF(ISNUMBER(MATCH(B77, 'Sprint 1'!B:B, 0)), "มาจาก Sprint 1", "")</f>
        <v/>
      </c>
    </row>
    <row r="78">
      <c r="A78" s="102" t="s">
        <v>310</v>
      </c>
      <c r="B78" s="102" t="s">
        <v>11726</v>
      </c>
      <c r="C78" s="229" t="s">
        <v>11727</v>
      </c>
      <c r="D78" s="102" t="s">
        <v>11728</v>
      </c>
      <c r="E78" s="102" t="s">
        <v>10234</v>
      </c>
      <c r="F78" s="102" t="s">
        <v>565</v>
      </c>
      <c r="G78" s="102" t="s">
        <v>282</v>
      </c>
      <c r="H78" s="102" t="s">
        <v>283</v>
      </c>
      <c r="I78" s="102" t="s">
        <v>284</v>
      </c>
      <c r="J78" s="102" t="s">
        <v>454</v>
      </c>
      <c r="L78" s="229" t="s">
        <v>11722</v>
      </c>
      <c r="M78" s="229" t="s">
        <v>11943</v>
      </c>
      <c r="N78" s="229" t="s">
        <v>11244</v>
      </c>
      <c r="O78" s="102">
        <v>5.0</v>
      </c>
      <c r="P78" s="244">
        <f t="shared" si="1"/>
        <v>24</v>
      </c>
      <c r="Q78" s="193" t="str">
        <f>IF(ISNUMBER(MATCH(B78, 'Sprint 1'!B:B, 0)), "มาจาก Sprint 1", "")</f>
        <v/>
      </c>
    </row>
    <row r="79">
      <c r="A79" s="102" t="s">
        <v>310</v>
      </c>
      <c r="B79" s="102" t="s">
        <v>11729</v>
      </c>
      <c r="C79" s="229" t="s">
        <v>11730</v>
      </c>
      <c r="D79" s="102" t="s">
        <v>11731</v>
      </c>
      <c r="E79" s="102" t="s">
        <v>11934</v>
      </c>
      <c r="F79" s="102" t="s">
        <v>496</v>
      </c>
      <c r="G79" s="102" t="s">
        <v>282</v>
      </c>
      <c r="H79" s="102" t="s">
        <v>283</v>
      </c>
      <c r="I79" s="102" t="s">
        <v>284</v>
      </c>
      <c r="J79" s="102" t="s">
        <v>454</v>
      </c>
      <c r="L79" s="229" t="s">
        <v>11732</v>
      </c>
      <c r="M79" s="229" t="s">
        <v>11962</v>
      </c>
      <c r="O79" s="102">
        <v>3.0</v>
      </c>
      <c r="P79" s="244">
        <f t="shared" si="1"/>
        <v>8</v>
      </c>
      <c r="Q79" s="193" t="str">
        <f>IF(ISNUMBER(MATCH(B79, 'Sprint 1'!B:B, 0)), "มาจาก Sprint 1", "")</f>
        <v/>
      </c>
    </row>
    <row r="80">
      <c r="A80" s="102" t="s">
        <v>310</v>
      </c>
      <c r="B80" s="102" t="s">
        <v>11733</v>
      </c>
      <c r="C80" s="229" t="s">
        <v>11734</v>
      </c>
      <c r="D80" s="102" t="s">
        <v>11735</v>
      </c>
      <c r="E80" s="102" t="s">
        <v>11704</v>
      </c>
      <c r="F80" s="102" t="s">
        <v>11705</v>
      </c>
      <c r="G80" s="102" t="s">
        <v>282</v>
      </c>
      <c r="H80" s="102" t="s">
        <v>283</v>
      </c>
      <c r="I80" s="102" t="s">
        <v>284</v>
      </c>
      <c r="J80" s="102" t="s">
        <v>678</v>
      </c>
      <c r="L80" s="229" t="s">
        <v>11732</v>
      </c>
      <c r="M80" s="229" t="s">
        <v>11963</v>
      </c>
      <c r="O80" s="102">
        <v>3.0</v>
      </c>
      <c r="P80" s="244">
        <f t="shared" si="1"/>
        <v>8</v>
      </c>
      <c r="Q80" s="193" t="str">
        <f>IF(ISNUMBER(MATCH(B80, 'Sprint 1'!B:B, 0)), "มาจาก Sprint 1", "")</f>
        <v/>
      </c>
    </row>
    <row r="81">
      <c r="A81" s="102" t="s">
        <v>310</v>
      </c>
      <c r="B81" s="102" t="s">
        <v>11736</v>
      </c>
      <c r="C81" s="229" t="s">
        <v>11737</v>
      </c>
      <c r="D81" s="102" t="s">
        <v>11738</v>
      </c>
      <c r="E81" s="102" t="s">
        <v>11300</v>
      </c>
      <c r="F81" s="102" t="s">
        <v>11301</v>
      </c>
      <c r="G81" s="102" t="s">
        <v>282</v>
      </c>
      <c r="H81" s="102" t="s">
        <v>283</v>
      </c>
      <c r="I81" s="102" t="s">
        <v>284</v>
      </c>
      <c r="J81" s="102" t="s">
        <v>678</v>
      </c>
      <c r="L81" s="229" t="s">
        <v>11732</v>
      </c>
      <c r="M81" s="229" t="s">
        <v>11963</v>
      </c>
      <c r="O81" s="102">
        <v>3.0</v>
      </c>
      <c r="P81" s="244">
        <f t="shared" si="1"/>
        <v>8</v>
      </c>
      <c r="Q81" s="193" t="str">
        <f>IF(ISNUMBER(MATCH(B81, 'Sprint 1'!B:B, 0)), "มาจาก Sprint 1", "")</f>
        <v/>
      </c>
    </row>
    <row r="82">
      <c r="A82" s="102" t="s">
        <v>310</v>
      </c>
      <c r="B82" s="102" t="s">
        <v>11739</v>
      </c>
      <c r="C82" s="229" t="s">
        <v>11740</v>
      </c>
      <c r="D82" s="102" t="s">
        <v>11741</v>
      </c>
      <c r="E82" s="102" t="s">
        <v>11934</v>
      </c>
      <c r="F82" s="102" t="s">
        <v>496</v>
      </c>
      <c r="G82" s="102" t="s">
        <v>282</v>
      </c>
      <c r="H82" s="102" t="s">
        <v>283</v>
      </c>
      <c r="I82" s="102" t="s">
        <v>284</v>
      </c>
      <c r="J82" s="102" t="s">
        <v>454</v>
      </c>
      <c r="L82" s="229" t="s">
        <v>11742</v>
      </c>
      <c r="M82" s="229" t="s">
        <v>11964</v>
      </c>
      <c r="O82" s="102">
        <v>3.0</v>
      </c>
      <c r="P82" s="244">
        <f t="shared" si="1"/>
        <v>8</v>
      </c>
      <c r="Q82" s="193" t="str">
        <f>IF(ISNUMBER(MATCH(B82, 'Sprint 1'!B:B, 0)), "มาจาก Sprint 1", "")</f>
        <v/>
      </c>
    </row>
    <row r="83">
      <c r="A83" s="102" t="s">
        <v>310</v>
      </c>
      <c r="B83" s="102" t="s">
        <v>11965</v>
      </c>
      <c r="C83" s="229" t="s">
        <v>11966</v>
      </c>
      <c r="D83" s="102" t="s">
        <v>11967</v>
      </c>
      <c r="E83" s="102" t="s">
        <v>11781</v>
      </c>
      <c r="F83" s="102" t="s">
        <v>11431</v>
      </c>
      <c r="G83" s="102" t="s">
        <v>282</v>
      </c>
      <c r="H83" s="102" t="s">
        <v>283</v>
      </c>
      <c r="I83" s="102" t="s">
        <v>284</v>
      </c>
      <c r="J83" s="102" t="s">
        <v>454</v>
      </c>
      <c r="L83" s="229" t="s">
        <v>11968</v>
      </c>
      <c r="M83" s="229" t="s">
        <v>11793</v>
      </c>
      <c r="N83" s="229" t="s">
        <v>11244</v>
      </c>
      <c r="O83" s="102">
        <v>8.0</v>
      </c>
      <c r="P83" s="244">
        <f t="shared" si="1"/>
        <v>32</v>
      </c>
      <c r="Q83" s="193" t="str">
        <f>IF(ISNUMBER(MATCH(B83, 'Sprint 1'!B:B, 0)), "มาจาก Sprint 1", "")</f>
        <v/>
      </c>
    </row>
    <row r="84">
      <c r="A84" s="102" t="s">
        <v>310</v>
      </c>
      <c r="B84" s="102" t="s">
        <v>11969</v>
      </c>
      <c r="C84" s="229" t="s">
        <v>11970</v>
      </c>
      <c r="D84" s="102" t="s">
        <v>11971</v>
      </c>
      <c r="E84" s="102" t="s">
        <v>282</v>
      </c>
      <c r="F84" s="102" t="s">
        <v>283</v>
      </c>
      <c r="G84" s="102" t="s">
        <v>282</v>
      </c>
      <c r="H84" s="102" t="s">
        <v>283</v>
      </c>
      <c r="I84" s="102" t="s">
        <v>284</v>
      </c>
      <c r="J84" s="102" t="s">
        <v>26</v>
      </c>
      <c r="L84" s="229" t="s">
        <v>11972</v>
      </c>
      <c r="M84" s="229" t="s">
        <v>11973</v>
      </c>
      <c r="O84" s="102">
        <v>3.0</v>
      </c>
      <c r="P84" s="244">
        <f t="shared" si="1"/>
        <v>8</v>
      </c>
      <c r="Q84" s="193" t="str">
        <f>IF(ISNUMBER(MATCH(B84, 'Sprint 1'!B:B, 0)), "มาจาก Sprint 1", "")</f>
        <v/>
      </c>
    </row>
    <row r="85">
      <c r="A85" s="102" t="s">
        <v>310</v>
      </c>
      <c r="B85" s="102" t="s">
        <v>11974</v>
      </c>
      <c r="C85" s="229" t="s">
        <v>11975</v>
      </c>
      <c r="D85" s="102" t="s">
        <v>11976</v>
      </c>
      <c r="E85" s="102" t="s">
        <v>556</v>
      </c>
      <c r="F85" s="102" t="s">
        <v>557</v>
      </c>
      <c r="G85" s="102" t="s">
        <v>282</v>
      </c>
      <c r="H85" s="102" t="s">
        <v>283</v>
      </c>
      <c r="I85" s="102" t="s">
        <v>284</v>
      </c>
      <c r="J85" s="102" t="s">
        <v>454</v>
      </c>
      <c r="L85" s="229" t="s">
        <v>11977</v>
      </c>
      <c r="M85" s="229" t="s">
        <v>11747</v>
      </c>
      <c r="N85" s="229" t="s">
        <v>11244</v>
      </c>
      <c r="O85" s="102">
        <v>5.0</v>
      </c>
      <c r="P85" s="244">
        <f t="shared" si="1"/>
        <v>24</v>
      </c>
      <c r="Q85" s="193" t="str">
        <f>IF(ISNUMBER(MATCH(B85, 'Sprint 1'!B:B, 0)), "มาจาก Sprint 1", "")</f>
        <v/>
      </c>
    </row>
    <row r="86">
      <c r="A86" s="102" t="s">
        <v>310</v>
      </c>
      <c r="B86" s="102" t="s">
        <v>11978</v>
      </c>
      <c r="C86" s="229" t="s">
        <v>11979</v>
      </c>
      <c r="D86" s="102" t="s">
        <v>11980</v>
      </c>
      <c r="E86" s="102" t="s">
        <v>11300</v>
      </c>
      <c r="F86" s="102" t="s">
        <v>11301</v>
      </c>
      <c r="G86" s="102" t="s">
        <v>282</v>
      </c>
      <c r="H86" s="102" t="s">
        <v>283</v>
      </c>
      <c r="I86" s="102" t="s">
        <v>284</v>
      </c>
      <c r="J86" s="102" t="s">
        <v>26</v>
      </c>
      <c r="L86" s="229" t="s">
        <v>11981</v>
      </c>
      <c r="M86" s="229" t="s">
        <v>11982</v>
      </c>
      <c r="O86" s="102">
        <v>1.0</v>
      </c>
      <c r="P86" s="244">
        <f t="shared" si="1"/>
        <v>2</v>
      </c>
      <c r="Q86" s="193" t="str">
        <f>IF(ISNUMBER(MATCH(B86, 'Sprint 1'!B:B, 0)), "มาจาก Sprint 1", "")</f>
        <v/>
      </c>
    </row>
    <row r="87">
      <c r="A87" s="102" t="s">
        <v>310</v>
      </c>
      <c r="B87" s="102" t="s">
        <v>11983</v>
      </c>
      <c r="C87" s="229" t="s">
        <v>11984</v>
      </c>
      <c r="D87" s="102" t="s">
        <v>11985</v>
      </c>
      <c r="E87" s="102" t="s">
        <v>282</v>
      </c>
      <c r="F87" s="102" t="s">
        <v>283</v>
      </c>
      <c r="G87" s="102" t="s">
        <v>282</v>
      </c>
      <c r="H87" s="102" t="s">
        <v>283</v>
      </c>
      <c r="I87" s="102" t="s">
        <v>284</v>
      </c>
      <c r="J87" s="102" t="s">
        <v>26</v>
      </c>
      <c r="L87" s="229" t="s">
        <v>11986</v>
      </c>
      <c r="M87" s="229" t="s">
        <v>11982</v>
      </c>
      <c r="O87" s="102">
        <v>3.0</v>
      </c>
      <c r="P87" s="244">
        <f t="shared" si="1"/>
        <v>8</v>
      </c>
      <c r="Q87" s="193" t="str">
        <f>IF(ISNUMBER(MATCH(B87, 'Sprint 1'!B:B, 0)), "มาจาก Sprint 1", "")</f>
        <v/>
      </c>
    </row>
    <row r="88">
      <c r="A88" s="102" t="s">
        <v>4410</v>
      </c>
      <c r="B88" s="102" t="s">
        <v>11987</v>
      </c>
      <c r="C88" s="229" t="s">
        <v>11988</v>
      </c>
      <c r="D88" s="102" t="s">
        <v>11989</v>
      </c>
      <c r="E88" s="102" t="s">
        <v>11781</v>
      </c>
      <c r="F88" s="102" t="s">
        <v>11431</v>
      </c>
      <c r="G88" s="102" t="s">
        <v>353</v>
      </c>
      <c r="H88" s="102" t="s">
        <v>354</v>
      </c>
      <c r="I88" s="102" t="s">
        <v>284</v>
      </c>
      <c r="J88" s="102" t="s">
        <v>454</v>
      </c>
      <c r="L88" s="229" t="s">
        <v>11990</v>
      </c>
      <c r="M88" s="229" t="s">
        <v>11991</v>
      </c>
      <c r="N88" s="229" t="s">
        <v>11992</v>
      </c>
      <c r="P88" s="244">
        <f t="shared" si="1"/>
        <v>0</v>
      </c>
      <c r="Q88" s="193" t="str">
        <f>IF(ISNUMBER(MATCH(B88, 'Sprint 1'!B:B, 0)), "มาจาก Sprint 1", "")</f>
        <v>มาจาก Sprint 1</v>
      </c>
      <c r="R88" s="102" t="s">
        <v>11711</v>
      </c>
    </row>
    <row r="89">
      <c r="A89" s="102" t="s">
        <v>276</v>
      </c>
      <c r="B89" s="102" t="s">
        <v>11993</v>
      </c>
      <c r="C89" s="229" t="s">
        <v>11994</v>
      </c>
      <c r="D89" s="102" t="s">
        <v>11995</v>
      </c>
      <c r="E89" s="102" t="s">
        <v>391</v>
      </c>
      <c r="F89" s="102" t="s">
        <v>392</v>
      </c>
      <c r="G89" s="102" t="s">
        <v>391</v>
      </c>
      <c r="H89" s="102" t="s">
        <v>392</v>
      </c>
      <c r="I89" s="102" t="s">
        <v>284</v>
      </c>
      <c r="J89" s="102" t="s">
        <v>26</v>
      </c>
      <c r="L89" s="229" t="s">
        <v>11996</v>
      </c>
      <c r="M89" s="229" t="s">
        <v>11997</v>
      </c>
      <c r="O89" s="230"/>
      <c r="P89" s="244">
        <f t="shared" si="1"/>
        <v>0</v>
      </c>
      <c r="Q89" s="193" t="str">
        <f>IF(ISNUMBER(MATCH(B89, 'Sprint 1'!B:B, 0)), "มาจาก Sprint 1", "")</f>
        <v>มาจาก Sprint 1</v>
      </c>
    </row>
    <row r="90">
      <c r="A90" s="102" t="s">
        <v>276</v>
      </c>
      <c r="B90" s="102" t="s">
        <v>11998</v>
      </c>
      <c r="C90" s="229" t="s">
        <v>11999</v>
      </c>
      <c r="D90" s="102" t="s">
        <v>9735</v>
      </c>
      <c r="E90" s="102" t="s">
        <v>391</v>
      </c>
      <c r="F90" s="102" t="s">
        <v>392</v>
      </c>
      <c r="G90" s="102" t="s">
        <v>391</v>
      </c>
      <c r="H90" s="102" t="s">
        <v>392</v>
      </c>
      <c r="I90" s="102" t="s">
        <v>284</v>
      </c>
      <c r="J90" s="102" t="s">
        <v>26</v>
      </c>
      <c r="L90" s="229" t="s">
        <v>11996</v>
      </c>
      <c r="M90" s="229" t="s">
        <v>12000</v>
      </c>
      <c r="O90" s="230"/>
      <c r="P90" s="244">
        <f t="shared" si="1"/>
        <v>0</v>
      </c>
      <c r="Q90" s="193" t="str">
        <f>IF(ISNUMBER(MATCH(B90, 'Sprint 1'!B:B, 0)), "มาจาก Sprint 1", "")</f>
        <v>มาจาก Sprint 1</v>
      </c>
    </row>
    <row r="91">
      <c r="A91" s="102" t="s">
        <v>310</v>
      </c>
      <c r="B91" s="102" t="s">
        <v>12001</v>
      </c>
      <c r="C91" s="229" t="s">
        <v>12002</v>
      </c>
      <c r="D91" s="102" t="s">
        <v>12003</v>
      </c>
      <c r="E91" s="102" t="s">
        <v>353</v>
      </c>
      <c r="F91" s="102" t="s">
        <v>354</v>
      </c>
      <c r="G91" s="102" t="s">
        <v>353</v>
      </c>
      <c r="H91" s="102" t="s">
        <v>354</v>
      </c>
      <c r="I91" s="102" t="s">
        <v>284</v>
      </c>
      <c r="J91" s="102" t="s">
        <v>26</v>
      </c>
      <c r="L91" s="229" t="s">
        <v>12004</v>
      </c>
      <c r="M91" s="229" t="s">
        <v>12005</v>
      </c>
      <c r="O91" s="102">
        <v>3.0</v>
      </c>
      <c r="P91" s="244">
        <f t="shared" si="1"/>
        <v>8</v>
      </c>
      <c r="Q91" s="193" t="str">
        <f>IF(ISNUMBER(MATCH(B91, 'Sprint 1'!B:B, 0)), "มาจาก Sprint 1", "")</f>
        <v/>
      </c>
    </row>
    <row r="92">
      <c r="A92" s="102" t="s">
        <v>4410</v>
      </c>
      <c r="B92" s="102" t="s">
        <v>12006</v>
      </c>
      <c r="C92" s="229" t="s">
        <v>12007</v>
      </c>
      <c r="D92" s="102" t="s">
        <v>12008</v>
      </c>
      <c r="E92" s="102" t="s">
        <v>10234</v>
      </c>
      <c r="F92" s="102" t="s">
        <v>565</v>
      </c>
      <c r="G92" s="102" t="s">
        <v>353</v>
      </c>
      <c r="H92" s="102" t="s">
        <v>354</v>
      </c>
      <c r="I92" s="102" t="s">
        <v>284</v>
      </c>
      <c r="J92" s="102" t="s">
        <v>26</v>
      </c>
      <c r="L92" s="229" t="s">
        <v>12009</v>
      </c>
      <c r="M92" s="229" t="s">
        <v>12010</v>
      </c>
      <c r="N92" s="229" t="s">
        <v>11992</v>
      </c>
      <c r="P92" s="244">
        <f t="shared" si="1"/>
        <v>0</v>
      </c>
      <c r="Q92" s="193" t="str">
        <f>IF(ISNUMBER(MATCH(B92, 'Sprint 1'!B:B, 0)), "มาจาก Sprint 1", "")</f>
        <v>มาจาก Sprint 1</v>
      </c>
      <c r="R92" s="102" t="s">
        <v>11650</v>
      </c>
    </row>
    <row r="93">
      <c r="A93" s="102" t="s">
        <v>4410</v>
      </c>
      <c r="B93" s="102" t="s">
        <v>12011</v>
      </c>
      <c r="C93" s="229" t="s">
        <v>12012</v>
      </c>
      <c r="D93" s="102" t="s">
        <v>12013</v>
      </c>
      <c r="E93" s="102" t="s">
        <v>314</v>
      </c>
      <c r="F93" s="102" t="s">
        <v>315</v>
      </c>
      <c r="G93" s="102" t="s">
        <v>353</v>
      </c>
      <c r="H93" s="102" t="s">
        <v>354</v>
      </c>
      <c r="I93" s="102" t="s">
        <v>284</v>
      </c>
      <c r="J93" s="102" t="s">
        <v>26</v>
      </c>
      <c r="L93" s="229" t="s">
        <v>12014</v>
      </c>
      <c r="M93" s="229" t="s">
        <v>11997</v>
      </c>
      <c r="P93" s="244">
        <f t="shared" si="1"/>
        <v>0</v>
      </c>
      <c r="Q93" s="193" t="str">
        <f>IF(ISNUMBER(MATCH(B93, 'Sprint 1'!B:B, 0)), "มาจาก Sprint 1", "")</f>
        <v>มาจาก Sprint 1</v>
      </c>
      <c r="R93" s="102" t="s">
        <v>11650</v>
      </c>
    </row>
    <row r="94">
      <c r="A94" s="102" t="s">
        <v>310</v>
      </c>
      <c r="B94" s="102" t="s">
        <v>12015</v>
      </c>
      <c r="C94" s="229" t="s">
        <v>12016</v>
      </c>
      <c r="D94" s="102" t="s">
        <v>12017</v>
      </c>
      <c r="E94" s="102" t="s">
        <v>282</v>
      </c>
      <c r="F94" s="102" t="s">
        <v>283</v>
      </c>
      <c r="G94" s="102" t="s">
        <v>11704</v>
      </c>
      <c r="H94" s="102" t="s">
        <v>11705</v>
      </c>
      <c r="I94" s="102" t="s">
        <v>284</v>
      </c>
      <c r="J94" s="102" t="s">
        <v>26</v>
      </c>
      <c r="L94" s="229" t="s">
        <v>12018</v>
      </c>
      <c r="M94" s="229" t="s">
        <v>12019</v>
      </c>
      <c r="O94" s="102">
        <v>2.0</v>
      </c>
      <c r="P94" s="244">
        <f t="shared" si="1"/>
        <v>4</v>
      </c>
      <c r="Q94" s="193" t="str">
        <f>IF(ISNUMBER(MATCH(B94, 'Sprint 1'!B:B, 0)), "มาจาก Sprint 1", "")</f>
        <v/>
      </c>
    </row>
    <row r="95">
      <c r="O95" s="230"/>
      <c r="P95" s="230"/>
      <c r="Q95" s="193"/>
    </row>
    <row r="96">
      <c r="O96" s="230"/>
      <c r="P96" s="230"/>
      <c r="Q96" s="193"/>
    </row>
    <row r="97">
      <c r="O97" s="230"/>
      <c r="P97" s="230"/>
      <c r="Q97" s="193"/>
    </row>
    <row r="98">
      <c r="O98" s="230"/>
      <c r="P98" s="230"/>
      <c r="Q98" s="193"/>
    </row>
    <row r="99">
      <c r="O99" s="230"/>
      <c r="P99" s="230"/>
      <c r="Q99" s="193"/>
    </row>
    <row r="100">
      <c r="O100" s="230"/>
      <c r="P100" s="230"/>
      <c r="Q100" s="193"/>
    </row>
    <row r="101">
      <c r="O101" s="230"/>
      <c r="P101" s="230"/>
      <c r="Q101" s="193"/>
    </row>
    <row r="102">
      <c r="O102" s="230"/>
      <c r="P102" s="230"/>
      <c r="Q102" s="193"/>
    </row>
    <row r="103">
      <c r="O103" s="230"/>
      <c r="P103" s="230"/>
      <c r="Q103" s="193"/>
    </row>
    <row r="104">
      <c r="O104" s="230"/>
      <c r="P104" s="230"/>
      <c r="Q104" s="193"/>
    </row>
    <row r="105">
      <c r="O105" s="230"/>
      <c r="P105" s="230"/>
      <c r="Q105" s="193"/>
    </row>
    <row r="106">
      <c r="O106" s="230"/>
      <c r="P106" s="230"/>
      <c r="Q106" s="193"/>
    </row>
    <row r="107">
      <c r="O107" s="230"/>
      <c r="P107" s="230"/>
      <c r="Q107" s="193"/>
    </row>
    <row r="108">
      <c r="O108" s="230"/>
      <c r="P108" s="230"/>
      <c r="Q108" s="193"/>
    </row>
    <row r="109">
      <c r="O109" s="230"/>
      <c r="P109" s="230"/>
      <c r="Q109" s="193"/>
    </row>
    <row r="110">
      <c r="O110" s="230"/>
      <c r="P110" s="230"/>
      <c r="Q110" s="193"/>
    </row>
    <row r="111">
      <c r="O111" s="230"/>
      <c r="P111" s="230"/>
      <c r="Q111" s="193"/>
    </row>
    <row r="112">
      <c r="O112" s="230"/>
      <c r="P112" s="230"/>
      <c r="Q112" s="193"/>
    </row>
    <row r="113">
      <c r="O113" s="230"/>
      <c r="P113" s="230"/>
      <c r="Q113" s="193"/>
    </row>
    <row r="114">
      <c r="O114" s="230"/>
      <c r="P114" s="230"/>
      <c r="Q114" s="193"/>
    </row>
    <row r="115">
      <c r="O115" s="230"/>
      <c r="P115" s="230"/>
      <c r="Q115" s="193"/>
    </row>
    <row r="116">
      <c r="O116" s="230"/>
      <c r="P116" s="230"/>
      <c r="Q116" s="193"/>
    </row>
    <row r="117">
      <c r="O117" s="230"/>
      <c r="P117" s="230"/>
      <c r="Q117" s="193"/>
    </row>
    <row r="118">
      <c r="O118" s="230"/>
      <c r="P118" s="230"/>
      <c r="Q118" s="193"/>
    </row>
    <row r="119">
      <c r="O119" s="230"/>
      <c r="P119" s="230"/>
      <c r="Q119" s="193"/>
    </row>
    <row r="120">
      <c r="O120" s="230"/>
      <c r="P120" s="230"/>
      <c r="Q120" s="193"/>
    </row>
    <row r="121">
      <c r="O121" s="230"/>
      <c r="P121" s="230"/>
      <c r="Q121" s="193"/>
    </row>
    <row r="122">
      <c r="O122" s="230"/>
      <c r="P122" s="230"/>
      <c r="Q122" s="193"/>
    </row>
    <row r="123">
      <c r="O123" s="230"/>
      <c r="P123" s="230"/>
      <c r="Q123" s="193"/>
    </row>
    <row r="124">
      <c r="O124" s="230"/>
      <c r="P124" s="230"/>
      <c r="Q124" s="193"/>
    </row>
    <row r="125">
      <c r="O125" s="230"/>
      <c r="P125" s="230"/>
      <c r="Q125" s="193"/>
    </row>
    <row r="126">
      <c r="O126" s="230"/>
      <c r="P126" s="230"/>
      <c r="Q126" s="193"/>
    </row>
    <row r="127">
      <c r="O127" s="230"/>
      <c r="P127" s="230"/>
      <c r="Q127" s="193"/>
    </row>
    <row r="128">
      <c r="O128" s="230"/>
      <c r="P128" s="230"/>
      <c r="Q128" s="193"/>
    </row>
    <row r="129">
      <c r="O129" s="230"/>
      <c r="P129" s="230"/>
      <c r="Q129" s="193"/>
    </row>
    <row r="130">
      <c r="O130" s="230"/>
      <c r="P130" s="230"/>
      <c r="Q130" s="193"/>
    </row>
    <row r="131">
      <c r="O131" s="230"/>
      <c r="P131" s="230"/>
      <c r="Q131" s="193"/>
    </row>
    <row r="132">
      <c r="O132" s="230"/>
      <c r="P132" s="230"/>
      <c r="Q132" s="193"/>
    </row>
    <row r="133">
      <c r="O133" s="230"/>
      <c r="P133" s="230"/>
      <c r="Q133" s="193"/>
    </row>
    <row r="134">
      <c r="O134" s="230"/>
      <c r="P134" s="230"/>
      <c r="Q134" s="193"/>
    </row>
    <row r="135">
      <c r="O135" s="230"/>
      <c r="P135" s="230"/>
      <c r="Q135" s="193"/>
    </row>
    <row r="136">
      <c r="O136" s="230"/>
      <c r="P136" s="230"/>
      <c r="Q136" s="193"/>
    </row>
    <row r="137">
      <c r="O137" s="230"/>
      <c r="P137" s="230"/>
      <c r="Q137" s="193"/>
    </row>
    <row r="138">
      <c r="O138" s="230"/>
      <c r="P138" s="230"/>
      <c r="Q138" s="193"/>
    </row>
    <row r="139">
      <c r="O139" s="230"/>
      <c r="P139" s="230"/>
      <c r="Q139" s="193"/>
    </row>
    <row r="140">
      <c r="O140" s="230"/>
      <c r="P140" s="230"/>
      <c r="Q140" s="193"/>
    </row>
    <row r="141">
      <c r="O141" s="230"/>
      <c r="P141" s="230"/>
      <c r="Q141" s="193"/>
    </row>
    <row r="142">
      <c r="O142" s="230"/>
      <c r="P142" s="230"/>
      <c r="Q142" s="193"/>
    </row>
    <row r="143">
      <c r="O143" s="230"/>
      <c r="P143" s="230"/>
      <c r="Q143" s="193"/>
    </row>
    <row r="144">
      <c r="O144" s="230"/>
      <c r="P144" s="230"/>
      <c r="Q144" s="193"/>
    </row>
    <row r="145">
      <c r="O145" s="230"/>
      <c r="P145" s="230"/>
      <c r="Q145" s="193"/>
    </row>
    <row r="146">
      <c r="O146" s="230"/>
      <c r="P146" s="230"/>
      <c r="Q146" s="193"/>
    </row>
    <row r="147">
      <c r="O147" s="230"/>
      <c r="P147" s="230"/>
      <c r="Q147" s="193"/>
    </row>
    <row r="148">
      <c r="O148" s="230"/>
      <c r="P148" s="230"/>
      <c r="Q148" s="193"/>
    </row>
    <row r="149">
      <c r="O149" s="230"/>
      <c r="P149" s="230"/>
      <c r="Q149" s="193"/>
    </row>
    <row r="150">
      <c r="O150" s="230"/>
      <c r="P150" s="230"/>
      <c r="Q150" s="193"/>
    </row>
    <row r="151">
      <c r="O151" s="230"/>
      <c r="P151" s="230"/>
      <c r="Q151" s="193"/>
    </row>
    <row r="152">
      <c r="O152" s="230"/>
      <c r="P152" s="230"/>
      <c r="Q152" s="193"/>
    </row>
    <row r="153">
      <c r="O153" s="230"/>
      <c r="P153" s="230"/>
      <c r="Q153" s="193"/>
    </row>
    <row r="154">
      <c r="O154" s="230"/>
      <c r="P154" s="230"/>
      <c r="Q154" s="193"/>
    </row>
    <row r="155">
      <c r="O155" s="230"/>
      <c r="P155" s="230"/>
      <c r="Q155" s="193"/>
    </row>
    <row r="156">
      <c r="O156" s="230"/>
      <c r="P156" s="230"/>
      <c r="Q156" s="193"/>
    </row>
    <row r="157">
      <c r="O157" s="230"/>
      <c r="P157" s="230"/>
      <c r="Q157" s="193"/>
    </row>
    <row r="158">
      <c r="O158" s="230"/>
      <c r="P158" s="230"/>
      <c r="Q158" s="193"/>
    </row>
    <row r="159">
      <c r="O159" s="230"/>
      <c r="P159" s="230"/>
      <c r="Q159" s="193"/>
    </row>
    <row r="160">
      <c r="O160" s="230"/>
      <c r="P160" s="230"/>
      <c r="Q160" s="193"/>
    </row>
    <row r="161">
      <c r="O161" s="230"/>
      <c r="P161" s="230"/>
      <c r="Q161" s="193"/>
    </row>
    <row r="162">
      <c r="O162" s="230"/>
      <c r="P162" s="230"/>
      <c r="Q162" s="193"/>
    </row>
    <row r="163">
      <c r="O163" s="230"/>
      <c r="P163" s="230"/>
      <c r="Q163" s="193"/>
    </row>
    <row r="164">
      <c r="O164" s="230"/>
      <c r="P164" s="230"/>
      <c r="Q164" s="193"/>
    </row>
    <row r="165">
      <c r="O165" s="230"/>
      <c r="P165" s="230"/>
      <c r="Q165" s="193"/>
    </row>
    <row r="166">
      <c r="O166" s="230"/>
      <c r="P166" s="230"/>
      <c r="Q166" s="193"/>
    </row>
    <row r="167">
      <c r="O167" s="230"/>
      <c r="P167" s="230"/>
      <c r="Q167" s="193"/>
    </row>
    <row r="168">
      <c r="O168" s="230"/>
      <c r="P168" s="230"/>
      <c r="Q168" s="193"/>
    </row>
    <row r="169">
      <c r="O169" s="230"/>
      <c r="P169" s="230"/>
      <c r="Q169" s="193"/>
    </row>
    <row r="170">
      <c r="O170" s="230"/>
      <c r="P170" s="230"/>
      <c r="Q170" s="193"/>
    </row>
    <row r="171">
      <c r="O171" s="230"/>
      <c r="P171" s="230"/>
      <c r="Q171" s="193"/>
    </row>
    <row r="172">
      <c r="O172" s="230"/>
      <c r="P172" s="230"/>
      <c r="Q172" s="193"/>
    </row>
    <row r="173">
      <c r="O173" s="230"/>
      <c r="P173" s="230"/>
      <c r="Q173" s="193"/>
    </row>
    <row r="174">
      <c r="O174" s="230"/>
      <c r="P174" s="230"/>
      <c r="Q174" s="193"/>
    </row>
    <row r="175">
      <c r="O175" s="230"/>
      <c r="P175" s="230"/>
      <c r="Q175" s="193"/>
    </row>
    <row r="176">
      <c r="O176" s="230"/>
      <c r="P176" s="230"/>
      <c r="Q176" s="193"/>
    </row>
    <row r="177">
      <c r="O177" s="230"/>
      <c r="P177" s="230"/>
      <c r="Q177" s="193"/>
    </row>
    <row r="178">
      <c r="O178" s="230"/>
      <c r="P178" s="230"/>
      <c r="Q178" s="193"/>
    </row>
    <row r="179">
      <c r="O179" s="230"/>
      <c r="P179" s="230"/>
      <c r="Q179" s="193"/>
    </row>
    <row r="180">
      <c r="O180" s="230"/>
      <c r="P180" s="230"/>
      <c r="Q180" s="193"/>
    </row>
    <row r="181">
      <c r="O181" s="230"/>
      <c r="P181" s="230"/>
      <c r="Q181" s="193"/>
    </row>
    <row r="182">
      <c r="O182" s="230"/>
      <c r="P182" s="230"/>
      <c r="Q182" s="193"/>
    </row>
    <row r="183">
      <c r="O183" s="230"/>
      <c r="P183" s="230"/>
      <c r="Q183" s="193"/>
    </row>
    <row r="184">
      <c r="O184" s="230"/>
      <c r="P184" s="230"/>
      <c r="Q184" s="193"/>
    </row>
    <row r="185">
      <c r="O185" s="230"/>
      <c r="P185" s="230"/>
      <c r="Q185" s="193"/>
    </row>
    <row r="186">
      <c r="O186" s="230"/>
      <c r="P186" s="230"/>
      <c r="Q186" s="193"/>
    </row>
    <row r="187">
      <c r="O187" s="230"/>
      <c r="P187" s="230"/>
      <c r="Q187" s="193"/>
    </row>
    <row r="188">
      <c r="O188" s="230"/>
      <c r="P188" s="230"/>
      <c r="Q188" s="193"/>
    </row>
    <row r="189">
      <c r="O189" s="230"/>
      <c r="P189" s="230"/>
      <c r="Q189" s="193"/>
    </row>
    <row r="190">
      <c r="O190" s="230"/>
      <c r="P190" s="230"/>
      <c r="Q190" s="193"/>
    </row>
    <row r="191">
      <c r="O191" s="230"/>
      <c r="P191" s="230"/>
      <c r="Q191" s="193"/>
    </row>
    <row r="192">
      <c r="O192" s="230"/>
      <c r="P192" s="230"/>
      <c r="Q192" s="193"/>
    </row>
    <row r="193">
      <c r="O193" s="230"/>
      <c r="P193" s="230"/>
      <c r="Q193" s="193"/>
    </row>
    <row r="194">
      <c r="O194" s="230"/>
      <c r="P194" s="230"/>
      <c r="Q194" s="193"/>
    </row>
    <row r="195">
      <c r="O195" s="230"/>
      <c r="P195" s="230"/>
      <c r="Q195" s="193"/>
    </row>
    <row r="196">
      <c r="O196" s="230"/>
      <c r="P196" s="230"/>
      <c r="Q196" s="193"/>
    </row>
    <row r="197">
      <c r="O197" s="230"/>
      <c r="P197" s="230"/>
      <c r="Q197" s="193"/>
    </row>
    <row r="198">
      <c r="O198" s="230"/>
      <c r="P198" s="230"/>
      <c r="Q198" s="193"/>
    </row>
    <row r="199">
      <c r="O199" s="230"/>
      <c r="P199" s="230"/>
      <c r="Q199" s="193"/>
    </row>
    <row r="200">
      <c r="O200" s="230"/>
      <c r="P200" s="230"/>
      <c r="Q200" s="193"/>
    </row>
    <row r="201">
      <c r="O201" s="230"/>
      <c r="P201" s="230"/>
      <c r="Q201" s="193"/>
    </row>
    <row r="202">
      <c r="O202" s="230"/>
      <c r="P202" s="230"/>
      <c r="Q202" s="193"/>
    </row>
    <row r="203">
      <c r="O203" s="230"/>
      <c r="P203" s="230"/>
      <c r="Q203" s="193"/>
    </row>
    <row r="204">
      <c r="O204" s="230"/>
      <c r="P204" s="230"/>
      <c r="Q204" s="193"/>
    </row>
    <row r="205">
      <c r="O205" s="230"/>
      <c r="P205" s="230"/>
      <c r="Q205" s="193"/>
    </row>
    <row r="206">
      <c r="O206" s="230"/>
      <c r="P206" s="230"/>
      <c r="Q206" s="193"/>
    </row>
    <row r="207">
      <c r="O207" s="230"/>
      <c r="P207" s="230"/>
      <c r="Q207" s="193"/>
    </row>
    <row r="208">
      <c r="O208" s="230"/>
      <c r="P208" s="230"/>
      <c r="Q208" s="193"/>
    </row>
    <row r="209">
      <c r="O209" s="230"/>
      <c r="P209" s="230"/>
      <c r="Q209" s="193"/>
    </row>
    <row r="210">
      <c r="O210" s="230"/>
      <c r="P210" s="230"/>
      <c r="Q210" s="193"/>
    </row>
    <row r="211">
      <c r="O211" s="230"/>
      <c r="P211" s="230"/>
      <c r="Q211" s="193"/>
    </row>
    <row r="212">
      <c r="O212" s="230"/>
      <c r="P212" s="230"/>
      <c r="Q212" s="193"/>
    </row>
    <row r="213">
      <c r="O213" s="230"/>
      <c r="P213" s="230"/>
      <c r="Q213" s="193"/>
    </row>
    <row r="214">
      <c r="O214" s="230"/>
      <c r="P214" s="230"/>
      <c r="Q214" s="193"/>
    </row>
    <row r="215">
      <c r="O215" s="230"/>
      <c r="P215" s="230"/>
      <c r="Q215" s="193"/>
    </row>
    <row r="216">
      <c r="O216" s="230"/>
      <c r="P216" s="230"/>
      <c r="Q216" s="193"/>
    </row>
    <row r="217">
      <c r="O217" s="230"/>
      <c r="P217" s="230"/>
      <c r="Q217" s="193"/>
    </row>
    <row r="218">
      <c r="O218" s="230"/>
      <c r="P218" s="230"/>
      <c r="Q218" s="193"/>
    </row>
    <row r="219">
      <c r="O219" s="230"/>
      <c r="P219" s="230"/>
      <c r="Q219" s="193"/>
    </row>
    <row r="220">
      <c r="O220" s="230"/>
      <c r="P220" s="230"/>
      <c r="Q220" s="193"/>
    </row>
    <row r="221">
      <c r="O221" s="230"/>
      <c r="P221" s="230"/>
      <c r="Q221" s="193"/>
    </row>
    <row r="222">
      <c r="O222" s="230"/>
      <c r="P222" s="230"/>
      <c r="Q222" s="193"/>
    </row>
    <row r="223">
      <c r="O223" s="230"/>
      <c r="P223" s="230"/>
      <c r="Q223" s="193"/>
    </row>
    <row r="224">
      <c r="O224" s="230"/>
      <c r="P224" s="230"/>
      <c r="Q224" s="193"/>
    </row>
    <row r="225">
      <c r="O225" s="230"/>
      <c r="P225" s="230"/>
      <c r="Q225" s="193"/>
    </row>
    <row r="226">
      <c r="O226" s="230"/>
      <c r="P226" s="230"/>
      <c r="Q226" s="193"/>
    </row>
    <row r="227">
      <c r="O227" s="230"/>
      <c r="P227" s="230"/>
      <c r="Q227" s="193"/>
    </row>
    <row r="228">
      <c r="O228" s="230"/>
      <c r="P228" s="230"/>
      <c r="Q228" s="193"/>
    </row>
    <row r="229">
      <c r="O229" s="230"/>
      <c r="P229" s="230"/>
      <c r="Q229" s="193"/>
    </row>
    <row r="230">
      <c r="O230" s="230"/>
      <c r="P230" s="230"/>
      <c r="Q230" s="193"/>
    </row>
    <row r="231">
      <c r="O231" s="230"/>
      <c r="P231" s="230"/>
      <c r="Q231" s="193"/>
    </row>
    <row r="232">
      <c r="O232" s="230"/>
      <c r="P232" s="230"/>
      <c r="Q232" s="193"/>
    </row>
    <row r="233">
      <c r="O233" s="230"/>
      <c r="P233" s="230"/>
      <c r="Q233" s="193"/>
    </row>
    <row r="234">
      <c r="O234" s="230"/>
      <c r="P234" s="230"/>
      <c r="Q234" s="193"/>
    </row>
    <row r="235">
      <c r="O235" s="230"/>
      <c r="P235" s="230"/>
      <c r="Q235" s="193"/>
    </row>
    <row r="236">
      <c r="O236" s="230"/>
      <c r="P236" s="230"/>
      <c r="Q236" s="193"/>
    </row>
    <row r="237">
      <c r="O237" s="230"/>
      <c r="P237" s="230"/>
      <c r="Q237" s="193"/>
    </row>
    <row r="238">
      <c r="O238" s="230"/>
      <c r="P238" s="230"/>
      <c r="Q238" s="193"/>
    </row>
    <row r="239">
      <c r="O239" s="230"/>
      <c r="P239" s="230"/>
      <c r="Q239" s="193"/>
    </row>
    <row r="240">
      <c r="O240" s="230"/>
      <c r="P240" s="230"/>
      <c r="Q240" s="193"/>
    </row>
    <row r="241">
      <c r="O241" s="230"/>
      <c r="P241" s="230"/>
      <c r="Q241" s="193"/>
    </row>
    <row r="242">
      <c r="O242" s="230"/>
      <c r="P242" s="230"/>
      <c r="Q242" s="193"/>
    </row>
    <row r="243">
      <c r="O243" s="230"/>
      <c r="P243" s="230"/>
      <c r="Q243" s="193"/>
    </row>
    <row r="244">
      <c r="O244" s="230"/>
      <c r="P244" s="230"/>
      <c r="Q244" s="193"/>
    </row>
    <row r="245">
      <c r="O245" s="230"/>
      <c r="P245" s="230"/>
      <c r="Q245" s="193"/>
    </row>
    <row r="246">
      <c r="O246" s="230"/>
      <c r="P246" s="230"/>
      <c r="Q246" s="193"/>
    </row>
    <row r="247">
      <c r="O247" s="230"/>
      <c r="P247" s="230"/>
      <c r="Q247" s="193"/>
    </row>
    <row r="248">
      <c r="O248" s="230"/>
      <c r="P248" s="230"/>
      <c r="Q248" s="193"/>
    </row>
    <row r="249">
      <c r="O249" s="230"/>
      <c r="P249" s="230"/>
      <c r="Q249" s="193"/>
    </row>
    <row r="250">
      <c r="O250" s="230"/>
      <c r="P250" s="230"/>
      <c r="Q250" s="193"/>
    </row>
    <row r="251">
      <c r="O251" s="230"/>
      <c r="P251" s="230"/>
      <c r="Q251" s="193"/>
    </row>
    <row r="252">
      <c r="O252" s="230"/>
      <c r="P252" s="230"/>
      <c r="Q252" s="193"/>
    </row>
    <row r="253">
      <c r="O253" s="230"/>
      <c r="P253" s="230"/>
      <c r="Q253" s="193"/>
    </row>
    <row r="254">
      <c r="O254" s="230"/>
      <c r="P254" s="230"/>
      <c r="Q254" s="193"/>
    </row>
    <row r="255">
      <c r="O255" s="230"/>
      <c r="P255" s="230"/>
      <c r="Q255" s="193"/>
    </row>
    <row r="256">
      <c r="O256" s="230"/>
      <c r="P256" s="230"/>
      <c r="Q256" s="193"/>
    </row>
    <row r="257">
      <c r="O257" s="230"/>
      <c r="P257" s="230"/>
      <c r="Q257" s="193"/>
    </row>
    <row r="258">
      <c r="O258" s="230"/>
      <c r="P258" s="230"/>
      <c r="Q258" s="193"/>
    </row>
    <row r="259">
      <c r="O259" s="230"/>
      <c r="P259" s="230"/>
      <c r="Q259" s="193"/>
    </row>
    <row r="260">
      <c r="O260" s="230"/>
      <c r="P260" s="230"/>
      <c r="Q260" s="193"/>
    </row>
    <row r="261">
      <c r="O261" s="230"/>
      <c r="P261" s="230"/>
      <c r="Q261" s="193"/>
    </row>
    <row r="262">
      <c r="O262" s="230"/>
      <c r="P262" s="230"/>
      <c r="Q262" s="193"/>
    </row>
    <row r="263">
      <c r="O263" s="230"/>
      <c r="P263" s="230"/>
      <c r="Q263" s="193"/>
    </row>
    <row r="264">
      <c r="O264" s="230"/>
      <c r="P264" s="230"/>
      <c r="Q264" s="193"/>
    </row>
    <row r="265">
      <c r="O265" s="230"/>
      <c r="P265" s="230"/>
      <c r="Q265" s="193"/>
    </row>
    <row r="266">
      <c r="O266" s="230"/>
      <c r="P266" s="230"/>
      <c r="Q266" s="193"/>
    </row>
    <row r="267">
      <c r="O267" s="230"/>
      <c r="P267" s="230"/>
      <c r="Q267" s="193"/>
    </row>
    <row r="268">
      <c r="O268" s="230"/>
      <c r="P268" s="230"/>
      <c r="Q268" s="193"/>
    </row>
    <row r="269">
      <c r="O269" s="230"/>
      <c r="P269" s="230"/>
      <c r="Q269" s="193"/>
    </row>
    <row r="270">
      <c r="O270" s="230"/>
      <c r="P270" s="230"/>
      <c r="Q270" s="193"/>
    </row>
    <row r="271">
      <c r="O271" s="230"/>
      <c r="P271" s="230"/>
      <c r="Q271" s="193"/>
    </row>
    <row r="272">
      <c r="O272" s="230"/>
      <c r="P272" s="230"/>
      <c r="Q272" s="193"/>
    </row>
    <row r="273">
      <c r="O273" s="230"/>
      <c r="P273" s="230"/>
      <c r="Q273" s="193"/>
    </row>
    <row r="274">
      <c r="O274" s="230"/>
      <c r="P274" s="230"/>
      <c r="Q274" s="193"/>
    </row>
    <row r="275">
      <c r="O275" s="230"/>
      <c r="P275" s="230"/>
      <c r="Q275" s="193"/>
    </row>
    <row r="276">
      <c r="O276" s="230"/>
      <c r="P276" s="230"/>
      <c r="Q276" s="193"/>
    </row>
    <row r="277">
      <c r="O277" s="230"/>
      <c r="P277" s="230"/>
      <c r="Q277" s="193"/>
    </row>
    <row r="278">
      <c r="O278" s="230"/>
      <c r="P278" s="230"/>
      <c r="Q278" s="193"/>
    </row>
    <row r="279">
      <c r="O279" s="230"/>
      <c r="P279" s="230"/>
      <c r="Q279" s="193"/>
    </row>
    <row r="280">
      <c r="O280" s="230"/>
      <c r="P280" s="230"/>
      <c r="Q280" s="193"/>
    </row>
    <row r="281">
      <c r="O281" s="230"/>
      <c r="P281" s="230"/>
      <c r="Q281" s="193"/>
    </row>
    <row r="282">
      <c r="O282" s="230"/>
      <c r="P282" s="230"/>
      <c r="Q282" s="193"/>
    </row>
    <row r="283">
      <c r="O283" s="230"/>
      <c r="P283" s="230"/>
      <c r="Q283" s="193"/>
    </row>
    <row r="284">
      <c r="O284" s="230"/>
      <c r="P284" s="230"/>
      <c r="Q284" s="193"/>
    </row>
    <row r="285">
      <c r="O285" s="230"/>
      <c r="P285" s="230"/>
      <c r="Q285" s="193"/>
    </row>
    <row r="286">
      <c r="O286" s="230"/>
      <c r="P286" s="230"/>
      <c r="Q286" s="193"/>
    </row>
    <row r="287">
      <c r="O287" s="230"/>
      <c r="P287" s="230"/>
      <c r="Q287" s="193"/>
    </row>
    <row r="288">
      <c r="O288" s="230"/>
      <c r="P288" s="230"/>
      <c r="Q288" s="193"/>
    </row>
    <row r="289">
      <c r="O289" s="230"/>
      <c r="P289" s="230"/>
      <c r="Q289" s="193"/>
    </row>
    <row r="290">
      <c r="O290" s="230"/>
      <c r="P290" s="230"/>
      <c r="Q290" s="193"/>
    </row>
    <row r="291">
      <c r="O291" s="230"/>
      <c r="P291" s="230"/>
      <c r="Q291" s="193"/>
    </row>
    <row r="292">
      <c r="O292" s="230"/>
      <c r="P292" s="230"/>
      <c r="Q292" s="193"/>
    </row>
    <row r="293">
      <c r="O293" s="230"/>
      <c r="P293" s="230"/>
      <c r="Q293" s="193"/>
    </row>
    <row r="294">
      <c r="O294" s="230"/>
      <c r="P294" s="230"/>
      <c r="Q294" s="193"/>
    </row>
    <row r="295">
      <c r="O295" s="230"/>
      <c r="P295" s="230"/>
      <c r="Q295" s="193"/>
    </row>
    <row r="296">
      <c r="O296" s="230"/>
      <c r="P296" s="230"/>
      <c r="Q296" s="193"/>
    </row>
    <row r="297">
      <c r="O297" s="230"/>
      <c r="P297" s="230"/>
      <c r="Q297" s="193"/>
    </row>
    <row r="298">
      <c r="O298" s="230"/>
      <c r="P298" s="230"/>
      <c r="Q298" s="193"/>
    </row>
    <row r="299">
      <c r="O299" s="230"/>
      <c r="P299" s="230"/>
      <c r="Q299" s="193"/>
    </row>
    <row r="300">
      <c r="O300" s="230"/>
      <c r="P300" s="230"/>
      <c r="Q300" s="193"/>
    </row>
    <row r="301">
      <c r="O301" s="230"/>
      <c r="P301" s="230"/>
      <c r="Q301" s="193"/>
    </row>
    <row r="302">
      <c r="O302" s="230"/>
      <c r="P302" s="230"/>
      <c r="Q302" s="193"/>
    </row>
    <row r="303">
      <c r="O303" s="230"/>
      <c r="P303" s="230"/>
      <c r="Q303" s="193"/>
    </row>
    <row r="304">
      <c r="O304" s="230"/>
      <c r="P304" s="230"/>
      <c r="Q304" s="193"/>
    </row>
    <row r="305">
      <c r="O305" s="230"/>
      <c r="P305" s="230"/>
      <c r="Q305" s="193"/>
    </row>
    <row r="306">
      <c r="O306" s="230"/>
      <c r="P306" s="230"/>
      <c r="Q306" s="193"/>
    </row>
    <row r="307">
      <c r="O307" s="230"/>
      <c r="P307" s="230"/>
      <c r="Q307" s="193"/>
    </row>
    <row r="308">
      <c r="O308" s="230"/>
      <c r="P308" s="230"/>
      <c r="Q308" s="193"/>
    </row>
    <row r="309">
      <c r="O309" s="230"/>
      <c r="P309" s="230"/>
      <c r="Q309" s="193"/>
    </row>
    <row r="310">
      <c r="O310" s="230"/>
      <c r="P310" s="230"/>
      <c r="Q310" s="193"/>
    </row>
    <row r="311">
      <c r="O311" s="230"/>
      <c r="P311" s="230"/>
      <c r="Q311" s="193"/>
    </row>
    <row r="312">
      <c r="O312" s="230"/>
      <c r="P312" s="230"/>
      <c r="Q312" s="193"/>
    </row>
    <row r="313">
      <c r="O313" s="230"/>
      <c r="P313" s="230"/>
      <c r="Q313" s="193"/>
    </row>
    <row r="314">
      <c r="O314" s="230"/>
      <c r="P314" s="230"/>
      <c r="Q314" s="193"/>
    </row>
    <row r="315">
      <c r="O315" s="230"/>
      <c r="P315" s="230"/>
      <c r="Q315" s="193"/>
    </row>
    <row r="316">
      <c r="O316" s="230"/>
      <c r="P316" s="230"/>
      <c r="Q316" s="193"/>
    </row>
    <row r="317">
      <c r="O317" s="230"/>
      <c r="P317" s="230"/>
      <c r="Q317" s="193"/>
    </row>
    <row r="318">
      <c r="O318" s="230"/>
      <c r="P318" s="230"/>
      <c r="Q318" s="193"/>
    </row>
    <row r="319">
      <c r="O319" s="230"/>
      <c r="P319" s="230"/>
      <c r="Q319" s="193"/>
    </row>
    <row r="320">
      <c r="O320" s="230"/>
      <c r="P320" s="230"/>
      <c r="Q320" s="193"/>
    </row>
    <row r="321">
      <c r="O321" s="230"/>
      <c r="P321" s="230"/>
      <c r="Q321" s="193"/>
    </row>
    <row r="322">
      <c r="O322" s="230"/>
      <c r="P322" s="230"/>
      <c r="Q322" s="193"/>
    </row>
    <row r="323">
      <c r="O323" s="230"/>
      <c r="P323" s="230"/>
      <c r="Q323" s="193"/>
    </row>
    <row r="324">
      <c r="O324" s="230"/>
      <c r="P324" s="230"/>
      <c r="Q324" s="193"/>
    </row>
    <row r="325">
      <c r="O325" s="230"/>
      <c r="P325" s="230"/>
      <c r="Q325" s="193"/>
    </row>
    <row r="326">
      <c r="O326" s="230"/>
      <c r="P326" s="230"/>
      <c r="Q326" s="193"/>
    </row>
    <row r="327">
      <c r="O327" s="230"/>
      <c r="P327" s="230"/>
      <c r="Q327" s="193"/>
    </row>
    <row r="328">
      <c r="O328" s="230"/>
      <c r="P328" s="230"/>
      <c r="Q328" s="193"/>
    </row>
    <row r="329">
      <c r="O329" s="230"/>
      <c r="P329" s="230"/>
      <c r="Q329" s="193"/>
    </row>
    <row r="330">
      <c r="O330" s="230"/>
      <c r="P330" s="230"/>
      <c r="Q330" s="193"/>
    </row>
    <row r="331">
      <c r="O331" s="230"/>
      <c r="P331" s="230"/>
      <c r="Q331" s="193"/>
    </row>
    <row r="332">
      <c r="O332" s="230"/>
      <c r="P332" s="230"/>
      <c r="Q332" s="193"/>
    </row>
    <row r="333">
      <c r="O333" s="230"/>
      <c r="P333" s="230"/>
      <c r="Q333" s="193"/>
    </row>
    <row r="334">
      <c r="O334" s="230"/>
      <c r="P334" s="230"/>
      <c r="Q334" s="193"/>
    </row>
    <row r="335">
      <c r="O335" s="230"/>
      <c r="P335" s="230"/>
      <c r="Q335" s="193"/>
    </row>
    <row r="336">
      <c r="O336" s="230"/>
      <c r="P336" s="230"/>
      <c r="Q336" s="193"/>
    </row>
    <row r="337">
      <c r="O337" s="230"/>
      <c r="P337" s="230"/>
      <c r="Q337" s="193"/>
    </row>
    <row r="338">
      <c r="O338" s="230"/>
      <c r="P338" s="230"/>
      <c r="Q338" s="193"/>
    </row>
    <row r="339">
      <c r="O339" s="230"/>
      <c r="P339" s="230"/>
      <c r="Q339" s="193"/>
    </row>
    <row r="340">
      <c r="O340" s="230"/>
      <c r="P340" s="230"/>
      <c r="Q340" s="193"/>
    </row>
    <row r="341">
      <c r="O341" s="230"/>
      <c r="P341" s="230"/>
      <c r="Q341" s="193"/>
    </row>
    <row r="342">
      <c r="O342" s="230"/>
      <c r="P342" s="230"/>
      <c r="Q342" s="193"/>
    </row>
    <row r="343">
      <c r="O343" s="230"/>
      <c r="P343" s="230"/>
      <c r="Q343" s="193"/>
    </row>
    <row r="344">
      <c r="O344" s="230"/>
      <c r="P344" s="230"/>
      <c r="Q344" s="193"/>
    </row>
    <row r="345">
      <c r="O345" s="230"/>
      <c r="P345" s="230"/>
      <c r="Q345" s="193"/>
    </row>
    <row r="346">
      <c r="O346" s="230"/>
      <c r="P346" s="230"/>
      <c r="Q346" s="193"/>
    </row>
    <row r="347">
      <c r="O347" s="230"/>
      <c r="P347" s="230"/>
      <c r="Q347" s="193"/>
    </row>
    <row r="348">
      <c r="O348" s="230"/>
      <c r="P348" s="230"/>
      <c r="Q348" s="193"/>
    </row>
    <row r="349">
      <c r="O349" s="230"/>
      <c r="P349" s="230"/>
      <c r="Q349" s="193"/>
    </row>
    <row r="350">
      <c r="O350" s="230"/>
      <c r="P350" s="230"/>
      <c r="Q350" s="193"/>
    </row>
    <row r="351">
      <c r="O351" s="230"/>
      <c r="P351" s="230"/>
      <c r="Q351" s="193"/>
    </row>
    <row r="352">
      <c r="O352" s="230"/>
      <c r="P352" s="230"/>
      <c r="Q352" s="193"/>
    </row>
    <row r="353">
      <c r="O353" s="230"/>
      <c r="P353" s="230"/>
      <c r="Q353" s="193"/>
    </row>
    <row r="354">
      <c r="O354" s="230"/>
      <c r="P354" s="230"/>
      <c r="Q354" s="193"/>
    </row>
    <row r="355">
      <c r="O355" s="230"/>
      <c r="P355" s="230"/>
      <c r="Q355" s="193"/>
    </row>
    <row r="356">
      <c r="O356" s="230"/>
      <c r="P356" s="230"/>
      <c r="Q356" s="193"/>
    </row>
    <row r="357">
      <c r="O357" s="230"/>
      <c r="P357" s="230"/>
      <c r="Q357" s="193"/>
    </row>
    <row r="358">
      <c r="O358" s="230"/>
      <c r="P358" s="230"/>
      <c r="Q358" s="193"/>
    </row>
    <row r="359">
      <c r="O359" s="230"/>
      <c r="P359" s="230"/>
      <c r="Q359" s="193"/>
    </row>
    <row r="360">
      <c r="O360" s="230"/>
      <c r="P360" s="230"/>
      <c r="Q360" s="193"/>
    </row>
    <row r="361">
      <c r="O361" s="230"/>
      <c r="P361" s="230"/>
      <c r="Q361" s="193"/>
    </row>
    <row r="362">
      <c r="O362" s="230"/>
      <c r="P362" s="230"/>
      <c r="Q362" s="193"/>
    </row>
    <row r="363">
      <c r="O363" s="230"/>
      <c r="P363" s="230"/>
      <c r="Q363" s="193"/>
    </row>
    <row r="364">
      <c r="O364" s="230"/>
      <c r="P364" s="230"/>
      <c r="Q364" s="193"/>
    </row>
    <row r="365">
      <c r="O365" s="230"/>
      <c r="P365" s="230"/>
      <c r="Q365" s="193"/>
    </row>
    <row r="366">
      <c r="O366" s="230"/>
      <c r="P366" s="230"/>
      <c r="Q366" s="193"/>
    </row>
    <row r="367">
      <c r="O367" s="230"/>
      <c r="P367" s="230"/>
      <c r="Q367" s="193"/>
    </row>
    <row r="368">
      <c r="O368" s="230"/>
      <c r="P368" s="230"/>
      <c r="Q368" s="193"/>
    </row>
    <row r="369">
      <c r="O369" s="230"/>
      <c r="P369" s="230"/>
      <c r="Q369" s="193"/>
    </row>
    <row r="370">
      <c r="O370" s="230"/>
      <c r="P370" s="230"/>
      <c r="Q370" s="193"/>
    </row>
    <row r="371">
      <c r="O371" s="230"/>
      <c r="P371" s="230"/>
      <c r="Q371" s="193"/>
    </row>
    <row r="372">
      <c r="O372" s="230"/>
      <c r="P372" s="230"/>
      <c r="Q372" s="193"/>
    </row>
    <row r="373">
      <c r="O373" s="230"/>
      <c r="P373" s="230"/>
      <c r="Q373" s="193"/>
    </row>
    <row r="374">
      <c r="O374" s="230"/>
      <c r="P374" s="230"/>
      <c r="Q374" s="193"/>
    </row>
    <row r="375">
      <c r="O375" s="230"/>
      <c r="P375" s="230"/>
      <c r="Q375" s="193"/>
    </row>
    <row r="376">
      <c r="O376" s="230"/>
      <c r="P376" s="230"/>
      <c r="Q376" s="193"/>
    </row>
    <row r="377">
      <c r="O377" s="230"/>
      <c r="P377" s="230"/>
      <c r="Q377" s="193"/>
    </row>
    <row r="378">
      <c r="O378" s="230"/>
      <c r="P378" s="230"/>
      <c r="Q378" s="193"/>
    </row>
    <row r="379">
      <c r="O379" s="230"/>
      <c r="P379" s="230"/>
      <c r="Q379" s="193"/>
    </row>
    <row r="380">
      <c r="O380" s="230"/>
      <c r="P380" s="230"/>
      <c r="Q380" s="193"/>
    </row>
    <row r="381">
      <c r="O381" s="230"/>
      <c r="P381" s="230"/>
      <c r="Q381" s="193"/>
    </row>
    <row r="382">
      <c r="O382" s="230"/>
      <c r="P382" s="230"/>
      <c r="Q382" s="193"/>
    </row>
    <row r="383">
      <c r="O383" s="230"/>
      <c r="P383" s="230"/>
      <c r="Q383" s="193"/>
    </row>
    <row r="384">
      <c r="O384" s="230"/>
      <c r="P384" s="230"/>
      <c r="Q384" s="193"/>
    </row>
    <row r="385">
      <c r="O385" s="230"/>
      <c r="P385" s="230"/>
      <c r="Q385" s="193"/>
    </row>
    <row r="386">
      <c r="O386" s="230"/>
      <c r="P386" s="230"/>
      <c r="Q386" s="193"/>
    </row>
    <row r="387">
      <c r="O387" s="230"/>
      <c r="P387" s="230"/>
      <c r="Q387" s="193"/>
    </row>
    <row r="388">
      <c r="O388" s="230"/>
      <c r="P388" s="230"/>
      <c r="Q388" s="193"/>
    </row>
    <row r="389">
      <c r="O389" s="230"/>
      <c r="P389" s="230"/>
      <c r="Q389" s="193"/>
    </row>
    <row r="390">
      <c r="O390" s="230"/>
      <c r="P390" s="230"/>
      <c r="Q390" s="193"/>
    </row>
    <row r="391">
      <c r="O391" s="230"/>
      <c r="P391" s="230"/>
      <c r="Q391" s="193"/>
    </row>
    <row r="392">
      <c r="O392" s="230"/>
      <c r="P392" s="230"/>
      <c r="Q392" s="193"/>
    </row>
    <row r="393">
      <c r="O393" s="230"/>
      <c r="P393" s="230"/>
      <c r="Q393" s="193"/>
    </row>
    <row r="394">
      <c r="O394" s="230"/>
      <c r="P394" s="230"/>
      <c r="Q394" s="193"/>
    </row>
    <row r="395">
      <c r="O395" s="230"/>
      <c r="P395" s="230"/>
      <c r="Q395" s="193"/>
    </row>
    <row r="396">
      <c r="O396" s="230"/>
      <c r="P396" s="230"/>
      <c r="Q396" s="193"/>
    </row>
    <row r="397">
      <c r="O397" s="230"/>
      <c r="P397" s="230"/>
      <c r="Q397" s="193"/>
    </row>
    <row r="398">
      <c r="O398" s="230"/>
      <c r="P398" s="230"/>
      <c r="Q398" s="193"/>
    </row>
    <row r="399">
      <c r="O399" s="230"/>
      <c r="P399" s="230"/>
      <c r="Q399" s="193"/>
    </row>
    <row r="400">
      <c r="O400" s="230"/>
      <c r="P400" s="230"/>
      <c r="Q400" s="193"/>
    </row>
    <row r="401">
      <c r="O401" s="230"/>
      <c r="P401" s="230"/>
      <c r="Q401" s="193"/>
    </row>
    <row r="402">
      <c r="O402" s="230"/>
      <c r="P402" s="230"/>
      <c r="Q402" s="193"/>
    </row>
    <row r="403">
      <c r="O403" s="230"/>
      <c r="P403" s="230"/>
      <c r="Q403" s="193"/>
    </row>
    <row r="404">
      <c r="O404" s="230"/>
      <c r="P404" s="230"/>
      <c r="Q404" s="193"/>
    </row>
    <row r="405">
      <c r="O405" s="230"/>
      <c r="P405" s="230"/>
      <c r="Q405" s="193"/>
    </row>
    <row r="406">
      <c r="O406" s="230"/>
      <c r="P406" s="230"/>
      <c r="Q406" s="193"/>
    </row>
    <row r="407">
      <c r="O407" s="230"/>
      <c r="P407" s="230"/>
      <c r="Q407" s="193"/>
    </row>
    <row r="408">
      <c r="O408" s="230"/>
      <c r="P408" s="230"/>
      <c r="Q408" s="193"/>
    </row>
    <row r="409">
      <c r="O409" s="230"/>
      <c r="P409" s="230"/>
      <c r="Q409" s="193"/>
    </row>
    <row r="410">
      <c r="O410" s="230"/>
      <c r="P410" s="230"/>
      <c r="Q410" s="193"/>
    </row>
    <row r="411">
      <c r="O411" s="230"/>
      <c r="P411" s="230"/>
      <c r="Q411" s="193"/>
    </row>
    <row r="412">
      <c r="O412" s="230"/>
      <c r="P412" s="230"/>
      <c r="Q412" s="193"/>
    </row>
    <row r="413">
      <c r="O413" s="230"/>
      <c r="P413" s="230"/>
      <c r="Q413" s="193"/>
    </row>
    <row r="414">
      <c r="O414" s="230"/>
      <c r="P414" s="230"/>
      <c r="Q414" s="193"/>
    </row>
    <row r="415">
      <c r="O415" s="230"/>
      <c r="P415" s="230"/>
      <c r="Q415" s="193"/>
    </row>
    <row r="416">
      <c r="O416" s="230"/>
      <c r="P416" s="230"/>
      <c r="Q416" s="193"/>
    </row>
    <row r="417">
      <c r="O417" s="230"/>
      <c r="P417" s="230"/>
      <c r="Q417" s="193"/>
    </row>
    <row r="418">
      <c r="O418" s="230"/>
      <c r="P418" s="230"/>
      <c r="Q418" s="193"/>
    </row>
    <row r="419">
      <c r="O419" s="230"/>
      <c r="P419" s="230"/>
      <c r="Q419" s="193"/>
    </row>
    <row r="420">
      <c r="O420" s="230"/>
      <c r="P420" s="230"/>
      <c r="Q420" s="193"/>
    </row>
    <row r="421">
      <c r="O421" s="230"/>
      <c r="P421" s="230"/>
      <c r="Q421" s="193"/>
    </row>
    <row r="422">
      <c r="O422" s="230"/>
      <c r="P422" s="230"/>
      <c r="Q422" s="193"/>
    </row>
    <row r="423">
      <c r="O423" s="230"/>
      <c r="P423" s="230"/>
      <c r="Q423" s="193"/>
    </row>
    <row r="424">
      <c r="O424" s="230"/>
      <c r="P424" s="230"/>
      <c r="Q424" s="193"/>
    </row>
    <row r="425">
      <c r="O425" s="230"/>
      <c r="P425" s="230"/>
      <c r="Q425" s="193"/>
    </row>
    <row r="426">
      <c r="O426" s="230"/>
      <c r="P426" s="230"/>
      <c r="Q426" s="193"/>
    </row>
    <row r="427">
      <c r="O427" s="230"/>
      <c r="P427" s="230"/>
      <c r="Q427" s="193"/>
    </row>
    <row r="428">
      <c r="O428" s="230"/>
      <c r="P428" s="230"/>
      <c r="Q428" s="193"/>
    </row>
    <row r="429">
      <c r="O429" s="230"/>
      <c r="P429" s="230"/>
      <c r="Q429" s="193"/>
    </row>
    <row r="430">
      <c r="O430" s="230"/>
      <c r="P430" s="230"/>
      <c r="Q430" s="193"/>
    </row>
    <row r="431">
      <c r="O431" s="230"/>
      <c r="P431" s="230"/>
      <c r="Q431" s="193"/>
    </row>
    <row r="432">
      <c r="O432" s="230"/>
      <c r="P432" s="230"/>
      <c r="Q432" s="193"/>
    </row>
    <row r="433">
      <c r="O433" s="230"/>
      <c r="P433" s="230"/>
      <c r="Q433" s="193"/>
    </row>
    <row r="434">
      <c r="O434" s="230"/>
      <c r="P434" s="230"/>
      <c r="Q434" s="193"/>
    </row>
    <row r="435">
      <c r="O435" s="230"/>
      <c r="P435" s="230"/>
      <c r="Q435" s="193"/>
    </row>
    <row r="436">
      <c r="O436" s="230"/>
      <c r="P436" s="230"/>
      <c r="Q436" s="193"/>
    </row>
    <row r="437">
      <c r="O437" s="230"/>
      <c r="P437" s="230"/>
      <c r="Q437" s="193"/>
    </row>
    <row r="438">
      <c r="O438" s="230"/>
      <c r="P438" s="230"/>
      <c r="Q438" s="193"/>
    </row>
    <row r="439">
      <c r="O439" s="230"/>
      <c r="P439" s="230"/>
      <c r="Q439" s="193"/>
    </row>
    <row r="440">
      <c r="O440" s="230"/>
      <c r="P440" s="230"/>
      <c r="Q440" s="193"/>
    </row>
    <row r="441">
      <c r="O441" s="230"/>
      <c r="P441" s="230"/>
      <c r="Q441" s="193"/>
    </row>
    <row r="442">
      <c r="O442" s="230"/>
      <c r="P442" s="230"/>
      <c r="Q442" s="193"/>
    </row>
    <row r="443">
      <c r="O443" s="230"/>
      <c r="P443" s="230"/>
      <c r="Q443" s="193"/>
    </row>
    <row r="444">
      <c r="O444" s="230"/>
      <c r="P444" s="230"/>
      <c r="Q444" s="193"/>
    </row>
    <row r="445">
      <c r="O445" s="230"/>
      <c r="P445" s="230"/>
      <c r="Q445" s="193"/>
    </row>
    <row r="446">
      <c r="O446" s="230"/>
      <c r="P446" s="230"/>
      <c r="Q446" s="193"/>
    </row>
    <row r="447">
      <c r="O447" s="230"/>
      <c r="P447" s="230"/>
      <c r="Q447" s="193"/>
    </row>
    <row r="448">
      <c r="O448" s="230"/>
      <c r="P448" s="230"/>
      <c r="Q448" s="193"/>
    </row>
    <row r="449">
      <c r="O449" s="230"/>
      <c r="P449" s="230"/>
      <c r="Q449" s="193"/>
    </row>
    <row r="450">
      <c r="O450" s="230"/>
      <c r="P450" s="230"/>
      <c r="Q450" s="193"/>
    </row>
    <row r="451">
      <c r="O451" s="230"/>
      <c r="P451" s="230"/>
      <c r="Q451" s="193"/>
    </row>
    <row r="452">
      <c r="O452" s="230"/>
      <c r="P452" s="230"/>
      <c r="Q452" s="193"/>
    </row>
    <row r="453">
      <c r="O453" s="230"/>
      <c r="P453" s="230"/>
      <c r="Q453" s="193"/>
    </row>
    <row r="454">
      <c r="O454" s="230"/>
      <c r="P454" s="230"/>
      <c r="Q454" s="193"/>
    </row>
    <row r="455">
      <c r="O455" s="230"/>
      <c r="P455" s="230"/>
      <c r="Q455" s="193"/>
    </row>
    <row r="456">
      <c r="O456" s="230"/>
      <c r="P456" s="230"/>
      <c r="Q456" s="193"/>
    </row>
    <row r="457">
      <c r="O457" s="230"/>
      <c r="P457" s="230"/>
      <c r="Q457" s="193"/>
    </row>
    <row r="458">
      <c r="O458" s="230"/>
      <c r="P458" s="230"/>
      <c r="Q458" s="193"/>
    </row>
    <row r="459">
      <c r="O459" s="230"/>
      <c r="P459" s="230"/>
      <c r="Q459" s="193"/>
    </row>
    <row r="460">
      <c r="O460" s="230"/>
      <c r="P460" s="230"/>
      <c r="Q460" s="193"/>
    </row>
    <row r="461">
      <c r="O461" s="230"/>
      <c r="P461" s="230"/>
      <c r="Q461" s="193"/>
    </row>
    <row r="462">
      <c r="O462" s="230"/>
      <c r="P462" s="230"/>
      <c r="Q462" s="193"/>
    </row>
    <row r="463">
      <c r="O463" s="230"/>
      <c r="P463" s="230"/>
      <c r="Q463" s="193"/>
    </row>
    <row r="464">
      <c r="O464" s="230"/>
      <c r="P464" s="230"/>
      <c r="Q464" s="193"/>
    </row>
    <row r="465">
      <c r="O465" s="230"/>
      <c r="P465" s="230"/>
      <c r="Q465" s="193"/>
    </row>
    <row r="466">
      <c r="O466" s="230"/>
      <c r="P466" s="230"/>
      <c r="Q466" s="193"/>
    </row>
    <row r="467">
      <c r="O467" s="230"/>
      <c r="P467" s="230"/>
      <c r="Q467" s="193"/>
    </row>
    <row r="468">
      <c r="O468" s="230"/>
      <c r="P468" s="230"/>
      <c r="Q468" s="193"/>
    </row>
    <row r="469">
      <c r="O469" s="230"/>
      <c r="P469" s="230"/>
      <c r="Q469" s="193"/>
    </row>
    <row r="470">
      <c r="O470" s="230"/>
      <c r="P470" s="230"/>
      <c r="Q470" s="193"/>
    </row>
    <row r="471">
      <c r="O471" s="230"/>
      <c r="P471" s="230"/>
      <c r="Q471" s="193"/>
    </row>
    <row r="472">
      <c r="O472" s="230"/>
      <c r="P472" s="230"/>
      <c r="Q472" s="193"/>
    </row>
    <row r="473">
      <c r="O473" s="230"/>
      <c r="P473" s="230"/>
      <c r="Q473" s="193"/>
    </row>
    <row r="474">
      <c r="O474" s="230"/>
      <c r="P474" s="230"/>
      <c r="Q474" s="193"/>
    </row>
    <row r="475">
      <c r="O475" s="230"/>
      <c r="P475" s="230"/>
      <c r="Q475" s="193"/>
    </row>
    <row r="476">
      <c r="O476" s="230"/>
      <c r="P476" s="230"/>
      <c r="Q476" s="193"/>
    </row>
    <row r="477">
      <c r="O477" s="230"/>
      <c r="P477" s="230"/>
      <c r="Q477" s="193"/>
    </row>
    <row r="478">
      <c r="O478" s="230"/>
      <c r="P478" s="230"/>
      <c r="Q478" s="193"/>
    </row>
    <row r="479">
      <c r="O479" s="230"/>
      <c r="P479" s="230"/>
      <c r="Q479" s="193"/>
    </row>
    <row r="480">
      <c r="O480" s="230"/>
      <c r="P480" s="230"/>
      <c r="Q480" s="193"/>
    </row>
    <row r="481">
      <c r="O481" s="230"/>
      <c r="P481" s="230"/>
      <c r="Q481" s="193"/>
    </row>
    <row r="482">
      <c r="O482" s="230"/>
      <c r="P482" s="230"/>
      <c r="Q482" s="193"/>
    </row>
    <row r="483">
      <c r="O483" s="230"/>
      <c r="P483" s="230"/>
      <c r="Q483" s="193"/>
    </row>
    <row r="484">
      <c r="O484" s="230"/>
      <c r="P484" s="230"/>
      <c r="Q484" s="193"/>
    </row>
    <row r="485">
      <c r="O485" s="230"/>
      <c r="P485" s="230"/>
      <c r="Q485" s="193"/>
    </row>
    <row r="486">
      <c r="O486" s="230"/>
      <c r="P486" s="230"/>
      <c r="Q486" s="193"/>
    </row>
    <row r="487">
      <c r="O487" s="230"/>
      <c r="P487" s="230"/>
      <c r="Q487" s="193"/>
    </row>
    <row r="488">
      <c r="O488" s="230"/>
      <c r="P488" s="230"/>
      <c r="Q488" s="193"/>
    </row>
    <row r="489">
      <c r="O489" s="230"/>
      <c r="P489" s="230"/>
      <c r="Q489" s="193"/>
    </row>
    <row r="490">
      <c r="O490" s="230"/>
      <c r="P490" s="230"/>
      <c r="Q490" s="193"/>
    </row>
    <row r="491">
      <c r="O491" s="230"/>
      <c r="P491" s="230"/>
      <c r="Q491" s="193"/>
    </row>
    <row r="492">
      <c r="O492" s="230"/>
      <c r="P492" s="230"/>
      <c r="Q492" s="193"/>
    </row>
    <row r="493">
      <c r="O493" s="230"/>
      <c r="P493" s="230"/>
      <c r="Q493" s="193"/>
    </row>
    <row r="494">
      <c r="O494" s="230"/>
      <c r="P494" s="230"/>
      <c r="Q494" s="193"/>
    </row>
    <row r="495">
      <c r="O495" s="230"/>
      <c r="P495" s="230"/>
      <c r="Q495" s="193"/>
    </row>
    <row r="496">
      <c r="O496" s="230"/>
      <c r="P496" s="230"/>
      <c r="Q496" s="193"/>
    </row>
    <row r="497">
      <c r="O497" s="230"/>
      <c r="P497" s="230"/>
      <c r="Q497" s="193"/>
    </row>
    <row r="498">
      <c r="O498" s="230"/>
      <c r="P498" s="230"/>
      <c r="Q498" s="193"/>
    </row>
    <row r="499">
      <c r="O499" s="230"/>
      <c r="P499" s="230"/>
      <c r="Q499" s="193"/>
    </row>
    <row r="500">
      <c r="O500" s="230"/>
      <c r="P500" s="230"/>
      <c r="Q500" s="193"/>
    </row>
    <row r="501">
      <c r="O501" s="230"/>
      <c r="P501" s="230"/>
      <c r="Q501" s="193"/>
    </row>
    <row r="502">
      <c r="O502" s="230"/>
      <c r="P502" s="230"/>
      <c r="Q502" s="193"/>
    </row>
    <row r="503">
      <c r="O503" s="230"/>
      <c r="P503" s="230"/>
      <c r="Q503" s="193"/>
    </row>
    <row r="504">
      <c r="O504" s="230"/>
      <c r="P504" s="230"/>
      <c r="Q504" s="193"/>
    </row>
    <row r="505">
      <c r="O505" s="230"/>
      <c r="P505" s="230"/>
      <c r="Q505" s="193"/>
    </row>
    <row r="506">
      <c r="O506" s="230"/>
      <c r="P506" s="230"/>
      <c r="Q506" s="193"/>
    </row>
    <row r="507">
      <c r="O507" s="230"/>
      <c r="P507" s="230"/>
      <c r="Q507" s="193"/>
    </row>
    <row r="508">
      <c r="O508" s="230"/>
      <c r="P508" s="230"/>
      <c r="Q508" s="193"/>
    </row>
    <row r="509">
      <c r="O509" s="230"/>
      <c r="P509" s="230"/>
      <c r="Q509" s="193"/>
    </row>
    <row r="510">
      <c r="O510" s="230"/>
      <c r="P510" s="230"/>
      <c r="Q510" s="193"/>
    </row>
    <row r="511">
      <c r="O511" s="230"/>
      <c r="P511" s="230"/>
      <c r="Q511" s="193"/>
    </row>
    <row r="512">
      <c r="O512" s="230"/>
      <c r="P512" s="230"/>
      <c r="Q512" s="193"/>
    </row>
    <row r="513">
      <c r="O513" s="230"/>
      <c r="P513" s="230"/>
      <c r="Q513" s="193"/>
    </row>
    <row r="514">
      <c r="O514" s="230"/>
      <c r="P514" s="230"/>
      <c r="Q514" s="193"/>
    </row>
    <row r="515">
      <c r="O515" s="230"/>
      <c r="P515" s="230"/>
      <c r="Q515" s="193"/>
    </row>
    <row r="516">
      <c r="O516" s="230"/>
      <c r="P516" s="230"/>
      <c r="Q516" s="193"/>
    </row>
    <row r="517">
      <c r="O517" s="230"/>
      <c r="P517" s="230"/>
      <c r="Q517" s="193"/>
    </row>
    <row r="518">
      <c r="O518" s="230"/>
      <c r="P518" s="230"/>
      <c r="Q518" s="193"/>
    </row>
    <row r="519">
      <c r="O519" s="230"/>
      <c r="P519" s="230"/>
      <c r="Q519" s="193"/>
    </row>
    <row r="520">
      <c r="O520" s="230"/>
      <c r="P520" s="230"/>
      <c r="Q520" s="193"/>
    </row>
    <row r="521">
      <c r="O521" s="230"/>
      <c r="P521" s="230"/>
      <c r="Q521" s="193"/>
    </row>
    <row r="522">
      <c r="O522" s="230"/>
      <c r="P522" s="230"/>
      <c r="Q522" s="193"/>
    </row>
    <row r="523">
      <c r="O523" s="230"/>
      <c r="P523" s="230"/>
      <c r="Q523" s="193"/>
    </row>
    <row r="524">
      <c r="O524" s="230"/>
      <c r="P524" s="230"/>
      <c r="Q524" s="193"/>
    </row>
    <row r="525">
      <c r="O525" s="230"/>
      <c r="P525" s="230"/>
      <c r="Q525" s="193"/>
    </row>
    <row r="526">
      <c r="O526" s="230"/>
      <c r="P526" s="230"/>
      <c r="Q526" s="193"/>
    </row>
    <row r="527">
      <c r="O527" s="230"/>
      <c r="P527" s="230"/>
      <c r="Q527" s="193"/>
    </row>
    <row r="528">
      <c r="O528" s="230"/>
      <c r="P528" s="230"/>
      <c r="Q528" s="193"/>
    </row>
    <row r="529">
      <c r="O529" s="230"/>
      <c r="P529" s="230"/>
      <c r="Q529" s="193"/>
    </row>
    <row r="530">
      <c r="O530" s="230"/>
      <c r="P530" s="230"/>
      <c r="Q530" s="193"/>
    </row>
    <row r="531">
      <c r="O531" s="230"/>
      <c r="P531" s="230"/>
      <c r="Q531" s="193"/>
    </row>
    <row r="532">
      <c r="O532" s="230"/>
      <c r="P532" s="230"/>
      <c r="Q532" s="193"/>
    </row>
    <row r="533">
      <c r="O533" s="230"/>
      <c r="P533" s="230"/>
      <c r="Q533" s="193"/>
    </row>
    <row r="534">
      <c r="O534" s="230"/>
      <c r="P534" s="230"/>
      <c r="Q534" s="193"/>
    </row>
    <row r="535">
      <c r="O535" s="230"/>
      <c r="P535" s="230"/>
      <c r="Q535" s="193"/>
    </row>
    <row r="536">
      <c r="O536" s="230"/>
      <c r="P536" s="230"/>
      <c r="Q536" s="193"/>
    </row>
    <row r="537">
      <c r="O537" s="230"/>
      <c r="P537" s="230"/>
      <c r="Q537" s="193"/>
    </row>
    <row r="538">
      <c r="O538" s="230"/>
      <c r="P538" s="230"/>
      <c r="Q538" s="193"/>
    </row>
    <row r="539">
      <c r="O539" s="230"/>
      <c r="P539" s="230"/>
      <c r="Q539" s="193"/>
    </row>
    <row r="540">
      <c r="O540" s="230"/>
      <c r="P540" s="230"/>
      <c r="Q540" s="193"/>
    </row>
    <row r="541">
      <c r="O541" s="230"/>
      <c r="P541" s="230"/>
      <c r="Q541" s="193"/>
    </row>
    <row r="542">
      <c r="O542" s="230"/>
      <c r="P542" s="230"/>
      <c r="Q542" s="193"/>
    </row>
    <row r="543">
      <c r="O543" s="230"/>
      <c r="P543" s="230"/>
      <c r="Q543" s="193"/>
    </row>
    <row r="544">
      <c r="O544" s="230"/>
      <c r="P544" s="230"/>
      <c r="Q544" s="193"/>
    </row>
    <row r="545">
      <c r="O545" s="230"/>
      <c r="P545" s="230"/>
      <c r="Q545" s="193"/>
    </row>
    <row r="546">
      <c r="O546" s="230"/>
      <c r="P546" s="230"/>
      <c r="Q546" s="193"/>
    </row>
    <row r="547">
      <c r="O547" s="230"/>
      <c r="P547" s="230"/>
      <c r="Q547" s="193"/>
    </row>
    <row r="548">
      <c r="O548" s="230"/>
      <c r="P548" s="230"/>
      <c r="Q548" s="193"/>
    </row>
    <row r="549">
      <c r="O549" s="230"/>
      <c r="P549" s="230"/>
      <c r="Q549" s="193"/>
    </row>
    <row r="550">
      <c r="O550" s="230"/>
      <c r="P550" s="230"/>
      <c r="Q550" s="193"/>
    </row>
    <row r="551">
      <c r="O551" s="230"/>
      <c r="P551" s="230"/>
      <c r="Q551" s="193"/>
    </row>
    <row r="552">
      <c r="O552" s="230"/>
      <c r="P552" s="230"/>
      <c r="Q552" s="193"/>
    </row>
    <row r="553">
      <c r="O553" s="230"/>
      <c r="P553" s="230"/>
      <c r="Q553" s="193"/>
    </row>
    <row r="554">
      <c r="O554" s="230"/>
      <c r="P554" s="230"/>
      <c r="Q554" s="193"/>
    </row>
    <row r="555">
      <c r="O555" s="230"/>
      <c r="P555" s="230"/>
      <c r="Q555" s="193"/>
    </row>
    <row r="556">
      <c r="O556" s="230"/>
      <c r="P556" s="230"/>
      <c r="Q556" s="193"/>
    </row>
    <row r="557">
      <c r="O557" s="230"/>
      <c r="P557" s="230"/>
      <c r="Q557" s="193"/>
    </row>
    <row r="558">
      <c r="O558" s="230"/>
      <c r="P558" s="230"/>
      <c r="Q558" s="193"/>
    </row>
    <row r="559">
      <c r="O559" s="230"/>
      <c r="P559" s="230"/>
      <c r="Q559" s="193"/>
    </row>
    <row r="560">
      <c r="O560" s="230"/>
      <c r="P560" s="230"/>
      <c r="Q560" s="193"/>
    </row>
    <row r="561">
      <c r="O561" s="230"/>
      <c r="P561" s="230"/>
      <c r="Q561" s="193"/>
    </row>
    <row r="562">
      <c r="O562" s="230"/>
      <c r="P562" s="230"/>
      <c r="Q562" s="193"/>
    </row>
    <row r="563">
      <c r="O563" s="230"/>
      <c r="P563" s="230"/>
      <c r="Q563" s="193"/>
    </row>
    <row r="564">
      <c r="O564" s="230"/>
      <c r="P564" s="230"/>
      <c r="Q564" s="193"/>
    </row>
    <row r="565">
      <c r="O565" s="230"/>
      <c r="P565" s="230"/>
      <c r="Q565" s="193"/>
    </row>
    <row r="566">
      <c r="O566" s="230"/>
      <c r="P566" s="230"/>
      <c r="Q566" s="193"/>
    </row>
    <row r="567">
      <c r="O567" s="230"/>
      <c r="P567" s="230"/>
      <c r="Q567" s="193"/>
    </row>
    <row r="568">
      <c r="O568" s="230"/>
      <c r="P568" s="230"/>
      <c r="Q568" s="193"/>
    </row>
    <row r="569">
      <c r="O569" s="230"/>
      <c r="P569" s="230"/>
      <c r="Q569" s="193"/>
    </row>
    <row r="570">
      <c r="O570" s="230"/>
      <c r="P570" s="230"/>
      <c r="Q570" s="193"/>
    </row>
    <row r="571">
      <c r="O571" s="230"/>
      <c r="P571" s="230"/>
      <c r="Q571" s="193"/>
    </row>
    <row r="572">
      <c r="O572" s="230"/>
      <c r="P572" s="230"/>
      <c r="Q572" s="193"/>
    </row>
    <row r="573">
      <c r="O573" s="230"/>
      <c r="P573" s="230"/>
      <c r="Q573" s="193"/>
    </row>
    <row r="574">
      <c r="O574" s="230"/>
      <c r="P574" s="230"/>
      <c r="Q574" s="193"/>
    </row>
    <row r="575">
      <c r="O575" s="230"/>
      <c r="P575" s="230"/>
      <c r="Q575" s="193"/>
    </row>
    <row r="576">
      <c r="O576" s="230"/>
      <c r="P576" s="230"/>
      <c r="Q576" s="193"/>
    </row>
    <row r="577">
      <c r="O577" s="230"/>
      <c r="P577" s="230"/>
      <c r="Q577" s="193"/>
    </row>
    <row r="578">
      <c r="O578" s="230"/>
      <c r="P578" s="230"/>
      <c r="Q578" s="193"/>
    </row>
    <row r="579">
      <c r="O579" s="230"/>
      <c r="P579" s="230"/>
      <c r="Q579" s="193"/>
    </row>
    <row r="580">
      <c r="O580" s="230"/>
      <c r="P580" s="230"/>
      <c r="Q580" s="193"/>
    </row>
    <row r="581">
      <c r="O581" s="230"/>
      <c r="P581" s="230"/>
      <c r="Q581" s="193"/>
    </row>
    <row r="582">
      <c r="O582" s="230"/>
      <c r="P582" s="230"/>
      <c r="Q582" s="193"/>
    </row>
    <row r="583">
      <c r="O583" s="230"/>
      <c r="P583" s="230"/>
      <c r="Q583" s="193"/>
    </row>
    <row r="584">
      <c r="O584" s="230"/>
      <c r="P584" s="230"/>
      <c r="Q584" s="193"/>
    </row>
    <row r="585">
      <c r="O585" s="230"/>
      <c r="P585" s="230"/>
      <c r="Q585" s="193"/>
    </row>
    <row r="586">
      <c r="O586" s="230"/>
      <c r="P586" s="230"/>
      <c r="Q586" s="193"/>
    </row>
    <row r="587">
      <c r="O587" s="230"/>
      <c r="P587" s="230"/>
      <c r="Q587" s="193"/>
    </row>
    <row r="588">
      <c r="O588" s="230"/>
      <c r="P588" s="230"/>
      <c r="Q588" s="193"/>
    </row>
    <row r="589">
      <c r="O589" s="230"/>
      <c r="P589" s="230"/>
      <c r="Q589" s="193"/>
    </row>
    <row r="590">
      <c r="O590" s="230"/>
      <c r="P590" s="230"/>
      <c r="Q590" s="193"/>
    </row>
    <row r="591">
      <c r="O591" s="230"/>
      <c r="P591" s="230"/>
      <c r="Q591" s="193"/>
    </row>
    <row r="592">
      <c r="O592" s="230"/>
      <c r="P592" s="230"/>
      <c r="Q592" s="193"/>
    </row>
    <row r="593">
      <c r="O593" s="230"/>
      <c r="P593" s="230"/>
      <c r="Q593" s="193"/>
    </row>
    <row r="594">
      <c r="O594" s="230"/>
      <c r="P594" s="230"/>
      <c r="Q594" s="193"/>
    </row>
    <row r="595">
      <c r="O595" s="230"/>
      <c r="P595" s="230"/>
      <c r="Q595" s="193"/>
    </row>
    <row r="596">
      <c r="O596" s="230"/>
      <c r="P596" s="230"/>
      <c r="Q596" s="193"/>
    </row>
    <row r="597">
      <c r="O597" s="230"/>
      <c r="P597" s="230"/>
      <c r="Q597" s="193"/>
    </row>
    <row r="598">
      <c r="O598" s="230"/>
      <c r="P598" s="230"/>
      <c r="Q598" s="193"/>
    </row>
    <row r="599">
      <c r="O599" s="230"/>
      <c r="P599" s="230"/>
      <c r="Q599" s="193"/>
    </row>
    <row r="600">
      <c r="O600" s="230"/>
      <c r="P600" s="230"/>
      <c r="Q600" s="193"/>
    </row>
    <row r="601">
      <c r="O601" s="230"/>
      <c r="P601" s="230"/>
      <c r="Q601" s="193"/>
    </row>
    <row r="602">
      <c r="O602" s="230"/>
      <c r="P602" s="230"/>
      <c r="Q602" s="193"/>
    </row>
    <row r="603">
      <c r="O603" s="230"/>
      <c r="P603" s="230"/>
      <c r="Q603" s="193"/>
    </row>
    <row r="604">
      <c r="O604" s="230"/>
      <c r="P604" s="230"/>
      <c r="Q604" s="193"/>
    </row>
    <row r="605">
      <c r="O605" s="230"/>
      <c r="P605" s="230"/>
      <c r="Q605" s="193"/>
    </row>
    <row r="606">
      <c r="O606" s="230"/>
      <c r="P606" s="230"/>
      <c r="Q606" s="193"/>
    </row>
    <row r="607">
      <c r="O607" s="230"/>
      <c r="P607" s="230"/>
      <c r="Q607" s="193"/>
    </row>
    <row r="608">
      <c r="O608" s="230"/>
      <c r="P608" s="230"/>
      <c r="Q608" s="193"/>
    </row>
    <row r="609">
      <c r="O609" s="230"/>
      <c r="P609" s="230"/>
      <c r="Q609" s="193"/>
    </row>
    <row r="610">
      <c r="O610" s="230"/>
      <c r="P610" s="230"/>
      <c r="Q610" s="193"/>
    </row>
    <row r="611">
      <c r="O611" s="230"/>
      <c r="P611" s="230"/>
      <c r="Q611" s="193"/>
    </row>
    <row r="612">
      <c r="O612" s="230"/>
      <c r="P612" s="230"/>
      <c r="Q612" s="193"/>
    </row>
    <row r="613">
      <c r="O613" s="230"/>
      <c r="P613" s="230"/>
      <c r="Q613" s="193"/>
    </row>
    <row r="614">
      <c r="O614" s="230"/>
      <c r="P614" s="230"/>
      <c r="Q614" s="193"/>
    </row>
    <row r="615">
      <c r="O615" s="230"/>
      <c r="P615" s="230"/>
      <c r="Q615" s="193"/>
    </row>
    <row r="616">
      <c r="O616" s="230"/>
      <c r="P616" s="230"/>
      <c r="Q616" s="193"/>
    </row>
    <row r="617">
      <c r="O617" s="230"/>
      <c r="P617" s="230"/>
      <c r="Q617" s="193"/>
    </row>
    <row r="618">
      <c r="O618" s="230"/>
      <c r="P618" s="230"/>
      <c r="Q618" s="193"/>
    </row>
    <row r="619">
      <c r="O619" s="230"/>
      <c r="P619" s="230"/>
      <c r="Q619" s="193"/>
    </row>
    <row r="620">
      <c r="O620" s="230"/>
      <c r="P620" s="230"/>
      <c r="Q620" s="193"/>
    </row>
    <row r="621">
      <c r="O621" s="230"/>
      <c r="P621" s="230"/>
      <c r="Q621" s="193"/>
    </row>
    <row r="622">
      <c r="O622" s="230"/>
      <c r="P622" s="230"/>
      <c r="Q622" s="193"/>
    </row>
    <row r="623">
      <c r="O623" s="230"/>
      <c r="P623" s="230"/>
      <c r="Q623" s="193"/>
    </row>
    <row r="624">
      <c r="O624" s="230"/>
      <c r="P624" s="230"/>
      <c r="Q624" s="193"/>
    </row>
    <row r="625">
      <c r="O625" s="230"/>
      <c r="P625" s="230"/>
      <c r="Q625" s="193"/>
    </row>
    <row r="626">
      <c r="O626" s="230"/>
      <c r="P626" s="230"/>
      <c r="Q626" s="193"/>
    </row>
    <row r="627">
      <c r="O627" s="230"/>
      <c r="P627" s="230"/>
      <c r="Q627" s="193"/>
    </row>
    <row r="628">
      <c r="O628" s="230"/>
      <c r="P628" s="230"/>
      <c r="Q628" s="193"/>
    </row>
    <row r="629">
      <c r="O629" s="230"/>
      <c r="P629" s="230"/>
      <c r="Q629" s="193"/>
    </row>
    <row r="630">
      <c r="O630" s="230"/>
      <c r="P630" s="230"/>
      <c r="Q630" s="193"/>
    </row>
    <row r="631">
      <c r="O631" s="230"/>
      <c r="P631" s="230"/>
      <c r="Q631" s="193"/>
    </row>
    <row r="632">
      <c r="O632" s="230"/>
      <c r="P632" s="230"/>
      <c r="Q632" s="193"/>
    </row>
    <row r="633">
      <c r="O633" s="230"/>
      <c r="P633" s="230"/>
      <c r="Q633" s="193"/>
    </row>
    <row r="634">
      <c r="O634" s="230"/>
      <c r="P634" s="230"/>
      <c r="Q634" s="193"/>
    </row>
    <row r="635">
      <c r="O635" s="230"/>
      <c r="P635" s="230"/>
      <c r="Q635" s="193"/>
    </row>
    <row r="636">
      <c r="O636" s="230"/>
      <c r="P636" s="230"/>
      <c r="Q636" s="193"/>
    </row>
    <row r="637">
      <c r="O637" s="230"/>
      <c r="P637" s="230"/>
      <c r="Q637" s="193"/>
    </row>
    <row r="638">
      <c r="O638" s="230"/>
      <c r="P638" s="230"/>
      <c r="Q638" s="193"/>
    </row>
    <row r="639">
      <c r="O639" s="230"/>
      <c r="P639" s="230"/>
      <c r="Q639" s="193"/>
    </row>
    <row r="640">
      <c r="O640" s="230"/>
      <c r="P640" s="230"/>
      <c r="Q640" s="193"/>
    </row>
    <row r="641">
      <c r="O641" s="230"/>
      <c r="P641" s="230"/>
      <c r="Q641" s="193"/>
    </row>
    <row r="642">
      <c r="O642" s="230"/>
      <c r="P642" s="230"/>
      <c r="Q642" s="193"/>
    </row>
    <row r="643">
      <c r="O643" s="230"/>
      <c r="P643" s="230"/>
      <c r="Q643" s="193"/>
    </row>
    <row r="644">
      <c r="O644" s="230"/>
      <c r="P644" s="230"/>
      <c r="Q644" s="193"/>
    </row>
    <row r="645">
      <c r="O645" s="230"/>
      <c r="P645" s="230"/>
      <c r="Q645" s="193"/>
    </row>
    <row r="646">
      <c r="O646" s="230"/>
      <c r="P646" s="230"/>
      <c r="Q646" s="193"/>
    </row>
    <row r="647">
      <c r="O647" s="230"/>
      <c r="P647" s="230"/>
      <c r="Q647" s="193"/>
    </row>
    <row r="648">
      <c r="O648" s="230"/>
      <c r="P648" s="230"/>
      <c r="Q648" s="193"/>
    </row>
    <row r="649">
      <c r="O649" s="230"/>
      <c r="P649" s="230"/>
      <c r="Q649" s="193"/>
    </row>
    <row r="650">
      <c r="O650" s="230"/>
      <c r="P650" s="230"/>
      <c r="Q650" s="193"/>
    </row>
    <row r="651">
      <c r="O651" s="230"/>
      <c r="P651" s="230"/>
      <c r="Q651" s="193"/>
    </row>
    <row r="652">
      <c r="O652" s="230"/>
      <c r="P652" s="230"/>
      <c r="Q652" s="193"/>
    </row>
    <row r="653">
      <c r="O653" s="230"/>
      <c r="P653" s="230"/>
      <c r="Q653" s="193"/>
    </row>
    <row r="654">
      <c r="O654" s="230"/>
      <c r="P654" s="230"/>
      <c r="Q654" s="193"/>
    </row>
    <row r="655">
      <c r="O655" s="230"/>
      <c r="P655" s="230"/>
      <c r="Q655" s="193"/>
    </row>
    <row r="656">
      <c r="O656" s="230"/>
      <c r="P656" s="230"/>
      <c r="Q656" s="193"/>
    </row>
    <row r="657">
      <c r="O657" s="230"/>
      <c r="P657" s="230"/>
      <c r="Q657" s="193"/>
    </row>
    <row r="658">
      <c r="O658" s="230"/>
      <c r="P658" s="230"/>
      <c r="Q658" s="193"/>
    </row>
    <row r="659">
      <c r="O659" s="230"/>
      <c r="P659" s="230"/>
      <c r="Q659" s="193"/>
    </row>
    <row r="660">
      <c r="O660" s="230"/>
      <c r="P660" s="230"/>
      <c r="Q660" s="193"/>
    </row>
    <row r="661">
      <c r="O661" s="230"/>
      <c r="P661" s="230"/>
      <c r="Q661" s="193"/>
    </row>
    <row r="662">
      <c r="O662" s="230"/>
      <c r="P662" s="230"/>
      <c r="Q662" s="193"/>
    </row>
    <row r="663">
      <c r="O663" s="230"/>
      <c r="P663" s="230"/>
      <c r="Q663" s="193"/>
    </row>
    <row r="664">
      <c r="O664" s="230"/>
      <c r="P664" s="230"/>
      <c r="Q664" s="193"/>
    </row>
    <row r="665">
      <c r="O665" s="230"/>
      <c r="P665" s="230"/>
      <c r="Q665" s="193"/>
    </row>
    <row r="666">
      <c r="O666" s="230"/>
      <c r="P666" s="230"/>
      <c r="Q666" s="193"/>
    </row>
    <row r="667">
      <c r="O667" s="230"/>
      <c r="P667" s="230"/>
      <c r="Q667" s="193"/>
    </row>
    <row r="668">
      <c r="O668" s="230"/>
      <c r="P668" s="230"/>
      <c r="Q668" s="193"/>
    </row>
    <row r="669">
      <c r="O669" s="230"/>
      <c r="P669" s="230"/>
      <c r="Q669" s="193"/>
    </row>
    <row r="670">
      <c r="O670" s="230"/>
      <c r="P670" s="230"/>
      <c r="Q670" s="193"/>
    </row>
    <row r="671">
      <c r="O671" s="230"/>
      <c r="P671" s="230"/>
      <c r="Q671" s="193"/>
    </row>
    <row r="672">
      <c r="O672" s="230"/>
      <c r="P672" s="230"/>
      <c r="Q672" s="193"/>
    </row>
    <row r="673">
      <c r="O673" s="230"/>
      <c r="P673" s="230"/>
      <c r="Q673" s="193"/>
    </row>
    <row r="674">
      <c r="O674" s="230"/>
      <c r="P674" s="230"/>
      <c r="Q674" s="193"/>
    </row>
    <row r="675">
      <c r="O675" s="230"/>
      <c r="P675" s="230"/>
      <c r="Q675" s="193"/>
    </row>
    <row r="676">
      <c r="O676" s="230"/>
      <c r="P676" s="230"/>
      <c r="Q676" s="193"/>
    </row>
    <row r="677">
      <c r="O677" s="230"/>
      <c r="P677" s="230"/>
      <c r="Q677" s="193"/>
    </row>
    <row r="678">
      <c r="O678" s="230"/>
      <c r="P678" s="230"/>
      <c r="Q678" s="193"/>
    </row>
    <row r="679">
      <c r="O679" s="230"/>
      <c r="P679" s="230"/>
      <c r="Q679" s="193"/>
    </row>
    <row r="680">
      <c r="O680" s="230"/>
      <c r="P680" s="230"/>
      <c r="Q680" s="193"/>
    </row>
    <row r="681">
      <c r="O681" s="230"/>
      <c r="P681" s="230"/>
      <c r="Q681" s="193"/>
    </row>
    <row r="682">
      <c r="O682" s="230"/>
      <c r="P682" s="230"/>
      <c r="Q682" s="193"/>
    </row>
    <row r="683">
      <c r="O683" s="230"/>
      <c r="P683" s="230"/>
      <c r="Q683" s="193"/>
    </row>
    <row r="684">
      <c r="O684" s="230"/>
      <c r="P684" s="230"/>
      <c r="Q684" s="193"/>
    </row>
    <row r="685">
      <c r="O685" s="230"/>
      <c r="P685" s="230"/>
      <c r="Q685" s="193"/>
    </row>
    <row r="686">
      <c r="O686" s="230"/>
      <c r="P686" s="230"/>
      <c r="Q686" s="193"/>
    </row>
    <row r="687">
      <c r="O687" s="230"/>
      <c r="P687" s="230"/>
      <c r="Q687" s="193"/>
    </row>
    <row r="688">
      <c r="O688" s="230"/>
      <c r="P688" s="230"/>
      <c r="Q688" s="193"/>
    </row>
    <row r="689">
      <c r="O689" s="230"/>
      <c r="P689" s="230"/>
      <c r="Q689" s="193"/>
    </row>
    <row r="690">
      <c r="O690" s="230"/>
      <c r="P690" s="230"/>
      <c r="Q690" s="193"/>
    </row>
    <row r="691">
      <c r="O691" s="230"/>
      <c r="P691" s="230"/>
      <c r="Q691" s="193"/>
    </row>
    <row r="692">
      <c r="O692" s="230"/>
      <c r="P692" s="230"/>
      <c r="Q692" s="193"/>
    </row>
    <row r="693">
      <c r="O693" s="230"/>
      <c r="P693" s="230"/>
      <c r="Q693" s="193"/>
    </row>
    <row r="694">
      <c r="O694" s="230"/>
      <c r="P694" s="230"/>
      <c r="Q694" s="193"/>
    </row>
    <row r="695">
      <c r="O695" s="230"/>
      <c r="P695" s="230"/>
      <c r="Q695" s="193"/>
    </row>
    <row r="696">
      <c r="O696" s="230"/>
      <c r="P696" s="230"/>
      <c r="Q696" s="193"/>
    </row>
    <row r="697">
      <c r="O697" s="230"/>
      <c r="P697" s="230"/>
      <c r="Q697" s="193"/>
    </row>
    <row r="698">
      <c r="O698" s="230"/>
      <c r="P698" s="230"/>
      <c r="Q698" s="193"/>
    </row>
    <row r="699">
      <c r="O699" s="230"/>
      <c r="P699" s="230"/>
      <c r="Q699" s="193"/>
    </row>
    <row r="700">
      <c r="O700" s="230"/>
      <c r="P700" s="230"/>
      <c r="Q700" s="193"/>
    </row>
    <row r="701">
      <c r="O701" s="230"/>
      <c r="P701" s="230"/>
      <c r="Q701" s="193"/>
    </row>
    <row r="702">
      <c r="O702" s="230"/>
      <c r="P702" s="230"/>
      <c r="Q702" s="193"/>
    </row>
    <row r="703">
      <c r="O703" s="230"/>
      <c r="P703" s="230"/>
      <c r="Q703" s="193"/>
    </row>
    <row r="704">
      <c r="O704" s="230"/>
      <c r="P704" s="230"/>
      <c r="Q704" s="193"/>
    </row>
    <row r="705">
      <c r="O705" s="230"/>
      <c r="P705" s="230"/>
      <c r="Q705" s="193"/>
    </row>
    <row r="706">
      <c r="O706" s="230"/>
      <c r="P706" s="230"/>
      <c r="Q706" s="193"/>
    </row>
    <row r="707">
      <c r="O707" s="230"/>
      <c r="P707" s="230"/>
      <c r="Q707" s="193"/>
    </row>
    <row r="708">
      <c r="O708" s="230"/>
      <c r="P708" s="230"/>
      <c r="Q708" s="193"/>
    </row>
    <row r="709">
      <c r="O709" s="230"/>
      <c r="P709" s="230"/>
      <c r="Q709" s="193"/>
    </row>
    <row r="710">
      <c r="O710" s="230"/>
      <c r="P710" s="230"/>
      <c r="Q710" s="193"/>
    </row>
    <row r="711">
      <c r="O711" s="230"/>
      <c r="P711" s="230"/>
      <c r="Q711" s="193"/>
    </row>
    <row r="712">
      <c r="O712" s="230"/>
      <c r="P712" s="230"/>
      <c r="Q712" s="193"/>
    </row>
    <row r="713">
      <c r="O713" s="230"/>
      <c r="P713" s="230"/>
      <c r="Q713" s="193"/>
    </row>
    <row r="714">
      <c r="O714" s="230"/>
      <c r="P714" s="230"/>
      <c r="Q714" s="193"/>
    </row>
    <row r="715">
      <c r="O715" s="230"/>
      <c r="P715" s="230"/>
      <c r="Q715" s="193"/>
    </row>
    <row r="716">
      <c r="O716" s="230"/>
      <c r="P716" s="230"/>
      <c r="Q716" s="193"/>
    </row>
    <row r="717">
      <c r="O717" s="230"/>
      <c r="P717" s="230"/>
      <c r="Q717" s="193"/>
    </row>
    <row r="718">
      <c r="O718" s="230"/>
      <c r="P718" s="230"/>
      <c r="Q718" s="193"/>
    </row>
    <row r="719">
      <c r="O719" s="230"/>
      <c r="P719" s="230"/>
      <c r="Q719" s="193"/>
    </row>
    <row r="720">
      <c r="O720" s="230"/>
      <c r="P720" s="230"/>
      <c r="Q720" s="193"/>
    </row>
    <row r="721">
      <c r="O721" s="230"/>
      <c r="P721" s="230"/>
      <c r="Q721" s="193"/>
    </row>
    <row r="722">
      <c r="O722" s="230"/>
      <c r="P722" s="230"/>
      <c r="Q722" s="193"/>
    </row>
    <row r="723">
      <c r="O723" s="230"/>
      <c r="P723" s="230"/>
      <c r="Q723" s="193"/>
    </row>
    <row r="724">
      <c r="O724" s="230"/>
      <c r="P724" s="230"/>
      <c r="Q724" s="193"/>
    </row>
    <row r="725">
      <c r="O725" s="230"/>
      <c r="P725" s="230"/>
      <c r="Q725" s="193"/>
    </row>
    <row r="726">
      <c r="O726" s="230"/>
      <c r="P726" s="230"/>
      <c r="Q726" s="193"/>
    </row>
    <row r="727">
      <c r="O727" s="230"/>
      <c r="P727" s="230"/>
      <c r="Q727" s="193"/>
    </row>
    <row r="728">
      <c r="O728" s="230"/>
      <c r="P728" s="230"/>
      <c r="Q728" s="193"/>
    </row>
    <row r="729">
      <c r="O729" s="230"/>
      <c r="P729" s="230"/>
      <c r="Q729" s="193"/>
    </row>
    <row r="730">
      <c r="O730" s="230"/>
      <c r="P730" s="230"/>
      <c r="Q730" s="193"/>
    </row>
    <row r="731">
      <c r="O731" s="230"/>
      <c r="P731" s="230"/>
      <c r="Q731" s="193"/>
    </row>
    <row r="732">
      <c r="O732" s="230"/>
      <c r="P732" s="230"/>
      <c r="Q732" s="193"/>
    </row>
    <row r="733">
      <c r="O733" s="230"/>
      <c r="P733" s="230"/>
      <c r="Q733" s="193"/>
    </row>
    <row r="734">
      <c r="O734" s="230"/>
      <c r="P734" s="230"/>
      <c r="Q734" s="193"/>
    </row>
    <row r="735">
      <c r="O735" s="230"/>
      <c r="P735" s="230"/>
      <c r="Q735" s="193"/>
    </row>
    <row r="736">
      <c r="O736" s="230"/>
      <c r="P736" s="230"/>
      <c r="Q736" s="193"/>
    </row>
    <row r="737">
      <c r="O737" s="230"/>
      <c r="P737" s="230"/>
      <c r="Q737" s="193"/>
    </row>
    <row r="738">
      <c r="O738" s="230"/>
      <c r="P738" s="230"/>
      <c r="Q738" s="193"/>
    </row>
    <row r="739">
      <c r="O739" s="230"/>
      <c r="P739" s="230"/>
      <c r="Q739" s="193"/>
    </row>
    <row r="740">
      <c r="O740" s="230"/>
      <c r="P740" s="230"/>
      <c r="Q740" s="193"/>
    </row>
    <row r="741">
      <c r="O741" s="230"/>
      <c r="P741" s="230"/>
      <c r="Q741" s="193"/>
    </row>
    <row r="742">
      <c r="O742" s="230"/>
      <c r="P742" s="230"/>
      <c r="Q742" s="193"/>
    </row>
    <row r="743">
      <c r="O743" s="230"/>
      <c r="P743" s="230"/>
      <c r="Q743" s="193"/>
    </row>
    <row r="744">
      <c r="O744" s="230"/>
      <c r="P744" s="230"/>
      <c r="Q744" s="193"/>
    </row>
    <row r="745">
      <c r="O745" s="230"/>
      <c r="P745" s="230"/>
      <c r="Q745" s="193"/>
    </row>
    <row r="746">
      <c r="O746" s="230"/>
      <c r="P746" s="230"/>
      <c r="Q746" s="193"/>
    </row>
    <row r="747">
      <c r="O747" s="230"/>
      <c r="P747" s="230"/>
      <c r="Q747" s="193"/>
    </row>
    <row r="748">
      <c r="O748" s="230"/>
      <c r="P748" s="230"/>
      <c r="Q748" s="193"/>
    </row>
    <row r="749">
      <c r="O749" s="230"/>
      <c r="P749" s="230"/>
      <c r="Q749" s="193"/>
    </row>
    <row r="750">
      <c r="O750" s="230"/>
      <c r="P750" s="230"/>
      <c r="Q750" s="193"/>
    </row>
    <row r="751">
      <c r="O751" s="230"/>
      <c r="P751" s="230"/>
      <c r="Q751" s="193"/>
    </row>
    <row r="752">
      <c r="O752" s="230"/>
      <c r="P752" s="230"/>
      <c r="Q752" s="193"/>
    </row>
    <row r="753">
      <c r="O753" s="230"/>
      <c r="P753" s="230"/>
      <c r="Q753" s="193"/>
    </row>
    <row r="754">
      <c r="O754" s="230"/>
      <c r="P754" s="230"/>
      <c r="Q754" s="193"/>
    </row>
    <row r="755">
      <c r="O755" s="230"/>
      <c r="P755" s="230"/>
      <c r="Q755" s="193"/>
    </row>
    <row r="756">
      <c r="O756" s="230"/>
      <c r="P756" s="230"/>
      <c r="Q756" s="193"/>
    </row>
    <row r="757">
      <c r="O757" s="230"/>
      <c r="P757" s="230"/>
      <c r="Q757" s="193"/>
    </row>
    <row r="758">
      <c r="O758" s="230"/>
      <c r="P758" s="230"/>
      <c r="Q758" s="193"/>
    </row>
    <row r="759">
      <c r="O759" s="230"/>
      <c r="P759" s="230"/>
      <c r="Q759" s="193"/>
    </row>
    <row r="760">
      <c r="O760" s="230"/>
      <c r="P760" s="230"/>
      <c r="Q760" s="193"/>
    </row>
    <row r="761">
      <c r="O761" s="230"/>
      <c r="P761" s="230"/>
      <c r="Q761" s="193"/>
    </row>
    <row r="762">
      <c r="O762" s="230"/>
      <c r="P762" s="230"/>
      <c r="Q762" s="193"/>
    </row>
    <row r="763">
      <c r="O763" s="230"/>
      <c r="P763" s="230"/>
      <c r="Q763" s="193"/>
    </row>
    <row r="764">
      <c r="O764" s="230"/>
      <c r="P764" s="230"/>
      <c r="Q764" s="193"/>
    </row>
    <row r="765">
      <c r="O765" s="230"/>
      <c r="P765" s="230"/>
      <c r="Q765" s="193"/>
    </row>
    <row r="766">
      <c r="O766" s="230"/>
      <c r="P766" s="230"/>
      <c r="Q766" s="193"/>
    </row>
    <row r="767">
      <c r="O767" s="230"/>
      <c r="P767" s="230"/>
      <c r="Q767" s="193"/>
    </row>
    <row r="768">
      <c r="O768" s="230"/>
      <c r="P768" s="230"/>
      <c r="Q768" s="193"/>
    </row>
    <row r="769">
      <c r="O769" s="230"/>
      <c r="P769" s="230"/>
      <c r="Q769" s="193"/>
    </row>
    <row r="770">
      <c r="O770" s="230"/>
      <c r="P770" s="230"/>
      <c r="Q770" s="193"/>
    </row>
    <row r="771">
      <c r="O771" s="230"/>
      <c r="P771" s="230"/>
      <c r="Q771" s="193"/>
    </row>
    <row r="772">
      <c r="O772" s="230"/>
      <c r="P772" s="230"/>
      <c r="Q772" s="193"/>
    </row>
    <row r="773">
      <c r="O773" s="230"/>
      <c r="P773" s="230"/>
      <c r="Q773" s="193"/>
    </row>
    <row r="774">
      <c r="O774" s="230"/>
      <c r="P774" s="230"/>
      <c r="Q774" s="193"/>
    </row>
    <row r="775">
      <c r="O775" s="230"/>
      <c r="P775" s="230"/>
      <c r="Q775" s="193"/>
    </row>
    <row r="776">
      <c r="O776" s="230"/>
      <c r="P776" s="230"/>
      <c r="Q776" s="193"/>
    </row>
    <row r="777">
      <c r="O777" s="230"/>
      <c r="P777" s="230"/>
      <c r="Q777" s="193"/>
    </row>
    <row r="778">
      <c r="O778" s="230"/>
      <c r="P778" s="230"/>
      <c r="Q778" s="193"/>
    </row>
    <row r="779">
      <c r="O779" s="230"/>
      <c r="P779" s="230"/>
      <c r="Q779" s="193"/>
    </row>
    <row r="780">
      <c r="O780" s="230"/>
      <c r="P780" s="230"/>
      <c r="Q780" s="193"/>
    </row>
    <row r="781">
      <c r="O781" s="230"/>
      <c r="P781" s="230"/>
      <c r="Q781" s="193"/>
    </row>
    <row r="782">
      <c r="O782" s="230"/>
      <c r="P782" s="230"/>
      <c r="Q782" s="193"/>
    </row>
    <row r="783">
      <c r="O783" s="230"/>
      <c r="P783" s="230"/>
      <c r="Q783" s="193"/>
    </row>
    <row r="784">
      <c r="O784" s="230"/>
      <c r="P784" s="230"/>
      <c r="Q784" s="193"/>
    </row>
    <row r="785">
      <c r="O785" s="230"/>
      <c r="P785" s="230"/>
      <c r="Q785" s="193"/>
    </row>
    <row r="786">
      <c r="O786" s="230"/>
      <c r="P786" s="230"/>
      <c r="Q786" s="193"/>
    </row>
    <row r="787">
      <c r="O787" s="230"/>
      <c r="P787" s="230"/>
      <c r="Q787" s="193"/>
    </row>
    <row r="788">
      <c r="O788" s="230"/>
      <c r="P788" s="230"/>
      <c r="Q788" s="193"/>
    </row>
    <row r="789">
      <c r="O789" s="230"/>
      <c r="P789" s="230"/>
      <c r="Q789" s="193"/>
    </row>
    <row r="790">
      <c r="O790" s="230"/>
      <c r="P790" s="230"/>
      <c r="Q790" s="193"/>
    </row>
    <row r="791">
      <c r="O791" s="230"/>
      <c r="P791" s="230"/>
      <c r="Q791" s="193"/>
    </row>
    <row r="792">
      <c r="O792" s="230"/>
      <c r="P792" s="230"/>
      <c r="Q792" s="193"/>
    </row>
    <row r="793">
      <c r="O793" s="230"/>
      <c r="P793" s="230"/>
      <c r="Q793" s="193"/>
    </row>
    <row r="794">
      <c r="O794" s="230"/>
      <c r="P794" s="230"/>
      <c r="Q794" s="193"/>
    </row>
    <row r="795">
      <c r="O795" s="230"/>
      <c r="P795" s="230"/>
      <c r="Q795" s="193"/>
    </row>
    <row r="796">
      <c r="O796" s="230"/>
      <c r="P796" s="230"/>
      <c r="Q796" s="193"/>
    </row>
    <row r="797">
      <c r="O797" s="230"/>
      <c r="P797" s="230"/>
      <c r="Q797" s="193"/>
    </row>
    <row r="798">
      <c r="O798" s="230"/>
      <c r="P798" s="230"/>
      <c r="Q798" s="193"/>
    </row>
    <row r="799">
      <c r="O799" s="230"/>
      <c r="P799" s="230"/>
      <c r="Q799" s="193"/>
    </row>
    <row r="800">
      <c r="O800" s="230"/>
      <c r="P800" s="230"/>
      <c r="Q800" s="193"/>
    </row>
    <row r="801">
      <c r="O801" s="230"/>
      <c r="P801" s="230"/>
      <c r="Q801" s="193"/>
    </row>
    <row r="802">
      <c r="O802" s="230"/>
      <c r="P802" s="230"/>
      <c r="Q802" s="193"/>
    </row>
    <row r="803">
      <c r="O803" s="230"/>
      <c r="P803" s="230"/>
      <c r="Q803" s="193"/>
    </row>
    <row r="804">
      <c r="O804" s="230"/>
      <c r="P804" s="230"/>
      <c r="Q804" s="193"/>
    </row>
    <row r="805">
      <c r="O805" s="230"/>
      <c r="P805" s="230"/>
      <c r="Q805" s="193"/>
    </row>
    <row r="806">
      <c r="O806" s="230"/>
      <c r="P806" s="230"/>
      <c r="Q806" s="193"/>
    </row>
    <row r="807">
      <c r="O807" s="230"/>
      <c r="P807" s="230"/>
      <c r="Q807" s="193"/>
    </row>
    <row r="808">
      <c r="O808" s="230"/>
      <c r="P808" s="230"/>
      <c r="Q808" s="193"/>
    </row>
    <row r="809">
      <c r="O809" s="230"/>
      <c r="P809" s="230"/>
      <c r="Q809" s="193"/>
    </row>
    <row r="810">
      <c r="O810" s="230"/>
      <c r="P810" s="230"/>
      <c r="Q810" s="193"/>
    </row>
    <row r="811">
      <c r="O811" s="230"/>
      <c r="P811" s="230"/>
      <c r="Q811" s="193"/>
    </row>
    <row r="812">
      <c r="O812" s="230"/>
      <c r="P812" s="230"/>
      <c r="Q812" s="193"/>
    </row>
    <row r="813">
      <c r="O813" s="230"/>
      <c r="P813" s="230"/>
      <c r="Q813" s="193"/>
    </row>
    <row r="814">
      <c r="O814" s="230"/>
      <c r="P814" s="230"/>
      <c r="Q814" s="193"/>
    </row>
    <row r="815">
      <c r="O815" s="230"/>
      <c r="P815" s="230"/>
      <c r="Q815" s="193"/>
    </row>
    <row r="816">
      <c r="O816" s="230"/>
      <c r="P816" s="230"/>
      <c r="Q816" s="193"/>
    </row>
    <row r="817">
      <c r="O817" s="230"/>
      <c r="P817" s="230"/>
      <c r="Q817" s="193"/>
    </row>
    <row r="818">
      <c r="O818" s="230"/>
      <c r="P818" s="230"/>
      <c r="Q818" s="193"/>
    </row>
    <row r="819">
      <c r="O819" s="230"/>
      <c r="P819" s="230"/>
      <c r="Q819" s="193"/>
    </row>
    <row r="820">
      <c r="O820" s="230"/>
      <c r="P820" s="230"/>
      <c r="Q820" s="193"/>
    </row>
    <row r="821">
      <c r="O821" s="230"/>
      <c r="P821" s="230"/>
      <c r="Q821" s="193"/>
    </row>
    <row r="822">
      <c r="O822" s="230"/>
      <c r="P822" s="230"/>
      <c r="Q822" s="193"/>
    </row>
    <row r="823">
      <c r="O823" s="230"/>
      <c r="P823" s="230"/>
      <c r="Q823" s="193"/>
    </row>
    <row r="824">
      <c r="O824" s="230"/>
      <c r="P824" s="230"/>
      <c r="Q824" s="193"/>
    </row>
    <row r="825">
      <c r="O825" s="230"/>
      <c r="P825" s="230"/>
      <c r="Q825" s="193"/>
    </row>
    <row r="826">
      <c r="O826" s="230"/>
      <c r="P826" s="230"/>
      <c r="Q826" s="193"/>
    </row>
    <row r="827">
      <c r="O827" s="230"/>
      <c r="P827" s="230"/>
      <c r="Q827" s="193"/>
    </row>
    <row r="828">
      <c r="O828" s="230"/>
      <c r="P828" s="230"/>
      <c r="Q828" s="193"/>
    </row>
    <row r="829">
      <c r="O829" s="230"/>
      <c r="P829" s="230"/>
      <c r="Q829" s="193"/>
    </row>
    <row r="830">
      <c r="O830" s="230"/>
      <c r="P830" s="230"/>
      <c r="Q830" s="193"/>
    </row>
    <row r="831">
      <c r="O831" s="230"/>
      <c r="P831" s="230"/>
      <c r="Q831" s="193"/>
    </row>
    <row r="832">
      <c r="O832" s="230"/>
      <c r="P832" s="230"/>
      <c r="Q832" s="193"/>
    </row>
    <row r="833">
      <c r="O833" s="230"/>
      <c r="P833" s="230"/>
      <c r="Q833" s="193"/>
    </row>
    <row r="834">
      <c r="O834" s="230"/>
      <c r="P834" s="230"/>
      <c r="Q834" s="193"/>
    </row>
    <row r="835">
      <c r="O835" s="230"/>
      <c r="P835" s="230"/>
      <c r="Q835" s="193"/>
    </row>
    <row r="836">
      <c r="O836" s="230"/>
      <c r="P836" s="230"/>
      <c r="Q836" s="193"/>
    </row>
    <row r="837">
      <c r="O837" s="230"/>
      <c r="P837" s="230"/>
      <c r="Q837" s="193"/>
    </row>
    <row r="838">
      <c r="O838" s="230"/>
      <c r="P838" s="230"/>
      <c r="Q838" s="193"/>
    </row>
    <row r="839">
      <c r="O839" s="230"/>
      <c r="P839" s="230"/>
      <c r="Q839" s="193"/>
    </row>
    <row r="840">
      <c r="O840" s="230"/>
      <c r="P840" s="230"/>
      <c r="Q840" s="193"/>
    </row>
    <row r="841">
      <c r="O841" s="230"/>
      <c r="P841" s="230"/>
      <c r="Q841" s="193"/>
    </row>
    <row r="842">
      <c r="O842" s="230"/>
      <c r="P842" s="230"/>
      <c r="Q842" s="193"/>
    </row>
    <row r="843">
      <c r="O843" s="230"/>
      <c r="P843" s="230"/>
      <c r="Q843" s="193"/>
    </row>
    <row r="844">
      <c r="O844" s="230"/>
      <c r="P844" s="230"/>
      <c r="Q844" s="193"/>
    </row>
    <row r="845">
      <c r="O845" s="230"/>
      <c r="P845" s="230"/>
      <c r="Q845" s="193"/>
    </row>
    <row r="846">
      <c r="O846" s="230"/>
      <c r="P846" s="230"/>
      <c r="Q846" s="193"/>
    </row>
    <row r="847">
      <c r="O847" s="230"/>
      <c r="P847" s="230"/>
      <c r="Q847" s="193"/>
    </row>
    <row r="848">
      <c r="O848" s="230"/>
      <c r="P848" s="230"/>
      <c r="Q848" s="193"/>
    </row>
    <row r="849">
      <c r="O849" s="230"/>
      <c r="P849" s="230"/>
      <c r="Q849" s="193"/>
    </row>
    <row r="850">
      <c r="O850" s="230"/>
      <c r="P850" s="230"/>
      <c r="Q850" s="193"/>
    </row>
    <row r="851">
      <c r="O851" s="230"/>
      <c r="P851" s="230"/>
      <c r="Q851" s="193"/>
    </row>
    <row r="852">
      <c r="O852" s="230"/>
      <c r="P852" s="230"/>
      <c r="Q852" s="193"/>
    </row>
    <row r="853">
      <c r="O853" s="230"/>
      <c r="P853" s="230"/>
      <c r="Q853" s="193"/>
    </row>
    <row r="854">
      <c r="O854" s="230"/>
      <c r="P854" s="230"/>
      <c r="Q854" s="193"/>
    </row>
    <row r="855">
      <c r="O855" s="230"/>
      <c r="P855" s="230"/>
      <c r="Q855" s="193"/>
    </row>
    <row r="856">
      <c r="O856" s="230"/>
      <c r="P856" s="230"/>
      <c r="Q856" s="193"/>
    </row>
    <row r="857">
      <c r="O857" s="230"/>
      <c r="P857" s="230"/>
      <c r="Q857" s="193"/>
    </row>
    <row r="858">
      <c r="O858" s="230"/>
      <c r="P858" s="230"/>
      <c r="Q858" s="193"/>
    </row>
    <row r="859">
      <c r="O859" s="230"/>
      <c r="P859" s="230"/>
      <c r="Q859" s="193"/>
    </row>
    <row r="860">
      <c r="O860" s="230"/>
      <c r="P860" s="230"/>
      <c r="Q860" s="193"/>
    </row>
    <row r="861">
      <c r="O861" s="230"/>
      <c r="P861" s="230"/>
      <c r="Q861" s="193"/>
    </row>
    <row r="862">
      <c r="O862" s="230"/>
      <c r="P862" s="230"/>
      <c r="Q862" s="193"/>
    </row>
    <row r="863">
      <c r="O863" s="230"/>
      <c r="P863" s="230"/>
      <c r="Q863" s="193"/>
    </row>
    <row r="864">
      <c r="O864" s="230"/>
      <c r="P864" s="230"/>
      <c r="Q864" s="193"/>
    </row>
    <row r="865">
      <c r="O865" s="230"/>
      <c r="P865" s="230"/>
      <c r="Q865" s="193"/>
    </row>
    <row r="866">
      <c r="O866" s="230"/>
      <c r="P866" s="230"/>
      <c r="Q866" s="193"/>
    </row>
    <row r="867">
      <c r="O867" s="230"/>
      <c r="P867" s="230"/>
      <c r="Q867" s="193"/>
    </row>
    <row r="868">
      <c r="O868" s="230"/>
      <c r="P868" s="230"/>
      <c r="Q868" s="193"/>
    </row>
    <row r="869">
      <c r="O869" s="230"/>
      <c r="P869" s="230"/>
      <c r="Q869" s="193"/>
    </row>
    <row r="870">
      <c r="O870" s="230"/>
      <c r="P870" s="230"/>
      <c r="Q870" s="193"/>
    </row>
    <row r="871">
      <c r="O871" s="230"/>
      <c r="P871" s="230"/>
      <c r="Q871" s="193"/>
    </row>
    <row r="872">
      <c r="O872" s="230"/>
      <c r="P872" s="230"/>
      <c r="Q872" s="193"/>
    </row>
    <row r="873">
      <c r="O873" s="230"/>
      <c r="P873" s="230"/>
      <c r="Q873" s="193"/>
    </row>
    <row r="874">
      <c r="O874" s="230"/>
      <c r="P874" s="230"/>
      <c r="Q874" s="193"/>
    </row>
    <row r="875">
      <c r="O875" s="230"/>
      <c r="P875" s="230"/>
      <c r="Q875" s="193"/>
    </row>
    <row r="876">
      <c r="O876" s="230"/>
      <c r="P876" s="230"/>
      <c r="Q876" s="193"/>
    </row>
    <row r="877">
      <c r="O877" s="230"/>
      <c r="P877" s="230"/>
      <c r="Q877" s="193"/>
    </row>
    <row r="878">
      <c r="O878" s="230"/>
      <c r="P878" s="230"/>
      <c r="Q878" s="193"/>
    </row>
    <row r="879">
      <c r="O879" s="230"/>
      <c r="P879" s="230"/>
      <c r="Q879" s="193"/>
    </row>
    <row r="880">
      <c r="O880" s="230"/>
      <c r="P880" s="230"/>
      <c r="Q880" s="193"/>
    </row>
    <row r="881">
      <c r="O881" s="230"/>
      <c r="P881" s="230"/>
      <c r="Q881" s="193"/>
    </row>
    <row r="882">
      <c r="O882" s="230"/>
      <c r="P882" s="230"/>
      <c r="Q882" s="193"/>
    </row>
    <row r="883">
      <c r="O883" s="230"/>
      <c r="P883" s="230"/>
      <c r="Q883" s="193"/>
    </row>
    <row r="884">
      <c r="O884" s="230"/>
      <c r="P884" s="230"/>
      <c r="Q884" s="193"/>
    </row>
    <row r="885">
      <c r="O885" s="230"/>
      <c r="P885" s="230"/>
      <c r="Q885" s="193"/>
    </row>
    <row r="886">
      <c r="O886" s="230"/>
      <c r="P886" s="230"/>
      <c r="Q886" s="193"/>
    </row>
    <row r="887">
      <c r="O887" s="230"/>
      <c r="P887" s="230"/>
      <c r="Q887" s="193"/>
    </row>
    <row r="888">
      <c r="O888" s="230"/>
      <c r="P888" s="230"/>
      <c r="Q888" s="193"/>
    </row>
    <row r="889">
      <c r="O889" s="230"/>
      <c r="P889" s="230"/>
      <c r="Q889" s="193"/>
    </row>
    <row r="890">
      <c r="O890" s="230"/>
      <c r="P890" s="230"/>
      <c r="Q890" s="193"/>
    </row>
    <row r="891">
      <c r="O891" s="230"/>
      <c r="P891" s="230"/>
      <c r="Q891" s="193"/>
    </row>
    <row r="892">
      <c r="O892" s="230"/>
      <c r="P892" s="230"/>
      <c r="Q892" s="193"/>
    </row>
    <row r="893">
      <c r="O893" s="230"/>
      <c r="P893" s="230"/>
      <c r="Q893" s="193"/>
    </row>
    <row r="894">
      <c r="O894" s="230"/>
      <c r="P894" s="230"/>
      <c r="Q894" s="193"/>
    </row>
    <row r="895">
      <c r="O895" s="230"/>
      <c r="P895" s="230"/>
      <c r="Q895" s="193"/>
    </row>
    <row r="896">
      <c r="O896" s="230"/>
      <c r="P896" s="230"/>
      <c r="Q896" s="193"/>
    </row>
    <row r="897">
      <c r="O897" s="230"/>
      <c r="P897" s="230"/>
      <c r="Q897" s="193"/>
    </row>
    <row r="898">
      <c r="O898" s="230"/>
      <c r="P898" s="230"/>
      <c r="Q898" s="193"/>
    </row>
    <row r="899">
      <c r="O899" s="230"/>
      <c r="P899" s="230"/>
      <c r="Q899" s="193"/>
    </row>
    <row r="900">
      <c r="O900" s="230"/>
      <c r="P900" s="230"/>
      <c r="Q900" s="193"/>
    </row>
    <row r="901">
      <c r="O901" s="230"/>
      <c r="P901" s="230"/>
      <c r="Q901" s="193"/>
    </row>
    <row r="902">
      <c r="O902" s="230"/>
      <c r="P902" s="230"/>
      <c r="Q902" s="193"/>
    </row>
    <row r="903">
      <c r="O903" s="230"/>
      <c r="P903" s="230"/>
      <c r="Q903" s="193"/>
    </row>
    <row r="904">
      <c r="O904" s="230"/>
      <c r="P904" s="230"/>
      <c r="Q904" s="193"/>
    </row>
    <row r="905">
      <c r="O905" s="230"/>
      <c r="P905" s="230"/>
      <c r="Q905" s="193"/>
    </row>
    <row r="906">
      <c r="O906" s="230"/>
      <c r="P906" s="230"/>
      <c r="Q906" s="193"/>
    </row>
    <row r="907">
      <c r="O907" s="230"/>
      <c r="P907" s="230"/>
      <c r="Q907" s="193"/>
    </row>
    <row r="908">
      <c r="O908" s="230"/>
      <c r="P908" s="230"/>
      <c r="Q908" s="193"/>
    </row>
    <row r="909">
      <c r="O909" s="230"/>
      <c r="P909" s="230"/>
      <c r="Q909" s="193"/>
    </row>
    <row r="910">
      <c r="O910" s="230"/>
      <c r="P910" s="230"/>
      <c r="Q910" s="193"/>
    </row>
    <row r="911">
      <c r="O911" s="230"/>
      <c r="P911" s="230"/>
      <c r="Q911" s="193"/>
    </row>
    <row r="912">
      <c r="O912" s="230"/>
      <c r="P912" s="230"/>
      <c r="Q912" s="193"/>
    </row>
    <row r="913">
      <c r="O913" s="230"/>
      <c r="P913" s="230"/>
      <c r="Q913" s="193"/>
    </row>
    <row r="914">
      <c r="O914" s="230"/>
      <c r="P914" s="230"/>
      <c r="Q914" s="193"/>
    </row>
    <row r="915">
      <c r="O915" s="230"/>
      <c r="P915" s="230"/>
      <c r="Q915" s="193"/>
    </row>
    <row r="916">
      <c r="O916" s="230"/>
      <c r="P916" s="230"/>
      <c r="Q916" s="193"/>
    </row>
    <row r="917">
      <c r="O917" s="230"/>
      <c r="P917" s="230"/>
      <c r="Q917" s="193"/>
    </row>
    <row r="918">
      <c r="O918" s="230"/>
      <c r="P918" s="230"/>
      <c r="Q918" s="193"/>
    </row>
    <row r="919">
      <c r="O919" s="230"/>
      <c r="P919" s="230"/>
      <c r="Q919" s="193"/>
    </row>
    <row r="920">
      <c r="O920" s="230"/>
      <c r="P920" s="230"/>
      <c r="Q920" s="193"/>
    </row>
    <row r="921">
      <c r="O921" s="230"/>
      <c r="P921" s="230"/>
      <c r="Q921" s="193"/>
    </row>
    <row r="922">
      <c r="O922" s="230"/>
      <c r="P922" s="230"/>
      <c r="Q922" s="193"/>
    </row>
    <row r="923">
      <c r="O923" s="230"/>
      <c r="P923" s="230"/>
      <c r="Q923" s="193"/>
    </row>
    <row r="924">
      <c r="O924" s="230"/>
      <c r="P924" s="230"/>
      <c r="Q924" s="193"/>
    </row>
    <row r="925">
      <c r="O925" s="230"/>
      <c r="P925" s="230"/>
      <c r="Q925" s="193"/>
    </row>
    <row r="926">
      <c r="O926" s="230"/>
      <c r="P926" s="230"/>
      <c r="Q926" s="193"/>
    </row>
    <row r="927">
      <c r="O927" s="230"/>
      <c r="P927" s="230"/>
      <c r="Q927" s="193"/>
    </row>
    <row r="928">
      <c r="O928" s="230"/>
      <c r="P928" s="230"/>
      <c r="Q928" s="193"/>
    </row>
    <row r="929">
      <c r="O929" s="230"/>
      <c r="P929" s="230"/>
      <c r="Q929" s="193"/>
    </row>
    <row r="930">
      <c r="O930" s="230"/>
      <c r="P930" s="230"/>
      <c r="Q930" s="193"/>
    </row>
    <row r="931">
      <c r="O931" s="230"/>
      <c r="P931" s="230"/>
      <c r="Q931" s="193"/>
    </row>
    <row r="932">
      <c r="O932" s="230"/>
      <c r="P932" s="230"/>
      <c r="Q932" s="193"/>
    </row>
    <row r="933">
      <c r="O933" s="230"/>
      <c r="P933" s="230"/>
      <c r="Q933" s="193"/>
    </row>
    <row r="934">
      <c r="O934" s="230"/>
      <c r="P934" s="230"/>
      <c r="Q934" s="193"/>
    </row>
    <row r="935">
      <c r="O935" s="230"/>
      <c r="P935" s="230"/>
      <c r="Q935" s="193"/>
    </row>
    <row r="936">
      <c r="O936" s="230"/>
      <c r="P936" s="230"/>
      <c r="Q936" s="193"/>
    </row>
    <row r="937">
      <c r="O937" s="230"/>
      <c r="P937" s="230"/>
      <c r="Q937" s="193"/>
    </row>
    <row r="938">
      <c r="O938" s="230"/>
      <c r="P938" s="230"/>
      <c r="Q938" s="193"/>
    </row>
    <row r="939">
      <c r="O939" s="230"/>
      <c r="P939" s="230"/>
      <c r="Q939" s="193"/>
    </row>
    <row r="940">
      <c r="O940" s="230"/>
      <c r="P940" s="230"/>
      <c r="Q940" s="193"/>
    </row>
    <row r="941">
      <c r="O941" s="230"/>
      <c r="P941" s="230"/>
      <c r="Q941" s="193"/>
    </row>
    <row r="942">
      <c r="O942" s="230"/>
      <c r="P942" s="230"/>
      <c r="Q942" s="193"/>
    </row>
    <row r="943">
      <c r="O943" s="230"/>
      <c r="P943" s="230"/>
      <c r="Q943" s="193"/>
    </row>
    <row r="944">
      <c r="O944" s="230"/>
      <c r="P944" s="230"/>
      <c r="Q944" s="193"/>
    </row>
    <row r="945">
      <c r="O945" s="230"/>
      <c r="P945" s="230"/>
      <c r="Q945" s="193"/>
    </row>
    <row r="946">
      <c r="O946" s="230"/>
      <c r="P946" s="230"/>
      <c r="Q946" s="193"/>
    </row>
    <row r="947">
      <c r="O947" s="230"/>
      <c r="P947" s="230"/>
      <c r="Q947" s="193"/>
    </row>
    <row r="948">
      <c r="O948" s="230"/>
      <c r="P948" s="230"/>
      <c r="Q948" s="193"/>
    </row>
    <row r="949">
      <c r="O949" s="230"/>
      <c r="P949" s="230"/>
      <c r="Q949" s="193"/>
    </row>
    <row r="950">
      <c r="O950" s="230"/>
      <c r="P950" s="230"/>
      <c r="Q950" s="193"/>
    </row>
    <row r="951">
      <c r="O951" s="230"/>
      <c r="P951" s="230"/>
      <c r="Q951" s="193"/>
    </row>
    <row r="952">
      <c r="O952" s="230"/>
      <c r="P952" s="230"/>
      <c r="Q952" s="193"/>
    </row>
    <row r="953">
      <c r="O953" s="230"/>
      <c r="P953" s="230"/>
      <c r="Q953" s="193"/>
    </row>
    <row r="954">
      <c r="O954" s="230"/>
      <c r="P954" s="230"/>
      <c r="Q954" s="193"/>
    </row>
    <row r="955">
      <c r="O955" s="230"/>
      <c r="P955" s="230"/>
      <c r="Q955" s="193"/>
    </row>
    <row r="956">
      <c r="O956" s="230"/>
      <c r="P956" s="230"/>
      <c r="Q956" s="193"/>
    </row>
    <row r="957">
      <c r="O957" s="230"/>
      <c r="P957" s="230"/>
      <c r="Q957" s="193"/>
    </row>
    <row r="958">
      <c r="O958" s="230"/>
      <c r="P958" s="230"/>
      <c r="Q958" s="193"/>
    </row>
    <row r="959">
      <c r="O959" s="230"/>
      <c r="P959" s="230"/>
      <c r="Q959" s="193"/>
    </row>
    <row r="960">
      <c r="O960" s="230"/>
      <c r="P960" s="230"/>
      <c r="Q960" s="193"/>
    </row>
    <row r="961">
      <c r="O961" s="230"/>
      <c r="P961" s="230"/>
      <c r="Q961" s="193"/>
    </row>
    <row r="962">
      <c r="O962" s="230"/>
      <c r="P962" s="230"/>
      <c r="Q962" s="193"/>
    </row>
    <row r="963">
      <c r="O963" s="230"/>
      <c r="P963" s="230"/>
      <c r="Q963" s="193"/>
    </row>
    <row r="964">
      <c r="O964" s="230"/>
      <c r="P964" s="230"/>
      <c r="Q964" s="193"/>
    </row>
    <row r="965">
      <c r="O965" s="230"/>
      <c r="P965" s="230"/>
      <c r="Q965" s="193"/>
    </row>
    <row r="966">
      <c r="O966" s="230"/>
      <c r="P966" s="230"/>
      <c r="Q966" s="193"/>
    </row>
    <row r="967">
      <c r="O967" s="230"/>
      <c r="P967" s="230"/>
      <c r="Q967" s="193"/>
    </row>
    <row r="968">
      <c r="O968" s="230"/>
      <c r="P968" s="230"/>
      <c r="Q968" s="193"/>
    </row>
    <row r="969">
      <c r="O969" s="230"/>
      <c r="P969" s="230"/>
      <c r="Q969" s="193"/>
    </row>
    <row r="970">
      <c r="O970" s="230"/>
      <c r="P970" s="230"/>
      <c r="Q970" s="193"/>
    </row>
    <row r="971">
      <c r="O971" s="230"/>
      <c r="P971" s="230"/>
      <c r="Q971" s="193"/>
    </row>
    <row r="972">
      <c r="O972" s="230"/>
      <c r="P972" s="230"/>
      <c r="Q972" s="193"/>
    </row>
    <row r="973">
      <c r="O973" s="230"/>
      <c r="P973" s="230"/>
      <c r="Q973" s="193"/>
    </row>
    <row r="974">
      <c r="O974" s="230"/>
      <c r="P974" s="230"/>
      <c r="Q974" s="193"/>
    </row>
    <row r="975">
      <c r="O975" s="230"/>
      <c r="P975" s="230"/>
      <c r="Q975" s="193"/>
    </row>
    <row r="976">
      <c r="O976" s="230"/>
      <c r="P976" s="230"/>
      <c r="Q976" s="193"/>
    </row>
    <row r="977">
      <c r="O977" s="230"/>
      <c r="P977" s="230"/>
      <c r="Q977" s="193"/>
    </row>
    <row r="978">
      <c r="O978" s="230"/>
      <c r="P978" s="230"/>
      <c r="Q978" s="193"/>
    </row>
    <row r="979">
      <c r="O979" s="230"/>
      <c r="P979" s="230"/>
      <c r="Q979" s="193"/>
    </row>
    <row r="980">
      <c r="O980" s="230"/>
      <c r="P980" s="230"/>
      <c r="Q980" s="193"/>
    </row>
    <row r="981">
      <c r="O981" s="230"/>
      <c r="P981" s="230"/>
      <c r="Q981" s="193"/>
    </row>
    <row r="982">
      <c r="O982" s="230"/>
      <c r="P982" s="230"/>
      <c r="Q982" s="193"/>
    </row>
    <row r="983">
      <c r="O983" s="230"/>
      <c r="P983" s="230"/>
      <c r="Q983" s="193"/>
    </row>
    <row r="984">
      <c r="O984" s="230"/>
      <c r="P984" s="230"/>
      <c r="Q984" s="193"/>
    </row>
    <row r="985">
      <c r="O985" s="230"/>
      <c r="P985" s="230"/>
      <c r="Q985" s="193"/>
    </row>
    <row r="986">
      <c r="O986" s="230"/>
      <c r="P986" s="230"/>
      <c r="Q986" s="193"/>
    </row>
    <row r="987">
      <c r="O987" s="230"/>
      <c r="P987" s="230"/>
      <c r="Q987" s="193"/>
    </row>
    <row r="988">
      <c r="O988" s="230"/>
      <c r="P988" s="230"/>
      <c r="Q988" s="193"/>
    </row>
    <row r="989">
      <c r="O989" s="230"/>
      <c r="P989" s="230"/>
      <c r="Q989" s="193"/>
    </row>
    <row r="990">
      <c r="O990" s="230"/>
      <c r="P990" s="230"/>
      <c r="Q990" s="193"/>
    </row>
    <row r="991">
      <c r="O991" s="230"/>
      <c r="P991" s="230"/>
      <c r="Q991" s="193"/>
    </row>
    <row r="992">
      <c r="O992" s="230"/>
      <c r="P992" s="230"/>
      <c r="Q992" s="193"/>
    </row>
    <row r="993">
      <c r="O993" s="230"/>
      <c r="P993" s="230"/>
      <c r="Q993" s="193"/>
    </row>
    <row r="994">
      <c r="O994" s="230"/>
      <c r="P994" s="230"/>
      <c r="Q994" s="193"/>
    </row>
    <row r="995">
      <c r="O995" s="230"/>
      <c r="P995" s="230"/>
      <c r="Q995" s="193"/>
    </row>
    <row r="996">
      <c r="O996" s="230"/>
      <c r="P996" s="230"/>
      <c r="Q996" s="193"/>
    </row>
    <row r="997">
      <c r="O997" s="230"/>
      <c r="P997" s="230"/>
      <c r="Q997" s="193"/>
    </row>
    <row r="998">
      <c r="O998" s="230"/>
      <c r="P998" s="230"/>
      <c r="Q998" s="193"/>
    </row>
    <row r="999">
      <c r="O999" s="230"/>
      <c r="P999" s="230"/>
      <c r="Q999" s="193"/>
    </row>
    <row r="1000">
      <c r="O1000" s="230"/>
      <c r="P1000" s="230"/>
      <c r="Q1000" s="193"/>
    </row>
  </sheetData>
  <autoFilter ref="$A$1:$Z$100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50.0"/>
  </cols>
  <sheetData>
    <row r="1">
      <c r="A1" s="115" t="s">
        <v>260</v>
      </c>
      <c r="B1" s="115" t="s">
        <v>261</v>
      </c>
      <c r="C1" s="115" t="s">
        <v>262</v>
      </c>
      <c r="D1" s="115" t="s">
        <v>263</v>
      </c>
      <c r="E1" s="115" t="s">
        <v>264</v>
      </c>
      <c r="F1" s="115" t="s">
        <v>265</v>
      </c>
      <c r="G1" s="115" t="s">
        <v>266</v>
      </c>
      <c r="H1" s="115" t="s">
        <v>267</v>
      </c>
      <c r="I1" s="115" t="s">
        <v>268</v>
      </c>
      <c r="J1" s="115" t="s">
        <v>5</v>
      </c>
      <c r="K1" s="115" t="s">
        <v>269</v>
      </c>
      <c r="L1" s="115" t="s">
        <v>270</v>
      </c>
      <c r="M1" s="115" t="s">
        <v>271</v>
      </c>
      <c r="N1" s="115" t="s">
        <v>272</v>
      </c>
      <c r="O1" s="115" t="s">
        <v>273</v>
      </c>
      <c r="P1" s="115" t="s">
        <v>10792</v>
      </c>
      <c r="Q1" s="88"/>
      <c r="R1" s="88"/>
      <c r="S1" s="88"/>
      <c r="T1" s="88"/>
      <c r="U1" s="88"/>
      <c r="V1" s="88"/>
      <c r="W1" s="88"/>
      <c r="X1" s="88"/>
      <c r="Y1" s="88"/>
      <c r="Z1" s="88"/>
    </row>
    <row r="2" hidden="1">
      <c r="A2" s="102" t="s">
        <v>4410</v>
      </c>
      <c r="B2" s="102" t="s">
        <v>12020</v>
      </c>
      <c r="C2" s="229" t="s">
        <v>12021</v>
      </c>
      <c r="D2" s="102" t="s">
        <v>12022</v>
      </c>
      <c r="E2" s="102" t="s">
        <v>314</v>
      </c>
      <c r="F2" s="102" t="s">
        <v>315</v>
      </c>
      <c r="G2" s="102" t="s">
        <v>314</v>
      </c>
      <c r="H2" s="102" t="s">
        <v>315</v>
      </c>
      <c r="I2" s="102" t="s">
        <v>515</v>
      </c>
      <c r="J2" s="102" t="s">
        <v>26</v>
      </c>
      <c r="L2" s="229" t="s">
        <v>12023</v>
      </c>
      <c r="M2" s="229" t="s">
        <v>12024</v>
      </c>
      <c r="N2" s="229" t="s">
        <v>12025</v>
      </c>
      <c r="O2" s="102">
        <v>1.0</v>
      </c>
      <c r="P2" s="244">
        <f t="shared" ref="P2:P124" si="1">SWITCH(O2,
  1, 2,
  2, 4,
  3, 8,
  5, 24,
  8, 32,
  0
)</f>
        <v>2</v>
      </c>
    </row>
    <row r="3" hidden="1">
      <c r="A3" s="102" t="s">
        <v>332</v>
      </c>
      <c r="B3" s="102" t="s">
        <v>11953</v>
      </c>
      <c r="C3" s="229" t="s">
        <v>11954</v>
      </c>
      <c r="D3" s="102" t="s">
        <v>11955</v>
      </c>
      <c r="E3" s="102" t="s">
        <v>11781</v>
      </c>
      <c r="F3" s="102" t="s">
        <v>11431</v>
      </c>
      <c r="G3" s="102" t="s">
        <v>521</v>
      </c>
      <c r="H3" s="102" t="s">
        <v>522</v>
      </c>
      <c r="I3" s="102" t="s">
        <v>284</v>
      </c>
      <c r="J3" s="102" t="s">
        <v>336</v>
      </c>
      <c r="L3" s="229" t="s">
        <v>11956</v>
      </c>
      <c r="M3" s="229" t="s">
        <v>11941</v>
      </c>
      <c r="O3" s="230"/>
      <c r="P3" s="244">
        <f t="shared" si="1"/>
        <v>0</v>
      </c>
    </row>
    <row r="4" hidden="1">
      <c r="A4" s="102" t="s">
        <v>276</v>
      </c>
      <c r="B4" s="102" t="s">
        <v>12026</v>
      </c>
      <c r="C4" s="229" t="s">
        <v>12027</v>
      </c>
      <c r="D4" s="102" t="s">
        <v>12028</v>
      </c>
      <c r="E4" s="102" t="s">
        <v>521</v>
      </c>
      <c r="F4" s="102" t="s">
        <v>522</v>
      </c>
      <c r="G4" s="102" t="s">
        <v>521</v>
      </c>
      <c r="H4" s="102" t="s">
        <v>522</v>
      </c>
      <c r="I4" s="102" t="s">
        <v>284</v>
      </c>
      <c r="J4" s="102" t="s">
        <v>26</v>
      </c>
      <c r="L4" s="229" t="s">
        <v>12029</v>
      </c>
      <c r="M4" s="229" t="s">
        <v>12030</v>
      </c>
      <c r="O4" s="230"/>
      <c r="P4" s="244">
        <f t="shared" si="1"/>
        <v>0</v>
      </c>
    </row>
    <row r="5" hidden="1">
      <c r="A5" s="102" t="s">
        <v>276</v>
      </c>
      <c r="B5" s="102" t="s">
        <v>12031</v>
      </c>
      <c r="C5" s="229" t="s">
        <v>12032</v>
      </c>
      <c r="D5" s="102" t="s">
        <v>12033</v>
      </c>
      <c r="E5" s="102" t="s">
        <v>521</v>
      </c>
      <c r="F5" s="102" t="s">
        <v>522</v>
      </c>
      <c r="G5" s="102" t="s">
        <v>521</v>
      </c>
      <c r="H5" s="102" t="s">
        <v>522</v>
      </c>
      <c r="I5" s="102" t="s">
        <v>284</v>
      </c>
      <c r="J5" s="102" t="s">
        <v>26</v>
      </c>
      <c r="L5" s="229" t="s">
        <v>12034</v>
      </c>
      <c r="M5" s="229" t="s">
        <v>12034</v>
      </c>
      <c r="O5" s="230"/>
      <c r="P5" s="244">
        <f t="shared" si="1"/>
        <v>0</v>
      </c>
    </row>
    <row r="6" hidden="1">
      <c r="A6" s="102" t="s">
        <v>276</v>
      </c>
      <c r="B6" s="102" t="s">
        <v>12035</v>
      </c>
      <c r="C6" s="229" t="s">
        <v>12036</v>
      </c>
      <c r="D6" s="102" t="s">
        <v>12037</v>
      </c>
      <c r="E6" s="102" t="s">
        <v>521</v>
      </c>
      <c r="F6" s="102" t="s">
        <v>522</v>
      </c>
      <c r="G6" s="102" t="s">
        <v>521</v>
      </c>
      <c r="H6" s="102" t="s">
        <v>522</v>
      </c>
      <c r="I6" s="102" t="s">
        <v>284</v>
      </c>
      <c r="J6" s="102" t="s">
        <v>26</v>
      </c>
      <c r="L6" s="229" t="s">
        <v>12038</v>
      </c>
      <c r="M6" s="229" t="s">
        <v>12039</v>
      </c>
      <c r="O6" s="230"/>
      <c r="P6" s="244">
        <f t="shared" si="1"/>
        <v>0</v>
      </c>
    </row>
    <row r="7" hidden="1">
      <c r="A7" s="102" t="s">
        <v>4410</v>
      </c>
      <c r="B7" s="102" t="s">
        <v>12040</v>
      </c>
      <c r="C7" s="229" t="s">
        <v>12041</v>
      </c>
      <c r="D7" s="102" t="s">
        <v>12042</v>
      </c>
      <c r="E7" s="102" t="s">
        <v>314</v>
      </c>
      <c r="F7" s="102" t="s">
        <v>315</v>
      </c>
      <c r="G7" s="102" t="s">
        <v>314</v>
      </c>
      <c r="H7" s="102" t="s">
        <v>315</v>
      </c>
      <c r="I7" s="102" t="s">
        <v>515</v>
      </c>
      <c r="J7" s="102" t="s">
        <v>26</v>
      </c>
      <c r="L7" s="229" t="s">
        <v>12043</v>
      </c>
      <c r="M7" s="229" t="s">
        <v>12044</v>
      </c>
      <c r="N7" s="229" t="s">
        <v>11992</v>
      </c>
      <c r="O7" s="102">
        <v>1.0</v>
      </c>
      <c r="P7" s="244">
        <f t="shared" si="1"/>
        <v>2</v>
      </c>
    </row>
    <row r="8" hidden="1">
      <c r="A8" s="102" t="s">
        <v>4410</v>
      </c>
      <c r="B8" s="102" t="s">
        <v>12045</v>
      </c>
      <c r="C8" s="229" t="s">
        <v>12046</v>
      </c>
      <c r="D8" s="102" t="s">
        <v>12047</v>
      </c>
      <c r="E8" s="102" t="s">
        <v>314</v>
      </c>
      <c r="F8" s="102" t="s">
        <v>315</v>
      </c>
      <c r="G8" s="102" t="s">
        <v>314</v>
      </c>
      <c r="H8" s="102" t="s">
        <v>315</v>
      </c>
      <c r="I8" s="102" t="s">
        <v>515</v>
      </c>
      <c r="J8" s="102" t="s">
        <v>26</v>
      </c>
      <c r="L8" s="229" t="s">
        <v>12048</v>
      </c>
      <c r="M8" s="229" t="s">
        <v>12049</v>
      </c>
      <c r="N8" s="229" t="s">
        <v>11992</v>
      </c>
      <c r="O8" s="102">
        <v>1.0</v>
      </c>
      <c r="P8" s="244">
        <f t="shared" si="1"/>
        <v>2</v>
      </c>
    </row>
    <row r="9" hidden="1">
      <c r="A9" s="102" t="s">
        <v>1459</v>
      </c>
      <c r="B9" s="102" t="s">
        <v>12050</v>
      </c>
      <c r="C9" s="229" t="s">
        <v>12051</v>
      </c>
      <c r="D9" s="102" t="s">
        <v>12052</v>
      </c>
      <c r="E9" s="102" t="s">
        <v>280</v>
      </c>
      <c r="F9" s="102" t="s">
        <v>281</v>
      </c>
      <c r="G9" s="102" t="s">
        <v>280</v>
      </c>
      <c r="H9" s="102" t="s">
        <v>281</v>
      </c>
      <c r="I9" s="102" t="s">
        <v>284</v>
      </c>
      <c r="J9" s="102" t="s">
        <v>26</v>
      </c>
      <c r="L9" s="229" t="s">
        <v>12053</v>
      </c>
      <c r="M9" s="229" t="s">
        <v>12054</v>
      </c>
      <c r="O9" s="230"/>
      <c r="P9" s="244">
        <f t="shared" si="1"/>
        <v>0</v>
      </c>
    </row>
    <row r="10" hidden="1">
      <c r="A10" s="102" t="s">
        <v>276</v>
      </c>
      <c r="B10" s="102" t="s">
        <v>12055</v>
      </c>
      <c r="C10" s="229" t="s">
        <v>12056</v>
      </c>
      <c r="D10" s="102" t="s">
        <v>12057</v>
      </c>
      <c r="E10" s="102" t="s">
        <v>11781</v>
      </c>
      <c r="F10" s="102" t="s">
        <v>11431</v>
      </c>
      <c r="G10" s="102" t="s">
        <v>282</v>
      </c>
      <c r="H10" s="102" t="s">
        <v>283</v>
      </c>
      <c r="I10" s="102" t="s">
        <v>284</v>
      </c>
      <c r="J10" s="102" t="s">
        <v>26</v>
      </c>
      <c r="L10" s="229" t="s">
        <v>12058</v>
      </c>
      <c r="M10" s="229" t="s">
        <v>12059</v>
      </c>
      <c r="O10" s="230"/>
      <c r="P10" s="244">
        <f t="shared" si="1"/>
        <v>0</v>
      </c>
    </row>
    <row r="11" hidden="1">
      <c r="A11" s="102" t="s">
        <v>4410</v>
      </c>
      <c r="B11" s="102" t="s">
        <v>12060</v>
      </c>
      <c r="C11" s="229" t="s">
        <v>12061</v>
      </c>
      <c r="D11" s="102" t="s">
        <v>12062</v>
      </c>
      <c r="E11" s="102" t="s">
        <v>314</v>
      </c>
      <c r="F11" s="102" t="s">
        <v>315</v>
      </c>
      <c r="G11" s="102" t="s">
        <v>314</v>
      </c>
      <c r="H11" s="102" t="s">
        <v>315</v>
      </c>
      <c r="I11" s="102" t="s">
        <v>515</v>
      </c>
      <c r="J11" s="102" t="s">
        <v>26</v>
      </c>
      <c r="L11" s="229" t="s">
        <v>12063</v>
      </c>
      <c r="M11" s="229" t="s">
        <v>12064</v>
      </c>
      <c r="N11" s="229" t="s">
        <v>12065</v>
      </c>
      <c r="O11" s="102">
        <v>1.0</v>
      </c>
      <c r="P11" s="244">
        <f t="shared" si="1"/>
        <v>2</v>
      </c>
    </row>
    <row r="12" hidden="1">
      <c r="A12" s="102" t="s">
        <v>4410</v>
      </c>
      <c r="B12" s="102" t="s">
        <v>12066</v>
      </c>
      <c r="C12" s="229" t="s">
        <v>12067</v>
      </c>
      <c r="D12" s="102" t="s">
        <v>12068</v>
      </c>
      <c r="E12" s="102" t="s">
        <v>314</v>
      </c>
      <c r="F12" s="102" t="s">
        <v>315</v>
      </c>
      <c r="G12" s="102" t="s">
        <v>314</v>
      </c>
      <c r="H12" s="102" t="s">
        <v>315</v>
      </c>
      <c r="I12" s="102" t="s">
        <v>515</v>
      </c>
      <c r="J12" s="102" t="s">
        <v>26</v>
      </c>
      <c r="L12" s="229" t="s">
        <v>12069</v>
      </c>
      <c r="M12" s="229" t="s">
        <v>12070</v>
      </c>
      <c r="N12" s="229" t="s">
        <v>12065</v>
      </c>
      <c r="O12" s="102">
        <v>1.0</v>
      </c>
      <c r="P12" s="244">
        <f t="shared" si="1"/>
        <v>2</v>
      </c>
    </row>
    <row r="13" hidden="1">
      <c r="A13" s="102" t="s">
        <v>4410</v>
      </c>
      <c r="B13" s="102" t="s">
        <v>12071</v>
      </c>
      <c r="C13" s="229" t="s">
        <v>12072</v>
      </c>
      <c r="D13" s="102" t="s">
        <v>12073</v>
      </c>
      <c r="E13" s="102" t="s">
        <v>353</v>
      </c>
      <c r="F13" s="102" t="s">
        <v>354</v>
      </c>
      <c r="G13" s="102" t="s">
        <v>353</v>
      </c>
      <c r="H13" s="102" t="s">
        <v>354</v>
      </c>
      <c r="I13" s="102" t="s">
        <v>284</v>
      </c>
      <c r="J13" s="102" t="s">
        <v>26</v>
      </c>
      <c r="L13" s="229" t="s">
        <v>12074</v>
      </c>
      <c r="M13" s="229" t="s">
        <v>12075</v>
      </c>
      <c r="O13" s="102">
        <v>1.0</v>
      </c>
      <c r="P13" s="244">
        <f t="shared" si="1"/>
        <v>2</v>
      </c>
    </row>
    <row r="14" hidden="1">
      <c r="A14" s="102" t="s">
        <v>4410</v>
      </c>
      <c r="B14" s="102" t="s">
        <v>12076</v>
      </c>
      <c r="C14" s="229" t="s">
        <v>12077</v>
      </c>
      <c r="D14" s="102" t="s">
        <v>12078</v>
      </c>
      <c r="E14" s="102" t="s">
        <v>314</v>
      </c>
      <c r="F14" s="102" t="s">
        <v>315</v>
      </c>
      <c r="G14" s="102" t="s">
        <v>353</v>
      </c>
      <c r="H14" s="102" t="s">
        <v>354</v>
      </c>
      <c r="I14" s="102" t="s">
        <v>284</v>
      </c>
      <c r="J14" s="102" t="s">
        <v>26</v>
      </c>
      <c r="L14" s="229" t="s">
        <v>12079</v>
      </c>
      <c r="M14" s="229" t="s">
        <v>12080</v>
      </c>
      <c r="N14" s="229" t="s">
        <v>12065</v>
      </c>
      <c r="O14" s="102">
        <v>1.0</v>
      </c>
      <c r="P14" s="244">
        <f t="shared" si="1"/>
        <v>2</v>
      </c>
    </row>
    <row r="15" hidden="1">
      <c r="A15" s="102" t="s">
        <v>276</v>
      </c>
      <c r="B15" s="102" t="s">
        <v>12081</v>
      </c>
      <c r="C15" s="229" t="s">
        <v>12082</v>
      </c>
      <c r="D15" s="102" t="s">
        <v>12083</v>
      </c>
      <c r="E15" s="102" t="s">
        <v>521</v>
      </c>
      <c r="F15" s="102" t="s">
        <v>522</v>
      </c>
      <c r="G15" s="102" t="s">
        <v>391</v>
      </c>
      <c r="H15" s="102" t="s">
        <v>392</v>
      </c>
      <c r="I15" s="102" t="s">
        <v>284</v>
      </c>
      <c r="J15" s="102" t="s">
        <v>26</v>
      </c>
      <c r="L15" s="229" t="s">
        <v>12084</v>
      </c>
      <c r="M15" s="229" t="s">
        <v>12038</v>
      </c>
      <c r="O15" s="230"/>
      <c r="P15" s="244">
        <f t="shared" si="1"/>
        <v>0</v>
      </c>
    </row>
    <row r="16" hidden="1">
      <c r="A16" s="102" t="s">
        <v>276</v>
      </c>
      <c r="B16" s="102" t="s">
        <v>12085</v>
      </c>
      <c r="C16" s="229" t="s">
        <v>12086</v>
      </c>
      <c r="D16" s="102" t="s">
        <v>347</v>
      </c>
      <c r="E16" s="102" t="s">
        <v>391</v>
      </c>
      <c r="F16" s="102" t="s">
        <v>392</v>
      </c>
      <c r="G16" s="102" t="s">
        <v>391</v>
      </c>
      <c r="H16" s="102" t="s">
        <v>392</v>
      </c>
      <c r="I16" s="102" t="s">
        <v>284</v>
      </c>
      <c r="J16" s="102" t="s">
        <v>26</v>
      </c>
      <c r="L16" s="229" t="s">
        <v>12087</v>
      </c>
      <c r="M16" s="229" t="s">
        <v>12088</v>
      </c>
      <c r="O16" s="230"/>
      <c r="P16" s="244">
        <f t="shared" si="1"/>
        <v>0</v>
      </c>
    </row>
    <row r="17" hidden="1">
      <c r="A17" s="102" t="s">
        <v>276</v>
      </c>
      <c r="B17" s="102" t="s">
        <v>12089</v>
      </c>
      <c r="C17" s="229" t="s">
        <v>12090</v>
      </c>
      <c r="D17" s="102" t="s">
        <v>12091</v>
      </c>
      <c r="E17" s="102" t="s">
        <v>521</v>
      </c>
      <c r="F17" s="102" t="s">
        <v>522</v>
      </c>
      <c r="G17" s="102" t="s">
        <v>521</v>
      </c>
      <c r="H17" s="102" t="s">
        <v>522</v>
      </c>
      <c r="I17" s="102" t="s">
        <v>284</v>
      </c>
      <c r="J17" s="102" t="s">
        <v>26</v>
      </c>
      <c r="L17" s="229" t="s">
        <v>12092</v>
      </c>
      <c r="M17" s="229" t="s">
        <v>12093</v>
      </c>
      <c r="O17" s="230"/>
      <c r="P17" s="244">
        <f t="shared" si="1"/>
        <v>0</v>
      </c>
    </row>
    <row r="18" hidden="1">
      <c r="A18" s="102" t="s">
        <v>276</v>
      </c>
      <c r="B18" s="102" t="s">
        <v>12094</v>
      </c>
      <c r="C18" s="229" t="s">
        <v>12095</v>
      </c>
      <c r="D18" s="102" t="s">
        <v>12096</v>
      </c>
      <c r="E18" s="102" t="s">
        <v>521</v>
      </c>
      <c r="F18" s="102" t="s">
        <v>522</v>
      </c>
      <c r="G18" s="102" t="s">
        <v>521</v>
      </c>
      <c r="H18" s="102" t="s">
        <v>522</v>
      </c>
      <c r="I18" s="102" t="s">
        <v>284</v>
      </c>
      <c r="J18" s="102" t="s">
        <v>26</v>
      </c>
      <c r="L18" s="229" t="s">
        <v>12097</v>
      </c>
      <c r="M18" s="229" t="s">
        <v>12098</v>
      </c>
      <c r="O18" s="230"/>
      <c r="P18" s="244">
        <f t="shared" si="1"/>
        <v>0</v>
      </c>
    </row>
    <row r="19" hidden="1">
      <c r="A19" s="102" t="s">
        <v>4410</v>
      </c>
      <c r="B19" s="102" t="s">
        <v>12099</v>
      </c>
      <c r="C19" s="229" t="s">
        <v>12100</v>
      </c>
      <c r="D19" s="102" t="s">
        <v>12101</v>
      </c>
      <c r="E19" s="102" t="s">
        <v>353</v>
      </c>
      <c r="F19" s="102" t="s">
        <v>354</v>
      </c>
      <c r="G19" s="102" t="s">
        <v>353</v>
      </c>
      <c r="H19" s="102" t="s">
        <v>354</v>
      </c>
      <c r="I19" s="102" t="s">
        <v>284</v>
      </c>
      <c r="J19" s="102" t="s">
        <v>26</v>
      </c>
      <c r="L19" s="229" t="s">
        <v>12102</v>
      </c>
      <c r="M19" s="229" t="s">
        <v>12103</v>
      </c>
      <c r="O19" s="102">
        <v>1.0</v>
      </c>
      <c r="P19" s="244">
        <f t="shared" si="1"/>
        <v>2</v>
      </c>
    </row>
    <row r="20" hidden="1">
      <c r="A20" s="102" t="s">
        <v>4410</v>
      </c>
      <c r="B20" s="102" t="s">
        <v>12104</v>
      </c>
      <c r="C20" s="229" t="s">
        <v>12105</v>
      </c>
      <c r="D20" s="102" t="s">
        <v>12106</v>
      </c>
      <c r="E20" s="102" t="s">
        <v>314</v>
      </c>
      <c r="F20" s="102" t="s">
        <v>315</v>
      </c>
      <c r="G20" s="102" t="s">
        <v>314</v>
      </c>
      <c r="H20" s="102" t="s">
        <v>315</v>
      </c>
      <c r="I20" s="102" t="s">
        <v>515</v>
      </c>
      <c r="J20" s="102" t="s">
        <v>26</v>
      </c>
      <c r="L20" s="229" t="s">
        <v>12107</v>
      </c>
      <c r="M20" s="229" t="s">
        <v>12107</v>
      </c>
      <c r="N20" s="229" t="s">
        <v>12108</v>
      </c>
      <c r="O20" s="102">
        <v>1.0</v>
      </c>
      <c r="P20" s="244">
        <f t="shared" si="1"/>
        <v>2</v>
      </c>
    </row>
    <row r="21" hidden="1">
      <c r="A21" s="102" t="s">
        <v>4410</v>
      </c>
      <c r="B21" s="102" t="s">
        <v>12109</v>
      </c>
      <c r="C21" s="229" t="s">
        <v>12110</v>
      </c>
      <c r="D21" s="102" t="s">
        <v>12111</v>
      </c>
      <c r="E21" s="102" t="s">
        <v>314</v>
      </c>
      <c r="F21" s="102" t="s">
        <v>315</v>
      </c>
      <c r="G21" s="102" t="s">
        <v>314</v>
      </c>
      <c r="H21" s="102" t="s">
        <v>315</v>
      </c>
      <c r="I21" s="102" t="s">
        <v>515</v>
      </c>
      <c r="J21" s="102" t="s">
        <v>26</v>
      </c>
      <c r="L21" s="229" t="s">
        <v>12112</v>
      </c>
      <c r="M21" s="229" t="s">
        <v>12113</v>
      </c>
      <c r="N21" s="229" t="s">
        <v>12108</v>
      </c>
      <c r="O21" s="102">
        <v>1.0</v>
      </c>
      <c r="P21" s="244">
        <f t="shared" si="1"/>
        <v>2</v>
      </c>
    </row>
    <row r="22" hidden="1">
      <c r="A22" s="102" t="s">
        <v>4410</v>
      </c>
      <c r="B22" s="102" t="s">
        <v>12114</v>
      </c>
      <c r="C22" s="229" t="s">
        <v>12115</v>
      </c>
      <c r="D22" s="102" t="s">
        <v>12116</v>
      </c>
      <c r="E22" s="102" t="s">
        <v>11704</v>
      </c>
      <c r="F22" s="102" t="s">
        <v>11705</v>
      </c>
      <c r="G22" s="102" t="s">
        <v>314</v>
      </c>
      <c r="H22" s="102" t="s">
        <v>315</v>
      </c>
      <c r="I22" s="102" t="s">
        <v>318</v>
      </c>
      <c r="J22" s="102" t="s">
        <v>26</v>
      </c>
      <c r="L22" s="229" t="s">
        <v>12117</v>
      </c>
      <c r="M22" s="229" t="s">
        <v>12118</v>
      </c>
      <c r="N22" s="229" t="s">
        <v>12108</v>
      </c>
      <c r="O22" s="102">
        <v>1.0</v>
      </c>
      <c r="P22" s="244">
        <f t="shared" si="1"/>
        <v>2</v>
      </c>
    </row>
    <row r="23" hidden="1">
      <c r="A23" s="102" t="s">
        <v>332</v>
      </c>
      <c r="B23" s="102" t="s">
        <v>12119</v>
      </c>
      <c r="C23" s="229" t="s">
        <v>12120</v>
      </c>
      <c r="D23" s="102" t="s">
        <v>12121</v>
      </c>
      <c r="E23" s="102" t="s">
        <v>11704</v>
      </c>
      <c r="F23" s="102" t="s">
        <v>11705</v>
      </c>
      <c r="G23" s="102" t="s">
        <v>280</v>
      </c>
      <c r="H23" s="102" t="s">
        <v>281</v>
      </c>
      <c r="I23" s="102" t="s">
        <v>284</v>
      </c>
      <c r="J23" s="102" t="s">
        <v>336</v>
      </c>
      <c r="L23" s="229" t="s">
        <v>12122</v>
      </c>
      <c r="M23" s="229" t="s">
        <v>12123</v>
      </c>
      <c r="N23" s="229" t="s">
        <v>12065</v>
      </c>
      <c r="O23" s="230"/>
      <c r="P23" s="244">
        <f t="shared" si="1"/>
        <v>0</v>
      </c>
    </row>
    <row r="24" hidden="1">
      <c r="A24" s="102" t="s">
        <v>4410</v>
      </c>
      <c r="B24" s="102" t="s">
        <v>12124</v>
      </c>
      <c r="C24" s="229" t="s">
        <v>12125</v>
      </c>
      <c r="D24" s="102" t="s">
        <v>12126</v>
      </c>
      <c r="E24" s="102" t="s">
        <v>314</v>
      </c>
      <c r="F24" s="102" t="s">
        <v>315</v>
      </c>
      <c r="G24" s="102" t="s">
        <v>314</v>
      </c>
      <c r="H24" s="102" t="s">
        <v>315</v>
      </c>
      <c r="I24" s="102" t="s">
        <v>318</v>
      </c>
      <c r="J24" s="102" t="s">
        <v>26</v>
      </c>
      <c r="L24" s="229" t="s">
        <v>12127</v>
      </c>
      <c r="M24" s="229" t="s">
        <v>12128</v>
      </c>
      <c r="N24" s="229" t="s">
        <v>12108</v>
      </c>
      <c r="O24" s="102">
        <v>1.0</v>
      </c>
      <c r="P24" s="244">
        <f t="shared" si="1"/>
        <v>2</v>
      </c>
    </row>
    <row r="25" hidden="1">
      <c r="A25" s="102" t="s">
        <v>276</v>
      </c>
      <c r="B25" s="102" t="s">
        <v>12129</v>
      </c>
      <c r="C25" s="229" t="s">
        <v>12130</v>
      </c>
      <c r="D25" s="102" t="s">
        <v>12131</v>
      </c>
      <c r="E25" s="102" t="s">
        <v>11300</v>
      </c>
      <c r="F25" s="102" t="s">
        <v>11301</v>
      </c>
      <c r="G25" s="102" t="s">
        <v>11300</v>
      </c>
      <c r="H25" s="102" t="s">
        <v>11301</v>
      </c>
      <c r="I25" s="102" t="s">
        <v>284</v>
      </c>
      <c r="J25" s="102" t="s">
        <v>26</v>
      </c>
      <c r="L25" s="229" t="s">
        <v>12132</v>
      </c>
      <c r="M25" s="229" t="s">
        <v>12133</v>
      </c>
      <c r="O25" s="230"/>
      <c r="P25" s="244">
        <f t="shared" si="1"/>
        <v>0</v>
      </c>
    </row>
    <row r="26" hidden="1">
      <c r="A26" s="102" t="s">
        <v>4410</v>
      </c>
      <c r="B26" s="102" t="s">
        <v>12134</v>
      </c>
      <c r="C26" s="229" t="s">
        <v>12135</v>
      </c>
      <c r="D26" s="102" t="s">
        <v>12136</v>
      </c>
      <c r="E26" s="102" t="s">
        <v>314</v>
      </c>
      <c r="F26" s="102" t="s">
        <v>315</v>
      </c>
      <c r="G26" s="102" t="s">
        <v>314</v>
      </c>
      <c r="H26" s="102" t="s">
        <v>315</v>
      </c>
      <c r="I26" s="102" t="s">
        <v>515</v>
      </c>
      <c r="J26" s="102" t="s">
        <v>26</v>
      </c>
      <c r="L26" s="229" t="s">
        <v>12137</v>
      </c>
      <c r="M26" s="229" t="s">
        <v>12138</v>
      </c>
      <c r="N26" s="229" t="s">
        <v>12139</v>
      </c>
      <c r="O26" s="102">
        <v>1.0</v>
      </c>
      <c r="P26" s="244">
        <f t="shared" si="1"/>
        <v>2</v>
      </c>
    </row>
    <row r="27">
      <c r="A27" s="102" t="s">
        <v>310</v>
      </c>
      <c r="B27" s="102" t="s">
        <v>12140</v>
      </c>
      <c r="C27" s="229" t="s">
        <v>12141</v>
      </c>
      <c r="D27" s="102" t="s">
        <v>12142</v>
      </c>
      <c r="E27" s="102" t="s">
        <v>282</v>
      </c>
      <c r="F27" s="102" t="s">
        <v>283</v>
      </c>
      <c r="G27" s="102" t="s">
        <v>282</v>
      </c>
      <c r="H27" s="102" t="s">
        <v>283</v>
      </c>
      <c r="I27" s="102" t="s">
        <v>284</v>
      </c>
      <c r="J27" s="102" t="s">
        <v>26</v>
      </c>
      <c r="L27" s="229" t="s">
        <v>12143</v>
      </c>
      <c r="M27" s="229" t="s">
        <v>12144</v>
      </c>
      <c r="O27" s="102">
        <v>1.0</v>
      </c>
      <c r="P27" s="244">
        <f t="shared" si="1"/>
        <v>2</v>
      </c>
    </row>
    <row r="28" hidden="1">
      <c r="A28" s="102" t="s">
        <v>4410</v>
      </c>
      <c r="B28" s="102" t="s">
        <v>12145</v>
      </c>
      <c r="C28" s="229" t="s">
        <v>12146</v>
      </c>
      <c r="D28" s="102" t="s">
        <v>12147</v>
      </c>
      <c r="E28" s="102" t="s">
        <v>314</v>
      </c>
      <c r="F28" s="102" t="s">
        <v>315</v>
      </c>
      <c r="G28" s="102" t="s">
        <v>314</v>
      </c>
      <c r="H28" s="102" t="s">
        <v>315</v>
      </c>
      <c r="I28" s="102" t="s">
        <v>515</v>
      </c>
      <c r="J28" s="102" t="s">
        <v>26</v>
      </c>
      <c r="L28" s="229" t="s">
        <v>12148</v>
      </c>
      <c r="M28" s="229" t="s">
        <v>12149</v>
      </c>
      <c r="N28" s="229" t="s">
        <v>12139</v>
      </c>
      <c r="O28" s="102">
        <v>1.0</v>
      </c>
      <c r="P28" s="244">
        <f t="shared" si="1"/>
        <v>2</v>
      </c>
    </row>
    <row r="29" hidden="1">
      <c r="A29" s="102" t="s">
        <v>4410</v>
      </c>
      <c r="B29" s="102" t="s">
        <v>12150</v>
      </c>
      <c r="C29" s="229" t="s">
        <v>12151</v>
      </c>
      <c r="D29" s="102" t="s">
        <v>12152</v>
      </c>
      <c r="E29" s="102" t="s">
        <v>314</v>
      </c>
      <c r="F29" s="102" t="s">
        <v>315</v>
      </c>
      <c r="G29" s="102" t="s">
        <v>314</v>
      </c>
      <c r="H29" s="102" t="s">
        <v>315</v>
      </c>
      <c r="I29" s="102" t="s">
        <v>515</v>
      </c>
      <c r="J29" s="102" t="s">
        <v>26</v>
      </c>
      <c r="L29" s="229" t="s">
        <v>12153</v>
      </c>
      <c r="M29" s="229" t="s">
        <v>12154</v>
      </c>
      <c r="N29" s="229" t="s">
        <v>12139</v>
      </c>
      <c r="O29" s="102">
        <v>1.0</v>
      </c>
      <c r="P29" s="244">
        <f t="shared" si="1"/>
        <v>2</v>
      </c>
    </row>
    <row r="30" hidden="1">
      <c r="A30" s="102" t="s">
        <v>332</v>
      </c>
      <c r="B30" s="102" t="s">
        <v>12155</v>
      </c>
      <c r="C30" s="229" t="s">
        <v>12156</v>
      </c>
      <c r="D30" s="102" t="s">
        <v>12157</v>
      </c>
      <c r="E30" s="102" t="s">
        <v>556</v>
      </c>
      <c r="F30" s="102" t="s">
        <v>557</v>
      </c>
      <c r="G30" s="102" t="s">
        <v>280</v>
      </c>
      <c r="H30" s="102" t="s">
        <v>281</v>
      </c>
      <c r="I30" s="102" t="s">
        <v>284</v>
      </c>
      <c r="J30" s="102" t="s">
        <v>336</v>
      </c>
      <c r="L30" s="229" t="s">
        <v>12158</v>
      </c>
      <c r="M30" s="229" t="s">
        <v>12159</v>
      </c>
      <c r="O30" s="230"/>
      <c r="P30" s="244">
        <f t="shared" si="1"/>
        <v>0</v>
      </c>
    </row>
    <row r="31" hidden="1">
      <c r="A31" s="102" t="s">
        <v>4410</v>
      </c>
      <c r="B31" s="102" t="s">
        <v>12160</v>
      </c>
      <c r="C31" s="229" t="s">
        <v>12161</v>
      </c>
      <c r="D31" s="102" t="s">
        <v>12162</v>
      </c>
      <c r="E31" s="102" t="s">
        <v>353</v>
      </c>
      <c r="F31" s="102" t="s">
        <v>354</v>
      </c>
      <c r="G31" s="102" t="s">
        <v>353</v>
      </c>
      <c r="H31" s="102" t="s">
        <v>354</v>
      </c>
      <c r="I31" s="102" t="s">
        <v>284</v>
      </c>
      <c r="J31" s="102" t="s">
        <v>26</v>
      </c>
      <c r="L31" s="229" t="s">
        <v>12163</v>
      </c>
      <c r="M31" s="229" t="s">
        <v>12164</v>
      </c>
      <c r="O31" s="102">
        <v>1.0</v>
      </c>
      <c r="P31" s="244">
        <f t="shared" si="1"/>
        <v>2</v>
      </c>
    </row>
    <row r="32" hidden="1">
      <c r="A32" s="102" t="s">
        <v>332</v>
      </c>
      <c r="B32" s="102" t="s">
        <v>12165</v>
      </c>
      <c r="C32" s="229" t="s">
        <v>12166</v>
      </c>
      <c r="D32" s="102" t="s">
        <v>12167</v>
      </c>
      <c r="E32" s="102" t="s">
        <v>12168</v>
      </c>
      <c r="F32" s="102" t="s">
        <v>12169</v>
      </c>
      <c r="G32" s="102" t="s">
        <v>280</v>
      </c>
      <c r="H32" s="102" t="s">
        <v>281</v>
      </c>
      <c r="I32" s="102" t="s">
        <v>284</v>
      </c>
      <c r="J32" s="102" t="s">
        <v>336</v>
      </c>
      <c r="L32" s="229" t="s">
        <v>12170</v>
      </c>
      <c r="M32" s="229" t="s">
        <v>12171</v>
      </c>
      <c r="O32" s="230"/>
      <c r="P32" s="244">
        <f t="shared" si="1"/>
        <v>0</v>
      </c>
    </row>
    <row r="33" hidden="1">
      <c r="A33" s="102" t="s">
        <v>276</v>
      </c>
      <c r="B33" s="102" t="s">
        <v>12172</v>
      </c>
      <c r="C33" s="229" t="s">
        <v>12173</v>
      </c>
      <c r="D33" s="102" t="s">
        <v>12174</v>
      </c>
      <c r="E33" s="102" t="s">
        <v>521</v>
      </c>
      <c r="F33" s="102" t="s">
        <v>522</v>
      </c>
      <c r="G33" s="102" t="s">
        <v>391</v>
      </c>
      <c r="H33" s="102" t="s">
        <v>392</v>
      </c>
      <c r="I33" s="102" t="s">
        <v>284</v>
      </c>
      <c r="J33" s="102" t="s">
        <v>26</v>
      </c>
      <c r="L33" s="229" t="s">
        <v>12175</v>
      </c>
      <c r="M33" s="229" t="s">
        <v>12176</v>
      </c>
      <c r="O33" s="230"/>
      <c r="P33" s="244">
        <f t="shared" si="1"/>
        <v>0</v>
      </c>
    </row>
    <row r="34" hidden="1">
      <c r="A34" s="102" t="s">
        <v>276</v>
      </c>
      <c r="B34" s="102" t="s">
        <v>12177</v>
      </c>
      <c r="C34" s="229" t="s">
        <v>12178</v>
      </c>
      <c r="D34" s="102" t="s">
        <v>279</v>
      </c>
      <c r="E34" s="102" t="s">
        <v>391</v>
      </c>
      <c r="F34" s="102" t="s">
        <v>392</v>
      </c>
      <c r="G34" s="102" t="s">
        <v>391</v>
      </c>
      <c r="H34" s="102" t="s">
        <v>392</v>
      </c>
      <c r="I34" s="102" t="s">
        <v>284</v>
      </c>
      <c r="J34" s="102" t="s">
        <v>26</v>
      </c>
      <c r="L34" s="229" t="s">
        <v>12175</v>
      </c>
      <c r="M34" s="229" t="s">
        <v>12179</v>
      </c>
      <c r="O34" s="230"/>
      <c r="P34" s="244">
        <f t="shared" si="1"/>
        <v>0</v>
      </c>
    </row>
    <row r="35" hidden="1">
      <c r="A35" s="102" t="s">
        <v>276</v>
      </c>
      <c r="B35" s="102" t="s">
        <v>12180</v>
      </c>
      <c r="C35" s="229" t="s">
        <v>12181</v>
      </c>
      <c r="D35" s="102" t="s">
        <v>279</v>
      </c>
      <c r="E35" s="102" t="s">
        <v>391</v>
      </c>
      <c r="F35" s="102" t="s">
        <v>392</v>
      </c>
      <c r="G35" s="102" t="s">
        <v>391</v>
      </c>
      <c r="H35" s="102" t="s">
        <v>392</v>
      </c>
      <c r="I35" s="102" t="s">
        <v>284</v>
      </c>
      <c r="J35" s="102" t="s">
        <v>26</v>
      </c>
      <c r="L35" s="229" t="s">
        <v>12182</v>
      </c>
      <c r="M35" s="229" t="s">
        <v>12183</v>
      </c>
      <c r="O35" s="230"/>
      <c r="P35" s="244">
        <f t="shared" si="1"/>
        <v>0</v>
      </c>
    </row>
    <row r="36" hidden="1">
      <c r="A36" s="102" t="s">
        <v>276</v>
      </c>
      <c r="B36" s="102" t="s">
        <v>12184</v>
      </c>
      <c r="C36" s="229" t="s">
        <v>12185</v>
      </c>
      <c r="D36" s="102" t="s">
        <v>12186</v>
      </c>
      <c r="E36" s="102" t="s">
        <v>521</v>
      </c>
      <c r="F36" s="102" t="s">
        <v>522</v>
      </c>
      <c r="G36" s="102" t="s">
        <v>391</v>
      </c>
      <c r="H36" s="102" t="s">
        <v>392</v>
      </c>
      <c r="I36" s="102" t="s">
        <v>284</v>
      </c>
      <c r="J36" s="102" t="s">
        <v>26</v>
      </c>
      <c r="L36" s="229" t="s">
        <v>12182</v>
      </c>
      <c r="M36" s="229" t="s">
        <v>12187</v>
      </c>
      <c r="O36" s="230"/>
      <c r="P36" s="244">
        <f t="shared" si="1"/>
        <v>0</v>
      </c>
    </row>
    <row r="37" hidden="1">
      <c r="A37" s="102" t="s">
        <v>276</v>
      </c>
      <c r="B37" s="102" t="s">
        <v>12188</v>
      </c>
      <c r="C37" s="229" t="s">
        <v>12189</v>
      </c>
      <c r="D37" s="102" t="s">
        <v>12190</v>
      </c>
      <c r="E37" s="102" t="s">
        <v>521</v>
      </c>
      <c r="F37" s="102" t="s">
        <v>522</v>
      </c>
      <c r="G37" s="102" t="s">
        <v>391</v>
      </c>
      <c r="H37" s="102" t="s">
        <v>392</v>
      </c>
      <c r="I37" s="102" t="s">
        <v>284</v>
      </c>
      <c r="J37" s="102" t="s">
        <v>26</v>
      </c>
      <c r="L37" s="229" t="s">
        <v>12182</v>
      </c>
      <c r="M37" s="229" t="s">
        <v>12191</v>
      </c>
      <c r="O37" s="230"/>
      <c r="P37" s="244">
        <f t="shared" si="1"/>
        <v>0</v>
      </c>
    </row>
    <row r="38" hidden="1">
      <c r="A38" s="102" t="s">
        <v>4410</v>
      </c>
      <c r="B38" s="102" t="s">
        <v>11987</v>
      </c>
      <c r="C38" s="229" t="s">
        <v>11988</v>
      </c>
      <c r="D38" s="102" t="s">
        <v>11989</v>
      </c>
      <c r="E38" s="102" t="s">
        <v>11781</v>
      </c>
      <c r="F38" s="102" t="s">
        <v>11431</v>
      </c>
      <c r="G38" s="102" t="s">
        <v>353</v>
      </c>
      <c r="H38" s="102" t="s">
        <v>354</v>
      </c>
      <c r="I38" s="102" t="s">
        <v>284</v>
      </c>
      <c r="J38" s="102" t="s">
        <v>454</v>
      </c>
      <c r="L38" s="229" t="s">
        <v>11990</v>
      </c>
      <c r="M38" s="229" t="s">
        <v>11991</v>
      </c>
      <c r="N38" s="229" t="s">
        <v>11992</v>
      </c>
      <c r="O38" s="102">
        <v>5.0</v>
      </c>
      <c r="P38" s="244">
        <f t="shared" si="1"/>
        <v>24</v>
      </c>
    </row>
    <row r="39" hidden="1">
      <c r="A39" s="102" t="s">
        <v>4410</v>
      </c>
      <c r="B39" s="102" t="s">
        <v>12192</v>
      </c>
      <c r="C39" s="229" t="s">
        <v>12193</v>
      </c>
      <c r="D39" s="102" t="s">
        <v>12194</v>
      </c>
      <c r="E39" s="102" t="s">
        <v>314</v>
      </c>
      <c r="F39" s="102" t="s">
        <v>315</v>
      </c>
      <c r="G39" s="102" t="s">
        <v>314</v>
      </c>
      <c r="H39" s="102" t="s">
        <v>315</v>
      </c>
      <c r="I39" s="102" t="s">
        <v>515</v>
      </c>
      <c r="J39" s="102" t="s">
        <v>26</v>
      </c>
      <c r="L39" s="229" t="s">
        <v>12195</v>
      </c>
      <c r="M39" s="229" t="s">
        <v>12196</v>
      </c>
      <c r="N39" s="229" t="s">
        <v>12197</v>
      </c>
      <c r="O39" s="102">
        <v>1.0</v>
      </c>
      <c r="P39" s="244">
        <f t="shared" si="1"/>
        <v>2</v>
      </c>
    </row>
    <row r="40" hidden="1">
      <c r="A40" s="102" t="s">
        <v>4410</v>
      </c>
      <c r="B40" s="102" t="s">
        <v>12198</v>
      </c>
      <c r="C40" s="229" t="s">
        <v>12199</v>
      </c>
      <c r="D40" s="102" t="s">
        <v>12200</v>
      </c>
      <c r="E40" s="102" t="s">
        <v>314</v>
      </c>
      <c r="F40" s="102" t="s">
        <v>315</v>
      </c>
      <c r="G40" s="102" t="s">
        <v>314</v>
      </c>
      <c r="H40" s="102" t="s">
        <v>315</v>
      </c>
      <c r="I40" s="102" t="s">
        <v>515</v>
      </c>
      <c r="J40" s="102" t="s">
        <v>26</v>
      </c>
      <c r="L40" s="229" t="s">
        <v>12201</v>
      </c>
      <c r="M40" s="229" t="s">
        <v>12202</v>
      </c>
      <c r="N40" s="229" t="s">
        <v>12197</v>
      </c>
      <c r="O40" s="102">
        <v>1.0</v>
      </c>
      <c r="P40" s="244">
        <f t="shared" si="1"/>
        <v>2</v>
      </c>
    </row>
    <row r="41" hidden="1">
      <c r="A41" s="102" t="s">
        <v>276</v>
      </c>
      <c r="B41" s="102" t="s">
        <v>12203</v>
      </c>
      <c r="C41" s="229" t="s">
        <v>12204</v>
      </c>
      <c r="D41" s="102" t="s">
        <v>12205</v>
      </c>
      <c r="E41" s="102" t="s">
        <v>391</v>
      </c>
      <c r="F41" s="102" t="s">
        <v>392</v>
      </c>
      <c r="G41" s="102" t="s">
        <v>391</v>
      </c>
      <c r="H41" s="102" t="s">
        <v>392</v>
      </c>
      <c r="I41" s="102" t="s">
        <v>284</v>
      </c>
      <c r="J41" s="102" t="s">
        <v>26</v>
      </c>
      <c r="L41" s="229" t="s">
        <v>12206</v>
      </c>
      <c r="M41" s="229" t="s">
        <v>12207</v>
      </c>
      <c r="O41" s="230"/>
      <c r="P41" s="244">
        <f t="shared" si="1"/>
        <v>0</v>
      </c>
    </row>
    <row r="42" hidden="1">
      <c r="A42" s="102" t="s">
        <v>276</v>
      </c>
      <c r="B42" s="102" t="s">
        <v>12208</v>
      </c>
      <c r="C42" s="229" t="s">
        <v>12209</v>
      </c>
      <c r="D42" s="102" t="s">
        <v>9735</v>
      </c>
      <c r="E42" s="102" t="s">
        <v>391</v>
      </c>
      <c r="F42" s="102" t="s">
        <v>392</v>
      </c>
      <c r="G42" s="102" t="s">
        <v>391</v>
      </c>
      <c r="H42" s="102" t="s">
        <v>392</v>
      </c>
      <c r="I42" s="102" t="s">
        <v>284</v>
      </c>
      <c r="J42" s="102" t="s">
        <v>26</v>
      </c>
      <c r="L42" s="229" t="s">
        <v>12206</v>
      </c>
      <c r="M42" s="229" t="s">
        <v>12210</v>
      </c>
      <c r="O42" s="230"/>
      <c r="P42" s="244">
        <f t="shared" si="1"/>
        <v>0</v>
      </c>
    </row>
    <row r="43" hidden="1">
      <c r="A43" s="102" t="s">
        <v>276</v>
      </c>
      <c r="B43" s="102" t="s">
        <v>12211</v>
      </c>
      <c r="C43" s="229" t="s">
        <v>12212</v>
      </c>
      <c r="D43" s="102" t="s">
        <v>347</v>
      </c>
      <c r="E43" s="102" t="s">
        <v>391</v>
      </c>
      <c r="F43" s="102" t="s">
        <v>392</v>
      </c>
      <c r="G43" s="102" t="s">
        <v>391</v>
      </c>
      <c r="H43" s="102" t="s">
        <v>392</v>
      </c>
      <c r="I43" s="102" t="s">
        <v>284</v>
      </c>
      <c r="J43" s="102" t="s">
        <v>26</v>
      </c>
      <c r="L43" s="229" t="s">
        <v>12213</v>
      </c>
      <c r="M43" s="229" t="s">
        <v>12214</v>
      </c>
      <c r="O43" s="230"/>
      <c r="P43" s="244">
        <f t="shared" si="1"/>
        <v>0</v>
      </c>
    </row>
    <row r="44" hidden="1">
      <c r="A44" s="102" t="s">
        <v>276</v>
      </c>
      <c r="B44" s="102" t="s">
        <v>12215</v>
      </c>
      <c r="C44" s="229" t="s">
        <v>12216</v>
      </c>
      <c r="D44" s="102" t="s">
        <v>9735</v>
      </c>
      <c r="E44" s="102" t="s">
        <v>391</v>
      </c>
      <c r="F44" s="102" t="s">
        <v>392</v>
      </c>
      <c r="G44" s="102" t="s">
        <v>391</v>
      </c>
      <c r="H44" s="102" t="s">
        <v>392</v>
      </c>
      <c r="I44" s="102" t="s">
        <v>284</v>
      </c>
      <c r="J44" s="102" t="s">
        <v>26</v>
      </c>
      <c r="L44" s="229" t="s">
        <v>12213</v>
      </c>
      <c r="M44" s="229" t="s">
        <v>12217</v>
      </c>
      <c r="O44" s="230"/>
      <c r="P44" s="244">
        <f t="shared" si="1"/>
        <v>0</v>
      </c>
    </row>
    <row r="45" hidden="1">
      <c r="A45" s="102" t="s">
        <v>276</v>
      </c>
      <c r="B45" s="102" t="s">
        <v>12218</v>
      </c>
      <c r="C45" s="229" t="s">
        <v>12219</v>
      </c>
      <c r="D45" s="102" t="s">
        <v>12220</v>
      </c>
      <c r="E45" s="102" t="s">
        <v>391</v>
      </c>
      <c r="F45" s="102" t="s">
        <v>392</v>
      </c>
      <c r="G45" s="102" t="s">
        <v>391</v>
      </c>
      <c r="H45" s="102" t="s">
        <v>392</v>
      </c>
      <c r="I45" s="102" t="s">
        <v>284</v>
      </c>
      <c r="J45" s="102" t="s">
        <v>26</v>
      </c>
      <c r="L45" s="229" t="s">
        <v>12221</v>
      </c>
      <c r="M45" s="229" t="s">
        <v>12222</v>
      </c>
      <c r="O45" s="230"/>
      <c r="P45" s="244">
        <f t="shared" si="1"/>
        <v>0</v>
      </c>
    </row>
    <row r="46" hidden="1">
      <c r="A46" s="102" t="s">
        <v>276</v>
      </c>
      <c r="B46" s="102" t="s">
        <v>12223</v>
      </c>
      <c r="C46" s="229" t="s">
        <v>12224</v>
      </c>
      <c r="D46" s="102" t="s">
        <v>9735</v>
      </c>
      <c r="E46" s="102" t="s">
        <v>391</v>
      </c>
      <c r="F46" s="102" t="s">
        <v>392</v>
      </c>
      <c r="G46" s="102" t="s">
        <v>391</v>
      </c>
      <c r="H46" s="102" t="s">
        <v>392</v>
      </c>
      <c r="I46" s="102" t="s">
        <v>284</v>
      </c>
      <c r="J46" s="102" t="s">
        <v>26</v>
      </c>
      <c r="L46" s="229" t="s">
        <v>12221</v>
      </c>
      <c r="M46" s="229" t="s">
        <v>12225</v>
      </c>
      <c r="O46" s="230"/>
      <c r="P46" s="244">
        <f t="shared" si="1"/>
        <v>0</v>
      </c>
    </row>
    <row r="47" hidden="1">
      <c r="A47" s="102" t="s">
        <v>276</v>
      </c>
      <c r="B47" s="102" t="s">
        <v>12226</v>
      </c>
      <c r="C47" s="229" t="s">
        <v>12227</v>
      </c>
      <c r="D47" s="102" t="s">
        <v>11995</v>
      </c>
      <c r="E47" s="102" t="s">
        <v>391</v>
      </c>
      <c r="F47" s="102" t="s">
        <v>392</v>
      </c>
      <c r="G47" s="102" t="s">
        <v>391</v>
      </c>
      <c r="H47" s="102" t="s">
        <v>392</v>
      </c>
      <c r="I47" s="102" t="s">
        <v>284</v>
      </c>
      <c r="J47" s="102" t="s">
        <v>26</v>
      </c>
      <c r="L47" s="229" t="s">
        <v>12228</v>
      </c>
      <c r="M47" s="229" t="s">
        <v>12229</v>
      </c>
      <c r="O47" s="230"/>
      <c r="P47" s="244">
        <f t="shared" si="1"/>
        <v>0</v>
      </c>
    </row>
    <row r="48" hidden="1">
      <c r="A48" s="102" t="s">
        <v>276</v>
      </c>
      <c r="B48" s="102" t="s">
        <v>12230</v>
      </c>
      <c r="C48" s="229" t="s">
        <v>12231</v>
      </c>
      <c r="D48" s="102" t="s">
        <v>9735</v>
      </c>
      <c r="E48" s="102" t="s">
        <v>391</v>
      </c>
      <c r="F48" s="102" t="s">
        <v>392</v>
      </c>
      <c r="G48" s="102" t="s">
        <v>391</v>
      </c>
      <c r="H48" s="102" t="s">
        <v>392</v>
      </c>
      <c r="I48" s="102" t="s">
        <v>284</v>
      </c>
      <c r="J48" s="102" t="s">
        <v>26</v>
      </c>
      <c r="L48" s="229" t="s">
        <v>12232</v>
      </c>
      <c r="M48" s="229" t="s">
        <v>12229</v>
      </c>
      <c r="O48" s="230"/>
      <c r="P48" s="244">
        <f t="shared" si="1"/>
        <v>0</v>
      </c>
    </row>
    <row r="49" hidden="1">
      <c r="A49" s="102" t="s">
        <v>276</v>
      </c>
      <c r="B49" s="102" t="s">
        <v>12233</v>
      </c>
      <c r="C49" s="229" t="s">
        <v>12234</v>
      </c>
      <c r="D49" s="102" t="s">
        <v>347</v>
      </c>
      <c r="E49" s="102" t="s">
        <v>391</v>
      </c>
      <c r="F49" s="102" t="s">
        <v>392</v>
      </c>
      <c r="G49" s="102" t="s">
        <v>391</v>
      </c>
      <c r="H49" s="102" t="s">
        <v>392</v>
      </c>
      <c r="I49" s="102" t="s">
        <v>284</v>
      </c>
      <c r="J49" s="102" t="s">
        <v>26</v>
      </c>
      <c r="L49" s="229" t="s">
        <v>12235</v>
      </c>
      <c r="M49" s="229" t="s">
        <v>12236</v>
      </c>
      <c r="O49" s="230"/>
      <c r="P49" s="244">
        <f t="shared" si="1"/>
        <v>0</v>
      </c>
    </row>
    <row r="50" hidden="1">
      <c r="A50" s="102" t="s">
        <v>276</v>
      </c>
      <c r="B50" s="102" t="s">
        <v>12237</v>
      </c>
      <c r="C50" s="229" t="s">
        <v>12238</v>
      </c>
      <c r="D50" s="102" t="s">
        <v>9735</v>
      </c>
      <c r="E50" s="102" t="s">
        <v>391</v>
      </c>
      <c r="F50" s="102" t="s">
        <v>392</v>
      </c>
      <c r="G50" s="102" t="s">
        <v>391</v>
      </c>
      <c r="H50" s="102" t="s">
        <v>392</v>
      </c>
      <c r="I50" s="102" t="s">
        <v>284</v>
      </c>
      <c r="J50" s="102" t="s">
        <v>26</v>
      </c>
      <c r="L50" s="229" t="s">
        <v>11996</v>
      </c>
      <c r="M50" s="229" t="s">
        <v>12239</v>
      </c>
      <c r="O50" s="230"/>
      <c r="P50" s="244">
        <f t="shared" si="1"/>
        <v>0</v>
      </c>
    </row>
    <row r="51" hidden="1">
      <c r="A51" s="102" t="s">
        <v>276</v>
      </c>
      <c r="B51" s="102" t="s">
        <v>11993</v>
      </c>
      <c r="C51" s="229" t="s">
        <v>11994</v>
      </c>
      <c r="D51" s="102" t="s">
        <v>11995</v>
      </c>
      <c r="E51" s="102" t="s">
        <v>391</v>
      </c>
      <c r="F51" s="102" t="s">
        <v>392</v>
      </c>
      <c r="G51" s="102" t="s">
        <v>391</v>
      </c>
      <c r="H51" s="102" t="s">
        <v>392</v>
      </c>
      <c r="I51" s="102" t="s">
        <v>284</v>
      </c>
      <c r="J51" s="102" t="s">
        <v>26</v>
      </c>
      <c r="L51" s="229" t="s">
        <v>11996</v>
      </c>
      <c r="M51" s="229" t="s">
        <v>11997</v>
      </c>
      <c r="O51" s="230"/>
      <c r="P51" s="244">
        <f t="shared" si="1"/>
        <v>0</v>
      </c>
    </row>
    <row r="52" hidden="1">
      <c r="A52" s="102" t="s">
        <v>276</v>
      </c>
      <c r="B52" s="102" t="s">
        <v>11998</v>
      </c>
      <c r="C52" s="229" t="s">
        <v>11999</v>
      </c>
      <c r="D52" s="102" t="s">
        <v>9735</v>
      </c>
      <c r="E52" s="102" t="s">
        <v>391</v>
      </c>
      <c r="F52" s="102" t="s">
        <v>392</v>
      </c>
      <c r="G52" s="102" t="s">
        <v>391</v>
      </c>
      <c r="H52" s="102" t="s">
        <v>392</v>
      </c>
      <c r="I52" s="102" t="s">
        <v>284</v>
      </c>
      <c r="J52" s="102" t="s">
        <v>26</v>
      </c>
      <c r="L52" s="229" t="s">
        <v>11996</v>
      </c>
      <c r="M52" s="229" t="s">
        <v>12000</v>
      </c>
      <c r="O52" s="230"/>
      <c r="P52" s="244">
        <f t="shared" si="1"/>
        <v>0</v>
      </c>
    </row>
    <row r="53" hidden="1">
      <c r="A53" s="102" t="s">
        <v>276</v>
      </c>
      <c r="B53" s="102" t="s">
        <v>12240</v>
      </c>
      <c r="C53" s="229" t="s">
        <v>12241</v>
      </c>
      <c r="D53" s="102" t="s">
        <v>347</v>
      </c>
      <c r="E53" s="102" t="s">
        <v>521</v>
      </c>
      <c r="F53" s="102" t="s">
        <v>522</v>
      </c>
      <c r="G53" s="102" t="s">
        <v>521</v>
      </c>
      <c r="H53" s="102" t="s">
        <v>522</v>
      </c>
      <c r="I53" s="102" t="s">
        <v>284</v>
      </c>
      <c r="J53" s="102" t="s">
        <v>26</v>
      </c>
      <c r="L53" s="229" t="s">
        <v>12242</v>
      </c>
      <c r="M53" s="229" t="s">
        <v>12243</v>
      </c>
      <c r="O53" s="230"/>
      <c r="P53" s="244">
        <f t="shared" si="1"/>
        <v>0</v>
      </c>
    </row>
    <row r="54" hidden="1">
      <c r="A54" s="102" t="s">
        <v>276</v>
      </c>
      <c r="B54" s="102" t="s">
        <v>12244</v>
      </c>
      <c r="C54" s="229" t="s">
        <v>12245</v>
      </c>
      <c r="D54" s="102" t="s">
        <v>279</v>
      </c>
      <c r="G54" s="102" t="s">
        <v>521</v>
      </c>
      <c r="H54" s="102" t="s">
        <v>522</v>
      </c>
      <c r="I54" s="102" t="s">
        <v>284</v>
      </c>
      <c r="J54" s="102" t="s">
        <v>26</v>
      </c>
      <c r="L54" s="229" t="s">
        <v>12246</v>
      </c>
      <c r="M54" s="229" t="s">
        <v>12246</v>
      </c>
      <c r="O54" s="230"/>
      <c r="P54" s="244">
        <f t="shared" si="1"/>
        <v>0</v>
      </c>
    </row>
    <row r="55" hidden="1">
      <c r="A55" s="102" t="s">
        <v>276</v>
      </c>
      <c r="B55" s="102" t="s">
        <v>12247</v>
      </c>
      <c r="C55" s="229" t="s">
        <v>12248</v>
      </c>
      <c r="D55" s="102" t="s">
        <v>12249</v>
      </c>
      <c r="E55" s="102" t="s">
        <v>314</v>
      </c>
      <c r="F55" s="102" t="s">
        <v>315</v>
      </c>
      <c r="G55" s="102" t="s">
        <v>314</v>
      </c>
      <c r="H55" s="102" t="s">
        <v>315</v>
      </c>
      <c r="I55" s="102" t="s">
        <v>284</v>
      </c>
      <c r="J55" s="102" t="s">
        <v>26</v>
      </c>
      <c r="L55" s="229" t="s">
        <v>12250</v>
      </c>
      <c r="M55" s="229" t="s">
        <v>12251</v>
      </c>
      <c r="O55" s="230"/>
      <c r="P55" s="244">
        <f t="shared" si="1"/>
        <v>0</v>
      </c>
    </row>
    <row r="56" hidden="1">
      <c r="A56" s="102" t="s">
        <v>4410</v>
      </c>
      <c r="B56" s="102" t="s">
        <v>12252</v>
      </c>
      <c r="C56" s="229" t="s">
        <v>12253</v>
      </c>
      <c r="D56" s="102" t="s">
        <v>12254</v>
      </c>
      <c r="E56" s="102" t="s">
        <v>314</v>
      </c>
      <c r="F56" s="102" t="s">
        <v>315</v>
      </c>
      <c r="G56" s="102" t="s">
        <v>314</v>
      </c>
      <c r="H56" s="102" t="s">
        <v>315</v>
      </c>
      <c r="I56" s="102" t="s">
        <v>515</v>
      </c>
      <c r="J56" s="102" t="s">
        <v>26</v>
      </c>
      <c r="L56" s="229" t="s">
        <v>12255</v>
      </c>
      <c r="M56" s="229" t="s">
        <v>12256</v>
      </c>
      <c r="N56" s="229" t="s">
        <v>12257</v>
      </c>
      <c r="O56" s="102">
        <v>1.0</v>
      </c>
      <c r="P56" s="244">
        <f t="shared" si="1"/>
        <v>2</v>
      </c>
    </row>
    <row r="57">
      <c r="A57" s="102" t="s">
        <v>310</v>
      </c>
      <c r="B57" s="102" t="s">
        <v>12258</v>
      </c>
      <c r="C57" s="229" t="s">
        <v>12259</v>
      </c>
      <c r="D57" s="102" t="s">
        <v>12260</v>
      </c>
      <c r="E57" s="102" t="s">
        <v>282</v>
      </c>
      <c r="F57" s="102" t="s">
        <v>283</v>
      </c>
      <c r="G57" s="102" t="s">
        <v>282</v>
      </c>
      <c r="H57" s="102" t="s">
        <v>283</v>
      </c>
      <c r="I57" s="102" t="s">
        <v>515</v>
      </c>
      <c r="J57" s="102" t="s">
        <v>26</v>
      </c>
      <c r="L57" s="229" t="s">
        <v>12261</v>
      </c>
      <c r="M57" s="229" t="s">
        <v>12262</v>
      </c>
      <c r="O57" s="102">
        <v>2.0</v>
      </c>
      <c r="P57" s="244">
        <f t="shared" si="1"/>
        <v>4</v>
      </c>
    </row>
    <row r="58" hidden="1">
      <c r="A58" s="102" t="s">
        <v>276</v>
      </c>
      <c r="B58" s="102" t="s">
        <v>12263</v>
      </c>
      <c r="C58" s="229" t="s">
        <v>12264</v>
      </c>
      <c r="D58" s="102" t="s">
        <v>12265</v>
      </c>
      <c r="E58" s="102" t="s">
        <v>11704</v>
      </c>
      <c r="F58" s="102" t="s">
        <v>11705</v>
      </c>
      <c r="G58" s="102" t="s">
        <v>11704</v>
      </c>
      <c r="H58" s="102" t="s">
        <v>11705</v>
      </c>
      <c r="I58" s="102" t="s">
        <v>284</v>
      </c>
      <c r="J58" s="102" t="s">
        <v>26</v>
      </c>
      <c r="L58" s="229" t="s">
        <v>12266</v>
      </c>
      <c r="M58" s="229" t="s">
        <v>12267</v>
      </c>
      <c r="O58" s="230"/>
      <c r="P58" s="244">
        <f t="shared" si="1"/>
        <v>0</v>
      </c>
    </row>
    <row r="59" hidden="1">
      <c r="A59" s="102" t="s">
        <v>4410</v>
      </c>
      <c r="B59" s="102" t="s">
        <v>12268</v>
      </c>
      <c r="C59" s="229" t="s">
        <v>12269</v>
      </c>
      <c r="D59" s="102" t="s">
        <v>12270</v>
      </c>
      <c r="E59" s="102" t="s">
        <v>353</v>
      </c>
      <c r="F59" s="102" t="s">
        <v>354</v>
      </c>
      <c r="G59" s="102" t="s">
        <v>353</v>
      </c>
      <c r="H59" s="102" t="s">
        <v>354</v>
      </c>
      <c r="I59" s="102" t="s">
        <v>284</v>
      </c>
      <c r="J59" s="102" t="s">
        <v>26</v>
      </c>
      <c r="L59" s="229" t="s">
        <v>12271</v>
      </c>
      <c r="M59" s="229" t="s">
        <v>12272</v>
      </c>
      <c r="O59" s="102">
        <v>5.0</v>
      </c>
      <c r="P59" s="244">
        <f t="shared" si="1"/>
        <v>24</v>
      </c>
    </row>
    <row r="60" hidden="1">
      <c r="A60" s="102" t="s">
        <v>4410</v>
      </c>
      <c r="B60" s="102" t="s">
        <v>12273</v>
      </c>
      <c r="C60" s="229" t="s">
        <v>12274</v>
      </c>
      <c r="D60" s="102" t="s">
        <v>12275</v>
      </c>
      <c r="E60" s="102" t="s">
        <v>314</v>
      </c>
      <c r="F60" s="102" t="s">
        <v>315</v>
      </c>
      <c r="G60" s="102" t="s">
        <v>353</v>
      </c>
      <c r="H60" s="102" t="s">
        <v>354</v>
      </c>
      <c r="I60" s="102" t="s">
        <v>284</v>
      </c>
      <c r="J60" s="102" t="s">
        <v>26</v>
      </c>
      <c r="L60" s="229" t="s">
        <v>12276</v>
      </c>
      <c r="M60" s="229" t="s">
        <v>12277</v>
      </c>
      <c r="O60" s="102">
        <v>8.0</v>
      </c>
      <c r="P60" s="244">
        <f t="shared" si="1"/>
        <v>32</v>
      </c>
    </row>
    <row r="61" hidden="1">
      <c r="A61" s="102" t="s">
        <v>4410</v>
      </c>
      <c r="B61" s="102" t="s">
        <v>12278</v>
      </c>
      <c r="C61" s="229" t="s">
        <v>12279</v>
      </c>
      <c r="D61" s="102" t="s">
        <v>12280</v>
      </c>
      <c r="E61" s="102" t="s">
        <v>314</v>
      </c>
      <c r="F61" s="102" t="s">
        <v>315</v>
      </c>
      <c r="G61" s="102" t="s">
        <v>314</v>
      </c>
      <c r="H61" s="102" t="s">
        <v>315</v>
      </c>
      <c r="I61" s="102" t="s">
        <v>515</v>
      </c>
      <c r="J61" s="102" t="s">
        <v>26</v>
      </c>
      <c r="L61" s="229" t="s">
        <v>12281</v>
      </c>
      <c r="M61" s="229" t="s">
        <v>12282</v>
      </c>
      <c r="N61" s="229" t="s">
        <v>12257</v>
      </c>
      <c r="O61" s="102">
        <v>1.0</v>
      </c>
      <c r="P61" s="244">
        <f t="shared" si="1"/>
        <v>2</v>
      </c>
    </row>
    <row r="62" hidden="1">
      <c r="A62" s="102" t="s">
        <v>4410</v>
      </c>
      <c r="B62" s="102" t="s">
        <v>12283</v>
      </c>
      <c r="C62" s="229" t="s">
        <v>12284</v>
      </c>
      <c r="D62" s="102" t="s">
        <v>12285</v>
      </c>
      <c r="E62" s="102" t="s">
        <v>353</v>
      </c>
      <c r="F62" s="102" t="s">
        <v>354</v>
      </c>
      <c r="G62" s="102" t="s">
        <v>314</v>
      </c>
      <c r="H62" s="102" t="s">
        <v>315</v>
      </c>
      <c r="I62" s="102" t="s">
        <v>515</v>
      </c>
      <c r="J62" s="102" t="s">
        <v>26</v>
      </c>
      <c r="L62" s="229" t="s">
        <v>12286</v>
      </c>
      <c r="M62" s="229" t="s">
        <v>12287</v>
      </c>
      <c r="O62" s="102">
        <v>1.0</v>
      </c>
      <c r="P62" s="244">
        <f t="shared" si="1"/>
        <v>2</v>
      </c>
    </row>
    <row r="63" hidden="1">
      <c r="A63" s="102" t="s">
        <v>4410</v>
      </c>
      <c r="B63" s="102" t="s">
        <v>12288</v>
      </c>
      <c r="C63" s="229" t="s">
        <v>12289</v>
      </c>
      <c r="D63" s="102" t="s">
        <v>12290</v>
      </c>
      <c r="E63" s="102" t="s">
        <v>314</v>
      </c>
      <c r="F63" s="102" t="s">
        <v>315</v>
      </c>
      <c r="G63" s="102" t="s">
        <v>314</v>
      </c>
      <c r="H63" s="102" t="s">
        <v>315</v>
      </c>
      <c r="I63" s="102" t="s">
        <v>515</v>
      </c>
      <c r="J63" s="102" t="s">
        <v>26</v>
      </c>
      <c r="L63" s="229" t="s">
        <v>12291</v>
      </c>
      <c r="M63" s="229" t="s">
        <v>12282</v>
      </c>
      <c r="N63" s="229" t="s">
        <v>12257</v>
      </c>
      <c r="O63" s="102">
        <v>1.0</v>
      </c>
      <c r="P63" s="244">
        <f t="shared" si="1"/>
        <v>2</v>
      </c>
    </row>
    <row r="64" hidden="1">
      <c r="A64" s="102" t="s">
        <v>276</v>
      </c>
      <c r="B64" s="102" t="s">
        <v>12292</v>
      </c>
      <c r="C64" s="229" t="s">
        <v>12293</v>
      </c>
      <c r="D64" s="102" t="s">
        <v>1459</v>
      </c>
      <c r="E64" s="102" t="s">
        <v>391</v>
      </c>
      <c r="F64" s="102" t="s">
        <v>392</v>
      </c>
      <c r="G64" s="102" t="s">
        <v>391</v>
      </c>
      <c r="H64" s="102" t="s">
        <v>392</v>
      </c>
      <c r="I64" s="102" t="s">
        <v>284</v>
      </c>
      <c r="J64" s="102" t="s">
        <v>26</v>
      </c>
      <c r="K64" s="102" t="s">
        <v>26</v>
      </c>
      <c r="L64" s="229" t="s">
        <v>12294</v>
      </c>
      <c r="M64" s="229" t="s">
        <v>12295</v>
      </c>
      <c r="O64" s="230"/>
      <c r="P64" s="244">
        <f t="shared" si="1"/>
        <v>0</v>
      </c>
    </row>
    <row r="65" hidden="1">
      <c r="A65" s="102" t="s">
        <v>276</v>
      </c>
      <c r="B65" s="102" t="s">
        <v>12296</v>
      </c>
      <c r="C65" s="229" t="s">
        <v>12297</v>
      </c>
      <c r="D65" s="102" t="s">
        <v>11687</v>
      </c>
      <c r="E65" s="102" t="s">
        <v>11704</v>
      </c>
      <c r="F65" s="102" t="s">
        <v>11705</v>
      </c>
      <c r="G65" s="102" t="s">
        <v>11704</v>
      </c>
      <c r="H65" s="102" t="s">
        <v>11705</v>
      </c>
      <c r="I65" s="102" t="s">
        <v>284</v>
      </c>
      <c r="J65" s="102" t="s">
        <v>26</v>
      </c>
      <c r="K65" s="102" t="s">
        <v>26</v>
      </c>
      <c r="L65" s="229" t="s">
        <v>12298</v>
      </c>
      <c r="M65" s="229" t="s">
        <v>12299</v>
      </c>
      <c r="O65" s="230"/>
      <c r="P65" s="244">
        <f t="shared" si="1"/>
        <v>0</v>
      </c>
    </row>
    <row r="66" hidden="1">
      <c r="A66" s="102" t="s">
        <v>4410</v>
      </c>
      <c r="B66" s="102" t="s">
        <v>12300</v>
      </c>
      <c r="C66" s="229" t="s">
        <v>12301</v>
      </c>
      <c r="D66" s="102" t="s">
        <v>12302</v>
      </c>
      <c r="E66" s="102" t="s">
        <v>353</v>
      </c>
      <c r="F66" s="102" t="s">
        <v>354</v>
      </c>
      <c r="G66" s="102" t="s">
        <v>353</v>
      </c>
      <c r="H66" s="102" t="s">
        <v>354</v>
      </c>
      <c r="I66" s="102" t="s">
        <v>284</v>
      </c>
      <c r="J66" s="102" t="s">
        <v>26</v>
      </c>
      <c r="K66" s="102" t="s">
        <v>26</v>
      </c>
      <c r="L66" s="229" t="s">
        <v>12303</v>
      </c>
      <c r="M66" s="229" t="s">
        <v>12304</v>
      </c>
      <c r="O66" s="102">
        <v>1.0</v>
      </c>
      <c r="P66" s="244">
        <f t="shared" si="1"/>
        <v>2</v>
      </c>
    </row>
    <row r="67" hidden="1">
      <c r="A67" s="102" t="s">
        <v>4410</v>
      </c>
      <c r="B67" s="102" t="s">
        <v>12305</v>
      </c>
      <c r="C67" s="229" t="s">
        <v>12306</v>
      </c>
      <c r="D67" s="102" t="s">
        <v>12307</v>
      </c>
      <c r="E67" s="102" t="s">
        <v>353</v>
      </c>
      <c r="F67" s="102" t="s">
        <v>354</v>
      </c>
      <c r="G67" s="102" t="s">
        <v>353</v>
      </c>
      <c r="H67" s="102" t="s">
        <v>354</v>
      </c>
      <c r="I67" s="102" t="s">
        <v>284</v>
      </c>
      <c r="J67" s="102" t="s">
        <v>26</v>
      </c>
      <c r="K67" s="102" t="s">
        <v>26</v>
      </c>
      <c r="L67" s="229" t="s">
        <v>12303</v>
      </c>
      <c r="M67" s="229" t="s">
        <v>12308</v>
      </c>
      <c r="O67" s="102">
        <v>1.0</v>
      </c>
      <c r="P67" s="244">
        <f t="shared" si="1"/>
        <v>2</v>
      </c>
    </row>
    <row r="68" hidden="1">
      <c r="A68" s="102" t="s">
        <v>4410</v>
      </c>
      <c r="B68" s="102" t="s">
        <v>12309</v>
      </c>
      <c r="C68" s="229" t="s">
        <v>12310</v>
      </c>
      <c r="D68" s="102" t="s">
        <v>12311</v>
      </c>
      <c r="E68" s="102" t="s">
        <v>353</v>
      </c>
      <c r="F68" s="102" t="s">
        <v>354</v>
      </c>
      <c r="G68" s="102" t="s">
        <v>353</v>
      </c>
      <c r="H68" s="102" t="s">
        <v>354</v>
      </c>
      <c r="I68" s="102" t="s">
        <v>284</v>
      </c>
      <c r="J68" s="102" t="s">
        <v>26</v>
      </c>
      <c r="K68" s="102" t="s">
        <v>26</v>
      </c>
      <c r="L68" s="229" t="s">
        <v>12303</v>
      </c>
      <c r="M68" s="229" t="s">
        <v>12308</v>
      </c>
      <c r="O68" s="102">
        <v>1.0</v>
      </c>
      <c r="P68" s="244">
        <f t="shared" si="1"/>
        <v>2</v>
      </c>
    </row>
    <row r="69" hidden="1">
      <c r="A69" s="102" t="s">
        <v>4410</v>
      </c>
      <c r="B69" s="102" t="s">
        <v>12312</v>
      </c>
      <c r="C69" s="229" t="s">
        <v>12313</v>
      </c>
      <c r="D69" s="102" t="s">
        <v>12314</v>
      </c>
      <c r="E69" s="102" t="s">
        <v>353</v>
      </c>
      <c r="F69" s="102" t="s">
        <v>354</v>
      </c>
      <c r="G69" s="102" t="s">
        <v>353</v>
      </c>
      <c r="H69" s="102" t="s">
        <v>354</v>
      </c>
      <c r="I69" s="102" t="s">
        <v>284</v>
      </c>
      <c r="J69" s="102" t="s">
        <v>26</v>
      </c>
      <c r="K69" s="102" t="s">
        <v>26</v>
      </c>
      <c r="L69" s="229" t="s">
        <v>12303</v>
      </c>
      <c r="M69" s="229" t="s">
        <v>12315</v>
      </c>
      <c r="O69" s="102">
        <v>1.0</v>
      </c>
      <c r="P69" s="244">
        <f t="shared" si="1"/>
        <v>2</v>
      </c>
    </row>
    <row r="70" hidden="1">
      <c r="A70" s="102" t="s">
        <v>1459</v>
      </c>
      <c r="B70" s="102" t="s">
        <v>12316</v>
      </c>
      <c r="C70" s="229" t="s">
        <v>12317</v>
      </c>
      <c r="D70" s="102" t="s">
        <v>12318</v>
      </c>
      <c r="E70" s="102" t="s">
        <v>353</v>
      </c>
      <c r="F70" s="102" t="s">
        <v>354</v>
      </c>
      <c r="G70" s="102" t="s">
        <v>521</v>
      </c>
      <c r="H70" s="102" t="s">
        <v>522</v>
      </c>
      <c r="I70" s="102" t="s">
        <v>284</v>
      </c>
      <c r="J70" s="102" t="s">
        <v>26</v>
      </c>
      <c r="L70" s="229" t="s">
        <v>12319</v>
      </c>
      <c r="M70" s="229" t="s">
        <v>12320</v>
      </c>
      <c r="O70" s="230"/>
      <c r="P70" s="244">
        <f t="shared" si="1"/>
        <v>0</v>
      </c>
    </row>
    <row r="71" hidden="1">
      <c r="A71" s="102" t="s">
        <v>4410</v>
      </c>
      <c r="B71" s="102" t="s">
        <v>12321</v>
      </c>
      <c r="C71" s="229" t="s">
        <v>12322</v>
      </c>
      <c r="D71" s="102" t="s">
        <v>12323</v>
      </c>
      <c r="E71" s="102" t="s">
        <v>353</v>
      </c>
      <c r="F71" s="102" t="s">
        <v>354</v>
      </c>
      <c r="G71" s="102" t="s">
        <v>353</v>
      </c>
      <c r="H71" s="102" t="s">
        <v>354</v>
      </c>
      <c r="I71" s="102" t="s">
        <v>284</v>
      </c>
      <c r="J71" s="102" t="s">
        <v>26</v>
      </c>
      <c r="K71" s="102" t="s">
        <v>26</v>
      </c>
      <c r="L71" s="229" t="s">
        <v>12324</v>
      </c>
      <c r="M71" s="229" t="s">
        <v>12315</v>
      </c>
      <c r="O71" s="102">
        <v>1.0</v>
      </c>
      <c r="P71" s="244">
        <f t="shared" si="1"/>
        <v>2</v>
      </c>
    </row>
    <row r="72" hidden="1">
      <c r="A72" s="102" t="s">
        <v>4410</v>
      </c>
      <c r="B72" s="102" t="s">
        <v>12325</v>
      </c>
      <c r="C72" s="229" t="s">
        <v>12326</v>
      </c>
      <c r="D72" s="102" t="s">
        <v>12327</v>
      </c>
      <c r="E72" s="102" t="s">
        <v>314</v>
      </c>
      <c r="F72" s="102" t="s">
        <v>315</v>
      </c>
      <c r="G72" s="102" t="s">
        <v>314</v>
      </c>
      <c r="H72" s="102" t="s">
        <v>315</v>
      </c>
      <c r="I72" s="102" t="s">
        <v>515</v>
      </c>
      <c r="J72" s="102" t="s">
        <v>26</v>
      </c>
      <c r="K72" s="102" t="s">
        <v>26</v>
      </c>
      <c r="L72" s="229" t="s">
        <v>12328</v>
      </c>
      <c r="M72" s="229" t="s">
        <v>12256</v>
      </c>
      <c r="N72" s="229" t="s">
        <v>12329</v>
      </c>
      <c r="O72" s="102">
        <v>1.0</v>
      </c>
      <c r="P72" s="244">
        <f t="shared" si="1"/>
        <v>2</v>
      </c>
    </row>
    <row r="73" hidden="1">
      <c r="A73" s="102" t="s">
        <v>4410</v>
      </c>
      <c r="B73" s="102" t="s">
        <v>12330</v>
      </c>
      <c r="C73" s="229" t="s">
        <v>12331</v>
      </c>
      <c r="D73" s="102" t="s">
        <v>12332</v>
      </c>
      <c r="E73" s="102" t="s">
        <v>353</v>
      </c>
      <c r="F73" s="102" t="s">
        <v>354</v>
      </c>
      <c r="G73" s="102" t="s">
        <v>353</v>
      </c>
      <c r="H73" s="102" t="s">
        <v>354</v>
      </c>
      <c r="I73" s="102" t="s">
        <v>284</v>
      </c>
      <c r="J73" s="102" t="s">
        <v>26</v>
      </c>
      <c r="L73" s="229" t="s">
        <v>12333</v>
      </c>
      <c r="M73" s="229" t="s">
        <v>12334</v>
      </c>
      <c r="O73" s="102">
        <v>2.0</v>
      </c>
      <c r="P73" s="244">
        <f t="shared" si="1"/>
        <v>4</v>
      </c>
    </row>
    <row r="74" hidden="1">
      <c r="A74" s="102" t="s">
        <v>1459</v>
      </c>
      <c r="B74" s="102" t="s">
        <v>12335</v>
      </c>
      <c r="C74" s="229" t="s">
        <v>12336</v>
      </c>
      <c r="D74" s="102" t="s">
        <v>12337</v>
      </c>
      <c r="E74" s="102" t="s">
        <v>280</v>
      </c>
      <c r="F74" s="102" t="s">
        <v>281</v>
      </c>
      <c r="G74" s="102" t="s">
        <v>280</v>
      </c>
      <c r="H74" s="102" t="s">
        <v>281</v>
      </c>
      <c r="I74" s="102" t="s">
        <v>284</v>
      </c>
      <c r="J74" s="102" t="s">
        <v>26</v>
      </c>
      <c r="L74" s="229" t="s">
        <v>12338</v>
      </c>
      <c r="M74" s="229" t="s">
        <v>12339</v>
      </c>
      <c r="O74" s="230"/>
      <c r="P74" s="244">
        <f t="shared" si="1"/>
        <v>0</v>
      </c>
    </row>
    <row r="75" hidden="1">
      <c r="A75" s="102" t="s">
        <v>1465</v>
      </c>
      <c r="B75" s="102" t="s">
        <v>12340</v>
      </c>
      <c r="C75" s="229" t="s">
        <v>12341</v>
      </c>
      <c r="D75" s="102" t="s">
        <v>12342</v>
      </c>
      <c r="G75" s="102" t="s">
        <v>280</v>
      </c>
      <c r="H75" s="102" t="s">
        <v>281</v>
      </c>
      <c r="I75" s="102" t="s">
        <v>284</v>
      </c>
      <c r="J75" s="102" t="s">
        <v>26</v>
      </c>
      <c r="L75" s="229" t="s">
        <v>12343</v>
      </c>
      <c r="M75" s="229" t="s">
        <v>12344</v>
      </c>
      <c r="O75" s="230"/>
      <c r="P75" s="244">
        <f t="shared" si="1"/>
        <v>0</v>
      </c>
    </row>
    <row r="76" hidden="1">
      <c r="A76" s="102" t="s">
        <v>4410</v>
      </c>
      <c r="B76" s="102" t="s">
        <v>12345</v>
      </c>
      <c r="C76" s="229" t="s">
        <v>12346</v>
      </c>
      <c r="D76" s="102" t="s">
        <v>12347</v>
      </c>
      <c r="E76" s="102" t="s">
        <v>314</v>
      </c>
      <c r="F76" s="102" t="s">
        <v>315</v>
      </c>
      <c r="G76" s="102" t="s">
        <v>314</v>
      </c>
      <c r="H76" s="102" t="s">
        <v>315</v>
      </c>
      <c r="I76" s="102" t="s">
        <v>515</v>
      </c>
      <c r="J76" s="102" t="s">
        <v>26</v>
      </c>
      <c r="K76" s="102" t="s">
        <v>26</v>
      </c>
      <c r="L76" s="229" t="s">
        <v>12348</v>
      </c>
      <c r="M76" s="229" t="s">
        <v>12349</v>
      </c>
      <c r="N76" s="229" t="s">
        <v>12329</v>
      </c>
      <c r="O76" s="102">
        <v>1.0</v>
      </c>
      <c r="P76" s="244">
        <f t="shared" si="1"/>
        <v>2</v>
      </c>
    </row>
    <row r="77">
      <c r="A77" s="102" t="s">
        <v>310</v>
      </c>
      <c r="B77" s="102" t="s">
        <v>12350</v>
      </c>
      <c r="C77" s="229" t="s">
        <v>12351</v>
      </c>
      <c r="D77" s="102" t="s">
        <v>12352</v>
      </c>
      <c r="E77" s="102" t="s">
        <v>282</v>
      </c>
      <c r="F77" s="102" t="s">
        <v>283</v>
      </c>
      <c r="G77" s="102" t="s">
        <v>282</v>
      </c>
      <c r="H77" s="102" t="s">
        <v>283</v>
      </c>
      <c r="I77" s="102" t="s">
        <v>318</v>
      </c>
      <c r="J77" s="102" t="s">
        <v>26</v>
      </c>
      <c r="K77" s="102" t="s">
        <v>26</v>
      </c>
      <c r="L77" s="229" t="s">
        <v>12353</v>
      </c>
      <c r="M77" s="229" t="s">
        <v>12295</v>
      </c>
      <c r="N77" s="229" t="s">
        <v>12257</v>
      </c>
      <c r="O77" s="102">
        <v>3.0</v>
      </c>
      <c r="P77" s="244">
        <f t="shared" si="1"/>
        <v>8</v>
      </c>
    </row>
    <row r="78" hidden="1">
      <c r="A78" s="102" t="s">
        <v>276</v>
      </c>
      <c r="B78" s="102" t="s">
        <v>12354</v>
      </c>
      <c r="C78" s="229" t="s">
        <v>12355</v>
      </c>
      <c r="D78" s="102" t="s">
        <v>12356</v>
      </c>
      <c r="E78" s="102" t="s">
        <v>11704</v>
      </c>
      <c r="F78" s="102" t="s">
        <v>11705</v>
      </c>
      <c r="G78" s="102" t="s">
        <v>11704</v>
      </c>
      <c r="H78" s="102" t="s">
        <v>11705</v>
      </c>
      <c r="I78" s="102" t="s">
        <v>284</v>
      </c>
      <c r="J78" s="102" t="s">
        <v>26</v>
      </c>
      <c r="K78" s="102" t="s">
        <v>26</v>
      </c>
      <c r="L78" s="229" t="s">
        <v>12357</v>
      </c>
      <c r="M78" s="229" t="s">
        <v>12358</v>
      </c>
      <c r="O78" s="230"/>
      <c r="P78" s="244">
        <f t="shared" si="1"/>
        <v>0</v>
      </c>
    </row>
    <row r="79" hidden="1">
      <c r="A79" s="102" t="s">
        <v>276</v>
      </c>
      <c r="B79" s="102" t="s">
        <v>12359</v>
      </c>
      <c r="C79" s="229" t="s">
        <v>12360</v>
      </c>
      <c r="D79" s="102" t="s">
        <v>12361</v>
      </c>
      <c r="E79" s="102" t="s">
        <v>353</v>
      </c>
      <c r="F79" s="102" t="s">
        <v>354</v>
      </c>
      <c r="G79" s="102" t="s">
        <v>353</v>
      </c>
      <c r="H79" s="102" t="s">
        <v>354</v>
      </c>
      <c r="I79" s="102" t="s">
        <v>284</v>
      </c>
      <c r="J79" s="102" t="s">
        <v>26</v>
      </c>
      <c r="K79" s="102" t="s">
        <v>26</v>
      </c>
      <c r="L79" s="229" t="s">
        <v>12362</v>
      </c>
      <c r="M79" s="229" t="s">
        <v>12363</v>
      </c>
      <c r="O79" s="230"/>
      <c r="P79" s="244">
        <f t="shared" si="1"/>
        <v>0</v>
      </c>
    </row>
    <row r="80" hidden="1">
      <c r="A80" s="102" t="s">
        <v>276</v>
      </c>
      <c r="B80" s="102" t="s">
        <v>12364</v>
      </c>
      <c r="C80" s="229" t="s">
        <v>12365</v>
      </c>
      <c r="D80" s="102" t="s">
        <v>12366</v>
      </c>
      <c r="E80" s="102" t="s">
        <v>513</v>
      </c>
      <c r="F80" s="102" t="s">
        <v>514</v>
      </c>
      <c r="G80" s="102" t="s">
        <v>353</v>
      </c>
      <c r="H80" s="102" t="s">
        <v>354</v>
      </c>
      <c r="I80" s="102" t="s">
        <v>284</v>
      </c>
      <c r="J80" s="102" t="s">
        <v>26</v>
      </c>
      <c r="K80" s="102" t="s">
        <v>26</v>
      </c>
      <c r="L80" s="229" t="s">
        <v>12362</v>
      </c>
      <c r="M80" s="229" t="s">
        <v>12367</v>
      </c>
      <c r="O80" s="230"/>
      <c r="P80" s="244">
        <f t="shared" si="1"/>
        <v>0</v>
      </c>
    </row>
    <row r="81" hidden="1">
      <c r="A81" s="102" t="s">
        <v>4410</v>
      </c>
      <c r="B81" s="102" t="s">
        <v>12368</v>
      </c>
      <c r="C81" s="229" t="s">
        <v>12369</v>
      </c>
      <c r="D81" s="102" t="s">
        <v>12370</v>
      </c>
      <c r="E81" s="102" t="s">
        <v>353</v>
      </c>
      <c r="F81" s="102" t="s">
        <v>354</v>
      </c>
      <c r="G81" s="102" t="s">
        <v>282</v>
      </c>
      <c r="H81" s="102" t="s">
        <v>283</v>
      </c>
      <c r="I81" s="102" t="s">
        <v>284</v>
      </c>
      <c r="J81" s="102" t="s">
        <v>26</v>
      </c>
      <c r="L81" s="229" t="s">
        <v>12371</v>
      </c>
      <c r="M81" s="229" t="s">
        <v>12372</v>
      </c>
      <c r="O81" s="102">
        <v>2.0</v>
      </c>
      <c r="P81" s="244">
        <f t="shared" si="1"/>
        <v>4</v>
      </c>
    </row>
    <row r="82" hidden="1">
      <c r="A82" s="102" t="s">
        <v>4410</v>
      </c>
      <c r="B82" s="102" t="s">
        <v>12373</v>
      </c>
      <c r="C82" s="229" t="s">
        <v>12374</v>
      </c>
      <c r="D82" s="102" t="s">
        <v>12370</v>
      </c>
      <c r="E82" s="102" t="s">
        <v>314</v>
      </c>
      <c r="F82" s="102" t="s">
        <v>315</v>
      </c>
      <c r="G82" s="102" t="s">
        <v>282</v>
      </c>
      <c r="H82" s="102" t="s">
        <v>283</v>
      </c>
      <c r="I82" s="102" t="s">
        <v>284</v>
      </c>
      <c r="J82" s="102" t="s">
        <v>26</v>
      </c>
      <c r="L82" s="229" t="s">
        <v>12371</v>
      </c>
      <c r="M82" s="229" t="s">
        <v>12375</v>
      </c>
      <c r="O82" s="102">
        <v>2.0</v>
      </c>
      <c r="P82" s="244">
        <f t="shared" si="1"/>
        <v>4</v>
      </c>
    </row>
    <row r="83">
      <c r="A83" s="102" t="s">
        <v>4410</v>
      </c>
      <c r="B83" s="102" t="s">
        <v>12376</v>
      </c>
      <c r="C83" s="229" t="s">
        <v>12377</v>
      </c>
      <c r="D83" s="102" t="s">
        <v>12370</v>
      </c>
      <c r="E83" s="102" t="s">
        <v>282</v>
      </c>
      <c r="F83" s="102" t="s">
        <v>283</v>
      </c>
      <c r="G83" s="102" t="s">
        <v>282</v>
      </c>
      <c r="H83" s="102" t="s">
        <v>283</v>
      </c>
      <c r="I83" s="102" t="s">
        <v>284</v>
      </c>
      <c r="J83" s="102" t="s">
        <v>26</v>
      </c>
      <c r="L83" s="229" t="s">
        <v>12371</v>
      </c>
      <c r="M83" s="229" t="s">
        <v>12378</v>
      </c>
      <c r="O83" s="102">
        <v>2.0</v>
      </c>
      <c r="P83" s="244">
        <f t="shared" si="1"/>
        <v>4</v>
      </c>
    </row>
    <row r="84">
      <c r="A84" s="102" t="s">
        <v>4410</v>
      </c>
      <c r="B84" s="102" t="s">
        <v>12379</v>
      </c>
      <c r="C84" s="229" t="s">
        <v>12380</v>
      </c>
      <c r="D84" s="102" t="s">
        <v>12381</v>
      </c>
      <c r="E84" s="102" t="s">
        <v>282</v>
      </c>
      <c r="F84" s="102" t="s">
        <v>283</v>
      </c>
      <c r="G84" s="102" t="s">
        <v>282</v>
      </c>
      <c r="H84" s="102" t="s">
        <v>283</v>
      </c>
      <c r="I84" s="102" t="s">
        <v>284</v>
      </c>
      <c r="J84" s="102" t="s">
        <v>26</v>
      </c>
      <c r="L84" s="229" t="s">
        <v>12382</v>
      </c>
      <c r="M84" s="229" t="s">
        <v>12262</v>
      </c>
      <c r="O84" s="102">
        <v>1.0</v>
      </c>
      <c r="P84" s="244">
        <f t="shared" si="1"/>
        <v>2</v>
      </c>
    </row>
    <row r="85" hidden="1">
      <c r="A85" s="102" t="s">
        <v>4410</v>
      </c>
      <c r="B85" s="102" t="s">
        <v>12383</v>
      </c>
      <c r="C85" s="229" t="s">
        <v>12384</v>
      </c>
      <c r="D85" s="102" t="s">
        <v>12381</v>
      </c>
      <c r="E85" s="102" t="s">
        <v>353</v>
      </c>
      <c r="F85" s="102" t="s">
        <v>354</v>
      </c>
      <c r="G85" s="102" t="s">
        <v>282</v>
      </c>
      <c r="H85" s="102" t="s">
        <v>283</v>
      </c>
      <c r="I85" s="102" t="s">
        <v>284</v>
      </c>
      <c r="J85" s="102" t="s">
        <v>26</v>
      </c>
      <c r="L85" s="229" t="s">
        <v>12382</v>
      </c>
      <c r="M85" s="229" t="s">
        <v>12375</v>
      </c>
      <c r="O85" s="102">
        <v>1.0</v>
      </c>
      <c r="P85" s="244">
        <f t="shared" si="1"/>
        <v>2</v>
      </c>
    </row>
    <row r="86" hidden="1">
      <c r="A86" s="102" t="s">
        <v>4410</v>
      </c>
      <c r="B86" s="102" t="s">
        <v>12385</v>
      </c>
      <c r="C86" s="229" t="s">
        <v>12386</v>
      </c>
      <c r="D86" s="102" t="s">
        <v>12381</v>
      </c>
      <c r="E86" s="102" t="s">
        <v>314</v>
      </c>
      <c r="F86" s="102" t="s">
        <v>315</v>
      </c>
      <c r="G86" s="102" t="s">
        <v>282</v>
      </c>
      <c r="H86" s="102" t="s">
        <v>283</v>
      </c>
      <c r="I86" s="102" t="s">
        <v>284</v>
      </c>
      <c r="J86" s="102" t="s">
        <v>26</v>
      </c>
      <c r="L86" s="229" t="s">
        <v>12382</v>
      </c>
      <c r="M86" s="229" t="s">
        <v>12375</v>
      </c>
      <c r="O86" s="102">
        <v>1.0</v>
      </c>
      <c r="P86" s="244">
        <f t="shared" si="1"/>
        <v>2</v>
      </c>
    </row>
    <row r="87" hidden="1">
      <c r="A87" s="102" t="s">
        <v>332</v>
      </c>
      <c r="B87" s="102" t="s">
        <v>12387</v>
      </c>
      <c r="C87" s="229" t="s">
        <v>12388</v>
      </c>
      <c r="D87" s="102" t="s">
        <v>12389</v>
      </c>
      <c r="E87" s="102" t="s">
        <v>513</v>
      </c>
      <c r="F87" s="102" t="s">
        <v>514</v>
      </c>
      <c r="G87" s="102" t="s">
        <v>521</v>
      </c>
      <c r="H87" s="102" t="s">
        <v>522</v>
      </c>
      <c r="I87" s="102" t="s">
        <v>284</v>
      </c>
      <c r="J87" s="102" t="s">
        <v>336</v>
      </c>
      <c r="L87" s="229" t="s">
        <v>12390</v>
      </c>
      <c r="M87" s="229" t="s">
        <v>12391</v>
      </c>
      <c r="O87" s="230"/>
      <c r="P87" s="244">
        <f t="shared" si="1"/>
        <v>0</v>
      </c>
    </row>
    <row r="88" hidden="1">
      <c r="A88" s="102" t="s">
        <v>276</v>
      </c>
      <c r="B88" s="102" t="s">
        <v>12392</v>
      </c>
      <c r="C88" s="229" t="s">
        <v>12393</v>
      </c>
      <c r="D88" s="102" t="s">
        <v>12394</v>
      </c>
      <c r="E88" s="102" t="s">
        <v>11704</v>
      </c>
      <c r="F88" s="102" t="s">
        <v>11705</v>
      </c>
      <c r="G88" s="102" t="s">
        <v>282</v>
      </c>
      <c r="H88" s="102" t="s">
        <v>283</v>
      </c>
      <c r="I88" s="102" t="s">
        <v>284</v>
      </c>
      <c r="J88" s="102" t="s">
        <v>26</v>
      </c>
      <c r="L88" s="229" t="s">
        <v>12395</v>
      </c>
      <c r="M88" s="229" t="s">
        <v>12396</v>
      </c>
      <c r="O88" s="230"/>
      <c r="P88" s="244">
        <f t="shared" si="1"/>
        <v>0</v>
      </c>
    </row>
    <row r="89" hidden="1">
      <c r="A89" s="102" t="s">
        <v>276</v>
      </c>
      <c r="B89" s="102" t="s">
        <v>12397</v>
      </c>
      <c r="C89" s="229" t="s">
        <v>12398</v>
      </c>
      <c r="D89" s="102" t="s">
        <v>12399</v>
      </c>
      <c r="E89" s="102" t="s">
        <v>11704</v>
      </c>
      <c r="F89" s="102" t="s">
        <v>11705</v>
      </c>
      <c r="G89" s="102" t="s">
        <v>282</v>
      </c>
      <c r="H89" s="102" t="s">
        <v>283</v>
      </c>
      <c r="I89" s="102" t="s">
        <v>284</v>
      </c>
      <c r="J89" s="102" t="s">
        <v>26</v>
      </c>
      <c r="L89" s="229" t="s">
        <v>12395</v>
      </c>
      <c r="M89" s="229" t="s">
        <v>12396</v>
      </c>
      <c r="O89" s="230"/>
      <c r="P89" s="244">
        <f t="shared" si="1"/>
        <v>0</v>
      </c>
    </row>
    <row r="90" hidden="1">
      <c r="A90" s="102" t="s">
        <v>310</v>
      </c>
      <c r="B90" s="102" t="s">
        <v>12400</v>
      </c>
      <c r="C90" s="229" t="s">
        <v>12401</v>
      </c>
      <c r="D90" s="102" t="s">
        <v>12402</v>
      </c>
      <c r="E90" s="102" t="s">
        <v>10234</v>
      </c>
      <c r="F90" s="102" t="s">
        <v>565</v>
      </c>
      <c r="G90" s="102" t="s">
        <v>353</v>
      </c>
      <c r="H90" s="102" t="s">
        <v>354</v>
      </c>
      <c r="I90" s="102" t="s">
        <v>284</v>
      </c>
      <c r="J90" s="102" t="s">
        <v>26</v>
      </c>
      <c r="L90" s="229" t="s">
        <v>12403</v>
      </c>
      <c r="M90" s="229" t="s">
        <v>12404</v>
      </c>
      <c r="N90" s="229" t="s">
        <v>12065</v>
      </c>
      <c r="O90" s="102">
        <v>5.0</v>
      </c>
      <c r="P90" s="244">
        <f t="shared" si="1"/>
        <v>24</v>
      </c>
    </row>
    <row r="91" hidden="1">
      <c r="A91" s="102" t="s">
        <v>276</v>
      </c>
      <c r="B91" s="102" t="s">
        <v>12405</v>
      </c>
      <c r="C91" s="229" t="s">
        <v>12406</v>
      </c>
      <c r="D91" s="102" t="s">
        <v>347</v>
      </c>
      <c r="E91" s="102" t="s">
        <v>280</v>
      </c>
      <c r="F91" s="102" t="s">
        <v>281</v>
      </c>
      <c r="G91" s="102" t="s">
        <v>280</v>
      </c>
      <c r="H91" s="102" t="s">
        <v>281</v>
      </c>
      <c r="I91" s="102" t="s">
        <v>284</v>
      </c>
      <c r="J91" s="102" t="s">
        <v>26</v>
      </c>
      <c r="L91" s="229" t="s">
        <v>12407</v>
      </c>
      <c r="M91" s="229" t="s">
        <v>12123</v>
      </c>
      <c r="O91" s="230"/>
      <c r="P91" s="244">
        <f t="shared" si="1"/>
        <v>0</v>
      </c>
    </row>
    <row r="92" hidden="1">
      <c r="A92" s="102" t="s">
        <v>276</v>
      </c>
      <c r="B92" s="102" t="s">
        <v>12408</v>
      </c>
      <c r="C92" s="229" t="s">
        <v>12409</v>
      </c>
      <c r="D92" s="102" t="s">
        <v>2030</v>
      </c>
      <c r="E92" s="102" t="s">
        <v>280</v>
      </c>
      <c r="F92" s="102" t="s">
        <v>281</v>
      </c>
      <c r="G92" s="102" t="s">
        <v>280</v>
      </c>
      <c r="H92" s="102" t="s">
        <v>281</v>
      </c>
      <c r="I92" s="102" t="s">
        <v>284</v>
      </c>
      <c r="J92" s="102" t="s">
        <v>26</v>
      </c>
      <c r="K92" s="102" t="s">
        <v>26</v>
      </c>
      <c r="L92" s="229" t="s">
        <v>12407</v>
      </c>
      <c r="M92" s="229" t="s">
        <v>12410</v>
      </c>
      <c r="O92" s="230"/>
      <c r="P92" s="244">
        <f t="shared" si="1"/>
        <v>0</v>
      </c>
    </row>
    <row r="93" hidden="1">
      <c r="A93" s="102" t="s">
        <v>276</v>
      </c>
      <c r="B93" s="102" t="s">
        <v>12411</v>
      </c>
      <c r="C93" s="229" t="s">
        <v>12412</v>
      </c>
      <c r="D93" s="102" t="s">
        <v>347</v>
      </c>
      <c r="E93" s="102" t="s">
        <v>280</v>
      </c>
      <c r="F93" s="102" t="s">
        <v>281</v>
      </c>
      <c r="G93" s="102" t="s">
        <v>280</v>
      </c>
      <c r="H93" s="102" t="s">
        <v>281</v>
      </c>
      <c r="I93" s="102" t="s">
        <v>284</v>
      </c>
      <c r="J93" s="102" t="s">
        <v>26</v>
      </c>
      <c r="L93" s="229" t="s">
        <v>12413</v>
      </c>
      <c r="M93" s="229" t="s">
        <v>12414</v>
      </c>
      <c r="O93" s="230"/>
      <c r="P93" s="244">
        <f t="shared" si="1"/>
        <v>0</v>
      </c>
    </row>
    <row r="94" hidden="1">
      <c r="A94" s="102" t="s">
        <v>276</v>
      </c>
      <c r="B94" s="102" t="s">
        <v>12415</v>
      </c>
      <c r="C94" s="229" t="s">
        <v>12416</v>
      </c>
      <c r="D94" s="102" t="s">
        <v>2030</v>
      </c>
      <c r="E94" s="102" t="s">
        <v>280</v>
      </c>
      <c r="F94" s="102" t="s">
        <v>281</v>
      </c>
      <c r="G94" s="102" t="s">
        <v>280</v>
      </c>
      <c r="H94" s="102" t="s">
        <v>281</v>
      </c>
      <c r="I94" s="102" t="s">
        <v>284</v>
      </c>
      <c r="J94" s="102" t="s">
        <v>26</v>
      </c>
      <c r="K94" s="102" t="s">
        <v>26</v>
      </c>
      <c r="L94" s="229" t="s">
        <v>12417</v>
      </c>
      <c r="M94" s="229" t="s">
        <v>12418</v>
      </c>
      <c r="O94" s="230"/>
      <c r="P94" s="244">
        <f t="shared" si="1"/>
        <v>0</v>
      </c>
    </row>
    <row r="95" hidden="1">
      <c r="A95" s="102" t="s">
        <v>276</v>
      </c>
      <c r="B95" s="102" t="s">
        <v>12419</v>
      </c>
      <c r="C95" s="229" t="s">
        <v>12420</v>
      </c>
      <c r="D95" s="102" t="s">
        <v>347</v>
      </c>
      <c r="E95" s="102" t="s">
        <v>280</v>
      </c>
      <c r="F95" s="102" t="s">
        <v>281</v>
      </c>
      <c r="G95" s="102" t="s">
        <v>280</v>
      </c>
      <c r="H95" s="102" t="s">
        <v>281</v>
      </c>
      <c r="I95" s="102" t="s">
        <v>284</v>
      </c>
      <c r="J95" s="102" t="s">
        <v>26</v>
      </c>
      <c r="L95" s="229" t="s">
        <v>12417</v>
      </c>
      <c r="M95" s="229" t="s">
        <v>12059</v>
      </c>
      <c r="O95" s="230"/>
      <c r="P95" s="244">
        <f t="shared" si="1"/>
        <v>0</v>
      </c>
    </row>
    <row r="96" hidden="1">
      <c r="A96" s="102" t="s">
        <v>276</v>
      </c>
      <c r="B96" s="102" t="s">
        <v>12421</v>
      </c>
      <c r="C96" s="229" t="s">
        <v>12422</v>
      </c>
      <c r="D96" s="102" t="s">
        <v>2030</v>
      </c>
      <c r="E96" s="102" t="s">
        <v>280</v>
      </c>
      <c r="F96" s="102" t="s">
        <v>281</v>
      </c>
      <c r="G96" s="102" t="s">
        <v>280</v>
      </c>
      <c r="H96" s="102" t="s">
        <v>281</v>
      </c>
      <c r="I96" s="102" t="s">
        <v>284</v>
      </c>
      <c r="J96" s="102" t="s">
        <v>26</v>
      </c>
      <c r="L96" s="229" t="s">
        <v>12417</v>
      </c>
      <c r="M96" s="229" t="s">
        <v>12423</v>
      </c>
      <c r="O96" s="230"/>
      <c r="P96" s="244">
        <f t="shared" si="1"/>
        <v>0</v>
      </c>
    </row>
    <row r="97" hidden="1">
      <c r="A97" s="102" t="s">
        <v>276</v>
      </c>
      <c r="B97" s="102" t="s">
        <v>12424</v>
      </c>
      <c r="C97" s="229" t="s">
        <v>12425</v>
      </c>
      <c r="D97" s="102" t="s">
        <v>347</v>
      </c>
      <c r="E97" s="102" t="s">
        <v>280</v>
      </c>
      <c r="F97" s="102" t="s">
        <v>281</v>
      </c>
      <c r="G97" s="102" t="s">
        <v>280</v>
      </c>
      <c r="H97" s="102" t="s">
        <v>281</v>
      </c>
      <c r="I97" s="102" t="s">
        <v>284</v>
      </c>
      <c r="J97" s="102" t="s">
        <v>26</v>
      </c>
      <c r="L97" s="229" t="s">
        <v>12417</v>
      </c>
      <c r="M97" s="229" t="s">
        <v>12426</v>
      </c>
      <c r="O97" s="230"/>
      <c r="P97" s="244">
        <f t="shared" si="1"/>
        <v>0</v>
      </c>
    </row>
    <row r="98" hidden="1">
      <c r="A98" s="102" t="s">
        <v>276</v>
      </c>
      <c r="B98" s="102" t="s">
        <v>12427</v>
      </c>
      <c r="C98" s="229" t="s">
        <v>12428</v>
      </c>
      <c r="D98" s="102" t="s">
        <v>2030</v>
      </c>
      <c r="E98" s="102" t="s">
        <v>280</v>
      </c>
      <c r="F98" s="102" t="s">
        <v>281</v>
      </c>
      <c r="G98" s="102" t="s">
        <v>280</v>
      </c>
      <c r="H98" s="102" t="s">
        <v>281</v>
      </c>
      <c r="I98" s="102" t="s">
        <v>284</v>
      </c>
      <c r="J98" s="102" t="s">
        <v>26</v>
      </c>
      <c r="K98" s="102" t="s">
        <v>26</v>
      </c>
      <c r="L98" s="229" t="s">
        <v>12429</v>
      </c>
      <c r="M98" s="229" t="s">
        <v>12430</v>
      </c>
      <c r="O98" s="230"/>
      <c r="P98" s="244">
        <f t="shared" si="1"/>
        <v>0</v>
      </c>
    </row>
    <row r="99" hidden="1">
      <c r="A99" s="102" t="s">
        <v>310</v>
      </c>
      <c r="B99" s="102" t="s">
        <v>12431</v>
      </c>
      <c r="C99" s="229" t="s">
        <v>12432</v>
      </c>
      <c r="D99" s="102" t="s">
        <v>12433</v>
      </c>
      <c r="E99" s="102" t="s">
        <v>353</v>
      </c>
      <c r="F99" s="102" t="s">
        <v>354</v>
      </c>
      <c r="G99" s="102" t="s">
        <v>282</v>
      </c>
      <c r="H99" s="102" t="s">
        <v>283</v>
      </c>
      <c r="I99" s="102" t="s">
        <v>284</v>
      </c>
      <c r="J99" s="102" t="s">
        <v>26</v>
      </c>
      <c r="K99" s="102" t="s">
        <v>26</v>
      </c>
      <c r="L99" s="229" t="s">
        <v>12434</v>
      </c>
      <c r="M99" s="229" t="s">
        <v>12363</v>
      </c>
      <c r="O99" s="102">
        <v>5.0</v>
      </c>
      <c r="P99" s="244">
        <f t="shared" si="1"/>
        <v>24</v>
      </c>
    </row>
    <row r="100" hidden="1">
      <c r="A100" s="102" t="s">
        <v>310</v>
      </c>
      <c r="B100" s="102" t="s">
        <v>12435</v>
      </c>
      <c r="C100" s="229" t="s">
        <v>12436</v>
      </c>
      <c r="D100" s="102" t="s">
        <v>12437</v>
      </c>
      <c r="E100" s="102" t="s">
        <v>11704</v>
      </c>
      <c r="F100" s="102" t="s">
        <v>11705</v>
      </c>
      <c r="G100" s="102" t="s">
        <v>282</v>
      </c>
      <c r="H100" s="102" t="s">
        <v>283</v>
      </c>
      <c r="I100" s="102" t="s">
        <v>284</v>
      </c>
      <c r="J100" s="102" t="s">
        <v>26</v>
      </c>
      <c r="L100" s="229" t="s">
        <v>12438</v>
      </c>
      <c r="M100" s="229" t="s">
        <v>12059</v>
      </c>
      <c r="N100" s="229" t="s">
        <v>12197</v>
      </c>
      <c r="O100" s="102">
        <v>3.0</v>
      </c>
      <c r="P100" s="244">
        <f t="shared" si="1"/>
        <v>8</v>
      </c>
    </row>
    <row r="101" hidden="1">
      <c r="A101" s="102" t="s">
        <v>310</v>
      </c>
      <c r="B101" s="102" t="s">
        <v>12439</v>
      </c>
      <c r="C101" s="229" t="s">
        <v>12440</v>
      </c>
      <c r="D101" s="102" t="s">
        <v>12441</v>
      </c>
      <c r="E101" s="102" t="s">
        <v>11300</v>
      </c>
      <c r="F101" s="102" t="s">
        <v>11301</v>
      </c>
      <c r="G101" s="102" t="s">
        <v>353</v>
      </c>
      <c r="H101" s="102" t="s">
        <v>354</v>
      </c>
      <c r="I101" s="102" t="s">
        <v>284</v>
      </c>
      <c r="J101" s="102" t="s">
        <v>26</v>
      </c>
      <c r="L101" s="229" t="s">
        <v>12442</v>
      </c>
      <c r="M101" s="229" t="s">
        <v>12443</v>
      </c>
      <c r="O101" s="102">
        <v>3.0</v>
      </c>
      <c r="P101" s="244">
        <f t="shared" si="1"/>
        <v>8</v>
      </c>
    </row>
    <row r="102" hidden="1">
      <c r="A102" s="102" t="s">
        <v>310</v>
      </c>
      <c r="B102" s="102" t="s">
        <v>12444</v>
      </c>
      <c r="C102" s="229" t="s">
        <v>12445</v>
      </c>
      <c r="D102" s="102" t="s">
        <v>12446</v>
      </c>
      <c r="E102" s="102" t="s">
        <v>11704</v>
      </c>
      <c r="F102" s="102" t="s">
        <v>11705</v>
      </c>
      <c r="G102" s="102" t="s">
        <v>353</v>
      </c>
      <c r="H102" s="102" t="s">
        <v>354</v>
      </c>
      <c r="I102" s="102" t="s">
        <v>284</v>
      </c>
      <c r="J102" s="102" t="s">
        <v>26</v>
      </c>
      <c r="L102" s="229" t="s">
        <v>12447</v>
      </c>
      <c r="M102" s="229" t="s">
        <v>12443</v>
      </c>
      <c r="O102" s="102">
        <v>3.0</v>
      </c>
      <c r="P102" s="244">
        <f t="shared" si="1"/>
        <v>8</v>
      </c>
    </row>
    <row r="103" hidden="1">
      <c r="A103" s="102" t="s">
        <v>276</v>
      </c>
      <c r="B103" s="102" t="s">
        <v>12448</v>
      </c>
      <c r="C103" s="229" t="s">
        <v>12449</v>
      </c>
      <c r="D103" s="102" t="s">
        <v>12450</v>
      </c>
      <c r="E103" s="102" t="s">
        <v>12168</v>
      </c>
      <c r="F103" s="102" t="s">
        <v>12169</v>
      </c>
      <c r="G103" s="102" t="s">
        <v>282</v>
      </c>
      <c r="H103" s="102" t="s">
        <v>283</v>
      </c>
      <c r="I103" s="102" t="s">
        <v>284</v>
      </c>
      <c r="J103" s="102" t="s">
        <v>26</v>
      </c>
      <c r="K103" s="102" t="s">
        <v>26</v>
      </c>
      <c r="L103" s="229" t="s">
        <v>12451</v>
      </c>
      <c r="M103" s="229" t="s">
        <v>12452</v>
      </c>
      <c r="N103" s="229" t="s">
        <v>12329</v>
      </c>
      <c r="O103" s="230"/>
      <c r="P103" s="244">
        <f t="shared" si="1"/>
        <v>0</v>
      </c>
    </row>
    <row r="104" hidden="1">
      <c r="A104" s="102" t="s">
        <v>276</v>
      </c>
      <c r="B104" s="102" t="s">
        <v>12453</v>
      </c>
      <c r="C104" s="229" t="s">
        <v>12454</v>
      </c>
      <c r="D104" s="102" t="s">
        <v>12455</v>
      </c>
      <c r="E104" s="102" t="s">
        <v>11781</v>
      </c>
      <c r="F104" s="102" t="s">
        <v>11431</v>
      </c>
      <c r="G104" s="102" t="s">
        <v>282</v>
      </c>
      <c r="H104" s="102" t="s">
        <v>283</v>
      </c>
      <c r="I104" s="102" t="s">
        <v>284</v>
      </c>
      <c r="J104" s="102" t="s">
        <v>26</v>
      </c>
      <c r="K104" s="102" t="s">
        <v>26</v>
      </c>
      <c r="L104" s="229" t="s">
        <v>12456</v>
      </c>
      <c r="M104" s="229" t="s">
        <v>12457</v>
      </c>
      <c r="O104" s="230"/>
      <c r="P104" s="244">
        <f t="shared" si="1"/>
        <v>0</v>
      </c>
    </row>
    <row r="105" hidden="1">
      <c r="A105" s="102" t="s">
        <v>310</v>
      </c>
      <c r="B105" s="102" t="s">
        <v>12458</v>
      </c>
      <c r="C105" s="229" t="s">
        <v>12459</v>
      </c>
      <c r="D105" s="102" t="s">
        <v>12460</v>
      </c>
      <c r="E105" s="102" t="s">
        <v>11704</v>
      </c>
      <c r="F105" s="102" t="s">
        <v>11705</v>
      </c>
      <c r="G105" s="102" t="s">
        <v>282</v>
      </c>
      <c r="H105" s="102" t="s">
        <v>283</v>
      </c>
      <c r="I105" s="102" t="s">
        <v>284</v>
      </c>
      <c r="J105" s="102" t="s">
        <v>26</v>
      </c>
      <c r="K105" s="102" t="s">
        <v>26</v>
      </c>
      <c r="L105" s="229" t="s">
        <v>12461</v>
      </c>
      <c r="M105" s="229" t="s">
        <v>12462</v>
      </c>
      <c r="O105" s="102">
        <v>3.0</v>
      </c>
      <c r="P105" s="244">
        <f t="shared" si="1"/>
        <v>8</v>
      </c>
    </row>
    <row r="106" hidden="1">
      <c r="A106" s="102" t="s">
        <v>4410</v>
      </c>
      <c r="B106" s="102" t="s">
        <v>12463</v>
      </c>
      <c r="C106" s="229" t="s">
        <v>12464</v>
      </c>
      <c r="D106" s="102" t="s">
        <v>12465</v>
      </c>
      <c r="E106" s="102" t="s">
        <v>11781</v>
      </c>
      <c r="F106" s="102" t="s">
        <v>11431</v>
      </c>
      <c r="G106" s="102" t="s">
        <v>353</v>
      </c>
      <c r="H106" s="102" t="s">
        <v>354</v>
      </c>
      <c r="I106" s="102" t="s">
        <v>515</v>
      </c>
      <c r="J106" s="102" t="s">
        <v>26</v>
      </c>
      <c r="L106" s="229" t="s">
        <v>12466</v>
      </c>
      <c r="M106" s="229" t="s">
        <v>12467</v>
      </c>
      <c r="O106" s="102">
        <v>5.0</v>
      </c>
      <c r="P106" s="244">
        <f t="shared" si="1"/>
        <v>24</v>
      </c>
    </row>
    <row r="107" hidden="1">
      <c r="A107" s="102" t="s">
        <v>4410</v>
      </c>
      <c r="B107" s="102" t="s">
        <v>12468</v>
      </c>
      <c r="C107" s="229" t="s">
        <v>12469</v>
      </c>
      <c r="D107" s="102" t="s">
        <v>12470</v>
      </c>
      <c r="E107" s="102" t="s">
        <v>556</v>
      </c>
      <c r="F107" s="102" t="s">
        <v>557</v>
      </c>
      <c r="G107" s="102" t="s">
        <v>353</v>
      </c>
      <c r="H107" s="102" t="s">
        <v>354</v>
      </c>
      <c r="I107" s="102" t="s">
        <v>284</v>
      </c>
      <c r="J107" s="102" t="s">
        <v>26</v>
      </c>
      <c r="L107" s="229" t="s">
        <v>12471</v>
      </c>
      <c r="M107" s="229" t="s">
        <v>12222</v>
      </c>
      <c r="N107" s="229" t="s">
        <v>12065</v>
      </c>
      <c r="O107" s="102">
        <v>3.0</v>
      </c>
      <c r="P107" s="244">
        <f t="shared" si="1"/>
        <v>8</v>
      </c>
    </row>
    <row r="108" hidden="1">
      <c r="A108" s="102" t="s">
        <v>4410</v>
      </c>
      <c r="B108" s="102" t="s">
        <v>12472</v>
      </c>
      <c r="C108" s="229" t="s">
        <v>12473</v>
      </c>
      <c r="D108" s="102" t="s">
        <v>12474</v>
      </c>
      <c r="E108" s="102" t="s">
        <v>513</v>
      </c>
      <c r="F108" s="102" t="s">
        <v>514</v>
      </c>
      <c r="G108" s="102" t="s">
        <v>353</v>
      </c>
      <c r="H108" s="102" t="s">
        <v>354</v>
      </c>
      <c r="I108" s="102" t="s">
        <v>284</v>
      </c>
      <c r="J108" s="102" t="s">
        <v>26</v>
      </c>
      <c r="L108" s="229" t="s">
        <v>12475</v>
      </c>
      <c r="M108" s="229" t="s">
        <v>12476</v>
      </c>
      <c r="O108" s="102">
        <v>3.0</v>
      </c>
      <c r="P108" s="244">
        <f t="shared" si="1"/>
        <v>8</v>
      </c>
    </row>
    <row r="109" hidden="1">
      <c r="A109" s="102" t="s">
        <v>4410</v>
      </c>
      <c r="B109" s="102" t="s">
        <v>12477</v>
      </c>
      <c r="C109" s="229" t="s">
        <v>12478</v>
      </c>
      <c r="D109" s="102" t="s">
        <v>12479</v>
      </c>
      <c r="E109" s="102" t="s">
        <v>11300</v>
      </c>
      <c r="F109" s="102" t="s">
        <v>11301</v>
      </c>
      <c r="G109" s="102" t="s">
        <v>353</v>
      </c>
      <c r="H109" s="102" t="s">
        <v>354</v>
      </c>
      <c r="I109" s="102" t="s">
        <v>284</v>
      </c>
      <c r="J109" s="102" t="s">
        <v>26</v>
      </c>
      <c r="L109" s="229" t="s">
        <v>12475</v>
      </c>
      <c r="M109" s="229" t="s">
        <v>12480</v>
      </c>
      <c r="O109" s="102">
        <v>3.0</v>
      </c>
      <c r="P109" s="244">
        <f t="shared" si="1"/>
        <v>8</v>
      </c>
    </row>
    <row r="110" hidden="1">
      <c r="A110" s="102" t="s">
        <v>4410</v>
      </c>
      <c r="B110" s="102" t="s">
        <v>12006</v>
      </c>
      <c r="C110" s="229" t="s">
        <v>12007</v>
      </c>
      <c r="D110" s="102" t="s">
        <v>12008</v>
      </c>
      <c r="E110" s="102" t="s">
        <v>10234</v>
      </c>
      <c r="F110" s="102" t="s">
        <v>565</v>
      </c>
      <c r="G110" s="102" t="s">
        <v>353</v>
      </c>
      <c r="H110" s="102" t="s">
        <v>354</v>
      </c>
      <c r="I110" s="102" t="s">
        <v>284</v>
      </c>
      <c r="J110" s="102" t="s">
        <v>26</v>
      </c>
      <c r="L110" s="229" t="s">
        <v>12009</v>
      </c>
      <c r="M110" s="229" t="s">
        <v>12010</v>
      </c>
      <c r="N110" s="229" t="s">
        <v>11992</v>
      </c>
      <c r="O110" s="102">
        <v>3.0</v>
      </c>
      <c r="P110" s="244">
        <f t="shared" si="1"/>
        <v>8</v>
      </c>
    </row>
    <row r="111" hidden="1">
      <c r="A111" s="102" t="s">
        <v>4410</v>
      </c>
      <c r="B111" s="102" t="s">
        <v>12481</v>
      </c>
      <c r="C111" s="229" t="s">
        <v>12482</v>
      </c>
      <c r="D111" s="102" t="s">
        <v>12483</v>
      </c>
      <c r="E111" s="102" t="s">
        <v>11947</v>
      </c>
      <c r="F111" s="102" t="s">
        <v>305</v>
      </c>
      <c r="G111" s="102" t="s">
        <v>353</v>
      </c>
      <c r="H111" s="102" t="s">
        <v>354</v>
      </c>
      <c r="I111" s="102" t="s">
        <v>284</v>
      </c>
      <c r="J111" s="102" t="s">
        <v>26</v>
      </c>
      <c r="L111" s="229" t="s">
        <v>12009</v>
      </c>
      <c r="M111" s="229" t="s">
        <v>12484</v>
      </c>
      <c r="O111" s="102">
        <v>3.0</v>
      </c>
      <c r="P111" s="244">
        <f t="shared" si="1"/>
        <v>8</v>
      </c>
    </row>
    <row r="112" hidden="1">
      <c r="A112" s="102" t="s">
        <v>4410</v>
      </c>
      <c r="B112" s="102" t="s">
        <v>12485</v>
      </c>
      <c r="C112" s="229" t="s">
        <v>12486</v>
      </c>
      <c r="D112" s="102" t="s">
        <v>12487</v>
      </c>
      <c r="E112" s="102" t="s">
        <v>314</v>
      </c>
      <c r="F112" s="102" t="s">
        <v>315</v>
      </c>
      <c r="G112" s="102" t="s">
        <v>353</v>
      </c>
      <c r="H112" s="102" t="s">
        <v>354</v>
      </c>
      <c r="I112" s="102" t="s">
        <v>284</v>
      </c>
      <c r="J112" s="102" t="s">
        <v>26</v>
      </c>
      <c r="L112" s="229" t="s">
        <v>12009</v>
      </c>
      <c r="M112" s="229" t="s">
        <v>12488</v>
      </c>
      <c r="O112" s="102">
        <v>5.0</v>
      </c>
      <c r="P112" s="244">
        <f t="shared" si="1"/>
        <v>24</v>
      </c>
    </row>
    <row r="113" hidden="1">
      <c r="A113" s="102" t="s">
        <v>4410</v>
      </c>
      <c r="B113" s="102" t="s">
        <v>12489</v>
      </c>
      <c r="C113" s="229" t="s">
        <v>12490</v>
      </c>
      <c r="D113" s="102" t="s">
        <v>12491</v>
      </c>
      <c r="E113" s="102" t="s">
        <v>12168</v>
      </c>
      <c r="F113" s="102" t="s">
        <v>12169</v>
      </c>
      <c r="G113" s="102" t="s">
        <v>353</v>
      </c>
      <c r="H113" s="102" t="s">
        <v>354</v>
      </c>
      <c r="I113" s="102" t="s">
        <v>284</v>
      </c>
      <c r="J113" s="102" t="s">
        <v>26</v>
      </c>
      <c r="L113" s="229" t="s">
        <v>12009</v>
      </c>
      <c r="M113" s="229" t="s">
        <v>12492</v>
      </c>
      <c r="O113" s="102">
        <v>3.0</v>
      </c>
      <c r="P113" s="244">
        <f t="shared" si="1"/>
        <v>8</v>
      </c>
    </row>
    <row r="114" hidden="1">
      <c r="A114" s="102" t="s">
        <v>4410</v>
      </c>
      <c r="B114" s="102" t="s">
        <v>12493</v>
      </c>
      <c r="C114" s="229" t="s">
        <v>12494</v>
      </c>
      <c r="D114" s="102" t="s">
        <v>12495</v>
      </c>
      <c r="E114" s="102" t="s">
        <v>513</v>
      </c>
      <c r="F114" s="102" t="s">
        <v>514</v>
      </c>
      <c r="G114" s="102" t="s">
        <v>353</v>
      </c>
      <c r="H114" s="102" t="s">
        <v>354</v>
      </c>
      <c r="I114" s="102" t="s">
        <v>284</v>
      </c>
      <c r="J114" s="102" t="s">
        <v>26</v>
      </c>
      <c r="K114" s="102" t="s">
        <v>26</v>
      </c>
      <c r="L114" s="229" t="s">
        <v>12496</v>
      </c>
      <c r="M114" s="229" t="s">
        <v>12497</v>
      </c>
      <c r="N114" s="229" t="s">
        <v>12197</v>
      </c>
      <c r="O114" s="102">
        <v>5.0</v>
      </c>
      <c r="P114" s="244">
        <f t="shared" si="1"/>
        <v>24</v>
      </c>
    </row>
    <row r="115" hidden="1">
      <c r="A115" s="102" t="s">
        <v>4410</v>
      </c>
      <c r="B115" s="102" t="s">
        <v>12498</v>
      </c>
      <c r="C115" s="229" t="s">
        <v>12499</v>
      </c>
      <c r="D115" s="102" t="s">
        <v>12500</v>
      </c>
      <c r="E115" s="102" t="s">
        <v>513</v>
      </c>
      <c r="F115" s="102" t="s">
        <v>514</v>
      </c>
      <c r="G115" s="102" t="s">
        <v>353</v>
      </c>
      <c r="H115" s="102" t="s">
        <v>354</v>
      </c>
      <c r="I115" s="102" t="s">
        <v>284</v>
      </c>
      <c r="J115" s="102" t="s">
        <v>26</v>
      </c>
      <c r="L115" s="229" t="s">
        <v>12501</v>
      </c>
      <c r="M115" s="229" t="s">
        <v>12502</v>
      </c>
      <c r="N115" s="229" t="s">
        <v>12025</v>
      </c>
      <c r="O115" s="102">
        <v>5.0</v>
      </c>
      <c r="P115" s="244">
        <f t="shared" si="1"/>
        <v>24</v>
      </c>
    </row>
    <row r="116" hidden="1">
      <c r="A116" s="102" t="s">
        <v>4410</v>
      </c>
      <c r="B116" s="102" t="s">
        <v>12503</v>
      </c>
      <c r="C116" s="229" t="s">
        <v>12504</v>
      </c>
      <c r="D116" s="102" t="s">
        <v>12505</v>
      </c>
      <c r="E116" s="102" t="s">
        <v>556</v>
      </c>
      <c r="F116" s="102" t="s">
        <v>557</v>
      </c>
      <c r="G116" s="102" t="s">
        <v>353</v>
      </c>
      <c r="H116" s="102" t="s">
        <v>354</v>
      </c>
      <c r="I116" s="102" t="s">
        <v>284</v>
      </c>
      <c r="J116" s="102" t="s">
        <v>26</v>
      </c>
      <c r="L116" s="229" t="s">
        <v>12506</v>
      </c>
      <c r="M116" s="229" t="s">
        <v>12443</v>
      </c>
      <c r="O116" s="102">
        <v>3.0</v>
      </c>
      <c r="P116" s="244">
        <f t="shared" si="1"/>
        <v>8</v>
      </c>
    </row>
    <row r="117" hidden="1">
      <c r="A117" s="102" t="s">
        <v>4410</v>
      </c>
      <c r="B117" s="102" t="s">
        <v>12507</v>
      </c>
      <c r="C117" s="229" t="s">
        <v>12508</v>
      </c>
      <c r="D117" s="102" t="s">
        <v>12509</v>
      </c>
      <c r="E117" s="102" t="s">
        <v>11934</v>
      </c>
      <c r="F117" s="102" t="s">
        <v>496</v>
      </c>
      <c r="G117" s="102" t="s">
        <v>353</v>
      </c>
      <c r="H117" s="102" t="s">
        <v>354</v>
      </c>
      <c r="I117" s="102" t="s">
        <v>284</v>
      </c>
      <c r="J117" s="102" t="s">
        <v>26</v>
      </c>
      <c r="L117" s="229" t="s">
        <v>12506</v>
      </c>
      <c r="M117" s="229" t="s">
        <v>12467</v>
      </c>
      <c r="O117" s="102">
        <v>2.0</v>
      </c>
      <c r="P117" s="244">
        <f t="shared" si="1"/>
        <v>4</v>
      </c>
    </row>
    <row r="118" hidden="1">
      <c r="A118" s="102" t="s">
        <v>4410</v>
      </c>
      <c r="B118" s="102" t="s">
        <v>12510</v>
      </c>
      <c r="C118" s="229" t="s">
        <v>12511</v>
      </c>
      <c r="D118" s="102" t="s">
        <v>12512</v>
      </c>
      <c r="E118" s="102" t="s">
        <v>10234</v>
      </c>
      <c r="F118" s="102" t="s">
        <v>565</v>
      </c>
      <c r="G118" s="102" t="s">
        <v>353</v>
      </c>
      <c r="H118" s="102" t="s">
        <v>354</v>
      </c>
      <c r="I118" s="102" t="s">
        <v>284</v>
      </c>
      <c r="J118" s="102" t="s">
        <v>26</v>
      </c>
      <c r="L118" s="229" t="s">
        <v>12513</v>
      </c>
      <c r="M118" s="229" t="s">
        <v>12514</v>
      </c>
      <c r="N118" s="229" t="s">
        <v>12197</v>
      </c>
      <c r="O118" s="102">
        <v>5.0</v>
      </c>
      <c r="P118" s="244">
        <f t="shared" si="1"/>
        <v>24</v>
      </c>
    </row>
    <row r="119" hidden="1">
      <c r="A119" s="102" t="s">
        <v>4410</v>
      </c>
      <c r="B119" s="102" t="s">
        <v>12515</v>
      </c>
      <c r="C119" s="229" t="s">
        <v>12516</v>
      </c>
      <c r="D119" s="102" t="s">
        <v>12517</v>
      </c>
      <c r="E119" s="102" t="s">
        <v>11947</v>
      </c>
      <c r="F119" s="102" t="s">
        <v>305</v>
      </c>
      <c r="G119" s="102" t="s">
        <v>353</v>
      </c>
      <c r="H119" s="102" t="s">
        <v>354</v>
      </c>
      <c r="I119" s="102" t="s">
        <v>284</v>
      </c>
      <c r="J119" s="102" t="s">
        <v>26</v>
      </c>
      <c r="L119" s="229" t="s">
        <v>12014</v>
      </c>
      <c r="M119" s="229" t="s">
        <v>12467</v>
      </c>
      <c r="N119" s="229" t="s">
        <v>12139</v>
      </c>
      <c r="O119" s="102">
        <v>5.0</v>
      </c>
      <c r="P119" s="244">
        <f t="shared" si="1"/>
        <v>24</v>
      </c>
    </row>
    <row r="120" hidden="1">
      <c r="A120" s="102" t="s">
        <v>4410</v>
      </c>
      <c r="B120" s="102" t="s">
        <v>12011</v>
      </c>
      <c r="C120" s="229" t="s">
        <v>12012</v>
      </c>
      <c r="D120" s="102" t="s">
        <v>12013</v>
      </c>
      <c r="E120" s="102" t="s">
        <v>314</v>
      </c>
      <c r="F120" s="102" t="s">
        <v>315</v>
      </c>
      <c r="G120" s="102" t="s">
        <v>353</v>
      </c>
      <c r="H120" s="102" t="s">
        <v>354</v>
      </c>
      <c r="I120" s="102" t="s">
        <v>284</v>
      </c>
      <c r="J120" s="102" t="s">
        <v>26</v>
      </c>
      <c r="L120" s="229" t="s">
        <v>12014</v>
      </c>
      <c r="M120" s="229" t="s">
        <v>11997</v>
      </c>
      <c r="O120" s="102">
        <v>3.0</v>
      </c>
      <c r="P120" s="244">
        <f t="shared" si="1"/>
        <v>8</v>
      </c>
    </row>
    <row r="121" hidden="1">
      <c r="A121" s="102" t="s">
        <v>4410</v>
      </c>
      <c r="B121" s="102" t="s">
        <v>12518</v>
      </c>
      <c r="C121" s="229" t="s">
        <v>12519</v>
      </c>
      <c r="D121" s="102" t="s">
        <v>12520</v>
      </c>
      <c r="E121" s="102" t="s">
        <v>11934</v>
      </c>
      <c r="F121" s="102" t="s">
        <v>496</v>
      </c>
      <c r="G121" s="102" t="s">
        <v>353</v>
      </c>
      <c r="H121" s="102" t="s">
        <v>354</v>
      </c>
      <c r="I121" s="102" t="s">
        <v>284</v>
      </c>
      <c r="J121" s="102" t="s">
        <v>26</v>
      </c>
      <c r="L121" s="229" t="s">
        <v>12521</v>
      </c>
      <c r="M121" s="229" t="s">
        <v>12522</v>
      </c>
      <c r="O121" s="102">
        <v>2.0</v>
      </c>
      <c r="P121" s="244">
        <f t="shared" si="1"/>
        <v>4</v>
      </c>
    </row>
    <row r="122" hidden="1">
      <c r="A122" s="102" t="s">
        <v>4410</v>
      </c>
      <c r="B122" s="102" t="s">
        <v>12523</v>
      </c>
      <c r="C122" s="229" t="s">
        <v>12524</v>
      </c>
      <c r="D122" s="102" t="s">
        <v>12525</v>
      </c>
      <c r="E122" s="102" t="s">
        <v>12168</v>
      </c>
      <c r="F122" s="102" t="s">
        <v>12169</v>
      </c>
      <c r="G122" s="102" t="s">
        <v>353</v>
      </c>
      <c r="H122" s="102" t="s">
        <v>354</v>
      </c>
      <c r="I122" s="102" t="s">
        <v>284</v>
      </c>
      <c r="J122" s="102" t="s">
        <v>26</v>
      </c>
      <c r="K122" s="102" t="s">
        <v>26</v>
      </c>
      <c r="L122" s="229" t="s">
        <v>12526</v>
      </c>
      <c r="M122" s="229" t="s">
        <v>12527</v>
      </c>
      <c r="N122" s="229" t="s">
        <v>12528</v>
      </c>
      <c r="O122" s="102">
        <v>2.0</v>
      </c>
      <c r="P122" s="244">
        <f t="shared" si="1"/>
        <v>4</v>
      </c>
    </row>
    <row r="123" hidden="1">
      <c r="A123" s="102" t="s">
        <v>310</v>
      </c>
      <c r="B123" s="102" t="s">
        <v>12529</v>
      </c>
      <c r="C123" s="229" t="s">
        <v>12530</v>
      </c>
      <c r="D123" s="102" t="s">
        <v>12531</v>
      </c>
      <c r="E123" s="102" t="s">
        <v>556</v>
      </c>
      <c r="F123" s="102" t="s">
        <v>557</v>
      </c>
      <c r="G123" s="102" t="s">
        <v>282</v>
      </c>
      <c r="H123" s="102" t="s">
        <v>283</v>
      </c>
      <c r="I123" s="102" t="s">
        <v>284</v>
      </c>
      <c r="J123" s="102" t="s">
        <v>26</v>
      </c>
      <c r="L123" s="229" t="s">
        <v>12532</v>
      </c>
      <c r="M123" s="229" t="s">
        <v>12171</v>
      </c>
      <c r="N123" s="229" t="s">
        <v>12257</v>
      </c>
      <c r="O123" s="102">
        <v>3.0</v>
      </c>
      <c r="P123" s="244">
        <f t="shared" si="1"/>
        <v>8</v>
      </c>
    </row>
    <row r="124" hidden="1">
      <c r="A124" s="102" t="s">
        <v>310</v>
      </c>
      <c r="B124" s="102" t="s">
        <v>12533</v>
      </c>
      <c r="C124" s="229" t="s">
        <v>12534</v>
      </c>
      <c r="D124" s="102" t="s">
        <v>12535</v>
      </c>
      <c r="E124" s="102" t="s">
        <v>12168</v>
      </c>
      <c r="F124" s="102" t="s">
        <v>12169</v>
      </c>
      <c r="G124" s="102" t="s">
        <v>282</v>
      </c>
      <c r="H124" s="102" t="s">
        <v>283</v>
      </c>
      <c r="I124" s="102" t="s">
        <v>284</v>
      </c>
      <c r="J124" s="102" t="s">
        <v>26</v>
      </c>
      <c r="L124" s="229" t="s">
        <v>12536</v>
      </c>
      <c r="M124" s="229" t="s">
        <v>12171</v>
      </c>
      <c r="N124" s="229" t="s">
        <v>12329</v>
      </c>
      <c r="O124" s="102">
        <v>8.0</v>
      </c>
      <c r="P124" s="244">
        <f t="shared" si="1"/>
        <v>32</v>
      </c>
    </row>
    <row r="125" hidden="1">
      <c r="O125" s="230"/>
    </row>
    <row r="126" hidden="1">
      <c r="O126" s="230"/>
    </row>
    <row r="127" hidden="1">
      <c r="O127" s="230"/>
    </row>
    <row r="128" hidden="1">
      <c r="O128" s="230"/>
    </row>
    <row r="129" hidden="1">
      <c r="O129" s="230"/>
    </row>
    <row r="130" hidden="1">
      <c r="O130" s="230"/>
    </row>
    <row r="131" hidden="1">
      <c r="O131" s="230"/>
    </row>
    <row r="132" hidden="1">
      <c r="O132" s="230"/>
    </row>
    <row r="133" hidden="1">
      <c r="O133" s="230"/>
    </row>
    <row r="134" hidden="1">
      <c r="O134" s="230"/>
    </row>
    <row r="135" hidden="1">
      <c r="O135" s="230"/>
    </row>
    <row r="136" hidden="1">
      <c r="O136" s="230"/>
    </row>
    <row r="137" hidden="1">
      <c r="O137" s="230"/>
    </row>
    <row r="138" hidden="1">
      <c r="O138" s="230"/>
    </row>
    <row r="139" hidden="1">
      <c r="O139" s="230"/>
    </row>
    <row r="140" hidden="1">
      <c r="O140" s="230"/>
    </row>
    <row r="141" hidden="1">
      <c r="O141" s="230"/>
    </row>
    <row r="142" hidden="1">
      <c r="O142" s="230"/>
    </row>
    <row r="143" hidden="1">
      <c r="O143" s="230"/>
    </row>
    <row r="144" hidden="1">
      <c r="O144" s="230"/>
    </row>
    <row r="145" hidden="1">
      <c r="O145" s="230"/>
    </row>
    <row r="146" hidden="1">
      <c r="O146" s="230"/>
    </row>
    <row r="147" hidden="1">
      <c r="O147" s="230"/>
    </row>
    <row r="148" hidden="1">
      <c r="O148" s="230"/>
    </row>
    <row r="149" hidden="1">
      <c r="O149" s="230"/>
    </row>
    <row r="150" hidden="1">
      <c r="O150" s="230"/>
    </row>
    <row r="151" hidden="1">
      <c r="O151" s="230"/>
    </row>
    <row r="152" hidden="1">
      <c r="O152" s="230"/>
    </row>
    <row r="153" hidden="1">
      <c r="O153" s="230"/>
    </row>
    <row r="154" hidden="1">
      <c r="O154" s="230"/>
    </row>
    <row r="155" hidden="1">
      <c r="O155" s="230"/>
    </row>
    <row r="156" hidden="1">
      <c r="O156" s="230"/>
    </row>
    <row r="157" hidden="1">
      <c r="O157" s="230"/>
    </row>
    <row r="158" hidden="1">
      <c r="O158" s="230"/>
    </row>
    <row r="159" hidden="1">
      <c r="O159" s="230"/>
    </row>
    <row r="160" hidden="1">
      <c r="O160" s="230"/>
    </row>
    <row r="161" hidden="1">
      <c r="O161" s="230"/>
    </row>
    <row r="162" hidden="1">
      <c r="O162" s="230"/>
    </row>
    <row r="163" hidden="1">
      <c r="O163" s="230"/>
    </row>
    <row r="164" hidden="1">
      <c r="O164" s="230"/>
    </row>
    <row r="165" hidden="1">
      <c r="O165" s="230"/>
    </row>
    <row r="166" hidden="1">
      <c r="O166" s="230"/>
    </row>
    <row r="167" hidden="1">
      <c r="O167" s="230"/>
    </row>
    <row r="168" hidden="1">
      <c r="O168" s="230"/>
    </row>
    <row r="169" hidden="1">
      <c r="O169" s="230"/>
    </row>
    <row r="170" hidden="1">
      <c r="O170" s="230"/>
    </row>
    <row r="171" hidden="1">
      <c r="O171" s="230"/>
    </row>
    <row r="172" hidden="1">
      <c r="O172" s="230"/>
    </row>
    <row r="173" hidden="1">
      <c r="O173" s="230"/>
    </row>
    <row r="174" hidden="1">
      <c r="O174" s="230"/>
    </row>
    <row r="175" hidden="1">
      <c r="O175" s="230"/>
    </row>
    <row r="176" hidden="1">
      <c r="O176" s="230"/>
    </row>
    <row r="177" hidden="1">
      <c r="O177" s="230"/>
    </row>
    <row r="178" hidden="1">
      <c r="O178" s="230"/>
    </row>
    <row r="179" hidden="1">
      <c r="O179" s="230"/>
    </row>
    <row r="180" hidden="1">
      <c r="O180" s="230"/>
    </row>
    <row r="181" hidden="1">
      <c r="O181" s="230"/>
    </row>
    <row r="182" hidden="1">
      <c r="O182" s="230"/>
    </row>
    <row r="183" hidden="1">
      <c r="O183" s="230"/>
    </row>
    <row r="184" hidden="1">
      <c r="O184" s="230"/>
    </row>
    <row r="185" hidden="1">
      <c r="O185" s="230"/>
    </row>
    <row r="186" hidden="1">
      <c r="O186" s="230"/>
    </row>
    <row r="187" hidden="1">
      <c r="O187" s="230"/>
    </row>
    <row r="188" hidden="1">
      <c r="O188" s="230"/>
    </row>
    <row r="189" hidden="1">
      <c r="O189" s="230"/>
    </row>
    <row r="190" hidden="1">
      <c r="O190" s="230"/>
    </row>
    <row r="191" hidden="1">
      <c r="O191" s="230"/>
    </row>
    <row r="192" hidden="1">
      <c r="O192" s="230"/>
    </row>
    <row r="193" hidden="1">
      <c r="O193" s="230"/>
    </row>
    <row r="194" hidden="1">
      <c r="O194" s="230"/>
    </row>
    <row r="195" hidden="1">
      <c r="O195" s="230"/>
    </row>
    <row r="196" hidden="1">
      <c r="O196" s="230"/>
    </row>
    <row r="197" hidden="1">
      <c r="O197" s="230"/>
    </row>
    <row r="198" hidden="1">
      <c r="O198" s="230"/>
    </row>
    <row r="199" hidden="1">
      <c r="O199" s="230"/>
    </row>
    <row r="200" hidden="1">
      <c r="O200" s="230"/>
    </row>
    <row r="201" hidden="1">
      <c r="O201" s="230"/>
    </row>
    <row r="202" hidden="1">
      <c r="O202" s="230"/>
    </row>
    <row r="203" hidden="1">
      <c r="O203" s="230"/>
    </row>
    <row r="204" hidden="1">
      <c r="O204" s="230"/>
    </row>
    <row r="205" hidden="1">
      <c r="O205" s="230"/>
    </row>
    <row r="206" hidden="1">
      <c r="O206" s="230"/>
    </row>
    <row r="207" hidden="1">
      <c r="O207" s="230"/>
    </row>
    <row r="208" hidden="1">
      <c r="O208" s="230"/>
    </row>
    <row r="209" hidden="1">
      <c r="O209" s="230"/>
    </row>
    <row r="210" hidden="1">
      <c r="O210" s="230"/>
    </row>
    <row r="211" hidden="1">
      <c r="O211" s="230"/>
    </row>
    <row r="212" hidden="1">
      <c r="O212" s="230"/>
    </row>
    <row r="213" hidden="1">
      <c r="O213" s="230"/>
    </row>
    <row r="214" hidden="1">
      <c r="O214" s="230"/>
    </row>
    <row r="215" hidden="1">
      <c r="O215" s="230"/>
    </row>
    <row r="216" hidden="1">
      <c r="O216" s="230"/>
    </row>
    <row r="217" hidden="1">
      <c r="O217" s="230"/>
    </row>
    <row r="218" hidden="1">
      <c r="O218" s="230"/>
    </row>
    <row r="219" hidden="1">
      <c r="O219" s="230"/>
    </row>
    <row r="220" hidden="1">
      <c r="O220" s="230"/>
    </row>
    <row r="221" hidden="1">
      <c r="O221" s="230"/>
    </row>
    <row r="222" hidden="1">
      <c r="O222" s="230"/>
    </row>
    <row r="223" hidden="1">
      <c r="O223" s="230"/>
    </row>
    <row r="224" hidden="1">
      <c r="O224" s="230"/>
    </row>
    <row r="225" hidden="1">
      <c r="O225" s="230"/>
    </row>
    <row r="226" hidden="1">
      <c r="O226" s="230"/>
    </row>
    <row r="227" hidden="1">
      <c r="O227" s="230"/>
    </row>
    <row r="228" hidden="1">
      <c r="O228" s="230"/>
    </row>
    <row r="229" hidden="1">
      <c r="O229" s="230"/>
    </row>
    <row r="230" hidden="1">
      <c r="O230" s="230"/>
    </row>
    <row r="231" hidden="1">
      <c r="O231" s="230"/>
    </row>
    <row r="232" hidden="1">
      <c r="O232" s="230"/>
    </row>
    <row r="233" hidden="1">
      <c r="O233" s="230"/>
    </row>
    <row r="234" hidden="1">
      <c r="O234" s="230"/>
    </row>
    <row r="235" hidden="1">
      <c r="O235" s="230"/>
    </row>
    <row r="236" hidden="1">
      <c r="O236" s="230"/>
    </row>
    <row r="237" hidden="1">
      <c r="O237" s="230"/>
    </row>
    <row r="238" hidden="1">
      <c r="O238" s="230"/>
    </row>
    <row r="239" hidden="1">
      <c r="O239" s="230"/>
    </row>
    <row r="240" hidden="1">
      <c r="O240" s="230"/>
    </row>
    <row r="241" hidden="1">
      <c r="O241" s="230"/>
    </row>
    <row r="242" hidden="1">
      <c r="O242" s="230"/>
    </row>
    <row r="243" hidden="1">
      <c r="O243" s="230"/>
    </row>
    <row r="244" hidden="1">
      <c r="O244" s="230"/>
    </row>
    <row r="245" hidden="1">
      <c r="O245" s="230"/>
    </row>
    <row r="246" hidden="1">
      <c r="O246" s="230"/>
    </row>
    <row r="247" hidden="1">
      <c r="O247" s="230"/>
    </row>
    <row r="248" hidden="1">
      <c r="O248" s="230"/>
    </row>
    <row r="249" hidden="1">
      <c r="O249" s="230"/>
    </row>
    <row r="250" hidden="1">
      <c r="O250" s="230"/>
    </row>
    <row r="251" hidden="1">
      <c r="O251" s="230"/>
    </row>
    <row r="252" hidden="1">
      <c r="O252" s="230"/>
    </row>
    <row r="253" hidden="1">
      <c r="O253" s="230"/>
    </row>
    <row r="254" hidden="1">
      <c r="O254" s="230"/>
    </row>
    <row r="255" hidden="1">
      <c r="O255" s="230"/>
    </row>
    <row r="256" hidden="1">
      <c r="O256" s="230"/>
    </row>
    <row r="257" hidden="1">
      <c r="O257" s="230"/>
    </row>
    <row r="258" hidden="1">
      <c r="O258" s="230"/>
    </row>
    <row r="259" hidden="1">
      <c r="O259" s="230"/>
    </row>
    <row r="260" hidden="1">
      <c r="O260" s="230"/>
    </row>
    <row r="261" hidden="1">
      <c r="O261" s="230"/>
    </row>
    <row r="262" hidden="1">
      <c r="O262" s="230"/>
    </row>
    <row r="263" hidden="1">
      <c r="O263" s="230"/>
    </row>
    <row r="264" hidden="1">
      <c r="O264" s="230"/>
    </row>
    <row r="265" hidden="1">
      <c r="O265" s="230"/>
    </row>
    <row r="266" hidden="1">
      <c r="O266" s="230"/>
    </row>
    <row r="267" hidden="1">
      <c r="O267" s="230"/>
    </row>
    <row r="268" hidden="1">
      <c r="O268" s="230"/>
    </row>
    <row r="269" hidden="1">
      <c r="O269" s="230"/>
    </row>
    <row r="270" hidden="1">
      <c r="O270" s="230"/>
    </row>
    <row r="271" hidden="1">
      <c r="O271" s="230"/>
    </row>
    <row r="272" hidden="1">
      <c r="O272" s="230"/>
    </row>
    <row r="273" hidden="1">
      <c r="O273" s="230"/>
    </row>
    <row r="274" hidden="1">
      <c r="O274" s="230"/>
    </row>
    <row r="275" hidden="1">
      <c r="O275" s="230"/>
    </row>
    <row r="276" hidden="1">
      <c r="O276" s="230"/>
    </row>
    <row r="277" hidden="1">
      <c r="O277" s="230"/>
    </row>
    <row r="278" hidden="1">
      <c r="O278" s="230"/>
    </row>
    <row r="279" hidden="1">
      <c r="O279" s="230"/>
    </row>
    <row r="280" hidden="1">
      <c r="O280" s="230"/>
    </row>
    <row r="281" hidden="1">
      <c r="O281" s="230"/>
    </row>
    <row r="282" hidden="1">
      <c r="O282" s="230"/>
    </row>
    <row r="283" hidden="1">
      <c r="O283" s="230"/>
    </row>
    <row r="284" hidden="1">
      <c r="O284" s="230"/>
    </row>
    <row r="285" hidden="1">
      <c r="O285" s="230"/>
    </row>
    <row r="286" hidden="1">
      <c r="O286" s="230"/>
    </row>
    <row r="287" hidden="1">
      <c r="O287" s="230"/>
    </row>
    <row r="288" hidden="1">
      <c r="O288" s="230"/>
    </row>
    <row r="289" hidden="1">
      <c r="O289" s="230"/>
    </row>
    <row r="290" hidden="1">
      <c r="O290" s="230"/>
    </row>
    <row r="291" hidden="1">
      <c r="O291" s="230"/>
    </row>
    <row r="292" hidden="1">
      <c r="O292" s="230"/>
    </row>
    <row r="293" hidden="1">
      <c r="O293" s="230"/>
    </row>
    <row r="294" hidden="1">
      <c r="O294" s="230"/>
    </row>
    <row r="295" hidden="1">
      <c r="O295" s="230"/>
    </row>
    <row r="296" hidden="1">
      <c r="O296" s="230"/>
    </row>
    <row r="297" hidden="1">
      <c r="O297" s="230"/>
    </row>
    <row r="298" hidden="1">
      <c r="O298" s="230"/>
    </row>
    <row r="299" hidden="1">
      <c r="O299" s="230"/>
    </row>
    <row r="300" hidden="1">
      <c r="O300" s="230"/>
    </row>
    <row r="301" hidden="1">
      <c r="O301" s="230"/>
    </row>
    <row r="302" hidden="1">
      <c r="O302" s="230"/>
    </row>
    <row r="303" hidden="1">
      <c r="O303" s="230"/>
    </row>
    <row r="304" hidden="1">
      <c r="O304" s="230"/>
    </row>
    <row r="305" hidden="1">
      <c r="O305" s="230"/>
    </row>
    <row r="306" hidden="1">
      <c r="O306" s="230"/>
    </row>
    <row r="307" hidden="1">
      <c r="O307" s="230"/>
    </row>
    <row r="308" hidden="1">
      <c r="O308" s="230"/>
    </row>
    <row r="309" hidden="1">
      <c r="O309" s="230"/>
    </row>
    <row r="310" hidden="1">
      <c r="O310" s="230"/>
    </row>
    <row r="311" hidden="1">
      <c r="O311" s="230"/>
    </row>
    <row r="312" hidden="1">
      <c r="O312" s="230"/>
    </row>
    <row r="313" hidden="1">
      <c r="O313" s="230"/>
    </row>
    <row r="314" hidden="1">
      <c r="O314" s="230"/>
    </row>
    <row r="315" hidden="1">
      <c r="O315" s="230"/>
    </row>
    <row r="316" hidden="1">
      <c r="O316" s="230"/>
    </row>
    <row r="317" hidden="1">
      <c r="O317" s="230"/>
    </row>
    <row r="318" hidden="1">
      <c r="O318" s="230"/>
    </row>
    <row r="319" hidden="1">
      <c r="O319" s="230"/>
    </row>
    <row r="320" hidden="1">
      <c r="O320" s="230"/>
    </row>
    <row r="321" hidden="1">
      <c r="O321" s="230"/>
    </row>
    <row r="322" hidden="1">
      <c r="O322" s="230"/>
    </row>
    <row r="323" hidden="1">
      <c r="O323" s="230"/>
    </row>
    <row r="324" hidden="1">
      <c r="O324" s="230"/>
    </row>
    <row r="325" hidden="1">
      <c r="O325" s="230"/>
    </row>
    <row r="326" hidden="1">
      <c r="O326" s="230"/>
    </row>
    <row r="327" hidden="1">
      <c r="O327" s="230"/>
    </row>
    <row r="328" hidden="1">
      <c r="O328" s="230"/>
    </row>
    <row r="329" hidden="1">
      <c r="O329" s="230"/>
    </row>
    <row r="330" hidden="1">
      <c r="O330" s="230"/>
    </row>
    <row r="331" hidden="1">
      <c r="O331" s="230"/>
    </row>
    <row r="332" hidden="1">
      <c r="O332" s="230"/>
    </row>
    <row r="333" hidden="1">
      <c r="O333" s="230"/>
    </row>
    <row r="334" hidden="1">
      <c r="O334" s="230"/>
    </row>
    <row r="335" hidden="1">
      <c r="O335" s="230"/>
    </row>
    <row r="336" hidden="1">
      <c r="O336" s="230"/>
    </row>
    <row r="337" hidden="1">
      <c r="O337" s="230"/>
    </row>
    <row r="338" hidden="1">
      <c r="O338" s="230"/>
    </row>
    <row r="339" hidden="1">
      <c r="O339" s="230"/>
    </row>
    <row r="340" hidden="1">
      <c r="O340" s="230"/>
    </row>
    <row r="341" hidden="1">
      <c r="O341" s="230"/>
    </row>
    <row r="342" hidden="1">
      <c r="O342" s="230"/>
    </row>
    <row r="343" hidden="1">
      <c r="O343" s="230"/>
    </row>
    <row r="344" hidden="1">
      <c r="O344" s="230"/>
    </row>
    <row r="345" hidden="1">
      <c r="O345" s="230"/>
    </row>
    <row r="346" hidden="1">
      <c r="O346" s="230"/>
    </row>
    <row r="347" hidden="1">
      <c r="O347" s="230"/>
    </row>
    <row r="348" hidden="1">
      <c r="O348" s="230"/>
    </row>
    <row r="349" hidden="1">
      <c r="O349" s="230"/>
    </row>
    <row r="350" hidden="1">
      <c r="O350" s="230"/>
    </row>
    <row r="351" hidden="1">
      <c r="O351" s="230"/>
    </row>
    <row r="352" hidden="1">
      <c r="O352" s="230"/>
    </row>
    <row r="353" hidden="1">
      <c r="O353" s="230"/>
    </row>
    <row r="354" hidden="1">
      <c r="O354" s="230"/>
    </row>
    <row r="355" hidden="1">
      <c r="O355" s="230"/>
    </row>
    <row r="356" hidden="1">
      <c r="O356" s="230"/>
    </row>
    <row r="357" hidden="1">
      <c r="O357" s="230"/>
    </row>
    <row r="358" hidden="1">
      <c r="O358" s="230"/>
    </row>
    <row r="359" hidden="1">
      <c r="O359" s="230"/>
    </row>
    <row r="360" hidden="1">
      <c r="O360" s="230"/>
    </row>
    <row r="361" hidden="1">
      <c r="O361" s="230"/>
    </row>
    <row r="362" hidden="1">
      <c r="O362" s="230"/>
    </row>
    <row r="363" hidden="1">
      <c r="O363" s="230"/>
    </row>
    <row r="364" hidden="1">
      <c r="O364" s="230"/>
    </row>
    <row r="365" hidden="1">
      <c r="O365" s="230"/>
    </row>
    <row r="366" hidden="1">
      <c r="O366" s="230"/>
    </row>
    <row r="367" hidden="1">
      <c r="O367" s="230"/>
    </row>
    <row r="368" hidden="1">
      <c r="O368" s="230"/>
    </row>
    <row r="369" hidden="1">
      <c r="O369" s="230"/>
    </row>
    <row r="370" hidden="1">
      <c r="O370" s="230"/>
    </row>
    <row r="371" hidden="1">
      <c r="O371" s="230"/>
    </row>
    <row r="372" hidden="1">
      <c r="O372" s="230"/>
    </row>
    <row r="373" hidden="1">
      <c r="O373" s="230"/>
    </row>
    <row r="374" hidden="1">
      <c r="O374" s="230"/>
    </row>
    <row r="375" hidden="1">
      <c r="O375" s="230"/>
    </row>
    <row r="376" hidden="1">
      <c r="O376" s="230"/>
    </row>
    <row r="377" hidden="1">
      <c r="O377" s="230"/>
    </row>
    <row r="378" hidden="1">
      <c r="O378" s="230"/>
    </row>
    <row r="379" hidden="1">
      <c r="O379" s="230"/>
    </row>
    <row r="380" hidden="1">
      <c r="O380" s="230"/>
    </row>
    <row r="381" hidden="1">
      <c r="O381" s="230"/>
    </row>
    <row r="382" hidden="1">
      <c r="O382" s="230"/>
    </row>
    <row r="383" hidden="1">
      <c r="O383" s="230"/>
    </row>
    <row r="384" hidden="1">
      <c r="O384" s="230"/>
    </row>
    <row r="385" hidden="1">
      <c r="O385" s="230"/>
    </row>
    <row r="386" hidden="1">
      <c r="O386" s="230"/>
    </row>
    <row r="387" hidden="1">
      <c r="O387" s="230"/>
    </row>
    <row r="388" hidden="1">
      <c r="O388" s="230"/>
    </row>
    <row r="389" hidden="1">
      <c r="O389" s="230"/>
    </row>
    <row r="390" hidden="1">
      <c r="O390" s="230"/>
    </row>
    <row r="391" hidden="1">
      <c r="O391" s="230"/>
    </row>
    <row r="392" hidden="1">
      <c r="O392" s="230"/>
    </row>
    <row r="393" hidden="1">
      <c r="O393" s="230"/>
    </row>
    <row r="394" hidden="1">
      <c r="O394" s="230"/>
    </row>
    <row r="395" hidden="1">
      <c r="O395" s="230"/>
    </row>
    <row r="396" hidden="1">
      <c r="O396" s="230"/>
    </row>
    <row r="397" hidden="1">
      <c r="O397" s="230"/>
    </row>
    <row r="398" hidden="1">
      <c r="O398" s="230"/>
    </row>
    <row r="399" hidden="1">
      <c r="O399" s="230"/>
    </row>
    <row r="400" hidden="1">
      <c r="O400" s="230"/>
    </row>
    <row r="401" hidden="1">
      <c r="O401" s="230"/>
    </row>
    <row r="402" hidden="1">
      <c r="O402" s="230"/>
    </row>
    <row r="403" hidden="1">
      <c r="O403" s="230"/>
    </row>
    <row r="404" hidden="1">
      <c r="O404" s="230"/>
    </row>
    <row r="405" hidden="1">
      <c r="O405" s="230"/>
    </row>
    <row r="406" hidden="1">
      <c r="O406" s="230"/>
    </row>
    <row r="407" hidden="1">
      <c r="O407" s="230"/>
    </row>
    <row r="408" hidden="1">
      <c r="O408" s="230"/>
    </row>
    <row r="409" hidden="1">
      <c r="O409" s="230"/>
    </row>
    <row r="410" hidden="1">
      <c r="O410" s="230"/>
    </row>
    <row r="411" hidden="1">
      <c r="O411" s="230"/>
    </row>
    <row r="412" hidden="1">
      <c r="O412" s="230"/>
    </row>
    <row r="413" hidden="1">
      <c r="O413" s="230"/>
    </row>
    <row r="414" hidden="1">
      <c r="O414" s="230"/>
    </row>
    <row r="415" hidden="1">
      <c r="O415" s="230"/>
    </row>
    <row r="416" hidden="1">
      <c r="O416" s="230"/>
    </row>
    <row r="417" hidden="1">
      <c r="O417" s="230"/>
    </row>
    <row r="418" hidden="1">
      <c r="O418" s="230"/>
    </row>
    <row r="419" hidden="1">
      <c r="O419" s="230"/>
    </row>
    <row r="420" hidden="1">
      <c r="O420" s="230"/>
    </row>
    <row r="421" hidden="1">
      <c r="O421" s="230"/>
    </row>
    <row r="422" hidden="1">
      <c r="O422" s="230"/>
    </row>
    <row r="423" hidden="1">
      <c r="O423" s="230"/>
    </row>
    <row r="424" hidden="1">
      <c r="O424" s="230"/>
    </row>
    <row r="425" hidden="1">
      <c r="O425" s="230"/>
    </row>
    <row r="426" hidden="1">
      <c r="O426" s="230"/>
    </row>
    <row r="427" hidden="1">
      <c r="O427" s="230"/>
    </row>
    <row r="428" hidden="1">
      <c r="O428" s="230"/>
    </row>
    <row r="429" hidden="1">
      <c r="O429" s="230"/>
    </row>
    <row r="430" hidden="1">
      <c r="O430" s="230"/>
    </row>
    <row r="431" hidden="1">
      <c r="O431" s="230"/>
    </row>
    <row r="432" hidden="1">
      <c r="O432" s="230"/>
    </row>
    <row r="433" hidden="1">
      <c r="O433" s="230"/>
    </row>
    <row r="434" hidden="1">
      <c r="O434" s="230"/>
    </row>
    <row r="435" hidden="1">
      <c r="O435" s="230"/>
    </row>
    <row r="436" hidden="1">
      <c r="O436" s="230"/>
    </row>
    <row r="437" hidden="1">
      <c r="O437" s="230"/>
    </row>
    <row r="438" hidden="1">
      <c r="O438" s="230"/>
    </row>
    <row r="439" hidden="1">
      <c r="O439" s="230"/>
    </row>
    <row r="440" hidden="1">
      <c r="O440" s="230"/>
    </row>
    <row r="441" hidden="1">
      <c r="O441" s="230"/>
    </row>
    <row r="442" hidden="1">
      <c r="O442" s="230"/>
    </row>
    <row r="443" hidden="1">
      <c r="O443" s="230"/>
    </row>
    <row r="444" hidden="1">
      <c r="O444" s="230"/>
    </row>
    <row r="445" hidden="1">
      <c r="O445" s="230"/>
    </row>
    <row r="446" hidden="1">
      <c r="O446" s="230"/>
    </row>
    <row r="447" hidden="1">
      <c r="O447" s="230"/>
    </row>
    <row r="448" hidden="1">
      <c r="O448" s="230"/>
    </row>
    <row r="449" hidden="1">
      <c r="O449" s="230"/>
    </row>
    <row r="450" hidden="1">
      <c r="O450" s="230"/>
    </row>
    <row r="451" hidden="1">
      <c r="O451" s="230"/>
    </row>
    <row r="452" hidden="1">
      <c r="O452" s="230"/>
    </row>
    <row r="453" hidden="1">
      <c r="O453" s="230"/>
    </row>
    <row r="454" hidden="1">
      <c r="O454" s="230"/>
    </row>
    <row r="455" hidden="1">
      <c r="O455" s="230"/>
    </row>
    <row r="456" hidden="1">
      <c r="O456" s="230"/>
    </row>
    <row r="457" hidden="1">
      <c r="O457" s="230"/>
    </row>
    <row r="458" hidden="1">
      <c r="O458" s="230"/>
    </row>
    <row r="459" hidden="1">
      <c r="O459" s="230"/>
    </row>
    <row r="460" hidden="1">
      <c r="O460" s="230"/>
    </row>
    <row r="461" hidden="1">
      <c r="O461" s="230"/>
    </row>
    <row r="462" hidden="1">
      <c r="O462" s="230"/>
    </row>
    <row r="463" hidden="1">
      <c r="O463" s="230"/>
    </row>
    <row r="464" hidden="1">
      <c r="O464" s="230"/>
    </row>
    <row r="465" hidden="1">
      <c r="O465" s="230"/>
    </row>
    <row r="466" hidden="1">
      <c r="O466" s="230"/>
    </row>
    <row r="467" hidden="1">
      <c r="O467" s="230"/>
    </row>
    <row r="468" hidden="1">
      <c r="O468" s="230"/>
    </row>
    <row r="469" hidden="1">
      <c r="O469" s="230"/>
    </row>
    <row r="470" hidden="1">
      <c r="O470" s="230"/>
    </row>
    <row r="471" hidden="1">
      <c r="O471" s="230"/>
    </row>
    <row r="472" hidden="1">
      <c r="O472" s="230"/>
    </row>
    <row r="473" hidden="1">
      <c r="O473" s="230"/>
    </row>
    <row r="474" hidden="1">
      <c r="O474" s="230"/>
    </row>
    <row r="475" hidden="1">
      <c r="O475" s="230"/>
    </row>
    <row r="476" hidden="1">
      <c r="O476" s="230"/>
    </row>
    <row r="477" hidden="1">
      <c r="O477" s="230"/>
    </row>
    <row r="478" hidden="1">
      <c r="O478" s="230"/>
    </row>
    <row r="479" hidden="1">
      <c r="O479" s="230"/>
    </row>
    <row r="480" hidden="1">
      <c r="O480" s="230"/>
    </row>
    <row r="481" hidden="1">
      <c r="O481" s="230"/>
    </row>
    <row r="482" hidden="1">
      <c r="O482" s="230"/>
    </row>
    <row r="483" hidden="1">
      <c r="O483" s="230"/>
    </row>
    <row r="484" hidden="1">
      <c r="O484" s="230"/>
    </row>
    <row r="485" hidden="1">
      <c r="O485" s="230"/>
    </row>
    <row r="486" hidden="1">
      <c r="O486" s="230"/>
    </row>
    <row r="487" hidden="1">
      <c r="O487" s="230"/>
    </row>
    <row r="488" hidden="1">
      <c r="O488" s="230"/>
    </row>
    <row r="489" hidden="1">
      <c r="O489" s="230"/>
    </row>
    <row r="490" hidden="1">
      <c r="O490" s="230"/>
    </row>
    <row r="491" hidden="1">
      <c r="O491" s="230"/>
    </row>
    <row r="492" hidden="1">
      <c r="O492" s="230"/>
    </row>
    <row r="493" hidden="1">
      <c r="O493" s="230"/>
    </row>
    <row r="494" hidden="1">
      <c r="O494" s="230"/>
    </row>
    <row r="495" hidden="1">
      <c r="O495" s="230"/>
    </row>
    <row r="496" hidden="1">
      <c r="O496" s="230"/>
    </row>
    <row r="497" hidden="1">
      <c r="O497" s="230"/>
    </row>
    <row r="498" hidden="1">
      <c r="O498" s="230"/>
    </row>
    <row r="499" hidden="1">
      <c r="O499" s="230"/>
    </row>
    <row r="500" hidden="1">
      <c r="O500" s="230"/>
    </row>
    <row r="501" hidden="1">
      <c r="O501" s="230"/>
    </row>
    <row r="502" hidden="1">
      <c r="O502" s="230"/>
    </row>
    <row r="503" hidden="1">
      <c r="O503" s="230"/>
    </row>
    <row r="504" hidden="1">
      <c r="O504" s="230"/>
    </row>
    <row r="505" hidden="1">
      <c r="O505" s="230"/>
    </row>
    <row r="506" hidden="1">
      <c r="O506" s="230"/>
    </row>
    <row r="507" hidden="1">
      <c r="O507" s="230"/>
    </row>
    <row r="508" hidden="1">
      <c r="O508" s="230"/>
    </row>
    <row r="509" hidden="1">
      <c r="O509" s="230"/>
    </row>
    <row r="510" hidden="1">
      <c r="O510" s="230"/>
    </row>
    <row r="511" hidden="1">
      <c r="O511" s="230"/>
    </row>
    <row r="512" hidden="1">
      <c r="O512" s="230"/>
    </row>
    <row r="513" hidden="1">
      <c r="O513" s="230"/>
    </row>
    <row r="514" hidden="1">
      <c r="O514" s="230"/>
    </row>
    <row r="515" hidden="1">
      <c r="O515" s="230"/>
    </row>
    <row r="516" hidden="1">
      <c r="O516" s="230"/>
    </row>
    <row r="517" hidden="1">
      <c r="O517" s="230"/>
    </row>
    <row r="518" hidden="1">
      <c r="O518" s="230"/>
    </row>
    <row r="519" hidden="1">
      <c r="O519" s="230"/>
    </row>
    <row r="520" hidden="1">
      <c r="O520" s="230"/>
    </row>
    <row r="521" hidden="1">
      <c r="O521" s="230"/>
    </row>
    <row r="522" hidden="1">
      <c r="O522" s="230"/>
    </row>
    <row r="523" hidden="1">
      <c r="O523" s="230"/>
    </row>
    <row r="524" hidden="1">
      <c r="O524" s="230"/>
    </row>
    <row r="525" hidden="1">
      <c r="O525" s="230"/>
    </row>
    <row r="526" hidden="1">
      <c r="O526" s="230"/>
    </row>
    <row r="527" hidden="1">
      <c r="O527" s="230"/>
    </row>
    <row r="528" hidden="1">
      <c r="O528" s="230"/>
    </row>
    <row r="529" hidden="1">
      <c r="O529" s="230"/>
    </row>
    <row r="530" hidden="1">
      <c r="O530" s="230"/>
    </row>
    <row r="531" hidden="1">
      <c r="O531" s="230"/>
    </row>
    <row r="532" hidden="1">
      <c r="O532" s="230"/>
    </row>
    <row r="533" hidden="1">
      <c r="O533" s="230"/>
    </row>
    <row r="534" hidden="1">
      <c r="O534" s="230"/>
    </row>
    <row r="535" hidden="1">
      <c r="O535" s="230"/>
    </row>
    <row r="536" hidden="1">
      <c r="O536" s="230"/>
    </row>
    <row r="537" hidden="1">
      <c r="O537" s="230"/>
    </row>
    <row r="538" hidden="1">
      <c r="O538" s="230"/>
    </row>
    <row r="539" hidden="1">
      <c r="O539" s="230"/>
    </row>
    <row r="540" hidden="1">
      <c r="O540" s="230"/>
    </row>
    <row r="541" hidden="1">
      <c r="O541" s="230"/>
    </row>
    <row r="542" hidden="1">
      <c r="O542" s="230"/>
    </row>
    <row r="543" hidden="1">
      <c r="O543" s="230"/>
    </row>
    <row r="544" hidden="1">
      <c r="O544" s="230"/>
    </row>
    <row r="545" hidden="1">
      <c r="O545" s="230"/>
    </row>
    <row r="546" hidden="1">
      <c r="O546" s="230"/>
    </row>
    <row r="547" hidden="1">
      <c r="O547" s="230"/>
    </row>
    <row r="548" hidden="1">
      <c r="O548" s="230"/>
    </row>
    <row r="549" hidden="1">
      <c r="O549" s="230"/>
    </row>
    <row r="550" hidden="1">
      <c r="O550" s="230"/>
    </row>
    <row r="551" hidden="1">
      <c r="O551" s="230"/>
    </row>
    <row r="552" hidden="1">
      <c r="O552" s="230"/>
    </row>
    <row r="553" hidden="1">
      <c r="O553" s="230"/>
    </row>
    <row r="554" hidden="1">
      <c r="O554" s="230"/>
    </row>
    <row r="555" hidden="1">
      <c r="O555" s="230"/>
    </row>
    <row r="556" hidden="1">
      <c r="O556" s="230"/>
    </row>
    <row r="557" hidden="1">
      <c r="O557" s="230"/>
    </row>
    <row r="558" hidden="1">
      <c r="O558" s="230"/>
    </row>
    <row r="559" hidden="1">
      <c r="O559" s="230"/>
    </row>
    <row r="560" hidden="1">
      <c r="O560" s="230"/>
    </row>
    <row r="561" hidden="1">
      <c r="O561" s="230"/>
    </row>
    <row r="562" hidden="1">
      <c r="O562" s="230"/>
    </row>
    <row r="563" hidden="1">
      <c r="O563" s="230"/>
    </row>
    <row r="564" hidden="1">
      <c r="O564" s="230"/>
    </row>
    <row r="565" hidden="1">
      <c r="O565" s="230"/>
    </row>
    <row r="566" hidden="1">
      <c r="O566" s="230"/>
    </row>
    <row r="567" hidden="1">
      <c r="O567" s="230"/>
    </row>
    <row r="568" hidden="1">
      <c r="O568" s="230"/>
    </row>
    <row r="569" hidden="1">
      <c r="O569" s="230"/>
    </row>
    <row r="570" hidden="1">
      <c r="O570" s="230"/>
    </row>
    <row r="571" hidden="1">
      <c r="O571" s="230"/>
    </row>
    <row r="572" hidden="1">
      <c r="O572" s="230"/>
    </row>
    <row r="573" hidden="1">
      <c r="O573" s="230"/>
    </row>
    <row r="574" hidden="1">
      <c r="O574" s="230"/>
    </row>
    <row r="575" hidden="1">
      <c r="O575" s="230"/>
    </row>
    <row r="576" hidden="1">
      <c r="O576" s="230"/>
    </row>
    <row r="577" hidden="1">
      <c r="O577" s="230"/>
    </row>
    <row r="578" hidden="1">
      <c r="O578" s="230"/>
    </row>
    <row r="579" hidden="1">
      <c r="O579" s="230"/>
    </row>
    <row r="580" hidden="1">
      <c r="O580" s="230"/>
    </row>
    <row r="581" hidden="1">
      <c r="O581" s="230"/>
    </row>
    <row r="582" hidden="1">
      <c r="O582" s="230"/>
    </row>
    <row r="583" hidden="1">
      <c r="O583" s="230"/>
    </row>
    <row r="584" hidden="1">
      <c r="O584" s="230"/>
    </row>
    <row r="585" hidden="1">
      <c r="O585" s="230"/>
    </row>
    <row r="586" hidden="1">
      <c r="O586" s="230"/>
    </row>
    <row r="587" hidden="1">
      <c r="O587" s="230"/>
    </row>
    <row r="588" hidden="1">
      <c r="O588" s="230"/>
    </row>
    <row r="589" hidden="1">
      <c r="O589" s="230"/>
    </row>
    <row r="590" hidden="1">
      <c r="O590" s="230"/>
    </row>
    <row r="591" hidden="1">
      <c r="O591" s="230"/>
    </row>
    <row r="592" hidden="1">
      <c r="O592" s="230"/>
    </row>
    <row r="593" hidden="1">
      <c r="O593" s="230"/>
    </row>
    <row r="594" hidden="1">
      <c r="O594" s="230"/>
    </row>
    <row r="595" hidden="1">
      <c r="O595" s="230"/>
    </row>
    <row r="596" hidden="1">
      <c r="O596" s="230"/>
    </row>
    <row r="597" hidden="1">
      <c r="O597" s="230"/>
    </row>
    <row r="598" hidden="1">
      <c r="O598" s="230"/>
    </row>
    <row r="599" hidden="1">
      <c r="O599" s="230"/>
    </row>
    <row r="600" hidden="1">
      <c r="O600" s="230"/>
    </row>
    <row r="601" hidden="1">
      <c r="O601" s="230"/>
    </row>
    <row r="602" hidden="1">
      <c r="O602" s="230"/>
    </row>
    <row r="603" hidden="1">
      <c r="O603" s="230"/>
    </row>
    <row r="604" hidden="1">
      <c r="O604" s="230"/>
    </row>
    <row r="605" hidden="1">
      <c r="O605" s="230"/>
    </row>
    <row r="606" hidden="1">
      <c r="O606" s="230"/>
    </row>
    <row r="607" hidden="1">
      <c r="O607" s="230"/>
    </row>
    <row r="608" hidden="1">
      <c r="O608" s="230"/>
    </row>
    <row r="609" hidden="1">
      <c r="O609" s="230"/>
    </row>
    <row r="610" hidden="1">
      <c r="O610" s="230"/>
    </row>
    <row r="611" hidden="1">
      <c r="O611" s="230"/>
    </row>
    <row r="612" hidden="1">
      <c r="O612" s="230"/>
    </row>
    <row r="613" hidden="1">
      <c r="O613" s="230"/>
    </row>
    <row r="614" hidden="1">
      <c r="O614" s="230"/>
    </row>
    <row r="615" hidden="1">
      <c r="O615" s="230"/>
    </row>
    <row r="616" hidden="1">
      <c r="O616" s="230"/>
    </row>
    <row r="617" hidden="1">
      <c r="O617" s="230"/>
    </row>
    <row r="618" hidden="1">
      <c r="O618" s="230"/>
    </row>
    <row r="619" hidden="1">
      <c r="O619" s="230"/>
    </row>
    <row r="620" hidden="1">
      <c r="O620" s="230"/>
    </row>
    <row r="621" hidden="1">
      <c r="O621" s="230"/>
    </row>
    <row r="622" hidden="1">
      <c r="O622" s="230"/>
    </row>
    <row r="623" hidden="1">
      <c r="O623" s="230"/>
    </row>
    <row r="624" hidden="1">
      <c r="O624" s="230"/>
    </row>
    <row r="625" hidden="1">
      <c r="O625" s="230"/>
    </row>
    <row r="626" hidden="1">
      <c r="O626" s="230"/>
    </row>
    <row r="627" hidden="1">
      <c r="O627" s="230"/>
    </row>
    <row r="628" hidden="1">
      <c r="O628" s="230"/>
    </row>
    <row r="629" hidden="1">
      <c r="O629" s="230"/>
    </row>
    <row r="630" hidden="1">
      <c r="O630" s="230"/>
    </row>
    <row r="631" hidden="1">
      <c r="O631" s="230"/>
    </row>
    <row r="632" hidden="1">
      <c r="O632" s="230"/>
    </row>
    <row r="633" hidden="1">
      <c r="O633" s="230"/>
    </row>
    <row r="634" hidden="1">
      <c r="O634" s="230"/>
    </row>
    <row r="635" hidden="1">
      <c r="O635" s="230"/>
    </row>
    <row r="636" hidden="1">
      <c r="O636" s="230"/>
    </row>
    <row r="637" hidden="1">
      <c r="O637" s="230"/>
    </row>
    <row r="638" hidden="1">
      <c r="O638" s="230"/>
    </row>
    <row r="639" hidden="1">
      <c r="O639" s="230"/>
    </row>
    <row r="640" hidden="1">
      <c r="O640" s="230"/>
    </row>
    <row r="641" hidden="1">
      <c r="O641" s="230"/>
    </row>
    <row r="642" hidden="1">
      <c r="O642" s="230"/>
    </row>
    <row r="643" hidden="1">
      <c r="O643" s="230"/>
    </row>
    <row r="644" hidden="1">
      <c r="O644" s="230"/>
    </row>
    <row r="645" hidden="1">
      <c r="O645" s="230"/>
    </row>
    <row r="646" hidden="1">
      <c r="O646" s="230"/>
    </row>
    <row r="647" hidden="1">
      <c r="O647" s="230"/>
    </row>
    <row r="648" hidden="1">
      <c r="O648" s="230"/>
    </row>
    <row r="649" hidden="1">
      <c r="O649" s="230"/>
    </row>
    <row r="650" hidden="1">
      <c r="O650" s="230"/>
    </row>
    <row r="651" hidden="1">
      <c r="O651" s="230"/>
    </row>
    <row r="652" hidden="1">
      <c r="O652" s="230"/>
    </row>
    <row r="653" hidden="1">
      <c r="O653" s="230"/>
    </row>
    <row r="654" hidden="1">
      <c r="O654" s="230"/>
    </row>
    <row r="655" hidden="1">
      <c r="O655" s="230"/>
    </row>
    <row r="656" hidden="1">
      <c r="O656" s="230"/>
    </row>
    <row r="657" hidden="1">
      <c r="O657" s="230"/>
    </row>
    <row r="658" hidden="1">
      <c r="O658" s="230"/>
    </row>
    <row r="659" hidden="1">
      <c r="O659" s="230"/>
    </row>
    <row r="660" hidden="1">
      <c r="O660" s="230"/>
    </row>
    <row r="661" hidden="1">
      <c r="O661" s="230"/>
    </row>
    <row r="662" hidden="1">
      <c r="O662" s="230"/>
    </row>
    <row r="663" hidden="1">
      <c r="O663" s="230"/>
    </row>
    <row r="664" hidden="1">
      <c r="O664" s="230"/>
    </row>
    <row r="665" hidden="1">
      <c r="O665" s="230"/>
    </row>
    <row r="666" hidden="1">
      <c r="O666" s="230"/>
    </row>
    <row r="667" hidden="1">
      <c r="O667" s="230"/>
    </row>
    <row r="668" hidden="1">
      <c r="O668" s="230"/>
    </row>
    <row r="669" hidden="1">
      <c r="O669" s="230"/>
    </row>
    <row r="670" hidden="1">
      <c r="O670" s="230"/>
    </row>
    <row r="671" hidden="1">
      <c r="O671" s="230"/>
    </row>
    <row r="672" hidden="1">
      <c r="O672" s="230"/>
    </row>
    <row r="673" hidden="1">
      <c r="O673" s="230"/>
    </row>
    <row r="674" hidden="1">
      <c r="O674" s="230"/>
    </row>
    <row r="675" hidden="1">
      <c r="O675" s="230"/>
    </row>
    <row r="676" hidden="1">
      <c r="O676" s="230"/>
    </row>
    <row r="677" hidden="1">
      <c r="O677" s="230"/>
    </row>
    <row r="678" hidden="1">
      <c r="O678" s="230"/>
    </row>
    <row r="679" hidden="1">
      <c r="O679" s="230"/>
    </row>
    <row r="680" hidden="1">
      <c r="O680" s="230"/>
    </row>
    <row r="681" hidden="1">
      <c r="O681" s="230"/>
    </row>
    <row r="682" hidden="1">
      <c r="O682" s="230"/>
    </row>
    <row r="683" hidden="1">
      <c r="O683" s="230"/>
    </row>
    <row r="684" hidden="1">
      <c r="O684" s="230"/>
    </row>
    <row r="685" hidden="1">
      <c r="O685" s="230"/>
    </row>
    <row r="686" hidden="1">
      <c r="O686" s="230"/>
    </row>
    <row r="687" hidden="1">
      <c r="O687" s="230"/>
    </row>
    <row r="688" hidden="1">
      <c r="O688" s="230"/>
    </row>
    <row r="689" hidden="1">
      <c r="O689" s="230"/>
    </row>
    <row r="690" hidden="1">
      <c r="O690" s="230"/>
    </row>
    <row r="691" hidden="1">
      <c r="O691" s="230"/>
    </row>
    <row r="692" hidden="1">
      <c r="O692" s="230"/>
    </row>
    <row r="693" hidden="1">
      <c r="O693" s="230"/>
    </row>
    <row r="694" hidden="1">
      <c r="O694" s="230"/>
    </row>
    <row r="695" hidden="1">
      <c r="O695" s="230"/>
    </row>
    <row r="696" hidden="1">
      <c r="O696" s="230"/>
    </row>
    <row r="697" hidden="1">
      <c r="O697" s="230"/>
    </row>
    <row r="698" hidden="1">
      <c r="O698" s="230"/>
    </row>
    <row r="699" hidden="1">
      <c r="O699" s="230"/>
    </row>
    <row r="700" hidden="1">
      <c r="O700" s="230"/>
    </row>
    <row r="701" hidden="1">
      <c r="O701" s="230"/>
    </row>
    <row r="702" hidden="1">
      <c r="O702" s="230"/>
    </row>
    <row r="703" hidden="1">
      <c r="O703" s="230"/>
    </row>
    <row r="704" hidden="1">
      <c r="O704" s="230"/>
    </row>
    <row r="705" hidden="1">
      <c r="O705" s="230"/>
    </row>
    <row r="706" hidden="1">
      <c r="O706" s="230"/>
    </row>
    <row r="707" hidden="1">
      <c r="O707" s="230"/>
    </row>
    <row r="708" hidden="1">
      <c r="O708" s="230"/>
    </row>
    <row r="709" hidden="1">
      <c r="O709" s="230"/>
    </row>
    <row r="710" hidden="1">
      <c r="O710" s="230"/>
    </row>
    <row r="711" hidden="1">
      <c r="O711" s="230"/>
    </row>
    <row r="712" hidden="1">
      <c r="O712" s="230"/>
    </row>
    <row r="713" hidden="1">
      <c r="O713" s="230"/>
    </row>
    <row r="714" hidden="1">
      <c r="O714" s="230"/>
    </row>
    <row r="715" hidden="1">
      <c r="O715" s="230"/>
    </row>
    <row r="716" hidden="1">
      <c r="O716" s="230"/>
    </row>
    <row r="717" hidden="1">
      <c r="O717" s="230"/>
    </row>
    <row r="718" hidden="1">
      <c r="O718" s="230"/>
    </row>
    <row r="719" hidden="1">
      <c r="O719" s="230"/>
    </row>
    <row r="720" hidden="1">
      <c r="O720" s="230"/>
    </row>
    <row r="721" hidden="1">
      <c r="O721" s="230"/>
    </row>
    <row r="722" hidden="1">
      <c r="O722" s="230"/>
    </row>
    <row r="723" hidden="1">
      <c r="O723" s="230"/>
    </row>
    <row r="724" hidden="1">
      <c r="O724" s="230"/>
    </row>
    <row r="725" hidden="1">
      <c r="O725" s="230"/>
    </row>
    <row r="726" hidden="1">
      <c r="O726" s="230"/>
    </row>
    <row r="727" hidden="1">
      <c r="O727" s="230"/>
    </row>
    <row r="728" hidden="1">
      <c r="O728" s="230"/>
    </row>
    <row r="729" hidden="1">
      <c r="O729" s="230"/>
    </row>
    <row r="730" hidden="1">
      <c r="O730" s="230"/>
    </row>
    <row r="731" hidden="1">
      <c r="O731" s="230"/>
    </row>
    <row r="732" hidden="1">
      <c r="O732" s="230"/>
    </row>
    <row r="733" hidden="1">
      <c r="O733" s="230"/>
    </row>
    <row r="734" hidden="1">
      <c r="O734" s="230"/>
    </row>
    <row r="735" hidden="1">
      <c r="O735" s="230"/>
    </row>
    <row r="736" hidden="1">
      <c r="O736" s="230"/>
    </row>
    <row r="737" hidden="1">
      <c r="O737" s="230"/>
    </row>
    <row r="738" hidden="1">
      <c r="O738" s="230"/>
    </row>
    <row r="739" hidden="1">
      <c r="O739" s="230"/>
    </row>
    <row r="740" hidden="1">
      <c r="O740" s="230"/>
    </row>
    <row r="741" hidden="1">
      <c r="O741" s="230"/>
    </row>
    <row r="742" hidden="1">
      <c r="O742" s="230"/>
    </row>
    <row r="743" hidden="1">
      <c r="O743" s="230"/>
    </row>
    <row r="744" hidden="1">
      <c r="O744" s="230"/>
    </row>
    <row r="745" hidden="1">
      <c r="O745" s="230"/>
    </row>
    <row r="746" hidden="1">
      <c r="O746" s="230"/>
    </row>
    <row r="747" hidden="1">
      <c r="O747" s="230"/>
    </row>
    <row r="748" hidden="1">
      <c r="O748" s="230"/>
    </row>
    <row r="749" hidden="1">
      <c r="O749" s="230"/>
    </row>
    <row r="750" hidden="1">
      <c r="O750" s="230"/>
    </row>
    <row r="751" hidden="1">
      <c r="O751" s="230"/>
    </row>
    <row r="752" hidden="1">
      <c r="O752" s="230"/>
    </row>
    <row r="753" hidden="1">
      <c r="O753" s="230"/>
    </row>
    <row r="754" hidden="1">
      <c r="O754" s="230"/>
    </row>
    <row r="755" hidden="1">
      <c r="O755" s="230"/>
    </row>
    <row r="756" hidden="1">
      <c r="O756" s="230"/>
    </row>
    <row r="757" hidden="1">
      <c r="O757" s="230"/>
    </row>
    <row r="758" hidden="1">
      <c r="O758" s="230"/>
    </row>
    <row r="759" hidden="1">
      <c r="O759" s="230"/>
    </row>
    <row r="760" hidden="1">
      <c r="O760" s="230"/>
    </row>
    <row r="761" hidden="1">
      <c r="O761" s="230"/>
    </row>
    <row r="762" hidden="1">
      <c r="O762" s="230"/>
    </row>
    <row r="763" hidden="1">
      <c r="O763" s="230"/>
    </row>
    <row r="764" hidden="1">
      <c r="O764" s="230"/>
    </row>
    <row r="765" hidden="1">
      <c r="O765" s="230"/>
    </row>
    <row r="766" hidden="1">
      <c r="O766" s="230"/>
    </row>
    <row r="767" hidden="1">
      <c r="O767" s="230"/>
    </row>
    <row r="768" hidden="1">
      <c r="O768" s="230"/>
    </row>
    <row r="769" hidden="1">
      <c r="O769" s="230"/>
    </row>
    <row r="770" hidden="1">
      <c r="O770" s="230"/>
    </row>
    <row r="771" hidden="1">
      <c r="O771" s="230"/>
    </row>
    <row r="772" hidden="1">
      <c r="O772" s="230"/>
    </row>
    <row r="773" hidden="1">
      <c r="O773" s="230"/>
    </row>
    <row r="774" hidden="1">
      <c r="O774" s="230"/>
    </row>
    <row r="775" hidden="1">
      <c r="O775" s="230"/>
    </row>
    <row r="776" hidden="1">
      <c r="O776" s="230"/>
    </row>
    <row r="777" hidden="1">
      <c r="O777" s="230"/>
    </row>
    <row r="778" hidden="1">
      <c r="O778" s="230"/>
    </row>
    <row r="779" hidden="1">
      <c r="O779" s="230"/>
    </row>
    <row r="780" hidden="1">
      <c r="O780" s="230"/>
    </row>
    <row r="781" hidden="1">
      <c r="O781" s="230"/>
    </row>
    <row r="782" hidden="1">
      <c r="O782" s="230"/>
    </row>
    <row r="783" hidden="1">
      <c r="O783" s="230"/>
    </row>
    <row r="784" hidden="1">
      <c r="O784" s="230"/>
    </row>
    <row r="785" hidden="1">
      <c r="O785" s="230"/>
    </row>
    <row r="786" hidden="1">
      <c r="O786" s="230"/>
    </row>
    <row r="787" hidden="1">
      <c r="O787" s="230"/>
    </row>
    <row r="788" hidden="1">
      <c r="O788" s="230"/>
    </row>
    <row r="789" hidden="1">
      <c r="O789" s="230"/>
    </row>
    <row r="790" hidden="1">
      <c r="O790" s="230"/>
    </row>
    <row r="791" hidden="1">
      <c r="O791" s="230"/>
    </row>
    <row r="792" hidden="1">
      <c r="O792" s="230"/>
    </row>
    <row r="793" hidden="1">
      <c r="O793" s="230"/>
    </row>
    <row r="794" hidden="1">
      <c r="O794" s="230"/>
    </row>
    <row r="795" hidden="1">
      <c r="O795" s="230"/>
    </row>
    <row r="796" hidden="1">
      <c r="O796" s="230"/>
    </row>
    <row r="797" hidden="1">
      <c r="O797" s="230"/>
    </row>
    <row r="798" hidden="1">
      <c r="O798" s="230"/>
    </row>
    <row r="799" hidden="1">
      <c r="O799" s="230"/>
    </row>
    <row r="800" hidden="1">
      <c r="O800" s="230"/>
    </row>
    <row r="801" hidden="1">
      <c r="O801" s="230"/>
    </row>
    <row r="802" hidden="1">
      <c r="O802" s="230"/>
    </row>
    <row r="803" hidden="1">
      <c r="O803" s="230"/>
    </row>
    <row r="804" hidden="1">
      <c r="O804" s="230"/>
    </row>
    <row r="805" hidden="1">
      <c r="O805" s="230"/>
    </row>
    <row r="806" hidden="1">
      <c r="O806" s="230"/>
    </row>
    <row r="807" hidden="1">
      <c r="O807" s="230"/>
    </row>
    <row r="808" hidden="1">
      <c r="O808" s="230"/>
    </row>
    <row r="809" hidden="1">
      <c r="O809" s="230"/>
    </row>
    <row r="810" hidden="1">
      <c r="O810" s="230"/>
    </row>
    <row r="811" hidden="1">
      <c r="O811" s="230"/>
    </row>
    <row r="812" hidden="1">
      <c r="O812" s="230"/>
    </row>
    <row r="813" hidden="1">
      <c r="O813" s="230"/>
    </row>
    <row r="814" hidden="1">
      <c r="O814" s="230"/>
    </row>
    <row r="815" hidden="1">
      <c r="O815" s="230"/>
    </row>
    <row r="816" hidden="1">
      <c r="O816" s="230"/>
    </row>
    <row r="817" hidden="1">
      <c r="O817" s="230"/>
    </row>
    <row r="818" hidden="1">
      <c r="O818" s="230"/>
    </row>
    <row r="819" hidden="1">
      <c r="O819" s="230"/>
    </row>
    <row r="820" hidden="1">
      <c r="O820" s="230"/>
    </row>
    <row r="821" hidden="1">
      <c r="O821" s="230"/>
    </row>
    <row r="822" hidden="1">
      <c r="O822" s="230"/>
    </row>
    <row r="823" hidden="1">
      <c r="O823" s="230"/>
    </row>
    <row r="824" hidden="1">
      <c r="O824" s="230"/>
    </row>
    <row r="825" hidden="1">
      <c r="O825" s="230"/>
    </row>
    <row r="826" hidden="1">
      <c r="O826" s="230"/>
    </row>
    <row r="827" hidden="1">
      <c r="O827" s="230"/>
    </row>
    <row r="828" hidden="1">
      <c r="O828" s="230"/>
    </row>
    <row r="829" hidden="1">
      <c r="O829" s="230"/>
    </row>
    <row r="830" hidden="1">
      <c r="O830" s="230"/>
    </row>
    <row r="831" hidden="1">
      <c r="O831" s="230"/>
    </row>
    <row r="832" hidden="1">
      <c r="O832" s="230"/>
    </row>
    <row r="833" hidden="1">
      <c r="O833" s="230"/>
    </row>
    <row r="834" hidden="1">
      <c r="O834" s="230"/>
    </row>
    <row r="835" hidden="1">
      <c r="O835" s="230"/>
    </row>
    <row r="836" hidden="1">
      <c r="O836" s="230"/>
    </row>
    <row r="837" hidden="1">
      <c r="O837" s="230"/>
    </row>
    <row r="838" hidden="1">
      <c r="O838" s="230"/>
    </row>
    <row r="839" hidden="1">
      <c r="O839" s="230"/>
    </row>
    <row r="840" hidden="1">
      <c r="O840" s="230"/>
    </row>
    <row r="841" hidden="1">
      <c r="O841" s="230"/>
    </row>
    <row r="842" hidden="1">
      <c r="O842" s="230"/>
    </row>
    <row r="843" hidden="1">
      <c r="O843" s="230"/>
    </row>
    <row r="844" hidden="1">
      <c r="O844" s="230"/>
    </row>
    <row r="845" hidden="1">
      <c r="O845" s="230"/>
    </row>
    <row r="846" hidden="1">
      <c r="O846" s="230"/>
    </row>
    <row r="847" hidden="1">
      <c r="O847" s="230"/>
    </row>
    <row r="848" hidden="1">
      <c r="O848" s="230"/>
    </row>
    <row r="849" hidden="1">
      <c r="O849" s="230"/>
    </row>
    <row r="850" hidden="1">
      <c r="O850" s="230"/>
    </row>
    <row r="851" hidden="1">
      <c r="O851" s="230"/>
    </row>
    <row r="852" hidden="1">
      <c r="O852" s="230"/>
    </row>
    <row r="853" hidden="1">
      <c r="O853" s="230"/>
    </row>
    <row r="854" hidden="1">
      <c r="O854" s="230"/>
    </row>
    <row r="855" hidden="1">
      <c r="O855" s="230"/>
    </row>
    <row r="856" hidden="1">
      <c r="O856" s="230"/>
    </row>
    <row r="857" hidden="1">
      <c r="O857" s="230"/>
    </row>
    <row r="858" hidden="1">
      <c r="O858" s="230"/>
    </row>
    <row r="859" hidden="1">
      <c r="O859" s="230"/>
    </row>
    <row r="860" hidden="1">
      <c r="O860" s="230"/>
    </row>
    <row r="861" hidden="1">
      <c r="O861" s="230"/>
    </row>
    <row r="862" hidden="1">
      <c r="O862" s="230"/>
    </row>
    <row r="863" hidden="1">
      <c r="O863" s="230"/>
    </row>
    <row r="864" hidden="1">
      <c r="O864" s="230"/>
    </row>
    <row r="865" hidden="1">
      <c r="O865" s="230"/>
    </row>
    <row r="866" hidden="1">
      <c r="O866" s="230"/>
    </row>
    <row r="867" hidden="1">
      <c r="O867" s="230"/>
    </row>
    <row r="868" hidden="1">
      <c r="O868" s="230"/>
    </row>
    <row r="869" hidden="1">
      <c r="O869" s="230"/>
    </row>
    <row r="870" hidden="1">
      <c r="O870" s="230"/>
    </row>
    <row r="871" hidden="1">
      <c r="O871" s="230"/>
    </row>
    <row r="872" hidden="1">
      <c r="O872" s="230"/>
    </row>
    <row r="873" hidden="1">
      <c r="O873" s="230"/>
    </row>
    <row r="874" hidden="1">
      <c r="O874" s="230"/>
    </row>
    <row r="875" hidden="1">
      <c r="O875" s="230"/>
    </row>
    <row r="876" hidden="1">
      <c r="O876" s="230"/>
    </row>
    <row r="877" hidden="1">
      <c r="O877" s="230"/>
    </row>
    <row r="878" hidden="1">
      <c r="O878" s="230"/>
    </row>
    <row r="879" hidden="1">
      <c r="O879" s="230"/>
    </row>
    <row r="880" hidden="1">
      <c r="O880" s="230"/>
    </row>
    <row r="881" hidden="1">
      <c r="O881" s="230"/>
    </row>
    <row r="882" hidden="1">
      <c r="O882" s="230"/>
    </row>
    <row r="883" hidden="1">
      <c r="O883" s="230"/>
    </row>
    <row r="884" hidden="1">
      <c r="O884" s="230"/>
    </row>
    <row r="885" hidden="1">
      <c r="O885" s="230"/>
    </row>
    <row r="886" hidden="1">
      <c r="O886" s="230"/>
    </row>
    <row r="887" hidden="1">
      <c r="O887" s="230"/>
    </row>
    <row r="888" hidden="1">
      <c r="O888" s="230"/>
    </row>
    <row r="889" hidden="1">
      <c r="O889" s="230"/>
    </row>
    <row r="890" hidden="1">
      <c r="O890" s="230"/>
    </row>
    <row r="891" hidden="1">
      <c r="O891" s="230"/>
    </row>
    <row r="892" hidden="1">
      <c r="O892" s="230"/>
    </row>
    <row r="893" hidden="1">
      <c r="O893" s="230"/>
    </row>
    <row r="894" hidden="1">
      <c r="O894" s="230"/>
    </row>
    <row r="895" hidden="1">
      <c r="O895" s="230"/>
    </row>
    <row r="896" hidden="1">
      <c r="O896" s="230"/>
    </row>
    <row r="897" hidden="1">
      <c r="O897" s="230"/>
    </row>
    <row r="898" hidden="1">
      <c r="O898" s="230"/>
    </row>
    <row r="899" hidden="1">
      <c r="O899" s="230"/>
    </row>
    <row r="900" hidden="1">
      <c r="O900" s="230"/>
    </row>
    <row r="901" hidden="1">
      <c r="O901" s="230"/>
    </row>
    <row r="902" hidden="1">
      <c r="O902" s="230"/>
    </row>
    <row r="903" hidden="1">
      <c r="O903" s="230"/>
    </row>
    <row r="904" hidden="1">
      <c r="O904" s="230"/>
    </row>
    <row r="905" hidden="1">
      <c r="O905" s="230"/>
    </row>
    <row r="906" hidden="1">
      <c r="O906" s="230"/>
    </row>
    <row r="907" hidden="1">
      <c r="O907" s="230"/>
    </row>
    <row r="908" hidden="1">
      <c r="O908" s="230"/>
    </row>
    <row r="909" hidden="1">
      <c r="O909" s="230"/>
    </row>
    <row r="910" hidden="1">
      <c r="O910" s="230"/>
    </row>
    <row r="911" hidden="1">
      <c r="O911" s="230"/>
    </row>
    <row r="912" hidden="1">
      <c r="O912" s="230"/>
    </row>
    <row r="913" hidden="1">
      <c r="O913" s="230"/>
    </row>
    <row r="914" hidden="1">
      <c r="O914" s="230"/>
    </row>
    <row r="915" hidden="1">
      <c r="O915" s="230"/>
    </row>
    <row r="916" hidden="1">
      <c r="O916" s="230"/>
    </row>
    <row r="917" hidden="1">
      <c r="O917" s="230"/>
    </row>
    <row r="918" hidden="1">
      <c r="O918" s="230"/>
    </row>
    <row r="919" hidden="1">
      <c r="O919" s="230"/>
    </row>
    <row r="920" hidden="1">
      <c r="O920" s="230"/>
    </row>
    <row r="921" hidden="1">
      <c r="O921" s="230"/>
    </row>
    <row r="922" hidden="1">
      <c r="O922" s="230"/>
    </row>
    <row r="923" hidden="1">
      <c r="O923" s="230"/>
    </row>
    <row r="924" hidden="1">
      <c r="O924" s="230"/>
    </row>
    <row r="925" hidden="1">
      <c r="O925" s="230"/>
    </row>
    <row r="926" hidden="1">
      <c r="O926" s="230"/>
    </row>
    <row r="927" hidden="1">
      <c r="O927" s="230"/>
    </row>
    <row r="928" hidden="1">
      <c r="O928" s="230"/>
    </row>
    <row r="929" hidden="1">
      <c r="O929" s="230"/>
    </row>
    <row r="930" hidden="1">
      <c r="O930" s="230"/>
    </row>
    <row r="931" hidden="1">
      <c r="O931" s="230"/>
    </row>
    <row r="932" hidden="1">
      <c r="O932" s="230"/>
    </row>
    <row r="933" hidden="1">
      <c r="O933" s="230"/>
    </row>
    <row r="934" hidden="1">
      <c r="O934" s="230"/>
    </row>
    <row r="935" hidden="1">
      <c r="O935" s="230"/>
    </row>
    <row r="936" hidden="1">
      <c r="O936" s="230"/>
    </row>
    <row r="937" hidden="1">
      <c r="O937" s="230"/>
    </row>
    <row r="938" hidden="1">
      <c r="O938" s="230"/>
    </row>
    <row r="939" hidden="1">
      <c r="O939" s="230"/>
    </row>
    <row r="940" hidden="1">
      <c r="O940" s="230"/>
    </row>
    <row r="941" hidden="1">
      <c r="O941" s="230"/>
    </row>
    <row r="942" hidden="1">
      <c r="O942" s="230"/>
    </row>
    <row r="943" hidden="1">
      <c r="O943" s="230"/>
    </row>
    <row r="944" hidden="1">
      <c r="O944" s="230"/>
    </row>
    <row r="945" hidden="1">
      <c r="O945" s="230"/>
    </row>
    <row r="946" hidden="1">
      <c r="O946" s="230"/>
    </row>
    <row r="947" hidden="1">
      <c r="O947" s="230"/>
    </row>
    <row r="948" hidden="1">
      <c r="O948" s="230"/>
    </row>
    <row r="949" hidden="1">
      <c r="O949" s="230"/>
    </row>
    <row r="950" hidden="1">
      <c r="O950" s="230"/>
    </row>
    <row r="951" hidden="1">
      <c r="O951" s="230"/>
    </row>
    <row r="952" hidden="1">
      <c r="O952" s="230"/>
    </row>
    <row r="953" hidden="1">
      <c r="O953" s="230"/>
    </row>
    <row r="954" hidden="1">
      <c r="O954" s="230"/>
    </row>
    <row r="955" hidden="1">
      <c r="O955" s="230"/>
    </row>
    <row r="956" hidden="1">
      <c r="O956" s="230"/>
    </row>
    <row r="957" hidden="1">
      <c r="O957" s="230"/>
    </row>
    <row r="958" hidden="1">
      <c r="O958" s="230"/>
    </row>
    <row r="959" hidden="1">
      <c r="O959" s="230"/>
    </row>
    <row r="960" hidden="1">
      <c r="O960" s="230"/>
    </row>
    <row r="961" hidden="1">
      <c r="O961" s="230"/>
    </row>
    <row r="962" hidden="1">
      <c r="O962" s="230"/>
    </row>
    <row r="963" hidden="1">
      <c r="O963" s="230"/>
    </row>
    <row r="964" hidden="1">
      <c r="O964" s="230"/>
    </row>
    <row r="965" hidden="1">
      <c r="O965" s="230"/>
    </row>
    <row r="966" hidden="1">
      <c r="O966" s="230"/>
    </row>
    <row r="967" hidden="1">
      <c r="O967" s="230"/>
    </row>
    <row r="968" hidden="1">
      <c r="O968" s="230"/>
    </row>
    <row r="969" hidden="1">
      <c r="O969" s="230"/>
    </row>
    <row r="970" hidden="1">
      <c r="O970" s="230"/>
    </row>
    <row r="971" hidden="1">
      <c r="O971" s="230"/>
    </row>
    <row r="972" hidden="1">
      <c r="O972" s="230"/>
    </row>
    <row r="973" hidden="1">
      <c r="O973" s="230"/>
    </row>
    <row r="974" hidden="1">
      <c r="O974" s="230"/>
    </row>
    <row r="975" hidden="1">
      <c r="O975" s="230"/>
    </row>
    <row r="976" hidden="1">
      <c r="O976" s="230"/>
    </row>
    <row r="977" hidden="1">
      <c r="O977" s="230"/>
    </row>
    <row r="978" hidden="1">
      <c r="O978" s="230"/>
    </row>
    <row r="979" hidden="1">
      <c r="O979" s="230"/>
    </row>
    <row r="980" hidden="1">
      <c r="O980" s="230"/>
    </row>
    <row r="981" hidden="1">
      <c r="O981" s="230"/>
    </row>
    <row r="982" hidden="1">
      <c r="O982" s="230"/>
    </row>
    <row r="983" hidden="1">
      <c r="O983" s="230"/>
    </row>
    <row r="984" hidden="1">
      <c r="O984" s="230"/>
    </row>
    <row r="985" hidden="1">
      <c r="O985" s="230"/>
    </row>
    <row r="986" hidden="1">
      <c r="O986" s="230"/>
    </row>
    <row r="987" hidden="1">
      <c r="O987" s="230"/>
    </row>
    <row r="988" hidden="1">
      <c r="O988" s="230"/>
    </row>
    <row r="989" hidden="1">
      <c r="O989" s="230"/>
    </row>
    <row r="990" hidden="1">
      <c r="O990" s="230"/>
    </row>
    <row r="991" hidden="1">
      <c r="O991" s="230"/>
    </row>
    <row r="992" hidden="1">
      <c r="O992" s="230"/>
    </row>
    <row r="993" hidden="1">
      <c r="O993" s="230"/>
    </row>
    <row r="994" hidden="1">
      <c r="O994" s="230"/>
    </row>
    <row r="995" hidden="1">
      <c r="O995" s="230"/>
    </row>
    <row r="996" hidden="1">
      <c r="O996" s="230"/>
    </row>
    <row r="997" hidden="1">
      <c r="O997" s="230"/>
    </row>
    <row r="998" hidden="1">
      <c r="O998" s="230"/>
    </row>
    <row r="999" hidden="1">
      <c r="O999" s="230"/>
    </row>
    <row r="1000" hidden="1">
      <c r="O1000" s="230"/>
    </row>
  </sheetData>
  <autoFilter ref="$A$1:$Z$1000">
    <filterColumn colId="4">
      <filters>
        <filter val="Aom: Pornsawan Polnyiem"/>
      </filters>
    </filterColumn>
  </autoFil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4.63"/>
    <col customWidth="1" min="3" max="3" width="8.0"/>
    <col customWidth="1" min="4" max="5" width="12.88"/>
    <col customWidth="1" min="6" max="6" width="10.88"/>
    <col customWidth="1" min="7" max="7" width="18.38"/>
    <col customWidth="1" min="8" max="8" width="8.25"/>
    <col customWidth="1" min="9" max="9" width="19.75"/>
    <col customWidth="1" min="10" max="10" width="9.75"/>
    <col customWidth="1" min="11" max="11" width="22.13"/>
    <col customWidth="1" min="12" max="12" width="12.5"/>
    <col customWidth="1" min="13" max="13" width="20.13"/>
    <col customWidth="1" min="14" max="14" width="10.0"/>
    <col customWidth="1" min="15" max="15" width="12.5"/>
    <col customWidth="1" min="16" max="16" width="14.75"/>
  </cols>
  <sheetData>
    <row r="1">
      <c r="A1" s="115"/>
    </row>
    <row r="2" hidden="1">
      <c r="A2" s="127" t="s">
        <v>12537</v>
      </c>
      <c r="B2" s="128"/>
      <c r="C2" s="129"/>
      <c r="D2" s="88"/>
      <c r="E2" s="88"/>
      <c r="F2" s="88"/>
    </row>
    <row r="3" hidden="1">
      <c r="A3" s="130" t="str">
        <f>"Capacity รวมทั้งทีม "&amp;SUM(C14:C19)&amp;" SP"</f>
        <v>Capacity รวมทั้งทีม 118.5 SP</v>
      </c>
      <c r="B3" s="128">
        <f>SUM(C14:C19)</f>
        <v>118.5</v>
      </c>
      <c r="C3" s="131"/>
      <c r="D3" s="132"/>
      <c r="E3" s="132"/>
      <c r="H3" s="132"/>
      <c r="J3" s="132"/>
      <c r="L3" s="132"/>
      <c r="N3" s="132"/>
    </row>
    <row r="4" hidden="1">
      <c r="A4" s="133" t="s">
        <v>155</v>
      </c>
      <c r="B4" s="134">
        <f>SUM(H20,J20,L20,N20, P20)</f>
        <v>70</v>
      </c>
      <c r="C4" s="131"/>
      <c r="D4" s="132"/>
      <c r="E4" s="132"/>
      <c r="H4" s="132"/>
      <c r="J4" s="132"/>
      <c r="L4" s="132"/>
      <c r="N4" s="132"/>
    </row>
    <row r="5" hidden="1">
      <c r="A5" s="133" t="s">
        <v>156</v>
      </c>
      <c r="B5" s="131">
        <f>B3-B4</f>
        <v>48.5</v>
      </c>
      <c r="C5" s="131"/>
      <c r="D5" s="132"/>
      <c r="E5" s="132"/>
      <c r="H5" s="132"/>
      <c r="J5" s="102"/>
      <c r="L5" s="132"/>
      <c r="N5" s="132"/>
    </row>
    <row r="6" hidden="1">
      <c r="A6" s="135" t="s">
        <v>48</v>
      </c>
      <c r="B6" s="129">
        <f>F20</f>
        <v>45</v>
      </c>
      <c r="C6" s="129">
        <v>3.0</v>
      </c>
      <c r="D6" s="88"/>
      <c r="E6" s="88"/>
      <c r="F6" s="88"/>
    </row>
    <row r="7" hidden="1">
      <c r="A7" s="135" t="s">
        <v>44</v>
      </c>
      <c r="B7" s="129">
        <f>H20</f>
        <v>24</v>
      </c>
      <c r="C7" s="129">
        <v>1.0</v>
      </c>
      <c r="D7" s="88"/>
      <c r="E7" s="88"/>
      <c r="F7" s="88"/>
    </row>
    <row r="8" hidden="1">
      <c r="A8" s="135" t="s">
        <v>157</v>
      </c>
      <c r="B8" s="129">
        <f>J20</f>
        <v>33</v>
      </c>
      <c r="C8" s="129">
        <v>2.0</v>
      </c>
      <c r="D8" s="88"/>
      <c r="E8" s="88"/>
      <c r="F8" s="88"/>
    </row>
    <row r="9" hidden="1">
      <c r="A9" s="135" t="s">
        <v>158</v>
      </c>
      <c r="B9" s="129">
        <f>L20</f>
        <v>3</v>
      </c>
      <c r="C9" s="129">
        <v>1.0</v>
      </c>
      <c r="D9" s="88"/>
      <c r="E9" s="88"/>
      <c r="F9" s="88"/>
    </row>
    <row r="10" hidden="1">
      <c r="A10" s="135" t="s">
        <v>159</v>
      </c>
      <c r="B10" s="129">
        <f>N20</f>
        <v>3</v>
      </c>
      <c r="C10" s="129">
        <v>1.0</v>
      </c>
      <c r="D10" s="88"/>
      <c r="E10" s="88"/>
      <c r="F10" s="88"/>
    </row>
    <row r="11" hidden="1">
      <c r="A11" s="135" t="s">
        <v>160</v>
      </c>
      <c r="B11" s="129">
        <f>P20</f>
        <v>7</v>
      </c>
      <c r="C11" s="129"/>
      <c r="D11" s="88"/>
      <c r="E11" s="88"/>
      <c r="F11" s="88"/>
    </row>
    <row r="12" hidden="1">
      <c r="A12" s="136" t="s">
        <v>161</v>
      </c>
      <c r="B12" s="129">
        <f>C20-D20</f>
        <v>3.5</v>
      </c>
      <c r="C12" s="129"/>
      <c r="D12" s="88"/>
      <c r="E12" s="88"/>
      <c r="F12" s="88"/>
    </row>
    <row r="13" hidden="1">
      <c r="A13" s="137" t="s">
        <v>162</v>
      </c>
      <c r="B13" s="138" t="s">
        <v>163</v>
      </c>
      <c r="C13" s="138" t="s">
        <v>164</v>
      </c>
      <c r="D13" s="138" t="s">
        <v>165</v>
      </c>
      <c r="E13" s="138" t="s">
        <v>156</v>
      </c>
      <c r="F13" s="138" t="s">
        <v>166</v>
      </c>
      <c r="G13" s="137" t="s">
        <v>3611</v>
      </c>
      <c r="H13" s="137" t="s">
        <v>167</v>
      </c>
      <c r="I13" s="137" t="s">
        <v>3612</v>
      </c>
      <c r="J13" s="137" t="s">
        <v>168</v>
      </c>
      <c r="K13" s="137" t="s">
        <v>4282</v>
      </c>
      <c r="L13" s="137" t="s">
        <v>169</v>
      </c>
      <c r="M13" s="137" t="s">
        <v>3613</v>
      </c>
      <c r="N13" s="137" t="s">
        <v>170</v>
      </c>
      <c r="O13" s="139" t="s">
        <v>160</v>
      </c>
      <c r="P13" s="139" t="s">
        <v>171</v>
      </c>
    </row>
    <row r="14" hidden="1">
      <c r="A14" s="140" t="s">
        <v>32</v>
      </c>
      <c r="B14" s="101">
        <v>7.0</v>
      </c>
      <c r="C14" s="101">
        <f t="shared" ref="C14:C19" si="1">3*B14</f>
        <v>21</v>
      </c>
      <c r="D14" s="140">
        <f t="shared" ref="D14:D19" si="2">SUM(F14,H14,J14,L14,N14,P14)</f>
        <v>20</v>
      </c>
      <c r="E14" s="140">
        <v>5.0</v>
      </c>
      <c r="F14" s="141">
        <f t="shared" ref="F14:F20" si="3">3*E14</f>
        <v>15</v>
      </c>
      <c r="G14" s="99"/>
      <c r="H14" s="142">
        <f t="shared" ref="H14:H20" si="4">3*G14</f>
        <v>0</v>
      </c>
      <c r="I14" s="99"/>
      <c r="J14" s="140">
        <f t="shared" ref="J14:J16" si="5">3*I14</f>
        <v>0</v>
      </c>
      <c r="K14" s="99"/>
      <c r="L14" s="140">
        <f t="shared" ref="L14:L19" si="6">3*K14</f>
        <v>0</v>
      </c>
      <c r="M14" s="101">
        <v>1.0</v>
      </c>
      <c r="N14" s="140">
        <f t="shared" ref="N14:N15" si="7">3*M14</f>
        <v>3</v>
      </c>
      <c r="O14" s="241">
        <v>0.0</v>
      </c>
      <c r="P14" s="143">
        <v>2.0</v>
      </c>
    </row>
    <row r="15" hidden="1">
      <c r="A15" s="140" t="s">
        <v>74</v>
      </c>
      <c r="B15" s="101">
        <v>6.0</v>
      </c>
      <c r="C15" s="101">
        <f t="shared" si="1"/>
        <v>18</v>
      </c>
      <c r="D15" s="140">
        <f t="shared" si="2"/>
        <v>18</v>
      </c>
      <c r="E15" s="140"/>
      <c r="F15" s="141">
        <f t="shared" si="3"/>
        <v>0</v>
      </c>
      <c r="G15" s="101"/>
      <c r="H15" s="141">
        <f t="shared" si="4"/>
        <v>0</v>
      </c>
      <c r="I15" s="101">
        <v>6.0</v>
      </c>
      <c r="J15" s="140">
        <f t="shared" si="5"/>
        <v>18</v>
      </c>
      <c r="K15" s="101"/>
      <c r="L15" s="140">
        <f t="shared" si="6"/>
        <v>0</v>
      </c>
      <c r="M15" s="101"/>
      <c r="N15" s="140">
        <f t="shared" si="7"/>
        <v>0</v>
      </c>
      <c r="O15" s="241">
        <v>0.0</v>
      </c>
      <c r="P15" s="143">
        <f t="shared" ref="P15:P17" si="8">3*O15</f>
        <v>0</v>
      </c>
    </row>
    <row r="16" hidden="1">
      <c r="A16" s="140" t="s">
        <v>73</v>
      </c>
      <c r="B16" s="101">
        <v>6.0</v>
      </c>
      <c r="C16" s="101">
        <f t="shared" si="1"/>
        <v>18</v>
      </c>
      <c r="D16" s="140">
        <f t="shared" si="2"/>
        <v>18</v>
      </c>
      <c r="E16" s="140"/>
      <c r="F16" s="141">
        <f t="shared" si="3"/>
        <v>0</v>
      </c>
      <c r="G16" s="99"/>
      <c r="H16" s="142">
        <f t="shared" si="4"/>
        <v>0</v>
      </c>
      <c r="I16" s="101">
        <v>5.0</v>
      </c>
      <c r="J16" s="140">
        <f t="shared" si="5"/>
        <v>15</v>
      </c>
      <c r="K16" s="101">
        <v>1.0</v>
      </c>
      <c r="L16" s="140">
        <f t="shared" si="6"/>
        <v>3</v>
      </c>
      <c r="M16" s="101"/>
      <c r="N16" s="140"/>
      <c r="O16" s="241">
        <v>0.0</v>
      </c>
      <c r="P16" s="143">
        <f t="shared" si="8"/>
        <v>0</v>
      </c>
    </row>
    <row r="17" hidden="1">
      <c r="A17" s="140" t="s">
        <v>75</v>
      </c>
      <c r="B17" s="101">
        <v>7.0</v>
      </c>
      <c r="C17" s="101">
        <f t="shared" si="1"/>
        <v>21</v>
      </c>
      <c r="D17" s="140">
        <f t="shared" si="2"/>
        <v>18</v>
      </c>
      <c r="E17" s="140">
        <v>5.0</v>
      </c>
      <c r="F17" s="141">
        <f t="shared" si="3"/>
        <v>15</v>
      </c>
      <c r="G17" s="101">
        <v>1.0</v>
      </c>
      <c r="H17" s="142">
        <f t="shared" si="4"/>
        <v>3</v>
      </c>
      <c r="I17" s="99"/>
      <c r="J17" s="99"/>
      <c r="K17" s="99"/>
      <c r="L17" s="140">
        <f t="shared" si="6"/>
        <v>0</v>
      </c>
      <c r="M17" s="99"/>
      <c r="N17" s="99"/>
      <c r="O17" s="241">
        <v>0.0</v>
      </c>
      <c r="P17" s="143">
        <f t="shared" si="8"/>
        <v>0</v>
      </c>
    </row>
    <row r="18" hidden="1">
      <c r="A18" s="140" t="s">
        <v>76</v>
      </c>
      <c r="B18" s="101">
        <v>7.0</v>
      </c>
      <c r="C18" s="101">
        <f t="shared" si="1"/>
        <v>21</v>
      </c>
      <c r="D18" s="140">
        <f t="shared" si="2"/>
        <v>23</v>
      </c>
      <c r="E18" s="140"/>
      <c r="F18" s="141">
        <f t="shared" si="3"/>
        <v>0</v>
      </c>
      <c r="G18" s="101">
        <v>7.0</v>
      </c>
      <c r="H18" s="142">
        <f t="shared" si="4"/>
        <v>21</v>
      </c>
      <c r="I18" s="101"/>
      <c r="J18" s="140"/>
      <c r="K18" s="101"/>
      <c r="L18" s="140">
        <f t="shared" si="6"/>
        <v>0</v>
      </c>
      <c r="M18" s="101"/>
      <c r="N18" s="140"/>
      <c r="O18" s="241">
        <v>0.0</v>
      </c>
      <c r="P18" s="143">
        <v>2.0</v>
      </c>
    </row>
    <row r="19" hidden="1">
      <c r="A19" s="140" t="s">
        <v>77</v>
      </c>
      <c r="B19" s="140">
        <v>6.5</v>
      </c>
      <c r="C19" s="101">
        <f t="shared" si="1"/>
        <v>19.5</v>
      </c>
      <c r="D19" s="140">
        <f t="shared" si="2"/>
        <v>18</v>
      </c>
      <c r="E19" s="140">
        <v>5.0</v>
      </c>
      <c r="F19" s="141">
        <f t="shared" si="3"/>
        <v>15</v>
      </c>
      <c r="G19" s="101"/>
      <c r="H19" s="142">
        <f t="shared" si="4"/>
        <v>0</v>
      </c>
      <c r="I19" s="99"/>
      <c r="J19" s="99"/>
      <c r="K19" s="99"/>
      <c r="L19" s="140">
        <f t="shared" si="6"/>
        <v>0</v>
      </c>
      <c r="M19" s="99"/>
      <c r="N19" s="99"/>
      <c r="O19" s="241">
        <v>0.0</v>
      </c>
      <c r="P19" s="143">
        <v>3.0</v>
      </c>
    </row>
    <row r="20" hidden="1">
      <c r="A20" s="127" t="s">
        <v>172</v>
      </c>
      <c r="B20" s="144"/>
      <c r="C20" s="144">
        <f t="shared" ref="C20:E20" si="9">SUM(C14:C19)</f>
        <v>118.5</v>
      </c>
      <c r="D20" s="145">
        <f t="shared" si="9"/>
        <v>115</v>
      </c>
      <c r="E20" s="144">
        <f t="shared" si="9"/>
        <v>15</v>
      </c>
      <c r="F20" s="146">
        <f t="shared" si="3"/>
        <v>45</v>
      </c>
      <c r="G20" s="144">
        <f>SUM(G14:G19)</f>
        <v>8</v>
      </c>
      <c r="H20" s="147">
        <f t="shared" si="4"/>
        <v>24</v>
      </c>
      <c r="I20" s="144">
        <f t="shared" ref="I20:P20" si="10">SUM(I14:I19)</f>
        <v>11</v>
      </c>
      <c r="J20" s="144">
        <f t="shared" si="10"/>
        <v>33</v>
      </c>
      <c r="K20" s="144">
        <f t="shared" si="10"/>
        <v>1</v>
      </c>
      <c r="L20" s="144">
        <f t="shared" si="10"/>
        <v>3</v>
      </c>
      <c r="M20" s="144">
        <f t="shared" si="10"/>
        <v>1</v>
      </c>
      <c r="N20" s="144">
        <f t="shared" si="10"/>
        <v>3</v>
      </c>
      <c r="O20" s="148">
        <f t="shared" si="10"/>
        <v>0</v>
      </c>
      <c r="P20" s="148">
        <f t="shared" si="10"/>
        <v>7</v>
      </c>
    </row>
    <row r="21">
      <c r="A21" s="86"/>
      <c r="B21" s="149"/>
      <c r="C21" s="149"/>
      <c r="D21" s="88"/>
      <c r="E21" s="88"/>
      <c r="F21" s="88"/>
    </row>
    <row r="22" hidden="1">
      <c r="A22" s="127" t="s">
        <v>12538</v>
      </c>
      <c r="B22" s="150"/>
      <c r="C22" s="129"/>
      <c r="D22" s="88"/>
      <c r="E22" s="88"/>
      <c r="F22" s="88"/>
    </row>
    <row r="23" hidden="1">
      <c r="A23" s="144" t="str">
        <f>"Capacity รวม "&amp;SUM(C34:C39)&amp;" SP"</f>
        <v>Capacity รวม 130.5 SP</v>
      </c>
      <c r="B23" s="150">
        <f>SUM(C34:C39)</f>
        <v>130.5</v>
      </c>
      <c r="C23" s="131"/>
      <c r="D23" s="132"/>
      <c r="E23" s="132"/>
      <c r="H23" s="132"/>
      <c r="J23" s="151"/>
      <c r="L23" s="132"/>
      <c r="N23" s="151"/>
    </row>
    <row r="24" hidden="1">
      <c r="A24" s="133" t="s">
        <v>155</v>
      </c>
      <c r="B24" s="134">
        <f>SUM(H40,J40,L40,N40, P40)</f>
        <v>59.5</v>
      </c>
      <c r="C24" s="131"/>
      <c r="D24" s="132"/>
      <c r="E24" s="132"/>
      <c r="H24" s="151"/>
      <c r="J24" s="132"/>
      <c r="L24" s="132"/>
      <c r="N24" s="151"/>
    </row>
    <row r="25" hidden="1">
      <c r="A25" s="133" t="s">
        <v>156</v>
      </c>
      <c r="B25" s="131">
        <f>B23-B24</f>
        <v>71</v>
      </c>
      <c r="C25" s="131"/>
      <c r="D25" s="132"/>
      <c r="E25" s="132"/>
      <c r="H25" s="151"/>
      <c r="J25" s="132"/>
      <c r="L25" s="132"/>
      <c r="N25" s="151"/>
    </row>
    <row r="26" hidden="1">
      <c r="A26" s="135" t="s">
        <v>48</v>
      </c>
      <c r="B26" s="129">
        <f>F40</f>
        <v>66</v>
      </c>
      <c r="C26" s="129">
        <v>4.0</v>
      </c>
      <c r="D26" s="88"/>
      <c r="E26" s="88"/>
      <c r="F26" s="88"/>
    </row>
    <row r="27" hidden="1">
      <c r="A27" s="135" t="s">
        <v>44</v>
      </c>
      <c r="B27" s="129">
        <f>H40</f>
        <v>21</v>
      </c>
      <c r="C27" s="129">
        <v>1.0</v>
      </c>
      <c r="D27" s="88"/>
      <c r="E27" s="88"/>
      <c r="F27" s="88"/>
    </row>
    <row r="28" hidden="1">
      <c r="A28" s="135" t="s">
        <v>157</v>
      </c>
      <c r="B28" s="129">
        <f>J40</f>
        <v>34.5</v>
      </c>
      <c r="C28" s="129">
        <v>2.0</v>
      </c>
      <c r="D28" s="88"/>
      <c r="E28" s="88"/>
      <c r="F28" s="88"/>
    </row>
    <row r="29" hidden="1">
      <c r="A29" s="135" t="s">
        <v>158</v>
      </c>
      <c r="B29" s="129">
        <f>L40</f>
        <v>0</v>
      </c>
      <c r="C29" s="129">
        <v>0.0</v>
      </c>
      <c r="D29" s="88"/>
      <c r="E29" s="88"/>
      <c r="F29" s="88"/>
    </row>
    <row r="30" hidden="1">
      <c r="A30" s="135" t="s">
        <v>159</v>
      </c>
      <c r="B30" s="129">
        <f>L40</f>
        <v>0</v>
      </c>
      <c r="C30" s="129">
        <v>0.0</v>
      </c>
      <c r="D30" s="88"/>
      <c r="E30" s="88"/>
      <c r="F30" s="88"/>
    </row>
    <row r="31" hidden="1">
      <c r="A31" s="135" t="s">
        <v>160</v>
      </c>
      <c r="B31" s="129">
        <f>P40</f>
        <v>1</v>
      </c>
      <c r="C31" s="129">
        <v>1.0</v>
      </c>
      <c r="D31" s="88"/>
      <c r="E31" s="88"/>
      <c r="F31" s="88"/>
    </row>
    <row r="32" hidden="1">
      <c r="A32" s="136" t="s">
        <v>161</v>
      </c>
      <c r="B32" s="129">
        <f>C40-D40</f>
        <v>5</v>
      </c>
      <c r="C32" s="129"/>
      <c r="D32" s="88"/>
      <c r="E32" s="88"/>
      <c r="F32" s="88"/>
    </row>
    <row r="33" hidden="1">
      <c r="A33" s="138" t="s">
        <v>162</v>
      </c>
      <c r="B33" s="138" t="s">
        <v>163</v>
      </c>
      <c r="C33" s="138" t="s">
        <v>164</v>
      </c>
      <c r="D33" s="138" t="s">
        <v>165</v>
      </c>
      <c r="E33" s="138" t="s">
        <v>156</v>
      </c>
      <c r="F33" s="138" t="s">
        <v>166</v>
      </c>
      <c r="G33" s="137" t="s">
        <v>3611</v>
      </c>
      <c r="H33" s="137" t="s">
        <v>167</v>
      </c>
      <c r="I33" s="137" t="s">
        <v>3612</v>
      </c>
      <c r="J33" s="137" t="s">
        <v>168</v>
      </c>
      <c r="K33" s="137" t="s">
        <v>3613</v>
      </c>
      <c r="L33" s="137" t="s">
        <v>170</v>
      </c>
      <c r="M33" s="152" t="s">
        <v>3614</v>
      </c>
      <c r="N33" s="152" t="s">
        <v>174</v>
      </c>
      <c r="O33" s="139" t="s">
        <v>160</v>
      </c>
      <c r="P33" s="139" t="s">
        <v>171</v>
      </c>
    </row>
    <row r="34" hidden="1">
      <c r="A34" s="140" t="s">
        <v>32</v>
      </c>
      <c r="B34" s="101">
        <v>7.0</v>
      </c>
      <c r="C34" s="101">
        <f t="shared" ref="C34:C39" si="11">3*B34</f>
        <v>21</v>
      </c>
      <c r="D34" s="140">
        <f t="shared" ref="D34:D39" si="12">SUM(F34,H34,J34,L34,N34,P34)</f>
        <v>23.5</v>
      </c>
      <c r="E34" s="140">
        <v>6.5</v>
      </c>
      <c r="F34" s="141">
        <f t="shared" ref="F34:F40" si="13">3*E34</f>
        <v>19.5</v>
      </c>
      <c r="G34" s="99"/>
      <c r="H34" s="140">
        <f t="shared" ref="H34:H40" si="14">3*G34</f>
        <v>0</v>
      </c>
      <c r="I34" s="99"/>
      <c r="J34" s="140">
        <f t="shared" ref="J34:J39" si="15">3*I34</f>
        <v>0</v>
      </c>
      <c r="K34" s="101"/>
      <c r="L34" s="140">
        <f t="shared" ref="L34:L39" si="16">3*K34</f>
        <v>0</v>
      </c>
      <c r="M34" s="101">
        <v>1.0</v>
      </c>
      <c r="N34" s="140">
        <f>3*M34</f>
        <v>3</v>
      </c>
      <c r="O34" s="241">
        <v>0.0</v>
      </c>
      <c r="P34" s="143">
        <v>1.0</v>
      </c>
    </row>
    <row r="35" hidden="1">
      <c r="A35" s="140" t="s">
        <v>74</v>
      </c>
      <c r="B35" s="101">
        <v>7.5</v>
      </c>
      <c r="C35" s="101">
        <f t="shared" si="11"/>
        <v>22.5</v>
      </c>
      <c r="D35" s="140">
        <f t="shared" si="12"/>
        <v>24</v>
      </c>
      <c r="E35" s="140">
        <v>1.5</v>
      </c>
      <c r="F35" s="141">
        <f t="shared" si="13"/>
        <v>4.5</v>
      </c>
      <c r="G35" s="101"/>
      <c r="H35" s="140">
        <f t="shared" si="14"/>
        <v>0</v>
      </c>
      <c r="I35" s="101">
        <v>6.5</v>
      </c>
      <c r="J35" s="140">
        <f t="shared" si="15"/>
        <v>19.5</v>
      </c>
      <c r="K35" s="101"/>
      <c r="L35" s="140">
        <f t="shared" si="16"/>
        <v>0</v>
      </c>
      <c r="M35" s="101"/>
      <c r="N35" s="140"/>
      <c r="O35" s="241">
        <v>0.0</v>
      </c>
      <c r="P35" s="143">
        <f t="shared" ref="P35:P39" si="17">3*O35</f>
        <v>0</v>
      </c>
    </row>
    <row r="36" hidden="1">
      <c r="A36" s="140" t="s">
        <v>73</v>
      </c>
      <c r="B36" s="101">
        <v>7.0</v>
      </c>
      <c r="C36" s="101">
        <f t="shared" si="11"/>
        <v>21</v>
      </c>
      <c r="D36" s="140">
        <f t="shared" si="12"/>
        <v>19.5</v>
      </c>
      <c r="E36" s="140">
        <v>1.5</v>
      </c>
      <c r="F36" s="141">
        <f t="shared" si="13"/>
        <v>4.5</v>
      </c>
      <c r="G36" s="99"/>
      <c r="H36" s="140">
        <f t="shared" si="14"/>
        <v>0</v>
      </c>
      <c r="I36" s="101">
        <v>5.0</v>
      </c>
      <c r="J36" s="140">
        <f t="shared" si="15"/>
        <v>15</v>
      </c>
      <c r="K36" s="101"/>
      <c r="L36" s="140">
        <f t="shared" si="16"/>
        <v>0</v>
      </c>
      <c r="M36" s="101"/>
      <c r="N36" s="140"/>
      <c r="O36" s="241">
        <v>0.0</v>
      </c>
      <c r="P36" s="143">
        <f t="shared" si="17"/>
        <v>0</v>
      </c>
    </row>
    <row r="37" hidden="1">
      <c r="A37" s="140" t="s">
        <v>75</v>
      </c>
      <c r="B37" s="101">
        <v>7.0</v>
      </c>
      <c r="C37" s="101">
        <f t="shared" si="11"/>
        <v>21</v>
      </c>
      <c r="D37" s="140">
        <f t="shared" si="12"/>
        <v>19.5</v>
      </c>
      <c r="E37" s="140">
        <v>6.5</v>
      </c>
      <c r="F37" s="141">
        <f t="shared" si="13"/>
        <v>19.5</v>
      </c>
      <c r="G37" s="99"/>
      <c r="H37" s="140">
        <f t="shared" si="14"/>
        <v>0</v>
      </c>
      <c r="I37" s="101"/>
      <c r="J37" s="140">
        <f t="shared" si="15"/>
        <v>0</v>
      </c>
      <c r="K37" s="99"/>
      <c r="L37" s="140">
        <f t="shared" si="16"/>
        <v>0</v>
      </c>
      <c r="M37" s="99"/>
      <c r="N37" s="99"/>
      <c r="O37" s="241">
        <v>0.0</v>
      </c>
      <c r="P37" s="143">
        <f t="shared" si="17"/>
        <v>0</v>
      </c>
    </row>
    <row r="38" hidden="1">
      <c r="A38" s="140" t="s">
        <v>76</v>
      </c>
      <c r="B38" s="101">
        <v>7.0</v>
      </c>
      <c r="C38" s="101">
        <f t="shared" si="11"/>
        <v>21</v>
      </c>
      <c r="D38" s="140">
        <f t="shared" si="12"/>
        <v>21</v>
      </c>
      <c r="E38" s="140"/>
      <c r="F38" s="141">
        <f t="shared" si="13"/>
        <v>0</v>
      </c>
      <c r="G38" s="101">
        <v>7.0</v>
      </c>
      <c r="H38" s="140">
        <f t="shared" si="14"/>
        <v>21</v>
      </c>
      <c r="I38" s="101"/>
      <c r="J38" s="140">
        <f t="shared" si="15"/>
        <v>0</v>
      </c>
      <c r="K38" s="101"/>
      <c r="L38" s="140">
        <f t="shared" si="16"/>
        <v>0</v>
      </c>
      <c r="M38" s="101"/>
      <c r="N38" s="140"/>
      <c r="O38" s="241">
        <v>0.0</v>
      </c>
      <c r="P38" s="143">
        <f t="shared" si="17"/>
        <v>0</v>
      </c>
    </row>
    <row r="39" hidden="1">
      <c r="A39" s="140" t="s">
        <v>77</v>
      </c>
      <c r="B39" s="140">
        <v>8.0</v>
      </c>
      <c r="C39" s="101">
        <f t="shared" si="11"/>
        <v>24</v>
      </c>
      <c r="D39" s="140">
        <f t="shared" si="12"/>
        <v>18</v>
      </c>
      <c r="E39" s="140">
        <v>6.0</v>
      </c>
      <c r="F39" s="141">
        <f t="shared" si="13"/>
        <v>18</v>
      </c>
      <c r="G39" s="101"/>
      <c r="H39" s="140">
        <f t="shared" si="14"/>
        <v>0</v>
      </c>
      <c r="I39" s="101"/>
      <c r="J39" s="140">
        <f t="shared" si="15"/>
        <v>0</v>
      </c>
      <c r="K39" s="101"/>
      <c r="L39" s="140">
        <f t="shared" si="16"/>
        <v>0</v>
      </c>
      <c r="M39" s="101"/>
      <c r="N39" s="140"/>
      <c r="O39" s="241">
        <v>0.0</v>
      </c>
      <c r="P39" s="143">
        <f t="shared" si="17"/>
        <v>0</v>
      </c>
    </row>
    <row r="40" hidden="1">
      <c r="A40" s="127" t="s">
        <v>172</v>
      </c>
      <c r="B40" s="99"/>
      <c r="C40" s="144">
        <f t="shared" ref="C40:E40" si="18">SUM(C34:C39)</f>
        <v>130.5</v>
      </c>
      <c r="D40" s="145">
        <f t="shared" si="18"/>
        <v>125.5</v>
      </c>
      <c r="E40" s="144">
        <f t="shared" si="18"/>
        <v>22</v>
      </c>
      <c r="F40" s="146">
        <f t="shared" si="13"/>
        <v>66</v>
      </c>
      <c r="G40" s="144">
        <f>SUM(G34:G39)</f>
        <v>7</v>
      </c>
      <c r="H40" s="147">
        <f t="shared" si="14"/>
        <v>21</v>
      </c>
      <c r="I40" s="144">
        <f t="shared" ref="I40:P40" si="19">SUM(I34:I39)</f>
        <v>11.5</v>
      </c>
      <c r="J40" s="144">
        <f t="shared" si="19"/>
        <v>34.5</v>
      </c>
      <c r="K40" s="144">
        <f t="shared" si="19"/>
        <v>0</v>
      </c>
      <c r="L40" s="144">
        <f t="shared" si="19"/>
        <v>0</v>
      </c>
      <c r="M40" s="144">
        <f t="shared" si="19"/>
        <v>1</v>
      </c>
      <c r="N40" s="144">
        <f t="shared" si="19"/>
        <v>3</v>
      </c>
      <c r="O40" s="148">
        <f t="shared" si="19"/>
        <v>0</v>
      </c>
      <c r="P40" s="148">
        <f t="shared" si="19"/>
        <v>1</v>
      </c>
    </row>
    <row r="41">
      <c r="A41" s="86"/>
      <c r="B41" s="149"/>
      <c r="C41" s="149"/>
      <c r="D41" s="88"/>
      <c r="E41" s="88"/>
      <c r="F41" s="88"/>
    </row>
    <row r="42">
      <c r="A42" s="127" t="s">
        <v>12539</v>
      </c>
      <c r="B42" s="128">
        <f>SUM(B43:B44)</f>
        <v>228</v>
      </c>
      <c r="C42" s="129"/>
      <c r="D42" s="88"/>
      <c r="E42" s="88"/>
      <c r="F42" s="88"/>
    </row>
    <row r="43">
      <c r="A43" s="144" t="str">
        <f>"Capacity SA รวม "&amp;SUM(C54:C57)&amp;" SP"</f>
        <v>Capacity SA รวม 91.5 SP</v>
      </c>
      <c r="B43" s="128">
        <f>SUM(C54:C57)</f>
        <v>91.5</v>
      </c>
      <c r="C43" s="129"/>
      <c r="D43" s="88"/>
      <c r="E43" s="88"/>
      <c r="F43" s="88"/>
    </row>
    <row r="44">
      <c r="A44" s="144" t="str">
        <f>"Capacity DEV รวม "&amp;SUM(C58:C63)&amp;" SP"</f>
        <v>Capacity DEV รวม 136.5 SP</v>
      </c>
      <c r="B44" s="128">
        <f>SUM(C58:C63)</f>
        <v>136.5</v>
      </c>
      <c r="C44" s="131"/>
      <c r="D44" s="132"/>
      <c r="E44" s="132"/>
      <c r="L44" s="132"/>
      <c r="N44" s="151"/>
    </row>
    <row r="45">
      <c r="A45" s="133" t="s">
        <v>155</v>
      </c>
      <c r="B45" s="134">
        <f>SUM(H64,J64,L64,N64, P64)</f>
        <v>15</v>
      </c>
      <c r="C45" s="131"/>
      <c r="D45" s="132"/>
      <c r="E45" s="132"/>
      <c r="L45" s="132"/>
      <c r="N45" s="151"/>
    </row>
    <row r="46">
      <c r="A46" s="133" t="s">
        <v>156</v>
      </c>
      <c r="B46" s="131">
        <f>B44-B45</f>
        <v>121.5</v>
      </c>
      <c r="C46" s="131"/>
      <c r="D46" s="132"/>
      <c r="E46" s="132"/>
      <c r="L46" s="132"/>
      <c r="N46" s="151"/>
    </row>
    <row r="47">
      <c r="A47" s="135" t="s">
        <v>48</v>
      </c>
      <c r="B47" s="129">
        <f>F64</f>
        <v>105</v>
      </c>
      <c r="C47" s="129">
        <v>5.0</v>
      </c>
      <c r="D47" s="88"/>
      <c r="E47" s="88"/>
      <c r="F47" s="88"/>
    </row>
    <row r="48">
      <c r="A48" s="135" t="s">
        <v>44</v>
      </c>
      <c r="B48" s="129">
        <f>H64</f>
        <v>3</v>
      </c>
      <c r="C48" s="129">
        <v>1.0</v>
      </c>
      <c r="D48" s="88"/>
      <c r="E48" s="88"/>
      <c r="F48" s="88"/>
    </row>
    <row r="49">
      <c r="A49" s="135" t="s">
        <v>12540</v>
      </c>
      <c r="B49" s="129">
        <f>J64</f>
        <v>9</v>
      </c>
      <c r="C49" s="129">
        <v>1.0</v>
      </c>
      <c r="D49" s="88"/>
      <c r="E49" s="88"/>
      <c r="F49" s="88"/>
    </row>
    <row r="50">
      <c r="A50" s="135" t="s">
        <v>159</v>
      </c>
      <c r="B50" s="129">
        <f>L64</f>
        <v>0</v>
      </c>
      <c r="C50" s="129">
        <v>0.0</v>
      </c>
      <c r="D50" s="88"/>
      <c r="E50" s="88"/>
      <c r="F50" s="88"/>
    </row>
    <row r="51">
      <c r="A51" s="135" t="s">
        <v>160</v>
      </c>
      <c r="B51" s="129">
        <f>P64</f>
        <v>3</v>
      </c>
      <c r="C51" s="129">
        <v>0.0</v>
      </c>
      <c r="D51" s="88"/>
      <c r="E51" s="88"/>
      <c r="F51" s="88"/>
    </row>
    <row r="52">
      <c r="A52" s="136" t="s">
        <v>161</v>
      </c>
      <c r="B52" s="129">
        <f>C64-D64</f>
        <v>108</v>
      </c>
      <c r="C52" s="129"/>
      <c r="D52" s="88"/>
      <c r="E52" s="88"/>
      <c r="F52" s="88"/>
    </row>
    <row r="53">
      <c r="A53" s="138" t="s">
        <v>162</v>
      </c>
      <c r="B53" s="138" t="s">
        <v>163</v>
      </c>
      <c r="C53" s="138" t="s">
        <v>164</v>
      </c>
      <c r="D53" s="138" t="s">
        <v>165</v>
      </c>
      <c r="E53" s="138" t="s">
        <v>156</v>
      </c>
      <c r="F53" s="138" t="s">
        <v>166</v>
      </c>
      <c r="G53" s="137" t="s">
        <v>3611</v>
      </c>
      <c r="H53" s="137" t="s">
        <v>167</v>
      </c>
      <c r="I53" s="137" t="s">
        <v>3612</v>
      </c>
      <c r="J53" s="137" t="s">
        <v>168</v>
      </c>
      <c r="K53" s="137" t="s">
        <v>3613</v>
      </c>
      <c r="L53" s="137" t="s">
        <v>170</v>
      </c>
      <c r="M53" s="152" t="s">
        <v>3614</v>
      </c>
      <c r="N53" s="152" t="s">
        <v>174</v>
      </c>
      <c r="O53" s="139" t="s">
        <v>160</v>
      </c>
      <c r="P53" s="139" t="s">
        <v>171</v>
      </c>
    </row>
    <row r="54">
      <c r="A54" s="140" t="s">
        <v>30</v>
      </c>
      <c r="B54" s="101">
        <v>7.0</v>
      </c>
      <c r="C54" s="101">
        <f t="shared" ref="C54:C63" si="20">3*B54</f>
        <v>21</v>
      </c>
      <c r="D54" s="140">
        <f t="shared" ref="D54:D64" si="21">SUM(F54,H54,J54,L54,N54,P54)</f>
        <v>15</v>
      </c>
      <c r="E54" s="140"/>
      <c r="F54" s="140">
        <f t="shared" ref="F54:F64" si="22">3*E54</f>
        <v>0</v>
      </c>
      <c r="G54" s="99"/>
      <c r="H54" s="140">
        <f t="shared" ref="H54:H64" si="23">3*G54</f>
        <v>0</v>
      </c>
      <c r="I54" s="99"/>
      <c r="J54" s="140">
        <f t="shared" ref="J54:J64" si="24">3*I54</f>
        <v>0</v>
      </c>
      <c r="K54" s="101"/>
      <c r="L54" s="140">
        <f t="shared" ref="L54:L64" si="25">3*K54</f>
        <v>0</v>
      </c>
      <c r="M54" s="101">
        <v>5.0</v>
      </c>
      <c r="N54" s="140">
        <f t="shared" ref="N54:N64" si="26">3*M54</f>
        <v>15</v>
      </c>
      <c r="O54" s="241">
        <v>0.0</v>
      </c>
      <c r="P54" s="143">
        <f t="shared" ref="P54:P64" si="27">3*O54</f>
        <v>0</v>
      </c>
    </row>
    <row r="55">
      <c r="A55" s="140" t="s">
        <v>72</v>
      </c>
      <c r="B55" s="101">
        <v>7.5</v>
      </c>
      <c r="C55" s="101">
        <f t="shared" si="20"/>
        <v>22.5</v>
      </c>
      <c r="D55" s="140">
        <f t="shared" si="21"/>
        <v>22.5</v>
      </c>
      <c r="E55" s="140">
        <v>7.5</v>
      </c>
      <c r="F55" s="140">
        <f t="shared" si="22"/>
        <v>22.5</v>
      </c>
      <c r="G55" s="99"/>
      <c r="H55" s="140">
        <f t="shared" si="23"/>
        <v>0</v>
      </c>
      <c r="I55" s="99"/>
      <c r="J55" s="140">
        <f t="shared" si="24"/>
        <v>0</v>
      </c>
      <c r="K55" s="101"/>
      <c r="L55" s="140">
        <f t="shared" si="25"/>
        <v>0</v>
      </c>
      <c r="M55" s="101"/>
      <c r="N55" s="140">
        <f t="shared" si="26"/>
        <v>0</v>
      </c>
      <c r="O55" s="241">
        <v>0.0</v>
      </c>
      <c r="P55" s="143">
        <f t="shared" si="27"/>
        <v>0</v>
      </c>
    </row>
    <row r="56">
      <c r="A56" s="140" t="s">
        <v>24</v>
      </c>
      <c r="B56" s="101">
        <v>8.0</v>
      </c>
      <c r="C56" s="101">
        <f t="shared" si="20"/>
        <v>24</v>
      </c>
      <c r="D56" s="140">
        <f t="shared" si="21"/>
        <v>0</v>
      </c>
      <c r="E56" s="140"/>
      <c r="F56" s="140">
        <f t="shared" si="22"/>
        <v>0</v>
      </c>
      <c r="G56" s="99"/>
      <c r="H56" s="140">
        <f t="shared" si="23"/>
        <v>0</v>
      </c>
      <c r="I56" s="99"/>
      <c r="J56" s="140">
        <f t="shared" si="24"/>
        <v>0</v>
      </c>
      <c r="K56" s="101"/>
      <c r="L56" s="140">
        <f t="shared" si="25"/>
        <v>0</v>
      </c>
      <c r="M56" s="101"/>
      <c r="N56" s="140">
        <f t="shared" si="26"/>
        <v>0</v>
      </c>
      <c r="O56" s="241">
        <v>0.0</v>
      </c>
      <c r="P56" s="143">
        <f t="shared" si="27"/>
        <v>0</v>
      </c>
    </row>
    <row r="57" ht="15.0" customHeight="1">
      <c r="A57" s="140" t="s">
        <v>28</v>
      </c>
      <c r="B57" s="101">
        <v>8.0</v>
      </c>
      <c r="C57" s="101">
        <f t="shared" si="20"/>
        <v>24</v>
      </c>
      <c r="D57" s="140">
        <f t="shared" si="21"/>
        <v>0</v>
      </c>
      <c r="E57" s="140"/>
      <c r="F57" s="140">
        <f t="shared" si="22"/>
        <v>0</v>
      </c>
      <c r="G57" s="99"/>
      <c r="H57" s="140">
        <f t="shared" si="23"/>
        <v>0</v>
      </c>
      <c r="I57" s="99"/>
      <c r="J57" s="140">
        <f t="shared" si="24"/>
        <v>0</v>
      </c>
      <c r="K57" s="101"/>
      <c r="L57" s="140">
        <f t="shared" si="25"/>
        <v>0</v>
      </c>
      <c r="M57" s="101"/>
      <c r="N57" s="140">
        <f t="shared" si="26"/>
        <v>0</v>
      </c>
      <c r="O57" s="241">
        <v>0.0</v>
      </c>
      <c r="P57" s="143">
        <f t="shared" si="27"/>
        <v>0</v>
      </c>
    </row>
    <row r="58">
      <c r="A58" s="140" t="s">
        <v>32</v>
      </c>
      <c r="B58" s="101">
        <v>7.0</v>
      </c>
      <c r="C58" s="101">
        <f t="shared" si="20"/>
        <v>21</v>
      </c>
      <c r="D58" s="140">
        <f t="shared" si="21"/>
        <v>21</v>
      </c>
      <c r="E58" s="140">
        <v>7.0</v>
      </c>
      <c r="F58" s="140">
        <f t="shared" si="22"/>
        <v>21</v>
      </c>
      <c r="G58" s="99"/>
      <c r="H58" s="140">
        <f t="shared" si="23"/>
        <v>0</v>
      </c>
      <c r="I58" s="99"/>
      <c r="J58" s="140">
        <f t="shared" si="24"/>
        <v>0</v>
      </c>
      <c r="K58" s="101"/>
      <c r="L58" s="140">
        <f t="shared" si="25"/>
        <v>0</v>
      </c>
      <c r="M58" s="101"/>
      <c r="N58" s="140">
        <f t="shared" si="26"/>
        <v>0</v>
      </c>
      <c r="O58" s="241">
        <v>0.0</v>
      </c>
      <c r="P58" s="143">
        <f t="shared" si="27"/>
        <v>0</v>
      </c>
    </row>
    <row r="59">
      <c r="A59" s="140" t="s">
        <v>74</v>
      </c>
      <c r="B59" s="101">
        <v>8.0</v>
      </c>
      <c r="C59" s="101">
        <f t="shared" si="20"/>
        <v>24</v>
      </c>
      <c r="D59" s="140">
        <f t="shared" si="21"/>
        <v>21</v>
      </c>
      <c r="E59" s="140">
        <v>4.0</v>
      </c>
      <c r="F59" s="140">
        <f t="shared" si="22"/>
        <v>12</v>
      </c>
      <c r="G59" s="99"/>
      <c r="H59" s="140">
        <f t="shared" si="23"/>
        <v>0</v>
      </c>
      <c r="I59" s="101">
        <v>3.0</v>
      </c>
      <c r="J59" s="140">
        <f t="shared" si="24"/>
        <v>9</v>
      </c>
      <c r="K59" s="101"/>
      <c r="L59" s="140">
        <f t="shared" si="25"/>
        <v>0</v>
      </c>
      <c r="M59" s="101"/>
      <c r="N59" s="140">
        <f t="shared" si="26"/>
        <v>0</v>
      </c>
      <c r="O59" s="241">
        <v>0.0</v>
      </c>
      <c r="P59" s="143">
        <f t="shared" si="27"/>
        <v>0</v>
      </c>
    </row>
    <row r="60">
      <c r="A60" s="140" t="s">
        <v>73</v>
      </c>
      <c r="B60" s="101">
        <v>8.0</v>
      </c>
      <c r="C60" s="101">
        <f t="shared" si="20"/>
        <v>24</v>
      </c>
      <c r="D60" s="140">
        <f t="shared" si="21"/>
        <v>21</v>
      </c>
      <c r="E60" s="140">
        <v>7.0</v>
      </c>
      <c r="F60" s="140">
        <f t="shared" si="22"/>
        <v>21</v>
      </c>
      <c r="G60" s="99"/>
      <c r="H60" s="140">
        <f t="shared" si="23"/>
        <v>0</v>
      </c>
      <c r="I60" s="99"/>
      <c r="J60" s="140">
        <f t="shared" si="24"/>
        <v>0</v>
      </c>
      <c r="K60" s="101"/>
      <c r="L60" s="140">
        <f t="shared" si="25"/>
        <v>0</v>
      </c>
      <c r="M60" s="101"/>
      <c r="N60" s="140">
        <f t="shared" si="26"/>
        <v>0</v>
      </c>
      <c r="O60" s="241">
        <v>0.0</v>
      </c>
      <c r="P60" s="143">
        <f t="shared" si="27"/>
        <v>0</v>
      </c>
    </row>
    <row r="61">
      <c r="A61" s="140" t="s">
        <v>75</v>
      </c>
      <c r="B61" s="101">
        <v>8.0</v>
      </c>
      <c r="C61" s="101">
        <f t="shared" si="20"/>
        <v>24</v>
      </c>
      <c r="D61" s="140">
        <f t="shared" si="21"/>
        <v>24</v>
      </c>
      <c r="E61" s="140">
        <v>8.0</v>
      </c>
      <c r="F61" s="140">
        <f t="shared" si="22"/>
        <v>24</v>
      </c>
      <c r="G61" s="99"/>
      <c r="H61" s="140">
        <f t="shared" si="23"/>
        <v>0</v>
      </c>
      <c r="I61" s="101"/>
      <c r="J61" s="140">
        <f t="shared" si="24"/>
        <v>0</v>
      </c>
      <c r="K61" s="99"/>
      <c r="L61" s="140">
        <f t="shared" si="25"/>
        <v>0</v>
      </c>
      <c r="M61" s="99"/>
      <c r="N61" s="140">
        <f t="shared" si="26"/>
        <v>0</v>
      </c>
      <c r="O61" s="241">
        <v>0.0</v>
      </c>
      <c r="P61" s="143">
        <f t="shared" si="27"/>
        <v>0</v>
      </c>
    </row>
    <row r="62">
      <c r="A62" s="140" t="s">
        <v>76</v>
      </c>
      <c r="B62" s="101">
        <v>7.0</v>
      </c>
      <c r="C62" s="101">
        <f t="shared" si="20"/>
        <v>21</v>
      </c>
      <c r="D62" s="140">
        <f t="shared" si="21"/>
        <v>15</v>
      </c>
      <c r="E62" s="140">
        <v>4.0</v>
      </c>
      <c r="F62" s="140">
        <f t="shared" si="22"/>
        <v>12</v>
      </c>
      <c r="G62" s="101">
        <v>1.0</v>
      </c>
      <c r="H62" s="140">
        <f t="shared" si="23"/>
        <v>3</v>
      </c>
      <c r="I62" s="101"/>
      <c r="J62" s="140">
        <f t="shared" si="24"/>
        <v>0</v>
      </c>
      <c r="K62" s="101"/>
      <c r="L62" s="140">
        <f t="shared" si="25"/>
        <v>0</v>
      </c>
      <c r="M62" s="101"/>
      <c r="N62" s="140">
        <f t="shared" si="26"/>
        <v>0</v>
      </c>
      <c r="O62" s="241">
        <v>0.0</v>
      </c>
      <c r="P62" s="143">
        <f t="shared" si="27"/>
        <v>0</v>
      </c>
    </row>
    <row r="63">
      <c r="A63" s="140" t="s">
        <v>77</v>
      </c>
      <c r="B63" s="140">
        <v>7.5</v>
      </c>
      <c r="C63" s="101">
        <f t="shared" si="20"/>
        <v>22.5</v>
      </c>
      <c r="D63" s="140">
        <f t="shared" si="21"/>
        <v>18</v>
      </c>
      <c r="E63" s="140">
        <v>5.0</v>
      </c>
      <c r="F63" s="140">
        <f t="shared" si="22"/>
        <v>15</v>
      </c>
      <c r="G63" s="99"/>
      <c r="H63" s="140">
        <f t="shared" si="23"/>
        <v>0</v>
      </c>
      <c r="I63" s="99"/>
      <c r="J63" s="140">
        <f t="shared" si="24"/>
        <v>0</v>
      </c>
      <c r="K63" s="99"/>
      <c r="L63" s="140">
        <f t="shared" si="25"/>
        <v>0</v>
      </c>
      <c r="M63" s="101"/>
      <c r="N63" s="140">
        <f t="shared" si="26"/>
        <v>0</v>
      </c>
      <c r="O63" s="241">
        <v>1.0</v>
      </c>
      <c r="P63" s="143">
        <f t="shared" si="27"/>
        <v>3</v>
      </c>
    </row>
    <row r="64">
      <c r="A64" s="127" t="s">
        <v>172</v>
      </c>
      <c r="B64" s="99"/>
      <c r="C64" s="144">
        <f>SUM(C54:C63)</f>
        <v>228</v>
      </c>
      <c r="D64" s="140">
        <f t="shared" si="21"/>
        <v>120</v>
      </c>
      <c r="E64" s="144">
        <f>SUM(E58:E63)</f>
        <v>35</v>
      </c>
      <c r="F64" s="140">
        <f t="shared" si="22"/>
        <v>105</v>
      </c>
      <c r="G64" s="99">
        <f>SUM(G58:G63)</f>
        <v>1</v>
      </c>
      <c r="H64" s="140">
        <f t="shared" si="23"/>
        <v>3</v>
      </c>
      <c r="I64" s="99">
        <f>SUM(I58:I63)</f>
        <v>3</v>
      </c>
      <c r="J64" s="140">
        <f t="shared" si="24"/>
        <v>9</v>
      </c>
      <c r="K64" s="99">
        <f>SUM(K58:K63)</f>
        <v>0</v>
      </c>
      <c r="L64" s="140">
        <f t="shared" si="25"/>
        <v>0</v>
      </c>
      <c r="M64" s="99">
        <f>SUM(M58:M63)</f>
        <v>0</v>
      </c>
      <c r="N64" s="140">
        <f t="shared" si="26"/>
        <v>0</v>
      </c>
      <c r="O64" s="148">
        <f>SUM(O58:O63)</f>
        <v>1</v>
      </c>
      <c r="P64" s="143">
        <f t="shared" si="27"/>
        <v>3</v>
      </c>
    </row>
    <row r="65">
      <c r="A65" s="115"/>
    </row>
    <row r="66">
      <c r="A66" s="127" t="s">
        <v>12541</v>
      </c>
      <c r="B66" s="128">
        <f>SUM(B67:B68)</f>
        <v>99</v>
      </c>
      <c r="C66" s="129"/>
      <c r="D66" s="88"/>
      <c r="E66" s="88"/>
      <c r="F66" s="88"/>
    </row>
    <row r="67">
      <c r="A67" s="144" t="str">
        <f>"Capacity SA รวม "&amp;SUM(C84:C87)&amp;" SP"</f>
        <v>Capacity SA รวม 48 SP</v>
      </c>
      <c r="B67" s="128">
        <f>SUM(C78:C81)</f>
        <v>30</v>
      </c>
      <c r="C67" s="129"/>
      <c r="D67" s="88"/>
      <c r="E67" s="88"/>
      <c r="F67" s="88"/>
    </row>
    <row r="68">
      <c r="A68" s="144" t="str">
        <f>"Capacity รวม "&amp;SUM(C82:C87)&amp;" SP"</f>
        <v>Capacity รวม 69 SP</v>
      </c>
      <c r="B68" s="256">
        <f>SUM(C82:C87)</f>
        <v>69</v>
      </c>
      <c r="C68" s="131"/>
      <c r="D68" s="132"/>
      <c r="E68" s="132"/>
      <c r="L68" s="132">
        <f>SUM(L82:L87)</f>
        <v>0</v>
      </c>
      <c r="N68" s="151">
        <v>8.0</v>
      </c>
    </row>
    <row r="69">
      <c r="A69" s="133" t="s">
        <v>155</v>
      </c>
      <c r="B69" s="134">
        <f>SUM(H88,J88,L88,N88)</f>
        <v>0</v>
      </c>
      <c r="C69" s="131"/>
      <c r="D69" s="132"/>
      <c r="E69" s="132"/>
      <c r="L69" s="132"/>
      <c r="N69" s="151"/>
    </row>
    <row r="70">
      <c r="A70" s="133" t="s">
        <v>156</v>
      </c>
      <c r="B70" s="131">
        <f>B68-B69</f>
        <v>69</v>
      </c>
      <c r="C70" s="131"/>
      <c r="D70" s="132"/>
      <c r="E70" s="132"/>
      <c r="L70" s="132"/>
      <c r="N70" s="151"/>
    </row>
    <row r="71">
      <c r="A71" s="135" t="s">
        <v>48</v>
      </c>
      <c r="B71" s="129" t="str">
        <f>F88</f>
        <v/>
      </c>
      <c r="C71" s="129">
        <v>0.0</v>
      </c>
      <c r="D71" s="88"/>
      <c r="E71" s="88"/>
      <c r="F71" s="88"/>
    </row>
    <row r="72">
      <c r="A72" s="135" t="s">
        <v>44</v>
      </c>
      <c r="B72" s="129">
        <f>H88</f>
        <v>0</v>
      </c>
      <c r="C72" s="129">
        <v>0.0</v>
      </c>
      <c r="D72" s="88"/>
      <c r="E72" s="88"/>
      <c r="F72" s="88"/>
    </row>
    <row r="73">
      <c r="A73" s="135" t="s">
        <v>12540</v>
      </c>
      <c r="B73" s="129">
        <f>J88</f>
        <v>0</v>
      </c>
      <c r="C73" s="129">
        <v>0.0</v>
      </c>
      <c r="D73" s="88"/>
      <c r="E73" s="88"/>
      <c r="F73" s="88"/>
    </row>
    <row r="74">
      <c r="A74" s="135" t="s">
        <v>159</v>
      </c>
      <c r="B74" s="129">
        <f>L88</f>
        <v>0</v>
      </c>
      <c r="C74" s="129">
        <v>0.0</v>
      </c>
      <c r="D74" s="88"/>
      <c r="E74" s="88"/>
      <c r="F74" s="88"/>
    </row>
    <row r="75">
      <c r="A75" s="135" t="s">
        <v>160</v>
      </c>
      <c r="B75" s="129">
        <f>P88</f>
        <v>0</v>
      </c>
      <c r="C75" s="129">
        <v>0.0</v>
      </c>
      <c r="D75" s="88"/>
      <c r="E75" s="88"/>
      <c r="F75" s="88"/>
    </row>
    <row r="76">
      <c r="A76" s="136" t="s">
        <v>161</v>
      </c>
      <c r="B76" s="129">
        <f>C88-D88</f>
        <v>99</v>
      </c>
      <c r="C76" s="129"/>
      <c r="D76" s="88"/>
      <c r="E76" s="88"/>
      <c r="F76" s="88"/>
    </row>
    <row r="77">
      <c r="A77" s="257" t="s">
        <v>162</v>
      </c>
      <c r="B77" s="137" t="s">
        <v>163</v>
      </c>
      <c r="C77" s="138" t="s">
        <v>164</v>
      </c>
      <c r="D77" s="138" t="s">
        <v>165</v>
      </c>
      <c r="E77" s="137" t="s">
        <v>156</v>
      </c>
      <c r="F77" s="137" t="s">
        <v>166</v>
      </c>
      <c r="G77" s="137" t="s">
        <v>3611</v>
      </c>
      <c r="H77" s="137" t="s">
        <v>167</v>
      </c>
      <c r="I77" s="137" t="s">
        <v>3612</v>
      </c>
      <c r="J77" s="137" t="s">
        <v>168</v>
      </c>
      <c r="K77" s="137" t="s">
        <v>3613</v>
      </c>
      <c r="L77" s="137" t="s">
        <v>170</v>
      </c>
      <c r="M77" s="152" t="s">
        <v>3614</v>
      </c>
      <c r="N77" s="152" t="s">
        <v>174</v>
      </c>
      <c r="O77" s="139" t="s">
        <v>160</v>
      </c>
      <c r="P77" s="139" t="s">
        <v>171</v>
      </c>
    </row>
    <row r="78">
      <c r="A78" s="140" t="s">
        <v>30</v>
      </c>
      <c r="B78" s="101">
        <v>3.0</v>
      </c>
      <c r="C78" s="101">
        <f t="shared" ref="C78:C87" si="28">3*B78</f>
        <v>9</v>
      </c>
      <c r="D78" s="140">
        <f t="shared" ref="D78:D88" si="29">SUM(F78,H78,J78,L78,N78,P78)</f>
        <v>0</v>
      </c>
      <c r="E78" s="140"/>
      <c r="F78" s="140"/>
      <c r="G78" s="99"/>
      <c r="H78" s="140"/>
      <c r="I78" s="99"/>
      <c r="J78" s="140"/>
      <c r="K78" s="101"/>
      <c r="L78" s="140"/>
      <c r="M78" s="101"/>
      <c r="N78" s="140"/>
      <c r="O78" s="241"/>
      <c r="P78" s="143"/>
    </row>
    <row r="79">
      <c r="A79" s="140" t="s">
        <v>72</v>
      </c>
      <c r="B79" s="101">
        <v>0.0</v>
      </c>
      <c r="C79" s="101">
        <f t="shared" si="28"/>
        <v>0</v>
      </c>
      <c r="D79" s="140">
        <f t="shared" si="29"/>
        <v>0</v>
      </c>
      <c r="E79" s="140"/>
      <c r="F79" s="140"/>
      <c r="G79" s="99"/>
      <c r="H79" s="140"/>
      <c r="I79" s="99"/>
      <c r="J79" s="140"/>
      <c r="K79" s="101"/>
      <c r="L79" s="140"/>
      <c r="M79" s="101"/>
      <c r="N79" s="140"/>
      <c r="O79" s="241"/>
      <c r="P79" s="143"/>
    </row>
    <row r="80">
      <c r="A80" s="140" t="s">
        <v>24</v>
      </c>
      <c r="B80" s="101">
        <v>3.0</v>
      </c>
      <c r="C80" s="101">
        <f t="shared" si="28"/>
        <v>9</v>
      </c>
      <c r="D80" s="140">
        <f t="shared" si="29"/>
        <v>0</v>
      </c>
      <c r="E80" s="140"/>
      <c r="F80" s="140"/>
      <c r="G80" s="99"/>
      <c r="H80" s="140"/>
      <c r="I80" s="99"/>
      <c r="J80" s="140"/>
      <c r="K80" s="101"/>
      <c r="L80" s="140"/>
      <c r="M80" s="101"/>
      <c r="N80" s="140"/>
      <c r="O80" s="241"/>
      <c r="P80" s="143"/>
    </row>
    <row r="81">
      <c r="A81" s="140" t="s">
        <v>28</v>
      </c>
      <c r="B81" s="101">
        <v>4.0</v>
      </c>
      <c r="C81" s="101">
        <f t="shared" si="28"/>
        <v>12</v>
      </c>
      <c r="D81" s="140">
        <f t="shared" si="29"/>
        <v>0</v>
      </c>
      <c r="E81" s="140"/>
      <c r="F81" s="140"/>
      <c r="G81" s="99"/>
      <c r="H81" s="140"/>
      <c r="I81" s="99"/>
      <c r="J81" s="140"/>
      <c r="K81" s="101"/>
      <c r="L81" s="140"/>
      <c r="M81" s="101"/>
      <c r="N81" s="140"/>
      <c r="O81" s="241"/>
      <c r="P81" s="143"/>
    </row>
    <row r="82">
      <c r="A82" s="140" t="s">
        <v>32</v>
      </c>
      <c r="B82" s="101">
        <v>4.0</v>
      </c>
      <c r="C82" s="101">
        <f t="shared" si="28"/>
        <v>12</v>
      </c>
      <c r="D82" s="140">
        <f t="shared" si="29"/>
        <v>0</v>
      </c>
      <c r="E82" s="140"/>
      <c r="F82" s="140"/>
      <c r="G82" s="99"/>
      <c r="H82" s="140"/>
      <c r="I82" s="99"/>
      <c r="J82" s="140"/>
      <c r="K82" s="101"/>
      <c r="L82" s="140">
        <f t="shared" ref="L82:L87" si="30">3*K82</f>
        <v>0</v>
      </c>
      <c r="M82" s="101"/>
      <c r="N82" s="140"/>
      <c r="O82" s="241">
        <v>0.0</v>
      </c>
      <c r="P82" s="143">
        <f t="shared" ref="P82:P88" si="31">3*O82</f>
        <v>0</v>
      </c>
    </row>
    <row r="83">
      <c r="A83" s="258" t="s">
        <v>74</v>
      </c>
      <c r="B83" s="101">
        <v>3.0</v>
      </c>
      <c r="C83" s="101">
        <f t="shared" si="28"/>
        <v>9</v>
      </c>
      <c r="D83" s="140">
        <f t="shared" si="29"/>
        <v>0</v>
      </c>
      <c r="E83" s="140"/>
      <c r="F83" s="140"/>
      <c r="G83" s="99"/>
      <c r="H83" s="140"/>
      <c r="I83" s="101"/>
      <c r="J83" s="140"/>
      <c r="K83" s="101"/>
      <c r="L83" s="140">
        <f t="shared" si="30"/>
        <v>0</v>
      </c>
      <c r="M83" s="101"/>
      <c r="N83" s="140"/>
      <c r="O83" s="241">
        <v>0.0</v>
      </c>
      <c r="P83" s="143">
        <f t="shared" si="31"/>
        <v>0</v>
      </c>
    </row>
    <row r="84">
      <c r="A84" s="258" t="s">
        <v>73</v>
      </c>
      <c r="B84" s="101">
        <v>4.0</v>
      </c>
      <c r="C84" s="101">
        <f t="shared" si="28"/>
        <v>12</v>
      </c>
      <c r="D84" s="140">
        <f t="shared" si="29"/>
        <v>0</v>
      </c>
      <c r="E84" s="140"/>
      <c r="F84" s="140"/>
      <c r="G84" s="99"/>
      <c r="H84" s="140"/>
      <c r="I84" s="99"/>
      <c r="J84" s="140"/>
      <c r="K84" s="101"/>
      <c r="L84" s="140">
        <f t="shared" si="30"/>
        <v>0</v>
      </c>
      <c r="M84" s="101"/>
      <c r="N84" s="140"/>
      <c r="O84" s="241">
        <v>0.0</v>
      </c>
      <c r="P84" s="143">
        <f t="shared" si="31"/>
        <v>0</v>
      </c>
    </row>
    <row r="85">
      <c r="A85" s="258" t="s">
        <v>75</v>
      </c>
      <c r="B85" s="101">
        <v>4.0</v>
      </c>
      <c r="C85" s="101">
        <f t="shared" si="28"/>
        <v>12</v>
      </c>
      <c r="D85" s="140">
        <f t="shared" si="29"/>
        <v>0</v>
      </c>
      <c r="E85" s="140"/>
      <c r="F85" s="140"/>
      <c r="G85" s="99"/>
      <c r="H85" s="140"/>
      <c r="I85" s="101"/>
      <c r="J85" s="140"/>
      <c r="K85" s="99"/>
      <c r="L85" s="140">
        <f t="shared" si="30"/>
        <v>0</v>
      </c>
      <c r="M85" s="99"/>
      <c r="N85" s="99"/>
      <c r="O85" s="241">
        <v>0.0</v>
      </c>
      <c r="P85" s="143">
        <f t="shared" si="31"/>
        <v>0</v>
      </c>
    </row>
    <row r="86">
      <c r="A86" s="258" t="s">
        <v>76</v>
      </c>
      <c r="B86" s="101">
        <v>4.0</v>
      </c>
      <c r="C86" s="101">
        <f t="shared" si="28"/>
        <v>12</v>
      </c>
      <c r="D86" s="140">
        <f t="shared" si="29"/>
        <v>0</v>
      </c>
      <c r="E86" s="140"/>
      <c r="F86" s="140"/>
      <c r="G86" s="101"/>
      <c r="H86" s="140"/>
      <c r="I86" s="101"/>
      <c r="J86" s="140"/>
      <c r="K86" s="101"/>
      <c r="L86" s="140">
        <f t="shared" si="30"/>
        <v>0</v>
      </c>
      <c r="M86" s="101"/>
      <c r="N86" s="140"/>
      <c r="O86" s="241">
        <v>0.0</v>
      </c>
      <c r="P86" s="143">
        <f t="shared" si="31"/>
        <v>0</v>
      </c>
    </row>
    <row r="87">
      <c r="A87" s="258" t="s">
        <v>77</v>
      </c>
      <c r="B87" s="101">
        <v>4.0</v>
      </c>
      <c r="C87" s="101">
        <f t="shared" si="28"/>
        <v>12</v>
      </c>
      <c r="D87" s="140">
        <f t="shared" si="29"/>
        <v>0</v>
      </c>
      <c r="E87" s="140"/>
      <c r="F87" s="140"/>
      <c r="G87" s="99"/>
      <c r="H87" s="99"/>
      <c r="I87" s="99"/>
      <c r="J87" s="99"/>
      <c r="K87" s="99"/>
      <c r="L87" s="140">
        <f t="shared" si="30"/>
        <v>0</v>
      </c>
      <c r="M87" s="101"/>
      <c r="N87" s="140"/>
      <c r="O87" s="241">
        <v>0.0</v>
      </c>
      <c r="P87" s="143">
        <f t="shared" si="31"/>
        <v>0</v>
      </c>
    </row>
    <row r="88">
      <c r="A88" s="127" t="s">
        <v>172</v>
      </c>
      <c r="B88" s="99"/>
      <c r="C88" s="144">
        <f>SUM(C78:C87)</f>
        <v>99</v>
      </c>
      <c r="D88" s="140">
        <f t="shared" si="29"/>
        <v>0</v>
      </c>
      <c r="E88" s="99"/>
      <c r="F88" s="99"/>
      <c r="G88" s="99">
        <f t="shared" ref="G88:O88" si="32">SUM(G82:G87)</f>
        <v>0</v>
      </c>
      <c r="H88" s="99">
        <f t="shared" si="32"/>
        <v>0</v>
      </c>
      <c r="I88" s="99">
        <f t="shared" si="32"/>
        <v>0</v>
      </c>
      <c r="J88" s="99">
        <f t="shared" si="32"/>
        <v>0</v>
      </c>
      <c r="K88" s="99">
        <f t="shared" si="32"/>
        <v>0</v>
      </c>
      <c r="L88" s="99">
        <f t="shared" si="32"/>
        <v>0</v>
      </c>
      <c r="M88" s="99">
        <f t="shared" si="32"/>
        <v>0</v>
      </c>
      <c r="N88" s="99">
        <f t="shared" si="32"/>
        <v>0</v>
      </c>
      <c r="O88" s="148">
        <f t="shared" si="32"/>
        <v>0</v>
      </c>
      <c r="P88" s="143">
        <f t="shared" si="31"/>
        <v>0</v>
      </c>
    </row>
    <row r="89">
      <c r="A89" s="86"/>
      <c r="B89" s="149"/>
      <c r="C89" s="149"/>
      <c r="F89" s="88"/>
    </row>
    <row r="90">
      <c r="A90" s="127" t="s">
        <v>12542</v>
      </c>
      <c r="B90" s="256"/>
      <c r="C90" s="129"/>
      <c r="D90" s="88"/>
      <c r="E90" s="88"/>
      <c r="F90" s="88"/>
    </row>
    <row r="91">
      <c r="A91" s="144" t="str">
        <f>"Capacity รวม "&amp;SUM(C99:C104)&amp;" SP"</f>
        <v>Capacity รวม 126 SP</v>
      </c>
      <c r="B91" s="256">
        <f>SUM(C99:C104)</f>
        <v>126</v>
      </c>
      <c r="C91" s="131"/>
      <c r="D91" s="132"/>
      <c r="E91" s="132"/>
      <c r="L91" s="132">
        <f>SUM(L99:L104)</f>
        <v>0</v>
      </c>
      <c r="N91" s="151">
        <v>8.0</v>
      </c>
    </row>
    <row r="92">
      <c r="A92" s="133" t="s">
        <v>155</v>
      </c>
      <c r="B92" s="134">
        <f>SUM(H116,J116,L116,N116, P116)</f>
        <v>0</v>
      </c>
      <c r="C92" s="131"/>
      <c r="D92" s="132"/>
      <c r="E92" s="132"/>
      <c r="L92" s="132"/>
      <c r="N92" s="151"/>
    </row>
    <row r="93">
      <c r="A93" s="133" t="s">
        <v>156</v>
      </c>
      <c r="B93" s="259">
        <f>B91-B92</f>
        <v>126</v>
      </c>
      <c r="C93" s="131"/>
      <c r="D93" s="132"/>
      <c r="E93" s="132"/>
      <c r="L93" s="132"/>
      <c r="N93" s="151"/>
    </row>
    <row r="94">
      <c r="A94" s="260" t="s">
        <v>162</v>
      </c>
      <c r="B94" s="261" t="s">
        <v>163</v>
      </c>
      <c r="C94" s="262" t="s">
        <v>164</v>
      </c>
      <c r="D94" s="138" t="s">
        <v>165</v>
      </c>
      <c r="E94" s="263" t="s">
        <v>156</v>
      </c>
      <c r="F94" s="263" t="s">
        <v>166</v>
      </c>
      <c r="G94" s="263" t="s">
        <v>3611</v>
      </c>
      <c r="H94" s="263" t="s">
        <v>167</v>
      </c>
      <c r="I94" s="263" t="s">
        <v>3612</v>
      </c>
      <c r="J94" s="263" t="s">
        <v>168</v>
      </c>
      <c r="K94" s="263" t="s">
        <v>3613</v>
      </c>
      <c r="L94" s="263" t="s">
        <v>170</v>
      </c>
      <c r="M94" s="264" t="s">
        <v>3614</v>
      </c>
      <c r="N94" s="264" t="s">
        <v>174</v>
      </c>
      <c r="O94" s="139" t="s">
        <v>160</v>
      </c>
      <c r="P94" s="139" t="s">
        <v>171</v>
      </c>
    </row>
    <row r="95">
      <c r="A95" s="140" t="s">
        <v>30</v>
      </c>
      <c r="B95" s="101"/>
      <c r="C95" s="101"/>
      <c r="D95" s="140"/>
      <c r="E95" s="140"/>
      <c r="F95" s="140"/>
      <c r="G95" s="99"/>
      <c r="H95" s="140"/>
      <c r="I95" s="99"/>
      <c r="J95" s="140"/>
      <c r="K95" s="101"/>
      <c r="L95" s="140"/>
      <c r="M95" s="101"/>
      <c r="N95" s="140"/>
      <c r="O95" s="241"/>
      <c r="P95" s="143"/>
    </row>
    <row r="96">
      <c r="A96" s="140" t="s">
        <v>72</v>
      </c>
      <c r="B96" s="101"/>
      <c r="C96" s="101"/>
      <c r="D96" s="140"/>
      <c r="E96" s="140"/>
      <c r="F96" s="140"/>
      <c r="G96" s="99"/>
      <c r="H96" s="140"/>
      <c r="I96" s="99"/>
      <c r="J96" s="140"/>
      <c r="K96" s="101"/>
      <c r="L96" s="140"/>
      <c r="M96" s="101"/>
      <c r="N96" s="140"/>
      <c r="O96" s="241"/>
      <c r="P96" s="143"/>
    </row>
    <row r="97">
      <c r="A97" s="140" t="s">
        <v>24</v>
      </c>
      <c r="B97" s="101"/>
      <c r="C97" s="101"/>
      <c r="D97" s="140"/>
      <c r="E97" s="140"/>
      <c r="F97" s="140"/>
      <c r="G97" s="99"/>
      <c r="H97" s="140"/>
      <c r="I97" s="99"/>
      <c r="J97" s="140"/>
      <c r="K97" s="101"/>
      <c r="L97" s="140"/>
      <c r="M97" s="101"/>
      <c r="N97" s="140"/>
      <c r="O97" s="241"/>
      <c r="P97" s="143"/>
    </row>
    <row r="98">
      <c r="A98" s="140" t="s">
        <v>28</v>
      </c>
      <c r="B98" s="101"/>
      <c r="C98" s="101"/>
      <c r="D98" s="140"/>
      <c r="E98" s="140"/>
      <c r="F98" s="140"/>
      <c r="G98" s="99"/>
      <c r="H98" s="140"/>
      <c r="I98" s="99"/>
      <c r="J98" s="140"/>
      <c r="K98" s="101"/>
      <c r="L98" s="140"/>
      <c r="M98" s="101"/>
      <c r="N98" s="140"/>
      <c r="O98" s="241"/>
      <c r="P98" s="143"/>
    </row>
    <row r="99">
      <c r="A99" s="140" t="s">
        <v>32</v>
      </c>
      <c r="B99" s="101">
        <v>7.0</v>
      </c>
      <c r="C99" s="101">
        <f t="shared" ref="C99:C104" si="33">3*B99</f>
        <v>21</v>
      </c>
      <c r="D99" s="140"/>
      <c r="E99" s="140"/>
      <c r="F99" s="140"/>
      <c r="G99" s="99"/>
      <c r="H99" s="140"/>
      <c r="I99" s="99"/>
      <c r="J99" s="140"/>
      <c r="K99" s="101"/>
      <c r="L99" s="140">
        <f t="shared" ref="L99:L104" si="34">3*K99</f>
        <v>0</v>
      </c>
      <c r="M99" s="101"/>
      <c r="N99" s="140"/>
      <c r="O99" s="241">
        <v>0.0</v>
      </c>
      <c r="P99" s="143">
        <f t="shared" ref="P99:P105" si="35">3*O99</f>
        <v>0</v>
      </c>
    </row>
    <row r="100">
      <c r="A100" s="258" t="s">
        <v>74</v>
      </c>
      <c r="B100" s="101">
        <v>7.0</v>
      </c>
      <c r="C100" s="101">
        <f t="shared" si="33"/>
        <v>21</v>
      </c>
      <c r="D100" s="140"/>
      <c r="E100" s="140"/>
      <c r="F100" s="140"/>
      <c r="G100" s="99"/>
      <c r="H100" s="140"/>
      <c r="I100" s="101"/>
      <c r="J100" s="140"/>
      <c r="K100" s="101"/>
      <c r="L100" s="140">
        <f t="shared" si="34"/>
        <v>0</v>
      </c>
      <c r="M100" s="101"/>
      <c r="N100" s="140"/>
      <c r="O100" s="241">
        <v>0.0</v>
      </c>
      <c r="P100" s="143">
        <f t="shared" si="35"/>
        <v>0</v>
      </c>
    </row>
    <row r="101">
      <c r="A101" s="258" t="s">
        <v>73</v>
      </c>
      <c r="B101" s="101">
        <v>7.0</v>
      </c>
      <c r="C101" s="101">
        <f t="shared" si="33"/>
        <v>21</v>
      </c>
      <c r="D101" s="140"/>
      <c r="E101" s="140"/>
      <c r="F101" s="140"/>
      <c r="G101" s="99"/>
      <c r="H101" s="140"/>
      <c r="I101" s="99"/>
      <c r="J101" s="140"/>
      <c r="K101" s="101"/>
      <c r="L101" s="140">
        <f t="shared" si="34"/>
        <v>0</v>
      </c>
      <c r="M101" s="101"/>
      <c r="N101" s="140"/>
      <c r="O101" s="241">
        <v>0.0</v>
      </c>
      <c r="P101" s="143">
        <f t="shared" si="35"/>
        <v>0</v>
      </c>
    </row>
    <row r="102">
      <c r="A102" s="258" t="s">
        <v>75</v>
      </c>
      <c r="B102" s="101">
        <v>7.0</v>
      </c>
      <c r="C102" s="101">
        <f t="shared" si="33"/>
        <v>21</v>
      </c>
      <c r="D102" s="140"/>
      <c r="E102" s="140"/>
      <c r="F102" s="140"/>
      <c r="G102" s="99"/>
      <c r="H102" s="140"/>
      <c r="I102" s="101"/>
      <c r="J102" s="140"/>
      <c r="K102" s="99"/>
      <c r="L102" s="140">
        <f t="shared" si="34"/>
        <v>0</v>
      </c>
      <c r="M102" s="99"/>
      <c r="N102" s="99"/>
      <c r="O102" s="241">
        <v>0.0</v>
      </c>
      <c r="P102" s="143">
        <f t="shared" si="35"/>
        <v>0</v>
      </c>
    </row>
    <row r="103">
      <c r="A103" s="258" t="s">
        <v>76</v>
      </c>
      <c r="B103" s="101">
        <v>7.0</v>
      </c>
      <c r="C103" s="101">
        <f t="shared" si="33"/>
        <v>21</v>
      </c>
      <c r="D103" s="140"/>
      <c r="E103" s="140"/>
      <c r="F103" s="140"/>
      <c r="G103" s="101"/>
      <c r="H103" s="140"/>
      <c r="I103" s="101"/>
      <c r="J103" s="140"/>
      <c r="K103" s="101"/>
      <c r="L103" s="140">
        <f t="shared" si="34"/>
        <v>0</v>
      </c>
      <c r="M103" s="101"/>
      <c r="N103" s="140"/>
      <c r="O103" s="241">
        <v>0.0</v>
      </c>
      <c r="P103" s="143">
        <f t="shared" si="35"/>
        <v>0</v>
      </c>
    </row>
    <row r="104">
      <c r="A104" s="258" t="s">
        <v>77</v>
      </c>
      <c r="B104" s="101">
        <v>7.0</v>
      </c>
      <c r="C104" s="101">
        <f t="shared" si="33"/>
        <v>21</v>
      </c>
      <c r="D104" s="140"/>
      <c r="E104" s="140"/>
      <c r="F104" s="140"/>
      <c r="G104" s="99"/>
      <c r="H104" s="99"/>
      <c r="I104" s="99"/>
      <c r="J104" s="99"/>
      <c r="K104" s="99"/>
      <c r="L104" s="140">
        <f t="shared" si="34"/>
        <v>0</v>
      </c>
      <c r="M104" s="101"/>
      <c r="N104" s="140"/>
      <c r="O104" s="241">
        <v>0.0</v>
      </c>
      <c r="P104" s="143">
        <f t="shared" si="35"/>
        <v>0</v>
      </c>
    </row>
    <row r="105">
      <c r="A105" s="127" t="s">
        <v>172</v>
      </c>
      <c r="B105" s="265"/>
      <c r="C105" s="265"/>
      <c r="D105" s="265"/>
      <c r="E105" s="265"/>
      <c r="F105" s="265"/>
      <c r="G105" s="265">
        <f t="shared" ref="G105:O105" si="36">SUM(G99:G104)</f>
        <v>0</v>
      </c>
      <c r="H105" s="265">
        <f t="shared" si="36"/>
        <v>0</v>
      </c>
      <c r="I105" s="265">
        <f t="shared" si="36"/>
        <v>0</v>
      </c>
      <c r="J105" s="265">
        <f t="shared" si="36"/>
        <v>0</v>
      </c>
      <c r="K105" s="265">
        <f t="shared" si="36"/>
        <v>0</v>
      </c>
      <c r="L105" s="265">
        <f t="shared" si="36"/>
        <v>0</v>
      </c>
      <c r="M105" s="265">
        <f t="shared" si="36"/>
        <v>0</v>
      </c>
      <c r="N105" s="265">
        <f t="shared" si="36"/>
        <v>0</v>
      </c>
      <c r="O105" s="148">
        <f t="shared" si="36"/>
        <v>0</v>
      </c>
      <c r="P105" s="143">
        <f t="shared" si="35"/>
        <v>0</v>
      </c>
    </row>
    <row r="106">
      <c r="A106" s="86"/>
      <c r="B106" s="149"/>
      <c r="C106" s="149"/>
      <c r="F106" s="88"/>
    </row>
    <row r="107">
      <c r="A107" s="127" t="s">
        <v>12543</v>
      </c>
      <c r="B107" s="256"/>
      <c r="C107" s="129"/>
      <c r="D107" s="88"/>
      <c r="E107" s="88"/>
      <c r="F107" s="88"/>
    </row>
    <row r="108">
      <c r="A108" s="144" t="str">
        <f>"Capacity รวม "&amp;SUM(C116:C121)&amp;" SP"</f>
        <v>Capacity รวม 126 SP</v>
      </c>
      <c r="B108" s="256">
        <f>SUM(C116:C121)</f>
        <v>126</v>
      </c>
      <c r="C108" s="131"/>
      <c r="D108" s="132"/>
      <c r="E108" s="132"/>
      <c r="N108" s="151"/>
    </row>
    <row r="109">
      <c r="A109" s="133" t="s">
        <v>155</v>
      </c>
      <c r="B109" s="134">
        <f>SUM(H122,J122,L122,N122)</f>
        <v>0</v>
      </c>
      <c r="C109" s="131"/>
      <c r="D109" s="132"/>
      <c r="E109" s="132"/>
      <c r="N109" s="151"/>
    </row>
    <row r="110">
      <c r="A110" s="133" t="s">
        <v>156</v>
      </c>
      <c r="B110" s="131">
        <f>B108-B109</f>
        <v>126</v>
      </c>
      <c r="C110" s="131"/>
      <c r="D110" s="132"/>
      <c r="E110" s="132"/>
      <c r="N110" s="151"/>
    </row>
    <row r="111">
      <c r="A111" s="257" t="s">
        <v>162</v>
      </c>
      <c r="B111" s="266" t="s">
        <v>163</v>
      </c>
      <c r="C111" s="138" t="s">
        <v>164</v>
      </c>
      <c r="D111" s="138" t="s">
        <v>165</v>
      </c>
      <c r="E111" s="137" t="s">
        <v>156</v>
      </c>
      <c r="F111" s="137" t="s">
        <v>166</v>
      </c>
      <c r="G111" s="137" t="s">
        <v>3611</v>
      </c>
      <c r="H111" s="137" t="s">
        <v>167</v>
      </c>
      <c r="I111" s="137" t="s">
        <v>3612</v>
      </c>
      <c r="J111" s="137" t="s">
        <v>168</v>
      </c>
      <c r="K111" s="137" t="s">
        <v>3613</v>
      </c>
      <c r="L111" s="137" t="s">
        <v>170</v>
      </c>
      <c r="M111" s="152" t="s">
        <v>3614</v>
      </c>
      <c r="N111" s="152" t="s">
        <v>174</v>
      </c>
      <c r="O111" s="139" t="s">
        <v>160</v>
      </c>
      <c r="P111" s="139" t="s">
        <v>171</v>
      </c>
    </row>
    <row r="112">
      <c r="A112" s="140" t="s">
        <v>30</v>
      </c>
      <c r="B112" s="101"/>
      <c r="C112" s="101"/>
      <c r="D112" s="140"/>
      <c r="E112" s="140"/>
      <c r="F112" s="140"/>
      <c r="G112" s="99"/>
      <c r="H112" s="140"/>
      <c r="I112" s="99"/>
      <c r="J112" s="140"/>
      <c r="K112" s="101"/>
      <c r="L112" s="140"/>
      <c r="M112" s="101"/>
      <c r="N112" s="140"/>
      <c r="O112" s="241"/>
      <c r="P112" s="143"/>
    </row>
    <row r="113">
      <c r="A113" s="140" t="s">
        <v>72</v>
      </c>
      <c r="B113" s="101"/>
      <c r="C113" s="101"/>
      <c r="D113" s="140"/>
      <c r="E113" s="140"/>
      <c r="F113" s="140"/>
      <c r="G113" s="99"/>
      <c r="H113" s="140"/>
      <c r="I113" s="99"/>
      <c r="J113" s="140"/>
      <c r="K113" s="101"/>
      <c r="L113" s="140"/>
      <c r="M113" s="101"/>
      <c r="N113" s="140"/>
      <c r="O113" s="241"/>
      <c r="P113" s="143"/>
    </row>
    <row r="114">
      <c r="A114" s="140" t="s">
        <v>24</v>
      </c>
      <c r="B114" s="101"/>
      <c r="C114" s="101"/>
      <c r="D114" s="140"/>
      <c r="E114" s="140"/>
      <c r="F114" s="140"/>
      <c r="G114" s="99"/>
      <c r="H114" s="140"/>
      <c r="I114" s="99"/>
      <c r="J114" s="140"/>
      <c r="K114" s="101"/>
      <c r="L114" s="140"/>
      <c r="M114" s="101"/>
      <c r="N114" s="140"/>
      <c r="O114" s="241"/>
      <c r="P114" s="143"/>
    </row>
    <row r="115">
      <c r="A115" s="140" t="s">
        <v>28</v>
      </c>
      <c r="B115" s="101"/>
      <c r="C115" s="101"/>
      <c r="D115" s="140"/>
      <c r="E115" s="140"/>
      <c r="F115" s="140"/>
      <c r="G115" s="99"/>
      <c r="H115" s="140"/>
      <c r="I115" s="99"/>
      <c r="J115" s="140"/>
      <c r="K115" s="101"/>
      <c r="L115" s="140"/>
      <c r="M115" s="101"/>
      <c r="N115" s="140"/>
      <c r="O115" s="241"/>
      <c r="P115" s="143"/>
    </row>
    <row r="116">
      <c r="A116" s="140" t="s">
        <v>32</v>
      </c>
      <c r="B116" s="101">
        <v>7.0</v>
      </c>
      <c r="C116" s="101">
        <f t="shared" ref="C116:C121" si="37">3*B116</f>
        <v>21</v>
      </c>
      <c r="D116" s="140"/>
      <c r="E116" s="140"/>
      <c r="F116" s="140"/>
      <c r="G116" s="99"/>
      <c r="H116" s="140"/>
      <c r="I116" s="99"/>
      <c r="J116" s="140"/>
      <c r="K116" s="101"/>
      <c r="L116" s="140">
        <f t="shared" ref="L116:L122" si="38">3*K116</f>
        <v>0</v>
      </c>
      <c r="M116" s="101"/>
      <c r="N116" s="140"/>
      <c r="O116" s="241">
        <v>0.0</v>
      </c>
      <c r="P116" s="143">
        <f t="shared" ref="P116:P122" si="39">3*O116</f>
        <v>0</v>
      </c>
    </row>
    <row r="117">
      <c r="A117" s="258" t="s">
        <v>74</v>
      </c>
      <c r="B117" s="101">
        <v>7.0</v>
      </c>
      <c r="C117" s="101">
        <f t="shared" si="37"/>
        <v>21</v>
      </c>
      <c r="D117" s="140"/>
      <c r="E117" s="140"/>
      <c r="F117" s="140"/>
      <c r="G117" s="99"/>
      <c r="H117" s="140"/>
      <c r="I117" s="101"/>
      <c r="J117" s="140"/>
      <c r="K117" s="101"/>
      <c r="L117" s="140">
        <f t="shared" si="38"/>
        <v>0</v>
      </c>
      <c r="M117" s="101"/>
      <c r="N117" s="140"/>
      <c r="O117" s="241">
        <v>0.0</v>
      </c>
      <c r="P117" s="143">
        <f t="shared" si="39"/>
        <v>0</v>
      </c>
    </row>
    <row r="118">
      <c r="A118" s="258" t="s">
        <v>73</v>
      </c>
      <c r="B118" s="101">
        <v>7.0</v>
      </c>
      <c r="C118" s="101">
        <f t="shared" si="37"/>
        <v>21</v>
      </c>
      <c r="D118" s="140"/>
      <c r="E118" s="140"/>
      <c r="F118" s="140"/>
      <c r="G118" s="99"/>
      <c r="H118" s="140"/>
      <c r="I118" s="99"/>
      <c r="J118" s="140"/>
      <c r="K118" s="101"/>
      <c r="L118" s="140">
        <f t="shared" si="38"/>
        <v>0</v>
      </c>
      <c r="M118" s="101"/>
      <c r="N118" s="140"/>
      <c r="O118" s="241">
        <v>0.0</v>
      </c>
      <c r="P118" s="143">
        <f t="shared" si="39"/>
        <v>0</v>
      </c>
    </row>
    <row r="119">
      <c r="A119" s="258" t="s">
        <v>75</v>
      </c>
      <c r="B119" s="101">
        <v>7.0</v>
      </c>
      <c r="C119" s="101">
        <f t="shared" si="37"/>
        <v>21</v>
      </c>
      <c r="D119" s="140"/>
      <c r="E119" s="140"/>
      <c r="F119" s="140"/>
      <c r="G119" s="99"/>
      <c r="H119" s="140"/>
      <c r="I119" s="101"/>
      <c r="J119" s="140"/>
      <c r="K119" s="99"/>
      <c r="L119" s="140">
        <f t="shared" si="38"/>
        <v>0</v>
      </c>
      <c r="M119" s="99"/>
      <c r="N119" s="99"/>
      <c r="O119" s="241">
        <v>0.0</v>
      </c>
      <c r="P119" s="143">
        <f t="shared" si="39"/>
        <v>0</v>
      </c>
    </row>
    <row r="120">
      <c r="A120" s="258" t="s">
        <v>76</v>
      </c>
      <c r="B120" s="101">
        <v>7.0</v>
      </c>
      <c r="C120" s="101">
        <f t="shared" si="37"/>
        <v>21</v>
      </c>
      <c r="D120" s="140"/>
      <c r="E120" s="140"/>
      <c r="F120" s="140"/>
      <c r="G120" s="101"/>
      <c r="H120" s="140"/>
      <c r="I120" s="101"/>
      <c r="J120" s="140"/>
      <c r="K120" s="101"/>
      <c r="L120" s="140">
        <f t="shared" si="38"/>
        <v>0</v>
      </c>
      <c r="M120" s="101"/>
      <c r="N120" s="140"/>
      <c r="O120" s="241">
        <v>0.0</v>
      </c>
      <c r="P120" s="143">
        <f t="shared" si="39"/>
        <v>0</v>
      </c>
    </row>
    <row r="121">
      <c r="A121" s="258" t="s">
        <v>77</v>
      </c>
      <c r="B121" s="101">
        <v>7.0</v>
      </c>
      <c r="C121" s="101">
        <f t="shared" si="37"/>
        <v>21</v>
      </c>
      <c r="D121" s="140"/>
      <c r="E121" s="140"/>
      <c r="F121" s="140"/>
      <c r="G121" s="99"/>
      <c r="H121" s="99"/>
      <c r="I121" s="99"/>
      <c r="J121" s="99"/>
      <c r="K121" s="99"/>
      <c r="L121" s="140">
        <f t="shared" si="38"/>
        <v>0</v>
      </c>
      <c r="M121" s="101"/>
      <c r="N121" s="140"/>
      <c r="O121" s="241">
        <v>0.0</v>
      </c>
      <c r="P121" s="143">
        <f t="shared" si="39"/>
        <v>0</v>
      </c>
    </row>
    <row r="122">
      <c r="A122" s="127" t="s">
        <v>172</v>
      </c>
      <c r="B122" s="99"/>
      <c r="C122" s="99"/>
      <c r="D122" s="99"/>
      <c r="E122" s="99"/>
      <c r="F122" s="99"/>
      <c r="G122" s="99">
        <f t="shared" ref="G122:K122" si="40">SUM(G116:G121)</f>
        <v>0</v>
      </c>
      <c r="H122" s="99">
        <f t="shared" si="40"/>
        <v>0</v>
      </c>
      <c r="I122" s="99">
        <f t="shared" si="40"/>
        <v>0</v>
      </c>
      <c r="J122" s="99">
        <f t="shared" si="40"/>
        <v>0</v>
      </c>
      <c r="K122" s="99">
        <f t="shared" si="40"/>
        <v>0</v>
      </c>
      <c r="L122" s="140">
        <f t="shared" si="38"/>
        <v>0</v>
      </c>
      <c r="M122" s="99">
        <f t="shared" ref="M122:O122" si="41">SUM(M116:M121)</f>
        <v>0</v>
      </c>
      <c r="N122" s="99">
        <f t="shared" si="41"/>
        <v>0</v>
      </c>
      <c r="O122" s="148">
        <f t="shared" si="41"/>
        <v>0</v>
      </c>
      <c r="P122" s="143">
        <f t="shared" si="39"/>
        <v>0</v>
      </c>
    </row>
    <row r="123">
      <c r="A123" s="86"/>
      <c r="B123" s="129"/>
      <c r="C123" s="129"/>
      <c r="D123" s="134"/>
      <c r="E123" s="134"/>
      <c r="F123" s="134"/>
    </row>
    <row r="124">
      <c r="A124" s="127" t="s">
        <v>12544</v>
      </c>
      <c r="B124" s="128"/>
      <c r="C124" s="129"/>
      <c r="D124" s="88"/>
      <c r="E124" s="88"/>
      <c r="F124" s="88"/>
    </row>
    <row r="125">
      <c r="A125" s="144" t="str">
        <f>"Capacity รวม "&amp;SUM(C133:C138)&amp;" SP"</f>
        <v>Capacity รวม 129 SP</v>
      </c>
      <c r="B125" s="128">
        <f>SUM(C133:C138)</f>
        <v>129</v>
      </c>
      <c r="C125" s="131"/>
      <c r="D125" s="132"/>
      <c r="E125" s="132"/>
      <c r="N125" s="151"/>
    </row>
    <row r="126">
      <c r="A126" s="133" t="s">
        <v>155</v>
      </c>
      <c r="B126" s="134">
        <f>SUM(H139,J139,L139,N139)</f>
        <v>0</v>
      </c>
      <c r="C126" s="131"/>
      <c r="D126" s="132"/>
      <c r="E126" s="132"/>
      <c r="N126" s="151"/>
    </row>
    <row r="127">
      <c r="A127" s="133" t="s">
        <v>156</v>
      </c>
      <c r="B127" s="131">
        <f>B125-B126</f>
        <v>129</v>
      </c>
      <c r="C127" s="131"/>
      <c r="D127" s="132"/>
      <c r="E127" s="132"/>
      <c r="N127" s="151"/>
    </row>
    <row r="128">
      <c r="A128" s="257" t="s">
        <v>162</v>
      </c>
      <c r="B128" s="257" t="s">
        <v>163</v>
      </c>
      <c r="C128" s="138" t="s">
        <v>164</v>
      </c>
      <c r="D128" s="138" t="s">
        <v>165</v>
      </c>
      <c r="E128" s="138" t="s">
        <v>156</v>
      </c>
      <c r="F128" s="138" t="s">
        <v>166</v>
      </c>
      <c r="G128" s="137" t="s">
        <v>3611</v>
      </c>
      <c r="H128" s="137" t="s">
        <v>167</v>
      </c>
      <c r="I128" s="137" t="s">
        <v>3612</v>
      </c>
      <c r="J128" s="137" t="s">
        <v>168</v>
      </c>
      <c r="K128" s="137" t="s">
        <v>3613</v>
      </c>
      <c r="L128" s="137" t="s">
        <v>170</v>
      </c>
      <c r="M128" s="152" t="s">
        <v>3614</v>
      </c>
      <c r="N128" s="152" t="s">
        <v>174</v>
      </c>
      <c r="O128" s="139" t="s">
        <v>160</v>
      </c>
      <c r="P128" s="139" t="s">
        <v>171</v>
      </c>
    </row>
    <row r="129">
      <c r="A129" s="140" t="s">
        <v>30</v>
      </c>
      <c r="B129" s="101"/>
      <c r="C129" s="101"/>
      <c r="D129" s="140"/>
      <c r="E129" s="140"/>
      <c r="F129" s="140"/>
      <c r="G129" s="99"/>
      <c r="H129" s="140"/>
      <c r="I129" s="99"/>
      <c r="J129" s="140"/>
      <c r="K129" s="101"/>
      <c r="L129" s="140"/>
      <c r="M129" s="101"/>
      <c r="N129" s="140"/>
      <c r="O129" s="241"/>
      <c r="P129" s="143"/>
    </row>
    <row r="130">
      <c r="A130" s="140" t="s">
        <v>72</v>
      </c>
      <c r="B130" s="101"/>
      <c r="C130" s="101"/>
      <c r="D130" s="140"/>
      <c r="E130" s="140"/>
      <c r="F130" s="140"/>
      <c r="G130" s="99"/>
      <c r="H130" s="140"/>
      <c r="I130" s="99"/>
      <c r="J130" s="140"/>
      <c r="K130" s="101"/>
      <c r="L130" s="140"/>
      <c r="M130" s="101"/>
      <c r="N130" s="140"/>
      <c r="O130" s="241"/>
      <c r="P130" s="143"/>
    </row>
    <row r="131">
      <c r="A131" s="140" t="s">
        <v>24</v>
      </c>
      <c r="B131" s="101"/>
      <c r="C131" s="101"/>
      <c r="D131" s="140"/>
      <c r="E131" s="140"/>
      <c r="F131" s="140"/>
      <c r="G131" s="99"/>
      <c r="H131" s="140"/>
      <c r="I131" s="99"/>
      <c r="J131" s="140"/>
      <c r="K131" s="101"/>
      <c r="L131" s="140"/>
      <c r="M131" s="101"/>
      <c r="N131" s="140"/>
      <c r="O131" s="241"/>
      <c r="P131" s="143"/>
    </row>
    <row r="132">
      <c r="A132" s="140" t="s">
        <v>28</v>
      </c>
      <c r="B132" s="101"/>
      <c r="C132" s="101"/>
      <c r="D132" s="140"/>
      <c r="E132" s="140"/>
      <c r="F132" s="140"/>
      <c r="G132" s="99"/>
      <c r="H132" s="140"/>
      <c r="I132" s="99"/>
      <c r="J132" s="140"/>
      <c r="K132" s="101"/>
      <c r="L132" s="140"/>
      <c r="M132" s="101"/>
      <c r="N132" s="140"/>
      <c r="O132" s="241"/>
      <c r="P132" s="143"/>
    </row>
    <row r="133">
      <c r="A133" s="140" t="s">
        <v>32</v>
      </c>
      <c r="B133" s="101">
        <v>7.0</v>
      </c>
      <c r="C133" s="101">
        <f t="shared" ref="C133:C138" si="42">3*B133</f>
        <v>21</v>
      </c>
      <c r="D133" s="140"/>
      <c r="E133" s="140"/>
      <c r="F133" s="140"/>
      <c r="G133" s="99"/>
      <c r="H133" s="140"/>
      <c r="I133" s="99"/>
      <c r="J133" s="140"/>
      <c r="K133" s="101"/>
      <c r="L133" s="140">
        <f t="shared" ref="L133:L138" si="43">3*K133</f>
        <v>0</v>
      </c>
      <c r="M133" s="101"/>
      <c r="N133" s="140"/>
      <c r="O133" s="241">
        <v>0.0</v>
      </c>
      <c r="P133" s="143">
        <f t="shared" ref="P133:P139" si="44">3*O133</f>
        <v>0</v>
      </c>
    </row>
    <row r="134">
      <c r="A134" s="258" t="s">
        <v>74</v>
      </c>
      <c r="B134" s="101">
        <v>8.0</v>
      </c>
      <c r="C134" s="101">
        <f t="shared" si="42"/>
        <v>24</v>
      </c>
      <c r="D134" s="140"/>
      <c r="E134" s="140"/>
      <c r="F134" s="140"/>
      <c r="G134" s="99"/>
      <c r="H134" s="140"/>
      <c r="I134" s="101"/>
      <c r="J134" s="140"/>
      <c r="K134" s="101"/>
      <c r="L134" s="140">
        <f t="shared" si="43"/>
        <v>0</v>
      </c>
      <c r="M134" s="101"/>
      <c r="N134" s="140"/>
      <c r="O134" s="241">
        <v>0.0</v>
      </c>
      <c r="P134" s="143">
        <f t="shared" si="44"/>
        <v>0</v>
      </c>
    </row>
    <row r="135">
      <c r="A135" s="258" t="s">
        <v>73</v>
      </c>
      <c r="B135" s="101">
        <v>4.0</v>
      </c>
      <c r="C135" s="101">
        <f t="shared" si="42"/>
        <v>12</v>
      </c>
      <c r="D135" s="140"/>
      <c r="E135" s="140"/>
      <c r="F135" s="140"/>
      <c r="G135" s="99"/>
      <c r="H135" s="140"/>
      <c r="I135" s="99"/>
      <c r="J135" s="140"/>
      <c r="K135" s="101"/>
      <c r="L135" s="140">
        <f t="shared" si="43"/>
        <v>0</v>
      </c>
      <c r="M135" s="101"/>
      <c r="N135" s="140"/>
      <c r="O135" s="241">
        <v>0.0</v>
      </c>
      <c r="P135" s="143">
        <f t="shared" si="44"/>
        <v>0</v>
      </c>
    </row>
    <row r="136">
      <c r="A136" s="258" t="s">
        <v>75</v>
      </c>
      <c r="B136" s="101">
        <v>8.0</v>
      </c>
      <c r="C136" s="101">
        <f t="shared" si="42"/>
        <v>24</v>
      </c>
      <c r="D136" s="140"/>
      <c r="E136" s="140"/>
      <c r="F136" s="140"/>
      <c r="G136" s="99"/>
      <c r="H136" s="140"/>
      <c r="I136" s="101"/>
      <c r="J136" s="140"/>
      <c r="K136" s="99"/>
      <c r="L136" s="140">
        <f t="shared" si="43"/>
        <v>0</v>
      </c>
      <c r="M136" s="99"/>
      <c r="N136" s="99"/>
      <c r="O136" s="241">
        <v>0.0</v>
      </c>
      <c r="P136" s="143">
        <f t="shared" si="44"/>
        <v>0</v>
      </c>
    </row>
    <row r="137">
      <c r="A137" s="258" t="s">
        <v>76</v>
      </c>
      <c r="B137" s="101">
        <v>8.0</v>
      </c>
      <c r="C137" s="101">
        <f t="shared" si="42"/>
        <v>24</v>
      </c>
      <c r="D137" s="140"/>
      <c r="E137" s="140"/>
      <c r="F137" s="140"/>
      <c r="G137" s="101"/>
      <c r="H137" s="140"/>
      <c r="I137" s="101"/>
      <c r="J137" s="140"/>
      <c r="K137" s="101"/>
      <c r="L137" s="140">
        <f t="shared" si="43"/>
        <v>0</v>
      </c>
      <c r="M137" s="101"/>
      <c r="N137" s="140"/>
      <c r="O137" s="241">
        <v>0.0</v>
      </c>
      <c r="P137" s="143">
        <f t="shared" si="44"/>
        <v>0</v>
      </c>
    </row>
    <row r="138">
      <c r="A138" s="258" t="s">
        <v>77</v>
      </c>
      <c r="B138" s="101">
        <v>8.0</v>
      </c>
      <c r="C138" s="101">
        <f t="shared" si="42"/>
        <v>24</v>
      </c>
      <c r="D138" s="140"/>
      <c r="E138" s="267"/>
      <c r="F138" s="258"/>
      <c r="G138" s="99"/>
      <c r="H138" s="99"/>
      <c r="I138" s="99"/>
      <c r="J138" s="99"/>
      <c r="K138" s="99"/>
      <c r="L138" s="140">
        <f t="shared" si="43"/>
        <v>0</v>
      </c>
      <c r="M138" s="101"/>
      <c r="N138" s="140"/>
      <c r="O138" s="241">
        <v>0.0</v>
      </c>
      <c r="P138" s="143">
        <f t="shared" si="44"/>
        <v>0</v>
      </c>
    </row>
    <row r="139">
      <c r="A139" s="127" t="s">
        <v>172</v>
      </c>
      <c r="B139" s="99"/>
      <c r="C139" s="99"/>
      <c r="D139" s="99"/>
      <c r="E139" s="99"/>
      <c r="F139" s="99"/>
      <c r="G139" s="99">
        <f t="shared" ref="G139:O139" si="45">SUM(G133:G138)</f>
        <v>0</v>
      </c>
      <c r="H139" s="99">
        <f t="shared" si="45"/>
        <v>0</v>
      </c>
      <c r="I139" s="99">
        <f t="shared" si="45"/>
        <v>0</v>
      </c>
      <c r="J139" s="99">
        <f t="shared" si="45"/>
        <v>0</v>
      </c>
      <c r="K139" s="99">
        <f t="shared" si="45"/>
        <v>0</v>
      </c>
      <c r="L139" s="99">
        <f t="shared" si="45"/>
        <v>0</v>
      </c>
      <c r="M139" s="99">
        <f t="shared" si="45"/>
        <v>0</v>
      </c>
      <c r="N139" s="99">
        <f t="shared" si="45"/>
        <v>0</v>
      </c>
      <c r="O139" s="148">
        <f t="shared" si="45"/>
        <v>0</v>
      </c>
      <c r="P139" s="143">
        <f t="shared" si="44"/>
        <v>0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6.0"/>
    <col customWidth="1" min="3" max="5" width="8.38"/>
    <col customWidth="1" min="6" max="6" width="7.5"/>
    <col customWidth="1" min="7" max="10" width="8.38"/>
    <col customWidth="1" min="11" max="16" width="8.75"/>
    <col customWidth="1" hidden="1" min="17" max="17" width="8.75"/>
    <col customWidth="1" min="18" max="18" width="8.75"/>
    <col customWidth="1" min="19" max="20" width="12.0"/>
    <col customWidth="1" min="21" max="21" width="49.75"/>
    <col customWidth="1" min="22" max="22" width="15.38"/>
    <col customWidth="1" min="23" max="23" width="23.75"/>
    <col customWidth="1" min="24" max="24" width="28.0"/>
  </cols>
  <sheetData>
    <row r="1">
      <c r="A1" s="86"/>
      <c r="B1" s="86" t="s">
        <v>69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8"/>
      <c r="V1" s="88"/>
      <c r="W1" s="88"/>
      <c r="X1" s="88"/>
      <c r="Y1" s="115" t="s">
        <v>12545</v>
      </c>
      <c r="Z1" s="115" t="s">
        <v>12546</v>
      </c>
      <c r="AA1" s="88"/>
      <c r="AB1" s="115" t="s">
        <v>12547</v>
      </c>
      <c r="AC1" s="88"/>
      <c r="AD1" s="88"/>
      <c r="AE1" s="88"/>
      <c r="AF1" s="88"/>
      <c r="AG1" s="88"/>
      <c r="AH1" s="88"/>
      <c r="AI1" s="88"/>
      <c r="AJ1" s="88"/>
    </row>
    <row r="2">
      <c r="A2" s="89" t="s">
        <v>70</v>
      </c>
      <c r="B2" s="89" t="s">
        <v>71</v>
      </c>
      <c r="C2" s="268" t="s">
        <v>24</v>
      </c>
      <c r="D2" s="268" t="s">
        <v>72</v>
      </c>
      <c r="E2" s="268" t="s">
        <v>30</v>
      </c>
      <c r="F2" s="268" t="s">
        <v>32</v>
      </c>
      <c r="G2" s="268" t="s">
        <v>73</v>
      </c>
      <c r="H2" s="268" t="s">
        <v>10802</v>
      </c>
      <c r="I2" s="268" t="s">
        <v>28</v>
      </c>
      <c r="J2" s="268" t="s">
        <v>10789</v>
      </c>
      <c r="K2" s="268" t="s">
        <v>75</v>
      </c>
      <c r="L2" s="268" t="s">
        <v>10788</v>
      </c>
      <c r="M2" s="268" t="s">
        <v>74</v>
      </c>
      <c r="N2" s="268" t="s">
        <v>3616</v>
      </c>
      <c r="O2" s="268" t="s">
        <v>3617</v>
      </c>
      <c r="P2" s="268" t="s">
        <v>76</v>
      </c>
      <c r="Q2" s="268" t="s">
        <v>12548</v>
      </c>
      <c r="R2" s="95" t="s">
        <v>12549</v>
      </c>
      <c r="S2" s="95" t="s">
        <v>12550</v>
      </c>
      <c r="T2" s="95" t="s">
        <v>12551</v>
      </c>
      <c r="U2" s="89" t="s">
        <v>81</v>
      </c>
      <c r="AB2" s="244">
        <f>SUM(AB3:AB71)</f>
        <v>221</v>
      </c>
    </row>
    <row r="3">
      <c r="A3" s="101">
        <v>1.0</v>
      </c>
      <c r="B3" s="269">
        <v>45824.0</v>
      </c>
      <c r="C3" s="98">
        <f t="shared" ref="C3:M3" si="1">C32+C49</f>
        <v>6.5</v>
      </c>
      <c r="D3" s="98">
        <f t="shared" si="1"/>
        <v>6.5</v>
      </c>
      <c r="E3" s="98">
        <f t="shared" si="1"/>
        <v>6.5</v>
      </c>
      <c r="F3" s="98">
        <f t="shared" si="1"/>
        <v>6.5</v>
      </c>
      <c r="G3" s="98">
        <f t="shared" si="1"/>
        <v>6.5</v>
      </c>
      <c r="H3" s="98">
        <f t="shared" si="1"/>
        <v>6.5</v>
      </c>
      <c r="I3" s="98">
        <f t="shared" si="1"/>
        <v>4</v>
      </c>
      <c r="J3" s="98">
        <f t="shared" si="1"/>
        <v>4</v>
      </c>
      <c r="K3" s="98">
        <f t="shared" si="1"/>
        <v>4</v>
      </c>
      <c r="L3" s="98">
        <f t="shared" si="1"/>
        <v>6.5</v>
      </c>
      <c r="M3" s="98">
        <f t="shared" si="1"/>
        <v>6.5</v>
      </c>
      <c r="N3" s="98"/>
      <c r="O3" s="98"/>
      <c r="P3" s="98"/>
      <c r="Q3" s="98">
        <f>Q32+Q49</f>
        <v>6.5</v>
      </c>
      <c r="R3" s="98"/>
      <c r="S3" s="98"/>
      <c r="T3" s="98"/>
      <c r="U3" s="99"/>
      <c r="Z3" s="102" t="s">
        <v>12552</v>
      </c>
      <c r="AA3" s="102">
        <v>1.0</v>
      </c>
      <c r="AB3" s="102">
        <v>2.0</v>
      </c>
    </row>
    <row r="4">
      <c r="A4" s="97"/>
      <c r="B4" s="97" t="s">
        <v>84</v>
      </c>
      <c r="C4" s="97">
        <v>8.0</v>
      </c>
      <c r="D4" s="97">
        <v>8.0</v>
      </c>
      <c r="E4" s="97">
        <v>8.0</v>
      </c>
      <c r="F4" s="97">
        <v>8.0</v>
      </c>
      <c r="G4" s="97">
        <v>8.0</v>
      </c>
      <c r="H4" s="97">
        <v>8.0</v>
      </c>
      <c r="I4" s="97">
        <v>8.0</v>
      </c>
      <c r="J4" s="97">
        <v>8.0</v>
      </c>
      <c r="K4" s="97">
        <v>8.0</v>
      </c>
      <c r="L4" s="97">
        <v>7.5</v>
      </c>
      <c r="M4" s="97">
        <v>8.0</v>
      </c>
      <c r="N4" s="97"/>
      <c r="O4" s="97"/>
      <c r="P4" s="97"/>
      <c r="Q4" s="97">
        <v>7.0</v>
      </c>
      <c r="R4" s="98"/>
      <c r="S4" s="98"/>
      <c r="T4" s="98"/>
      <c r="U4" s="101" t="s">
        <v>12553</v>
      </c>
      <c r="Z4" s="102" t="s">
        <v>12552</v>
      </c>
      <c r="AA4" s="102">
        <v>1.0</v>
      </c>
      <c r="AB4" s="102">
        <v>2.0</v>
      </c>
    </row>
    <row r="5">
      <c r="A5" s="97"/>
      <c r="B5" s="97" t="s">
        <v>87</v>
      </c>
      <c r="C5" s="97">
        <f t="shared" ref="C5:M5" si="2">C33+C50</f>
        <v>52</v>
      </c>
      <c r="D5" s="97">
        <f t="shared" si="2"/>
        <v>52</v>
      </c>
      <c r="E5" s="97">
        <f t="shared" si="2"/>
        <v>52</v>
      </c>
      <c r="F5" s="97">
        <f t="shared" si="2"/>
        <v>52</v>
      </c>
      <c r="G5" s="97">
        <f t="shared" si="2"/>
        <v>52</v>
      </c>
      <c r="H5" s="97">
        <f t="shared" si="2"/>
        <v>52</v>
      </c>
      <c r="I5" s="97">
        <f t="shared" si="2"/>
        <v>32</v>
      </c>
      <c r="J5" s="97">
        <f t="shared" si="2"/>
        <v>32</v>
      </c>
      <c r="K5" s="97">
        <f t="shared" si="2"/>
        <v>32</v>
      </c>
      <c r="L5" s="97">
        <f t="shared" si="2"/>
        <v>48.75</v>
      </c>
      <c r="M5" s="97">
        <f t="shared" si="2"/>
        <v>52</v>
      </c>
      <c r="N5" s="97"/>
      <c r="O5" s="97"/>
      <c r="P5" s="97"/>
      <c r="Q5" s="97">
        <f>Q33+Q50</f>
        <v>45.5</v>
      </c>
      <c r="R5" s="98"/>
      <c r="S5" s="98"/>
      <c r="T5" s="270">
        <f>T33+T50</f>
        <v>554.25</v>
      </c>
      <c r="U5" s="101"/>
      <c r="Z5" s="102" t="s">
        <v>11983</v>
      </c>
      <c r="AA5" s="102">
        <v>3.0</v>
      </c>
      <c r="AB5" s="102">
        <v>8.0</v>
      </c>
    </row>
    <row r="6">
      <c r="A6" s="271"/>
      <c r="B6" s="271"/>
      <c r="C6" s="98"/>
      <c r="D6" s="98"/>
      <c r="E6" s="98"/>
      <c r="F6" s="98"/>
      <c r="G6" s="98"/>
      <c r="H6" s="97"/>
      <c r="I6" s="98"/>
      <c r="J6" s="98"/>
      <c r="K6" s="98"/>
      <c r="L6" s="97"/>
      <c r="M6" s="97"/>
      <c r="N6" s="97"/>
      <c r="O6" s="97"/>
      <c r="P6" s="97"/>
      <c r="Q6" s="97"/>
      <c r="R6" s="98"/>
      <c r="S6" s="98"/>
      <c r="T6" s="98"/>
      <c r="U6" s="99"/>
      <c r="Z6" s="102" t="s">
        <v>11974</v>
      </c>
      <c r="AA6" s="102">
        <v>5.0</v>
      </c>
      <c r="AB6" s="102">
        <v>24.0</v>
      </c>
      <c r="AC6" s="102">
        <v>24.0</v>
      </c>
    </row>
    <row r="7">
      <c r="A7" s="101">
        <v>2.0</v>
      </c>
      <c r="B7" s="271">
        <v>45838.0</v>
      </c>
      <c r="C7" s="98">
        <f t="shared" ref="C7:G7" si="3">C34+C51</f>
        <v>6.5</v>
      </c>
      <c r="D7" s="98">
        <f t="shared" si="3"/>
        <v>6.5</v>
      </c>
      <c r="E7" s="98">
        <f t="shared" si="3"/>
        <v>6.5</v>
      </c>
      <c r="F7" s="98">
        <f t="shared" si="3"/>
        <v>6.5</v>
      </c>
      <c r="G7" s="98">
        <f t="shared" si="3"/>
        <v>6.5</v>
      </c>
      <c r="H7" s="97">
        <v>0.0</v>
      </c>
      <c r="I7" s="98">
        <f t="shared" ref="I7:M7" si="4">I34+I51</f>
        <v>6.5</v>
      </c>
      <c r="J7" s="98">
        <f t="shared" si="4"/>
        <v>6.5</v>
      </c>
      <c r="K7" s="98">
        <f t="shared" si="4"/>
        <v>6.5</v>
      </c>
      <c r="L7" s="98">
        <f t="shared" si="4"/>
        <v>6.5</v>
      </c>
      <c r="M7" s="98">
        <f t="shared" si="4"/>
        <v>6.5</v>
      </c>
      <c r="N7" s="98"/>
      <c r="O7" s="98"/>
      <c r="P7" s="98"/>
      <c r="Q7" s="97">
        <v>0.0</v>
      </c>
      <c r="R7" s="98"/>
      <c r="S7" s="98"/>
      <c r="T7" s="98"/>
      <c r="U7" s="99"/>
      <c r="Z7" s="102" t="s">
        <v>11965</v>
      </c>
      <c r="AA7" s="102">
        <v>5.0</v>
      </c>
      <c r="AB7" s="102">
        <v>24.0</v>
      </c>
      <c r="AC7" s="102">
        <v>24.0</v>
      </c>
      <c r="AD7" s="102" t="s">
        <v>12554</v>
      </c>
    </row>
    <row r="8">
      <c r="A8" s="97"/>
      <c r="B8" s="97" t="s">
        <v>84</v>
      </c>
      <c r="C8" s="97">
        <v>7.0</v>
      </c>
      <c r="D8" s="97">
        <v>7.0</v>
      </c>
      <c r="E8" s="97">
        <v>7.0</v>
      </c>
      <c r="F8" s="97">
        <v>6.0</v>
      </c>
      <c r="G8" s="97">
        <v>6.0</v>
      </c>
      <c r="H8" s="97">
        <v>0.0</v>
      </c>
      <c r="I8" s="97">
        <v>7.0</v>
      </c>
      <c r="J8" s="97">
        <v>7.0</v>
      </c>
      <c r="K8" s="97">
        <v>7.0</v>
      </c>
      <c r="L8" s="97">
        <v>7.0</v>
      </c>
      <c r="M8" s="97">
        <v>6.0</v>
      </c>
      <c r="N8" s="97"/>
      <c r="O8" s="97"/>
      <c r="P8" s="97"/>
      <c r="Q8" s="97">
        <v>0.0</v>
      </c>
      <c r="R8" s="98"/>
      <c r="S8" s="98"/>
      <c r="T8" s="98"/>
      <c r="U8" s="101" t="s">
        <v>12555</v>
      </c>
      <c r="Z8" s="102" t="s">
        <v>11332</v>
      </c>
      <c r="AA8" s="102">
        <v>5.0</v>
      </c>
      <c r="AB8" s="102">
        <v>24.0</v>
      </c>
      <c r="AC8" s="102">
        <v>24.0</v>
      </c>
    </row>
    <row r="9">
      <c r="A9" s="97"/>
      <c r="B9" s="97" t="s">
        <v>87</v>
      </c>
      <c r="C9" s="97">
        <f t="shared" ref="C9:G9" si="5">C35+C52</f>
        <v>45.5</v>
      </c>
      <c r="D9" s="97">
        <f t="shared" si="5"/>
        <v>45.5</v>
      </c>
      <c r="E9" s="97">
        <f t="shared" si="5"/>
        <v>45.5</v>
      </c>
      <c r="F9" s="97">
        <f t="shared" si="5"/>
        <v>39</v>
      </c>
      <c r="G9" s="97">
        <f t="shared" si="5"/>
        <v>39</v>
      </c>
      <c r="H9" s="97">
        <v>0.0</v>
      </c>
      <c r="I9" s="97">
        <f t="shared" ref="I9:M9" si="6">I35+I52</f>
        <v>45.5</v>
      </c>
      <c r="J9" s="97">
        <f t="shared" si="6"/>
        <v>45.5</v>
      </c>
      <c r="K9" s="97">
        <f t="shared" si="6"/>
        <v>45.5</v>
      </c>
      <c r="L9" s="97">
        <f t="shared" si="6"/>
        <v>45.5</v>
      </c>
      <c r="M9" s="97">
        <f t="shared" si="6"/>
        <v>39</v>
      </c>
      <c r="N9" s="97"/>
      <c r="O9" s="97"/>
      <c r="P9" s="97"/>
      <c r="Q9" s="97">
        <v>0.0</v>
      </c>
      <c r="R9" s="98"/>
      <c r="S9" s="98"/>
      <c r="T9" s="270">
        <f>T35+T52</f>
        <v>435.5</v>
      </c>
      <c r="U9" s="101"/>
      <c r="Z9" s="102" t="s">
        <v>11328</v>
      </c>
      <c r="AA9" s="102">
        <v>5.0</v>
      </c>
      <c r="AB9" s="102">
        <v>16.0</v>
      </c>
      <c r="AC9" s="102">
        <v>16.0</v>
      </c>
    </row>
    <row r="10">
      <c r="A10" s="101">
        <v>3.0</v>
      </c>
      <c r="B10" s="272">
        <v>45852.0</v>
      </c>
      <c r="C10" s="98">
        <f t="shared" ref="C10:G10" si="7">C36+C53</f>
        <v>6.5</v>
      </c>
      <c r="D10" s="98">
        <f t="shared" si="7"/>
        <v>6.5</v>
      </c>
      <c r="E10" s="98">
        <f t="shared" si="7"/>
        <v>6.5</v>
      </c>
      <c r="F10" s="98">
        <f t="shared" si="7"/>
        <v>6.5</v>
      </c>
      <c r="G10" s="98">
        <f t="shared" si="7"/>
        <v>6.5</v>
      </c>
      <c r="H10" s="97">
        <v>0.0</v>
      </c>
      <c r="I10" s="98">
        <f t="shared" ref="I10:M10" si="8">I36+I53</f>
        <v>6.5</v>
      </c>
      <c r="J10" s="98">
        <f t="shared" si="8"/>
        <v>6.5</v>
      </c>
      <c r="K10" s="98">
        <f t="shared" si="8"/>
        <v>6.5</v>
      </c>
      <c r="L10" s="98">
        <f t="shared" si="8"/>
        <v>6.5</v>
      </c>
      <c r="M10" s="98">
        <f t="shared" si="8"/>
        <v>6.5</v>
      </c>
      <c r="N10" s="98"/>
      <c r="O10" s="98"/>
      <c r="P10" s="98"/>
      <c r="Q10" s="97">
        <v>0.0</v>
      </c>
      <c r="R10" s="98"/>
      <c r="S10" s="98"/>
      <c r="T10" s="98"/>
      <c r="U10" s="99"/>
      <c r="Z10" s="102" t="s">
        <v>11323</v>
      </c>
      <c r="AA10" s="102">
        <v>3.0</v>
      </c>
      <c r="AB10" s="102">
        <v>8.0</v>
      </c>
      <c r="AC10" s="102">
        <v>8.0</v>
      </c>
    </row>
    <row r="11">
      <c r="A11" s="97"/>
      <c r="B11" s="97" t="s">
        <v>84</v>
      </c>
      <c r="C11" s="97">
        <v>8.0</v>
      </c>
      <c r="D11" s="97">
        <v>6.5</v>
      </c>
      <c r="E11" s="97">
        <v>7.5</v>
      </c>
      <c r="F11" s="97">
        <v>7.0</v>
      </c>
      <c r="G11" s="97">
        <v>8.0</v>
      </c>
      <c r="H11" s="97">
        <v>0.0</v>
      </c>
      <c r="I11" s="97">
        <v>8.0</v>
      </c>
      <c r="J11" s="97">
        <v>4.0</v>
      </c>
      <c r="K11" s="97">
        <v>7.0</v>
      </c>
      <c r="L11" s="97">
        <v>4.0</v>
      </c>
      <c r="M11" s="97">
        <v>8.0</v>
      </c>
      <c r="N11" s="97"/>
      <c r="O11" s="97"/>
      <c r="P11" s="97"/>
      <c r="Q11" s="97">
        <v>0.0</v>
      </c>
      <c r="R11" s="98"/>
      <c r="S11" s="98"/>
      <c r="T11" s="98"/>
      <c r="U11" s="101" t="s">
        <v>12556</v>
      </c>
      <c r="Z11" s="102"/>
      <c r="AA11" s="102"/>
      <c r="AB11" s="102"/>
      <c r="AC11" s="102"/>
    </row>
    <row r="12">
      <c r="A12" s="97"/>
      <c r="B12" s="97" t="s">
        <v>87</v>
      </c>
      <c r="C12" s="97">
        <f t="shared" ref="C12:G12" si="9">C37+C54</f>
        <v>52</v>
      </c>
      <c r="D12" s="97">
        <f t="shared" si="9"/>
        <v>42.25</v>
      </c>
      <c r="E12" s="97">
        <f t="shared" si="9"/>
        <v>48.75</v>
      </c>
      <c r="F12" s="97">
        <f t="shared" si="9"/>
        <v>45.5</v>
      </c>
      <c r="G12" s="97">
        <f t="shared" si="9"/>
        <v>52</v>
      </c>
      <c r="H12" s="97">
        <v>0.0</v>
      </c>
      <c r="I12" s="97">
        <f t="shared" ref="I12:M12" si="10">I37+I54</f>
        <v>52</v>
      </c>
      <c r="J12" s="97">
        <f t="shared" si="10"/>
        <v>26</v>
      </c>
      <c r="K12" s="97">
        <f t="shared" si="10"/>
        <v>45.5</v>
      </c>
      <c r="L12" s="97">
        <f t="shared" si="10"/>
        <v>26</v>
      </c>
      <c r="M12" s="97">
        <f t="shared" si="10"/>
        <v>52</v>
      </c>
      <c r="N12" s="97"/>
      <c r="O12" s="97"/>
      <c r="P12" s="97"/>
      <c r="Q12" s="97">
        <v>0.0</v>
      </c>
      <c r="R12" s="98"/>
      <c r="S12" s="98"/>
      <c r="T12" s="270">
        <f>T37+T54</f>
        <v>442</v>
      </c>
      <c r="U12" s="99"/>
      <c r="Z12" s="102"/>
      <c r="AA12" s="102"/>
      <c r="AB12" s="102"/>
      <c r="AC12" s="102"/>
    </row>
    <row r="13">
      <c r="A13" s="97">
        <v>4.0</v>
      </c>
      <c r="B13" s="97" t="s">
        <v>12557</v>
      </c>
      <c r="C13" s="98">
        <f t="shared" ref="C13:G13" si="11">C38+C55</f>
        <v>6.5</v>
      </c>
      <c r="D13" s="98">
        <f t="shared" si="11"/>
        <v>6.5</v>
      </c>
      <c r="E13" s="98">
        <f t="shared" si="11"/>
        <v>6.5</v>
      </c>
      <c r="F13" s="98">
        <f t="shared" si="11"/>
        <v>6.5</v>
      </c>
      <c r="G13" s="98">
        <f t="shared" si="11"/>
        <v>6.5</v>
      </c>
      <c r="H13" s="97">
        <v>0.0</v>
      </c>
      <c r="I13" s="98">
        <f t="shared" ref="I13:M13" si="12">I38+I55</f>
        <v>6.5</v>
      </c>
      <c r="J13" s="98">
        <f t="shared" si="12"/>
        <v>0</v>
      </c>
      <c r="K13" s="98">
        <f t="shared" si="12"/>
        <v>6.5</v>
      </c>
      <c r="L13" s="98">
        <f t="shared" si="12"/>
        <v>0</v>
      </c>
      <c r="M13" s="98">
        <f t="shared" si="12"/>
        <v>6.5</v>
      </c>
      <c r="N13" s="98"/>
      <c r="O13" s="98"/>
      <c r="P13" s="98"/>
      <c r="Q13" s="97">
        <v>0.0</v>
      </c>
      <c r="R13" s="98"/>
      <c r="S13" s="98"/>
      <c r="T13" s="270"/>
      <c r="U13" s="99"/>
      <c r="Z13" s="102"/>
      <c r="AA13" s="102"/>
      <c r="AB13" s="102"/>
      <c r="AC13" s="102"/>
    </row>
    <row r="14">
      <c r="A14" s="97"/>
      <c r="B14" s="97" t="s">
        <v>84</v>
      </c>
      <c r="C14" s="97">
        <v>5.0</v>
      </c>
      <c r="D14" s="97">
        <v>6.5</v>
      </c>
      <c r="E14" s="97">
        <v>6.0</v>
      </c>
      <c r="F14" s="97">
        <v>7.0</v>
      </c>
      <c r="G14" s="97">
        <v>6.5</v>
      </c>
      <c r="H14" s="97">
        <v>0.0</v>
      </c>
      <c r="I14" s="97">
        <v>5.0</v>
      </c>
      <c r="J14" s="97">
        <v>0.0</v>
      </c>
      <c r="K14" s="97">
        <v>7.0</v>
      </c>
      <c r="L14" s="97">
        <v>0.0</v>
      </c>
      <c r="M14" s="97">
        <v>7.0</v>
      </c>
      <c r="N14" s="97"/>
      <c r="O14" s="97"/>
      <c r="P14" s="97"/>
      <c r="Q14" s="97">
        <v>0.0</v>
      </c>
      <c r="R14" s="98"/>
      <c r="S14" s="98"/>
      <c r="T14" s="270"/>
      <c r="U14" s="99"/>
      <c r="Z14" s="102"/>
      <c r="AA14" s="102"/>
      <c r="AB14" s="102"/>
      <c r="AC14" s="102"/>
    </row>
    <row r="15">
      <c r="A15" s="97"/>
      <c r="B15" s="97" t="s">
        <v>87</v>
      </c>
      <c r="C15" s="97">
        <f t="shared" ref="C15:G15" si="13">C39+C56</f>
        <v>32.5</v>
      </c>
      <c r="D15" s="97">
        <f t="shared" si="13"/>
        <v>42.25</v>
      </c>
      <c r="E15" s="97">
        <f t="shared" si="13"/>
        <v>39</v>
      </c>
      <c r="F15" s="97">
        <f t="shared" si="13"/>
        <v>45.5</v>
      </c>
      <c r="G15" s="97">
        <f t="shared" si="13"/>
        <v>42.25</v>
      </c>
      <c r="H15" s="97">
        <v>0.0</v>
      </c>
      <c r="I15" s="97">
        <f t="shared" ref="I15:K15" si="14">I39+I56</f>
        <v>32.5</v>
      </c>
      <c r="J15" s="97">
        <f t="shared" si="14"/>
        <v>0</v>
      </c>
      <c r="K15" s="97">
        <f t="shared" si="14"/>
        <v>45.5</v>
      </c>
      <c r="L15" s="97">
        <v>0.0</v>
      </c>
      <c r="M15" s="97">
        <f t="shared" ref="M15:M16" si="16">M39+M56</f>
        <v>45.5</v>
      </c>
      <c r="N15" s="97"/>
      <c r="O15" s="97"/>
      <c r="P15" s="97"/>
      <c r="Q15" s="97">
        <v>0.0</v>
      </c>
      <c r="R15" s="98"/>
      <c r="S15" s="98"/>
      <c r="T15" s="270">
        <f>T39+T56</f>
        <v>325</v>
      </c>
      <c r="U15" s="101" t="s">
        <v>12558</v>
      </c>
      <c r="Z15" s="102"/>
      <c r="AA15" s="102"/>
      <c r="AB15" s="102"/>
      <c r="AC15" s="102"/>
    </row>
    <row r="16">
      <c r="A16" s="97">
        <v>5.0</v>
      </c>
      <c r="B16" s="97" t="s">
        <v>10425</v>
      </c>
      <c r="C16" s="98">
        <f t="shared" ref="C16:I16" si="15">C40+C57</f>
        <v>6.5</v>
      </c>
      <c r="D16" s="98">
        <f t="shared" si="15"/>
        <v>6.5</v>
      </c>
      <c r="E16" s="98">
        <f t="shared" si="15"/>
        <v>6.5</v>
      </c>
      <c r="F16" s="98">
        <f t="shared" si="15"/>
        <v>6.5</v>
      </c>
      <c r="G16" s="98">
        <f t="shared" si="15"/>
        <v>6.5</v>
      </c>
      <c r="H16" s="98">
        <f t="shared" si="15"/>
        <v>0</v>
      </c>
      <c r="I16" s="98">
        <f t="shared" si="15"/>
        <v>6.5</v>
      </c>
      <c r="J16" s="97">
        <v>0.0</v>
      </c>
      <c r="K16" s="98">
        <f>K40+K57</f>
        <v>6.5</v>
      </c>
      <c r="L16" s="97">
        <v>0.0</v>
      </c>
      <c r="M16" s="98">
        <f t="shared" si="16"/>
        <v>6.5</v>
      </c>
      <c r="N16" s="98">
        <f>N40+N57</f>
        <v>3</v>
      </c>
      <c r="O16" s="98"/>
      <c r="P16" s="98"/>
      <c r="Q16" s="97">
        <v>0.0</v>
      </c>
      <c r="R16" s="98"/>
      <c r="S16" s="98"/>
      <c r="T16" s="270"/>
      <c r="U16" s="99"/>
      <c r="Z16" s="102"/>
      <c r="AA16" s="102"/>
      <c r="AB16" s="102"/>
      <c r="AC16" s="102"/>
    </row>
    <row r="17">
      <c r="A17" s="97"/>
      <c r="B17" s="97" t="s">
        <v>84</v>
      </c>
      <c r="C17" s="97">
        <v>6.5</v>
      </c>
      <c r="D17" s="97">
        <v>6.0</v>
      </c>
      <c r="E17" s="97">
        <v>7.0</v>
      </c>
      <c r="F17" s="97">
        <v>6.5</v>
      </c>
      <c r="G17" s="97">
        <v>7.0</v>
      </c>
      <c r="H17" s="97">
        <v>0.0</v>
      </c>
      <c r="I17" s="97">
        <v>6.0</v>
      </c>
      <c r="J17" s="97">
        <v>0.0</v>
      </c>
      <c r="K17" s="97">
        <v>6.0</v>
      </c>
      <c r="L17" s="97">
        <v>0.0</v>
      </c>
      <c r="M17" s="97">
        <v>7.0</v>
      </c>
      <c r="N17" s="97">
        <v>7.0</v>
      </c>
      <c r="O17" s="97"/>
      <c r="P17" s="97"/>
      <c r="Q17" s="97">
        <v>0.0</v>
      </c>
      <c r="R17" s="98"/>
      <c r="S17" s="98"/>
      <c r="T17" s="270"/>
      <c r="U17" s="99"/>
      <c r="Z17" s="102"/>
      <c r="AA17" s="102"/>
      <c r="AB17" s="102"/>
      <c r="AC17" s="102"/>
    </row>
    <row r="18">
      <c r="A18" s="97"/>
      <c r="B18" s="97" t="s">
        <v>87</v>
      </c>
      <c r="C18" s="97">
        <f t="shared" ref="C18:I18" si="17">C41+C58</f>
        <v>42.25</v>
      </c>
      <c r="D18" s="97">
        <f t="shared" si="17"/>
        <v>39</v>
      </c>
      <c r="E18" s="97">
        <f t="shared" si="17"/>
        <v>45.5</v>
      </c>
      <c r="F18" s="97">
        <f t="shared" si="17"/>
        <v>42.25</v>
      </c>
      <c r="G18" s="97">
        <f t="shared" si="17"/>
        <v>45.5</v>
      </c>
      <c r="H18" s="97">
        <f t="shared" si="17"/>
        <v>0</v>
      </c>
      <c r="I18" s="97">
        <f t="shared" si="17"/>
        <v>39</v>
      </c>
      <c r="J18" s="97">
        <v>0.0</v>
      </c>
      <c r="K18" s="97">
        <f>K41+K58</f>
        <v>39</v>
      </c>
      <c r="L18" s="97">
        <v>0.0</v>
      </c>
      <c r="M18" s="97">
        <f t="shared" ref="M18:N18" si="18">M41+M58</f>
        <v>45.5</v>
      </c>
      <c r="N18" s="97">
        <f t="shared" si="18"/>
        <v>21</v>
      </c>
      <c r="O18" s="97"/>
      <c r="P18" s="97"/>
      <c r="Q18" s="97">
        <v>0.0</v>
      </c>
      <c r="R18" s="98"/>
      <c r="S18" s="98"/>
      <c r="T18" s="270">
        <f>T41+T58</f>
        <v>359</v>
      </c>
      <c r="U18" s="101" t="s">
        <v>12559</v>
      </c>
      <c r="Z18" s="102"/>
      <c r="AA18" s="102"/>
      <c r="AB18" s="102"/>
      <c r="AC18" s="102"/>
    </row>
    <row r="19">
      <c r="A19" s="126"/>
      <c r="B19" s="126"/>
      <c r="C19" s="125"/>
      <c r="D19" s="125"/>
      <c r="E19" s="125"/>
      <c r="F19" s="125"/>
      <c r="G19" s="125"/>
      <c r="H19" s="125"/>
      <c r="I19" s="125"/>
      <c r="J19" s="126"/>
      <c r="K19" s="125"/>
      <c r="L19" s="126"/>
      <c r="M19" s="125"/>
      <c r="N19" s="125"/>
      <c r="O19" s="125"/>
      <c r="P19" s="125"/>
      <c r="Q19" s="126"/>
      <c r="R19" s="125"/>
      <c r="S19" s="125"/>
      <c r="T19" s="87"/>
    </row>
    <row r="20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5"/>
      <c r="S20" s="125"/>
      <c r="T20" s="87"/>
    </row>
    <row r="21">
      <c r="A21" s="12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5"/>
      <c r="S21" s="125"/>
      <c r="T21" s="87"/>
      <c r="U21" s="102"/>
    </row>
    <row r="22">
      <c r="A22" s="126"/>
      <c r="B22" s="126"/>
      <c r="C22" s="125"/>
      <c r="D22" s="125"/>
      <c r="E22" s="125"/>
      <c r="F22" s="125"/>
      <c r="G22" s="125"/>
      <c r="H22" s="125"/>
      <c r="I22" s="125"/>
      <c r="J22" s="126"/>
      <c r="K22" s="125"/>
      <c r="L22" s="126"/>
      <c r="M22" s="125"/>
      <c r="N22" s="125"/>
      <c r="O22" s="125"/>
      <c r="P22" s="125"/>
      <c r="Q22" s="126"/>
      <c r="R22" s="125"/>
      <c r="S22" s="125"/>
      <c r="T22" s="87"/>
    </row>
    <row r="23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5"/>
      <c r="S23" s="125"/>
      <c r="T23" s="87"/>
    </row>
    <row r="24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5"/>
      <c r="S24" s="125"/>
      <c r="T24" s="87"/>
      <c r="U24" s="102"/>
    </row>
    <row r="25">
      <c r="A25" s="273"/>
      <c r="B25" s="273"/>
      <c r="C25" s="125"/>
      <c r="D25" s="125"/>
      <c r="E25" s="125"/>
      <c r="F25" s="125"/>
      <c r="G25" s="125"/>
      <c r="H25" s="126"/>
      <c r="I25" s="125"/>
      <c r="J25" s="125"/>
      <c r="K25" s="125"/>
      <c r="L25" s="126"/>
      <c r="M25" s="126"/>
      <c r="N25" s="126"/>
      <c r="O25" s="126"/>
      <c r="P25" s="126"/>
      <c r="Q25" s="126"/>
      <c r="R25" s="125"/>
      <c r="S25" s="125"/>
      <c r="T25" s="125"/>
      <c r="Z25" s="102"/>
      <c r="AA25" s="102"/>
      <c r="AB25" s="102"/>
      <c r="AC25" s="102"/>
    </row>
    <row r="26">
      <c r="A26" s="273"/>
      <c r="B26" s="273"/>
      <c r="C26" s="125"/>
      <c r="D26" s="125"/>
      <c r="E26" s="125"/>
      <c r="F26" s="125"/>
      <c r="G26" s="125"/>
      <c r="H26" s="126"/>
      <c r="I26" s="125"/>
      <c r="J26" s="125"/>
      <c r="K26" s="125"/>
      <c r="L26" s="126"/>
      <c r="M26" s="126"/>
      <c r="N26" s="126"/>
      <c r="O26" s="126"/>
      <c r="P26" s="126"/>
      <c r="Q26" s="126"/>
      <c r="R26" s="125"/>
      <c r="S26" s="125"/>
      <c r="T26" s="125"/>
      <c r="Z26" s="102"/>
      <c r="AA26" s="102"/>
      <c r="AB26" s="102"/>
      <c r="AC26" s="102"/>
    </row>
    <row r="27">
      <c r="A27" s="273"/>
      <c r="B27" s="273"/>
      <c r="C27" s="125"/>
      <c r="D27" s="125"/>
      <c r="E27" s="125"/>
      <c r="F27" s="125"/>
      <c r="G27" s="125"/>
      <c r="H27" s="126"/>
      <c r="I27" s="125"/>
      <c r="J27" s="125"/>
      <c r="K27" s="125"/>
      <c r="L27" s="126"/>
      <c r="M27" s="126"/>
      <c r="N27" s="126"/>
      <c r="O27" s="126"/>
      <c r="P27" s="126"/>
      <c r="Q27" s="126"/>
      <c r="R27" s="125"/>
      <c r="S27" s="125"/>
      <c r="T27" s="125"/>
      <c r="Z27" s="102"/>
      <c r="AA27" s="102"/>
      <c r="AB27" s="102"/>
      <c r="AC27" s="102"/>
    </row>
    <row r="28">
      <c r="A28" s="273"/>
      <c r="B28" s="273"/>
      <c r="C28" s="125"/>
      <c r="D28" s="125"/>
      <c r="E28" s="125"/>
      <c r="F28" s="125"/>
      <c r="G28" s="125"/>
      <c r="H28" s="126"/>
      <c r="I28" s="125"/>
      <c r="J28" s="125"/>
      <c r="K28" s="125"/>
      <c r="L28" s="126"/>
      <c r="M28" s="126"/>
      <c r="N28" s="126"/>
      <c r="O28" s="126"/>
      <c r="P28" s="126"/>
      <c r="Q28" s="126"/>
      <c r="R28" s="125"/>
      <c r="S28" s="125"/>
      <c r="T28" s="125"/>
      <c r="Z28" s="102" t="s">
        <v>11297</v>
      </c>
      <c r="AA28" s="102">
        <v>3.0</v>
      </c>
      <c r="AB28" s="102">
        <v>8.0</v>
      </c>
      <c r="AC28" s="102">
        <v>8.0</v>
      </c>
    </row>
    <row r="29">
      <c r="A29" s="102"/>
      <c r="B29" s="102"/>
      <c r="C29" s="125"/>
      <c r="D29" s="125"/>
      <c r="E29" s="125"/>
      <c r="F29" s="125"/>
      <c r="G29" s="125"/>
      <c r="H29" s="125"/>
      <c r="I29" s="125"/>
      <c r="J29" s="125"/>
      <c r="K29" s="125"/>
      <c r="M29" s="125"/>
      <c r="N29" s="125"/>
      <c r="O29" s="125"/>
      <c r="P29" s="125"/>
      <c r="Q29" s="125"/>
      <c r="R29" s="125"/>
      <c r="S29" s="125"/>
      <c r="T29" s="125"/>
      <c r="Z29" s="102" t="s">
        <v>11944</v>
      </c>
      <c r="AA29" s="102">
        <v>8.0</v>
      </c>
      <c r="AB29" s="102">
        <v>32.0</v>
      </c>
      <c r="AC29" s="102">
        <v>32.0</v>
      </c>
    </row>
    <row r="30">
      <c r="A30" s="102"/>
      <c r="B30" s="102" t="s">
        <v>12560</v>
      </c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Z30" s="102" t="s">
        <v>11726</v>
      </c>
      <c r="AA30" s="102">
        <v>5.0</v>
      </c>
      <c r="AB30" s="102">
        <v>21.0</v>
      </c>
    </row>
    <row r="31">
      <c r="A31" s="89" t="s">
        <v>70</v>
      </c>
      <c r="B31" s="95" t="s">
        <v>71</v>
      </c>
      <c r="C31" s="268" t="s">
        <v>24</v>
      </c>
      <c r="D31" s="268" t="s">
        <v>72</v>
      </c>
      <c r="E31" s="268" t="s">
        <v>30</v>
      </c>
      <c r="F31" s="268" t="s">
        <v>32</v>
      </c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95" t="s">
        <v>12549</v>
      </c>
      <c r="S31" s="95" t="s">
        <v>12550</v>
      </c>
      <c r="T31" s="95" t="s">
        <v>12551</v>
      </c>
      <c r="U31" s="89" t="s">
        <v>81</v>
      </c>
      <c r="Z31" s="102">
        <v>14.0</v>
      </c>
      <c r="AA31" s="102">
        <v>3.0</v>
      </c>
      <c r="AB31" s="102">
        <v>8.0</v>
      </c>
    </row>
    <row r="32">
      <c r="A32" s="101">
        <v>1.0</v>
      </c>
      <c r="B32" s="274">
        <v>45824.0</v>
      </c>
      <c r="C32" s="92">
        <v>4.5</v>
      </c>
      <c r="D32" s="92">
        <v>4.5</v>
      </c>
      <c r="E32" s="92">
        <v>4.5</v>
      </c>
      <c r="F32" s="92">
        <v>2.0</v>
      </c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8">
        <f>SUM(C32:K32)</f>
        <v>15.5</v>
      </c>
      <c r="S32" s="98">
        <f>10-2</f>
        <v>8</v>
      </c>
      <c r="T32" s="98">
        <f>R32*S32</f>
        <v>124</v>
      </c>
      <c r="U32" s="99"/>
      <c r="Z32" s="102">
        <v>15.0</v>
      </c>
      <c r="AA32" s="102">
        <v>2.0</v>
      </c>
      <c r="AB32" s="102">
        <v>4.0</v>
      </c>
    </row>
    <row r="33">
      <c r="A33" s="97"/>
      <c r="B33" s="97" t="s">
        <v>87</v>
      </c>
      <c r="C33" s="97">
        <f t="shared" ref="C33:F33" si="19">C32*C4</f>
        <v>36</v>
      </c>
      <c r="D33" s="97">
        <f t="shared" si="19"/>
        <v>36</v>
      </c>
      <c r="E33" s="97">
        <f t="shared" si="19"/>
        <v>36</v>
      </c>
      <c r="F33" s="97">
        <f t="shared" si="19"/>
        <v>16</v>
      </c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8"/>
      <c r="S33" s="98"/>
      <c r="T33" s="270">
        <f>sum(C33:Q33)</f>
        <v>124</v>
      </c>
      <c r="U33" s="101"/>
      <c r="Z33" s="102" t="s">
        <v>11701</v>
      </c>
    </row>
    <row r="34">
      <c r="A34" s="101">
        <v>2.0</v>
      </c>
      <c r="B34" s="275">
        <v>45838.0</v>
      </c>
      <c r="C34" s="92">
        <v>4.5</v>
      </c>
      <c r="D34" s="92">
        <v>4.5</v>
      </c>
      <c r="E34" s="92">
        <v>4.5</v>
      </c>
      <c r="F34" s="92">
        <v>2.0</v>
      </c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8">
        <f>SUM(C34:K34)</f>
        <v>15.5</v>
      </c>
      <c r="S34" s="98">
        <f>10-2-1</f>
        <v>7</v>
      </c>
      <c r="T34" s="270"/>
      <c r="U34" s="101" t="s">
        <v>12561</v>
      </c>
      <c r="Z34" s="102">
        <v>9.0</v>
      </c>
      <c r="AA34" s="102">
        <v>3.0</v>
      </c>
      <c r="AB34" s="102">
        <v>8.0</v>
      </c>
    </row>
    <row r="35">
      <c r="A35" s="97"/>
      <c r="B35" s="97" t="s">
        <v>87</v>
      </c>
      <c r="C35" s="92">
        <f t="shared" ref="C35:F35" si="20">C8*C34</f>
        <v>31.5</v>
      </c>
      <c r="D35" s="92">
        <f t="shared" si="20"/>
        <v>31.5</v>
      </c>
      <c r="E35" s="92">
        <f t="shared" si="20"/>
        <v>31.5</v>
      </c>
      <c r="F35" s="92">
        <f t="shared" si="20"/>
        <v>12</v>
      </c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8"/>
      <c r="S35" s="98"/>
      <c r="T35" s="270">
        <f>sum(C35:Q35)</f>
        <v>106.5</v>
      </c>
      <c r="U35" s="101"/>
      <c r="Z35" s="102">
        <v>11.0</v>
      </c>
      <c r="AA35" s="102">
        <v>3.0</v>
      </c>
      <c r="AB35" s="102">
        <v>8.0</v>
      </c>
    </row>
    <row r="36">
      <c r="A36" s="101">
        <v>3.0</v>
      </c>
      <c r="B36" s="276">
        <v>45852.0</v>
      </c>
      <c r="C36" s="92">
        <v>4.5</v>
      </c>
      <c r="D36" s="92">
        <v>4.5</v>
      </c>
      <c r="E36" s="92">
        <v>4.5</v>
      </c>
      <c r="F36" s="92">
        <v>2.0</v>
      </c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8">
        <f>SUM(C36:K36)</f>
        <v>15.5</v>
      </c>
      <c r="S36" s="97">
        <v>8.0</v>
      </c>
      <c r="T36" s="98"/>
      <c r="U36" s="99"/>
      <c r="Z36" s="102">
        <v>12.0</v>
      </c>
      <c r="AA36" s="102">
        <v>3.0</v>
      </c>
      <c r="AB36" s="102">
        <v>8.0</v>
      </c>
    </row>
    <row r="37">
      <c r="A37" s="97"/>
      <c r="B37" s="97" t="s">
        <v>87</v>
      </c>
      <c r="C37" s="92">
        <f t="shared" ref="C37:F37" si="21">C11*C36</f>
        <v>36</v>
      </c>
      <c r="D37" s="92">
        <f t="shared" si="21"/>
        <v>29.25</v>
      </c>
      <c r="E37" s="92">
        <f t="shared" si="21"/>
        <v>33.75</v>
      </c>
      <c r="F37" s="92">
        <f t="shared" si="21"/>
        <v>14</v>
      </c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8"/>
      <c r="S37" s="97"/>
      <c r="T37" s="270">
        <f>sum(C37:Q37)</f>
        <v>113</v>
      </c>
      <c r="U37" s="99"/>
      <c r="Z37" s="102"/>
      <c r="AA37" s="102"/>
      <c r="AB37" s="102"/>
    </row>
    <row r="38">
      <c r="A38" s="101">
        <v>4.0</v>
      </c>
      <c r="B38" s="276">
        <v>45867.0</v>
      </c>
      <c r="C38" s="92">
        <v>4.5</v>
      </c>
      <c r="D38" s="92">
        <v>4.5</v>
      </c>
      <c r="E38" s="92">
        <v>4.5</v>
      </c>
      <c r="F38" s="92">
        <v>2.0</v>
      </c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8">
        <f>SUM(C38:K38)</f>
        <v>15.5</v>
      </c>
      <c r="S38" s="97">
        <v>7.0</v>
      </c>
      <c r="T38" s="98"/>
      <c r="U38" s="99"/>
      <c r="Z38" s="102"/>
      <c r="AA38" s="102"/>
      <c r="AB38" s="102"/>
    </row>
    <row r="39">
      <c r="A39" s="97"/>
      <c r="B39" s="97" t="s">
        <v>87</v>
      </c>
      <c r="C39" s="92">
        <f t="shared" ref="C39:F39" si="22">C14*C38</f>
        <v>22.5</v>
      </c>
      <c r="D39" s="92">
        <f t="shared" si="22"/>
        <v>29.25</v>
      </c>
      <c r="E39" s="92">
        <f t="shared" si="22"/>
        <v>27</v>
      </c>
      <c r="F39" s="92">
        <f t="shared" si="22"/>
        <v>14</v>
      </c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8"/>
      <c r="S39" s="97"/>
      <c r="T39" s="270">
        <f>sum(C39:Q39)</f>
        <v>92.75</v>
      </c>
      <c r="U39" s="99"/>
      <c r="Z39" s="102"/>
      <c r="AA39" s="102"/>
      <c r="AB39" s="102"/>
    </row>
    <row r="40">
      <c r="A40" s="101">
        <v>5.0</v>
      </c>
      <c r="B40" s="275">
        <v>45880.0</v>
      </c>
      <c r="C40" s="92">
        <v>4.5</v>
      </c>
      <c r="D40" s="92">
        <v>4.5</v>
      </c>
      <c r="E40" s="92">
        <v>4.5</v>
      </c>
      <c r="F40" s="92">
        <v>2.0</v>
      </c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8">
        <f>SUM(C40:K40)</f>
        <v>15.5</v>
      </c>
      <c r="S40" s="97">
        <v>7.0</v>
      </c>
      <c r="T40" s="98"/>
      <c r="U40" s="99"/>
      <c r="Z40" s="102"/>
      <c r="AA40" s="102"/>
      <c r="AB40" s="102"/>
    </row>
    <row r="41">
      <c r="A41" s="97"/>
      <c r="B41" s="97" t="s">
        <v>87</v>
      </c>
      <c r="C41" s="92">
        <f t="shared" ref="C41:F41" si="23">C17*C40</f>
        <v>29.25</v>
      </c>
      <c r="D41" s="92">
        <f t="shared" si="23"/>
        <v>27</v>
      </c>
      <c r="E41" s="92">
        <f t="shared" si="23"/>
        <v>31.5</v>
      </c>
      <c r="F41" s="92">
        <f t="shared" si="23"/>
        <v>13</v>
      </c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8"/>
      <c r="S41" s="97"/>
      <c r="T41" s="270">
        <f>sum(C41:Q41)</f>
        <v>100.75</v>
      </c>
      <c r="U41" s="99"/>
      <c r="Z41" s="102"/>
      <c r="AA41" s="102"/>
      <c r="AB41" s="102"/>
    </row>
    <row r="42">
      <c r="A42" s="101">
        <v>6.0</v>
      </c>
      <c r="B42" s="275">
        <v>45894.0</v>
      </c>
      <c r="C42" s="92">
        <v>4.5</v>
      </c>
      <c r="D42" s="92">
        <v>4.5</v>
      </c>
      <c r="E42" s="92">
        <v>4.5</v>
      </c>
      <c r="F42" s="92">
        <v>2.0</v>
      </c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8">
        <f>SUM(C42:K42)</f>
        <v>15.5</v>
      </c>
      <c r="S42" s="97">
        <v>8.0</v>
      </c>
      <c r="T42" s="98"/>
      <c r="U42" s="99"/>
      <c r="Z42" s="102"/>
      <c r="AA42" s="102"/>
      <c r="AB42" s="102"/>
    </row>
    <row r="43">
      <c r="A43" s="97"/>
      <c r="B43" s="97" t="s">
        <v>87</v>
      </c>
      <c r="C43" s="92">
        <f t="shared" ref="C43:F43" si="24">C20*C42</f>
        <v>0</v>
      </c>
      <c r="D43" s="92">
        <f t="shared" si="24"/>
        <v>0</v>
      </c>
      <c r="E43" s="92">
        <f t="shared" si="24"/>
        <v>0</v>
      </c>
      <c r="F43" s="92">
        <f t="shared" si="24"/>
        <v>0</v>
      </c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8"/>
      <c r="S43" s="97"/>
      <c r="T43" s="270">
        <f>sum(C43:Q43)</f>
        <v>0</v>
      </c>
      <c r="U43" s="99"/>
      <c r="Z43" s="102"/>
      <c r="AA43" s="102"/>
      <c r="AB43" s="102"/>
    </row>
    <row r="44">
      <c r="A44" s="101">
        <v>7.0</v>
      </c>
      <c r="B44" s="97" t="s">
        <v>90</v>
      </c>
      <c r="C44" s="92">
        <v>4.5</v>
      </c>
      <c r="D44" s="92">
        <v>4.5</v>
      </c>
      <c r="E44" s="92">
        <v>4.5</v>
      </c>
      <c r="F44" s="92">
        <v>2.0</v>
      </c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8">
        <f>SUM(C44:K44)</f>
        <v>15.5</v>
      </c>
      <c r="S44" s="97">
        <v>8.0</v>
      </c>
      <c r="T44" s="98"/>
      <c r="Z44" s="102"/>
      <c r="AA44" s="102"/>
      <c r="AB44" s="102"/>
    </row>
    <row r="45">
      <c r="A45" s="97"/>
      <c r="B45" s="97" t="s">
        <v>87</v>
      </c>
      <c r="C45" s="92">
        <f t="shared" ref="C45:F45" si="25">C23*C44</f>
        <v>0</v>
      </c>
      <c r="D45" s="92">
        <f t="shared" si="25"/>
        <v>0</v>
      </c>
      <c r="E45" s="92">
        <f t="shared" si="25"/>
        <v>0</v>
      </c>
      <c r="F45" s="92">
        <f t="shared" si="25"/>
        <v>0</v>
      </c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8"/>
      <c r="S45" s="97"/>
      <c r="T45" s="270">
        <f>sum(C45:Q45)</f>
        <v>0</v>
      </c>
      <c r="Z45" s="102"/>
      <c r="AA45" s="102"/>
      <c r="AB45" s="102"/>
    </row>
    <row r="46">
      <c r="A46" s="102"/>
      <c r="B46" s="102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</row>
    <row r="47">
      <c r="A47" s="102"/>
      <c r="B47" s="102" t="s">
        <v>12562</v>
      </c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Z47" s="102" t="s">
        <v>11692</v>
      </c>
      <c r="AA47" s="102">
        <v>3.0</v>
      </c>
      <c r="AB47" s="102">
        <v>8.0</v>
      </c>
    </row>
    <row r="48">
      <c r="A48" s="89" t="s">
        <v>70</v>
      </c>
      <c r="B48" s="89" t="s">
        <v>71</v>
      </c>
      <c r="C48" s="268" t="s">
        <v>24</v>
      </c>
      <c r="D48" s="268" t="s">
        <v>72</v>
      </c>
      <c r="E48" s="268" t="s">
        <v>30</v>
      </c>
      <c r="F48" s="268" t="s">
        <v>32</v>
      </c>
      <c r="G48" s="268" t="s">
        <v>73</v>
      </c>
      <c r="H48" s="268" t="s">
        <v>10802</v>
      </c>
      <c r="I48" s="268" t="s">
        <v>28</v>
      </c>
      <c r="J48" s="268" t="s">
        <v>10789</v>
      </c>
      <c r="K48" s="268" t="s">
        <v>75</v>
      </c>
      <c r="L48" s="268" t="s">
        <v>10788</v>
      </c>
      <c r="M48" s="268" t="s">
        <v>74</v>
      </c>
      <c r="N48" s="268" t="s">
        <v>3616</v>
      </c>
      <c r="O48" s="268" t="s">
        <v>3617</v>
      </c>
      <c r="P48" s="268" t="s">
        <v>76</v>
      </c>
      <c r="Q48" s="268" t="s">
        <v>12548</v>
      </c>
      <c r="R48" s="95" t="s">
        <v>12549</v>
      </c>
      <c r="S48" s="95" t="s">
        <v>12563</v>
      </c>
      <c r="T48" s="95" t="s">
        <v>12551</v>
      </c>
      <c r="U48" s="89" t="s">
        <v>81</v>
      </c>
      <c r="Z48" s="102">
        <v>18.0</v>
      </c>
      <c r="AA48" s="102">
        <v>3.0</v>
      </c>
      <c r="AB48" s="102">
        <v>8.0</v>
      </c>
    </row>
    <row r="49">
      <c r="A49" s="277">
        <v>1.0</v>
      </c>
      <c r="B49" s="274">
        <v>45824.0</v>
      </c>
      <c r="C49" s="97">
        <f t="shared" ref="C49:F49" si="26">6.5-C32</f>
        <v>2</v>
      </c>
      <c r="D49" s="97">
        <f t="shared" si="26"/>
        <v>2</v>
      </c>
      <c r="E49" s="97">
        <f t="shared" si="26"/>
        <v>2</v>
      </c>
      <c r="F49" s="97">
        <f t="shared" si="26"/>
        <v>4.5</v>
      </c>
      <c r="G49" s="92">
        <v>6.5</v>
      </c>
      <c r="H49" s="92">
        <v>6.5</v>
      </c>
      <c r="I49" s="92">
        <v>4.0</v>
      </c>
      <c r="J49" s="92">
        <v>4.0</v>
      </c>
      <c r="K49" s="92">
        <v>4.0</v>
      </c>
      <c r="L49" s="92">
        <v>6.5</v>
      </c>
      <c r="M49" s="92">
        <v>6.5</v>
      </c>
      <c r="N49" s="92"/>
      <c r="O49" s="92"/>
      <c r="P49" s="92"/>
      <c r="Q49" s="92">
        <v>6.5</v>
      </c>
      <c r="R49" s="98">
        <f>SUM(C49:O49)</f>
        <v>48.5</v>
      </c>
      <c r="S49" s="97">
        <v>8.0</v>
      </c>
      <c r="T49" s="98"/>
      <c r="U49" s="99"/>
    </row>
    <row r="50">
      <c r="A50" s="97"/>
      <c r="B50" s="97" t="s">
        <v>87</v>
      </c>
      <c r="C50" s="97">
        <f t="shared" ref="C50:M50" si="27">C49*C4</f>
        <v>16</v>
      </c>
      <c r="D50" s="97">
        <f t="shared" si="27"/>
        <v>16</v>
      </c>
      <c r="E50" s="97">
        <f t="shared" si="27"/>
        <v>16</v>
      </c>
      <c r="F50" s="97">
        <f t="shared" si="27"/>
        <v>36</v>
      </c>
      <c r="G50" s="97">
        <f t="shared" si="27"/>
        <v>52</v>
      </c>
      <c r="H50" s="97">
        <f t="shared" si="27"/>
        <v>52</v>
      </c>
      <c r="I50" s="97">
        <f t="shared" si="27"/>
        <v>32</v>
      </c>
      <c r="J50" s="97">
        <f t="shared" si="27"/>
        <v>32</v>
      </c>
      <c r="K50" s="97">
        <f t="shared" si="27"/>
        <v>32</v>
      </c>
      <c r="L50" s="97">
        <f t="shared" si="27"/>
        <v>48.75</v>
      </c>
      <c r="M50" s="97">
        <f t="shared" si="27"/>
        <v>52</v>
      </c>
      <c r="N50" s="97"/>
      <c r="O50" s="97"/>
      <c r="P50" s="97"/>
      <c r="Q50" s="97">
        <f>Q49*Q4</f>
        <v>45.5</v>
      </c>
      <c r="R50" s="98"/>
      <c r="S50" s="98"/>
      <c r="T50" s="270">
        <f>sum(C50:Q50)</f>
        <v>430.25</v>
      </c>
      <c r="U50" s="101"/>
    </row>
    <row r="51">
      <c r="A51" s="97">
        <v>2.0</v>
      </c>
      <c r="B51" s="275">
        <v>45838.0</v>
      </c>
      <c r="C51" s="97">
        <f t="shared" ref="C51:F51" si="28">6.5-C34</f>
        <v>2</v>
      </c>
      <c r="D51" s="97">
        <f t="shared" si="28"/>
        <v>2</v>
      </c>
      <c r="E51" s="97">
        <f t="shared" si="28"/>
        <v>2</v>
      </c>
      <c r="F51" s="97">
        <f t="shared" si="28"/>
        <v>4.5</v>
      </c>
      <c r="G51" s="92">
        <v>6.5</v>
      </c>
      <c r="H51" s="92">
        <v>0.0</v>
      </c>
      <c r="I51" s="92">
        <v>6.5</v>
      </c>
      <c r="J51" s="92">
        <v>6.5</v>
      </c>
      <c r="K51" s="92">
        <v>6.5</v>
      </c>
      <c r="L51" s="92">
        <v>6.5</v>
      </c>
      <c r="M51" s="92">
        <v>6.5</v>
      </c>
      <c r="N51" s="92"/>
      <c r="O51" s="92"/>
      <c r="P51" s="92"/>
      <c r="Q51" s="92">
        <v>0.0</v>
      </c>
      <c r="R51" s="98">
        <f>SUM(C51:O51)</f>
        <v>49.5</v>
      </c>
      <c r="S51" s="98">
        <f>10-2-1</f>
        <v>7</v>
      </c>
      <c r="T51" s="270"/>
      <c r="U51" s="101" t="s">
        <v>12561</v>
      </c>
    </row>
    <row r="52">
      <c r="A52" s="97"/>
      <c r="B52" s="97" t="s">
        <v>87</v>
      </c>
      <c r="C52" s="97">
        <f t="shared" ref="C52:G52" si="29">C51*C8</f>
        <v>14</v>
      </c>
      <c r="D52" s="97">
        <f t="shared" si="29"/>
        <v>14</v>
      </c>
      <c r="E52" s="97">
        <f t="shared" si="29"/>
        <v>14</v>
      </c>
      <c r="F52" s="97">
        <f t="shared" si="29"/>
        <v>27</v>
      </c>
      <c r="G52" s="97">
        <f t="shared" si="29"/>
        <v>39</v>
      </c>
      <c r="H52" s="92">
        <v>0.0</v>
      </c>
      <c r="I52" s="97">
        <f t="shared" ref="I52:M52" si="30">I51*I8</f>
        <v>45.5</v>
      </c>
      <c r="J52" s="97">
        <f t="shared" si="30"/>
        <v>45.5</v>
      </c>
      <c r="K52" s="97">
        <f t="shared" si="30"/>
        <v>45.5</v>
      </c>
      <c r="L52" s="97">
        <f t="shared" si="30"/>
        <v>45.5</v>
      </c>
      <c r="M52" s="97">
        <f t="shared" si="30"/>
        <v>39</v>
      </c>
      <c r="N52" s="97"/>
      <c r="O52" s="97"/>
      <c r="P52" s="97"/>
      <c r="Q52" s="92">
        <v>0.0</v>
      </c>
      <c r="R52" s="98"/>
      <c r="S52" s="98"/>
      <c r="T52" s="270">
        <f>sum(C52:Q52)</f>
        <v>329</v>
      </c>
      <c r="U52" s="101"/>
    </row>
    <row r="53">
      <c r="A53" s="97">
        <v>3.0</v>
      </c>
      <c r="B53" s="276">
        <v>45852.0</v>
      </c>
      <c r="C53" s="97">
        <f t="shared" ref="C53:F53" si="31">6.5-C36</f>
        <v>2</v>
      </c>
      <c r="D53" s="97">
        <f t="shared" si="31"/>
        <v>2</v>
      </c>
      <c r="E53" s="97">
        <f t="shared" si="31"/>
        <v>2</v>
      </c>
      <c r="F53" s="97">
        <f t="shared" si="31"/>
        <v>4.5</v>
      </c>
      <c r="G53" s="92">
        <v>6.5</v>
      </c>
      <c r="H53" s="92">
        <v>0.0</v>
      </c>
      <c r="I53" s="92">
        <v>6.5</v>
      </c>
      <c r="J53" s="92">
        <v>6.5</v>
      </c>
      <c r="K53" s="92">
        <v>6.5</v>
      </c>
      <c r="L53" s="92">
        <v>6.5</v>
      </c>
      <c r="M53" s="92">
        <v>6.5</v>
      </c>
      <c r="N53" s="92"/>
      <c r="O53" s="92"/>
      <c r="P53" s="92"/>
      <c r="Q53" s="92">
        <v>0.0</v>
      </c>
      <c r="R53" s="98">
        <f>SUM(C53:O53)</f>
        <v>49.5</v>
      </c>
      <c r="S53" s="97">
        <v>8.0</v>
      </c>
      <c r="T53" s="98"/>
      <c r="U53" s="99"/>
    </row>
    <row r="54">
      <c r="A54" s="97"/>
      <c r="B54" s="97" t="s">
        <v>87</v>
      </c>
      <c r="C54" s="97">
        <f t="shared" ref="C54:G54" si="32">C53*C11</f>
        <v>16</v>
      </c>
      <c r="D54" s="97">
        <f t="shared" si="32"/>
        <v>13</v>
      </c>
      <c r="E54" s="97">
        <f t="shared" si="32"/>
        <v>15</v>
      </c>
      <c r="F54" s="97">
        <f t="shared" si="32"/>
        <v>31.5</v>
      </c>
      <c r="G54" s="97">
        <f t="shared" si="32"/>
        <v>52</v>
      </c>
      <c r="H54" s="92">
        <v>0.0</v>
      </c>
      <c r="I54" s="97">
        <f t="shared" ref="I54:M54" si="33">I53*I11</f>
        <v>52</v>
      </c>
      <c r="J54" s="97">
        <f t="shared" si="33"/>
        <v>26</v>
      </c>
      <c r="K54" s="97">
        <f t="shared" si="33"/>
        <v>45.5</v>
      </c>
      <c r="L54" s="97">
        <f t="shared" si="33"/>
        <v>26</v>
      </c>
      <c r="M54" s="97">
        <f t="shared" si="33"/>
        <v>52</v>
      </c>
      <c r="N54" s="97"/>
      <c r="O54" s="97"/>
      <c r="P54" s="97"/>
      <c r="Q54" s="92">
        <v>0.0</v>
      </c>
      <c r="R54" s="98"/>
      <c r="S54" s="98"/>
      <c r="T54" s="270">
        <f>sum(C54:Q54)</f>
        <v>329</v>
      </c>
      <c r="U54" s="99"/>
    </row>
    <row r="55">
      <c r="A55" s="97">
        <v>4.0</v>
      </c>
      <c r="B55" s="276">
        <v>45867.0</v>
      </c>
      <c r="C55" s="97">
        <f t="shared" ref="C55:F55" si="34">6.5-C38</f>
        <v>2</v>
      </c>
      <c r="D55" s="97">
        <f t="shared" si="34"/>
        <v>2</v>
      </c>
      <c r="E55" s="97">
        <f t="shared" si="34"/>
        <v>2</v>
      </c>
      <c r="F55" s="97">
        <f t="shared" si="34"/>
        <v>4.5</v>
      </c>
      <c r="G55" s="92">
        <v>6.5</v>
      </c>
      <c r="H55" s="92">
        <v>0.0</v>
      </c>
      <c r="I55" s="92">
        <v>6.5</v>
      </c>
      <c r="J55" s="97">
        <v>0.0</v>
      </c>
      <c r="K55" s="92">
        <v>6.5</v>
      </c>
      <c r="L55" s="97">
        <v>0.0</v>
      </c>
      <c r="M55" s="92">
        <v>6.5</v>
      </c>
      <c r="N55" s="92"/>
      <c r="O55" s="92"/>
      <c r="P55" s="92"/>
      <c r="Q55" s="92">
        <v>0.0</v>
      </c>
      <c r="R55" s="98">
        <f>SUM(C55:O55)</f>
        <v>36.5</v>
      </c>
      <c r="S55" s="97">
        <v>7.0</v>
      </c>
      <c r="T55" s="98"/>
      <c r="U55" s="99"/>
    </row>
    <row r="56">
      <c r="A56" s="97"/>
      <c r="B56" s="97" t="s">
        <v>87</v>
      </c>
      <c r="C56" s="97">
        <f t="shared" ref="C56:G56" si="35">C55*C14</f>
        <v>10</v>
      </c>
      <c r="D56" s="97">
        <f t="shared" si="35"/>
        <v>13</v>
      </c>
      <c r="E56" s="97">
        <f t="shared" si="35"/>
        <v>12</v>
      </c>
      <c r="F56" s="97">
        <f t="shared" si="35"/>
        <v>31.5</v>
      </c>
      <c r="G56" s="97">
        <f t="shared" si="35"/>
        <v>42.25</v>
      </c>
      <c r="H56" s="92">
        <v>0.0</v>
      </c>
      <c r="I56" s="97">
        <f>I55*I14</f>
        <v>32.5</v>
      </c>
      <c r="J56" s="97">
        <v>0.0</v>
      </c>
      <c r="K56" s="97">
        <f>K55*K14</f>
        <v>45.5</v>
      </c>
      <c r="L56" s="97">
        <v>0.0</v>
      </c>
      <c r="M56" s="97">
        <f>M55*M14</f>
        <v>45.5</v>
      </c>
      <c r="N56" s="97"/>
      <c r="O56" s="97"/>
      <c r="P56" s="97"/>
      <c r="Q56" s="92">
        <v>0.0</v>
      </c>
      <c r="R56" s="97">
        <f t="shared" ref="R56:S56" si="36">R55*R14</f>
        <v>0</v>
      </c>
      <c r="S56" s="97">
        <f t="shared" si="36"/>
        <v>0</v>
      </c>
      <c r="T56" s="270">
        <f>sum(C56:Q56)</f>
        <v>232.25</v>
      </c>
      <c r="U56" s="99"/>
    </row>
    <row r="57">
      <c r="A57" s="97">
        <v>5.0</v>
      </c>
      <c r="B57" s="275">
        <v>45880.0</v>
      </c>
      <c r="C57" s="97">
        <f t="shared" ref="C57:F57" si="37">6.5-C40</f>
        <v>2</v>
      </c>
      <c r="D57" s="97">
        <f t="shared" si="37"/>
        <v>2</v>
      </c>
      <c r="E57" s="97">
        <f t="shared" si="37"/>
        <v>2</v>
      </c>
      <c r="F57" s="97">
        <f t="shared" si="37"/>
        <v>4.5</v>
      </c>
      <c r="G57" s="92">
        <v>6.5</v>
      </c>
      <c r="H57" s="92">
        <v>0.0</v>
      </c>
      <c r="I57" s="92">
        <v>6.5</v>
      </c>
      <c r="J57" s="97">
        <v>0.0</v>
      </c>
      <c r="K57" s="92">
        <v>6.5</v>
      </c>
      <c r="L57" s="97">
        <v>0.0</v>
      </c>
      <c r="M57" s="92">
        <v>6.5</v>
      </c>
      <c r="N57" s="92">
        <v>3.0</v>
      </c>
      <c r="O57" s="92"/>
      <c r="P57" s="92"/>
      <c r="Q57" s="92">
        <v>0.0</v>
      </c>
      <c r="R57" s="98">
        <f>SUM(C57:O57)</f>
        <v>39.5</v>
      </c>
      <c r="S57" s="97">
        <v>7.0</v>
      </c>
      <c r="T57" s="98"/>
      <c r="U57" s="99"/>
    </row>
    <row r="58">
      <c r="A58" s="97"/>
      <c r="B58" s="97" t="s">
        <v>87</v>
      </c>
      <c r="C58" s="97">
        <f t="shared" ref="C58:I58" si="38">C57*C17</f>
        <v>13</v>
      </c>
      <c r="D58" s="97">
        <f t="shared" si="38"/>
        <v>12</v>
      </c>
      <c r="E58" s="97">
        <f t="shared" si="38"/>
        <v>14</v>
      </c>
      <c r="F58" s="97">
        <f t="shared" si="38"/>
        <v>29.25</v>
      </c>
      <c r="G58" s="97">
        <f t="shared" si="38"/>
        <v>45.5</v>
      </c>
      <c r="H58" s="97">
        <f t="shared" si="38"/>
        <v>0</v>
      </c>
      <c r="I58" s="97">
        <f t="shared" si="38"/>
        <v>39</v>
      </c>
      <c r="J58" s="97">
        <v>0.0</v>
      </c>
      <c r="K58" s="97">
        <f>K57*K17</f>
        <v>39</v>
      </c>
      <c r="L58" s="97">
        <v>0.0</v>
      </c>
      <c r="M58" s="97">
        <f t="shared" ref="M58:N58" si="39">M57*M17</f>
        <v>45.5</v>
      </c>
      <c r="N58" s="97">
        <f t="shared" si="39"/>
        <v>21</v>
      </c>
      <c r="O58" s="97"/>
      <c r="P58" s="97"/>
      <c r="Q58" s="92">
        <v>0.0</v>
      </c>
      <c r="R58" s="97">
        <f t="shared" ref="R58:S58" si="40">R57*R16</f>
        <v>0</v>
      </c>
      <c r="S58" s="97">
        <f t="shared" si="40"/>
        <v>0</v>
      </c>
      <c r="T58" s="270">
        <f>sum(C58:Q58)</f>
        <v>258.25</v>
      </c>
      <c r="U58" s="99"/>
    </row>
    <row r="59">
      <c r="A59" s="97">
        <v>6.0</v>
      </c>
      <c r="B59" s="275">
        <v>45894.0</v>
      </c>
      <c r="C59" s="97">
        <f t="shared" ref="C59:F59" si="41">6.5-C42</f>
        <v>2</v>
      </c>
      <c r="D59" s="97">
        <f t="shared" si="41"/>
        <v>2</v>
      </c>
      <c r="E59" s="97">
        <f t="shared" si="41"/>
        <v>2</v>
      </c>
      <c r="F59" s="97">
        <f t="shared" si="41"/>
        <v>4.5</v>
      </c>
      <c r="G59" s="92">
        <v>6.5</v>
      </c>
      <c r="H59" s="92">
        <v>0.0</v>
      </c>
      <c r="I59" s="92">
        <v>6.5</v>
      </c>
      <c r="J59" s="97">
        <v>0.0</v>
      </c>
      <c r="K59" s="92">
        <v>6.5</v>
      </c>
      <c r="L59" s="97">
        <v>0.0</v>
      </c>
      <c r="M59" s="92">
        <v>6.5</v>
      </c>
      <c r="N59" s="92">
        <v>6.5</v>
      </c>
      <c r="O59" s="92">
        <v>6.5</v>
      </c>
      <c r="P59" s="92"/>
      <c r="Q59" s="92">
        <v>0.0</v>
      </c>
      <c r="R59" s="98">
        <f>SUM(C59:O59)</f>
        <v>49.5</v>
      </c>
      <c r="S59" s="97">
        <v>8.0</v>
      </c>
      <c r="T59" s="98"/>
      <c r="U59" s="99"/>
    </row>
    <row r="60">
      <c r="A60" s="97"/>
      <c r="B60" s="97" t="s">
        <v>87</v>
      </c>
      <c r="C60" s="97">
        <f t="shared" ref="C60:I60" si="42">C59*C20</f>
        <v>0</v>
      </c>
      <c r="D60" s="97">
        <f t="shared" si="42"/>
        <v>0</v>
      </c>
      <c r="E60" s="97">
        <f t="shared" si="42"/>
        <v>0</v>
      </c>
      <c r="F60" s="97">
        <f t="shared" si="42"/>
        <v>0</v>
      </c>
      <c r="G60" s="97">
        <f t="shared" si="42"/>
        <v>0</v>
      </c>
      <c r="H60" s="97">
        <f t="shared" si="42"/>
        <v>0</v>
      </c>
      <c r="I60" s="97">
        <f t="shared" si="42"/>
        <v>0</v>
      </c>
      <c r="J60" s="97">
        <v>0.0</v>
      </c>
      <c r="K60" s="97">
        <f>K59*K20</f>
        <v>0</v>
      </c>
      <c r="L60" s="97">
        <v>0.0</v>
      </c>
      <c r="M60" s="97">
        <f t="shared" ref="M60:O60" si="43">M59*M20</f>
        <v>0</v>
      </c>
      <c r="N60" s="97">
        <f t="shared" si="43"/>
        <v>0</v>
      </c>
      <c r="O60" s="97">
        <f t="shared" si="43"/>
        <v>0</v>
      </c>
      <c r="P60" s="97"/>
      <c r="Q60" s="92">
        <v>0.0</v>
      </c>
      <c r="R60" s="97">
        <f t="shared" ref="R60:S60" si="44">R59*R18</f>
        <v>0</v>
      </c>
      <c r="S60" s="97">
        <f t="shared" si="44"/>
        <v>0</v>
      </c>
      <c r="T60" s="270">
        <f>sum(C60:Q60)</f>
        <v>0</v>
      </c>
      <c r="U60" s="99"/>
    </row>
    <row r="61">
      <c r="A61" s="97">
        <v>7.0</v>
      </c>
      <c r="B61" s="97" t="s">
        <v>90</v>
      </c>
      <c r="C61" s="97">
        <f t="shared" ref="C61:F61" si="45">6.5-C44</f>
        <v>2</v>
      </c>
      <c r="D61" s="97">
        <f t="shared" si="45"/>
        <v>2</v>
      </c>
      <c r="E61" s="97">
        <f t="shared" si="45"/>
        <v>2</v>
      </c>
      <c r="F61" s="97">
        <f t="shared" si="45"/>
        <v>4.5</v>
      </c>
      <c r="G61" s="92">
        <v>6.5</v>
      </c>
      <c r="H61" s="92">
        <v>0.0</v>
      </c>
      <c r="I61" s="92">
        <v>6.5</v>
      </c>
      <c r="J61" s="97">
        <v>0.0</v>
      </c>
      <c r="K61" s="92">
        <v>6.5</v>
      </c>
      <c r="L61" s="97">
        <v>0.0</v>
      </c>
      <c r="M61" s="92">
        <v>6.5</v>
      </c>
      <c r="N61" s="92">
        <v>6.5</v>
      </c>
      <c r="O61" s="92">
        <v>6.5</v>
      </c>
      <c r="P61" s="92">
        <v>6.5</v>
      </c>
      <c r="Q61" s="92">
        <v>0.0</v>
      </c>
      <c r="R61" s="98">
        <f>SUM(C61:O61)</f>
        <v>49.5</v>
      </c>
      <c r="S61" s="97">
        <v>8.0</v>
      </c>
      <c r="T61" s="98"/>
      <c r="U61" s="99"/>
    </row>
    <row r="62">
      <c r="A62" s="97"/>
      <c r="B62" s="97" t="s">
        <v>87</v>
      </c>
      <c r="C62" s="97">
        <f t="shared" ref="C62:I62" si="46">C61*C23</f>
        <v>0</v>
      </c>
      <c r="D62" s="97">
        <f t="shared" si="46"/>
        <v>0</v>
      </c>
      <c r="E62" s="97">
        <f t="shared" si="46"/>
        <v>0</v>
      </c>
      <c r="F62" s="97">
        <f t="shared" si="46"/>
        <v>0</v>
      </c>
      <c r="G62" s="97">
        <f t="shared" si="46"/>
        <v>0</v>
      </c>
      <c r="H62" s="97">
        <f t="shared" si="46"/>
        <v>0</v>
      </c>
      <c r="I62" s="97">
        <f t="shared" si="46"/>
        <v>0</v>
      </c>
      <c r="J62" s="97">
        <v>0.0</v>
      </c>
      <c r="K62" s="97">
        <f>K61*K23</f>
        <v>0</v>
      </c>
      <c r="L62" s="97">
        <v>0.0</v>
      </c>
      <c r="M62" s="97">
        <f t="shared" ref="M62:P62" si="47">M61*M23</f>
        <v>0</v>
      </c>
      <c r="N62" s="97">
        <f t="shared" si="47"/>
        <v>0</v>
      </c>
      <c r="O62" s="97">
        <f t="shared" si="47"/>
        <v>0</v>
      </c>
      <c r="P62" s="97">
        <f t="shared" si="47"/>
        <v>0</v>
      </c>
      <c r="Q62" s="92">
        <v>0.0</v>
      </c>
      <c r="R62" s="97">
        <f t="shared" ref="R62:S62" si="48">R61*R20</f>
        <v>0</v>
      </c>
      <c r="S62" s="97">
        <f t="shared" si="48"/>
        <v>0</v>
      </c>
      <c r="T62" s="270">
        <f>sum(C62:Q62)</f>
        <v>0</v>
      </c>
      <c r="U62" s="99"/>
    </row>
    <row r="63"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</row>
    <row r="64"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</row>
    <row r="65"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</row>
    <row r="66"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</row>
    <row r="67"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15"/>
    </row>
    <row r="68"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</row>
    <row r="69"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</row>
    <row r="70"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</row>
    <row r="71"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</row>
    <row r="72"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</row>
    <row r="73"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6"/>
      <c r="T73" s="125"/>
    </row>
    <row r="74"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6"/>
      <c r="T74" s="126"/>
      <c r="U74" s="102"/>
      <c r="V74" s="102"/>
      <c r="W74" s="102"/>
      <c r="X74" s="102"/>
    </row>
    <row r="75"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6"/>
      <c r="T75" s="126"/>
      <c r="U75" s="102"/>
      <c r="V75" s="102"/>
      <c r="W75" s="102"/>
      <c r="X75" s="102"/>
    </row>
    <row r="76"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</row>
    <row r="77"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</row>
    <row r="78"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</row>
    <row r="79"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</row>
    <row r="80"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6"/>
      <c r="T80" s="126"/>
    </row>
    <row r="81"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</row>
    <row r="82"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</row>
    <row r="83"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</row>
    <row r="84"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</row>
    <row r="85"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</row>
    <row r="86"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</row>
    <row r="87"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</row>
    <row r="88"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</row>
    <row r="89"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</row>
    <row r="90"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</row>
    <row r="91"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</row>
    <row r="92"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</row>
    <row r="93"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</row>
    <row r="94"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</row>
    <row r="95"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</row>
    <row r="96"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</row>
    <row r="97"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</row>
    <row r="98"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</row>
    <row r="99"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</row>
    <row r="100"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</row>
    <row r="101"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</row>
    <row r="102"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</row>
    <row r="103"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</row>
    <row r="104"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</row>
    <row r="105"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</row>
    <row r="106"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</row>
    <row r="107"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</row>
    <row r="108"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</row>
    <row r="109"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</row>
    <row r="110"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</row>
    <row r="111"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</row>
    <row r="112"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</row>
    <row r="113"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</row>
    <row r="114"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</row>
    <row r="115"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</row>
    <row r="116"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</row>
    <row r="117"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</row>
    <row r="118"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</row>
    <row r="119"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</row>
    <row r="120"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</row>
    <row r="121"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</row>
    <row r="122"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</row>
    <row r="123"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</row>
    <row r="124"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</row>
    <row r="125"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</row>
    <row r="126"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</row>
    <row r="127"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</row>
    <row r="128"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</row>
    <row r="129"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</row>
    <row r="130"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</row>
    <row r="131"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</row>
    <row r="132"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</row>
    <row r="133"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</row>
    <row r="134"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</row>
    <row r="135"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</row>
    <row r="136"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</row>
    <row r="137"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</row>
    <row r="138"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</row>
    <row r="139"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</row>
    <row r="140"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</row>
    <row r="141"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</row>
    <row r="142"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</row>
    <row r="143"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</row>
    <row r="144"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</row>
    <row r="145"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</row>
    <row r="146"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</row>
    <row r="147"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</row>
    <row r="148"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</row>
    <row r="149"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</row>
    <row r="150"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</row>
    <row r="151"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</row>
    <row r="152"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</row>
    <row r="153"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</row>
    <row r="154"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</row>
    <row r="155"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</row>
    <row r="156"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</row>
    <row r="157"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</row>
    <row r="158"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</row>
    <row r="159"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</row>
    <row r="160"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</row>
    <row r="161"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</row>
    <row r="162"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</row>
    <row r="163"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</row>
    <row r="164"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</row>
    <row r="165"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</row>
    <row r="166"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</row>
    <row r="167"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</row>
    <row r="168"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</row>
    <row r="169"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</row>
    <row r="170"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</row>
    <row r="171"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</row>
    <row r="172"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</row>
    <row r="173"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</row>
    <row r="174"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</row>
    <row r="175"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</row>
    <row r="176"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</row>
    <row r="177"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</row>
    <row r="178"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</row>
    <row r="179"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</row>
    <row r="180"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</row>
    <row r="181"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</row>
    <row r="182"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</row>
    <row r="183"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</row>
    <row r="184"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</row>
    <row r="185"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</row>
    <row r="186"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</row>
    <row r="187"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</row>
    <row r="188"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</row>
    <row r="189"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</row>
    <row r="190"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</row>
    <row r="191"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</row>
    <row r="192"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</row>
    <row r="193"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</row>
    <row r="194"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</row>
    <row r="195"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</row>
    <row r="196"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</row>
    <row r="197"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</row>
    <row r="198"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</row>
    <row r="199"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</row>
    <row r="200"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</row>
    <row r="201"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</row>
    <row r="202"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</row>
    <row r="203"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</row>
    <row r="204"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</row>
    <row r="205"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</row>
    <row r="206"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</row>
    <row r="207"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</row>
    <row r="208"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</row>
    <row r="209"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</row>
    <row r="210"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</row>
    <row r="211"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</row>
    <row r="212"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</row>
    <row r="213"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</row>
    <row r="214"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</row>
    <row r="215"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</row>
    <row r="216"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</row>
    <row r="217"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</row>
    <row r="218"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</row>
    <row r="219"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</row>
    <row r="220"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</row>
    <row r="221"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</row>
    <row r="222"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</row>
    <row r="223"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</row>
    <row r="224"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</row>
    <row r="225"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</row>
    <row r="226"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</row>
    <row r="227"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</row>
    <row r="228"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</row>
    <row r="229"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</row>
    <row r="230"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</row>
    <row r="231"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</row>
    <row r="232"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</row>
    <row r="233"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</row>
    <row r="234"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</row>
    <row r="235"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</row>
    <row r="236"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</row>
    <row r="237"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</row>
    <row r="238"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</row>
    <row r="239"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</row>
    <row r="240"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</row>
    <row r="241"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</row>
    <row r="242"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</row>
    <row r="243"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</row>
    <row r="244"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</row>
    <row r="245"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</row>
    <row r="246"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</row>
    <row r="247"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</row>
    <row r="248"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</row>
    <row r="249"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</row>
    <row r="250"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</row>
    <row r="251"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</row>
    <row r="252"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</row>
    <row r="253"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</row>
    <row r="254"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</row>
    <row r="255"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</row>
    <row r="256"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</row>
    <row r="257"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</row>
    <row r="258"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</row>
    <row r="259"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</row>
    <row r="260"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</row>
    <row r="261"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</row>
    <row r="262"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</row>
    <row r="263"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</row>
    <row r="264"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</row>
    <row r="265"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</row>
    <row r="266"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</row>
    <row r="267"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</row>
    <row r="268"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</row>
    <row r="269"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</row>
    <row r="270"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</row>
    <row r="271"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</row>
    <row r="272"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</row>
    <row r="273"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</row>
    <row r="274"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</row>
    <row r="275"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</row>
    <row r="276"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</row>
    <row r="277"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</row>
    <row r="278"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</row>
    <row r="279"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</row>
    <row r="280"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</row>
    <row r="281"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</row>
    <row r="282"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</row>
    <row r="283"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</row>
    <row r="284"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</row>
    <row r="285"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</row>
    <row r="286"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</row>
    <row r="287"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</row>
    <row r="288"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</row>
    <row r="289"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</row>
    <row r="290"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</row>
    <row r="291"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</row>
    <row r="292"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</row>
    <row r="293"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</row>
    <row r="294"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</row>
    <row r="295"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</row>
    <row r="296"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</row>
    <row r="297"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</row>
    <row r="298"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</row>
    <row r="299"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</row>
    <row r="300"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</row>
    <row r="301"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</row>
    <row r="302"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</row>
    <row r="303"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</row>
    <row r="304"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</row>
    <row r="305"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</row>
    <row r="306"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</row>
    <row r="307"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</row>
    <row r="308"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</row>
    <row r="309"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</row>
    <row r="310"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</row>
    <row r="311"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</row>
    <row r="312"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</row>
    <row r="313"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</row>
    <row r="314"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</row>
    <row r="315"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</row>
    <row r="316"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</row>
    <row r="317"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</row>
    <row r="318"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</row>
    <row r="319"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</row>
    <row r="320"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</row>
    <row r="321"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</row>
    <row r="322"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</row>
    <row r="323"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</row>
    <row r="324"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</row>
    <row r="325"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</row>
    <row r="326"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</row>
    <row r="327"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</row>
    <row r="328"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</row>
    <row r="329"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</row>
    <row r="330"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</row>
    <row r="331"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</row>
    <row r="332"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</row>
    <row r="333"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</row>
    <row r="334"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</row>
    <row r="335"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</row>
    <row r="336"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</row>
    <row r="337"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</row>
    <row r="338"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</row>
    <row r="339"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</row>
    <row r="340"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</row>
    <row r="341"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</row>
    <row r="342"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</row>
    <row r="343"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</row>
    <row r="344"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</row>
    <row r="345"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</row>
    <row r="346"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</row>
    <row r="347"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</row>
    <row r="348"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</row>
    <row r="349"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</row>
    <row r="350"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</row>
    <row r="351"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</row>
    <row r="352"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</row>
    <row r="353"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</row>
    <row r="354"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</row>
    <row r="355"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</row>
    <row r="356"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</row>
    <row r="357"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</row>
    <row r="358"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</row>
    <row r="359"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</row>
    <row r="360"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</row>
    <row r="361"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</row>
    <row r="362"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</row>
    <row r="363"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</row>
    <row r="364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</row>
    <row r="365"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</row>
    <row r="366"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</row>
    <row r="367"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</row>
    <row r="368"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</row>
    <row r="369"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</row>
    <row r="370"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</row>
    <row r="371"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</row>
    <row r="372"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</row>
    <row r="373"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</row>
    <row r="374"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</row>
    <row r="375"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</row>
    <row r="376"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</row>
    <row r="377"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</row>
    <row r="378"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</row>
    <row r="379"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</row>
    <row r="380"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</row>
    <row r="381"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</row>
    <row r="382"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</row>
    <row r="383"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</row>
    <row r="384"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</row>
    <row r="385"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</row>
    <row r="386"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</row>
    <row r="387"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</row>
    <row r="388"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</row>
    <row r="389"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</row>
    <row r="390"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</row>
    <row r="391"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</row>
    <row r="392"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</row>
    <row r="393"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</row>
    <row r="394"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</row>
    <row r="395"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</row>
    <row r="396"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</row>
    <row r="397"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</row>
    <row r="398"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</row>
    <row r="399"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</row>
    <row r="400"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</row>
    <row r="401"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</row>
    <row r="402"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</row>
    <row r="403"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</row>
    <row r="404"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</row>
    <row r="405"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</row>
    <row r="406"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</row>
    <row r="407"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</row>
    <row r="408"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</row>
    <row r="409"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</row>
    <row r="410"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</row>
    <row r="411"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</row>
    <row r="412"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</row>
    <row r="413"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</row>
    <row r="414"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</row>
    <row r="415"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</row>
    <row r="416"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</row>
    <row r="417"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</row>
    <row r="418"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</row>
    <row r="419"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</row>
    <row r="420"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</row>
    <row r="421"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</row>
    <row r="422"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</row>
    <row r="423"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</row>
    <row r="424"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</row>
    <row r="425"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</row>
    <row r="426"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</row>
    <row r="427"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</row>
    <row r="428"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</row>
    <row r="429"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</row>
    <row r="430"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</row>
    <row r="431"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</row>
    <row r="432"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</row>
    <row r="433"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</row>
    <row r="434"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</row>
    <row r="435"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</row>
    <row r="436"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</row>
    <row r="437"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</row>
    <row r="438"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</row>
    <row r="439"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</row>
    <row r="440"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</row>
    <row r="441"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</row>
    <row r="442"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</row>
    <row r="443"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</row>
    <row r="444"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</row>
    <row r="445"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</row>
    <row r="446"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</row>
    <row r="447"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</row>
    <row r="448"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</row>
    <row r="449"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</row>
    <row r="450"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</row>
    <row r="451"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</row>
    <row r="452"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</row>
    <row r="453"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</row>
    <row r="454"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</row>
    <row r="455"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</row>
    <row r="456"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</row>
    <row r="457"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</row>
    <row r="458"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</row>
    <row r="459"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</row>
    <row r="460"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</row>
    <row r="461"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</row>
    <row r="462"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</row>
    <row r="463"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</row>
    <row r="464"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</row>
    <row r="465"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</row>
    <row r="466"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</row>
    <row r="467"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</row>
    <row r="468"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</row>
    <row r="469"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</row>
    <row r="470"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</row>
    <row r="471"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</row>
    <row r="472"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</row>
    <row r="473"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</row>
    <row r="474"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</row>
    <row r="475"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</row>
    <row r="476"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</row>
    <row r="477"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</row>
    <row r="478"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</row>
    <row r="479"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</row>
    <row r="480"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</row>
    <row r="481"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</row>
    <row r="482"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</row>
    <row r="483"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</row>
    <row r="484"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</row>
    <row r="485"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</row>
    <row r="486"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</row>
    <row r="487"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</row>
    <row r="488"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</row>
    <row r="489"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</row>
    <row r="490"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</row>
    <row r="491"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</row>
    <row r="492"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</row>
    <row r="493"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</row>
    <row r="494"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</row>
    <row r="495"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</row>
    <row r="496"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</row>
    <row r="497"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</row>
    <row r="498"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</row>
    <row r="499"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</row>
    <row r="500"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</row>
    <row r="501"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</row>
    <row r="502"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</row>
    <row r="503"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</row>
    <row r="504"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</row>
    <row r="505"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</row>
    <row r="506"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</row>
    <row r="507"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</row>
    <row r="508"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</row>
    <row r="509"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</row>
    <row r="510"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</row>
    <row r="511"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</row>
    <row r="512"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</row>
    <row r="513"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</row>
    <row r="514"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</row>
    <row r="515"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</row>
    <row r="516"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</row>
    <row r="517"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</row>
    <row r="518"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</row>
    <row r="519"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</row>
    <row r="520"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</row>
    <row r="521"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</row>
    <row r="522"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</row>
    <row r="523"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</row>
    <row r="524"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</row>
    <row r="525"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</row>
    <row r="526"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</row>
    <row r="527"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</row>
    <row r="528"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</row>
    <row r="529"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</row>
    <row r="530"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</row>
    <row r="531"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</row>
    <row r="532"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</row>
    <row r="533"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</row>
    <row r="534"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</row>
    <row r="535"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</row>
    <row r="536"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</row>
    <row r="537"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</row>
    <row r="538"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</row>
    <row r="539"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</row>
    <row r="540"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</row>
    <row r="541"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</row>
    <row r="542"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</row>
    <row r="543"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</row>
    <row r="544"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</row>
    <row r="545"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</row>
    <row r="546"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</row>
    <row r="547"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</row>
    <row r="548"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</row>
    <row r="549"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</row>
    <row r="550"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</row>
    <row r="551"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</row>
    <row r="552"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</row>
    <row r="553"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</row>
    <row r="554"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</row>
    <row r="555"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</row>
    <row r="556"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</row>
    <row r="557"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</row>
    <row r="558"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</row>
    <row r="559"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</row>
    <row r="560"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</row>
    <row r="561"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</row>
    <row r="562"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</row>
    <row r="563"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</row>
    <row r="564"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</row>
    <row r="565"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</row>
    <row r="566"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</row>
    <row r="567"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</row>
    <row r="568"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</row>
    <row r="569"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</row>
    <row r="570"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</row>
    <row r="571"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</row>
    <row r="572"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</row>
    <row r="573"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</row>
    <row r="574"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</row>
    <row r="575"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</row>
    <row r="576"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</row>
    <row r="577"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</row>
    <row r="578"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</row>
    <row r="579"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</row>
    <row r="580"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</row>
    <row r="581"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</row>
    <row r="582"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</row>
    <row r="583"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</row>
    <row r="584"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</row>
    <row r="585"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</row>
    <row r="586"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</row>
    <row r="587"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</row>
    <row r="588"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</row>
    <row r="589"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</row>
    <row r="590"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</row>
    <row r="591"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</row>
    <row r="592"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</row>
    <row r="593"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</row>
    <row r="594"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</row>
    <row r="595"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</row>
    <row r="596"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</row>
    <row r="597"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</row>
    <row r="598"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</row>
    <row r="599"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</row>
    <row r="600"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</row>
    <row r="601"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</row>
    <row r="602"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</row>
    <row r="603"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</row>
    <row r="604"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</row>
    <row r="605"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</row>
    <row r="606"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</row>
    <row r="607"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</row>
    <row r="608"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</row>
    <row r="609"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</row>
    <row r="610"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</row>
    <row r="611"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</row>
    <row r="612"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</row>
    <row r="613"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</row>
    <row r="614"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</row>
    <row r="615"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</row>
    <row r="616"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</row>
    <row r="617"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</row>
    <row r="618"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</row>
    <row r="619"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</row>
    <row r="620"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</row>
    <row r="621"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</row>
    <row r="622"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</row>
    <row r="623"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</row>
    <row r="624"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</row>
    <row r="625"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</row>
    <row r="626"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</row>
    <row r="627"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</row>
    <row r="628"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</row>
    <row r="629"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</row>
    <row r="630"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</row>
    <row r="631"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</row>
    <row r="632"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</row>
    <row r="633"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</row>
    <row r="634"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</row>
    <row r="635"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</row>
    <row r="636"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</row>
    <row r="637"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</row>
    <row r="638"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</row>
    <row r="639"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</row>
    <row r="640"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</row>
    <row r="641"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</row>
    <row r="642"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</row>
    <row r="643"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</row>
    <row r="644"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</row>
    <row r="645"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</row>
    <row r="646"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</row>
    <row r="647"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</row>
    <row r="648"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</row>
    <row r="649"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</row>
    <row r="650"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</row>
    <row r="651"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</row>
    <row r="652"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</row>
    <row r="653"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</row>
    <row r="654"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</row>
    <row r="655"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</row>
    <row r="656"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</row>
    <row r="657"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</row>
    <row r="658"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</row>
    <row r="659"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</row>
    <row r="660"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</row>
    <row r="661"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</row>
    <row r="662"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</row>
    <row r="663"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</row>
    <row r="664"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</row>
    <row r="665"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</row>
    <row r="666"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</row>
    <row r="667"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</row>
    <row r="668"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</row>
    <row r="669"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</row>
    <row r="670"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</row>
    <row r="671"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</row>
    <row r="672"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</row>
    <row r="673"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</row>
    <row r="674"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</row>
    <row r="675"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</row>
    <row r="676"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</row>
    <row r="677"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</row>
    <row r="678"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</row>
    <row r="679"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</row>
    <row r="680"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</row>
    <row r="681"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</row>
    <row r="682"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</row>
    <row r="683"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</row>
    <row r="684"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</row>
    <row r="685"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</row>
    <row r="686"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</row>
    <row r="687"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</row>
    <row r="688"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</row>
    <row r="689"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</row>
    <row r="690"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</row>
    <row r="691"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</row>
    <row r="692"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</row>
    <row r="693"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</row>
    <row r="694"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</row>
    <row r="695"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</row>
    <row r="696"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</row>
    <row r="697"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</row>
    <row r="698"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</row>
    <row r="699"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</row>
    <row r="700"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</row>
    <row r="701"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</row>
    <row r="702"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</row>
    <row r="703"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</row>
    <row r="704"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</row>
    <row r="705"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</row>
    <row r="706"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</row>
    <row r="707"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</row>
    <row r="708"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</row>
    <row r="709"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</row>
    <row r="710"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</row>
    <row r="711"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</row>
    <row r="712"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</row>
    <row r="713"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</row>
    <row r="714"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</row>
    <row r="715"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</row>
    <row r="716"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</row>
    <row r="717"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</row>
    <row r="718"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</row>
    <row r="719"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</row>
    <row r="720"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</row>
    <row r="721"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</row>
    <row r="722"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</row>
    <row r="723"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</row>
    <row r="724"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</row>
    <row r="725"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</row>
    <row r="726"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</row>
    <row r="727"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</row>
    <row r="728"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</row>
    <row r="729"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</row>
    <row r="730"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</row>
    <row r="731"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</row>
    <row r="732"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</row>
    <row r="733"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</row>
    <row r="734"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</row>
    <row r="735"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</row>
    <row r="736"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</row>
    <row r="737"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</row>
    <row r="738"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</row>
    <row r="739"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</row>
    <row r="740"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</row>
    <row r="741"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</row>
    <row r="742"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</row>
    <row r="743"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</row>
    <row r="744"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</row>
    <row r="745"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</row>
    <row r="746"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</row>
    <row r="747"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</row>
    <row r="748"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</row>
    <row r="749"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</row>
    <row r="750"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</row>
    <row r="751"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</row>
    <row r="752"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</row>
    <row r="753"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</row>
    <row r="754"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</row>
    <row r="755"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</row>
    <row r="756"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</row>
    <row r="757"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</row>
    <row r="758"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</row>
    <row r="759"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</row>
    <row r="760"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</row>
    <row r="761"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</row>
    <row r="762"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</row>
    <row r="763"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</row>
    <row r="764"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</row>
    <row r="765"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</row>
    <row r="766"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</row>
    <row r="767"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</row>
    <row r="768"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</row>
    <row r="769"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</row>
    <row r="770"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</row>
    <row r="771"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</row>
    <row r="772"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</row>
    <row r="773"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</row>
    <row r="774"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</row>
    <row r="775"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</row>
    <row r="776"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</row>
    <row r="777"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</row>
    <row r="778"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</row>
    <row r="779"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</row>
    <row r="780"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</row>
    <row r="781"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</row>
    <row r="782"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</row>
    <row r="783"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</row>
    <row r="784"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</row>
    <row r="785"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</row>
    <row r="786"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</row>
    <row r="787"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</row>
    <row r="788"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</row>
    <row r="789"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</row>
    <row r="790"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</row>
    <row r="791"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</row>
    <row r="792"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</row>
    <row r="793"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</row>
    <row r="794"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</row>
    <row r="795"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</row>
    <row r="796"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</row>
    <row r="797"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</row>
    <row r="798"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</row>
    <row r="799"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</row>
    <row r="800"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</row>
    <row r="801"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</row>
    <row r="802"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</row>
    <row r="803"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</row>
    <row r="804"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</row>
    <row r="805"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</row>
    <row r="806"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</row>
    <row r="807"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</row>
    <row r="808"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</row>
    <row r="809"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</row>
    <row r="810"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</row>
    <row r="811"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</row>
    <row r="812"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</row>
    <row r="813"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</row>
    <row r="814"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</row>
    <row r="815"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</row>
    <row r="816"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</row>
    <row r="817"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</row>
    <row r="818"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</row>
    <row r="819"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</row>
    <row r="820"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</row>
    <row r="821"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</row>
    <row r="822"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</row>
    <row r="823"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</row>
    <row r="824"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</row>
    <row r="825"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</row>
    <row r="826"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</row>
    <row r="827"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</row>
    <row r="828"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</row>
    <row r="829"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</row>
    <row r="830"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</row>
    <row r="831"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</row>
    <row r="832"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</row>
    <row r="833"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</row>
    <row r="834"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</row>
    <row r="835"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</row>
    <row r="836"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</row>
    <row r="837"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</row>
    <row r="838"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</row>
    <row r="839"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</row>
    <row r="840"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</row>
    <row r="841"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</row>
    <row r="842"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</row>
    <row r="843"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</row>
    <row r="844"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</row>
    <row r="845"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</row>
    <row r="846"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</row>
    <row r="847"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</row>
    <row r="848"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</row>
    <row r="849"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</row>
    <row r="850"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</row>
    <row r="851"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</row>
    <row r="852"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</row>
    <row r="853"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</row>
    <row r="854"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</row>
    <row r="855"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</row>
    <row r="856"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</row>
    <row r="857"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</row>
    <row r="858"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</row>
    <row r="859"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</row>
    <row r="860"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</row>
    <row r="861"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</row>
    <row r="862"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</row>
    <row r="863"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</row>
    <row r="864"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</row>
    <row r="865"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</row>
    <row r="866"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</row>
    <row r="867"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</row>
    <row r="868"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</row>
    <row r="869"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</row>
    <row r="870"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</row>
    <row r="871"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</row>
    <row r="872"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</row>
    <row r="873"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</row>
    <row r="874"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</row>
    <row r="875"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</row>
    <row r="876"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</row>
    <row r="877"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</row>
    <row r="878"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</row>
    <row r="879"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</row>
    <row r="880"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</row>
    <row r="881"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</row>
    <row r="882"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</row>
    <row r="883"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</row>
    <row r="884"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</row>
    <row r="885"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</row>
    <row r="886"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</row>
    <row r="887"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</row>
    <row r="888"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</row>
    <row r="889"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</row>
    <row r="890"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</row>
    <row r="891"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</row>
    <row r="892"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</row>
    <row r="893"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</row>
    <row r="894"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</row>
    <row r="895"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</row>
    <row r="896"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</row>
    <row r="897"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</row>
    <row r="898"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</row>
    <row r="899"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</row>
    <row r="900"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</row>
    <row r="901"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</row>
    <row r="902"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</row>
    <row r="903"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</row>
    <row r="904"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</row>
    <row r="905"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</row>
    <row r="906"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</row>
    <row r="907"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</row>
    <row r="908"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</row>
    <row r="909"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</row>
    <row r="910"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</row>
    <row r="911"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</row>
    <row r="912"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</row>
    <row r="913"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</row>
    <row r="914"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</row>
    <row r="915"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</row>
    <row r="916"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</row>
    <row r="917"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</row>
    <row r="918"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</row>
    <row r="919"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</row>
    <row r="920"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</row>
    <row r="921"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</row>
    <row r="922"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</row>
    <row r="923"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</row>
    <row r="924"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</row>
    <row r="925"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</row>
    <row r="926"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</row>
    <row r="927"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</row>
    <row r="928"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</row>
    <row r="929"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</row>
    <row r="930"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</row>
    <row r="931"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</row>
    <row r="932"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</row>
    <row r="933"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</row>
    <row r="934"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</row>
    <row r="935"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</row>
    <row r="936"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</row>
    <row r="937"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</row>
    <row r="938"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</row>
    <row r="939"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</row>
    <row r="940"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</row>
    <row r="941"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</row>
    <row r="942"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</row>
    <row r="943"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</row>
    <row r="944"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</row>
    <row r="945"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</row>
    <row r="946"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</row>
    <row r="947"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</row>
    <row r="948"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</row>
    <row r="949"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</row>
    <row r="950"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</row>
    <row r="951"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</row>
    <row r="952"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</row>
    <row r="953"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</row>
    <row r="954"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</row>
    <row r="955"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</row>
    <row r="956"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</row>
    <row r="957"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</row>
    <row r="958"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</row>
    <row r="959"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</row>
    <row r="960"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</row>
    <row r="961"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</row>
    <row r="962"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</row>
    <row r="963"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</row>
    <row r="964"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</row>
    <row r="965"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</row>
    <row r="966"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</row>
    <row r="967"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</row>
    <row r="968"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</row>
    <row r="969"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</row>
    <row r="970"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</row>
    <row r="971"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</row>
    <row r="972"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</row>
    <row r="973"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</row>
    <row r="974"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</row>
    <row r="975"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</row>
    <row r="976"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</row>
    <row r="977"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</row>
    <row r="978"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</row>
    <row r="979"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</row>
    <row r="980"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</row>
    <row r="981"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</row>
    <row r="982"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</row>
    <row r="983"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</row>
    <row r="984"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</row>
    <row r="985"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</row>
    <row r="986"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</row>
    <row r="987"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</row>
    <row r="988"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</row>
    <row r="989"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</row>
    <row r="990"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</row>
    <row r="991"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</row>
    <row r="992"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</row>
    <row r="993"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</row>
    <row r="994"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</row>
    <row r="995"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</row>
    <row r="996"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</row>
    <row r="997"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</row>
    <row r="998"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</row>
    <row r="999"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</row>
    <row r="1000"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</row>
    <row r="1001"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</row>
    <row r="1002"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</row>
    <row r="1003">
      <c r="C1003" s="125"/>
      <c r="D1003" s="125"/>
      <c r="E1003" s="125"/>
      <c r="F1003" s="125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</row>
    <row r="1004">
      <c r="C1004" s="125"/>
      <c r="D1004" s="125"/>
      <c r="E1004" s="125"/>
      <c r="F1004" s="125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</row>
    <row r="1005">
      <c r="C1005" s="125"/>
      <c r="D1005" s="125"/>
      <c r="E1005" s="125"/>
      <c r="F1005" s="125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</row>
    <row r="1006">
      <c r="C1006" s="125"/>
      <c r="D1006" s="125"/>
      <c r="E1006" s="125"/>
      <c r="F1006" s="125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</row>
    <row r="1007">
      <c r="C1007" s="125"/>
      <c r="D1007" s="125"/>
      <c r="E1007" s="125"/>
      <c r="F1007" s="125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</row>
    <row r="1008">
      <c r="C1008" s="125"/>
      <c r="D1008" s="125"/>
      <c r="E1008" s="125"/>
      <c r="F1008" s="125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</row>
    <row r="1009">
      <c r="C1009" s="125"/>
      <c r="D1009" s="125"/>
      <c r="E1009" s="125"/>
      <c r="F1009" s="125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</row>
    <row r="1010">
      <c r="C1010" s="125"/>
      <c r="D1010" s="125"/>
      <c r="E1010" s="125"/>
      <c r="F1010" s="125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</row>
    <row r="1011">
      <c r="C1011" s="125"/>
      <c r="D1011" s="125"/>
      <c r="E1011" s="125"/>
      <c r="F1011" s="125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</row>
    <row r="1012">
      <c r="C1012" s="125"/>
      <c r="D1012" s="125"/>
      <c r="E1012" s="125"/>
      <c r="F1012" s="125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</row>
    <row r="1013">
      <c r="C1013" s="125"/>
      <c r="D1013" s="125"/>
      <c r="E1013" s="125"/>
      <c r="F1013" s="125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</row>
    <row r="1014">
      <c r="C1014" s="125"/>
      <c r="D1014" s="125"/>
      <c r="E1014" s="125"/>
      <c r="F1014" s="125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</row>
    <row r="1015">
      <c r="C1015" s="125"/>
      <c r="D1015" s="125"/>
      <c r="E1015" s="125"/>
      <c r="F1015" s="125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</row>
    <row r="1016">
      <c r="C1016" s="125"/>
      <c r="D1016" s="125"/>
      <c r="E1016" s="125"/>
      <c r="F1016" s="125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</row>
    <row r="1017">
      <c r="C1017" s="125"/>
      <c r="D1017" s="125"/>
      <c r="E1017" s="125"/>
      <c r="F1017" s="125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</row>
    <row r="1018">
      <c r="C1018" s="125"/>
      <c r="D1018" s="125"/>
      <c r="E1018" s="125"/>
      <c r="F1018" s="125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</row>
    <row r="1019">
      <c r="C1019" s="125"/>
      <c r="D1019" s="125"/>
      <c r="E1019" s="125"/>
      <c r="F1019" s="125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</row>
    <row r="1020">
      <c r="C1020" s="125"/>
      <c r="D1020" s="125"/>
      <c r="E1020" s="125"/>
      <c r="F1020" s="125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</row>
    <row r="1021">
      <c r="C1021" s="125"/>
      <c r="D1021" s="125"/>
      <c r="E1021" s="125"/>
      <c r="F1021" s="125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</row>
    <row r="1022">
      <c r="C1022" s="125"/>
      <c r="D1022" s="125"/>
      <c r="E1022" s="125"/>
      <c r="F1022" s="125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</row>
    <row r="1023">
      <c r="C1023" s="125"/>
      <c r="D1023" s="125"/>
      <c r="E1023" s="125"/>
      <c r="F1023" s="125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</row>
    <row r="1024">
      <c r="C1024" s="125"/>
      <c r="D1024" s="125"/>
      <c r="E1024" s="125"/>
      <c r="F1024" s="125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</row>
    <row r="1025">
      <c r="C1025" s="125"/>
      <c r="D1025" s="125"/>
      <c r="E1025" s="125"/>
      <c r="F1025" s="125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</row>
    <row r="1026">
      <c r="C1026" s="125"/>
      <c r="D1026" s="125"/>
      <c r="E1026" s="125"/>
      <c r="F1026" s="125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</row>
    <row r="1027">
      <c r="C1027" s="125"/>
      <c r="D1027" s="125"/>
      <c r="E1027" s="125"/>
      <c r="F1027" s="125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</row>
    <row r="1028">
      <c r="C1028" s="125"/>
      <c r="D1028" s="125"/>
      <c r="E1028" s="125"/>
      <c r="F1028" s="125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</row>
    <row r="1029">
      <c r="C1029" s="125"/>
      <c r="D1029" s="125"/>
      <c r="E1029" s="125"/>
      <c r="F1029" s="125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</row>
    <row r="1030">
      <c r="C1030" s="125"/>
      <c r="D1030" s="125"/>
      <c r="E1030" s="125"/>
      <c r="F1030" s="125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</row>
    <row r="1031">
      <c r="C1031" s="125"/>
      <c r="D1031" s="125"/>
      <c r="E1031" s="125"/>
      <c r="F1031" s="125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</row>
    <row r="1032">
      <c r="C1032" s="125"/>
      <c r="D1032" s="125"/>
      <c r="E1032" s="125"/>
      <c r="F1032" s="125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</row>
    <row r="1033">
      <c r="C1033" s="125"/>
      <c r="D1033" s="125"/>
      <c r="E1033" s="125"/>
      <c r="F1033" s="125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</row>
    <row r="1034">
      <c r="C1034" s="125"/>
      <c r="D1034" s="125"/>
      <c r="E1034" s="125"/>
      <c r="F1034" s="125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</row>
    <row r="1035">
      <c r="C1035" s="125"/>
      <c r="D1035" s="125"/>
      <c r="E1035" s="125"/>
      <c r="F1035" s="125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</row>
    <row r="1036">
      <c r="C1036" s="125"/>
      <c r="D1036" s="125"/>
      <c r="E1036" s="125"/>
      <c r="F1036" s="125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</row>
    <row r="1037">
      <c r="C1037" s="125"/>
      <c r="D1037" s="125"/>
      <c r="E1037" s="125"/>
      <c r="F1037" s="125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</row>
    <row r="1038">
      <c r="C1038" s="125"/>
      <c r="D1038" s="125"/>
      <c r="E1038" s="125"/>
      <c r="F1038" s="125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</row>
    <row r="1039">
      <c r="C1039" s="125"/>
      <c r="D1039" s="125"/>
      <c r="E1039" s="125"/>
      <c r="F1039" s="125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</row>
    <row r="1040">
      <c r="C1040" s="125"/>
      <c r="D1040" s="125"/>
      <c r="E1040" s="125"/>
      <c r="F1040" s="125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</row>
    <row r="1041">
      <c r="C1041" s="125"/>
      <c r="D1041" s="125"/>
      <c r="E1041" s="125"/>
      <c r="F1041" s="125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</row>
    <row r="1042">
      <c r="C1042" s="125"/>
      <c r="D1042" s="125"/>
      <c r="E1042" s="125"/>
      <c r="F1042" s="125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</row>
    <row r="1043">
      <c r="C1043" s="125"/>
      <c r="D1043" s="125"/>
      <c r="E1043" s="125"/>
      <c r="F1043" s="125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</row>
    <row r="1044">
      <c r="C1044" s="125"/>
      <c r="D1044" s="125"/>
      <c r="E1044" s="125"/>
      <c r="F1044" s="125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</row>
    <row r="1045">
      <c r="C1045" s="125"/>
      <c r="D1045" s="125"/>
      <c r="E1045" s="125"/>
      <c r="F1045" s="125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</row>
    <row r="1046">
      <c r="C1046" s="125"/>
      <c r="D1046" s="125"/>
      <c r="E1046" s="125"/>
      <c r="F1046" s="125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</row>
    <row r="1047">
      <c r="C1047" s="125"/>
      <c r="D1047" s="125"/>
      <c r="E1047" s="125"/>
      <c r="F1047" s="125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</row>
    <row r="1048">
      <c r="C1048" s="125"/>
      <c r="D1048" s="125"/>
      <c r="E1048" s="125"/>
      <c r="F1048" s="125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</row>
    <row r="1049">
      <c r="C1049" s="125"/>
      <c r="D1049" s="125"/>
      <c r="E1049" s="125"/>
      <c r="F1049" s="125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</row>
    <row r="1050">
      <c r="C1050" s="125"/>
      <c r="D1050" s="125"/>
      <c r="E1050" s="125"/>
      <c r="F1050" s="125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</row>
    <row r="1051">
      <c r="C1051" s="125"/>
      <c r="D1051" s="125"/>
      <c r="E1051" s="125"/>
      <c r="F1051" s="125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</row>
    <row r="1052">
      <c r="C1052" s="125"/>
      <c r="D1052" s="125"/>
      <c r="E1052" s="125"/>
      <c r="F1052" s="125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</row>
    <row r="1053">
      <c r="C1053" s="125"/>
      <c r="D1053" s="125"/>
      <c r="E1053" s="125"/>
      <c r="F1053" s="125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</row>
    <row r="1054">
      <c r="C1054" s="125"/>
      <c r="D1054" s="125"/>
      <c r="E1054" s="125"/>
      <c r="F1054" s="125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</row>
    <row r="1055">
      <c r="C1055" s="125"/>
      <c r="D1055" s="125"/>
      <c r="E1055" s="125"/>
      <c r="F1055" s="125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</row>
    <row r="1056">
      <c r="C1056" s="125"/>
      <c r="D1056" s="125"/>
      <c r="E1056" s="125"/>
      <c r="F1056" s="125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8.0"/>
  </cols>
  <sheetData>
    <row r="1">
      <c r="A1" s="115" t="s">
        <v>12564</v>
      </c>
      <c r="B1" s="231">
        <v>6646394.0</v>
      </c>
    </row>
    <row r="2">
      <c r="A2" s="115" t="s">
        <v>12565</v>
      </c>
      <c r="B2" s="231">
        <v>5095514.0</v>
      </c>
    </row>
    <row r="3">
      <c r="A3" s="115" t="s">
        <v>12566</v>
      </c>
      <c r="B3" s="231">
        <v>1056915.0</v>
      </c>
    </row>
    <row r="4">
      <c r="A4" s="278"/>
      <c r="B4" s="102"/>
    </row>
    <row r="5">
      <c r="A5" s="278">
        <v>45658.0</v>
      </c>
      <c r="B5" s="207">
        <v>64103.0</v>
      </c>
    </row>
    <row r="6">
      <c r="A6" s="278">
        <v>45689.0</v>
      </c>
      <c r="B6" s="207">
        <v>58898.0</v>
      </c>
    </row>
    <row r="7">
      <c r="A7" s="278">
        <v>45717.0</v>
      </c>
      <c r="B7" s="207">
        <v>69689.0</v>
      </c>
    </row>
    <row r="8">
      <c r="A8" s="278">
        <v>45748.0</v>
      </c>
      <c r="B8" s="207">
        <v>68655.0</v>
      </c>
    </row>
    <row r="9">
      <c r="A9" s="278">
        <v>45778.0</v>
      </c>
      <c r="B9" s="207">
        <v>81885.0</v>
      </c>
    </row>
    <row r="10">
      <c r="A10" s="278">
        <v>45809.0</v>
      </c>
      <c r="B10" s="207">
        <v>83286.0</v>
      </c>
    </row>
    <row r="11">
      <c r="A11" s="278">
        <v>45839.0</v>
      </c>
      <c r="B11" s="207">
        <v>83127.0</v>
      </c>
    </row>
    <row r="12">
      <c r="A12" s="278">
        <v>45870.0</v>
      </c>
      <c r="B12" s="207">
        <v>147217.0</v>
      </c>
    </row>
    <row r="13">
      <c r="A13" s="278">
        <v>45901.0</v>
      </c>
      <c r="B13" s="207">
        <v>72251.0</v>
      </c>
    </row>
    <row r="14">
      <c r="A14" s="278">
        <v>45931.0</v>
      </c>
      <c r="B14" s="207">
        <v>62875.0</v>
      </c>
    </row>
    <row r="15">
      <c r="A15" s="278">
        <v>45962.0</v>
      </c>
      <c r="B15" s="207">
        <v>60218.0</v>
      </c>
    </row>
    <row r="16">
      <c r="A16" s="278">
        <v>45992.0</v>
      </c>
      <c r="B16" s="207">
        <v>55598.0</v>
      </c>
    </row>
    <row r="17">
      <c r="A17" s="278">
        <v>46023.0</v>
      </c>
      <c r="B17" s="207">
        <v>52666.0</v>
      </c>
    </row>
    <row r="18">
      <c r="A18" s="278">
        <v>46054.0</v>
      </c>
      <c r="B18" s="207">
        <v>38122.0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9.63"/>
    <col customWidth="1" min="2" max="2" width="41.5"/>
    <col customWidth="1" min="3" max="3" width="12.13"/>
    <col customWidth="1" min="4" max="4" width="11.88"/>
    <col customWidth="1" min="5" max="5" width="18.0"/>
    <col customWidth="1" min="6" max="6" width="9.75"/>
    <col customWidth="1" min="7" max="7" width="30.5"/>
    <col customWidth="1" min="8" max="8" width="13.38"/>
    <col customWidth="1" min="9" max="9" width="15.13"/>
    <col customWidth="1" min="10" max="10" width="19.5"/>
    <col customWidth="1" min="11" max="11" width="17.75"/>
    <col customWidth="1" min="12" max="32" width="4.13"/>
  </cols>
  <sheetData>
    <row r="1">
      <c r="A1" s="279" t="s">
        <v>12567</v>
      </c>
      <c r="B1" s="279" t="s">
        <v>12568</v>
      </c>
      <c r="C1" s="279" t="s">
        <v>4410</v>
      </c>
      <c r="D1" s="280" t="s">
        <v>12569</v>
      </c>
      <c r="E1" s="280" t="s">
        <v>12570</v>
      </c>
      <c r="F1" s="281" t="s">
        <v>12571</v>
      </c>
      <c r="G1" s="282" t="s">
        <v>12572</v>
      </c>
      <c r="H1" s="282" t="s">
        <v>12573</v>
      </c>
      <c r="I1" s="283" t="s">
        <v>5</v>
      </c>
      <c r="J1" s="283" t="s">
        <v>6</v>
      </c>
      <c r="K1" s="284" t="s">
        <v>12574</v>
      </c>
      <c r="L1" s="285" t="s">
        <v>196</v>
      </c>
      <c r="N1" s="286" t="s">
        <v>197</v>
      </c>
      <c r="P1" s="285" t="s">
        <v>12</v>
      </c>
      <c r="R1" s="286" t="s">
        <v>198</v>
      </c>
      <c r="T1" s="285" t="s">
        <v>199</v>
      </c>
      <c r="V1" s="286" t="s">
        <v>200</v>
      </c>
      <c r="X1" s="285" t="s">
        <v>201</v>
      </c>
      <c r="Z1" s="286" t="s">
        <v>202</v>
      </c>
      <c r="AB1" s="285" t="s">
        <v>203</v>
      </c>
      <c r="AD1" s="286" t="s">
        <v>204</v>
      </c>
      <c r="AF1" s="287"/>
      <c r="AH1" s="287"/>
      <c r="AJ1" s="287"/>
      <c r="AL1" s="287"/>
    </row>
    <row r="2">
      <c r="A2" s="288" t="s">
        <v>12575</v>
      </c>
      <c r="B2" s="289"/>
      <c r="C2" s="290"/>
      <c r="D2" s="291"/>
      <c r="E2" s="291"/>
      <c r="F2" s="291"/>
      <c r="G2" s="292"/>
      <c r="H2" s="292"/>
      <c r="I2" s="293" t="s">
        <v>12576</v>
      </c>
      <c r="J2" s="293" t="s">
        <v>12577</v>
      </c>
      <c r="K2" s="294"/>
      <c r="L2" s="294"/>
      <c r="M2" s="295"/>
      <c r="N2" s="296"/>
      <c r="O2" s="297"/>
      <c r="P2" s="297"/>
      <c r="Q2" s="298" t="s">
        <v>12578</v>
      </c>
      <c r="R2" s="296"/>
      <c r="S2" s="296"/>
      <c r="T2" s="299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87"/>
      <c r="AG2" s="287"/>
      <c r="AH2" s="287"/>
      <c r="AI2" s="287"/>
      <c r="AJ2" s="287"/>
      <c r="AK2" s="287"/>
      <c r="AL2" s="287"/>
    </row>
    <row r="3">
      <c r="A3" s="300" t="s">
        <v>12579</v>
      </c>
      <c r="B3" s="301" t="s">
        <v>12580</v>
      </c>
      <c r="C3" s="290" t="s">
        <v>12581</v>
      </c>
      <c r="D3" s="290"/>
      <c r="E3" s="290"/>
      <c r="F3" s="290" t="s">
        <v>12582</v>
      </c>
      <c r="G3" s="291" t="s">
        <v>12583</v>
      </c>
      <c r="H3" s="291"/>
      <c r="I3" s="291" t="s">
        <v>12576</v>
      </c>
      <c r="J3" s="293" t="s">
        <v>12584</v>
      </c>
      <c r="K3" s="294"/>
      <c r="L3" s="294"/>
      <c r="M3" s="294"/>
      <c r="N3" s="296"/>
      <c r="O3" s="296"/>
      <c r="P3" s="296"/>
      <c r="Q3" s="296"/>
      <c r="R3" s="302" t="s">
        <v>12585</v>
      </c>
      <c r="S3" s="299"/>
      <c r="T3" s="299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87"/>
      <c r="AG3" s="287"/>
      <c r="AH3" s="287"/>
      <c r="AI3" s="287"/>
      <c r="AJ3" s="287"/>
      <c r="AK3" s="287"/>
      <c r="AL3" s="287"/>
    </row>
    <row r="4">
      <c r="A4" s="300"/>
      <c r="B4" s="289"/>
      <c r="C4" s="290" t="s">
        <v>12586</v>
      </c>
      <c r="D4" s="290"/>
      <c r="E4" s="290"/>
      <c r="F4" s="290"/>
      <c r="G4" s="291" t="s">
        <v>12587</v>
      </c>
      <c r="H4" s="291"/>
      <c r="I4" s="291" t="s">
        <v>12588</v>
      </c>
      <c r="J4" s="293"/>
      <c r="K4" s="294"/>
      <c r="L4" s="294"/>
      <c r="M4" s="294"/>
      <c r="N4" s="296"/>
      <c r="O4" s="296"/>
      <c r="P4" s="296"/>
      <c r="Q4" s="296"/>
      <c r="R4" s="296"/>
      <c r="S4" s="287"/>
      <c r="T4" s="303"/>
      <c r="U4" s="304"/>
      <c r="V4" s="305"/>
      <c r="W4" s="296"/>
      <c r="X4" s="296"/>
      <c r="Y4" s="296"/>
      <c r="Z4" s="296"/>
      <c r="AA4" s="296"/>
      <c r="AB4" s="296"/>
      <c r="AC4" s="296"/>
      <c r="AD4" s="296"/>
      <c r="AE4" s="296"/>
      <c r="AF4" s="287"/>
      <c r="AG4" s="287"/>
      <c r="AH4" s="287"/>
      <c r="AI4" s="287"/>
      <c r="AJ4" s="287"/>
      <c r="AK4" s="287"/>
      <c r="AL4" s="287"/>
    </row>
    <row r="5">
      <c r="A5" s="306" t="s">
        <v>12589</v>
      </c>
      <c r="B5" s="307" t="s">
        <v>12590</v>
      </c>
      <c r="C5" s="290" t="s">
        <v>12581</v>
      </c>
      <c r="D5" s="290"/>
      <c r="E5" s="290"/>
      <c r="F5" s="290" t="s">
        <v>12582</v>
      </c>
      <c r="G5" s="291" t="s">
        <v>12591</v>
      </c>
      <c r="H5" s="291"/>
      <c r="I5" s="291" t="s">
        <v>12588</v>
      </c>
      <c r="J5" s="293" t="s">
        <v>12592</v>
      </c>
      <c r="K5" s="295" t="s">
        <v>12593</v>
      </c>
      <c r="L5" s="294"/>
      <c r="M5" s="294"/>
      <c r="N5" s="296"/>
      <c r="O5" s="296"/>
      <c r="P5" s="296"/>
      <c r="Q5" s="296"/>
      <c r="R5" s="296"/>
      <c r="S5" s="287"/>
      <c r="T5" s="303" t="s">
        <v>12594</v>
      </c>
      <c r="U5" s="304"/>
      <c r="V5" s="305"/>
      <c r="W5" s="296"/>
      <c r="X5" s="296"/>
      <c r="Y5" s="296"/>
      <c r="Z5" s="296"/>
      <c r="AA5" s="296"/>
      <c r="AB5" s="296"/>
      <c r="AC5" s="296"/>
      <c r="AD5" s="296"/>
      <c r="AE5" s="296"/>
      <c r="AF5" s="287"/>
      <c r="AG5" s="287"/>
      <c r="AH5" s="287"/>
      <c r="AI5" s="287"/>
      <c r="AJ5" s="287"/>
      <c r="AK5" s="287"/>
      <c r="AL5" s="287"/>
    </row>
    <row r="6">
      <c r="A6" s="300"/>
      <c r="B6" s="289"/>
      <c r="C6" s="290" t="s">
        <v>12586</v>
      </c>
      <c r="D6" s="290"/>
      <c r="E6" s="290"/>
      <c r="F6" s="290"/>
      <c r="G6" s="291" t="s">
        <v>12587</v>
      </c>
      <c r="H6" s="291"/>
      <c r="I6" s="291" t="s">
        <v>12588</v>
      </c>
      <c r="J6" s="308"/>
      <c r="K6" s="294"/>
      <c r="L6" s="294"/>
      <c r="M6" s="294"/>
      <c r="N6" s="296"/>
      <c r="O6" s="296"/>
      <c r="P6" s="296"/>
      <c r="Q6" s="296"/>
      <c r="R6" s="296"/>
      <c r="S6" s="287"/>
      <c r="T6" s="303"/>
      <c r="U6" s="304"/>
      <c r="V6" s="305"/>
      <c r="W6" s="296"/>
      <c r="X6" s="296"/>
      <c r="Y6" s="296"/>
      <c r="Z6" s="296"/>
      <c r="AA6" s="296"/>
      <c r="AB6" s="296"/>
      <c r="AC6" s="296"/>
      <c r="AD6" s="296"/>
      <c r="AE6" s="296"/>
      <c r="AF6" s="287"/>
      <c r="AG6" s="287"/>
      <c r="AH6" s="287"/>
      <c r="AI6" s="287"/>
      <c r="AJ6" s="287"/>
      <c r="AK6" s="287"/>
      <c r="AL6" s="287"/>
    </row>
    <row r="7">
      <c r="A7" s="309"/>
      <c r="B7" s="310"/>
      <c r="C7" s="311"/>
      <c r="D7" s="311"/>
      <c r="E7" s="311"/>
      <c r="F7" s="311"/>
      <c r="G7" s="312"/>
      <c r="H7" s="312"/>
      <c r="I7" s="312"/>
      <c r="J7" s="313"/>
      <c r="K7" s="314"/>
      <c r="L7" s="314"/>
      <c r="M7" s="314"/>
      <c r="N7" s="315"/>
      <c r="O7" s="315"/>
      <c r="P7" s="315"/>
      <c r="Q7" s="315"/>
      <c r="R7" s="315"/>
      <c r="S7" s="316"/>
      <c r="T7" s="317"/>
      <c r="U7" s="318"/>
      <c r="V7" s="315"/>
      <c r="W7" s="315"/>
      <c r="X7" s="315"/>
      <c r="Y7" s="315"/>
      <c r="Z7" s="315"/>
      <c r="AA7" s="315"/>
      <c r="AB7" s="315"/>
      <c r="AC7" s="315"/>
      <c r="AD7" s="315"/>
      <c r="AE7" s="315"/>
      <c r="AF7" s="316"/>
      <c r="AG7" s="316"/>
      <c r="AH7" s="316"/>
      <c r="AI7" s="316"/>
      <c r="AJ7" s="316"/>
      <c r="AK7" s="316"/>
      <c r="AL7" s="316"/>
    </row>
    <row r="8">
      <c r="A8" s="319" t="s">
        <v>12595</v>
      </c>
      <c r="B8" s="289" t="s">
        <v>12596</v>
      </c>
      <c r="C8" s="290" t="s">
        <v>12581</v>
      </c>
      <c r="D8" s="290"/>
      <c r="E8" s="290"/>
      <c r="F8" s="290" t="s">
        <v>12597</v>
      </c>
      <c r="G8" s="291" t="s">
        <v>12598</v>
      </c>
      <c r="H8" s="320"/>
      <c r="I8" s="291" t="s">
        <v>12576</v>
      </c>
      <c r="J8" s="321"/>
      <c r="K8" s="294"/>
      <c r="L8" s="294"/>
      <c r="M8" s="294"/>
      <c r="N8" s="296"/>
      <c r="O8" s="296"/>
      <c r="P8" s="296"/>
      <c r="Q8" s="296"/>
      <c r="R8" s="322"/>
      <c r="S8" s="322"/>
      <c r="T8" s="299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87"/>
      <c r="AG8" s="287"/>
      <c r="AH8" s="287"/>
      <c r="AI8" s="287"/>
      <c r="AJ8" s="287"/>
      <c r="AK8" s="287"/>
      <c r="AL8" s="287"/>
    </row>
    <row r="9">
      <c r="A9" s="323"/>
      <c r="B9" s="324" t="s">
        <v>12599</v>
      </c>
      <c r="C9" s="290" t="s">
        <v>12581</v>
      </c>
      <c r="D9" s="290"/>
      <c r="E9" s="290"/>
      <c r="F9" s="290" t="s">
        <v>12597</v>
      </c>
      <c r="G9" s="291" t="s">
        <v>12600</v>
      </c>
      <c r="H9" s="320"/>
      <c r="I9" s="291" t="s">
        <v>12576</v>
      </c>
      <c r="J9" s="293" t="s">
        <v>12601</v>
      </c>
      <c r="K9" s="294"/>
      <c r="L9" s="294"/>
      <c r="M9" s="294"/>
      <c r="N9" s="296"/>
      <c r="O9" s="296"/>
      <c r="P9" s="296"/>
      <c r="Q9" s="296"/>
      <c r="R9" s="322"/>
      <c r="S9" s="322"/>
      <c r="T9" s="299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87"/>
      <c r="AG9" s="287"/>
      <c r="AH9" s="287"/>
      <c r="AI9" s="287"/>
      <c r="AJ9" s="287"/>
      <c r="AK9" s="287"/>
      <c r="AL9" s="287"/>
    </row>
    <row r="10">
      <c r="A10" s="325" t="s">
        <v>12602</v>
      </c>
      <c r="B10" s="326" t="s">
        <v>12603</v>
      </c>
      <c r="C10" s="290"/>
      <c r="D10" s="290" t="s">
        <v>12604</v>
      </c>
      <c r="E10" s="290" t="s">
        <v>12605</v>
      </c>
      <c r="F10" s="290"/>
      <c r="G10" s="291"/>
      <c r="H10" s="320"/>
      <c r="I10" s="291" t="s">
        <v>12588</v>
      </c>
      <c r="J10" s="327" t="s">
        <v>12606</v>
      </c>
      <c r="K10" s="328">
        <v>46.0</v>
      </c>
      <c r="L10" s="294"/>
      <c r="M10" s="294"/>
      <c r="N10" s="296"/>
      <c r="O10" s="296"/>
      <c r="P10" s="296"/>
      <c r="Q10" s="296"/>
      <c r="R10" s="296"/>
      <c r="S10" s="303" t="s">
        <v>12607</v>
      </c>
      <c r="T10" s="299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87"/>
      <c r="AG10" s="287"/>
      <c r="AH10" s="287"/>
      <c r="AI10" s="287"/>
      <c r="AJ10" s="287"/>
      <c r="AK10" s="287"/>
      <c r="AL10" s="287"/>
    </row>
    <row r="11" ht="63.0" customHeight="1">
      <c r="A11" s="325" t="s">
        <v>12602</v>
      </c>
      <c r="B11" s="329" t="s">
        <v>12608</v>
      </c>
      <c r="C11" s="290" t="s">
        <v>12581</v>
      </c>
      <c r="D11" s="290" t="s">
        <v>12604</v>
      </c>
      <c r="E11" s="290" t="s">
        <v>12605</v>
      </c>
      <c r="F11" s="290" t="s">
        <v>12597</v>
      </c>
      <c r="G11" s="291" t="s">
        <v>12609</v>
      </c>
      <c r="H11" s="320"/>
      <c r="I11" s="291" t="s">
        <v>12588</v>
      </c>
      <c r="J11" s="327" t="s">
        <v>12606</v>
      </c>
      <c r="K11" s="328">
        <v>54.0</v>
      </c>
      <c r="L11" s="294"/>
      <c r="M11" s="294"/>
      <c r="N11" s="296"/>
      <c r="O11" s="296"/>
      <c r="P11" s="296"/>
      <c r="Q11" s="296"/>
      <c r="R11" s="296"/>
      <c r="S11" s="303" t="s">
        <v>12607</v>
      </c>
      <c r="T11" s="299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87"/>
      <c r="AG11" s="287"/>
      <c r="AH11" s="287"/>
      <c r="AI11" s="287"/>
      <c r="AJ11" s="287"/>
      <c r="AK11" s="287"/>
      <c r="AL11" s="287"/>
    </row>
    <row r="12">
      <c r="A12" s="325" t="s">
        <v>12602</v>
      </c>
      <c r="B12" s="329" t="s">
        <v>12610</v>
      </c>
      <c r="C12" s="290"/>
      <c r="D12" s="290" t="s">
        <v>12604</v>
      </c>
      <c r="E12" s="290" t="s">
        <v>12605</v>
      </c>
      <c r="F12" s="290"/>
      <c r="G12" s="291"/>
      <c r="H12" s="320"/>
      <c r="I12" s="291" t="s">
        <v>12588</v>
      </c>
      <c r="J12" s="327" t="s">
        <v>12606</v>
      </c>
      <c r="K12" s="328">
        <v>44.0</v>
      </c>
      <c r="L12" s="294"/>
      <c r="M12" s="294"/>
      <c r="N12" s="296"/>
      <c r="O12" s="296"/>
      <c r="P12" s="296"/>
      <c r="Q12" s="296"/>
      <c r="R12" s="296"/>
      <c r="S12" s="303" t="s">
        <v>12607</v>
      </c>
      <c r="T12" s="299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87"/>
      <c r="AG12" s="287"/>
      <c r="AH12" s="287"/>
      <c r="AI12" s="287"/>
      <c r="AJ12" s="287"/>
      <c r="AK12" s="287"/>
      <c r="AL12" s="287"/>
    </row>
    <row r="13">
      <c r="A13" s="323"/>
      <c r="B13" s="329" t="s">
        <v>12611</v>
      </c>
      <c r="C13" s="290"/>
      <c r="D13" s="290" t="s">
        <v>12604</v>
      </c>
      <c r="E13" s="290" t="s">
        <v>12605</v>
      </c>
      <c r="F13" s="290"/>
      <c r="G13" s="291"/>
      <c r="H13" s="320"/>
      <c r="I13" s="291" t="s">
        <v>12588</v>
      </c>
      <c r="K13" s="328">
        <v>122.0</v>
      </c>
      <c r="L13" s="294"/>
      <c r="M13" s="294"/>
      <c r="N13" s="296"/>
      <c r="O13" s="296"/>
      <c r="P13" s="296"/>
      <c r="Q13" s="296"/>
      <c r="R13" s="296"/>
      <c r="S13" s="303" t="s">
        <v>12607</v>
      </c>
      <c r="T13" s="299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87"/>
      <c r="AG13" s="287"/>
      <c r="AH13" s="287"/>
      <c r="AI13" s="287"/>
      <c r="AJ13" s="287"/>
      <c r="AK13" s="287"/>
      <c r="AL13" s="287"/>
    </row>
    <row r="14">
      <c r="A14" s="323"/>
      <c r="B14" s="329" t="s">
        <v>12612</v>
      </c>
      <c r="C14" s="290"/>
      <c r="D14" s="290"/>
      <c r="E14" s="290"/>
      <c r="F14" s="290"/>
      <c r="G14" s="291"/>
      <c r="H14" s="320"/>
      <c r="I14" s="291" t="s">
        <v>12588</v>
      </c>
      <c r="J14" s="330"/>
      <c r="K14" s="328">
        <v>78.0</v>
      </c>
      <c r="L14" s="294"/>
      <c r="M14" s="294"/>
      <c r="N14" s="296"/>
      <c r="O14" s="296"/>
      <c r="P14" s="296"/>
      <c r="Q14" s="296"/>
      <c r="R14" s="296"/>
      <c r="S14" s="296"/>
      <c r="T14" s="299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87"/>
      <c r="AG14" s="287"/>
      <c r="AH14" s="287"/>
      <c r="AI14" s="287"/>
      <c r="AJ14" s="287"/>
      <c r="AK14" s="287"/>
      <c r="AL14" s="287"/>
    </row>
    <row r="15">
      <c r="A15" s="323"/>
      <c r="B15" s="329" t="s">
        <v>12613</v>
      </c>
      <c r="C15" s="290"/>
      <c r="D15" s="290"/>
      <c r="E15" s="290"/>
      <c r="F15" s="290"/>
      <c r="G15" s="291"/>
      <c r="H15" s="320"/>
      <c r="I15" s="291" t="s">
        <v>12588</v>
      </c>
      <c r="J15" s="330"/>
      <c r="K15" s="328">
        <v>78.0</v>
      </c>
      <c r="L15" s="294"/>
      <c r="M15" s="294"/>
      <c r="N15" s="296"/>
      <c r="O15" s="296"/>
      <c r="P15" s="296"/>
      <c r="Q15" s="296"/>
      <c r="R15" s="296"/>
      <c r="S15" s="296"/>
      <c r="T15" s="299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87"/>
      <c r="AG15" s="287"/>
      <c r="AH15" s="287"/>
      <c r="AI15" s="287"/>
      <c r="AJ15" s="287"/>
      <c r="AK15" s="287"/>
      <c r="AL15" s="287"/>
    </row>
    <row r="16">
      <c r="A16" s="323"/>
      <c r="B16" s="329" t="s">
        <v>12614</v>
      </c>
      <c r="C16" s="290"/>
      <c r="D16" s="290"/>
      <c r="E16" s="290"/>
      <c r="F16" s="290"/>
      <c r="G16" s="291"/>
      <c r="H16" s="320"/>
      <c r="I16" s="291" t="s">
        <v>12588</v>
      </c>
      <c r="J16" s="330"/>
      <c r="K16" s="328">
        <v>122.0</v>
      </c>
      <c r="L16" s="294"/>
      <c r="M16" s="294"/>
      <c r="N16" s="296"/>
      <c r="O16" s="296"/>
      <c r="P16" s="296"/>
      <c r="Q16" s="296"/>
      <c r="R16" s="296"/>
      <c r="S16" s="296"/>
      <c r="T16" s="299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87"/>
      <c r="AG16" s="287"/>
      <c r="AH16" s="287"/>
      <c r="AI16" s="287"/>
      <c r="AJ16" s="287"/>
      <c r="AK16" s="287"/>
      <c r="AL16" s="287"/>
    </row>
    <row r="17">
      <c r="A17" s="323"/>
      <c r="B17" s="329" t="s">
        <v>12615</v>
      </c>
      <c r="C17" s="290"/>
      <c r="D17" s="290"/>
      <c r="E17" s="290"/>
      <c r="F17" s="290"/>
      <c r="G17" s="291"/>
      <c r="H17" s="320"/>
      <c r="I17" s="291" t="s">
        <v>12588</v>
      </c>
      <c r="J17" s="330"/>
      <c r="K17" s="328">
        <v>114.0</v>
      </c>
      <c r="L17" s="294"/>
      <c r="M17" s="294"/>
      <c r="N17" s="296"/>
      <c r="O17" s="296"/>
      <c r="P17" s="296"/>
      <c r="Q17" s="296"/>
      <c r="R17" s="296"/>
      <c r="S17" s="296"/>
      <c r="T17" s="299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87"/>
      <c r="AG17" s="287"/>
      <c r="AH17" s="287"/>
      <c r="AI17" s="287"/>
      <c r="AJ17" s="287"/>
      <c r="AK17" s="287"/>
      <c r="AL17" s="287"/>
    </row>
    <row r="18">
      <c r="A18" s="323"/>
      <c r="C18" s="290"/>
      <c r="D18" s="290"/>
      <c r="E18" s="290"/>
      <c r="F18" s="290"/>
      <c r="G18" s="291"/>
      <c r="H18" s="320"/>
      <c r="I18" s="291"/>
      <c r="J18" s="330"/>
      <c r="K18" s="328"/>
      <c r="L18" s="294"/>
      <c r="M18" s="294"/>
      <c r="N18" s="296"/>
      <c r="O18" s="296"/>
      <c r="P18" s="296"/>
      <c r="Q18" s="296"/>
      <c r="R18" s="296"/>
      <c r="S18" s="296"/>
      <c r="T18" s="299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87"/>
      <c r="AG18" s="287"/>
      <c r="AH18" s="287"/>
      <c r="AI18" s="287"/>
      <c r="AJ18" s="287"/>
      <c r="AK18" s="287"/>
      <c r="AL18" s="287"/>
    </row>
    <row r="19">
      <c r="A19" s="323"/>
      <c r="B19" s="324"/>
      <c r="C19" s="290"/>
      <c r="D19" s="290"/>
      <c r="E19" s="290"/>
      <c r="F19" s="290"/>
      <c r="G19" s="291"/>
      <c r="H19" s="320"/>
      <c r="I19" s="291"/>
      <c r="J19" s="330"/>
      <c r="K19" s="294"/>
      <c r="L19" s="294"/>
      <c r="M19" s="294"/>
      <c r="N19" s="296"/>
      <c r="O19" s="296"/>
      <c r="P19" s="296"/>
      <c r="Q19" s="296"/>
      <c r="R19" s="296"/>
      <c r="S19" s="296"/>
      <c r="T19" s="299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87"/>
      <c r="AG19" s="287"/>
      <c r="AH19" s="287"/>
      <c r="AI19" s="287"/>
      <c r="AJ19" s="287"/>
      <c r="AK19" s="287"/>
      <c r="AL19" s="287"/>
    </row>
    <row r="20">
      <c r="A20" s="323"/>
      <c r="B20" s="289" t="s">
        <v>12616</v>
      </c>
      <c r="C20" s="290" t="s">
        <v>12581</v>
      </c>
      <c r="D20" s="290" t="s">
        <v>12617</v>
      </c>
      <c r="E20" s="290"/>
      <c r="F20" s="290" t="s">
        <v>12597</v>
      </c>
      <c r="G20" s="291" t="s">
        <v>12618</v>
      </c>
      <c r="H20" s="320"/>
      <c r="I20" s="291" t="s">
        <v>12588</v>
      </c>
      <c r="J20" s="330"/>
      <c r="K20" s="294"/>
      <c r="L20" s="294"/>
      <c r="M20" s="294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87"/>
      <c r="AG20" s="287"/>
      <c r="AH20" s="287"/>
      <c r="AI20" s="287"/>
      <c r="AJ20" s="287"/>
      <c r="AK20" s="287"/>
      <c r="AL20" s="287"/>
    </row>
    <row r="21">
      <c r="A21" s="331"/>
      <c r="B21" s="332" t="s">
        <v>12619</v>
      </c>
      <c r="C21" s="333" t="s">
        <v>12581</v>
      </c>
      <c r="D21" s="333"/>
      <c r="E21" s="333"/>
      <c r="F21" s="333" t="s">
        <v>12597</v>
      </c>
      <c r="G21" s="334" t="s">
        <v>12620</v>
      </c>
      <c r="H21" s="335"/>
      <c r="I21" s="334" t="s">
        <v>12588</v>
      </c>
      <c r="J21" s="334" t="s">
        <v>12621</v>
      </c>
      <c r="K21" s="336"/>
      <c r="L21" s="336"/>
      <c r="M21" s="336"/>
      <c r="N21" s="337"/>
      <c r="O21" s="337"/>
      <c r="P21" s="337"/>
      <c r="Q21" s="337"/>
      <c r="R21" s="337"/>
      <c r="S21" s="337"/>
      <c r="T21" s="338"/>
      <c r="U21" s="337"/>
      <c r="V21" s="337"/>
      <c r="W21" s="337"/>
      <c r="X21" s="337"/>
      <c r="Y21" s="337"/>
      <c r="Z21" s="337"/>
      <c r="AA21" s="337"/>
      <c r="AB21" s="337"/>
      <c r="AC21" s="337"/>
      <c r="AD21" s="337"/>
      <c r="AE21" s="337"/>
      <c r="AF21" s="339"/>
      <c r="AG21" s="339"/>
      <c r="AH21" s="339"/>
      <c r="AI21" s="339"/>
      <c r="AJ21" s="339"/>
      <c r="AK21" s="339"/>
      <c r="AL21" s="339"/>
    </row>
    <row r="22">
      <c r="A22" s="331"/>
      <c r="B22" s="332" t="s">
        <v>12622</v>
      </c>
      <c r="C22" s="333" t="s">
        <v>12623</v>
      </c>
      <c r="D22" s="333"/>
      <c r="E22" s="333"/>
      <c r="F22" s="333" t="s">
        <v>12597</v>
      </c>
      <c r="G22" s="334" t="s">
        <v>12620</v>
      </c>
      <c r="H22" s="335"/>
      <c r="I22" s="334" t="s">
        <v>12588</v>
      </c>
      <c r="J22" s="334" t="s">
        <v>12624</v>
      </c>
      <c r="K22" s="336"/>
      <c r="L22" s="336"/>
      <c r="M22" s="336"/>
      <c r="N22" s="337"/>
      <c r="O22" s="337"/>
      <c r="P22" s="337"/>
      <c r="Q22" s="337"/>
      <c r="R22" s="337"/>
      <c r="S22" s="337"/>
      <c r="T22" s="338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9"/>
      <c r="AG22" s="339"/>
      <c r="AH22" s="339"/>
      <c r="AI22" s="339"/>
      <c r="AJ22" s="339"/>
      <c r="AK22" s="339"/>
      <c r="AL22" s="339"/>
    </row>
    <row r="23">
      <c r="A23" s="323"/>
      <c r="B23" s="289" t="s">
        <v>12625</v>
      </c>
      <c r="C23" s="290" t="s">
        <v>12581</v>
      </c>
      <c r="D23" s="290"/>
      <c r="E23" s="290"/>
      <c r="F23" s="290" t="s">
        <v>12597</v>
      </c>
      <c r="G23" s="291" t="s">
        <v>12620</v>
      </c>
      <c r="H23" s="320"/>
      <c r="I23" s="291" t="s">
        <v>12588</v>
      </c>
      <c r="J23" s="291" t="s">
        <v>12626</v>
      </c>
      <c r="K23" s="294"/>
      <c r="L23" s="294"/>
      <c r="M23" s="294"/>
      <c r="N23" s="296"/>
      <c r="O23" s="296"/>
      <c r="P23" s="296"/>
      <c r="Q23" s="296"/>
      <c r="R23" s="296"/>
      <c r="S23" s="296"/>
      <c r="T23" s="299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87"/>
      <c r="AG23" s="287"/>
      <c r="AH23" s="287"/>
      <c r="AI23" s="287"/>
      <c r="AJ23" s="287"/>
      <c r="AK23" s="287"/>
      <c r="AL23" s="287"/>
    </row>
    <row r="24">
      <c r="A24" s="323"/>
      <c r="B24" s="289"/>
      <c r="C24" s="290" t="s">
        <v>12586</v>
      </c>
      <c r="D24" s="290"/>
      <c r="E24" s="290"/>
      <c r="F24" s="290"/>
      <c r="G24" s="291"/>
      <c r="H24" s="320"/>
      <c r="I24" s="291" t="s">
        <v>12588</v>
      </c>
      <c r="J24" s="330"/>
      <c r="K24" s="294"/>
      <c r="L24" s="294"/>
      <c r="M24" s="294"/>
      <c r="N24" s="296"/>
      <c r="O24" s="296"/>
      <c r="P24" s="296"/>
      <c r="Q24" s="296"/>
      <c r="R24" s="296"/>
      <c r="S24" s="296"/>
      <c r="T24" s="299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87"/>
      <c r="AG24" s="287"/>
      <c r="AH24" s="287"/>
      <c r="AI24" s="287"/>
      <c r="AJ24" s="287"/>
      <c r="AK24" s="287"/>
      <c r="AL24" s="287"/>
    </row>
    <row r="25">
      <c r="A25" s="309"/>
      <c r="B25" s="310"/>
      <c r="C25" s="311"/>
      <c r="D25" s="311"/>
      <c r="E25" s="311"/>
      <c r="F25" s="311"/>
      <c r="G25" s="312"/>
      <c r="H25" s="312"/>
      <c r="I25" s="312"/>
      <c r="J25" s="313"/>
      <c r="K25" s="314"/>
      <c r="L25" s="314"/>
      <c r="M25" s="314"/>
      <c r="N25" s="315"/>
      <c r="O25" s="315"/>
      <c r="P25" s="315"/>
      <c r="Q25" s="315"/>
      <c r="R25" s="315"/>
      <c r="S25" s="316"/>
      <c r="T25" s="317"/>
      <c r="U25" s="318"/>
      <c r="V25" s="315"/>
      <c r="W25" s="315"/>
      <c r="X25" s="315"/>
      <c r="Y25" s="315"/>
      <c r="Z25" s="315"/>
      <c r="AA25" s="315"/>
      <c r="AB25" s="315"/>
      <c r="AC25" s="315"/>
      <c r="AD25" s="315"/>
      <c r="AE25" s="315"/>
      <c r="AF25" s="316"/>
      <c r="AG25" s="316"/>
      <c r="AH25" s="316"/>
      <c r="AI25" s="316"/>
      <c r="AJ25" s="316"/>
      <c r="AK25" s="316"/>
      <c r="AL25" s="316"/>
    </row>
    <row r="26">
      <c r="A26" s="319" t="s">
        <v>228</v>
      </c>
      <c r="B26" s="289" t="s">
        <v>12627</v>
      </c>
      <c r="C26" s="290" t="s">
        <v>12628</v>
      </c>
      <c r="D26" s="290"/>
      <c r="E26" s="290"/>
      <c r="F26" s="290" t="s">
        <v>12629</v>
      </c>
      <c r="G26" s="291" t="s">
        <v>210</v>
      </c>
      <c r="H26" s="320"/>
      <c r="I26" s="291" t="s">
        <v>12576</v>
      </c>
      <c r="J26" s="293" t="s">
        <v>12630</v>
      </c>
      <c r="K26" s="294"/>
      <c r="L26" s="294"/>
      <c r="M26" s="294"/>
      <c r="N26" s="296"/>
      <c r="O26" s="296"/>
      <c r="P26" s="296"/>
      <c r="Q26" s="298">
        <v>23.0</v>
      </c>
      <c r="R26" s="297">
        <v>9.0</v>
      </c>
      <c r="S26" s="296"/>
      <c r="T26" s="299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87"/>
      <c r="AG26" s="287"/>
      <c r="AH26" s="287"/>
      <c r="AI26" s="287"/>
      <c r="AJ26" s="287"/>
      <c r="AK26" s="287"/>
      <c r="AL26" s="287"/>
    </row>
    <row r="27">
      <c r="A27" s="291"/>
      <c r="B27" s="340"/>
      <c r="C27" s="290" t="s">
        <v>12581</v>
      </c>
      <c r="D27" s="290"/>
      <c r="E27" s="290"/>
      <c r="F27" s="290" t="s">
        <v>12629</v>
      </c>
      <c r="G27" s="291" t="s">
        <v>12631</v>
      </c>
      <c r="H27" s="320"/>
      <c r="I27" s="291" t="s">
        <v>12588</v>
      </c>
      <c r="J27" s="293" t="s">
        <v>12632</v>
      </c>
      <c r="K27" s="294"/>
      <c r="L27" s="294"/>
      <c r="M27" s="294"/>
      <c r="N27" s="296"/>
      <c r="O27" s="296"/>
      <c r="P27" s="296"/>
      <c r="Q27" s="296"/>
      <c r="R27" s="296"/>
      <c r="S27" s="303">
        <v>16.0</v>
      </c>
      <c r="T27" s="305"/>
      <c r="U27" s="305"/>
      <c r="V27" s="303"/>
      <c r="W27" s="297"/>
      <c r="X27" s="296"/>
      <c r="Y27" s="296"/>
      <c r="Z27" s="296"/>
      <c r="AA27" s="296"/>
      <c r="AB27" s="296"/>
      <c r="AC27" s="296"/>
      <c r="AD27" s="296"/>
      <c r="AE27" s="296"/>
      <c r="AF27" s="287"/>
      <c r="AG27" s="287"/>
      <c r="AH27" s="287"/>
      <c r="AI27" s="287"/>
      <c r="AJ27" s="287"/>
      <c r="AK27" s="287"/>
      <c r="AL27" s="287"/>
    </row>
    <row r="28">
      <c r="A28" s="291"/>
      <c r="B28" s="340"/>
      <c r="C28" s="290" t="s">
        <v>12586</v>
      </c>
      <c r="D28" s="290"/>
      <c r="E28" s="290"/>
      <c r="F28" s="290"/>
      <c r="G28" s="291"/>
      <c r="H28" s="320"/>
      <c r="I28" s="291" t="s">
        <v>12588</v>
      </c>
      <c r="J28" s="293"/>
      <c r="K28" s="294"/>
      <c r="L28" s="294"/>
      <c r="M28" s="294"/>
      <c r="N28" s="296"/>
      <c r="O28" s="296"/>
      <c r="P28" s="296"/>
      <c r="Q28" s="296"/>
      <c r="R28" s="296"/>
      <c r="S28" s="296"/>
      <c r="T28" s="299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87"/>
      <c r="AG28" s="287"/>
      <c r="AH28" s="287"/>
      <c r="AI28" s="287"/>
      <c r="AJ28" s="287"/>
      <c r="AK28" s="287"/>
      <c r="AL28" s="287"/>
    </row>
  </sheetData>
  <mergeCells count="13">
    <mergeCell ref="Z1:AA1"/>
    <mergeCell ref="AB1:AC1"/>
    <mergeCell ref="AD1:AE1"/>
    <mergeCell ref="AF1:AG1"/>
    <mergeCell ref="AH1:AI1"/>
    <mergeCell ref="AJ1:AK1"/>
    <mergeCell ref="L1:M1"/>
    <mergeCell ref="N1:O1"/>
    <mergeCell ref="P1:Q1"/>
    <mergeCell ref="R1:S1"/>
    <mergeCell ref="T1:U1"/>
    <mergeCell ref="V1:W1"/>
    <mergeCell ref="X1:Y1"/>
  </mergeCells>
  <dataValidations>
    <dataValidation type="list" allowBlank="1" showErrorMessage="1" sqref="I2:I6 I8:I24 I26:I28">
      <formula1>"Completed,Inprogress,Not start ,Blocked"</formula1>
    </dataValidation>
  </dataValidations>
  <hyperlinks>
    <hyperlink r:id="rId1" ref="B11"/>
    <hyperlink r:id="rId2" ref="B12"/>
    <hyperlink r:id="rId3" ref="B13"/>
    <hyperlink r:id="rId4" ref="B14"/>
    <hyperlink r:id="rId5" ref="B15"/>
    <hyperlink r:id="rId6" ref="B16"/>
    <hyperlink r:id="rId7" ref="B17"/>
    <hyperlink r:id="rId8" ref="B21"/>
    <hyperlink r:id="rId9" ref="B22"/>
  </hyperlinks>
  <drawing r:id="rId10"/>
</worksheet>
</file>